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27B5B7BF-D07E-412E-9EA7-987D5085B8A3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</calcChain>
</file>

<file path=xl/sharedStrings.xml><?xml version="1.0" encoding="utf-8"?>
<sst xmlns="http://schemas.openxmlformats.org/spreadsheetml/2006/main" count="11838" uniqueCount="59">
  <si>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</si>
  <si>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</si>
  <si>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</si>
  <si>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</si>
  <si>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</si>
  <si>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</si>
  <si>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</si>
  <si>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</si>
  <si>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</si>
  <si>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</si>
  <si>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</si>
  <si>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</si>
  <si>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</si>
  <si>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</si>
  <si>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</si>
  <si>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</si>
  <si>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</si>
  <si>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</si>
  <si>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</si>
  <si>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</si>
  <si>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</si>
  <si>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</si>
  <si>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</si>
  <si>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</si>
  <si>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</si>
  <si>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</si>
  <si>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</si>
  <si>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</si>
  <si>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</si>
  <si>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</si>
  <si>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</si>
  <si>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</si>
  <si>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</si>
  <si>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</si>
  <si>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</si>
  <si>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</si>
  <si>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</si>
  <si>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</si>
  <si>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</si>
  <si>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</si>
  <si>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</si>
  <si>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Kooper</t>
  </si>
  <si>
    <t>mcp_road_part_02</t>
  </si>
  <si>
    <t>Plane_01</t>
  </si>
  <si>
    <t>mcp_roads_turn_01 (1)</t>
  </si>
  <si>
    <t>mcp_roads_T_cross_01</t>
  </si>
  <si>
    <t>mcp_road_part_01</t>
  </si>
  <si>
    <t>mcp_roads_cross_01</t>
  </si>
  <si>
    <t>Building 07 (18)</t>
  </si>
  <si>
    <t>mcp_roads_cross_02</t>
  </si>
  <si>
    <t>mcp_roads_turn_01</t>
  </si>
  <si>
    <t>mcp_road_part_02 (1)</t>
  </si>
  <si>
    <t>mcp_road_part_02 (2)</t>
  </si>
  <si>
    <t>mcp_road_part_02 (3)</t>
  </si>
  <si>
    <t>mcp_road_part_02 (6)</t>
  </si>
  <si>
    <t>mcp_road_part_02 (8)</t>
  </si>
  <si>
    <t>mcp_road_part_02 (10)</t>
  </si>
  <si>
    <t>mcp_road_part_02 (12)</t>
  </si>
  <si>
    <t>mcp_road_part_02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</si>
</sst>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900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"20190312164216776"</f>
        <v>20190312164216776</v>
      </c>
      <c r="B2" t="str">
        <f>"1552380136773790"</f>
        <v>1552380136773790</v>
      </c>
      <c r="C2" t="s">
        <v>40</v>
      </c>
      <c r="D2">
        <v>4.9852040000000004</v>
      </c>
      <c r="E2">
        <v>0.53979250000000001</v>
      </c>
      <c r="F2" t="s">
        <v>41</v>
      </c>
      <c r="G2">
        <v>-475.9375</v>
      </c>
      <c r="H2">
        <v>0.93741949999999996</v>
      </c>
      <c r="I2">
        <v>367.12290000000002</v>
      </c>
      <c r="J2">
        <v>-476.60759999999999</v>
      </c>
      <c r="K2">
        <v>1.109483</v>
      </c>
      <c r="L2">
        <v>367.21679999999998</v>
      </c>
      <c r="M2">
        <v>0.99996750000000001</v>
      </c>
      <c r="N2">
        <v>0</v>
      </c>
      <c r="O2">
        <v>3.0082850000000001E-4</v>
      </c>
      <c r="P2">
        <v>0.99866580000000005</v>
      </c>
      <c r="Q2">
        <v>2.773227E-2</v>
      </c>
      <c r="R2">
        <v>-4.3564859999999997E-2</v>
      </c>
      <c r="S2">
        <v>3.006195</v>
      </c>
      <c r="T2">
        <v>-0.76160280000000002</v>
      </c>
      <c r="U2">
        <v>-0.41284179999999998</v>
      </c>
      <c r="V2">
        <v>4.3859469999999998E-2</v>
      </c>
      <c r="W2">
        <v>3.5792160000000003E-2</v>
      </c>
      <c r="X2">
        <v>0.99839630000000001</v>
      </c>
      <c r="Y2">
        <v>0.13224040000000001</v>
      </c>
      <c r="Z2">
        <v>-1.6491840000000001E-2</v>
      </c>
      <c r="AA2">
        <v>0.99108050000000003</v>
      </c>
      <c r="AB2">
        <v>1</v>
      </c>
      <c r="AC2">
        <v>0.67009999999999004</v>
      </c>
      <c r="AD2">
        <v>-0.17206350000000001</v>
      </c>
      <c r="AE2">
        <v>-9.3899999999962305E-2</v>
      </c>
      <c r="AF2">
        <v>8.83862999496174E-2</v>
      </c>
      <c r="AG2">
        <v>-0.17206350000000001</v>
      </c>
      <c r="AH2">
        <v>0.62937471841206205</v>
      </c>
      <c r="AI2">
        <v>105.148624416544</v>
      </c>
      <c r="AJ2">
        <v>82.005941037463302</v>
      </c>
      <c r="AK2">
        <v>0.65843034728610195</v>
      </c>
      <c r="AL2">
        <v>87.948822081071</v>
      </c>
      <c r="AM2">
        <v>87.484618227132898</v>
      </c>
      <c r="AN2">
        <v>0.99999995183991697</v>
      </c>
    </row>
    <row r="3" spans="1:40" x14ac:dyDescent="0.25">
      <c r="A3" t="str">
        <f>"20190312164216799"</f>
        <v>20190312164216799</v>
      </c>
      <c r="B3" t="str">
        <f>"1552380136793310"</f>
        <v>1552380136793310</v>
      </c>
      <c r="C3" t="s">
        <v>40</v>
      </c>
      <c r="D3">
        <v>4.978167</v>
      </c>
      <c r="E3">
        <v>0.5397807</v>
      </c>
      <c r="F3" t="s">
        <v>41</v>
      </c>
      <c r="G3">
        <v>-475.9271</v>
      </c>
      <c r="H3">
        <v>0.93825570000000003</v>
      </c>
      <c r="I3">
        <v>367.12349999999998</v>
      </c>
      <c r="J3">
        <v>-476.59449999999998</v>
      </c>
      <c r="K3">
        <v>1.109337</v>
      </c>
      <c r="L3">
        <v>367.21699999999998</v>
      </c>
      <c r="M3">
        <v>0.99997550000000002</v>
      </c>
      <c r="N3">
        <v>0</v>
      </c>
      <c r="O3">
        <v>4.8426209999999999E-4</v>
      </c>
      <c r="P3">
        <v>0.99866650000000001</v>
      </c>
      <c r="Q3">
        <v>2.8259599999999999E-2</v>
      </c>
      <c r="R3">
        <v>-4.3206429999999997E-2</v>
      </c>
      <c r="S3">
        <v>3.00705</v>
      </c>
      <c r="T3">
        <v>-0.75666239999999996</v>
      </c>
      <c r="U3">
        <v>-0.41223140000000003</v>
      </c>
      <c r="V3">
        <v>4.3683340000000001E-2</v>
      </c>
      <c r="W3">
        <v>3.5236040000000003E-2</v>
      </c>
      <c r="X3">
        <v>0.99842390000000003</v>
      </c>
      <c r="Y3">
        <v>0.13223570000000001</v>
      </c>
      <c r="Z3">
        <v>-1.6428470000000001E-2</v>
      </c>
      <c r="AA3">
        <v>0.99108209999999997</v>
      </c>
      <c r="AB3">
        <v>1</v>
      </c>
      <c r="AC3">
        <v>0.667399999999986</v>
      </c>
      <c r="AD3">
        <v>-0.17108129999999999</v>
      </c>
      <c r="AE3">
        <v>-9.3500000000005898E-2</v>
      </c>
      <c r="AF3">
        <v>8.81428020102588E-2</v>
      </c>
      <c r="AG3">
        <v>-0.17108129999999999</v>
      </c>
      <c r="AH3">
        <v>0.62695060713385298</v>
      </c>
      <c r="AI3">
        <v>105.121375381367</v>
      </c>
      <c r="AJ3">
        <v>81.997254092608401</v>
      </c>
      <c r="AK3">
        <v>0.65582393105269998</v>
      </c>
      <c r="AL3">
        <v>87.980705719847805</v>
      </c>
      <c r="AM3">
        <v>87.494775718784197</v>
      </c>
      <c r="AN3">
        <v>1.0000000483998199</v>
      </c>
    </row>
    <row r="4" spans="1:40" x14ac:dyDescent="0.25">
      <c r="A4" t="str">
        <f>"20190312164216820"</f>
        <v>20190312164216820</v>
      </c>
      <c r="B4" t="str">
        <f>"1552380136813807"</f>
        <v>1552380136813807</v>
      </c>
      <c r="C4" t="s">
        <v>40</v>
      </c>
      <c r="D4">
        <v>5.0487399999999996</v>
      </c>
      <c r="E4">
        <v>0.53978289999999995</v>
      </c>
      <c r="F4" t="s">
        <v>41</v>
      </c>
      <c r="G4">
        <v>-475.91460000000001</v>
      </c>
      <c r="H4">
        <v>0.9390482</v>
      </c>
      <c r="I4">
        <v>367.12369999999999</v>
      </c>
      <c r="J4">
        <v>-476.58359999999999</v>
      </c>
      <c r="K4">
        <v>1.1095269999999999</v>
      </c>
      <c r="L4">
        <v>367.21719999999999</v>
      </c>
      <c r="M4">
        <v>0.99997400000000003</v>
      </c>
      <c r="N4">
        <v>0</v>
      </c>
      <c r="O4">
        <v>5.7359849999999999E-4</v>
      </c>
      <c r="P4">
        <v>0.99870159999999997</v>
      </c>
      <c r="Q4">
        <v>2.793957E-2</v>
      </c>
      <c r="R4">
        <v>-4.2595920000000002E-2</v>
      </c>
      <c r="S4">
        <v>3.007568</v>
      </c>
      <c r="T4">
        <v>-0.75359370000000003</v>
      </c>
      <c r="U4">
        <v>-0.411499</v>
      </c>
      <c r="V4">
        <v>4.3164719999999997E-2</v>
      </c>
      <c r="W4">
        <v>3.5132629999999998E-2</v>
      </c>
      <c r="X4">
        <v>0.99844999999999995</v>
      </c>
      <c r="Y4">
        <v>0.1320993</v>
      </c>
      <c r="Z4">
        <v>-1.6366559999999999E-2</v>
      </c>
      <c r="AA4">
        <v>0.99110140000000002</v>
      </c>
      <c r="AB4">
        <v>1</v>
      </c>
      <c r="AC4">
        <v>0.66899999999998205</v>
      </c>
      <c r="AD4">
        <v>-0.17047880000000001</v>
      </c>
      <c r="AE4">
        <v>-9.3500000000005898E-2</v>
      </c>
      <c r="AF4">
        <v>8.8262111602535095E-2</v>
      </c>
      <c r="AG4">
        <v>-0.17047880000000001</v>
      </c>
      <c r="AH4">
        <v>0.62889073524052197</v>
      </c>
      <c r="AI4">
        <v>105.026643845566</v>
      </c>
      <c r="AJ4">
        <v>82.010964032836497</v>
      </c>
      <c r="AK4">
        <v>0.65753842356575898</v>
      </c>
      <c r="AL4">
        <v>87.9866341459213</v>
      </c>
      <c r="AM4">
        <v>87.524545802498693</v>
      </c>
      <c r="AN4">
        <v>0.99999994862169606</v>
      </c>
    </row>
    <row r="5" spans="1:40" x14ac:dyDescent="0.25">
      <c r="A5" t="str">
        <f>"20190312164216844"</f>
        <v>20190312164216844</v>
      </c>
      <c r="B5" t="str">
        <f>"1552380136833327"</f>
        <v>1552380136833327</v>
      </c>
      <c r="C5" t="s">
        <v>40</v>
      </c>
      <c r="D5">
        <v>4.9834300000000002</v>
      </c>
      <c r="E5">
        <v>0.53978300000000001</v>
      </c>
      <c r="F5" t="s">
        <v>41</v>
      </c>
      <c r="G5">
        <v>-475.90469999999999</v>
      </c>
      <c r="H5">
        <v>0.9394979</v>
      </c>
      <c r="I5">
        <v>367.12470000000002</v>
      </c>
      <c r="J5">
        <v>-476.56779999999998</v>
      </c>
      <c r="K5">
        <v>1.109418</v>
      </c>
      <c r="L5">
        <v>367.2174</v>
      </c>
      <c r="M5">
        <v>0.99997910000000001</v>
      </c>
      <c r="N5">
        <v>0</v>
      </c>
      <c r="O5">
        <v>7.1161330000000004E-4</v>
      </c>
      <c r="P5">
        <v>0.99870239999999999</v>
      </c>
      <c r="Q5">
        <v>2.8542270000000002E-2</v>
      </c>
      <c r="R5">
        <v>-4.21763E-2</v>
      </c>
      <c r="S5">
        <v>3.0075069999999999</v>
      </c>
      <c r="T5">
        <v>-0.75347159999999902</v>
      </c>
      <c r="U5">
        <v>-0.40899659999999999</v>
      </c>
      <c r="V5">
        <v>4.2883329999999997E-2</v>
      </c>
      <c r="W5">
        <v>3.4967749999999999E-2</v>
      </c>
      <c r="X5">
        <v>0.99846800000000002</v>
      </c>
      <c r="Y5">
        <v>0.13144529999999999</v>
      </c>
      <c r="Z5">
        <v>-1.6318760000000002E-2</v>
      </c>
      <c r="AA5">
        <v>0.99118910000000005</v>
      </c>
      <c r="AB5">
        <v>1</v>
      </c>
      <c r="AC5">
        <v>0.66309999999998503</v>
      </c>
      <c r="AD5">
        <v>-0.16992009999999999</v>
      </c>
      <c r="AE5">
        <v>-9.2699999999979299E-2</v>
      </c>
      <c r="AF5">
        <v>8.7534141149828604E-2</v>
      </c>
      <c r="AG5">
        <v>-0.16992009999999999</v>
      </c>
      <c r="AH5">
        <v>0.622914490408498</v>
      </c>
      <c r="AI5">
        <v>105.11642803702</v>
      </c>
      <c r="AJ5">
        <v>82.000972458611798</v>
      </c>
      <c r="AK5">
        <v>0.65158079208316699</v>
      </c>
      <c r="AL5">
        <v>87.996087056469406</v>
      </c>
      <c r="AM5">
        <v>87.540707644559902</v>
      </c>
      <c r="AN5">
        <v>1.0000000352779701</v>
      </c>
    </row>
    <row r="6" spans="1:40" x14ac:dyDescent="0.25">
      <c r="A6" t="str">
        <f>"20190312164216868"</f>
        <v>20190312164216868</v>
      </c>
      <c r="B6" t="str">
        <f>"1552380136863583"</f>
        <v>1552380136863583</v>
      </c>
      <c r="C6" t="s">
        <v>40</v>
      </c>
      <c r="D6">
        <v>5.054119</v>
      </c>
      <c r="E6">
        <v>0.53985319999999903</v>
      </c>
      <c r="F6" t="s">
        <v>41</v>
      </c>
      <c r="G6">
        <v>-475.87599999999998</v>
      </c>
      <c r="H6">
        <v>0.93674400000000002</v>
      </c>
      <c r="I6">
        <v>367.12360000000001</v>
      </c>
      <c r="J6">
        <v>-476.54649999999998</v>
      </c>
      <c r="K6">
        <v>1.1091979999999999</v>
      </c>
      <c r="L6">
        <v>367.21769999999998</v>
      </c>
      <c r="M6">
        <v>0.99998640000000005</v>
      </c>
      <c r="N6">
        <v>0</v>
      </c>
      <c r="O6">
        <v>9.3869730000000005E-4</v>
      </c>
      <c r="P6">
        <v>0.99871089999999996</v>
      </c>
      <c r="Q6">
        <v>2.9329210000000001E-2</v>
      </c>
      <c r="R6">
        <v>-4.143053E-2</v>
      </c>
      <c r="S6">
        <v>3.0081180000000001</v>
      </c>
      <c r="T6">
        <v>-0.75064589999999998</v>
      </c>
      <c r="U6">
        <v>-0.40814210000000001</v>
      </c>
      <c r="V6">
        <v>4.2364220000000001E-2</v>
      </c>
      <c r="W6">
        <v>3.4490720000000002E-2</v>
      </c>
      <c r="X6">
        <v>0.99850669999999997</v>
      </c>
      <c r="Y6">
        <v>0.1313927</v>
      </c>
      <c r="Z6">
        <v>-1.6305610000000002E-2</v>
      </c>
      <c r="AA6">
        <v>0.99119630000000003</v>
      </c>
      <c r="AB6">
        <v>2</v>
      </c>
      <c r="AC6">
        <v>0.67050000000000398</v>
      </c>
      <c r="AD6">
        <v>-0.172453999999999</v>
      </c>
      <c r="AE6">
        <v>-9.4099999999969E-2</v>
      </c>
      <c r="AF6">
        <v>8.8958189861122902E-2</v>
      </c>
      <c r="AG6">
        <v>-0.172453999999999</v>
      </c>
      <c r="AH6">
        <v>0.62956806631992202</v>
      </c>
      <c r="AI6">
        <v>105.17524192393699</v>
      </c>
      <c r="AJ6">
        <v>81.957330185750394</v>
      </c>
      <c r="AK6">
        <v>0.65879427121763401</v>
      </c>
      <c r="AL6">
        <v>88.023435256571503</v>
      </c>
      <c r="AM6">
        <v>87.5705359568896</v>
      </c>
      <c r="AN6">
        <v>0.99999998342360796</v>
      </c>
    </row>
    <row r="7" spans="1:40" x14ac:dyDescent="0.25">
      <c r="A7" t="str">
        <f>"20190312164216888"</f>
        <v>20190312164216888</v>
      </c>
      <c r="B7" t="str">
        <f>"1552380136884079"</f>
        <v>1552380136884079</v>
      </c>
      <c r="C7" t="s">
        <v>40</v>
      </c>
      <c r="D7">
        <v>5.250051</v>
      </c>
      <c r="E7">
        <v>0.53992220000000002</v>
      </c>
      <c r="F7" t="s">
        <v>41</v>
      </c>
      <c r="G7">
        <v>-475.85660000000001</v>
      </c>
      <c r="H7">
        <v>0.93787790000000004</v>
      </c>
      <c r="I7">
        <v>367.12400000000002</v>
      </c>
      <c r="J7">
        <v>-476.52640000000002</v>
      </c>
      <c r="K7">
        <v>1.109076</v>
      </c>
      <c r="L7">
        <v>367.21789999999999</v>
      </c>
      <c r="M7">
        <v>0.9999905</v>
      </c>
      <c r="N7">
        <v>0</v>
      </c>
      <c r="O7">
        <v>1.1632610000000001E-3</v>
      </c>
      <c r="P7">
        <v>0.99872340000000004</v>
      </c>
      <c r="Q7">
        <v>3.0047379999999999E-2</v>
      </c>
      <c r="R7">
        <v>-4.0611309999999998E-2</v>
      </c>
      <c r="S7">
        <v>3.008972</v>
      </c>
      <c r="T7">
        <v>-0.74755939999999999</v>
      </c>
      <c r="U7">
        <v>-0.40625</v>
      </c>
      <c r="V7">
        <v>4.1768489999999998E-2</v>
      </c>
      <c r="W7">
        <v>3.4283899999999999E-2</v>
      </c>
      <c r="X7">
        <v>0.99853890000000001</v>
      </c>
      <c r="Y7">
        <v>0.1310045</v>
      </c>
      <c r="Z7">
        <v>-1.6244169999999999E-2</v>
      </c>
      <c r="AA7">
        <v>0.99124869999999998</v>
      </c>
      <c r="AB7">
        <v>2</v>
      </c>
      <c r="AC7">
        <v>0.66980000000000905</v>
      </c>
      <c r="AD7">
        <v>-0.17119809999999899</v>
      </c>
      <c r="AE7">
        <v>-9.3899999999962305E-2</v>
      </c>
      <c r="AF7">
        <v>8.8978255611416202E-2</v>
      </c>
      <c r="AG7">
        <v>-0.17119809999999899</v>
      </c>
      <c r="AH7">
        <v>0.62936676500018096</v>
      </c>
      <c r="AI7">
        <v>105.074218719177</v>
      </c>
      <c r="AJ7">
        <v>81.953000492262603</v>
      </c>
      <c r="AK7">
        <v>0.65827687510807598</v>
      </c>
      <c r="AL7">
        <v>88.035292143516301</v>
      </c>
      <c r="AM7">
        <v>87.6047364056503</v>
      </c>
      <c r="AN7">
        <v>0.99999996368464905</v>
      </c>
    </row>
    <row r="8" spans="1:40" x14ac:dyDescent="0.25">
      <c r="A8" t="str">
        <f>"20190312164216910"</f>
        <v>20190312164216910</v>
      </c>
      <c r="B8" t="str">
        <f>"1552380136903599"</f>
        <v>1552380136903599</v>
      </c>
      <c r="C8" t="s">
        <v>40</v>
      </c>
      <c r="D8">
        <v>5.0360079999999998</v>
      </c>
      <c r="E8">
        <v>0.53978939999999997</v>
      </c>
      <c r="F8" t="s">
        <v>41</v>
      </c>
      <c r="G8">
        <v>-475.83580000000001</v>
      </c>
      <c r="H8">
        <v>0.93777739999999998</v>
      </c>
      <c r="I8">
        <v>367.12520000000001</v>
      </c>
      <c r="J8">
        <v>-476.5027</v>
      </c>
      <c r="K8">
        <v>1.1090100000000001</v>
      </c>
      <c r="L8">
        <v>367.21820000000002</v>
      </c>
      <c r="M8">
        <v>0.99999309999999997</v>
      </c>
      <c r="N8">
        <v>0</v>
      </c>
      <c r="O8">
        <v>1.4326709999999999E-3</v>
      </c>
      <c r="P8">
        <v>0.99875420000000004</v>
      </c>
      <c r="Q8">
        <v>2.9781120000000001E-2</v>
      </c>
      <c r="R8">
        <v>-4.0043960000000003E-2</v>
      </c>
      <c r="S8">
        <v>3.0098569999999998</v>
      </c>
      <c r="T8">
        <v>-0.74669830000000004</v>
      </c>
      <c r="U8">
        <v>-0.4038696</v>
      </c>
      <c r="V8">
        <v>4.1469180000000001E-2</v>
      </c>
      <c r="W8">
        <v>3.3250229999999999E-2</v>
      </c>
      <c r="X8">
        <v>0.99858639999999999</v>
      </c>
      <c r="Y8">
        <v>0.13048100000000001</v>
      </c>
      <c r="Z8">
        <v>-1.622409E-2</v>
      </c>
      <c r="AA8">
        <v>0.99131800000000003</v>
      </c>
      <c r="AB8">
        <v>2</v>
      </c>
      <c r="AC8">
        <v>0.66689999999999805</v>
      </c>
      <c r="AD8">
        <v>-0.17123260000000001</v>
      </c>
      <c r="AE8">
        <v>-9.3000000000017694E-2</v>
      </c>
      <c r="AF8">
        <v>8.8248534538588302E-2</v>
      </c>
      <c r="AG8">
        <v>-0.17123260000000001</v>
      </c>
      <c r="AH8">
        <v>0.62626687915454204</v>
      </c>
      <c r="AI8">
        <v>105.149255906184</v>
      </c>
      <c r="AJ8">
        <v>81.979145329969498</v>
      </c>
      <c r="AK8">
        <v>0.65522409225923395</v>
      </c>
      <c r="AL8">
        <v>88.094551005135202</v>
      </c>
      <c r="AM8">
        <v>87.621993905902698</v>
      </c>
      <c r="AN8">
        <v>1.00000003447494</v>
      </c>
    </row>
    <row r="9" spans="1:40" x14ac:dyDescent="0.25">
      <c r="A9" t="str">
        <f>"20190312164216933"</f>
        <v>20190312164216933</v>
      </c>
      <c r="B9" t="str">
        <f>"1552380136924095"</f>
        <v>1552380136924095</v>
      </c>
      <c r="C9" t="s">
        <v>40</v>
      </c>
      <c r="D9">
        <v>5.0427759999999999</v>
      </c>
      <c r="E9">
        <v>0.51526300000000003</v>
      </c>
      <c r="F9" t="s">
        <v>41</v>
      </c>
      <c r="G9">
        <v>-475.81310000000002</v>
      </c>
      <c r="H9">
        <v>0.9377084</v>
      </c>
      <c r="I9">
        <v>367.12610000000001</v>
      </c>
      <c r="J9">
        <v>-476.4751</v>
      </c>
      <c r="K9">
        <v>1.108967</v>
      </c>
      <c r="L9">
        <v>367.21850000000001</v>
      </c>
      <c r="M9">
        <v>0.99999470000000001</v>
      </c>
      <c r="N9">
        <v>0</v>
      </c>
      <c r="O9">
        <v>1.7402909999999999E-3</v>
      </c>
      <c r="P9">
        <v>0.99878710000000004</v>
      </c>
      <c r="Q9">
        <v>2.9678739999999999E-2</v>
      </c>
      <c r="R9">
        <v>-3.9291039999999999E-2</v>
      </c>
      <c r="S9">
        <v>3.0099490000000002</v>
      </c>
      <c r="T9">
        <v>-0.74794150000000004</v>
      </c>
      <c r="U9">
        <v>-0.40106199999999997</v>
      </c>
      <c r="V9">
        <v>4.1022589999999998E-2</v>
      </c>
      <c r="W9">
        <v>3.2450529999999998E-2</v>
      </c>
      <c r="X9">
        <v>0.99863109999999999</v>
      </c>
      <c r="Y9">
        <v>0.12986919999999999</v>
      </c>
      <c r="Z9">
        <v>-1.625122E-2</v>
      </c>
      <c r="AA9">
        <v>0.991398</v>
      </c>
      <c r="AB9">
        <v>2</v>
      </c>
      <c r="AC9">
        <v>0.66199999999997705</v>
      </c>
      <c r="AD9">
        <v>-0.17125859999999901</v>
      </c>
      <c r="AE9">
        <v>-9.2399999999997803E-2</v>
      </c>
      <c r="AF9">
        <v>8.77889306616116E-2</v>
      </c>
      <c r="AG9">
        <v>-0.17125859999999901</v>
      </c>
      <c r="AH9">
        <v>0.62106749617018697</v>
      </c>
      <c r="AI9">
        <v>105.271507312458</v>
      </c>
      <c r="AJ9">
        <v>81.954447238940105</v>
      </c>
      <c r="AK9">
        <v>0.65020092219234404</v>
      </c>
      <c r="AL9">
        <v>88.140395084728496</v>
      </c>
      <c r="AM9">
        <v>87.647679387851994</v>
      </c>
      <c r="AN9">
        <v>0.99999998183739902</v>
      </c>
    </row>
    <row r="10" spans="1:40" x14ac:dyDescent="0.25">
      <c r="A10" t="str">
        <f>"20190312164216957"</f>
        <v>20190312164216957</v>
      </c>
      <c r="B10" t="str">
        <f>"1552380136943615"</f>
        <v>1552380136943615</v>
      </c>
      <c r="C10" t="s">
        <v>40</v>
      </c>
      <c r="D10">
        <v>5.0032829999999997</v>
      </c>
      <c r="E10">
        <v>0.51446239999999999</v>
      </c>
      <c r="F10" t="s">
        <v>41</v>
      </c>
      <c r="G10">
        <v>-475.78879999999998</v>
      </c>
      <c r="H10">
        <v>0.9359558</v>
      </c>
      <c r="I10">
        <v>367.17219999999998</v>
      </c>
      <c r="J10">
        <v>-476.44600000000003</v>
      </c>
      <c r="K10">
        <v>1.109035</v>
      </c>
      <c r="L10">
        <v>367.21899999999999</v>
      </c>
      <c r="M10">
        <v>0.99999459999999996</v>
      </c>
      <c r="N10">
        <v>0</v>
      </c>
      <c r="O10">
        <v>1.964436E-3</v>
      </c>
      <c r="P10">
        <v>0.99879770000000001</v>
      </c>
      <c r="Q10">
        <v>2.9378399999999999E-2</v>
      </c>
      <c r="R10">
        <v>-3.9244960000000002E-2</v>
      </c>
      <c r="S10">
        <v>3.0183110000000002</v>
      </c>
      <c r="T10">
        <v>-0.76106490000000004</v>
      </c>
      <c r="U10">
        <v>-0.20245360000000001</v>
      </c>
      <c r="V10">
        <v>4.1202559999999999E-2</v>
      </c>
      <c r="W10">
        <v>3.201731E-2</v>
      </c>
      <c r="X10">
        <v>0.99863769999999996</v>
      </c>
      <c r="Y10">
        <v>6.6743549999999999E-2</v>
      </c>
      <c r="Z10">
        <v>-8.7633169999999996E-3</v>
      </c>
      <c r="AA10">
        <v>0.9977317</v>
      </c>
      <c r="AB10">
        <v>3</v>
      </c>
      <c r="AC10">
        <v>0.65719999999998802</v>
      </c>
      <c r="AD10">
        <v>-0.17307919999999899</v>
      </c>
      <c r="AE10">
        <v>-4.6800000000018799E-2</v>
      </c>
      <c r="AF10">
        <v>4.4986522638421303E-2</v>
      </c>
      <c r="AG10">
        <v>-0.17307919999999899</v>
      </c>
      <c r="AH10">
        <v>0.61468852180266798</v>
      </c>
      <c r="AI10">
        <v>105.685864715891</v>
      </c>
      <c r="AJ10">
        <v>85.814220356637705</v>
      </c>
      <c r="AK10">
        <v>0.64017355109976704</v>
      </c>
      <c r="AL10">
        <v>88.165229715269007</v>
      </c>
      <c r="AM10">
        <v>87.637386799723302</v>
      </c>
      <c r="AN10">
        <v>1.00000000747573</v>
      </c>
    </row>
    <row r="11" spans="1:40" x14ac:dyDescent="0.25">
      <c r="A11" t="str">
        <f>"20190312164216978"</f>
        <v>20190312164216978</v>
      </c>
      <c r="B11" t="str">
        <f>"1552380136973871"</f>
        <v>1552380136973871</v>
      </c>
      <c r="C11" t="s">
        <v>40</v>
      </c>
      <c r="D11">
        <v>5.0308199999999896</v>
      </c>
      <c r="E11">
        <v>0.51411439999999997</v>
      </c>
      <c r="F11" t="s">
        <v>41</v>
      </c>
      <c r="G11">
        <v>-475.76339999999999</v>
      </c>
      <c r="H11">
        <v>0.93666970000000005</v>
      </c>
      <c r="I11">
        <v>367.17399999999998</v>
      </c>
      <c r="J11">
        <v>-476.41629999999998</v>
      </c>
      <c r="K11">
        <v>1.1090100000000001</v>
      </c>
      <c r="L11">
        <v>367.21929999999998</v>
      </c>
      <c r="M11">
        <v>0.99999510000000003</v>
      </c>
      <c r="N11">
        <v>0</v>
      </c>
      <c r="O11">
        <v>2.1588050000000002E-3</v>
      </c>
      <c r="P11">
        <v>0.99877729999999998</v>
      </c>
      <c r="Q11">
        <v>3.0351489999999998E-2</v>
      </c>
      <c r="R11">
        <v>-3.9027640000000002E-2</v>
      </c>
      <c r="S11">
        <v>3.0183110000000002</v>
      </c>
      <c r="T11">
        <v>-0.76255299999999904</v>
      </c>
      <c r="U11">
        <v>-0.19613649999999999</v>
      </c>
      <c r="V11">
        <v>4.1180199999999903E-2</v>
      </c>
      <c r="W11">
        <v>3.2647830000000003E-2</v>
      </c>
      <c r="X11">
        <v>0.99861820000000001</v>
      </c>
      <c r="Y11">
        <v>6.4901159999999999E-2</v>
      </c>
      <c r="Z11">
        <v>-8.5999059999999992E-3</v>
      </c>
      <c r="AA11">
        <v>0.99785469999999998</v>
      </c>
      <c r="AB11">
        <v>3</v>
      </c>
      <c r="AC11">
        <v>0.65289999999998805</v>
      </c>
      <c r="AD11">
        <v>-0.172340299999999</v>
      </c>
      <c r="AE11">
        <v>-4.5299999999940603E-2</v>
      </c>
      <c r="AF11">
        <v>4.36805002760332E-2</v>
      </c>
      <c r="AG11">
        <v>-0.172340299999999</v>
      </c>
      <c r="AH11">
        <v>0.61046966050103801</v>
      </c>
      <c r="AI11">
        <v>105.726572908081</v>
      </c>
      <c r="AJ11">
        <v>85.907330890770098</v>
      </c>
      <c r="AK11">
        <v>0.63583203088607299</v>
      </c>
      <c r="AL11">
        <v>88.129084667296397</v>
      </c>
      <c r="AM11">
        <v>87.638621444581503</v>
      </c>
      <c r="AN11">
        <v>0.99999999952349405</v>
      </c>
    </row>
    <row r="12" spans="1:40" x14ac:dyDescent="0.25">
      <c r="A12" t="str">
        <f>"20190312164217003"</f>
        <v>20190312164217003</v>
      </c>
      <c r="B12" t="str">
        <f>"1552380136993391"</f>
        <v>1552380136993391</v>
      </c>
      <c r="C12" t="s">
        <v>40</v>
      </c>
      <c r="D12">
        <v>4.9972279999999998</v>
      </c>
      <c r="E12">
        <v>0.51407829999999999</v>
      </c>
      <c r="F12" t="s">
        <v>41</v>
      </c>
      <c r="G12">
        <v>-475.73450000000003</v>
      </c>
      <c r="H12">
        <v>0.93794719999999998</v>
      </c>
      <c r="I12">
        <v>367.17570000000001</v>
      </c>
      <c r="J12">
        <v>-476.37939999999998</v>
      </c>
      <c r="K12">
        <v>1.108857</v>
      </c>
      <c r="L12">
        <v>367.21980000000002</v>
      </c>
      <c r="M12">
        <v>0.99999590000000005</v>
      </c>
      <c r="N12">
        <v>0</v>
      </c>
      <c r="O12">
        <v>2.439877E-3</v>
      </c>
      <c r="P12">
        <v>0.99873049999999997</v>
      </c>
      <c r="Q12">
        <v>3.2280150000000001E-2</v>
      </c>
      <c r="R12">
        <v>-3.8673619999999999E-2</v>
      </c>
      <c r="S12">
        <v>3.019104</v>
      </c>
      <c r="T12">
        <v>-0.75746619999999998</v>
      </c>
      <c r="U12">
        <v>-0.19326779999999999</v>
      </c>
      <c r="V12">
        <v>4.1106740000000003E-2</v>
      </c>
      <c r="W12">
        <v>3.3817819999999998E-2</v>
      </c>
      <c r="X12">
        <v>0.99858230000000003</v>
      </c>
      <c r="Y12">
        <v>6.4259910000000003E-2</v>
      </c>
      <c r="Z12">
        <v>-8.5325780000000007E-3</v>
      </c>
      <c r="AA12">
        <v>0.99789669999999997</v>
      </c>
      <c r="AB12">
        <v>3</v>
      </c>
      <c r="AC12">
        <v>0.64489999999994996</v>
      </c>
      <c r="AD12">
        <v>-0.1709098</v>
      </c>
      <c r="AE12">
        <v>-4.4100000000014399E-2</v>
      </c>
      <c r="AF12">
        <v>4.2689066131807098E-2</v>
      </c>
      <c r="AG12">
        <v>-0.1709098</v>
      </c>
      <c r="AH12">
        <v>0.60266008986778696</v>
      </c>
      <c r="AI12">
        <v>105.79533641482701</v>
      </c>
      <c r="AJ12">
        <v>85.948255326994101</v>
      </c>
      <c r="AK12">
        <v>0.62787873034742503</v>
      </c>
      <c r="AL12">
        <v>88.062012145210502</v>
      </c>
      <c r="AM12">
        <v>87.642744427193506</v>
      </c>
      <c r="AN12">
        <v>1.0000000094481301</v>
      </c>
    </row>
    <row r="13" spans="1:40" x14ac:dyDescent="0.25">
      <c r="A13" t="str">
        <f>"20190312164217022"</f>
        <v>20190312164217022</v>
      </c>
      <c r="B13" t="str">
        <f>"1552380137013888"</f>
        <v>1552380137013888</v>
      </c>
      <c r="C13" t="s">
        <v>40</v>
      </c>
      <c r="D13">
        <v>5.0130749999999997</v>
      </c>
      <c r="E13">
        <v>0.51412460000000004</v>
      </c>
      <c r="F13" t="s">
        <v>41</v>
      </c>
      <c r="G13">
        <v>-475.67239999999998</v>
      </c>
      <c r="H13">
        <v>0.93310009999999999</v>
      </c>
      <c r="I13">
        <v>367.17469999999997</v>
      </c>
      <c r="J13">
        <v>-476.3449</v>
      </c>
      <c r="K13">
        <v>1.108752</v>
      </c>
      <c r="L13">
        <v>367.2201</v>
      </c>
      <c r="M13">
        <v>0.99999590000000005</v>
      </c>
      <c r="N13">
        <v>0</v>
      </c>
      <c r="O13">
        <v>2.7294350000000001E-3</v>
      </c>
      <c r="P13">
        <v>0.99874370000000001</v>
      </c>
      <c r="Q13">
        <v>3.2530000000000003E-2</v>
      </c>
      <c r="R13">
        <v>-3.8120080000000001E-2</v>
      </c>
      <c r="S13">
        <v>3.0205989999999998</v>
      </c>
      <c r="T13">
        <v>-0.75085400000000002</v>
      </c>
      <c r="U13">
        <v>-0.1923523</v>
      </c>
      <c r="V13">
        <v>4.0841870000000002E-2</v>
      </c>
      <c r="W13">
        <v>3.3453240000000002E-2</v>
      </c>
      <c r="X13">
        <v>0.99860539999999998</v>
      </c>
      <c r="Y13">
        <v>6.4244960000000004E-2</v>
      </c>
      <c r="Z13">
        <v>-8.5253259999999997E-3</v>
      </c>
      <c r="AA13">
        <v>0.9978977</v>
      </c>
      <c r="AB13">
        <v>4</v>
      </c>
      <c r="AC13">
        <v>0.67250000000001298</v>
      </c>
      <c r="AD13">
        <v>-0.175651899999999</v>
      </c>
      <c r="AE13">
        <v>-4.5400000000029202E-2</v>
      </c>
      <c r="AF13">
        <v>4.42315265445795E-2</v>
      </c>
      <c r="AG13">
        <v>-0.175651899999999</v>
      </c>
      <c r="AH13">
        <v>0.62961517237734499</v>
      </c>
      <c r="AI13">
        <v>105.55172861745601</v>
      </c>
      <c r="AJ13">
        <v>85.981477158356697</v>
      </c>
      <c r="AK13">
        <v>0.65515287010119105</v>
      </c>
      <c r="AL13">
        <v>88.082912774359201</v>
      </c>
      <c r="AM13">
        <v>87.657970478607695</v>
      </c>
      <c r="AN13">
        <v>0.99999996126037605</v>
      </c>
    </row>
    <row r="14" spans="1:40" x14ac:dyDescent="0.25">
      <c r="A14" t="str">
        <f>"20190312164217044"</f>
        <v>20190312164217044</v>
      </c>
      <c r="B14" t="str">
        <f>"1552380137033408"</f>
        <v>1552380137033408</v>
      </c>
      <c r="C14" t="s">
        <v>40</v>
      </c>
      <c r="D14">
        <v>5.071053</v>
      </c>
      <c r="E14">
        <v>0.51431329999999997</v>
      </c>
      <c r="F14" t="s">
        <v>41</v>
      </c>
      <c r="G14">
        <v>-475.63670000000002</v>
      </c>
      <c r="H14">
        <v>0.93327740000000003</v>
      </c>
      <c r="I14">
        <v>367.17520000000002</v>
      </c>
      <c r="J14">
        <v>-476.30579999999998</v>
      </c>
      <c r="K14">
        <v>1.108681</v>
      </c>
      <c r="L14">
        <v>367.22059999999999</v>
      </c>
      <c r="M14">
        <v>0.99999539999999998</v>
      </c>
      <c r="N14">
        <v>0</v>
      </c>
      <c r="O14">
        <v>3.0678350000000001E-3</v>
      </c>
      <c r="P14">
        <v>0.99877669999999996</v>
      </c>
      <c r="Q14">
        <v>3.2175219999999997E-2</v>
      </c>
      <c r="R14">
        <v>-3.7554789999999998E-2</v>
      </c>
      <c r="S14">
        <v>3.0208740000000001</v>
      </c>
      <c r="T14">
        <v>-0.74872419999999995</v>
      </c>
      <c r="U14">
        <v>-0.1907654</v>
      </c>
      <c r="V14">
        <v>4.061352E-2</v>
      </c>
      <c r="W14">
        <v>3.2585879999999998E-2</v>
      </c>
      <c r="X14">
        <v>0.99864350000000002</v>
      </c>
      <c r="Y14">
        <v>6.4061679999999996E-2</v>
      </c>
      <c r="Z14">
        <v>-8.5614319999999904E-3</v>
      </c>
      <c r="AA14">
        <v>0.99790919999999905</v>
      </c>
      <c r="AB14">
        <v>4</v>
      </c>
      <c r="AC14">
        <v>0.66909999999995695</v>
      </c>
      <c r="AD14">
        <v>-0.17540359999999999</v>
      </c>
      <c r="AE14">
        <v>-4.5399999999972303E-2</v>
      </c>
      <c r="AF14">
        <v>4.4414233405233303E-2</v>
      </c>
      <c r="AG14">
        <v>-0.17540359999999999</v>
      </c>
      <c r="AH14">
        <v>0.62612620342699199</v>
      </c>
      <c r="AI14">
        <v>105.61242606996301</v>
      </c>
      <c r="AJ14">
        <v>85.942522838801295</v>
      </c>
      <c r="AK14">
        <v>0.651746169639557</v>
      </c>
      <c r="AL14">
        <v>88.132636159897203</v>
      </c>
      <c r="AM14">
        <v>87.671139240155199</v>
      </c>
      <c r="AN14">
        <v>1.0000000688371999</v>
      </c>
    </row>
    <row r="15" spans="1:40" x14ac:dyDescent="0.25">
      <c r="A15" t="str">
        <f>"20190312164217067"</f>
        <v>20190312164217067</v>
      </c>
      <c r="B15" t="str">
        <f>"1552380137063663"</f>
        <v>1552380137063663</v>
      </c>
      <c r="C15" t="s">
        <v>40</v>
      </c>
      <c r="D15">
        <v>5.0661649999999998</v>
      </c>
      <c r="E15">
        <v>0.51430640000000005</v>
      </c>
      <c r="F15" t="s">
        <v>41</v>
      </c>
      <c r="G15">
        <v>-475.59930000000003</v>
      </c>
      <c r="H15">
        <v>0.93268479999999998</v>
      </c>
      <c r="I15">
        <v>367.17610000000002</v>
      </c>
      <c r="J15">
        <v>-476.26170000000002</v>
      </c>
      <c r="K15">
        <v>1.1086339999999999</v>
      </c>
      <c r="L15">
        <v>367.22109999999998</v>
      </c>
      <c r="M15">
        <v>0.9999941</v>
      </c>
      <c r="N15">
        <v>0</v>
      </c>
      <c r="O15">
        <v>3.4559209999999998E-3</v>
      </c>
      <c r="P15">
        <v>0.99883420000000001</v>
      </c>
      <c r="Q15">
        <v>3.1779910000000001E-2</v>
      </c>
      <c r="R15">
        <v>-3.6342449999999998E-2</v>
      </c>
      <c r="S15">
        <v>3.0207519999999999</v>
      </c>
      <c r="T15">
        <v>-0.75236759999999903</v>
      </c>
      <c r="U15">
        <v>-0.19055179999999999</v>
      </c>
      <c r="V15">
        <v>3.9787969999999999E-2</v>
      </c>
      <c r="W15">
        <v>3.1723729999999999E-2</v>
      </c>
      <c r="X15">
        <v>0.99870440000000005</v>
      </c>
      <c r="Y15">
        <v>6.4341199999999904E-2</v>
      </c>
      <c r="Z15">
        <v>-8.7315910000000004E-3</v>
      </c>
      <c r="AA15">
        <v>0.99788980000000005</v>
      </c>
      <c r="AB15">
        <v>4</v>
      </c>
      <c r="AC15">
        <v>0.662399999999991</v>
      </c>
      <c r="AD15">
        <v>-0.1759492</v>
      </c>
      <c r="AE15">
        <v>-4.4999999999959003E-2</v>
      </c>
      <c r="AF15">
        <v>4.4185689594532097E-2</v>
      </c>
      <c r="AG15">
        <v>-0.1759492</v>
      </c>
      <c r="AH15">
        <v>0.61878229081701797</v>
      </c>
      <c r="AI15">
        <v>105.83467897467401</v>
      </c>
      <c r="AJ15">
        <v>85.915585027157604</v>
      </c>
      <c r="AK15">
        <v>0.64482712378926899</v>
      </c>
      <c r="AL15">
        <v>88.1820591059723</v>
      </c>
      <c r="AM15">
        <v>87.718566369462806</v>
      </c>
      <c r="AN15">
        <v>0.99999997809059604</v>
      </c>
    </row>
    <row r="16" spans="1:40" x14ac:dyDescent="0.25">
      <c r="A16" t="str">
        <f>"20190312164217088"</f>
        <v>20190312164217088</v>
      </c>
      <c r="B16" t="str">
        <f>"1552380137084159"</f>
        <v>1552380137084159</v>
      </c>
      <c r="C16" t="s">
        <v>40</v>
      </c>
      <c r="D16">
        <v>5.1855779999999996</v>
      </c>
      <c r="E16">
        <v>0.51423620000000003</v>
      </c>
      <c r="F16" t="s">
        <v>41</v>
      </c>
      <c r="G16">
        <v>-475.55889999999999</v>
      </c>
      <c r="H16">
        <v>0.93341929999999995</v>
      </c>
      <c r="I16">
        <v>367.17750000000001</v>
      </c>
      <c r="J16">
        <v>-476.21879999999999</v>
      </c>
      <c r="K16">
        <v>1.108576</v>
      </c>
      <c r="L16">
        <v>367.22160000000002</v>
      </c>
      <c r="M16">
        <v>0.99999260000000001</v>
      </c>
      <c r="N16">
        <v>0</v>
      </c>
      <c r="O16">
        <v>3.8371619999999999E-3</v>
      </c>
      <c r="P16">
        <v>0.99884589999999995</v>
      </c>
      <c r="Q16">
        <v>3.1337690000000001E-2</v>
      </c>
      <c r="R16">
        <v>-3.640094E-2</v>
      </c>
      <c r="S16">
        <v>3.020721</v>
      </c>
      <c r="T16">
        <v>-0.75327980000000005</v>
      </c>
      <c r="U16">
        <v>-0.1862183</v>
      </c>
      <c r="V16">
        <v>4.0226480000000002E-2</v>
      </c>
      <c r="W16">
        <v>3.0858690000000001E-2</v>
      </c>
      <c r="X16">
        <v>0.99871399999999999</v>
      </c>
      <c r="Y16">
        <v>6.3310790000000006E-2</v>
      </c>
      <c r="Z16">
        <v>-8.7094549999999996E-3</v>
      </c>
      <c r="AA16">
        <v>0.99795590000000001</v>
      </c>
      <c r="AB16">
        <v>4</v>
      </c>
      <c r="AC16">
        <v>0.65989999999999305</v>
      </c>
      <c r="AD16">
        <v>-0.175156699999999</v>
      </c>
      <c r="AE16">
        <v>-4.4100000000014399E-2</v>
      </c>
      <c r="AF16">
        <v>4.3575462184587098E-2</v>
      </c>
      <c r="AG16">
        <v>-0.175156699999999</v>
      </c>
      <c r="AH16">
        <v>0.61648597136816297</v>
      </c>
      <c r="AI16">
        <v>105.823474060008</v>
      </c>
      <c r="AJ16">
        <v>85.956851181043305</v>
      </c>
      <c r="AK16">
        <v>0.64236566171709197</v>
      </c>
      <c r="AL16">
        <v>88.231646643669606</v>
      </c>
      <c r="AM16">
        <v>87.693471457346803</v>
      </c>
      <c r="AN16">
        <v>1.0000000411188501</v>
      </c>
    </row>
    <row r="17" spans="1:40" x14ac:dyDescent="0.25">
      <c r="A17" t="str">
        <f>"20190312164217111"</f>
        <v>20190312164217111</v>
      </c>
      <c r="B17" t="str">
        <f>"1552380137103679"</f>
        <v>1552380137103679</v>
      </c>
      <c r="C17" t="s">
        <v>40</v>
      </c>
      <c r="D17">
        <v>5.0541769999999904</v>
      </c>
      <c r="E17">
        <v>0.53375269999999997</v>
      </c>
      <c r="F17" t="s">
        <v>41</v>
      </c>
      <c r="G17">
        <v>-475.51650000000001</v>
      </c>
      <c r="H17">
        <v>0.93318619999999997</v>
      </c>
      <c r="I17">
        <v>367.17809999999997</v>
      </c>
      <c r="J17">
        <v>-476.1678</v>
      </c>
      <c r="K17">
        <v>1.1085290000000001</v>
      </c>
      <c r="L17">
        <v>367.22230000000002</v>
      </c>
      <c r="M17">
        <v>0.99999039999999995</v>
      </c>
      <c r="N17">
        <v>0</v>
      </c>
      <c r="O17">
        <v>4.294857E-3</v>
      </c>
      <c r="P17">
        <v>0.99887389999999998</v>
      </c>
      <c r="Q17">
        <v>3.1044579999999999E-2</v>
      </c>
      <c r="R17">
        <v>-3.5884770000000003E-2</v>
      </c>
      <c r="S17">
        <v>3.0203549999999999</v>
      </c>
      <c r="T17">
        <v>-0.75428719999999905</v>
      </c>
      <c r="U17">
        <v>-0.186554</v>
      </c>
      <c r="V17">
        <v>4.0166840000000002E-2</v>
      </c>
      <c r="W17">
        <v>3.008562E-2</v>
      </c>
      <c r="X17">
        <v>0.99873999999999996</v>
      </c>
      <c r="Y17">
        <v>6.3849069999999994E-2</v>
      </c>
      <c r="Z17">
        <v>-8.9003669999999993E-3</v>
      </c>
      <c r="AA17">
        <v>0.99791989999999997</v>
      </c>
      <c r="AB17">
        <v>5</v>
      </c>
      <c r="AC17">
        <v>0.651299999999992</v>
      </c>
      <c r="AD17">
        <v>-0.17534279999999999</v>
      </c>
      <c r="AE17">
        <v>-4.4200000000046202E-2</v>
      </c>
      <c r="AF17">
        <v>4.3834320063617899E-2</v>
      </c>
      <c r="AG17">
        <v>-0.17534279999999999</v>
      </c>
      <c r="AH17">
        <v>0.60729002090242801</v>
      </c>
      <c r="AI17">
        <v>106.06537987998099</v>
      </c>
      <c r="AJ17">
        <v>85.871538516829006</v>
      </c>
      <c r="AK17">
        <v>0.63361479987051395</v>
      </c>
      <c r="AL17">
        <v>88.275960891532407</v>
      </c>
      <c r="AM17">
        <v>87.696947335944003</v>
      </c>
      <c r="AN17">
        <v>1.0000000535831799</v>
      </c>
    </row>
    <row r="18" spans="1:40" x14ac:dyDescent="0.25">
      <c r="A18" t="str">
        <f>"20190312164217135"</f>
        <v>20190312164217135</v>
      </c>
      <c r="B18" t="str">
        <f>"1552380137124174"</f>
        <v>1552380137124174</v>
      </c>
      <c r="C18" t="s">
        <v>40</v>
      </c>
      <c r="D18">
        <v>5.2487349999999999</v>
      </c>
      <c r="E18">
        <v>0.53803219999999996</v>
      </c>
      <c r="F18" t="s">
        <v>41</v>
      </c>
      <c r="G18">
        <v>-475.46530000000001</v>
      </c>
      <c r="H18">
        <v>0.94659110000000002</v>
      </c>
      <c r="I18">
        <v>367.14229999999998</v>
      </c>
      <c r="J18">
        <v>-476.11250000000001</v>
      </c>
      <c r="K18">
        <v>1.108482</v>
      </c>
      <c r="L18">
        <v>367.22309999999999</v>
      </c>
      <c r="M18">
        <v>0.99998759999999998</v>
      </c>
      <c r="N18">
        <v>0</v>
      </c>
      <c r="O18">
        <v>4.7957679999999997E-3</v>
      </c>
      <c r="P18">
        <v>0.99887619999999999</v>
      </c>
      <c r="Q18">
        <v>3.0972619999999999E-2</v>
      </c>
      <c r="R18">
        <v>-3.5878279999999999E-2</v>
      </c>
      <c r="S18">
        <v>3.0127259999999998</v>
      </c>
      <c r="T18">
        <v>-0.69462780000000002</v>
      </c>
      <c r="U18">
        <v>-0.34198000000000001</v>
      </c>
      <c r="V18">
        <v>4.0660200000000001E-2</v>
      </c>
      <c r="W18">
        <v>2.9546079999999999E-2</v>
      </c>
      <c r="X18">
        <v>0.99873610000000002</v>
      </c>
      <c r="Y18">
        <v>0.1144614</v>
      </c>
      <c r="Z18">
        <v>-1.407254E-2</v>
      </c>
      <c r="AA18">
        <v>0.99332799999999999</v>
      </c>
      <c r="AB18">
        <v>5</v>
      </c>
      <c r="AC18">
        <v>0.647199999999997</v>
      </c>
      <c r="AD18">
        <v>-0.16189089999999901</v>
      </c>
      <c r="AE18">
        <v>-8.0800000000010599E-2</v>
      </c>
      <c r="AF18">
        <v>7.9033634944707401E-2</v>
      </c>
      <c r="AG18">
        <v>-0.16189089999999901</v>
      </c>
      <c r="AH18">
        <v>0.60926807251164905</v>
      </c>
      <c r="AI18">
        <v>104.76221347388</v>
      </c>
      <c r="AJ18">
        <v>82.608921922952902</v>
      </c>
      <c r="AK18">
        <v>0.63534444448459904</v>
      </c>
      <c r="AL18">
        <v>88.306887931369303</v>
      </c>
      <c r="AM18">
        <v>87.668681402327195</v>
      </c>
      <c r="AN18">
        <v>1.0000000100752999</v>
      </c>
    </row>
    <row r="19" spans="1:40" x14ac:dyDescent="0.25">
      <c r="A19" t="str">
        <f>"20190312164217158"</f>
        <v>20190312164217158</v>
      </c>
      <c r="B19" t="str">
        <f>"1552380137154155"</f>
        <v>1552380137154155</v>
      </c>
      <c r="C19" t="s">
        <v>40</v>
      </c>
      <c r="D19">
        <v>5.3695709999999996</v>
      </c>
      <c r="E19">
        <v>0.54016419999999998</v>
      </c>
      <c r="F19" t="s">
        <v>41</v>
      </c>
      <c r="G19">
        <v>-475.41579999999999</v>
      </c>
      <c r="H19">
        <v>0.95048569999999999</v>
      </c>
      <c r="I19">
        <v>367.13529999999997</v>
      </c>
      <c r="J19">
        <v>-476.0582</v>
      </c>
      <c r="K19">
        <v>1.1084609999999999</v>
      </c>
      <c r="L19">
        <v>367.22379999999998</v>
      </c>
      <c r="M19">
        <v>0.9999844</v>
      </c>
      <c r="N19">
        <v>0</v>
      </c>
      <c r="O19">
        <v>5.2841900000000002E-3</v>
      </c>
      <c r="P19">
        <v>0.99886759999999997</v>
      </c>
      <c r="Q19">
        <v>3.1759610000000001E-2</v>
      </c>
      <c r="R19">
        <v>-3.5427999999999897E-2</v>
      </c>
      <c r="S19">
        <v>3.0109560000000002</v>
      </c>
      <c r="T19">
        <v>-0.68299339999999997</v>
      </c>
      <c r="U19">
        <v>-0.37805179999999999</v>
      </c>
      <c r="V19">
        <v>4.0696820000000002E-2</v>
      </c>
      <c r="W19">
        <v>2.9943580000000001E-2</v>
      </c>
      <c r="X19">
        <v>0.99872269999999996</v>
      </c>
      <c r="Y19">
        <v>0.1265241</v>
      </c>
      <c r="Z19">
        <v>-1.5295990000000001E-2</v>
      </c>
      <c r="AA19">
        <v>0.99184559999999999</v>
      </c>
      <c r="AB19">
        <v>5</v>
      </c>
      <c r="AC19">
        <v>0.64240000000000896</v>
      </c>
      <c r="AD19">
        <v>-0.15797530000000001</v>
      </c>
      <c r="AE19">
        <v>-8.8500000000010404E-2</v>
      </c>
      <c r="AF19">
        <v>8.6745225952909996E-2</v>
      </c>
      <c r="AG19">
        <v>-0.15797530000000001</v>
      </c>
      <c r="AH19">
        <v>0.60596113348820002</v>
      </c>
      <c r="AI19">
        <v>104.470650033659</v>
      </c>
      <c r="AJ19">
        <v>81.853279342448403</v>
      </c>
      <c r="AK19">
        <v>0.63219445183741896</v>
      </c>
      <c r="AL19">
        <v>88.284102657491403</v>
      </c>
      <c r="AM19">
        <v>87.666552781847301</v>
      </c>
      <c r="AN19">
        <v>0.99999994031830697</v>
      </c>
    </row>
    <row r="20" spans="1:40" x14ac:dyDescent="0.25">
      <c r="A20" t="str">
        <f>"20190312164217200"</f>
        <v>20190312164217200</v>
      </c>
      <c r="B20" t="str">
        <f>"1552380137194173"</f>
        <v>1552380137194173</v>
      </c>
      <c r="C20" t="s">
        <v>40</v>
      </c>
      <c r="D20">
        <v>5.2699569999999998</v>
      </c>
      <c r="E20">
        <v>0.54027250000000004</v>
      </c>
      <c r="F20" t="s">
        <v>41</v>
      </c>
      <c r="G20">
        <v>-475.36380000000003</v>
      </c>
      <c r="H20">
        <v>0.95467270000000004</v>
      </c>
      <c r="I20">
        <v>367.13240000000002</v>
      </c>
      <c r="J20">
        <v>-475.9452</v>
      </c>
      <c r="K20">
        <v>1.1084259999999999</v>
      </c>
      <c r="L20">
        <v>367.22550000000001</v>
      </c>
      <c r="M20">
        <v>0.99997740000000002</v>
      </c>
      <c r="N20">
        <v>0</v>
      </c>
      <c r="O20">
        <v>6.2687439999999997E-3</v>
      </c>
      <c r="P20">
        <v>0.99885619999999997</v>
      </c>
      <c r="Q20">
        <v>3.3266270000000001E-2</v>
      </c>
      <c r="R20">
        <v>-3.43532E-2</v>
      </c>
      <c r="S20">
        <v>3.0105590000000002</v>
      </c>
      <c r="T20">
        <v>-0.66705059999999905</v>
      </c>
      <c r="U20">
        <v>-0.39511109999999999</v>
      </c>
      <c r="V20">
        <v>4.0604170000000002E-2</v>
      </c>
      <c r="W20">
        <v>3.080627E-2</v>
      </c>
      <c r="X20">
        <v>0.99870029999999999</v>
      </c>
      <c r="Y20">
        <v>0.13301660000000001</v>
      </c>
      <c r="Z20">
        <v>-1.586653E-2</v>
      </c>
      <c r="AA20">
        <v>0.99098679999999995</v>
      </c>
      <c r="AB20">
        <v>5</v>
      </c>
      <c r="AC20">
        <v>0.58139999999997305</v>
      </c>
      <c r="AD20">
        <v>-0.15375329999999901</v>
      </c>
      <c r="AE20">
        <v>-9.3099999999992605E-2</v>
      </c>
      <c r="AF20">
        <v>9.0567295403907094E-2</v>
      </c>
      <c r="AG20">
        <v>-0.15375329999999901</v>
      </c>
      <c r="AH20">
        <v>0.54372953844864302</v>
      </c>
      <c r="AI20">
        <v>105.58550788888201</v>
      </c>
      <c r="AJ20">
        <v>80.543244546255195</v>
      </c>
      <c r="AK20">
        <v>0.57226246009959703</v>
      </c>
      <c r="AL20">
        <v>88.234651456776007</v>
      </c>
      <c r="AM20">
        <v>87.671807073057806</v>
      </c>
      <c r="AN20">
        <v>1.0000000070563899</v>
      </c>
    </row>
    <row r="21" spans="1:40" x14ac:dyDescent="0.25">
      <c r="A21" t="str">
        <f>"20190312164217223"</f>
        <v>20190312164217223</v>
      </c>
      <c r="B21" t="str">
        <f>"1552380137213692"</f>
        <v>1552380137213692</v>
      </c>
      <c r="C21" t="s">
        <v>40</v>
      </c>
      <c r="D21">
        <v>5.0710610000000003</v>
      </c>
      <c r="E21">
        <v>0.54018389999999905</v>
      </c>
      <c r="F21" t="s">
        <v>41</v>
      </c>
      <c r="G21">
        <v>-475.25779999999997</v>
      </c>
      <c r="H21">
        <v>0.95184639999999998</v>
      </c>
      <c r="I21">
        <v>367.13580000000002</v>
      </c>
      <c r="J21">
        <v>-475.87939999999998</v>
      </c>
      <c r="K21">
        <v>1.1084449999999999</v>
      </c>
      <c r="L21">
        <v>367.22660000000002</v>
      </c>
      <c r="M21">
        <v>0.99997369999999997</v>
      </c>
      <c r="N21">
        <v>0</v>
      </c>
      <c r="O21">
        <v>6.8048240000000001E-3</v>
      </c>
      <c r="P21">
        <v>0.9988977</v>
      </c>
      <c r="Q21">
        <v>3.3408420000000001E-2</v>
      </c>
      <c r="R21">
        <v>-3.2982299999999999E-2</v>
      </c>
      <c r="S21">
        <v>3.0128170000000001</v>
      </c>
      <c r="T21">
        <v>-0.6864595</v>
      </c>
      <c r="U21">
        <v>-0.3919067</v>
      </c>
      <c r="V21">
        <v>3.9769100000000002E-2</v>
      </c>
      <c r="W21">
        <v>3.085678E-2</v>
      </c>
      <c r="X21">
        <v>0.99873230000000002</v>
      </c>
      <c r="Y21">
        <v>0.1322325</v>
      </c>
      <c r="Z21">
        <v>-1.6338490000000001E-2</v>
      </c>
      <c r="AA21">
        <v>0.99108399999999996</v>
      </c>
      <c r="AB21">
        <v>6</v>
      </c>
      <c r="AC21">
        <v>0.62160000000000004</v>
      </c>
      <c r="AD21">
        <v>-0.1565986</v>
      </c>
      <c r="AE21">
        <v>-9.0800000000001505E-2</v>
      </c>
      <c r="AF21">
        <v>8.9468075875903094E-2</v>
      </c>
      <c r="AG21">
        <v>-0.1565986</v>
      </c>
      <c r="AH21">
        <v>0.58463727337461302</v>
      </c>
      <c r="AI21">
        <v>104.830106296846</v>
      </c>
      <c r="AJ21">
        <v>81.299425287200194</v>
      </c>
      <c r="AK21">
        <v>0.61182383047883904</v>
      </c>
      <c r="AL21">
        <v>88.231755995440494</v>
      </c>
      <c r="AM21">
        <v>87.719710864038404</v>
      </c>
      <c r="AN21">
        <v>0.99999996462503304</v>
      </c>
    </row>
    <row r="22" spans="1:40" x14ac:dyDescent="0.25">
      <c r="A22" t="str">
        <f>"20190312164217246"</f>
        <v>20190312164217246</v>
      </c>
      <c r="B22" t="str">
        <f>"1552380137243947"</f>
        <v>1552380137243947</v>
      </c>
      <c r="C22" t="s">
        <v>40</v>
      </c>
      <c r="D22">
        <v>5.9901689999999999</v>
      </c>
      <c r="E22">
        <v>0.5404236</v>
      </c>
      <c r="F22" t="s">
        <v>41</v>
      </c>
      <c r="G22">
        <v>-475.1508</v>
      </c>
      <c r="H22">
        <v>0.94146220000000003</v>
      </c>
      <c r="I22">
        <v>367.13229999999999</v>
      </c>
      <c r="J22">
        <v>-475.81630000000001</v>
      </c>
      <c r="K22">
        <v>1.108954</v>
      </c>
      <c r="L22">
        <v>367.22750000000002</v>
      </c>
      <c r="M22">
        <v>0.99997380000000002</v>
      </c>
      <c r="N22">
        <v>0</v>
      </c>
      <c r="O22">
        <v>7.2087879999999998E-3</v>
      </c>
      <c r="P22">
        <v>0.99900359999999999</v>
      </c>
      <c r="Q22">
        <v>3.1379089999999998E-2</v>
      </c>
      <c r="R22">
        <v>-3.1740589999999999E-2</v>
      </c>
      <c r="S22">
        <v>3.0136409999999998</v>
      </c>
      <c r="T22">
        <v>-0.69102469999999905</v>
      </c>
      <c r="U22">
        <v>-0.3880615</v>
      </c>
      <c r="V22">
        <v>3.8935629999999999E-2</v>
      </c>
      <c r="W22">
        <v>3.078291E-2</v>
      </c>
      <c r="X22">
        <v>0.99876739999999997</v>
      </c>
      <c r="Y22">
        <v>0.1313222</v>
      </c>
      <c r="Z22">
        <v>-1.6429840000000001E-2</v>
      </c>
      <c r="AA22">
        <v>0.99120359999999996</v>
      </c>
      <c r="AB22">
        <v>6</v>
      </c>
      <c r="AC22">
        <v>0.66550000000000797</v>
      </c>
      <c r="AD22">
        <v>-0.1674918</v>
      </c>
      <c r="AE22">
        <v>-9.5200000000033896E-2</v>
      </c>
      <c r="AF22">
        <v>9.4150872346710504E-2</v>
      </c>
      <c r="AG22">
        <v>-0.1674918</v>
      </c>
      <c r="AH22">
        <v>0.62594308780378805</v>
      </c>
      <c r="AI22">
        <v>104.821161669926</v>
      </c>
      <c r="AJ22">
        <v>81.446013258669694</v>
      </c>
      <c r="AK22">
        <v>0.65476914939559205</v>
      </c>
      <c r="AL22">
        <v>88.235990411864293</v>
      </c>
      <c r="AM22">
        <v>87.7675300497596</v>
      </c>
      <c r="AN22">
        <v>0.99999994506716094</v>
      </c>
    </row>
    <row r="23" spans="1:40" x14ac:dyDescent="0.25">
      <c r="A23" t="str">
        <f>"20190312164217269"</f>
        <v>20190312164217269</v>
      </c>
      <c r="B23" t="str">
        <f>"1552380137263468"</f>
        <v>1552380137263468</v>
      </c>
      <c r="C23" t="s">
        <v>40</v>
      </c>
      <c r="D23">
        <v>5.068244</v>
      </c>
      <c r="E23">
        <v>0.54065249999999998</v>
      </c>
      <c r="F23" t="s">
        <v>41</v>
      </c>
      <c r="G23">
        <v>-475.09840000000003</v>
      </c>
      <c r="H23">
        <v>0.94472889999999998</v>
      </c>
      <c r="I23">
        <v>367.1352</v>
      </c>
      <c r="J23">
        <v>-475.75880000000001</v>
      </c>
      <c r="K23">
        <v>1.1094170000000001</v>
      </c>
      <c r="L23">
        <v>367.2285</v>
      </c>
      <c r="M23">
        <v>0.9999709</v>
      </c>
      <c r="N23">
        <v>0</v>
      </c>
      <c r="O23">
        <v>7.473365E-3</v>
      </c>
      <c r="P23">
        <v>0.99911349999999999</v>
      </c>
      <c r="Q23">
        <v>2.876973E-2</v>
      </c>
      <c r="R23">
        <v>-3.073845E-2</v>
      </c>
      <c r="S23">
        <v>3.0123600000000001</v>
      </c>
      <c r="T23">
        <v>-0.68921519999999903</v>
      </c>
      <c r="U23">
        <v>-0.38668819999999998</v>
      </c>
      <c r="V23">
        <v>3.8203300000000003E-2</v>
      </c>
      <c r="W23">
        <v>3.039495E-2</v>
      </c>
      <c r="X23">
        <v>0.99880760000000002</v>
      </c>
      <c r="Y23">
        <v>0.1312046</v>
      </c>
      <c r="Z23">
        <v>-1.644141E-2</v>
      </c>
      <c r="AA23">
        <v>0.99121899999999996</v>
      </c>
      <c r="AB23">
        <v>6</v>
      </c>
      <c r="AC23">
        <v>0.660399999999981</v>
      </c>
      <c r="AD23">
        <v>-0.1646881</v>
      </c>
      <c r="AE23">
        <v>-9.3299999999999203E-2</v>
      </c>
      <c r="AF23">
        <v>9.2587599087135694E-2</v>
      </c>
      <c r="AG23">
        <v>-0.1646881</v>
      </c>
      <c r="AH23">
        <v>0.62177376788479199</v>
      </c>
      <c r="AI23">
        <v>104.680404704716</v>
      </c>
      <c r="AJ23">
        <v>81.530388328307694</v>
      </c>
      <c r="AK23">
        <v>0.64984402145128795</v>
      </c>
      <c r="AL23">
        <v>88.258229357452095</v>
      </c>
      <c r="AM23">
        <v>87.809566770238106</v>
      </c>
      <c r="AN23">
        <v>0.99999998346707597</v>
      </c>
    </row>
    <row r="24" spans="1:40" x14ac:dyDescent="0.25">
      <c r="A24" t="str">
        <f>"20190312164217291"</f>
        <v>20190312164217291</v>
      </c>
      <c r="B24" t="str">
        <f>"1552380137283964"</f>
        <v>1552380137283964</v>
      </c>
      <c r="C24" t="s">
        <v>40</v>
      </c>
      <c r="D24">
        <v>5.1060230000000004</v>
      </c>
      <c r="E24">
        <v>0.54065249999999998</v>
      </c>
      <c r="F24" t="s">
        <v>41</v>
      </c>
      <c r="G24">
        <v>-475.04599999999999</v>
      </c>
      <c r="H24">
        <v>0.94528409999999996</v>
      </c>
      <c r="I24">
        <v>367.13670000000002</v>
      </c>
      <c r="J24">
        <v>-475.69880000000001</v>
      </c>
      <c r="K24">
        <v>1.1094379999999999</v>
      </c>
      <c r="L24">
        <v>367.22930000000002</v>
      </c>
      <c r="M24">
        <v>0.99996770000000001</v>
      </c>
      <c r="N24">
        <v>0</v>
      </c>
      <c r="O24">
        <v>7.6475529999999996E-3</v>
      </c>
      <c r="P24">
        <v>0.9991968</v>
      </c>
      <c r="Q24">
        <v>2.7267590000000001E-2</v>
      </c>
      <c r="R24">
        <v>-2.9367279999999999E-2</v>
      </c>
      <c r="S24">
        <v>3.0107729999999999</v>
      </c>
      <c r="T24">
        <v>-0.69368980000000002</v>
      </c>
      <c r="U24">
        <v>-0.38586429999999999</v>
      </c>
      <c r="V24">
        <v>3.7009680000000003E-2</v>
      </c>
      <c r="W24">
        <v>2.9741500000000001E-2</v>
      </c>
      <c r="X24">
        <v>0.99887219999999999</v>
      </c>
      <c r="Y24">
        <v>0.13112460000000001</v>
      </c>
      <c r="Z24">
        <v>-1.658459E-2</v>
      </c>
      <c r="AA24">
        <v>0.99122710000000003</v>
      </c>
      <c r="AB24">
        <v>6</v>
      </c>
      <c r="AC24">
        <v>0.65280000000001304</v>
      </c>
      <c r="AD24">
        <v>-0.16415389999999899</v>
      </c>
      <c r="AE24">
        <v>-9.2600000000004401E-2</v>
      </c>
      <c r="AF24">
        <v>9.1893560555793799E-2</v>
      </c>
      <c r="AG24">
        <v>-0.16415389999999899</v>
      </c>
      <c r="AH24">
        <v>0.61401284406754997</v>
      </c>
      <c r="AI24">
        <v>104.810173503917</v>
      </c>
      <c r="AJ24">
        <v>81.488250883259298</v>
      </c>
      <c r="AK24">
        <v>0.64218587810442596</v>
      </c>
      <c r="AL24">
        <v>88.295686203480003</v>
      </c>
      <c r="AM24">
        <v>87.878077980737402</v>
      </c>
      <c r="AN24">
        <v>0.99999997258439499</v>
      </c>
    </row>
    <row r="25" spans="1:40" x14ac:dyDescent="0.25">
      <c r="A25" t="str">
        <f>"20190312164217314"</f>
        <v>20190312164217314</v>
      </c>
      <c r="B25" t="str">
        <f>"1552380137303484"</f>
        <v>1552380137303484</v>
      </c>
      <c r="C25" t="s">
        <v>40</v>
      </c>
      <c r="D25">
        <v>5.2006290000000002</v>
      </c>
      <c r="E25">
        <v>0.54073139999999997</v>
      </c>
      <c r="F25" t="s">
        <v>41</v>
      </c>
      <c r="G25">
        <v>-474.98919999999998</v>
      </c>
      <c r="H25">
        <v>0.94597980000000004</v>
      </c>
      <c r="I25">
        <v>367.13900000000001</v>
      </c>
      <c r="J25">
        <v>-475.63279999999997</v>
      </c>
      <c r="K25">
        <v>1.1091439999999999</v>
      </c>
      <c r="L25">
        <v>367.23020000000002</v>
      </c>
      <c r="M25">
        <v>0.99996649999999998</v>
      </c>
      <c r="N25">
        <v>0</v>
      </c>
      <c r="O25">
        <v>7.9292670000000003E-3</v>
      </c>
      <c r="P25">
        <v>0.99923899999999999</v>
      </c>
      <c r="Q25">
        <v>2.6937599999999999E-2</v>
      </c>
      <c r="R25">
        <v>-2.8220459999999999E-2</v>
      </c>
      <c r="S25">
        <v>3.0101010000000001</v>
      </c>
      <c r="T25">
        <v>-0.69356139999999999</v>
      </c>
      <c r="U25">
        <v>-0.38208009999999998</v>
      </c>
      <c r="V25">
        <v>3.6145080000000003E-2</v>
      </c>
      <c r="W25">
        <v>2.9025599999999999E-2</v>
      </c>
      <c r="X25">
        <v>0.99892499999999995</v>
      </c>
      <c r="Y25">
        <v>0.13022049999999999</v>
      </c>
      <c r="Z25">
        <v>-1.6547849999999999E-2</v>
      </c>
      <c r="AA25">
        <v>0.99134699999999998</v>
      </c>
      <c r="AB25">
        <v>6</v>
      </c>
      <c r="AC25">
        <v>0.64359999999999196</v>
      </c>
      <c r="AD25">
        <v>-0.16316420000000001</v>
      </c>
      <c r="AE25">
        <v>-9.1200000000014797E-2</v>
      </c>
      <c r="AF25">
        <v>9.0592525233913798E-2</v>
      </c>
      <c r="AG25">
        <v>-0.16316420000000001</v>
      </c>
      <c r="AH25">
        <v>0.604753379317441</v>
      </c>
      <c r="AI25">
        <v>104.9399218984</v>
      </c>
      <c r="AJ25">
        <v>81.480398257086705</v>
      </c>
      <c r="AK25">
        <v>0.63289510314566499</v>
      </c>
      <c r="AL25">
        <v>88.336722108223597</v>
      </c>
      <c r="AM25">
        <v>87.927714872547995</v>
      </c>
      <c r="AN25">
        <v>1.0000000539442799</v>
      </c>
    </row>
    <row r="26" spans="1:40" x14ac:dyDescent="0.25">
      <c r="A26" t="str">
        <f>"20190312164217337"</f>
        <v>20190312164217337</v>
      </c>
      <c r="B26" t="str">
        <f>"1552380137333739"</f>
        <v>1552380137333739</v>
      </c>
      <c r="C26" t="s">
        <v>40</v>
      </c>
      <c r="D26">
        <v>6.5037770000000004</v>
      </c>
      <c r="E26">
        <v>0.5406145</v>
      </c>
      <c r="F26" t="s">
        <v>41</v>
      </c>
      <c r="G26">
        <v>-474.92930000000001</v>
      </c>
      <c r="H26">
        <v>0.94667800000000002</v>
      </c>
      <c r="I26">
        <v>367.14080000000001</v>
      </c>
      <c r="J26">
        <v>-475.56310000000002</v>
      </c>
      <c r="K26">
        <v>1.108887</v>
      </c>
      <c r="L26">
        <v>367.23110000000003</v>
      </c>
      <c r="M26">
        <v>0.99996430000000003</v>
      </c>
      <c r="N26">
        <v>0</v>
      </c>
      <c r="O26">
        <v>8.3086119999999999E-3</v>
      </c>
      <c r="P26">
        <v>0.99929020000000002</v>
      </c>
      <c r="Q26">
        <v>2.6511549999999998E-2</v>
      </c>
      <c r="R26">
        <v>-2.676108E-2</v>
      </c>
      <c r="S26">
        <v>3.010284</v>
      </c>
      <c r="T26">
        <v>-0.69553009999999904</v>
      </c>
      <c r="U26">
        <v>-0.38061519999999999</v>
      </c>
      <c r="V26">
        <v>3.5064169999999999E-2</v>
      </c>
      <c r="W26">
        <v>2.805324E-2</v>
      </c>
      <c r="X26">
        <v>0.99899130000000003</v>
      </c>
      <c r="Y26">
        <v>0.13008789999999901</v>
      </c>
      <c r="Z26">
        <v>-1.6664269999999998E-2</v>
      </c>
      <c r="AA26">
        <v>0.99136250000000004</v>
      </c>
      <c r="AB26">
        <v>6</v>
      </c>
      <c r="AC26">
        <v>0.63380000000000702</v>
      </c>
      <c r="AD26">
        <v>-0.16220899999999999</v>
      </c>
      <c r="AE26">
        <v>-9.03000000000133E-2</v>
      </c>
      <c r="AF26">
        <v>8.9798076659871898E-2</v>
      </c>
      <c r="AG26">
        <v>-0.16220899999999999</v>
      </c>
      <c r="AH26">
        <v>0.59484058322656697</v>
      </c>
      <c r="AI26">
        <v>105.090246544915</v>
      </c>
      <c r="AJ26">
        <v>81.415359654853305</v>
      </c>
      <c r="AK26">
        <v>0.62306562552120903</v>
      </c>
      <c r="AL26">
        <v>88.392456926037994</v>
      </c>
      <c r="AM26">
        <v>87.989767744217403</v>
      </c>
      <c r="AN26">
        <v>1.00000004888398</v>
      </c>
    </row>
    <row r="27" spans="1:40" x14ac:dyDescent="0.25">
      <c r="A27" t="str">
        <f>"20190312164217359"</f>
        <v>20190312164217359</v>
      </c>
      <c r="B27" t="str">
        <f>"1552380137353766"</f>
        <v>1552380137353766</v>
      </c>
      <c r="C27" t="s">
        <v>40</v>
      </c>
      <c r="D27">
        <v>5.2170969999999999</v>
      </c>
      <c r="E27">
        <v>0.54071749999999996</v>
      </c>
      <c r="F27" t="s">
        <v>41</v>
      </c>
      <c r="G27">
        <v>-474.86759999999998</v>
      </c>
      <c r="H27">
        <v>0.94721409999999995</v>
      </c>
      <c r="I27">
        <v>367.14409999999998</v>
      </c>
      <c r="J27">
        <v>-475.49250000000001</v>
      </c>
      <c r="K27">
        <v>1.1087629999999999</v>
      </c>
      <c r="L27">
        <v>367.2321</v>
      </c>
      <c r="M27">
        <v>0.99996130000000005</v>
      </c>
      <c r="N27">
        <v>0</v>
      </c>
      <c r="O27">
        <v>8.7346149999999994E-3</v>
      </c>
      <c r="P27">
        <v>0.99932529999999997</v>
      </c>
      <c r="Q27">
        <v>2.6624200000000001E-2</v>
      </c>
      <c r="R27">
        <v>-2.530601E-2</v>
      </c>
      <c r="S27">
        <v>3.0106199999999999</v>
      </c>
      <c r="T27">
        <v>-0.70006699999999999</v>
      </c>
      <c r="U27">
        <v>-0.37533569999999999</v>
      </c>
      <c r="V27">
        <v>3.4032430000000002E-2</v>
      </c>
      <c r="W27">
        <v>2.7807289999999998E-2</v>
      </c>
      <c r="X27">
        <v>0.99903379999999997</v>
      </c>
      <c r="Y27">
        <v>0.12876170000000001</v>
      </c>
      <c r="Z27">
        <v>-1.671595E-2</v>
      </c>
      <c r="AA27">
        <v>0.99153469999999999</v>
      </c>
      <c r="AB27">
        <v>7</v>
      </c>
      <c r="AC27">
        <v>0.62490000000002499</v>
      </c>
      <c r="AD27">
        <v>-0.1615489</v>
      </c>
      <c r="AE27">
        <v>-8.8000000000022199E-2</v>
      </c>
      <c r="AF27">
        <v>8.7707207605295004E-2</v>
      </c>
      <c r="AG27">
        <v>-0.1615489</v>
      </c>
      <c r="AH27">
        <v>0.58572341656765403</v>
      </c>
      <c r="AI27">
        <v>105.25738390571</v>
      </c>
      <c r="AJ27">
        <v>81.483709974679499</v>
      </c>
      <c r="AK27">
        <v>0.61389129499677197</v>
      </c>
      <c r="AL27">
        <v>88.4065542324159</v>
      </c>
      <c r="AM27">
        <v>88.048954027020699</v>
      </c>
      <c r="AN27">
        <v>0.99999999260564398</v>
      </c>
    </row>
    <row r="28" spans="1:40" x14ac:dyDescent="0.25">
      <c r="A28" t="str">
        <f>"20190312164217382"</f>
        <v>20190312164217382</v>
      </c>
      <c r="B28" t="str">
        <f>"1552380137374261"</f>
        <v>1552380137374261</v>
      </c>
      <c r="C28" t="s">
        <v>40</v>
      </c>
      <c r="D28">
        <v>5.148244</v>
      </c>
      <c r="E28">
        <v>0.54086299999999998</v>
      </c>
      <c r="F28" t="s">
        <v>41</v>
      </c>
      <c r="G28">
        <v>-474.80349999999999</v>
      </c>
      <c r="H28">
        <v>0.94931410000000005</v>
      </c>
      <c r="I28">
        <v>367.14670000000001</v>
      </c>
      <c r="J28">
        <v>-475.42039999999997</v>
      </c>
      <c r="K28">
        <v>1.108698</v>
      </c>
      <c r="L28">
        <v>367.23309999999998</v>
      </c>
      <c r="M28">
        <v>0.99995750000000005</v>
      </c>
      <c r="N28">
        <v>0</v>
      </c>
      <c r="O28">
        <v>9.1903100000000001E-3</v>
      </c>
      <c r="P28">
        <v>0.99933530000000004</v>
      </c>
      <c r="Q28">
        <v>2.750259E-2</v>
      </c>
      <c r="R28">
        <v>-2.393112E-2</v>
      </c>
      <c r="S28">
        <v>3.0112299999999999</v>
      </c>
      <c r="T28">
        <v>-0.69723369999999996</v>
      </c>
      <c r="U28">
        <v>-0.37191770000000002</v>
      </c>
      <c r="V28">
        <v>3.3110149999999998E-2</v>
      </c>
      <c r="W28">
        <v>2.837069E-2</v>
      </c>
      <c r="X28">
        <v>0.99904890000000002</v>
      </c>
      <c r="Y28">
        <v>0.128114899999999</v>
      </c>
      <c r="Z28">
        <v>-1.6678020000000002E-2</v>
      </c>
      <c r="AA28">
        <v>0.99161909999999998</v>
      </c>
      <c r="AB28">
        <v>7</v>
      </c>
      <c r="AC28">
        <v>0.61689999999998602</v>
      </c>
      <c r="AD28">
        <v>-0.1593839</v>
      </c>
      <c r="AE28">
        <v>-8.6399999999969099E-2</v>
      </c>
      <c r="AF28">
        <v>8.6408915709190501E-2</v>
      </c>
      <c r="AG28">
        <v>-0.1593839</v>
      </c>
      <c r="AH28">
        <v>0.578225190564992</v>
      </c>
      <c r="AI28">
        <v>105.249190222942</v>
      </c>
      <c r="AJ28">
        <v>81.500718987446007</v>
      </c>
      <c r="AK28">
        <v>0.60598192984376098</v>
      </c>
      <c r="AL28">
        <v>88.374260964164506</v>
      </c>
      <c r="AM28">
        <v>88.101816889122901</v>
      </c>
      <c r="AN28">
        <v>0.99999994133765202</v>
      </c>
    </row>
    <row r="29" spans="1:40" x14ac:dyDescent="0.25">
      <c r="A29" t="str">
        <f>"20190312164217401"</f>
        <v>20190312164217401</v>
      </c>
      <c r="B29" t="str">
        <f>"1552380137393783"</f>
        <v>1552380137393783</v>
      </c>
      <c r="C29" t="s">
        <v>40</v>
      </c>
      <c r="D29">
        <v>5.1505780000000003</v>
      </c>
      <c r="E29">
        <v>0.54100099999999995</v>
      </c>
      <c r="F29" t="s">
        <v>41</v>
      </c>
      <c r="G29">
        <v>-474.67619999999999</v>
      </c>
      <c r="H29">
        <v>0.93691550000000001</v>
      </c>
      <c r="I29">
        <v>367.14139999999998</v>
      </c>
      <c r="J29">
        <v>-475.35120000000001</v>
      </c>
      <c r="K29">
        <v>1.1086320000000001</v>
      </c>
      <c r="L29">
        <v>367.23419999999999</v>
      </c>
      <c r="M29">
        <v>0.9999536</v>
      </c>
      <c r="N29">
        <v>0</v>
      </c>
      <c r="O29">
        <v>9.6352569999999995E-3</v>
      </c>
      <c r="P29">
        <v>0.99933609999999995</v>
      </c>
      <c r="Q29">
        <v>2.8652650000000002E-2</v>
      </c>
      <c r="R29">
        <v>-2.2510809999999999E-2</v>
      </c>
      <c r="S29">
        <v>3.0122990000000001</v>
      </c>
      <c r="T29">
        <v>-0.69563450000000004</v>
      </c>
      <c r="U29">
        <v>-0.36947629999999998</v>
      </c>
      <c r="V29">
        <v>3.2131600000000003E-2</v>
      </c>
      <c r="W29">
        <v>2.9121399999999999E-2</v>
      </c>
      <c r="X29">
        <v>0.99905929999999998</v>
      </c>
      <c r="Y29">
        <v>0.12773799999999999</v>
      </c>
      <c r="Z29">
        <v>-1.6694090000000002E-2</v>
      </c>
      <c r="AA29">
        <v>0.99166739999999998</v>
      </c>
      <c r="AB29">
        <v>7</v>
      </c>
      <c r="AC29">
        <v>0.67500000000001104</v>
      </c>
      <c r="AD29">
        <v>-0.17171649999999999</v>
      </c>
      <c r="AE29">
        <v>-9.2800000000011096E-2</v>
      </c>
      <c r="AF29">
        <v>9.3369044380874205E-2</v>
      </c>
      <c r="AG29">
        <v>-0.17171649999999999</v>
      </c>
      <c r="AH29">
        <v>0.63381687977937595</v>
      </c>
      <c r="AI29">
        <v>105.004416275086</v>
      </c>
      <c r="AJ29">
        <v>81.619896745684599</v>
      </c>
      <c r="AK29">
        <v>0.66327081340438299</v>
      </c>
      <c r="AL29">
        <v>88.331230745296807</v>
      </c>
      <c r="AM29">
        <v>88.157896439789994</v>
      </c>
      <c r="AN29">
        <v>0.99999999028650499</v>
      </c>
    </row>
    <row r="30" spans="1:40" x14ac:dyDescent="0.25">
      <c r="A30" t="str">
        <f>"20190312164217424"</f>
        <v>20190312164217424</v>
      </c>
      <c r="B30" t="str">
        <f>"1552380137414278"</f>
        <v>1552380137414278</v>
      </c>
      <c r="C30" t="s">
        <v>40</v>
      </c>
      <c r="D30">
        <v>5.3178280000000004</v>
      </c>
      <c r="E30">
        <v>0.54102569999999905</v>
      </c>
      <c r="F30" t="s">
        <v>41</v>
      </c>
      <c r="G30">
        <v>-474.60640000000001</v>
      </c>
      <c r="H30">
        <v>0.9361022</v>
      </c>
      <c r="I30">
        <v>367.14370000000002</v>
      </c>
      <c r="J30">
        <v>-475.27350000000001</v>
      </c>
      <c r="K30">
        <v>1.10854599999999</v>
      </c>
      <c r="L30">
        <v>367.23540000000003</v>
      </c>
      <c r="M30">
        <v>0.99994859999999997</v>
      </c>
      <c r="N30">
        <v>0</v>
      </c>
      <c r="O30">
        <v>1.0144500000000001E-2</v>
      </c>
      <c r="P30">
        <v>0.99932650000000001</v>
      </c>
      <c r="Q30">
        <v>2.9579290000000001E-2</v>
      </c>
      <c r="R30">
        <v>-2.171725E-2</v>
      </c>
      <c r="S30">
        <v>3.013763</v>
      </c>
      <c r="T30">
        <v>-0.69818059999999904</v>
      </c>
      <c r="U30">
        <v>-0.3660583</v>
      </c>
      <c r="V30">
        <v>3.1844259999999999E-2</v>
      </c>
      <c r="W30">
        <v>2.9532260000000001E-2</v>
      </c>
      <c r="X30">
        <v>0.99905650000000001</v>
      </c>
      <c r="Y30">
        <v>0.1270578</v>
      </c>
      <c r="Z30">
        <v>-1.6785419999999999E-2</v>
      </c>
      <c r="AA30">
        <v>0.99175329999999995</v>
      </c>
      <c r="AB30">
        <v>8</v>
      </c>
      <c r="AC30">
        <v>0.66710000000000402</v>
      </c>
      <c r="AD30">
        <v>-0.17244379999999901</v>
      </c>
      <c r="AE30">
        <v>-9.1700000000003001E-2</v>
      </c>
      <c r="AF30">
        <v>9.2402734569250203E-2</v>
      </c>
      <c r="AG30">
        <v>-0.17244379999999901</v>
      </c>
      <c r="AH30">
        <v>0.62513773268029105</v>
      </c>
      <c r="AI30">
        <v>105.263495912035</v>
      </c>
      <c r="AJ30">
        <v>81.591889251270501</v>
      </c>
      <c r="AK30">
        <v>0.65503611681721097</v>
      </c>
      <c r="AL30">
        <v>88.307680173547496</v>
      </c>
      <c r="AM30">
        <v>88.174353321370603</v>
      </c>
      <c r="AN30">
        <v>1.0000000507339499</v>
      </c>
    </row>
    <row r="31" spans="1:40" x14ac:dyDescent="0.25">
      <c r="A31" t="str">
        <f>"20190312164217446"</f>
        <v>20190312164217446</v>
      </c>
      <c r="B31" t="str">
        <f>"1552380137443558"</f>
        <v>1552380137443558</v>
      </c>
      <c r="C31" t="s">
        <v>40</v>
      </c>
      <c r="D31">
        <v>5.1583600000000001</v>
      </c>
      <c r="E31">
        <v>0.54103230000000002</v>
      </c>
      <c r="F31" t="s">
        <v>41</v>
      </c>
      <c r="G31">
        <v>-474.5333</v>
      </c>
      <c r="H31">
        <v>0.93764110000000001</v>
      </c>
      <c r="I31">
        <v>367.14589999999998</v>
      </c>
      <c r="J31">
        <v>-475.1925</v>
      </c>
      <c r="K31">
        <v>1.1085119999999999</v>
      </c>
      <c r="L31">
        <v>367.23680000000002</v>
      </c>
      <c r="M31">
        <v>0.99994300000000003</v>
      </c>
      <c r="N31">
        <v>0</v>
      </c>
      <c r="O31">
        <v>1.066662E-2</v>
      </c>
      <c r="P31">
        <v>0.99931210000000004</v>
      </c>
      <c r="Q31">
        <v>3.038329E-2</v>
      </c>
      <c r="R31">
        <v>-2.1268499999999999E-2</v>
      </c>
      <c r="S31">
        <v>3.0148009999999998</v>
      </c>
      <c r="T31">
        <v>-0.69620669999999996</v>
      </c>
      <c r="U31">
        <v>-0.36343379999999997</v>
      </c>
      <c r="V31">
        <v>3.1914999999999999E-2</v>
      </c>
      <c r="W31">
        <v>2.9950259999999999E-2</v>
      </c>
      <c r="X31">
        <v>0.99904170000000003</v>
      </c>
      <c r="Y31">
        <v>0.12670129999999999</v>
      </c>
      <c r="Z31">
        <v>-1.6812580000000001E-2</v>
      </c>
      <c r="AA31">
        <v>0.99179850000000003</v>
      </c>
      <c r="AB31">
        <v>8</v>
      </c>
      <c r="AC31">
        <v>0.65919999999999801</v>
      </c>
      <c r="AD31">
        <v>-0.17087089999999999</v>
      </c>
      <c r="AE31">
        <v>-9.0900000000033204E-2</v>
      </c>
      <c r="AF31">
        <v>9.1868820960762404E-2</v>
      </c>
      <c r="AG31">
        <v>-0.17087089999999999</v>
      </c>
      <c r="AH31">
        <v>0.61747893337607196</v>
      </c>
      <c r="AI31">
        <v>105.30754829945</v>
      </c>
      <c r="AJ31">
        <v>81.537581574347897</v>
      </c>
      <c r="AK31">
        <v>0.64723796079554996</v>
      </c>
      <c r="AL31">
        <v>88.283719769667997</v>
      </c>
      <c r="AM31">
        <v>88.170273429804496</v>
      </c>
      <c r="AN31">
        <v>0.99999995181897705</v>
      </c>
    </row>
    <row r="32" spans="1:40" x14ac:dyDescent="0.25">
      <c r="A32" t="str">
        <f>"20190312164217468"</f>
        <v>20190312164217468</v>
      </c>
      <c r="B32" t="str">
        <f>"1552380137464054"</f>
        <v>1552380137464054</v>
      </c>
      <c r="C32" t="s">
        <v>40</v>
      </c>
      <c r="D32">
        <v>5.232513</v>
      </c>
      <c r="E32">
        <v>0.5410798</v>
      </c>
      <c r="F32" t="s">
        <v>41</v>
      </c>
      <c r="G32">
        <v>-474.45839999999998</v>
      </c>
      <c r="H32">
        <v>0.93975339999999996</v>
      </c>
      <c r="I32">
        <v>367.14850000000001</v>
      </c>
      <c r="J32">
        <v>-475.10719999999998</v>
      </c>
      <c r="K32">
        <v>1.1085769999999999</v>
      </c>
      <c r="L32">
        <v>367.23829999999998</v>
      </c>
      <c r="M32">
        <v>0.99993759999999998</v>
      </c>
      <c r="N32">
        <v>0</v>
      </c>
      <c r="O32">
        <v>1.117164E-2</v>
      </c>
      <c r="P32">
        <v>0.99930839999999999</v>
      </c>
      <c r="Q32">
        <v>3.0516979999999999E-2</v>
      </c>
      <c r="R32">
        <v>-2.1241969999999999E-2</v>
      </c>
      <c r="S32">
        <v>3.0154719999999999</v>
      </c>
      <c r="T32">
        <v>-0.69326529999999997</v>
      </c>
      <c r="U32">
        <v>-0.36218260000000002</v>
      </c>
      <c r="V32">
        <v>3.2392419999999998E-2</v>
      </c>
      <c r="W32">
        <v>3.009038E-2</v>
      </c>
      <c r="X32">
        <v>0.99902219999999997</v>
      </c>
      <c r="Y32">
        <v>0.12678589999999901</v>
      </c>
      <c r="Z32">
        <v>-1.6863949999999999E-2</v>
      </c>
      <c r="AA32">
        <v>0.99178670000000002</v>
      </c>
      <c r="AB32">
        <v>8</v>
      </c>
      <c r="AC32">
        <v>0.64879999999999405</v>
      </c>
      <c r="AD32">
        <v>-0.16882359999999999</v>
      </c>
      <c r="AE32">
        <v>-8.9799999999968294E-2</v>
      </c>
      <c r="AF32">
        <v>9.09970744484664E-2</v>
      </c>
      <c r="AG32">
        <v>-0.16882359999999999</v>
      </c>
      <c r="AH32">
        <v>0.60740288096816997</v>
      </c>
      <c r="AI32">
        <v>105.36963616215</v>
      </c>
      <c r="AJ32">
        <v>81.479692311294599</v>
      </c>
      <c r="AK32">
        <v>0.63696164349478102</v>
      </c>
      <c r="AL32">
        <v>88.275687995921203</v>
      </c>
      <c r="AM32">
        <v>88.1428851500484</v>
      </c>
      <c r="AN32">
        <v>1.0000000279674199</v>
      </c>
    </row>
    <row r="33" spans="1:40" x14ac:dyDescent="0.25">
      <c r="A33" t="str">
        <f>"20190312164217490"</f>
        <v>20190312164217490</v>
      </c>
      <c r="B33" t="str">
        <f>"1552380137483574"</f>
        <v>1552380137483574</v>
      </c>
      <c r="C33" t="s">
        <v>40</v>
      </c>
      <c r="D33">
        <v>5.4164110000000001</v>
      </c>
      <c r="E33">
        <v>0.54117190000000004</v>
      </c>
      <c r="F33" t="s">
        <v>41</v>
      </c>
      <c r="G33">
        <v>-474.38249999999999</v>
      </c>
      <c r="H33">
        <v>0.94273750000000001</v>
      </c>
      <c r="I33">
        <v>367.1506</v>
      </c>
      <c r="J33">
        <v>-475.02769999999998</v>
      </c>
      <c r="K33">
        <v>1.1087229999999999</v>
      </c>
      <c r="L33">
        <v>367.2398</v>
      </c>
      <c r="M33">
        <v>0.99993290000000001</v>
      </c>
      <c r="N33">
        <v>0</v>
      </c>
      <c r="O33">
        <v>1.159468E-2</v>
      </c>
      <c r="P33">
        <v>0.99930960000000002</v>
      </c>
      <c r="Q33">
        <v>3.0558689999999999E-2</v>
      </c>
      <c r="R33">
        <v>-2.1135979999999999E-2</v>
      </c>
      <c r="S33">
        <v>3.0153810000000001</v>
      </c>
      <c r="T33">
        <v>-0.69031049999999905</v>
      </c>
      <c r="U33">
        <v>-0.36322019999999999</v>
      </c>
      <c r="V33">
        <v>3.270936E-2</v>
      </c>
      <c r="W33">
        <v>3.0591779999999999E-2</v>
      </c>
      <c r="X33">
        <v>0.99899660000000001</v>
      </c>
      <c r="Y33">
        <v>0.12754489999999999</v>
      </c>
      <c r="Z33">
        <v>-1.697481E-2</v>
      </c>
      <c r="AA33">
        <v>0.99168750000000006</v>
      </c>
      <c r="AB33">
        <v>8</v>
      </c>
      <c r="AC33">
        <v>0.64519999999998801</v>
      </c>
      <c r="AD33">
        <v>-0.16598549999999901</v>
      </c>
      <c r="AE33">
        <v>-8.9200000000005206E-2</v>
      </c>
      <c r="AF33">
        <v>9.0779446206796899E-2</v>
      </c>
      <c r="AG33">
        <v>-0.16598549999999901</v>
      </c>
      <c r="AH33">
        <v>0.604842404959825</v>
      </c>
      <c r="AI33">
        <v>105.183673088099</v>
      </c>
      <c r="AJ33">
        <v>81.464316406187507</v>
      </c>
      <c r="AK33">
        <v>0.63374003258548195</v>
      </c>
      <c r="AL33">
        <v>88.246946581349803</v>
      </c>
      <c r="AM33">
        <v>88.124679308376898</v>
      </c>
      <c r="AN33">
        <v>0.99999998302336801</v>
      </c>
    </row>
    <row r="34" spans="1:40" x14ac:dyDescent="0.25">
      <c r="A34" t="str">
        <f>"20190312164217512"</f>
        <v>20190312164217512</v>
      </c>
      <c r="B34" t="str">
        <f>"1552380137504070"</f>
        <v>1552380137504070</v>
      </c>
      <c r="C34" t="s">
        <v>40</v>
      </c>
      <c r="D34">
        <v>5.0849099999999998</v>
      </c>
      <c r="E34">
        <v>0.5413114</v>
      </c>
      <c r="F34" t="s">
        <v>41</v>
      </c>
      <c r="G34">
        <v>-474.30709999999999</v>
      </c>
      <c r="H34">
        <v>0.94430780000000003</v>
      </c>
      <c r="I34">
        <v>367.15260000000001</v>
      </c>
      <c r="J34">
        <v>-474.94459999999998</v>
      </c>
      <c r="K34">
        <v>1.1089869999999999</v>
      </c>
      <c r="L34">
        <v>367.2414</v>
      </c>
      <c r="M34">
        <v>0.99992729999999996</v>
      </c>
      <c r="N34">
        <v>0</v>
      </c>
      <c r="O34">
        <v>1.2018239999999999E-2</v>
      </c>
      <c r="P34">
        <v>0.99931570000000003</v>
      </c>
      <c r="Q34">
        <v>3.003631E-2</v>
      </c>
      <c r="R34">
        <v>-2.159208E-2</v>
      </c>
      <c r="S34">
        <v>3.0154719999999999</v>
      </c>
      <c r="T34">
        <v>-0.68818159999999995</v>
      </c>
      <c r="U34">
        <v>-0.36343379999999997</v>
      </c>
      <c r="V34">
        <v>3.3590630000000003E-2</v>
      </c>
      <c r="W34">
        <v>3.1099379999999999E-2</v>
      </c>
      <c r="X34">
        <v>0.9989517</v>
      </c>
      <c r="Y34">
        <v>0.12802919999999901</v>
      </c>
      <c r="Z34">
        <v>-1.7072710000000001E-2</v>
      </c>
      <c r="AA34">
        <v>0.99162349999999999</v>
      </c>
      <c r="AB34">
        <v>8</v>
      </c>
      <c r="AC34">
        <v>0.63749999999998797</v>
      </c>
      <c r="AD34">
        <v>-0.1646792</v>
      </c>
      <c r="AE34">
        <v>-8.8799999999991996E-2</v>
      </c>
      <c r="AF34">
        <v>9.0529238885367597E-2</v>
      </c>
      <c r="AG34">
        <v>-0.1646792</v>
      </c>
      <c r="AH34">
        <v>0.597288648939301</v>
      </c>
      <c r="AI34">
        <v>105.24821884223699</v>
      </c>
      <c r="AJ34">
        <v>81.381448722190498</v>
      </c>
      <c r="AK34">
        <v>0.62615374482433594</v>
      </c>
      <c r="AL34">
        <v>88.217849428283699</v>
      </c>
      <c r="AM34">
        <v>88.074104644113504</v>
      </c>
      <c r="AN34">
        <v>1.0000000003965299</v>
      </c>
    </row>
    <row r="35" spans="1:40" x14ac:dyDescent="0.25">
      <c r="A35" t="str">
        <f>"20190312164217537"</f>
        <v>20190312164217537</v>
      </c>
      <c r="B35" t="str">
        <f>"1552380137534326"</f>
        <v>1552380137534326</v>
      </c>
      <c r="C35" t="s">
        <v>40</v>
      </c>
      <c r="D35">
        <v>5.1701249999999996</v>
      </c>
      <c r="E35">
        <v>0.54133679999999995</v>
      </c>
      <c r="F35" t="s">
        <v>41</v>
      </c>
      <c r="G35">
        <v>-474.23259999999999</v>
      </c>
      <c r="H35">
        <v>0.94629660000000004</v>
      </c>
      <c r="I35">
        <v>367.15480000000002</v>
      </c>
      <c r="J35">
        <v>-474.85669999999999</v>
      </c>
      <c r="K35">
        <v>1.1092740000000001</v>
      </c>
      <c r="L35">
        <v>367.24310000000003</v>
      </c>
      <c r="M35">
        <v>0.99991920000000001</v>
      </c>
      <c r="N35">
        <v>0</v>
      </c>
      <c r="O35">
        <v>1.248868E-2</v>
      </c>
      <c r="P35">
        <v>0.99930030000000003</v>
      </c>
      <c r="Q35">
        <v>3.0188949999999999E-2</v>
      </c>
      <c r="R35">
        <v>-2.2084329999999999E-2</v>
      </c>
      <c r="S35">
        <v>3.0148619999999999</v>
      </c>
      <c r="T35">
        <v>-0.68906829999999997</v>
      </c>
      <c r="U35">
        <v>-0.3651123</v>
      </c>
      <c r="V35">
        <v>3.4554830000000002E-2</v>
      </c>
      <c r="W35">
        <v>3.2579200000000003E-2</v>
      </c>
      <c r="X35">
        <v>0.99887159999999997</v>
      </c>
      <c r="Y35">
        <v>0.1290163</v>
      </c>
      <c r="Z35">
        <v>-1.7313749999999999E-2</v>
      </c>
      <c r="AA35">
        <v>0.99149129999999996</v>
      </c>
      <c r="AB35">
        <v>8</v>
      </c>
      <c r="AC35">
        <v>0.62409999999999799</v>
      </c>
      <c r="AD35">
        <v>-0.162977399999999</v>
      </c>
      <c r="AE35">
        <v>-8.8300000000003806E-2</v>
      </c>
      <c r="AF35">
        <v>9.0065898311325707E-2</v>
      </c>
      <c r="AG35">
        <v>-0.162977399999999</v>
      </c>
      <c r="AH35">
        <v>0.583910785360652</v>
      </c>
      <c r="AI35">
        <v>105.42158875117801</v>
      </c>
      <c r="AJ35">
        <v>81.231459734903794</v>
      </c>
      <c r="AK35">
        <v>0.612882781786109</v>
      </c>
      <c r="AL35">
        <v>88.133018889974693</v>
      </c>
      <c r="AM35">
        <v>88.0187076062535</v>
      </c>
      <c r="AN35">
        <v>0.999999956917763</v>
      </c>
    </row>
    <row r="36" spans="1:40" x14ac:dyDescent="0.25">
      <c r="A36" t="str">
        <f>"20190312164217559"</f>
        <v>20190312164217559</v>
      </c>
      <c r="B36" t="str">
        <f>"1552380137553846"</f>
        <v>1552380137553846</v>
      </c>
      <c r="C36" t="s">
        <v>40</v>
      </c>
      <c r="D36">
        <v>5.3130069999999998</v>
      </c>
      <c r="E36">
        <v>0.54122150000000002</v>
      </c>
      <c r="F36" t="s">
        <v>41</v>
      </c>
      <c r="G36">
        <v>-474.1574</v>
      </c>
      <c r="H36">
        <v>0.94975699999999996</v>
      </c>
      <c r="I36">
        <v>367.15769999999998</v>
      </c>
      <c r="J36">
        <v>-474.77229999999997</v>
      </c>
      <c r="K36">
        <v>1.109416</v>
      </c>
      <c r="L36">
        <v>367.24470000000002</v>
      </c>
      <c r="M36">
        <v>0.99991050000000004</v>
      </c>
      <c r="N36">
        <v>0</v>
      </c>
      <c r="O36">
        <v>1.2984600000000001E-2</v>
      </c>
      <c r="P36">
        <v>0.99928280000000003</v>
      </c>
      <c r="Q36">
        <v>3.1107940000000001E-2</v>
      </c>
      <c r="R36">
        <v>-2.1599710000000001E-2</v>
      </c>
      <c r="S36">
        <v>3.0147400000000002</v>
      </c>
      <c r="T36">
        <v>-0.6879265</v>
      </c>
      <c r="U36">
        <v>-0.36761470000000002</v>
      </c>
      <c r="V36">
        <v>3.4566689999999997E-2</v>
      </c>
      <c r="W36">
        <v>3.4394929999999997E-2</v>
      </c>
      <c r="X36">
        <v>0.99881039999999999</v>
      </c>
      <c r="Y36">
        <v>0.13029060000000001</v>
      </c>
      <c r="Z36">
        <v>-1.7540030000000002E-2</v>
      </c>
      <c r="AA36">
        <v>0.99132070000000005</v>
      </c>
      <c r="AB36">
        <v>8</v>
      </c>
      <c r="AC36">
        <v>0.61489999999997702</v>
      </c>
      <c r="AD36">
        <v>-0.159659</v>
      </c>
      <c r="AE36">
        <v>-8.7000000000045902E-2</v>
      </c>
      <c r="AF36">
        <v>8.9088609529977006E-2</v>
      </c>
      <c r="AG36">
        <v>-0.159659</v>
      </c>
      <c r="AH36">
        <v>0.57566951293755897</v>
      </c>
      <c r="AI36">
        <v>105.32735285466801</v>
      </c>
      <c r="AJ36">
        <v>81.202890691235794</v>
      </c>
      <c r="AK36">
        <v>0.60400593105925005</v>
      </c>
      <c r="AL36">
        <v>88.028926991670204</v>
      </c>
      <c r="AM36">
        <v>88.017906779820805</v>
      </c>
      <c r="AN36">
        <v>1.0000000412076999</v>
      </c>
    </row>
    <row r="37" spans="1:40" x14ac:dyDescent="0.25">
      <c r="A37" t="str">
        <f>"20190312164217604"</f>
        <v>20190312164217604</v>
      </c>
      <c r="B37" t="str">
        <f>"1552380137593863"</f>
        <v>1552380137593863</v>
      </c>
      <c r="C37" t="s">
        <v>40</v>
      </c>
      <c r="D37">
        <v>5.732748</v>
      </c>
      <c r="E37">
        <v>0.54134169999999904</v>
      </c>
      <c r="F37" t="s">
        <v>41</v>
      </c>
      <c r="G37">
        <v>-474.08190000000002</v>
      </c>
      <c r="H37">
        <v>0.95203959999999999</v>
      </c>
      <c r="I37">
        <v>367.16070000000002</v>
      </c>
      <c r="J37">
        <v>-474.60680000000002</v>
      </c>
      <c r="K37">
        <v>1.1095520000000001</v>
      </c>
      <c r="L37">
        <v>367.24799999999999</v>
      </c>
      <c r="M37">
        <v>0.99989220000000001</v>
      </c>
      <c r="N37">
        <v>0</v>
      </c>
      <c r="O37">
        <v>1.3979180000000001E-2</v>
      </c>
      <c r="P37">
        <v>0.99926079999999995</v>
      </c>
      <c r="Q37">
        <v>3.242395E-2</v>
      </c>
      <c r="R37">
        <v>-2.0655320000000001E-2</v>
      </c>
      <c r="S37">
        <v>3.015625</v>
      </c>
      <c r="T37">
        <v>-0.68759079999999995</v>
      </c>
      <c r="U37">
        <v>-0.36520390000000003</v>
      </c>
      <c r="V37">
        <v>3.4614069999999997E-2</v>
      </c>
      <c r="W37">
        <v>3.693486E-2</v>
      </c>
      <c r="X37">
        <v>0.99871799999999999</v>
      </c>
      <c r="Y37">
        <v>0.13043660000000001</v>
      </c>
      <c r="Z37">
        <v>-1.7767100000000001E-2</v>
      </c>
      <c r="AA37">
        <v>0.9912974</v>
      </c>
      <c r="AB37">
        <v>8</v>
      </c>
      <c r="AC37">
        <v>0.52490000000000203</v>
      </c>
      <c r="AD37">
        <v>-0.1575124</v>
      </c>
      <c r="AE37">
        <v>-8.7300000000027397E-2</v>
      </c>
      <c r="AF37">
        <v>8.7005397847095906E-2</v>
      </c>
      <c r="AG37">
        <v>-0.1575124</v>
      </c>
      <c r="AH37">
        <v>0.48144211920216101</v>
      </c>
      <c r="AI37">
        <v>107.84610712682</v>
      </c>
      <c r="AJ37">
        <v>79.756167712019604</v>
      </c>
      <c r="AK37">
        <v>0.51397140927308305</v>
      </c>
      <c r="AL37">
        <v>87.883306918161097</v>
      </c>
      <c r="AM37">
        <v>88.015008643603196</v>
      </c>
      <c r="AN37">
        <v>0.99999998062459206</v>
      </c>
    </row>
    <row r="38" spans="1:40" x14ac:dyDescent="0.25">
      <c r="A38" t="str">
        <f>"20190312164217625"</f>
        <v>20190312164217625</v>
      </c>
      <c r="B38" t="str">
        <f>"1552380137614358"</f>
        <v>1552380137614358</v>
      </c>
      <c r="C38" t="s">
        <v>40</v>
      </c>
      <c r="D38">
        <v>5.2029880000000004</v>
      </c>
      <c r="E38">
        <v>0.54137919999999995</v>
      </c>
      <c r="F38" t="s">
        <v>41</v>
      </c>
      <c r="G38">
        <v>-473.86059999999998</v>
      </c>
      <c r="H38">
        <v>0.94100269999999997</v>
      </c>
      <c r="I38">
        <v>367.15780000000001</v>
      </c>
      <c r="J38">
        <v>-474.52809999999999</v>
      </c>
      <c r="K38">
        <v>1.109645</v>
      </c>
      <c r="L38">
        <v>367.24959999999999</v>
      </c>
      <c r="M38">
        <v>0.99988239999999995</v>
      </c>
      <c r="N38">
        <v>0</v>
      </c>
      <c r="O38">
        <v>1.4432749999999999E-2</v>
      </c>
      <c r="P38">
        <v>0.99926809999999999</v>
      </c>
      <c r="Q38">
        <v>3.2512659999999999E-2</v>
      </c>
      <c r="R38">
        <v>-2.0159E-2</v>
      </c>
      <c r="S38">
        <v>3.0168149999999998</v>
      </c>
      <c r="T38">
        <v>-0.68160149999999997</v>
      </c>
      <c r="U38">
        <v>-0.36349490000000001</v>
      </c>
      <c r="V38">
        <v>3.4570030000000002E-2</v>
      </c>
      <c r="W38">
        <v>3.7711559999999998E-2</v>
      </c>
      <c r="X38">
        <v>0.99869050000000004</v>
      </c>
      <c r="Y38">
        <v>0.13034219999999999</v>
      </c>
      <c r="Z38">
        <v>-1.7700359999999998E-2</v>
      </c>
      <c r="AA38">
        <v>0.9913111</v>
      </c>
      <c r="AB38">
        <v>8</v>
      </c>
      <c r="AC38">
        <v>0.66750000000001797</v>
      </c>
      <c r="AD38">
        <v>-0.16864229999999999</v>
      </c>
      <c r="AE38">
        <v>-9.1799999999977899E-2</v>
      </c>
      <c r="AF38">
        <v>9.5445174891002002E-2</v>
      </c>
      <c r="AG38">
        <v>-0.16864229999999999</v>
      </c>
      <c r="AH38">
        <v>0.626836747461327</v>
      </c>
      <c r="AI38">
        <v>104.894224111659</v>
      </c>
      <c r="AJ38">
        <v>81.3423684379554</v>
      </c>
      <c r="AK38">
        <v>0.65610541434068304</v>
      </c>
      <c r="AL38">
        <v>87.838774258383594</v>
      </c>
      <c r="AM38">
        <v>88.017477615550405</v>
      </c>
      <c r="AN38">
        <v>0.99999998176104199</v>
      </c>
    </row>
    <row r="39" spans="1:40" x14ac:dyDescent="0.25">
      <c r="A39" t="str">
        <f>"20190312164217647"</f>
        <v>20190312164217647</v>
      </c>
      <c r="B39" t="str">
        <f>"1552380137643639"</f>
        <v>1552380137643639</v>
      </c>
      <c r="C39" t="s">
        <v>40</v>
      </c>
      <c r="D39">
        <v>5.9990259999999997</v>
      </c>
      <c r="E39">
        <v>0.5415259</v>
      </c>
      <c r="F39" t="s">
        <v>41</v>
      </c>
      <c r="G39">
        <v>-473.78489999999999</v>
      </c>
      <c r="H39">
        <v>0.9419746</v>
      </c>
      <c r="I39">
        <v>367.1601</v>
      </c>
      <c r="J39">
        <v>-474.44450000000001</v>
      </c>
      <c r="K39">
        <v>1.1097330000000001</v>
      </c>
      <c r="L39">
        <v>367.25130000000001</v>
      </c>
      <c r="M39">
        <v>0.99987139999999997</v>
      </c>
      <c r="N39">
        <v>0</v>
      </c>
      <c r="O39">
        <v>1.49049E-2</v>
      </c>
      <c r="P39">
        <v>0.99928309999999998</v>
      </c>
      <c r="Q39">
        <v>3.2390509999999997E-2</v>
      </c>
      <c r="R39">
        <v>-1.959932E-2</v>
      </c>
      <c r="S39">
        <v>3.0170590000000002</v>
      </c>
      <c r="T39">
        <v>-0.68090919999999999</v>
      </c>
      <c r="U39">
        <v>-0.36169430000000002</v>
      </c>
      <c r="V39">
        <v>3.4481879999999999E-2</v>
      </c>
      <c r="W39">
        <v>3.8318129999999999E-2</v>
      </c>
      <c r="X39">
        <v>0.99867050000000002</v>
      </c>
      <c r="Y39">
        <v>0.13021630000000001</v>
      </c>
      <c r="Z39">
        <v>-1.7772980000000001E-2</v>
      </c>
      <c r="AA39">
        <v>0.99132629999999999</v>
      </c>
      <c r="AB39">
        <v>8</v>
      </c>
      <c r="AC39">
        <v>0.65960000000001096</v>
      </c>
      <c r="AD39">
        <v>-0.1677584</v>
      </c>
      <c r="AE39">
        <v>-9.1200000000014797E-2</v>
      </c>
      <c r="AF39">
        <v>9.4991970619746902E-2</v>
      </c>
      <c r="AG39">
        <v>-0.1677584</v>
      </c>
      <c r="AH39">
        <v>0.61888540303553397</v>
      </c>
      <c r="AI39">
        <v>104.998851714032</v>
      </c>
      <c r="AJ39">
        <v>81.273840924651495</v>
      </c>
      <c r="AK39">
        <v>0.64821716834964904</v>
      </c>
      <c r="AL39">
        <v>87.803995308437294</v>
      </c>
      <c r="AM39">
        <v>88.022489253290601</v>
      </c>
      <c r="AN39">
        <v>1.00000002335264</v>
      </c>
    </row>
    <row r="40" spans="1:40" x14ac:dyDescent="0.25">
      <c r="A40" t="str">
        <f>"20190312164217669"</f>
        <v>20190312164217669</v>
      </c>
      <c r="B40" t="str">
        <f>"1552380137664136"</f>
        <v>1552380137664136</v>
      </c>
      <c r="C40" t="s">
        <v>40</v>
      </c>
      <c r="D40">
        <v>5.2543800000000003</v>
      </c>
      <c r="E40">
        <v>0.54155500000000001</v>
      </c>
      <c r="F40" t="s">
        <v>41</v>
      </c>
      <c r="G40">
        <v>-473.7088</v>
      </c>
      <c r="H40">
        <v>0.94383919999999999</v>
      </c>
      <c r="I40">
        <v>367.16309999999999</v>
      </c>
      <c r="J40">
        <v>-474.35849999999999</v>
      </c>
      <c r="K40">
        <v>1.1097980000000001</v>
      </c>
      <c r="L40">
        <v>367.25319999999999</v>
      </c>
      <c r="M40">
        <v>0.99985979999999997</v>
      </c>
      <c r="N40">
        <v>0</v>
      </c>
      <c r="O40">
        <v>1.538321E-2</v>
      </c>
      <c r="P40">
        <v>0.99929219999999996</v>
      </c>
      <c r="Q40">
        <v>3.241865E-2</v>
      </c>
      <c r="R40">
        <v>-1.9081009999999999E-2</v>
      </c>
      <c r="S40">
        <v>3.0171199999999998</v>
      </c>
      <c r="T40">
        <v>-0.68036960000000002</v>
      </c>
      <c r="U40">
        <v>-0.36105350000000003</v>
      </c>
      <c r="V40">
        <v>3.4442E-2</v>
      </c>
      <c r="W40">
        <v>3.9042859999999999E-2</v>
      </c>
      <c r="X40">
        <v>0.99864379999999997</v>
      </c>
      <c r="Y40">
        <v>0.130468</v>
      </c>
      <c r="Z40">
        <v>-1.7893249999999999E-2</v>
      </c>
      <c r="AA40">
        <v>0.99129100000000003</v>
      </c>
      <c r="AB40">
        <v>8</v>
      </c>
      <c r="AC40">
        <v>0.64969999999999495</v>
      </c>
      <c r="AD40">
        <v>-0.16595879999999999</v>
      </c>
      <c r="AE40">
        <v>-9.0100000000006703E-2</v>
      </c>
      <c r="AF40">
        <v>9.4062348980765098E-2</v>
      </c>
      <c r="AG40">
        <v>-0.16595879999999999</v>
      </c>
      <c r="AH40">
        <v>0.60923507706593305</v>
      </c>
      <c r="AI40">
        <v>105.067665658142</v>
      </c>
      <c r="AJ40">
        <v>81.223166790293902</v>
      </c>
      <c r="AK40">
        <v>0.63840224617458297</v>
      </c>
      <c r="AL40">
        <v>87.762440227149099</v>
      </c>
      <c r="AM40">
        <v>88.024721761279807</v>
      </c>
      <c r="AN40">
        <v>1.0000000177796999</v>
      </c>
    </row>
    <row r="41" spans="1:40" x14ac:dyDescent="0.25">
      <c r="A41" t="str">
        <f>"20190312164217692"</f>
        <v>20190312164217692</v>
      </c>
      <c r="B41" t="str">
        <f>"1552380137683655"</f>
        <v>1552380137683655</v>
      </c>
      <c r="C41" t="s">
        <v>40</v>
      </c>
      <c r="D41">
        <v>5.515104</v>
      </c>
      <c r="E41">
        <v>0.54666130000000002</v>
      </c>
      <c r="F41" t="s">
        <v>41</v>
      </c>
      <c r="G41">
        <v>-473.63260000000002</v>
      </c>
      <c r="H41">
        <v>0.94593729999999998</v>
      </c>
      <c r="I41">
        <v>367.166</v>
      </c>
      <c r="J41">
        <v>-474.274</v>
      </c>
      <c r="K41">
        <v>1.109856</v>
      </c>
      <c r="L41">
        <v>367.25510000000003</v>
      </c>
      <c r="M41">
        <v>0.99984790000000001</v>
      </c>
      <c r="N41">
        <v>0</v>
      </c>
      <c r="O41">
        <v>1.58447E-2</v>
      </c>
      <c r="P41">
        <v>0.99930730000000001</v>
      </c>
      <c r="Q41">
        <v>3.2493750000000002E-2</v>
      </c>
      <c r="R41">
        <v>-1.8140300000000002E-2</v>
      </c>
      <c r="S41">
        <v>3.017334</v>
      </c>
      <c r="T41">
        <v>-0.68142219999999998</v>
      </c>
      <c r="U41">
        <v>-0.36029050000000001</v>
      </c>
      <c r="V41">
        <v>3.3963590000000002E-2</v>
      </c>
      <c r="W41">
        <v>3.9777569999999998E-2</v>
      </c>
      <c r="X41">
        <v>0.99863120000000005</v>
      </c>
      <c r="Y41">
        <v>0.1306435</v>
      </c>
      <c r="Z41">
        <v>-1.8041419999999999E-2</v>
      </c>
      <c r="AA41">
        <v>0.99126519999999996</v>
      </c>
      <c r="AB41">
        <v>8</v>
      </c>
      <c r="AC41">
        <v>0.64139999999997599</v>
      </c>
      <c r="AD41">
        <v>-0.163918699999999</v>
      </c>
      <c r="AE41">
        <v>-8.9100000000030294E-2</v>
      </c>
      <c r="AF41">
        <v>9.3275138361873997E-2</v>
      </c>
      <c r="AG41">
        <v>-0.163918699999999</v>
      </c>
      <c r="AH41">
        <v>0.60137380055106704</v>
      </c>
      <c r="AI41">
        <v>105.075021237234</v>
      </c>
      <c r="AJ41">
        <v>81.183480112363497</v>
      </c>
      <c r="AK41">
        <v>0.63025394852817196</v>
      </c>
      <c r="AL41">
        <v>87.720311736984598</v>
      </c>
      <c r="AM41">
        <v>88.052113142783497</v>
      </c>
      <c r="AN41">
        <v>1.0000000270671101</v>
      </c>
    </row>
    <row r="42" spans="1:40" x14ac:dyDescent="0.25">
      <c r="A42" t="str">
        <f>"20190312164217714"</f>
        <v>20190312164217714</v>
      </c>
      <c r="B42" t="str">
        <f>"1552380137704150"</f>
        <v>1552380137704150</v>
      </c>
      <c r="C42" t="s">
        <v>40</v>
      </c>
      <c r="D42">
        <v>5.6672739999999999</v>
      </c>
      <c r="E42">
        <v>0.54349910000000001</v>
      </c>
      <c r="F42" t="s">
        <v>41</v>
      </c>
      <c r="G42">
        <v>-473.5718</v>
      </c>
      <c r="H42">
        <v>0.91473590000000005</v>
      </c>
      <c r="I42">
        <v>367.16379999999998</v>
      </c>
      <c r="J42">
        <v>-474.19040000000001</v>
      </c>
      <c r="K42">
        <v>1.10992</v>
      </c>
      <c r="L42">
        <v>367.25689999999997</v>
      </c>
      <c r="M42">
        <v>0.99983580000000005</v>
      </c>
      <c r="N42">
        <v>0</v>
      </c>
      <c r="O42">
        <v>1.628655E-2</v>
      </c>
      <c r="P42">
        <v>0.99931029999999998</v>
      </c>
      <c r="Q42">
        <v>3.2693659999999999E-2</v>
      </c>
      <c r="R42">
        <v>-1.761712E-2</v>
      </c>
      <c r="S42">
        <v>3.0222470000000001</v>
      </c>
      <c r="T42">
        <v>-0.83988189999999996</v>
      </c>
      <c r="U42">
        <v>-0.39239499999999999</v>
      </c>
      <c r="V42">
        <v>3.3883400000000001E-2</v>
      </c>
      <c r="W42">
        <v>4.0632330000000001E-2</v>
      </c>
      <c r="X42">
        <v>0.99859949999999997</v>
      </c>
      <c r="Y42">
        <v>0.13909369999999999</v>
      </c>
      <c r="Z42">
        <v>-2.3318100000000001E-2</v>
      </c>
      <c r="AA42">
        <v>0.99000469999999896</v>
      </c>
      <c r="AB42">
        <v>8</v>
      </c>
      <c r="AC42">
        <v>0.61860000000001403</v>
      </c>
      <c r="AD42">
        <v>-0.1951841</v>
      </c>
      <c r="AE42">
        <v>-9.3099999999992605E-2</v>
      </c>
      <c r="AF42">
        <v>9.4010758888007098E-2</v>
      </c>
      <c r="AG42">
        <v>-0.1951841</v>
      </c>
      <c r="AH42">
        <v>0.56226444508178797</v>
      </c>
      <c r="AI42">
        <v>108.900508899313</v>
      </c>
      <c r="AJ42">
        <v>80.507934259741205</v>
      </c>
      <c r="AK42">
        <v>0.60255801536668696</v>
      </c>
      <c r="AL42">
        <v>87.671297941156098</v>
      </c>
      <c r="AM42">
        <v>88.056647044474303</v>
      </c>
      <c r="AN42">
        <v>1.0000000162185101</v>
      </c>
    </row>
    <row r="43" spans="1:40" x14ac:dyDescent="0.25">
      <c r="A43" t="str">
        <f>"20190312164217740"</f>
        <v>20190312164217740</v>
      </c>
      <c r="B43" t="str">
        <f>"1552380137734405"</f>
        <v>1552380137734405</v>
      </c>
      <c r="C43" t="s">
        <v>40</v>
      </c>
      <c r="D43">
        <v>5.2385979999999996</v>
      </c>
      <c r="E43">
        <v>0.54366080000000006</v>
      </c>
      <c r="F43" t="s">
        <v>41</v>
      </c>
      <c r="G43">
        <v>-473.4896</v>
      </c>
      <c r="H43">
        <v>0.93162180000000006</v>
      </c>
      <c r="I43">
        <v>367.17110000000002</v>
      </c>
      <c r="J43">
        <v>-474.09640000000002</v>
      </c>
      <c r="K43">
        <v>1.10998</v>
      </c>
      <c r="L43">
        <v>367.25909999999999</v>
      </c>
      <c r="M43">
        <v>0.99982190000000004</v>
      </c>
      <c r="N43">
        <v>0</v>
      </c>
      <c r="O43">
        <v>1.6764589999999999E-2</v>
      </c>
      <c r="P43">
        <v>0.99931729999999996</v>
      </c>
      <c r="Q43">
        <v>3.280756E-2</v>
      </c>
      <c r="R43">
        <v>-1.698937E-2</v>
      </c>
      <c r="S43">
        <v>3.020721</v>
      </c>
      <c r="T43">
        <v>-0.7686923</v>
      </c>
      <c r="U43">
        <v>-0.36834719999999999</v>
      </c>
      <c r="V43">
        <v>3.373495E-2</v>
      </c>
      <c r="W43">
        <v>4.1464189999999998E-2</v>
      </c>
      <c r="X43">
        <v>0.99857030000000002</v>
      </c>
      <c r="Y43">
        <v>0.132963</v>
      </c>
      <c r="Z43">
        <v>-2.0779249999999999E-2</v>
      </c>
      <c r="AA43">
        <v>0.99090310000000004</v>
      </c>
      <c r="AB43">
        <v>8</v>
      </c>
      <c r="AC43">
        <v>0.60680000000002099</v>
      </c>
      <c r="AD43">
        <v>-0.178358199999999</v>
      </c>
      <c r="AE43">
        <v>-8.7999999999965398E-2</v>
      </c>
      <c r="AF43">
        <v>9.0502729985565994E-2</v>
      </c>
      <c r="AG43">
        <v>-0.178358199999999</v>
      </c>
      <c r="AH43">
        <v>0.55802147308499095</v>
      </c>
      <c r="AI43">
        <v>107.510667134961</v>
      </c>
      <c r="AJ43">
        <v>80.787696741654699</v>
      </c>
      <c r="AK43">
        <v>0.59278187899599599</v>
      </c>
      <c r="AL43">
        <v>87.6235955939608</v>
      </c>
      <c r="AM43">
        <v>88.065098244152594</v>
      </c>
      <c r="AN43">
        <v>0.99999998497297404</v>
      </c>
    </row>
    <row r="44" spans="1:40" x14ac:dyDescent="0.25">
      <c r="A44" t="str">
        <f>"20190312164217762"</f>
        <v>20190312164217762</v>
      </c>
      <c r="B44" t="str">
        <f>"1552380137753926"</f>
        <v>1552380137753926</v>
      </c>
      <c r="C44" t="s">
        <v>40</v>
      </c>
      <c r="D44">
        <v>5.2329059999999998</v>
      </c>
      <c r="E44">
        <v>0.54329759999999905</v>
      </c>
      <c r="F44" t="s">
        <v>41</v>
      </c>
      <c r="G44">
        <v>-473.40910000000002</v>
      </c>
      <c r="H44">
        <v>0.9446734</v>
      </c>
      <c r="I44">
        <v>367.17469999999997</v>
      </c>
      <c r="J44">
        <v>-474.0154</v>
      </c>
      <c r="K44">
        <v>1.110023</v>
      </c>
      <c r="L44">
        <v>367.26080000000002</v>
      </c>
      <c r="M44">
        <v>0.99981030000000004</v>
      </c>
      <c r="N44">
        <v>0</v>
      </c>
      <c r="O44">
        <v>1.7159959999999998E-2</v>
      </c>
      <c r="P44">
        <v>0.99933130000000003</v>
      </c>
      <c r="Q44">
        <v>3.2661269999999999E-2</v>
      </c>
      <c r="R44">
        <v>-1.6439929999999998E-2</v>
      </c>
      <c r="S44">
        <v>3.0196529999999999</v>
      </c>
      <c r="T44">
        <v>-0.72643459999999904</v>
      </c>
      <c r="U44">
        <v>-0.36907960000000001</v>
      </c>
      <c r="V44">
        <v>3.3581880000000001E-2</v>
      </c>
      <c r="W44">
        <v>4.1876289999999997E-2</v>
      </c>
      <c r="X44">
        <v>0.99855830000000001</v>
      </c>
      <c r="Y44">
        <v>0.1340845</v>
      </c>
      <c r="Z44">
        <v>-1.9901599999999998E-2</v>
      </c>
      <c r="AA44">
        <v>0.99077000000000004</v>
      </c>
      <c r="AB44">
        <v>8</v>
      </c>
      <c r="AC44">
        <v>0.60629999999997597</v>
      </c>
      <c r="AD44">
        <v>-0.16534960000000001</v>
      </c>
      <c r="AE44">
        <v>-8.6100000000044405E-2</v>
      </c>
      <c r="AF44">
        <v>8.9935087287617593E-2</v>
      </c>
      <c r="AG44">
        <v>-0.16534960000000001</v>
      </c>
      <c r="AH44">
        <v>0.563640696144588</v>
      </c>
      <c r="AI44">
        <v>106.156055890182</v>
      </c>
      <c r="AJ44">
        <v>80.934248359788597</v>
      </c>
      <c r="AK44">
        <v>0.59423871002817297</v>
      </c>
      <c r="AL44">
        <v>87.599963566187299</v>
      </c>
      <c r="AM44">
        <v>88.073847969274397</v>
      </c>
      <c r="AN44">
        <v>1.00000002241369</v>
      </c>
    </row>
    <row r="45" spans="1:40" x14ac:dyDescent="0.25">
      <c r="A45" t="str">
        <f>"20190312164217783"</f>
        <v>20190312164217783</v>
      </c>
      <c r="B45" t="str">
        <f>"1552380137774422"</f>
        <v>1552380137774422</v>
      </c>
      <c r="C45" t="s">
        <v>40</v>
      </c>
      <c r="D45">
        <v>5.2290159999999997</v>
      </c>
      <c r="E45">
        <v>0.54324659999999902</v>
      </c>
      <c r="F45" t="s">
        <v>41</v>
      </c>
      <c r="G45">
        <v>-473.26580000000001</v>
      </c>
      <c r="H45">
        <v>0.93320320000000001</v>
      </c>
      <c r="I45">
        <v>367.17009999999999</v>
      </c>
      <c r="J45">
        <v>-473.93560000000002</v>
      </c>
      <c r="K45">
        <v>1.1100639999999999</v>
      </c>
      <c r="L45">
        <v>367.2627</v>
      </c>
      <c r="M45">
        <v>0.99979910000000005</v>
      </c>
      <c r="N45">
        <v>0</v>
      </c>
      <c r="O45">
        <v>1.753594E-2</v>
      </c>
      <c r="P45">
        <v>0.99932399999999999</v>
      </c>
      <c r="Q45">
        <v>3.2855120000000002E-2</v>
      </c>
      <c r="R45">
        <v>-1.6499469999999999E-2</v>
      </c>
      <c r="S45">
        <v>3.0193180000000002</v>
      </c>
      <c r="T45">
        <v>-0.71235280000000001</v>
      </c>
      <c r="U45">
        <v>-0.36456300000000003</v>
      </c>
      <c r="V45">
        <v>3.401713E-2</v>
      </c>
      <c r="W45">
        <v>4.2548030000000001E-2</v>
      </c>
      <c r="X45">
        <v>0.99851509999999999</v>
      </c>
      <c r="Y45">
        <v>0.1331832</v>
      </c>
      <c r="Z45">
        <v>-1.951263E-2</v>
      </c>
      <c r="AA45">
        <v>0.99089930000000004</v>
      </c>
      <c r="AB45">
        <v>8</v>
      </c>
      <c r="AC45">
        <v>0.66980000000000905</v>
      </c>
      <c r="AD45">
        <v>-0.17686080000000001</v>
      </c>
      <c r="AE45">
        <v>-9.2600000000004401E-2</v>
      </c>
      <c r="AF45">
        <v>9.7651099061774604E-2</v>
      </c>
      <c r="AG45">
        <v>-0.17686080000000001</v>
      </c>
      <c r="AH45">
        <v>0.62529370695169795</v>
      </c>
      <c r="AI45">
        <v>105.61339858572001</v>
      </c>
      <c r="AJ45">
        <v>81.123906489413997</v>
      </c>
      <c r="AK45">
        <v>0.65712076491160198</v>
      </c>
      <c r="AL45">
        <v>87.561441192688505</v>
      </c>
      <c r="AM45">
        <v>88.048818209272</v>
      </c>
      <c r="AN45">
        <v>0.99999995245916196</v>
      </c>
    </row>
    <row r="46" spans="1:40" x14ac:dyDescent="0.25">
      <c r="A46" t="str">
        <f>"20190312164217827"</f>
        <v>20190312164217827</v>
      </c>
      <c r="B46" t="str">
        <f>"1552380137824198"</f>
        <v>1552380137824198</v>
      </c>
      <c r="C46" t="s">
        <v>40</v>
      </c>
      <c r="D46">
        <v>5.3453019999999896</v>
      </c>
      <c r="E46">
        <v>0.54315139999999995</v>
      </c>
      <c r="F46" t="s">
        <v>41</v>
      </c>
      <c r="G46">
        <v>-473.19040000000001</v>
      </c>
      <c r="H46">
        <v>0.93667219999999995</v>
      </c>
      <c r="I46">
        <v>367.17239999999998</v>
      </c>
      <c r="J46">
        <v>-473.77620000000002</v>
      </c>
      <c r="K46">
        <v>1.1101190000000001</v>
      </c>
      <c r="L46">
        <v>367.26639999999998</v>
      </c>
      <c r="M46">
        <v>0.99977819999999995</v>
      </c>
      <c r="N46">
        <v>0</v>
      </c>
      <c r="O46">
        <v>1.826287E-2</v>
      </c>
      <c r="P46">
        <v>0.99925679999999995</v>
      </c>
      <c r="Q46">
        <v>3.4840200000000002E-2</v>
      </c>
      <c r="R46">
        <v>-1.6499730000000001E-2</v>
      </c>
      <c r="S46">
        <v>3.0191349999999999</v>
      </c>
      <c r="T46">
        <v>-0.70275739999999998</v>
      </c>
      <c r="U46">
        <v>-0.36425780000000002</v>
      </c>
      <c r="V46">
        <v>3.4741840000000003E-2</v>
      </c>
      <c r="W46">
        <v>4.5323410000000001E-2</v>
      </c>
      <c r="X46">
        <v>0.99836809999999998</v>
      </c>
      <c r="Y46">
        <v>0.13388159999999999</v>
      </c>
      <c r="Z46">
        <v>-1.9504279999999999E-2</v>
      </c>
      <c r="AA46">
        <v>0.99080539999999995</v>
      </c>
      <c r="AB46">
        <v>8</v>
      </c>
      <c r="AC46">
        <v>0.58580000000000598</v>
      </c>
      <c r="AD46">
        <v>-0.17344680000000001</v>
      </c>
      <c r="AE46">
        <v>-9.3999999999994005E-2</v>
      </c>
      <c r="AF46">
        <v>9.6440891860049699E-2</v>
      </c>
      <c r="AG46">
        <v>-0.17344680000000001</v>
      </c>
      <c r="AH46">
        <v>0.53800445441411004</v>
      </c>
      <c r="AI46">
        <v>107.605850298576</v>
      </c>
      <c r="AJ46">
        <v>79.837284183184906</v>
      </c>
      <c r="AK46">
        <v>0.57343999775253396</v>
      </c>
      <c r="AL46">
        <v>87.402270085561497</v>
      </c>
      <c r="AM46">
        <v>88.006989704919704</v>
      </c>
      <c r="AN46">
        <v>1.0000000350191101</v>
      </c>
    </row>
    <row r="47" spans="1:40" x14ac:dyDescent="0.25">
      <c r="A47" t="str">
        <f>"20190312164217849"</f>
        <v>20190312164217849</v>
      </c>
      <c r="B47" t="str">
        <f>"1552380137843718"</f>
        <v>1552380137843718</v>
      </c>
      <c r="C47" t="s">
        <v>40</v>
      </c>
      <c r="D47">
        <v>5.6387330000000002</v>
      </c>
      <c r="E47">
        <v>0.54338969999999998</v>
      </c>
      <c r="F47" t="s">
        <v>41</v>
      </c>
      <c r="G47">
        <v>-473.0412</v>
      </c>
      <c r="H47">
        <v>0.94179559999999996</v>
      </c>
      <c r="I47">
        <v>367.17750000000001</v>
      </c>
      <c r="J47">
        <v>-473.69479999999999</v>
      </c>
      <c r="K47">
        <v>1.110144</v>
      </c>
      <c r="L47">
        <v>367.26830000000001</v>
      </c>
      <c r="M47">
        <v>0.99976779999999998</v>
      </c>
      <c r="N47">
        <v>0</v>
      </c>
      <c r="O47">
        <v>1.8630359999999999E-2</v>
      </c>
      <c r="P47">
        <v>0.99922169999999999</v>
      </c>
      <c r="Q47">
        <v>3.5695579999999998E-2</v>
      </c>
      <c r="R47">
        <v>-1.6798939999999998E-2</v>
      </c>
      <c r="S47">
        <v>3.0203859999999998</v>
      </c>
      <c r="T47">
        <v>-0.69181550000000003</v>
      </c>
      <c r="U47">
        <v>-0.36355589999999999</v>
      </c>
      <c r="V47">
        <v>3.5407099999999997E-2</v>
      </c>
      <c r="W47">
        <v>4.6517570000000001E-2</v>
      </c>
      <c r="X47">
        <v>0.9982898</v>
      </c>
      <c r="Y47">
        <v>0.1340809</v>
      </c>
      <c r="Z47">
        <v>-1.9306110000000001E-2</v>
      </c>
      <c r="AA47">
        <v>0.9907823</v>
      </c>
      <c r="AB47">
        <v>8</v>
      </c>
      <c r="AC47">
        <v>0.65359999999998297</v>
      </c>
      <c r="AD47">
        <v>-0.16834839999999901</v>
      </c>
      <c r="AE47">
        <v>-9.0800000000001505E-2</v>
      </c>
      <c r="AF47">
        <v>9.6669838195279495E-2</v>
      </c>
      <c r="AG47">
        <v>-0.16834839999999901</v>
      </c>
      <c r="AH47">
        <v>0.61196410550612901</v>
      </c>
      <c r="AI47">
        <v>105.201700889292</v>
      </c>
      <c r="AJ47">
        <v>81.023360775390103</v>
      </c>
      <c r="AK47">
        <v>0.64201737346210397</v>
      </c>
      <c r="AL47">
        <v>87.333777505224006</v>
      </c>
      <c r="AM47">
        <v>87.968698698440704</v>
      </c>
      <c r="AN47">
        <v>1.0000000359165699</v>
      </c>
    </row>
    <row r="48" spans="1:40" x14ac:dyDescent="0.25">
      <c r="A48" t="str">
        <f>"20190312164217872"</f>
        <v>20190312164217872</v>
      </c>
      <c r="B48" t="str">
        <f>"1552380137864214"</f>
        <v>1552380137864214</v>
      </c>
      <c r="C48" t="s">
        <v>40</v>
      </c>
      <c r="D48">
        <v>5.2760999999999996</v>
      </c>
      <c r="E48">
        <v>0.54304180000000002</v>
      </c>
      <c r="F48" t="s">
        <v>41</v>
      </c>
      <c r="G48">
        <v>-472.96679999999998</v>
      </c>
      <c r="H48">
        <v>0.94426540000000003</v>
      </c>
      <c r="I48">
        <v>367.17989999999998</v>
      </c>
      <c r="J48">
        <v>-473.61189999999999</v>
      </c>
      <c r="K48">
        <v>1.1101730000000001</v>
      </c>
      <c r="L48">
        <v>367.27030000000002</v>
      </c>
      <c r="M48">
        <v>0.99975749999999997</v>
      </c>
      <c r="N48">
        <v>0</v>
      </c>
      <c r="O48">
        <v>1.9004699999999999E-2</v>
      </c>
      <c r="P48">
        <v>0.9991949</v>
      </c>
      <c r="Q48">
        <v>3.6403699999999997E-2</v>
      </c>
      <c r="R48">
        <v>-1.6869459999999999E-2</v>
      </c>
      <c r="S48">
        <v>3.0207820000000001</v>
      </c>
      <c r="T48">
        <v>-0.6884865</v>
      </c>
      <c r="U48">
        <v>-0.36660769999999998</v>
      </c>
      <c r="V48">
        <v>3.5851170000000002E-2</v>
      </c>
      <c r="W48">
        <v>4.7530210000000003E-2</v>
      </c>
      <c r="X48">
        <v>0.99822619999999895</v>
      </c>
      <c r="Y48">
        <v>0.13541800000000001</v>
      </c>
      <c r="Z48">
        <v>-1.9445879999999999E-2</v>
      </c>
      <c r="AA48">
        <v>0.99059770000000003</v>
      </c>
      <c r="AB48">
        <v>8</v>
      </c>
      <c r="AC48">
        <v>0.645100000000013</v>
      </c>
      <c r="AD48">
        <v>-0.16590759999999899</v>
      </c>
      <c r="AE48">
        <v>-9.0400000000045097E-2</v>
      </c>
      <c r="AF48">
        <v>9.6391599459247704E-2</v>
      </c>
      <c r="AG48">
        <v>-0.16590759999999899</v>
      </c>
      <c r="AH48">
        <v>0.60407970180458703</v>
      </c>
      <c r="AI48">
        <v>105.174392227154</v>
      </c>
      <c r="AJ48">
        <v>80.933876262558996</v>
      </c>
      <c r="AK48">
        <v>0.63382091975288302</v>
      </c>
      <c r="AL48">
        <v>87.275693117928597</v>
      </c>
      <c r="AM48">
        <v>87.943113268403707</v>
      </c>
      <c r="AN48">
        <v>0.99999998680972602</v>
      </c>
    </row>
    <row r="49" spans="1:40" x14ac:dyDescent="0.25">
      <c r="A49" t="str">
        <f>"20190312164217892"</f>
        <v>20190312164217892</v>
      </c>
      <c r="B49" t="str">
        <f>"1552380137883734"</f>
        <v>1552380137883734</v>
      </c>
      <c r="C49" t="s">
        <v>40</v>
      </c>
      <c r="D49">
        <v>5.2256340000000003</v>
      </c>
      <c r="E49">
        <v>0.54311619999999905</v>
      </c>
      <c r="F49" t="s">
        <v>41</v>
      </c>
      <c r="G49">
        <v>-472.89330000000001</v>
      </c>
      <c r="H49">
        <v>0.9455228</v>
      </c>
      <c r="I49">
        <v>367.1832</v>
      </c>
      <c r="J49">
        <v>-473.53399999999999</v>
      </c>
      <c r="K49">
        <v>1.11019</v>
      </c>
      <c r="L49">
        <v>367.2722</v>
      </c>
      <c r="M49">
        <v>0.99974790000000002</v>
      </c>
      <c r="N49">
        <v>0</v>
      </c>
      <c r="O49">
        <v>1.93557E-2</v>
      </c>
      <c r="P49">
        <v>0.99916990000000006</v>
      </c>
      <c r="Q49">
        <v>3.6896180000000001E-2</v>
      </c>
      <c r="R49">
        <v>-1.7269369999999999E-2</v>
      </c>
      <c r="S49">
        <v>3.021576</v>
      </c>
      <c r="T49">
        <v>-0.69281789999999999</v>
      </c>
      <c r="U49">
        <v>-0.36398320000000001</v>
      </c>
      <c r="V49">
        <v>3.6601439999999999E-2</v>
      </c>
      <c r="W49">
        <v>4.827132E-2</v>
      </c>
      <c r="X49">
        <v>0.99816340000000003</v>
      </c>
      <c r="Y49">
        <v>0.13484499999999999</v>
      </c>
      <c r="Z49">
        <v>-1.9575769999999999E-2</v>
      </c>
      <c r="AA49">
        <v>0.99067329999999998</v>
      </c>
      <c r="AB49">
        <v>8</v>
      </c>
      <c r="AC49">
        <v>0.64069999999998095</v>
      </c>
      <c r="AD49">
        <v>-0.16466719999999899</v>
      </c>
      <c r="AE49">
        <v>-8.8999999999998594E-2</v>
      </c>
      <c r="AF49">
        <v>9.5214976948643296E-2</v>
      </c>
      <c r="AG49">
        <v>-0.16466719999999899</v>
      </c>
      <c r="AH49">
        <v>0.59997610677087998</v>
      </c>
      <c r="AI49">
        <v>105.166386142834</v>
      </c>
      <c r="AJ49">
        <v>80.982477764593398</v>
      </c>
      <c r="AK49">
        <v>0.62940647223166801</v>
      </c>
      <c r="AL49">
        <v>87.233181822061894</v>
      </c>
      <c r="AM49">
        <v>87.899974222713894</v>
      </c>
      <c r="AN49">
        <v>0.99999997942208696</v>
      </c>
    </row>
    <row r="50" spans="1:40" x14ac:dyDescent="0.25">
      <c r="A50" t="str">
        <f>"20190312164217916"</f>
        <v>20190312164217916</v>
      </c>
      <c r="B50" t="str">
        <f>"1552380137913990"</f>
        <v>1552380137913990</v>
      </c>
      <c r="C50" t="s">
        <v>40</v>
      </c>
      <c r="D50">
        <v>5.9181800000000004</v>
      </c>
      <c r="E50">
        <v>0.54325089999999998</v>
      </c>
      <c r="F50" t="s">
        <v>41</v>
      </c>
      <c r="G50">
        <v>-472.8202</v>
      </c>
      <c r="H50">
        <v>0.94641850000000005</v>
      </c>
      <c r="I50">
        <v>367.1859</v>
      </c>
      <c r="J50">
        <v>-473.4477</v>
      </c>
      <c r="K50">
        <v>1.110209</v>
      </c>
      <c r="L50">
        <v>367.27429999999998</v>
      </c>
      <c r="M50">
        <v>0.99973769999999995</v>
      </c>
      <c r="N50">
        <v>0</v>
      </c>
      <c r="O50">
        <v>1.9740239999999999E-2</v>
      </c>
      <c r="P50">
        <v>0.99914420000000004</v>
      </c>
      <c r="Q50">
        <v>3.7477730000000001E-2</v>
      </c>
      <c r="R50">
        <v>-1.7514689999999999E-2</v>
      </c>
      <c r="S50">
        <v>3.0218509999999998</v>
      </c>
      <c r="T50">
        <v>-0.69354989999999905</v>
      </c>
      <c r="U50">
        <v>-0.36428830000000001</v>
      </c>
      <c r="V50">
        <v>3.7230199999999998E-2</v>
      </c>
      <c r="W50">
        <v>4.9088109999999997E-2</v>
      </c>
      <c r="X50">
        <v>0.99810030000000005</v>
      </c>
      <c r="Y50">
        <v>0.13528519999999999</v>
      </c>
      <c r="Z50">
        <v>-1.9730660000000001E-2</v>
      </c>
      <c r="AA50">
        <v>0.9906102</v>
      </c>
      <c r="AB50">
        <v>8</v>
      </c>
      <c r="AC50">
        <v>0.62749999999999695</v>
      </c>
      <c r="AD50">
        <v>-0.16379050000000001</v>
      </c>
      <c r="AE50">
        <v>-8.8399999999978704E-2</v>
      </c>
      <c r="AF50">
        <v>9.4460108879903706E-2</v>
      </c>
      <c r="AG50">
        <v>-0.16379050000000001</v>
      </c>
      <c r="AH50">
        <v>0.58645393119656997</v>
      </c>
      <c r="AI50">
        <v>105.415435410219</v>
      </c>
      <c r="AJ50">
        <v>80.849959323001499</v>
      </c>
      <c r="AK50">
        <v>0.61618037414036797</v>
      </c>
      <c r="AL50">
        <v>87.186327623935</v>
      </c>
      <c r="AM50">
        <v>87.863797024985203</v>
      </c>
      <c r="AN50">
        <v>0.99999996959774995</v>
      </c>
    </row>
    <row r="51" spans="1:40" x14ac:dyDescent="0.25">
      <c r="A51" t="str">
        <f>"20190312164217939"</f>
        <v>20190312164217939</v>
      </c>
      <c r="B51" t="str">
        <f>"1552380137933510"</f>
        <v>1552380137933510</v>
      </c>
      <c r="C51" t="s">
        <v>40</v>
      </c>
      <c r="D51">
        <v>6.4036660000000003</v>
      </c>
      <c r="E51">
        <v>0.54334009999999999</v>
      </c>
      <c r="F51" t="s">
        <v>41</v>
      </c>
      <c r="G51">
        <v>-472.74590000000001</v>
      </c>
      <c r="H51">
        <v>0.95023199999999997</v>
      </c>
      <c r="I51">
        <v>367.18880000000001</v>
      </c>
      <c r="J51">
        <v>-473.36599999999999</v>
      </c>
      <c r="K51">
        <v>1.1101719999999999</v>
      </c>
      <c r="L51">
        <v>367.27629999999999</v>
      </c>
      <c r="M51">
        <v>0.99973060000000002</v>
      </c>
      <c r="N51">
        <v>0</v>
      </c>
      <c r="O51">
        <v>2.0103590000000001E-2</v>
      </c>
      <c r="P51">
        <v>0.99909139999999996</v>
      </c>
      <c r="Q51">
        <v>3.9222699999999999E-2</v>
      </c>
      <c r="R51">
        <v>-1.6675809999999999E-2</v>
      </c>
      <c r="S51">
        <v>3.0220639999999999</v>
      </c>
      <c r="T51">
        <v>-0.68934329999999999</v>
      </c>
      <c r="U51">
        <v>-0.36553960000000002</v>
      </c>
      <c r="V51">
        <v>3.6752800000000002E-2</v>
      </c>
      <c r="W51">
        <v>5.080498E-2</v>
      </c>
      <c r="X51">
        <v>0.99803209999999998</v>
      </c>
      <c r="Y51">
        <v>0.1360604</v>
      </c>
      <c r="Z51">
        <v>-1.978073E-2</v>
      </c>
      <c r="AA51">
        <v>0.99050309999999997</v>
      </c>
      <c r="AB51">
        <v>8</v>
      </c>
      <c r="AC51">
        <v>0.620099999999979</v>
      </c>
      <c r="AD51">
        <v>-0.159939999999999</v>
      </c>
      <c r="AE51">
        <v>-8.7499999999977193E-2</v>
      </c>
      <c r="AF51">
        <v>9.38291785256576E-2</v>
      </c>
      <c r="AG51">
        <v>-0.159939999999999</v>
      </c>
      <c r="AH51">
        <v>0.58036023166305695</v>
      </c>
      <c r="AI51">
        <v>105.219252322624</v>
      </c>
      <c r="AJ51">
        <v>80.816226758090593</v>
      </c>
      <c r="AK51">
        <v>0.60926407808010197</v>
      </c>
      <c r="AL51">
        <v>87.087835344282198</v>
      </c>
      <c r="AM51">
        <v>87.891020523417296</v>
      </c>
      <c r="AN51">
        <v>0.99999999346552504</v>
      </c>
    </row>
    <row r="52" spans="1:40" x14ac:dyDescent="0.25">
      <c r="A52" t="str">
        <f>"20190312164217961"</f>
        <v>20190312164217961</v>
      </c>
      <c r="B52" t="str">
        <f>"1552380137954007"</f>
        <v>1552380137954007</v>
      </c>
      <c r="C52" t="s">
        <v>40</v>
      </c>
      <c r="D52">
        <v>5.2654180000000004</v>
      </c>
      <c r="E52">
        <v>0.54349320000000001</v>
      </c>
      <c r="F52" t="s">
        <v>41</v>
      </c>
      <c r="G52">
        <v>-472.67140000000001</v>
      </c>
      <c r="H52">
        <v>0.95336100000000001</v>
      </c>
      <c r="I52">
        <v>367.1927</v>
      </c>
      <c r="J52">
        <v>-473.286</v>
      </c>
      <c r="K52">
        <v>1.1101129999999999</v>
      </c>
      <c r="L52">
        <v>367.2783</v>
      </c>
      <c r="M52">
        <v>0.99972539999999999</v>
      </c>
      <c r="N52">
        <v>0</v>
      </c>
      <c r="O52">
        <v>2.0455629999999999E-2</v>
      </c>
      <c r="P52">
        <v>0.99903560000000002</v>
      </c>
      <c r="Q52">
        <v>4.0850820000000003E-2</v>
      </c>
      <c r="R52">
        <v>-1.6105609999999999E-2</v>
      </c>
      <c r="S52">
        <v>3.0234990000000002</v>
      </c>
      <c r="T52">
        <v>-0.68279909999999999</v>
      </c>
      <c r="U52">
        <v>-0.36376950000000002</v>
      </c>
      <c r="V52">
        <v>3.6532759999999997E-2</v>
      </c>
      <c r="W52">
        <v>5.2279289999999999E-2</v>
      </c>
      <c r="X52">
        <v>0.99796399999999996</v>
      </c>
      <c r="Y52">
        <v>0.1358549</v>
      </c>
      <c r="Z52">
        <v>-1.9644620000000002E-2</v>
      </c>
      <c r="AA52">
        <v>0.99053389999999997</v>
      </c>
      <c r="AB52">
        <v>8</v>
      </c>
      <c r="AC52">
        <v>0.61459999999999504</v>
      </c>
      <c r="AD52">
        <v>-0.156751999999999</v>
      </c>
      <c r="AE52">
        <v>-8.5599999999999399E-2</v>
      </c>
      <c r="AF52">
        <v>9.2267250918338706E-2</v>
      </c>
      <c r="AG52">
        <v>-0.156751999999999</v>
      </c>
      <c r="AH52">
        <v>0.57596709413027003</v>
      </c>
      <c r="AI52">
        <v>105.041633382551</v>
      </c>
      <c r="AJ52">
        <v>80.898809996593201</v>
      </c>
      <c r="AK52">
        <v>0.60400540446000595</v>
      </c>
      <c r="AL52">
        <v>87.003251055415802</v>
      </c>
      <c r="AM52">
        <v>87.903492814397296</v>
      </c>
      <c r="AN52">
        <v>0.99999995600605895</v>
      </c>
    </row>
    <row r="53" spans="1:40" x14ac:dyDescent="0.25">
      <c r="A53" t="str">
        <f>"20190312164217985"</f>
        <v>20190312164217985</v>
      </c>
      <c r="B53" t="str">
        <f>"1552380137973526"</f>
        <v>1552380137973526</v>
      </c>
      <c r="C53" t="s">
        <v>40</v>
      </c>
      <c r="D53">
        <v>5.2643120000000003</v>
      </c>
      <c r="E53">
        <v>0.54352719999999999</v>
      </c>
      <c r="F53" t="s">
        <v>41</v>
      </c>
      <c r="G53">
        <v>-472.59679999999997</v>
      </c>
      <c r="H53">
        <v>0.95580089999999995</v>
      </c>
      <c r="I53">
        <v>367.1952</v>
      </c>
      <c r="J53">
        <v>-473.20119999999997</v>
      </c>
      <c r="K53">
        <v>1.1101129999999999</v>
      </c>
      <c r="L53">
        <v>367.28050000000002</v>
      </c>
      <c r="M53">
        <v>0.99971779999999999</v>
      </c>
      <c r="N53">
        <v>0</v>
      </c>
      <c r="O53">
        <v>2.0818949999999999E-2</v>
      </c>
      <c r="P53">
        <v>0.99899579999999999</v>
      </c>
      <c r="Q53">
        <v>4.1893590000000001E-2</v>
      </c>
      <c r="R53">
        <v>-1.5885469999999999E-2</v>
      </c>
      <c r="S53">
        <v>3.02475</v>
      </c>
      <c r="T53">
        <v>-0.67747939999999995</v>
      </c>
      <c r="U53">
        <v>-0.36297610000000002</v>
      </c>
      <c r="V53">
        <v>3.6674940000000003E-2</v>
      </c>
      <c r="W53">
        <v>5.3322590000000003E-2</v>
      </c>
      <c r="X53">
        <v>0.9979036</v>
      </c>
      <c r="Y53">
        <v>0.135961</v>
      </c>
      <c r="Z53">
        <v>-1.9579559999999999E-2</v>
      </c>
      <c r="AA53">
        <v>0.99052070000000003</v>
      </c>
      <c r="AB53">
        <v>8</v>
      </c>
      <c r="AC53">
        <v>0.60439999999999805</v>
      </c>
      <c r="AD53">
        <v>-0.15431209999999901</v>
      </c>
      <c r="AE53">
        <v>-8.5300000000017903E-2</v>
      </c>
      <c r="AF53">
        <v>9.1986237453058006E-2</v>
      </c>
      <c r="AG53">
        <v>-0.15431209999999901</v>
      </c>
      <c r="AH53">
        <v>0.566299409289024</v>
      </c>
      <c r="AI53">
        <v>105.05438824111999</v>
      </c>
      <c r="AJ53">
        <v>80.773802050793407</v>
      </c>
      <c r="AK53">
        <v>0.59411170081751297</v>
      </c>
      <c r="AL53">
        <v>86.943390911776106</v>
      </c>
      <c r="AM53">
        <v>87.895213573807197</v>
      </c>
      <c r="AN53">
        <v>0.99999997236063498</v>
      </c>
    </row>
    <row r="54" spans="1:40" x14ac:dyDescent="0.25">
      <c r="A54" t="str">
        <f>"20190312164218006"</f>
        <v>20190312164218006</v>
      </c>
      <c r="B54" t="str">
        <f>"1552380137994022"</f>
        <v>1552380137994022</v>
      </c>
      <c r="C54" t="s">
        <v>40</v>
      </c>
      <c r="D54">
        <v>5.9359209999999996</v>
      </c>
      <c r="E54">
        <v>0.54360200000000003</v>
      </c>
      <c r="F54" t="s">
        <v>41</v>
      </c>
      <c r="G54">
        <v>-472.45589999999999</v>
      </c>
      <c r="H54">
        <v>0.94424050000000004</v>
      </c>
      <c r="I54">
        <v>367.19080000000002</v>
      </c>
      <c r="J54">
        <v>-473.12209999999999</v>
      </c>
      <c r="K54">
        <v>1.1101490000000001</v>
      </c>
      <c r="L54">
        <v>367.28250000000003</v>
      </c>
      <c r="M54">
        <v>0.99970959999999998</v>
      </c>
      <c r="N54">
        <v>0</v>
      </c>
      <c r="O54">
        <v>2.1146140000000001E-2</v>
      </c>
      <c r="P54">
        <v>0.99893339999999997</v>
      </c>
      <c r="Q54">
        <v>4.3563709999999999E-2</v>
      </c>
      <c r="R54">
        <v>-1.531041E-2</v>
      </c>
      <c r="S54">
        <v>3.0255429999999999</v>
      </c>
      <c r="T54">
        <v>-0.67366530000000002</v>
      </c>
      <c r="U54">
        <v>-0.36206050000000001</v>
      </c>
      <c r="V54">
        <v>3.6425939999999997E-2</v>
      </c>
      <c r="W54">
        <v>5.5103810000000003E-2</v>
      </c>
      <c r="X54">
        <v>0.99781600000000004</v>
      </c>
      <c r="Y54">
        <v>0.13599449999999999</v>
      </c>
      <c r="Z54">
        <v>-1.9542770000000001E-2</v>
      </c>
      <c r="AA54">
        <v>0.99051679999999998</v>
      </c>
      <c r="AB54">
        <v>8</v>
      </c>
      <c r="AC54">
        <v>0.66620000000000301</v>
      </c>
      <c r="AD54">
        <v>-0.16590849999999999</v>
      </c>
      <c r="AE54">
        <v>-9.1700000000003001E-2</v>
      </c>
      <c r="AF54">
        <v>9.9699647226061297E-2</v>
      </c>
      <c r="AG54">
        <v>-0.16590849999999999</v>
      </c>
      <c r="AH54">
        <v>0.62600895917700605</v>
      </c>
      <c r="AI54">
        <v>104.666875212199</v>
      </c>
      <c r="AJ54">
        <v>80.950938047320506</v>
      </c>
      <c r="AK54">
        <v>0.655250232353358</v>
      </c>
      <c r="AL54">
        <v>86.841184364604302</v>
      </c>
      <c r="AM54">
        <v>87.909307673727497</v>
      </c>
      <c r="AN54">
        <v>1.00000002441869</v>
      </c>
    </row>
    <row r="55" spans="1:40" x14ac:dyDescent="0.25">
      <c r="A55" t="str">
        <f>"20190312164218049"</f>
        <v>20190312164218049</v>
      </c>
      <c r="B55" t="str">
        <f>"1552380138043799"</f>
        <v>1552380138043799</v>
      </c>
      <c r="C55" t="s">
        <v>40</v>
      </c>
      <c r="D55">
        <v>5.272068</v>
      </c>
      <c r="E55">
        <v>0.54365240000000004</v>
      </c>
      <c r="F55" t="s">
        <v>41</v>
      </c>
      <c r="G55">
        <v>-472.38200000000001</v>
      </c>
      <c r="H55">
        <v>0.94689659999999998</v>
      </c>
      <c r="I55">
        <v>367.19409999999999</v>
      </c>
      <c r="J55">
        <v>-472.96339999999998</v>
      </c>
      <c r="K55">
        <v>1.110185</v>
      </c>
      <c r="L55">
        <v>367.2867</v>
      </c>
      <c r="M55">
        <v>0.99969509999999995</v>
      </c>
      <c r="N55">
        <v>0</v>
      </c>
      <c r="O55">
        <v>2.1779860000000002E-2</v>
      </c>
      <c r="P55">
        <v>0.99879399999999996</v>
      </c>
      <c r="Q55">
        <v>4.6824890000000001E-2</v>
      </c>
      <c r="R55">
        <v>-1.476908E-2</v>
      </c>
      <c r="S55">
        <v>3.0267330000000001</v>
      </c>
      <c r="T55">
        <v>-0.66760769999999903</v>
      </c>
      <c r="U55">
        <v>-0.36105350000000003</v>
      </c>
      <c r="V55">
        <v>3.6515319999999997E-2</v>
      </c>
      <c r="W55">
        <v>5.8451530000000002E-2</v>
      </c>
      <c r="X55">
        <v>0.99762220000000001</v>
      </c>
      <c r="Y55">
        <v>0.1362989</v>
      </c>
      <c r="Z55">
        <v>-1.9534900000000001E-2</v>
      </c>
      <c r="AA55">
        <v>0.99047510000000005</v>
      </c>
      <c r="AB55">
        <v>8</v>
      </c>
      <c r="AC55">
        <v>0.58140000000003</v>
      </c>
      <c r="AD55">
        <v>-0.163288399999999</v>
      </c>
      <c r="AE55">
        <v>-9.2600000000004401E-2</v>
      </c>
      <c r="AF55">
        <v>9.7724040102021306E-2</v>
      </c>
      <c r="AG55">
        <v>-0.163288399999999</v>
      </c>
      <c r="AH55">
        <v>0.53786829252732704</v>
      </c>
      <c r="AI55">
        <v>106.630589388711</v>
      </c>
      <c r="AJ55">
        <v>79.702391848208805</v>
      </c>
      <c r="AK55">
        <v>0.57053956014871099</v>
      </c>
      <c r="AL55">
        <v>86.649064056845504</v>
      </c>
      <c r="AM55">
        <v>87.9037754408876</v>
      </c>
      <c r="AN55">
        <v>1.0000000019434401</v>
      </c>
    </row>
    <row r="56" spans="1:40" x14ac:dyDescent="0.25">
      <c r="A56" t="str">
        <f>"20190312164218072"</f>
        <v>20190312164218072</v>
      </c>
      <c r="B56" t="str">
        <f>"1552380138064294"</f>
        <v>1552380138064294</v>
      </c>
      <c r="C56" t="s">
        <v>40</v>
      </c>
      <c r="D56">
        <v>5.3034470000000002</v>
      </c>
      <c r="E56">
        <v>0.54366829999999999</v>
      </c>
      <c r="F56" t="s">
        <v>41</v>
      </c>
      <c r="G56">
        <v>-472.23379999999997</v>
      </c>
      <c r="H56">
        <v>0.95191959999999998</v>
      </c>
      <c r="I56">
        <v>367.2</v>
      </c>
      <c r="J56">
        <v>-472.88119999999998</v>
      </c>
      <c r="K56">
        <v>1.1102000000000001</v>
      </c>
      <c r="L56">
        <v>367.28879999999998</v>
      </c>
      <c r="M56">
        <v>0.99968820000000003</v>
      </c>
      <c r="N56">
        <v>0</v>
      </c>
      <c r="O56">
        <v>2.2094300000000001E-2</v>
      </c>
      <c r="P56">
        <v>0.99871799999999999</v>
      </c>
      <c r="Q56">
        <v>4.8632259999999997E-2</v>
      </c>
      <c r="R56">
        <v>-1.4052230000000001E-2</v>
      </c>
      <c r="S56">
        <v>3.0291139999999999</v>
      </c>
      <c r="T56">
        <v>-0.65709269999999997</v>
      </c>
      <c r="U56">
        <v>-0.35992429999999997</v>
      </c>
      <c r="V56">
        <v>3.6111150000000002E-2</v>
      </c>
      <c r="W56">
        <v>6.0248410000000002E-2</v>
      </c>
      <c r="X56">
        <v>0.99753000000000003</v>
      </c>
      <c r="Y56">
        <v>0.13626939999999901</v>
      </c>
      <c r="Z56">
        <v>-1.9284019999999999E-2</v>
      </c>
      <c r="AA56">
        <v>0.99048409999999998</v>
      </c>
      <c r="AB56">
        <v>8</v>
      </c>
      <c r="AC56">
        <v>0.64740000000000397</v>
      </c>
      <c r="AD56">
        <v>-0.15828039999999999</v>
      </c>
      <c r="AE56">
        <v>-8.8799999999991996E-2</v>
      </c>
      <c r="AF56">
        <v>9.7370441807080099E-2</v>
      </c>
      <c r="AG56">
        <v>-0.15828039999999999</v>
      </c>
      <c r="AH56">
        <v>0.60951949925447602</v>
      </c>
      <c r="AI56">
        <v>104.38241334919501</v>
      </c>
      <c r="AJ56">
        <v>80.923717362145695</v>
      </c>
      <c r="AK56">
        <v>0.63721872848598304</v>
      </c>
      <c r="AL56">
        <v>86.545928570059601</v>
      </c>
      <c r="AM56">
        <v>87.926765715188594</v>
      </c>
      <c r="AN56">
        <v>0.99999999348092505</v>
      </c>
    </row>
    <row r="57" spans="1:40" x14ac:dyDescent="0.25">
      <c r="A57" t="str">
        <f>"20190312164218094"</f>
        <v>20190312164218094</v>
      </c>
      <c r="B57" t="str">
        <f>"1552380138083815"</f>
        <v>1552380138083815</v>
      </c>
      <c r="C57" t="s">
        <v>40</v>
      </c>
      <c r="D57">
        <v>5.2697010000000004</v>
      </c>
      <c r="E57">
        <v>0.54354979999999997</v>
      </c>
      <c r="F57" t="s">
        <v>41</v>
      </c>
      <c r="G57">
        <v>-472.15949999999998</v>
      </c>
      <c r="H57">
        <v>0.95490870000000005</v>
      </c>
      <c r="I57">
        <v>367.20310000000001</v>
      </c>
      <c r="J57">
        <v>-472.79880000000003</v>
      </c>
      <c r="K57">
        <v>1.1102179999999999</v>
      </c>
      <c r="L57">
        <v>367.291</v>
      </c>
      <c r="M57">
        <v>0.99968120000000005</v>
      </c>
      <c r="N57">
        <v>0</v>
      </c>
      <c r="O57">
        <v>2.2399079999999998E-2</v>
      </c>
      <c r="P57">
        <v>0.99866500000000002</v>
      </c>
      <c r="Q57">
        <v>4.9983930000000003E-2</v>
      </c>
      <c r="R57">
        <v>-1.303733E-2</v>
      </c>
      <c r="S57">
        <v>3.0306090000000001</v>
      </c>
      <c r="T57">
        <v>-0.65234910000000002</v>
      </c>
      <c r="U57">
        <v>-0.3579407</v>
      </c>
      <c r="V57">
        <v>3.5399449999999999E-2</v>
      </c>
      <c r="W57">
        <v>6.1621530000000001E-2</v>
      </c>
      <c r="X57">
        <v>0.99747160000000001</v>
      </c>
      <c r="Y57">
        <v>0.135930299999999</v>
      </c>
      <c r="Z57">
        <v>-1.9168149999999998E-2</v>
      </c>
      <c r="AA57">
        <v>0.99053290000000005</v>
      </c>
      <c r="AB57">
        <v>8</v>
      </c>
      <c r="AC57">
        <v>0.63930000000004805</v>
      </c>
      <c r="AD57">
        <v>-0.15530929999999901</v>
      </c>
      <c r="AE57">
        <v>-8.78999999999905E-2</v>
      </c>
      <c r="AF57">
        <v>9.6603094765525394E-2</v>
      </c>
      <c r="AG57">
        <v>-0.15530929999999901</v>
      </c>
      <c r="AH57">
        <v>0.602284378142799</v>
      </c>
      <c r="AI57">
        <v>104.284715250071</v>
      </c>
      <c r="AJ57">
        <v>80.887686091817798</v>
      </c>
      <c r="AK57">
        <v>0.62944388847587196</v>
      </c>
      <c r="AL57">
        <v>86.467108007098204</v>
      </c>
      <c r="AM57">
        <v>87.967472743277099</v>
      </c>
      <c r="AN57">
        <v>0.99999996341320097</v>
      </c>
    </row>
    <row r="58" spans="1:40" x14ac:dyDescent="0.25">
      <c r="A58" t="str">
        <f>"20190312164218116"</f>
        <v>20190312164218116</v>
      </c>
      <c r="B58" t="str">
        <f>"1552380138114071"</f>
        <v>1552380138114071</v>
      </c>
      <c r="C58" t="s">
        <v>40</v>
      </c>
      <c r="D58">
        <v>5.134944</v>
      </c>
      <c r="E58">
        <v>0.54344029999999999</v>
      </c>
      <c r="F58" t="s">
        <v>41</v>
      </c>
      <c r="G58">
        <v>-472.08539999999999</v>
      </c>
      <c r="H58">
        <v>0.95761499999999999</v>
      </c>
      <c r="I58">
        <v>367.20760000000001</v>
      </c>
      <c r="J58">
        <v>-472.71890000000002</v>
      </c>
      <c r="K58">
        <v>1.110233</v>
      </c>
      <c r="L58">
        <v>367.29309999999998</v>
      </c>
      <c r="M58">
        <v>0.99967419999999996</v>
      </c>
      <c r="N58">
        <v>0</v>
      </c>
      <c r="O58">
        <v>2.2686990000000001E-2</v>
      </c>
      <c r="P58">
        <v>0.99862519999999999</v>
      </c>
      <c r="Q58">
        <v>5.1033000000000002E-2</v>
      </c>
      <c r="R58">
        <v>-1.1980569999999999E-2</v>
      </c>
      <c r="S58">
        <v>3.03186</v>
      </c>
      <c r="T58">
        <v>-0.64859829999999996</v>
      </c>
      <c r="U58">
        <v>-0.35421750000000002</v>
      </c>
      <c r="V58">
        <v>3.4629809999999997E-2</v>
      </c>
      <c r="W58">
        <v>6.2709470000000003E-2</v>
      </c>
      <c r="X58">
        <v>0.99743090000000001</v>
      </c>
      <c r="Y58">
        <v>0.13502459999999999</v>
      </c>
      <c r="Z58">
        <v>-1.901928E-2</v>
      </c>
      <c r="AA58">
        <v>0.99065970000000003</v>
      </c>
      <c r="AB58">
        <v>8</v>
      </c>
      <c r="AC58">
        <v>0.63350000000002604</v>
      </c>
      <c r="AD58">
        <v>-0.152618</v>
      </c>
      <c r="AE58">
        <v>-8.5499999999967699E-2</v>
      </c>
      <c r="AF58">
        <v>9.4466542546947793E-2</v>
      </c>
      <c r="AG58">
        <v>-0.152618</v>
      </c>
      <c r="AH58">
        <v>0.59734792890960897</v>
      </c>
      <c r="AI58">
        <v>104.16324813998</v>
      </c>
      <c r="AJ58">
        <v>81.013481539372194</v>
      </c>
      <c r="AK58">
        <v>0.62373129611826705</v>
      </c>
      <c r="AL58">
        <v>86.404653148629293</v>
      </c>
      <c r="AM58">
        <v>88.011546163276293</v>
      </c>
      <c r="AN58">
        <v>1.0000000508215601</v>
      </c>
    </row>
    <row r="59" spans="1:40" x14ac:dyDescent="0.25">
      <c r="A59" t="str">
        <f>"20190312164218138"</f>
        <v>20190312164218138</v>
      </c>
      <c r="B59" t="str">
        <f>"1552380138133591"</f>
        <v>1552380138133591</v>
      </c>
      <c r="C59" t="s">
        <v>40</v>
      </c>
      <c r="D59">
        <v>5.171767</v>
      </c>
      <c r="E59">
        <v>0.54330400000000001</v>
      </c>
      <c r="F59" t="s">
        <v>41</v>
      </c>
      <c r="G59">
        <v>-472.01229999999998</v>
      </c>
      <c r="H59">
        <v>0.9588641</v>
      </c>
      <c r="I59">
        <v>367.21120000000002</v>
      </c>
      <c r="J59">
        <v>-472.64210000000003</v>
      </c>
      <c r="K59">
        <v>1.1102449999999999</v>
      </c>
      <c r="L59">
        <v>367.29520000000002</v>
      </c>
      <c r="M59">
        <v>0.99966759999999999</v>
      </c>
      <c r="N59">
        <v>0</v>
      </c>
      <c r="O59">
        <v>2.2960390000000001E-2</v>
      </c>
      <c r="P59">
        <v>0.99857720000000005</v>
      </c>
      <c r="Q59">
        <v>5.2211519999999997E-2</v>
      </c>
      <c r="R59">
        <v>-1.084802E-2</v>
      </c>
      <c r="S59">
        <v>3.0330810000000001</v>
      </c>
      <c r="T59">
        <v>-0.64995729999999996</v>
      </c>
      <c r="U59">
        <v>-0.35015869999999999</v>
      </c>
      <c r="V59">
        <v>3.3769569999999999E-2</v>
      </c>
      <c r="W59">
        <v>6.3915830000000007E-2</v>
      </c>
      <c r="X59">
        <v>0.99738380000000004</v>
      </c>
      <c r="Y59">
        <v>0.13394690000000001</v>
      </c>
      <c r="Z59">
        <v>-1.899617E-2</v>
      </c>
      <c r="AA59">
        <v>0.99080639999999998</v>
      </c>
      <c r="AB59">
        <v>8</v>
      </c>
      <c r="AC59">
        <v>0.62980000000004499</v>
      </c>
      <c r="AD59">
        <v>-0.15138090000000001</v>
      </c>
      <c r="AE59">
        <v>-8.40000000000031E-2</v>
      </c>
      <c r="AF59">
        <v>9.3151570678397605E-2</v>
      </c>
      <c r="AG59">
        <v>-0.15138090000000001</v>
      </c>
      <c r="AH59">
        <v>0.59398755930882396</v>
      </c>
      <c r="AI59">
        <v>104.132085599158</v>
      </c>
      <c r="AJ59">
        <v>81.087233491501706</v>
      </c>
      <c r="AK59">
        <v>0.62001178425761905</v>
      </c>
      <c r="AL59">
        <v>86.335394787990495</v>
      </c>
      <c r="AM59">
        <v>88.060811706054196</v>
      </c>
      <c r="AN59">
        <v>1.0000000308425001</v>
      </c>
    </row>
    <row r="60" spans="1:40" x14ac:dyDescent="0.25">
      <c r="A60" t="str">
        <f>"20190312164218161"</f>
        <v>20190312164218161</v>
      </c>
      <c r="B60" t="str">
        <f>"1552380138154087"</f>
        <v>1552380138154087</v>
      </c>
      <c r="C60" t="s">
        <v>40</v>
      </c>
      <c r="D60">
        <v>5.1461540000000001</v>
      </c>
      <c r="E60">
        <v>0.54320139999999995</v>
      </c>
      <c r="F60" t="s">
        <v>41</v>
      </c>
      <c r="G60">
        <v>-471.9393</v>
      </c>
      <c r="H60">
        <v>0.95960559999999995</v>
      </c>
      <c r="I60">
        <v>367.21510000000001</v>
      </c>
      <c r="J60">
        <v>-472.55619999999999</v>
      </c>
      <c r="K60">
        <v>1.1102650000000001</v>
      </c>
      <c r="L60">
        <v>367.29759999999999</v>
      </c>
      <c r="M60">
        <v>0.99966060000000001</v>
      </c>
      <c r="N60">
        <v>0</v>
      </c>
      <c r="O60">
        <v>2.3259149999999999E-2</v>
      </c>
      <c r="P60">
        <v>0.99853119999999995</v>
      </c>
      <c r="Q60">
        <v>5.3202899999999997E-2</v>
      </c>
      <c r="R60">
        <v>-1.0269E-2</v>
      </c>
      <c r="S60">
        <v>3.0345460000000002</v>
      </c>
      <c r="T60">
        <v>-0.65054509999999999</v>
      </c>
      <c r="U60">
        <v>-0.3450317</v>
      </c>
      <c r="V60">
        <v>3.3486809999999999E-2</v>
      </c>
      <c r="W60">
        <v>6.4923209999999995E-2</v>
      </c>
      <c r="X60">
        <v>0.9973282</v>
      </c>
      <c r="Y60">
        <v>0.1325567</v>
      </c>
      <c r="Z60">
        <v>-1.8922069999999999E-2</v>
      </c>
      <c r="AA60">
        <v>0.99099479999999995</v>
      </c>
      <c r="AB60">
        <v>8</v>
      </c>
      <c r="AC60">
        <v>0.61689999999998602</v>
      </c>
      <c r="AD60">
        <v>-0.1506594</v>
      </c>
      <c r="AE60">
        <v>-8.2499999999981796E-2</v>
      </c>
      <c r="AF60">
        <v>9.1467641901719896E-2</v>
      </c>
      <c r="AG60">
        <v>-0.1506594</v>
      </c>
      <c r="AH60">
        <v>0.58078280532859305</v>
      </c>
      <c r="AI60">
        <v>104.372727162771</v>
      </c>
      <c r="AJ60">
        <v>81.049985234192206</v>
      </c>
      <c r="AK60">
        <v>0.60693760081969805</v>
      </c>
      <c r="AL60">
        <v>86.277555779487301</v>
      </c>
      <c r="AM60">
        <v>88.0769295894697</v>
      </c>
      <c r="AN60">
        <v>0.99999996407795899</v>
      </c>
    </row>
    <row r="61" spans="1:40" x14ac:dyDescent="0.25">
      <c r="A61" t="str">
        <f>"20190312164218184"</f>
        <v>20190312164218184</v>
      </c>
      <c r="B61" t="str">
        <f>"1552380138173607"</f>
        <v>1552380138173607</v>
      </c>
      <c r="C61" t="s">
        <v>40</v>
      </c>
      <c r="D61">
        <v>5.1392319999999998</v>
      </c>
      <c r="E61">
        <v>0.54320970000000002</v>
      </c>
      <c r="F61" t="s">
        <v>41</v>
      </c>
      <c r="G61">
        <v>-471.7989</v>
      </c>
      <c r="H61">
        <v>0.94868079999999999</v>
      </c>
      <c r="I61">
        <v>367.2122</v>
      </c>
      <c r="J61">
        <v>-472.47449999999998</v>
      </c>
      <c r="K61">
        <v>1.110287</v>
      </c>
      <c r="L61">
        <v>367.2998</v>
      </c>
      <c r="M61">
        <v>0.99965380000000004</v>
      </c>
      <c r="N61">
        <v>0</v>
      </c>
      <c r="O61">
        <v>2.353908E-2</v>
      </c>
      <c r="P61">
        <v>0.99848890000000001</v>
      </c>
      <c r="Q61">
        <v>5.4101200000000002E-2</v>
      </c>
      <c r="R61">
        <v>-9.6524669999999996E-3</v>
      </c>
      <c r="S61">
        <v>3.0354000000000001</v>
      </c>
      <c r="T61">
        <v>-0.64762640000000005</v>
      </c>
      <c r="U61">
        <v>-0.34179690000000001</v>
      </c>
      <c r="V61">
        <v>3.3149100000000001E-2</v>
      </c>
      <c r="W61">
        <v>6.5832959999999996E-2</v>
      </c>
      <c r="X61">
        <v>0.9972799</v>
      </c>
      <c r="Y61">
        <v>0.1318029</v>
      </c>
      <c r="Z61">
        <v>-1.8814589999999999E-2</v>
      </c>
      <c r="AA61">
        <v>0.99109740000000002</v>
      </c>
      <c r="AB61">
        <v>8</v>
      </c>
      <c r="AC61">
        <v>0.675599999999974</v>
      </c>
      <c r="AD61">
        <v>-0.16160619999999901</v>
      </c>
      <c r="AE61">
        <v>-8.7600000000008907E-2</v>
      </c>
      <c r="AF61">
        <v>9.79669821081844E-2</v>
      </c>
      <c r="AG61">
        <v>-0.16160619999999901</v>
      </c>
      <c r="AH61">
        <v>0.63747814511372203</v>
      </c>
      <c r="AI61">
        <v>104.066816735324</v>
      </c>
      <c r="AJ61">
        <v>81.263195654109694</v>
      </c>
      <c r="AK61">
        <v>0.66490035265403302</v>
      </c>
      <c r="AL61">
        <v>86.225319395678198</v>
      </c>
      <c r="AM61">
        <v>88.096217023475305</v>
      </c>
      <c r="AN61">
        <v>1.0000000201985899</v>
      </c>
    </row>
    <row r="62" spans="1:40" x14ac:dyDescent="0.25">
      <c r="A62" t="str">
        <f>"20190312164218207"</f>
        <v>20190312164218207</v>
      </c>
      <c r="B62" t="str">
        <f>"1552380138203863"</f>
        <v>1552380138203863</v>
      </c>
      <c r="C62" t="s">
        <v>40</v>
      </c>
      <c r="D62">
        <v>5.20153</v>
      </c>
      <c r="E62">
        <v>0.54331160000000001</v>
      </c>
      <c r="F62" t="s">
        <v>41</v>
      </c>
      <c r="G62">
        <v>-471.7253</v>
      </c>
      <c r="H62">
        <v>0.95089080000000004</v>
      </c>
      <c r="I62">
        <v>367.21550000000002</v>
      </c>
      <c r="J62">
        <v>-472.38929999999999</v>
      </c>
      <c r="K62">
        <v>1.1102989999999999</v>
      </c>
      <c r="L62">
        <v>367.30220000000003</v>
      </c>
      <c r="M62">
        <v>0.9996467</v>
      </c>
      <c r="N62">
        <v>0</v>
      </c>
      <c r="O62">
        <v>2.3833969999999999E-2</v>
      </c>
      <c r="P62">
        <v>0.99844770000000005</v>
      </c>
      <c r="Q62">
        <v>5.4796770000000002E-2</v>
      </c>
      <c r="R62">
        <v>-9.9838289999999996E-3</v>
      </c>
      <c r="S62">
        <v>3.0362550000000001</v>
      </c>
      <c r="T62">
        <v>-0.64619179999999998</v>
      </c>
      <c r="U62">
        <v>-0.33966059999999998</v>
      </c>
      <c r="V62">
        <v>3.3774319999999997E-2</v>
      </c>
      <c r="W62">
        <v>6.6544270000000003E-2</v>
      </c>
      <c r="X62">
        <v>0.99721170000000003</v>
      </c>
      <c r="Y62">
        <v>0.1313947</v>
      </c>
      <c r="Z62">
        <v>-1.878846E-2</v>
      </c>
      <c r="AA62">
        <v>0.99115200000000003</v>
      </c>
      <c r="AB62">
        <v>8</v>
      </c>
      <c r="AC62">
        <v>0.66399999999998705</v>
      </c>
      <c r="AD62">
        <v>-0.159408199999999</v>
      </c>
      <c r="AE62">
        <v>-8.6700000000007493E-2</v>
      </c>
      <c r="AF62">
        <v>9.7005068406930503E-2</v>
      </c>
      <c r="AG62">
        <v>-0.159408199999999</v>
      </c>
      <c r="AH62">
        <v>0.62625570853145096</v>
      </c>
      <c r="AI62">
        <v>104.119364595585</v>
      </c>
      <c r="AJ62">
        <v>81.195035659201494</v>
      </c>
      <c r="AK62">
        <v>0.65346550788247604</v>
      </c>
      <c r="AL62">
        <v>86.184474727175797</v>
      </c>
      <c r="AM62">
        <v>88.060204690910297</v>
      </c>
      <c r="AN62">
        <v>1.00000000958909</v>
      </c>
    </row>
    <row r="63" spans="1:40" x14ac:dyDescent="0.25">
      <c r="A63" t="str">
        <f>"20190312164218228"</f>
        <v>20190312164218228</v>
      </c>
      <c r="B63" t="str">
        <f>"1552380138223382"</f>
        <v>1552380138223382</v>
      </c>
      <c r="C63" t="s">
        <v>40</v>
      </c>
      <c r="D63">
        <v>5.1581890000000001</v>
      </c>
      <c r="E63">
        <v>0.54355149999999997</v>
      </c>
      <c r="F63" t="s">
        <v>41</v>
      </c>
      <c r="G63">
        <v>-471.6644</v>
      </c>
      <c r="H63">
        <v>0.92708089999999999</v>
      </c>
      <c r="I63">
        <v>367.22199999999998</v>
      </c>
      <c r="J63">
        <v>-472.31490000000002</v>
      </c>
      <c r="K63">
        <v>1.1103050000000001</v>
      </c>
      <c r="L63">
        <v>367.30419999999998</v>
      </c>
      <c r="M63">
        <v>0.99964030000000004</v>
      </c>
      <c r="N63">
        <v>0</v>
      </c>
      <c r="O63">
        <v>2.409385E-2</v>
      </c>
      <c r="P63">
        <v>0.99843119999999996</v>
      </c>
      <c r="Q63">
        <v>5.5031719999999999E-2</v>
      </c>
      <c r="R63">
        <v>-1.0348359999999999E-2</v>
      </c>
      <c r="S63">
        <v>3.0434570000000001</v>
      </c>
      <c r="T63">
        <v>-0.76922199999999996</v>
      </c>
      <c r="U63">
        <v>-0.33676149999999999</v>
      </c>
      <c r="V63">
        <v>3.4397869999999997E-2</v>
      </c>
      <c r="W63">
        <v>6.6792630000000006E-2</v>
      </c>
      <c r="X63">
        <v>0.9971738</v>
      </c>
      <c r="Y63">
        <v>0.129133</v>
      </c>
      <c r="Z63">
        <v>-2.1999540000000001E-2</v>
      </c>
      <c r="AA63">
        <v>0.99138320000000002</v>
      </c>
      <c r="AB63">
        <v>8</v>
      </c>
      <c r="AC63">
        <v>0.65050000000002195</v>
      </c>
      <c r="AD63">
        <v>-0.183224099999999</v>
      </c>
      <c r="AE63">
        <v>-8.2200000000000203E-2</v>
      </c>
      <c r="AF63">
        <v>9.0762691381127594E-2</v>
      </c>
      <c r="AG63">
        <v>-0.183224099999999</v>
      </c>
      <c r="AH63">
        <v>0.60137002047784505</v>
      </c>
      <c r="AI63">
        <v>106.76576238421499</v>
      </c>
      <c r="AJ63">
        <v>81.417323270786397</v>
      </c>
      <c r="AK63">
        <v>0.63518094941290504</v>
      </c>
      <c r="AL63">
        <v>86.170213088966094</v>
      </c>
      <c r="AM63">
        <v>88.0243447959364</v>
      </c>
      <c r="AN63">
        <v>1.00000002814464</v>
      </c>
    </row>
    <row r="64" spans="1:40" x14ac:dyDescent="0.25">
      <c r="A64" t="str">
        <f>"20190312164218251"</f>
        <v>20190312164218251</v>
      </c>
      <c r="B64" t="str">
        <f>"1552380138243879"</f>
        <v>1552380138243879</v>
      </c>
      <c r="C64" t="s">
        <v>40</v>
      </c>
      <c r="D64">
        <v>5.0916560000000004</v>
      </c>
      <c r="E64">
        <v>0.54445519999999903</v>
      </c>
      <c r="F64" t="s">
        <v>41</v>
      </c>
      <c r="G64">
        <v>-471.59109999999998</v>
      </c>
      <c r="H64">
        <v>0.92866369999999998</v>
      </c>
      <c r="I64">
        <v>367.22300000000001</v>
      </c>
      <c r="J64">
        <v>-472.23050000000001</v>
      </c>
      <c r="K64">
        <v>1.11032</v>
      </c>
      <c r="L64">
        <v>367.3066</v>
      </c>
      <c r="M64">
        <v>0.99963290000000005</v>
      </c>
      <c r="N64">
        <v>0</v>
      </c>
      <c r="O64">
        <v>2.4391070000000001E-2</v>
      </c>
      <c r="P64">
        <v>0.9984364</v>
      </c>
      <c r="Q64">
        <v>5.4917279999999999E-2</v>
      </c>
      <c r="R64">
        <v>-1.043153E-2</v>
      </c>
      <c r="S64">
        <v>3.043304</v>
      </c>
      <c r="T64">
        <v>-0.76399280000000003</v>
      </c>
      <c r="U64">
        <v>-0.33987430000000002</v>
      </c>
      <c r="V64">
        <v>3.4777460000000003E-2</v>
      </c>
      <c r="W64">
        <v>6.6690330000000006E-2</v>
      </c>
      <c r="X64">
        <v>0.99716749999999998</v>
      </c>
      <c r="Y64">
        <v>0.13044890000000001</v>
      </c>
      <c r="Z64">
        <v>-2.208982E-2</v>
      </c>
      <c r="AA64">
        <v>0.99120889999999995</v>
      </c>
      <c r="AB64">
        <v>8</v>
      </c>
      <c r="AC64">
        <v>0.63940000000002295</v>
      </c>
      <c r="AD64">
        <v>-0.18165629999999999</v>
      </c>
      <c r="AE64">
        <v>-8.3599999999989905E-2</v>
      </c>
      <c r="AF64">
        <v>9.18803605054649E-2</v>
      </c>
      <c r="AG64">
        <v>-0.18165629999999999</v>
      </c>
      <c r="AH64">
        <v>0.59032326550491498</v>
      </c>
      <c r="AI64">
        <v>106.91254961811499</v>
      </c>
      <c r="AJ64">
        <v>81.153229571076196</v>
      </c>
      <c r="AK64">
        <v>0.62443780296574802</v>
      </c>
      <c r="AL64">
        <v>86.176087619236597</v>
      </c>
      <c r="AM64">
        <v>88.002547849574299</v>
      </c>
      <c r="AN64">
        <v>1.0000000474479001</v>
      </c>
    </row>
    <row r="65" spans="1:40" x14ac:dyDescent="0.25">
      <c r="A65" t="str">
        <f>"20190312164218273"</f>
        <v>20190312164218273</v>
      </c>
      <c r="B65" t="str">
        <f>"1552380138263399"</f>
        <v>1552380138263399</v>
      </c>
      <c r="C65" t="s">
        <v>40</v>
      </c>
      <c r="D65">
        <v>6.2298720000000003</v>
      </c>
      <c r="E65">
        <v>0.54443619999999904</v>
      </c>
      <c r="F65" t="s">
        <v>41</v>
      </c>
      <c r="G65">
        <v>-471.50799999999998</v>
      </c>
      <c r="H65">
        <v>0.95067190000000001</v>
      </c>
      <c r="I65">
        <v>367.22300000000001</v>
      </c>
      <c r="J65">
        <v>-472.15179999999998</v>
      </c>
      <c r="K65">
        <v>1.110331</v>
      </c>
      <c r="L65">
        <v>367.30889999999999</v>
      </c>
      <c r="M65">
        <v>0.99962600000000001</v>
      </c>
      <c r="N65">
        <v>0</v>
      </c>
      <c r="O65">
        <v>2.4668120000000002E-2</v>
      </c>
      <c r="P65">
        <v>0.99841849999999999</v>
      </c>
      <c r="Q65">
        <v>5.5113549999999997E-2</v>
      </c>
      <c r="R65">
        <v>-1.110153E-2</v>
      </c>
      <c r="S65">
        <v>3.0379640000000001</v>
      </c>
      <c r="T65">
        <v>-0.67141090000000003</v>
      </c>
      <c r="U65">
        <v>-0.35046389999999999</v>
      </c>
      <c r="V65">
        <v>3.5722379999999998E-2</v>
      </c>
      <c r="W65">
        <v>6.6894899999999993E-2</v>
      </c>
      <c r="X65">
        <v>0.99712029999999996</v>
      </c>
      <c r="Y65">
        <v>0.13526199999999999</v>
      </c>
      <c r="Z65">
        <v>-2.0093110000000001E-2</v>
      </c>
      <c r="AA65">
        <v>0.99060610000000004</v>
      </c>
      <c r="AB65">
        <v>8</v>
      </c>
      <c r="AC65">
        <v>0.64379999999994197</v>
      </c>
      <c r="AD65">
        <v>-0.159659099999999</v>
      </c>
      <c r="AE65">
        <v>-8.5899999999980894E-2</v>
      </c>
      <c r="AF65">
        <v>9.5957969440759502E-2</v>
      </c>
      <c r="AG65">
        <v>-0.159659099999999</v>
      </c>
      <c r="AH65">
        <v>0.60493150069294599</v>
      </c>
      <c r="AI65">
        <v>104.610171612231</v>
      </c>
      <c r="AJ65">
        <v>80.986489131222399</v>
      </c>
      <c r="AK65">
        <v>0.63296214787507099</v>
      </c>
      <c r="AL65">
        <v>86.1643400316552</v>
      </c>
      <c r="AM65">
        <v>87.948224864965894</v>
      </c>
      <c r="AN65">
        <v>0.99999995437548095</v>
      </c>
    </row>
    <row r="66" spans="1:40" x14ac:dyDescent="0.25">
      <c r="A66" t="str">
        <f>"20190312164218296"</f>
        <v>20190312164218296</v>
      </c>
      <c r="B66" t="str">
        <f>"1552380138283895"</f>
        <v>1552380138283895</v>
      </c>
      <c r="C66" t="s">
        <v>40</v>
      </c>
      <c r="D66">
        <v>5.5504119999999997</v>
      </c>
      <c r="E66">
        <v>0.54408369999999995</v>
      </c>
      <c r="F66" t="s">
        <v>41</v>
      </c>
      <c r="G66">
        <v>-471.43529999999998</v>
      </c>
      <c r="H66">
        <v>0.95144410000000001</v>
      </c>
      <c r="I66">
        <v>367.22559999999999</v>
      </c>
      <c r="J66">
        <v>-472.06939999999997</v>
      </c>
      <c r="K66">
        <v>1.1103430000000001</v>
      </c>
      <c r="L66">
        <v>367.31119999999999</v>
      </c>
      <c r="M66">
        <v>0.99961869999999997</v>
      </c>
      <c r="N66">
        <v>0</v>
      </c>
      <c r="O66">
        <v>2.495845E-2</v>
      </c>
      <c r="P66">
        <v>0.99838640000000001</v>
      </c>
      <c r="Q66">
        <v>5.5655219999999998E-2</v>
      </c>
      <c r="R66">
        <v>-1.128847E-2</v>
      </c>
      <c r="S66">
        <v>3.0379939999999999</v>
      </c>
      <c r="T66">
        <v>-0.67373349999999999</v>
      </c>
      <c r="U66">
        <v>-0.35214230000000002</v>
      </c>
      <c r="V66">
        <v>3.6197489999999999E-2</v>
      </c>
      <c r="W66">
        <v>6.7447270000000004E-2</v>
      </c>
      <c r="X66">
        <v>0.99706600000000001</v>
      </c>
      <c r="Y66">
        <v>0.13603709999999999</v>
      </c>
      <c r="Z66">
        <v>-2.030827E-2</v>
      </c>
      <c r="AA66">
        <v>0.99049560000000003</v>
      </c>
      <c r="AB66">
        <v>8</v>
      </c>
      <c r="AC66">
        <v>0.63409999999998901</v>
      </c>
      <c r="AD66">
        <v>-0.15889890000000001</v>
      </c>
      <c r="AE66">
        <v>-8.5599999999999399E-2</v>
      </c>
      <c r="AF66">
        <v>9.5510340764111107E-2</v>
      </c>
      <c r="AG66">
        <v>-0.15889890000000001</v>
      </c>
      <c r="AH66">
        <v>0.59506727438809304</v>
      </c>
      <c r="AI66">
        <v>104.770055313648</v>
      </c>
      <c r="AJ66">
        <v>80.881600659948404</v>
      </c>
      <c r="AK66">
        <v>0.62327854660798299</v>
      </c>
      <c r="AL66">
        <v>86.132620097707999</v>
      </c>
      <c r="AM66">
        <v>87.920846786673707</v>
      </c>
      <c r="AN66">
        <v>1.0000000004343701</v>
      </c>
    </row>
    <row r="67" spans="1:40" x14ac:dyDescent="0.25">
      <c r="A67" t="str">
        <f>"20190312164218320"</f>
        <v>20190312164218320</v>
      </c>
      <c r="B67" t="str">
        <f>"1552380138314151"</f>
        <v>1552380138314151</v>
      </c>
      <c r="C67" t="s">
        <v>40</v>
      </c>
      <c r="D67">
        <v>5.1113030000000004</v>
      </c>
      <c r="E67">
        <v>0.5444021</v>
      </c>
      <c r="F67" t="s">
        <v>41</v>
      </c>
      <c r="G67">
        <v>-471.36169999999998</v>
      </c>
      <c r="H67">
        <v>0.9543374</v>
      </c>
      <c r="I67">
        <v>367.22969999999998</v>
      </c>
      <c r="J67">
        <v>-471.97949999999997</v>
      </c>
      <c r="K67">
        <v>1.110352</v>
      </c>
      <c r="L67">
        <v>367.31380000000001</v>
      </c>
      <c r="M67">
        <v>0.99961049999999996</v>
      </c>
      <c r="N67">
        <v>0</v>
      </c>
      <c r="O67">
        <v>2.527633E-2</v>
      </c>
      <c r="P67">
        <v>0.9983822</v>
      </c>
      <c r="Q67">
        <v>5.5759839999999998E-2</v>
      </c>
      <c r="R67">
        <v>-1.112257E-2</v>
      </c>
      <c r="S67">
        <v>3.0382389999999999</v>
      </c>
      <c r="T67">
        <v>-0.66980410000000001</v>
      </c>
      <c r="U67">
        <v>-0.34970089999999998</v>
      </c>
      <c r="V67">
        <v>3.634838E-2</v>
      </c>
      <c r="W67">
        <v>6.7564780000000005E-2</v>
      </c>
      <c r="X67">
        <v>0.99705259999999996</v>
      </c>
      <c r="Y67">
        <v>0.135604799999999</v>
      </c>
      <c r="Z67">
        <v>-2.0214019999999999E-2</v>
      </c>
      <c r="AA67">
        <v>0.99055680000000002</v>
      </c>
      <c r="AB67">
        <v>8</v>
      </c>
      <c r="AC67">
        <v>0.61779999999998803</v>
      </c>
      <c r="AD67">
        <v>-0.1560146</v>
      </c>
      <c r="AE67">
        <v>-8.4100000000034897E-2</v>
      </c>
      <c r="AF67">
        <v>9.3815895988491105E-2</v>
      </c>
      <c r="AG67">
        <v>-0.1560146</v>
      </c>
      <c r="AH67">
        <v>0.57921090374533502</v>
      </c>
      <c r="AI67">
        <v>104.889965957239</v>
      </c>
      <c r="AJ67">
        <v>80.799595156500899</v>
      </c>
      <c r="AK67">
        <v>0.607146809899197</v>
      </c>
      <c r="AL67">
        <v>86.125872052681004</v>
      </c>
      <c r="AM67">
        <v>87.912159412301506</v>
      </c>
      <c r="AN67">
        <v>1.0000000456959099</v>
      </c>
    </row>
    <row r="68" spans="1:40" x14ac:dyDescent="0.25">
      <c r="A68" t="str">
        <f>"20190312164218340"</f>
        <v>20190312164218340</v>
      </c>
      <c r="B68" t="str">
        <f>"1552380138333671"</f>
        <v>1552380138333671</v>
      </c>
      <c r="C68" t="s">
        <v>40</v>
      </c>
      <c r="D68">
        <v>5.1619190000000001</v>
      </c>
      <c r="E68">
        <v>0.54391199999999995</v>
      </c>
      <c r="F68" t="s">
        <v>41</v>
      </c>
      <c r="G68">
        <v>-471.28769999999997</v>
      </c>
      <c r="H68">
        <v>0.95795830000000004</v>
      </c>
      <c r="I68">
        <v>367.23320000000001</v>
      </c>
      <c r="J68">
        <v>-471.90899999999999</v>
      </c>
      <c r="K68">
        <v>1.110355</v>
      </c>
      <c r="L68">
        <v>367.3159</v>
      </c>
      <c r="M68">
        <v>0.99960400000000005</v>
      </c>
      <c r="N68">
        <v>0</v>
      </c>
      <c r="O68">
        <v>2.5527089999999999E-2</v>
      </c>
      <c r="P68">
        <v>0.99836800000000003</v>
      </c>
      <c r="Q68">
        <v>5.5975480000000001E-2</v>
      </c>
      <c r="R68">
        <v>-1.1336010000000001E-2</v>
      </c>
      <c r="S68">
        <v>3.0383300000000002</v>
      </c>
      <c r="T68">
        <v>-0.66955089999999995</v>
      </c>
      <c r="U68">
        <v>-0.35137940000000001</v>
      </c>
      <c r="V68">
        <v>3.681127E-2</v>
      </c>
      <c r="W68">
        <v>6.7790279999999994E-2</v>
      </c>
      <c r="X68">
        <v>0.99702020000000002</v>
      </c>
      <c r="Y68">
        <v>0.13636899999999999</v>
      </c>
      <c r="Z68">
        <v>-2.0342760000000001E-2</v>
      </c>
      <c r="AA68">
        <v>0.99044920000000003</v>
      </c>
      <c r="AB68">
        <v>8</v>
      </c>
      <c r="AC68">
        <v>0.62130000000001895</v>
      </c>
      <c r="AD68">
        <v>-0.152396699999999</v>
      </c>
      <c r="AE68">
        <v>-8.2699999999988394E-2</v>
      </c>
      <c r="AF68">
        <v>9.3034131095699496E-2</v>
      </c>
      <c r="AG68">
        <v>-0.152396699999999</v>
      </c>
      <c r="AH68">
        <v>0.58443550578133796</v>
      </c>
      <c r="AI68">
        <v>104.44084851837</v>
      </c>
      <c r="AJ68">
        <v>80.955186184860395</v>
      </c>
      <c r="AK68">
        <v>0.61110143522782701</v>
      </c>
      <c r="AL68">
        <v>86.112921734825605</v>
      </c>
      <c r="AM68">
        <v>87.885526475031895</v>
      </c>
      <c r="AN68">
        <v>0.99999993543476295</v>
      </c>
    </row>
    <row r="69" spans="1:40" x14ac:dyDescent="0.25">
      <c r="A69" t="str">
        <f>"20190312164218364"</f>
        <v>20190312164218364</v>
      </c>
      <c r="B69" t="str">
        <f>"1552380138354167"</f>
        <v>1552380138354167</v>
      </c>
      <c r="C69" t="s">
        <v>40</v>
      </c>
      <c r="D69">
        <v>5.155538</v>
      </c>
      <c r="E69">
        <v>0.54399249999999999</v>
      </c>
      <c r="F69" t="s">
        <v>41</v>
      </c>
      <c r="G69">
        <v>-471.21719999999999</v>
      </c>
      <c r="H69">
        <v>0.95430930000000003</v>
      </c>
      <c r="I69">
        <v>367.23689999999999</v>
      </c>
      <c r="J69">
        <v>-471.82380000000001</v>
      </c>
      <c r="K69">
        <v>1.1103609999999999</v>
      </c>
      <c r="L69">
        <v>367.31849999999997</v>
      </c>
      <c r="M69">
        <v>0.99959620000000005</v>
      </c>
      <c r="N69">
        <v>0</v>
      </c>
      <c r="O69">
        <v>2.5829850000000001E-2</v>
      </c>
      <c r="P69">
        <v>0.99838179999999999</v>
      </c>
      <c r="Q69">
        <v>5.5730450000000001E-2</v>
      </c>
      <c r="R69">
        <v>-1.131801E-2</v>
      </c>
      <c r="S69">
        <v>3.0393979999999998</v>
      </c>
      <c r="T69">
        <v>-0.68563030000000003</v>
      </c>
      <c r="U69">
        <v>-0.34680179999999999</v>
      </c>
      <c r="V69">
        <v>3.7096299999999999E-2</v>
      </c>
      <c r="W69">
        <v>6.7556690000000003E-2</v>
      </c>
      <c r="X69">
        <v>0.99702550000000001</v>
      </c>
      <c r="Y69">
        <v>0.13500090000000001</v>
      </c>
      <c r="Z69">
        <v>-2.072951E-2</v>
      </c>
      <c r="AA69">
        <v>0.99062859999999997</v>
      </c>
      <c r="AB69">
        <v>8</v>
      </c>
      <c r="AC69">
        <v>0.60660000000001402</v>
      </c>
      <c r="AD69">
        <v>-0.15605169999999999</v>
      </c>
      <c r="AE69">
        <v>-8.1599999999980299E-2</v>
      </c>
      <c r="AF69">
        <v>9.1306895186964193E-2</v>
      </c>
      <c r="AG69">
        <v>-0.15605169999999999</v>
      </c>
      <c r="AH69">
        <v>0.56740577515391699</v>
      </c>
      <c r="AI69">
        <v>105.191430912344</v>
      </c>
      <c r="AJ69">
        <v>80.858338247411098</v>
      </c>
      <c r="AK69">
        <v>0.59551523562339703</v>
      </c>
      <c r="AL69">
        <v>86.126336245364101</v>
      </c>
      <c r="AM69">
        <v>87.869180438191407</v>
      </c>
      <c r="AN69">
        <v>0.99999994474384601</v>
      </c>
    </row>
    <row r="70" spans="1:40" x14ac:dyDescent="0.25">
      <c r="A70" t="str">
        <f>"20190312164218387"</f>
        <v>20190312164218387</v>
      </c>
      <c r="B70" t="str">
        <f>"1552380138383447"</f>
        <v>1552380138383447</v>
      </c>
      <c r="C70" t="s">
        <v>40</v>
      </c>
      <c r="D70">
        <v>6.18194</v>
      </c>
      <c r="E70">
        <v>0.54392869999999904</v>
      </c>
      <c r="F70" t="s">
        <v>41</v>
      </c>
      <c r="G70">
        <v>-471.07819999999998</v>
      </c>
      <c r="H70">
        <v>0.94233230000000001</v>
      </c>
      <c r="I70">
        <v>367.23289999999997</v>
      </c>
      <c r="J70">
        <v>-471.74189999999999</v>
      </c>
      <c r="K70">
        <v>1.1103639999999999</v>
      </c>
      <c r="L70">
        <v>367.32089999999999</v>
      </c>
      <c r="M70">
        <v>0.99958849999999999</v>
      </c>
      <c r="N70">
        <v>0</v>
      </c>
      <c r="O70">
        <v>2.6118909999999999E-2</v>
      </c>
      <c r="P70">
        <v>0.99835030000000002</v>
      </c>
      <c r="Q70">
        <v>5.6302610000000003E-2</v>
      </c>
      <c r="R70">
        <v>-1.125454E-2</v>
      </c>
      <c r="S70">
        <v>3.0390929999999998</v>
      </c>
      <c r="T70">
        <v>-0.68510450000000001</v>
      </c>
      <c r="U70">
        <v>-0.34768680000000002</v>
      </c>
      <c r="V70">
        <v>3.7320560000000003E-2</v>
      </c>
      <c r="W70">
        <v>6.8138519999999994E-2</v>
      </c>
      <c r="X70">
        <v>0.99697760000000002</v>
      </c>
      <c r="Y70">
        <v>0.1355674</v>
      </c>
      <c r="Z70">
        <v>-2.084275E-2</v>
      </c>
      <c r="AA70">
        <v>0.99054880000000001</v>
      </c>
      <c r="AB70">
        <v>8</v>
      </c>
      <c r="AC70">
        <v>0.66370000000000495</v>
      </c>
      <c r="AD70">
        <v>-0.16803169999999901</v>
      </c>
      <c r="AE70">
        <v>-8.8000000000022199E-2</v>
      </c>
      <c r="AF70">
        <v>9.9066156698716004E-2</v>
      </c>
      <c r="AG70">
        <v>-0.16803169999999901</v>
      </c>
      <c r="AH70">
        <v>0.62199554467233897</v>
      </c>
      <c r="AI70">
        <v>104.937838387657</v>
      </c>
      <c r="AJ70">
        <v>80.950426403553493</v>
      </c>
      <c r="AK70">
        <v>0.651864413202764</v>
      </c>
      <c r="AL70">
        <v>86.092923094523002</v>
      </c>
      <c r="AM70">
        <v>87.856207978962701</v>
      </c>
      <c r="AN70">
        <v>1.0000000085041301</v>
      </c>
    </row>
    <row r="71" spans="1:40" x14ac:dyDescent="0.25">
      <c r="A71" t="str">
        <f>"20190312164218408"</f>
        <v>20190312164218408</v>
      </c>
      <c r="B71" t="str">
        <f>"1552380138403942"</f>
        <v>1552380138403942</v>
      </c>
      <c r="C71" t="s">
        <v>40</v>
      </c>
      <c r="D71">
        <v>5.144825</v>
      </c>
      <c r="E71">
        <v>0.54391219999999996</v>
      </c>
      <c r="F71" t="s">
        <v>41</v>
      </c>
      <c r="G71">
        <v>-471.00450000000001</v>
      </c>
      <c r="H71">
        <v>0.94556499999999999</v>
      </c>
      <c r="I71">
        <v>367.2362</v>
      </c>
      <c r="J71">
        <v>-471.66250000000002</v>
      </c>
      <c r="K71">
        <v>1.110365</v>
      </c>
      <c r="L71">
        <v>367.32330000000002</v>
      </c>
      <c r="M71">
        <v>0.99958100000000005</v>
      </c>
      <c r="N71">
        <v>0</v>
      </c>
      <c r="O71">
        <v>2.639766E-2</v>
      </c>
      <c r="P71">
        <v>0.99836440000000004</v>
      </c>
      <c r="Q71">
        <v>5.6160920000000003E-2</v>
      </c>
      <c r="R71">
        <v>-1.0707629999999999E-2</v>
      </c>
      <c r="S71">
        <v>3.0393979999999998</v>
      </c>
      <c r="T71">
        <v>-0.67951549999999905</v>
      </c>
      <c r="U71">
        <v>-0.34738160000000001</v>
      </c>
      <c r="V71">
        <v>3.7052679999999998E-2</v>
      </c>
      <c r="W71">
        <v>6.8006750000000005E-2</v>
      </c>
      <c r="X71">
        <v>0.99699660000000001</v>
      </c>
      <c r="Y71">
        <v>0.13578699999999999</v>
      </c>
      <c r="Z71">
        <v>-2.076047E-2</v>
      </c>
      <c r="AA71">
        <v>0.99052050000000003</v>
      </c>
      <c r="AB71">
        <v>8</v>
      </c>
      <c r="AC71">
        <v>0.65800000000001502</v>
      </c>
      <c r="AD71">
        <v>-0.1648</v>
      </c>
      <c r="AE71">
        <v>-8.71000000000208E-2</v>
      </c>
      <c r="AF71">
        <v>9.8375855911354407E-2</v>
      </c>
      <c r="AG71">
        <v>-0.1648</v>
      </c>
      <c r="AH71">
        <v>0.61740924166262201</v>
      </c>
      <c r="AI71">
        <v>104.767072617208</v>
      </c>
      <c r="AJ71">
        <v>80.946791190674404</v>
      </c>
      <c r="AK71">
        <v>0.64655318475490098</v>
      </c>
      <c r="AL71">
        <v>86.100490556981001</v>
      </c>
      <c r="AM71">
        <v>87.871622038068296</v>
      </c>
      <c r="AN71">
        <v>1.0000000197761501</v>
      </c>
    </row>
    <row r="72" spans="1:40" x14ac:dyDescent="0.25">
      <c r="A72" t="str">
        <f>"20190312164218429"</f>
        <v>20190312164218429</v>
      </c>
      <c r="B72" t="str">
        <f>"1552380138423463"</f>
        <v>1552380138423463</v>
      </c>
      <c r="C72" t="s">
        <v>40</v>
      </c>
      <c r="D72">
        <v>4.9059990000000004</v>
      </c>
      <c r="E72">
        <v>0.54396750000000005</v>
      </c>
      <c r="F72" t="s">
        <v>41</v>
      </c>
      <c r="G72">
        <v>-470.93189999999998</v>
      </c>
      <c r="H72">
        <v>0.94692129999999997</v>
      </c>
      <c r="I72">
        <v>367.24029999999999</v>
      </c>
      <c r="J72">
        <v>-471.58890000000002</v>
      </c>
      <c r="K72">
        <v>1.110368</v>
      </c>
      <c r="L72">
        <v>367.32560000000001</v>
      </c>
      <c r="M72">
        <v>0.99957410000000002</v>
      </c>
      <c r="N72">
        <v>0</v>
      </c>
      <c r="O72">
        <v>2.6653219999999998E-2</v>
      </c>
      <c r="P72">
        <v>0.99837909999999996</v>
      </c>
      <c r="Q72">
        <v>5.6039400000000003E-2</v>
      </c>
      <c r="R72">
        <v>-9.9533350000000007E-3</v>
      </c>
      <c r="S72">
        <v>3.0394899999999998</v>
      </c>
      <c r="T72">
        <v>-0.67983649999999995</v>
      </c>
      <c r="U72">
        <v>-0.34555049999999998</v>
      </c>
      <c r="V72">
        <v>3.6554209999999997E-2</v>
      </c>
      <c r="W72">
        <v>6.7893510000000004E-2</v>
      </c>
      <c r="X72">
        <v>0.99702270000000004</v>
      </c>
      <c r="Y72">
        <v>0.13544600000000001</v>
      </c>
      <c r="Z72">
        <v>-2.0788870000000001E-2</v>
      </c>
      <c r="AA72">
        <v>0.99056659999999996</v>
      </c>
      <c r="AB72">
        <v>8</v>
      </c>
      <c r="AC72">
        <v>0.657000000000039</v>
      </c>
      <c r="AD72">
        <v>-0.1634467</v>
      </c>
      <c r="AE72">
        <v>-8.5300000000017903E-2</v>
      </c>
      <c r="AF72">
        <v>9.6885251061499603E-2</v>
      </c>
      <c r="AG72">
        <v>-0.1634467</v>
      </c>
      <c r="AH72">
        <v>0.61694313172839699</v>
      </c>
      <c r="AI72">
        <v>104.66661006251201</v>
      </c>
      <c r="AJ72">
        <v>81.075115781967497</v>
      </c>
      <c r="AK72">
        <v>0.64553884732135403</v>
      </c>
      <c r="AL72">
        <v>86.106993690956799</v>
      </c>
      <c r="AM72">
        <v>87.900284237161202</v>
      </c>
      <c r="AN72">
        <v>1.00000000164206</v>
      </c>
    </row>
    <row r="73" spans="1:40" x14ac:dyDescent="0.25">
      <c r="A73" t="str">
        <f>"20190312164218451"</f>
        <v>20190312164218451</v>
      </c>
      <c r="B73" t="str">
        <f>"1552380138443959"</f>
        <v>1552380138443959</v>
      </c>
      <c r="C73" t="s">
        <v>40</v>
      </c>
      <c r="D73">
        <v>5.140555</v>
      </c>
      <c r="E73">
        <v>0.5436493</v>
      </c>
      <c r="F73" t="s">
        <v>41</v>
      </c>
      <c r="G73">
        <v>-470.85969999999998</v>
      </c>
      <c r="H73">
        <v>0.94720579999999999</v>
      </c>
      <c r="I73">
        <v>367.24250000000001</v>
      </c>
      <c r="J73">
        <v>-471.50779999999997</v>
      </c>
      <c r="K73">
        <v>1.110368</v>
      </c>
      <c r="L73">
        <v>367.32810000000001</v>
      </c>
      <c r="M73">
        <v>0.99956659999999997</v>
      </c>
      <c r="N73">
        <v>0</v>
      </c>
      <c r="O73">
        <v>2.693137E-2</v>
      </c>
      <c r="P73">
        <v>0.99841939999999996</v>
      </c>
      <c r="Q73">
        <v>5.5457029999999997E-2</v>
      </c>
      <c r="R73">
        <v>-9.1176279999999991E-3</v>
      </c>
      <c r="S73">
        <v>3.0396420000000002</v>
      </c>
      <c r="T73">
        <v>-0.6804713</v>
      </c>
      <c r="U73">
        <v>-0.3439026</v>
      </c>
      <c r="V73">
        <v>3.5998199999999897E-2</v>
      </c>
      <c r="W73">
        <v>6.7320240000000003E-2</v>
      </c>
      <c r="X73">
        <v>0.99708180000000002</v>
      </c>
      <c r="Y73">
        <v>0.1351783</v>
      </c>
      <c r="Z73">
        <v>-2.083925E-2</v>
      </c>
      <c r="AA73">
        <v>0.99060210000000004</v>
      </c>
      <c r="AB73">
        <v>8</v>
      </c>
      <c r="AC73">
        <v>0.64809999999999901</v>
      </c>
      <c r="AD73">
        <v>-0.16316219999999901</v>
      </c>
      <c r="AE73">
        <v>-8.5599999999999399E-2</v>
      </c>
      <c r="AF73">
        <v>9.6982971650061894E-2</v>
      </c>
      <c r="AG73">
        <v>-0.16316219999999901</v>
      </c>
      <c r="AH73">
        <v>0.60770330495607106</v>
      </c>
      <c r="AI73">
        <v>104.84944359279299</v>
      </c>
      <c r="AJ73">
        <v>80.9326661120636</v>
      </c>
      <c r="AK73">
        <v>0.636656035197537</v>
      </c>
      <c r="AL73">
        <v>86.139914961113107</v>
      </c>
      <c r="AM73">
        <v>87.932316609034899</v>
      </c>
      <c r="AN73">
        <v>1.0000000005040599</v>
      </c>
    </row>
    <row r="74" spans="1:40" x14ac:dyDescent="0.25">
      <c r="A74" t="str">
        <f>"20190312164218473"</f>
        <v>20190312164218473</v>
      </c>
      <c r="B74" t="str">
        <f>"1552380138463479"</f>
        <v>1552380138463479</v>
      </c>
      <c r="C74" t="s">
        <v>40</v>
      </c>
      <c r="D74">
        <v>5.0340749999999996</v>
      </c>
      <c r="E74">
        <v>0.54372980000000004</v>
      </c>
      <c r="F74" t="s">
        <v>41</v>
      </c>
      <c r="G74">
        <v>-470.78750000000002</v>
      </c>
      <c r="H74">
        <v>0.9479223</v>
      </c>
      <c r="I74">
        <v>367.24770000000001</v>
      </c>
      <c r="J74">
        <v>-471.42880000000002</v>
      </c>
      <c r="K74">
        <v>1.110365</v>
      </c>
      <c r="L74">
        <v>367.33049999999997</v>
      </c>
      <c r="M74">
        <v>0.99955939999999999</v>
      </c>
      <c r="N74">
        <v>0</v>
      </c>
      <c r="O74">
        <v>2.7197349999999999E-2</v>
      </c>
      <c r="P74">
        <v>0.99843040000000005</v>
      </c>
      <c r="Q74">
        <v>5.5390429999999997E-2</v>
      </c>
      <c r="R74">
        <v>-8.297123E-3</v>
      </c>
      <c r="S74">
        <v>3.0397340000000002</v>
      </c>
      <c r="T74">
        <v>-0.68555859999999902</v>
      </c>
      <c r="U74">
        <v>-0.338501</v>
      </c>
      <c r="V74">
        <v>3.544419E-2</v>
      </c>
      <c r="W74">
        <v>6.726124E-2</v>
      </c>
      <c r="X74">
        <v>0.99710569999999998</v>
      </c>
      <c r="Y74">
        <v>0.13367129999999999</v>
      </c>
      <c r="Z74">
        <v>-2.0884380000000001E-2</v>
      </c>
      <c r="AA74">
        <v>0.99080559999999995</v>
      </c>
      <c r="AB74">
        <v>8</v>
      </c>
      <c r="AC74">
        <v>0.64130000000000098</v>
      </c>
      <c r="AD74">
        <v>-0.1624427</v>
      </c>
      <c r="AE74">
        <v>-8.2799999999963306E-2</v>
      </c>
      <c r="AF74">
        <v>9.4263306620548201E-2</v>
      </c>
      <c r="AG74">
        <v>-0.1624427</v>
      </c>
      <c r="AH74">
        <v>0.600888587895404</v>
      </c>
      <c r="AI74">
        <v>104.95305626214299</v>
      </c>
      <c r="AJ74">
        <v>81.084489245664003</v>
      </c>
      <c r="AK74">
        <v>0.62955563441308504</v>
      </c>
      <c r="AL74">
        <v>86.143303363868895</v>
      </c>
      <c r="AM74">
        <v>87.964159895067098</v>
      </c>
      <c r="AN74">
        <v>1.00000007099178</v>
      </c>
    </row>
    <row r="75" spans="1:40" x14ac:dyDescent="0.25">
      <c r="A75" t="str">
        <f>"20190312164218496"</f>
        <v>20190312164218496</v>
      </c>
      <c r="B75" t="str">
        <f>"1552380138493735"</f>
        <v>1552380138493735</v>
      </c>
      <c r="C75" t="s">
        <v>40</v>
      </c>
      <c r="D75">
        <v>5.2403370000000002</v>
      </c>
      <c r="E75">
        <v>0.54393840000000004</v>
      </c>
      <c r="F75" t="s">
        <v>41</v>
      </c>
      <c r="G75">
        <v>-470.7149</v>
      </c>
      <c r="H75">
        <v>0.94935460000000005</v>
      </c>
      <c r="I75">
        <v>367.2509</v>
      </c>
      <c r="J75">
        <v>-471.34629999999999</v>
      </c>
      <c r="K75">
        <v>1.1103620000000001</v>
      </c>
      <c r="L75">
        <v>367.3331</v>
      </c>
      <c r="M75">
        <v>0.99955190000000005</v>
      </c>
      <c r="N75">
        <v>0</v>
      </c>
      <c r="O75">
        <v>2.7468920000000001E-2</v>
      </c>
      <c r="P75">
        <v>0.99844069999999996</v>
      </c>
      <c r="Q75">
        <v>5.5299760000000003E-2</v>
      </c>
      <c r="R75">
        <v>-7.6591250000000001E-3</v>
      </c>
      <c r="S75">
        <v>3.0399780000000001</v>
      </c>
      <c r="T75">
        <v>-0.68593789999999999</v>
      </c>
      <c r="U75">
        <v>-0.33734130000000001</v>
      </c>
      <c r="V75">
        <v>3.5078209999999999E-2</v>
      </c>
      <c r="W75">
        <v>6.7177509999999996E-2</v>
      </c>
      <c r="X75">
        <v>0.99712420000000002</v>
      </c>
      <c r="Y75">
        <v>0.13355059999999999</v>
      </c>
      <c r="Z75">
        <v>-2.0941410000000001E-2</v>
      </c>
      <c r="AA75">
        <v>0.9908207</v>
      </c>
      <c r="AB75">
        <v>8</v>
      </c>
      <c r="AC75">
        <v>0.63139999999998497</v>
      </c>
      <c r="AD75">
        <v>-0.16100739999999999</v>
      </c>
      <c r="AE75">
        <v>-8.2200000000000203E-2</v>
      </c>
      <c r="AF75">
        <v>9.3533405358514898E-2</v>
      </c>
      <c r="AG75">
        <v>-0.16100739999999999</v>
      </c>
      <c r="AH75">
        <v>0.59110726294984295</v>
      </c>
      <c r="AI75">
        <v>105.058054145847</v>
      </c>
      <c r="AJ75">
        <v>81.008395737580798</v>
      </c>
      <c r="AK75">
        <v>0.61974162122998899</v>
      </c>
      <c r="AL75">
        <v>86.148111280484201</v>
      </c>
      <c r="AM75">
        <v>87.985200955609301</v>
      </c>
      <c r="AN75">
        <v>0.99999998444612104</v>
      </c>
    </row>
    <row r="76" spans="1:40" x14ac:dyDescent="0.25">
      <c r="A76" t="str">
        <f>"20190312164218518"</f>
        <v>20190312164218518</v>
      </c>
      <c r="B76" t="str">
        <f>"1552380138514231"</f>
        <v>1552380138514231</v>
      </c>
      <c r="C76" t="s">
        <v>40</v>
      </c>
      <c r="D76">
        <v>5.120457</v>
      </c>
      <c r="E76">
        <v>0.54406739999999998</v>
      </c>
      <c r="F76" t="s">
        <v>41</v>
      </c>
      <c r="G76">
        <v>-470.6422</v>
      </c>
      <c r="H76">
        <v>0.9511368</v>
      </c>
      <c r="I76">
        <v>367.25490000000002</v>
      </c>
      <c r="J76">
        <v>-471.26889999999997</v>
      </c>
      <c r="K76">
        <v>1.110352</v>
      </c>
      <c r="L76">
        <v>367.33550000000002</v>
      </c>
      <c r="M76">
        <v>0.99954500000000002</v>
      </c>
      <c r="N76">
        <v>0</v>
      </c>
      <c r="O76">
        <v>2.7716350000000001E-2</v>
      </c>
      <c r="P76">
        <v>0.99845189999999995</v>
      </c>
      <c r="Q76">
        <v>5.5198879999999999E-2</v>
      </c>
      <c r="R76">
        <v>-6.8928899999999996E-3</v>
      </c>
      <c r="S76">
        <v>3.0401919999999998</v>
      </c>
      <c r="T76">
        <v>-0.6875559</v>
      </c>
      <c r="U76">
        <v>-0.33718870000000001</v>
      </c>
      <c r="V76">
        <v>3.4560340000000002E-2</v>
      </c>
      <c r="W76">
        <v>6.7082379999999997E-2</v>
      </c>
      <c r="X76">
        <v>0.9971487</v>
      </c>
      <c r="Y76">
        <v>0.13371060000000001</v>
      </c>
      <c r="Z76">
        <v>-2.1061170000000001E-2</v>
      </c>
      <c r="AA76">
        <v>0.99079660000000003</v>
      </c>
      <c r="AB76">
        <v>8</v>
      </c>
      <c r="AC76">
        <v>0.62669999999997095</v>
      </c>
      <c r="AD76">
        <v>-0.1592152</v>
      </c>
      <c r="AE76">
        <v>-8.0600000000004002E-2</v>
      </c>
      <c r="AF76">
        <v>9.2092858118428295E-2</v>
      </c>
      <c r="AG76">
        <v>-0.1592152</v>
      </c>
      <c r="AH76">
        <v>0.586957494723087</v>
      </c>
      <c r="AI76">
        <v>105.001471117675</v>
      </c>
      <c r="AJ76">
        <v>81.083063391969304</v>
      </c>
      <c r="AK76">
        <v>0.61510135346872996</v>
      </c>
      <c r="AL76">
        <v>86.153574196888798</v>
      </c>
      <c r="AM76">
        <v>88.014970789431601</v>
      </c>
      <c r="AN76">
        <v>0.99999999635953496</v>
      </c>
    </row>
    <row r="77" spans="1:40" x14ac:dyDescent="0.25">
      <c r="A77" t="str">
        <f>"20190312164218539"</f>
        <v>20190312164218539</v>
      </c>
      <c r="B77" t="str">
        <f>"1552380138533753"</f>
        <v>1552380138533753</v>
      </c>
      <c r="C77" t="s">
        <v>40</v>
      </c>
      <c r="D77">
        <v>5.4869240000000001</v>
      </c>
      <c r="E77">
        <v>0.54416830000000005</v>
      </c>
      <c r="F77" t="s">
        <v>41</v>
      </c>
      <c r="G77">
        <v>-470.56979999999999</v>
      </c>
      <c r="H77">
        <v>0.95226010000000005</v>
      </c>
      <c r="I77">
        <v>367.25799999999998</v>
      </c>
      <c r="J77">
        <v>-471.19060000000002</v>
      </c>
      <c r="K77">
        <v>1.1103459999999901</v>
      </c>
      <c r="L77">
        <v>367.33800000000002</v>
      </c>
      <c r="M77">
        <v>0.99953820000000004</v>
      </c>
      <c r="N77">
        <v>0</v>
      </c>
      <c r="O77">
        <v>2.795895E-2</v>
      </c>
      <c r="P77">
        <v>0.99849469999999996</v>
      </c>
      <c r="Q77">
        <v>5.4512640000000001E-2</v>
      </c>
      <c r="R77">
        <v>-6.0873819999999997E-3</v>
      </c>
      <c r="S77">
        <v>3.040375</v>
      </c>
      <c r="T77">
        <v>-0.68782940000000004</v>
      </c>
      <c r="U77">
        <v>-0.33511350000000001</v>
      </c>
      <c r="V77">
        <v>3.3999380000000003E-2</v>
      </c>
      <c r="W77">
        <v>6.6402489999999995E-2</v>
      </c>
      <c r="X77">
        <v>0.99721349999999997</v>
      </c>
      <c r="Y77">
        <v>0.13327809999999901</v>
      </c>
      <c r="Z77">
        <v>-2.107475E-2</v>
      </c>
      <c r="AA77">
        <v>0.99085460000000003</v>
      </c>
      <c r="AB77">
        <v>8</v>
      </c>
      <c r="AC77">
        <v>0.62080000000003099</v>
      </c>
      <c r="AD77">
        <v>-0.158085899999999</v>
      </c>
      <c r="AE77">
        <v>-7.9999999999984001E-2</v>
      </c>
      <c r="AF77">
        <v>9.1490962475054297E-2</v>
      </c>
      <c r="AG77">
        <v>-0.158085899999999</v>
      </c>
      <c r="AH77">
        <v>0.58124473140076105</v>
      </c>
      <c r="AI77">
        <v>105.038538063529</v>
      </c>
      <c r="AJ77">
        <v>81.054739729151507</v>
      </c>
      <c r="AK77">
        <v>0.60926774555573204</v>
      </c>
      <c r="AL77">
        <v>86.192616118301302</v>
      </c>
      <c r="AM77">
        <v>88.047292084061198</v>
      </c>
      <c r="AN77">
        <v>1.00000000655041</v>
      </c>
    </row>
    <row r="78" spans="1:40" x14ac:dyDescent="0.25">
      <c r="A78" t="str">
        <f>"20190312164218565"</f>
        <v>20190312164218565</v>
      </c>
      <c r="B78" t="str">
        <f>"1552380138554247"</f>
        <v>1552380138554247</v>
      </c>
      <c r="C78" t="s">
        <v>40</v>
      </c>
      <c r="D78">
        <v>5.1513720000000003</v>
      </c>
      <c r="E78">
        <v>0.54412130000000003</v>
      </c>
      <c r="F78" t="s">
        <v>41</v>
      </c>
      <c r="G78">
        <v>-470.49759999999998</v>
      </c>
      <c r="H78">
        <v>0.95315660000000002</v>
      </c>
      <c r="I78">
        <v>367.26150000000001</v>
      </c>
      <c r="J78">
        <v>-471.1001</v>
      </c>
      <c r="K78">
        <v>1.110339</v>
      </c>
      <c r="L78">
        <v>367.3408</v>
      </c>
      <c r="M78">
        <v>0.99953040000000004</v>
      </c>
      <c r="N78">
        <v>0</v>
      </c>
      <c r="O78">
        <v>2.822825E-2</v>
      </c>
      <c r="P78">
        <v>0.99850380000000005</v>
      </c>
      <c r="Q78">
        <v>5.4347909999999999E-2</v>
      </c>
      <c r="R78">
        <v>-6.0627950000000002E-3</v>
      </c>
      <c r="S78">
        <v>3.0401609999999999</v>
      </c>
      <c r="T78">
        <v>-0.68984760000000001</v>
      </c>
      <c r="U78">
        <v>-0.333374</v>
      </c>
      <c r="V78">
        <v>3.42446E-2</v>
      </c>
      <c r="W78">
        <v>6.6243570000000002E-2</v>
      </c>
      <c r="X78">
        <v>0.99721570000000004</v>
      </c>
      <c r="Y78">
        <v>0.13296910000000001</v>
      </c>
      <c r="Z78">
        <v>-2.1162819999999999E-2</v>
      </c>
      <c r="AA78">
        <v>0.99089419999999995</v>
      </c>
      <c r="AB78">
        <v>8</v>
      </c>
      <c r="AC78">
        <v>0.60250000000002002</v>
      </c>
      <c r="AD78">
        <v>-0.1571824</v>
      </c>
      <c r="AE78">
        <v>-7.9299999999989199E-2</v>
      </c>
      <c r="AF78">
        <v>9.0239952037832694E-2</v>
      </c>
      <c r="AG78">
        <v>-0.1571824</v>
      </c>
      <c r="AH78">
        <v>0.562396164661081</v>
      </c>
      <c r="AI78">
        <v>105.42722224753</v>
      </c>
      <c r="AJ78">
        <v>80.884238943084497</v>
      </c>
      <c r="AK78">
        <v>0.59087985397967602</v>
      </c>
      <c r="AL78">
        <v>86.201741736786403</v>
      </c>
      <c r="AM78">
        <v>88.033223565615003</v>
      </c>
      <c r="AN78">
        <v>1.00000002776099</v>
      </c>
    </row>
    <row r="79" spans="1:40" x14ac:dyDescent="0.25">
      <c r="A79" t="str">
        <f>"20190312164218588"</f>
        <v>20190312164218588</v>
      </c>
      <c r="B79" t="str">
        <f>"1552380138583526"</f>
        <v>1552380138583526</v>
      </c>
      <c r="C79" t="s">
        <v>40</v>
      </c>
      <c r="D79">
        <v>5.2661930000000003</v>
      </c>
      <c r="E79">
        <v>0.54414490000000004</v>
      </c>
      <c r="F79" t="s">
        <v>41</v>
      </c>
      <c r="G79">
        <v>-470.35910000000001</v>
      </c>
      <c r="H79">
        <v>0.9420094</v>
      </c>
      <c r="I79">
        <v>367.2593</v>
      </c>
      <c r="J79">
        <v>-471.01920000000001</v>
      </c>
      <c r="K79">
        <v>1.110333</v>
      </c>
      <c r="L79">
        <v>367.34339999999997</v>
      </c>
      <c r="M79">
        <v>0.99952370000000001</v>
      </c>
      <c r="N79">
        <v>0</v>
      </c>
      <c r="O79">
        <v>2.8461460000000001E-2</v>
      </c>
      <c r="P79">
        <v>0.99852739999999995</v>
      </c>
      <c r="Q79">
        <v>5.3959229999999997E-2</v>
      </c>
      <c r="R79">
        <v>-5.6076370000000004E-3</v>
      </c>
      <c r="S79">
        <v>3.0400700000000001</v>
      </c>
      <c r="T79">
        <v>-0.69073189999999995</v>
      </c>
      <c r="U79">
        <v>-0.33319090000000001</v>
      </c>
      <c r="V79">
        <v>3.4023789999999998E-2</v>
      </c>
      <c r="W79">
        <v>6.5860550000000004E-2</v>
      </c>
      <c r="X79">
        <v>0.99724860000000004</v>
      </c>
      <c r="Y79">
        <v>0.1331241</v>
      </c>
      <c r="Z79">
        <v>-2.1259500000000001E-2</v>
      </c>
      <c r="AA79">
        <v>0.99087130000000001</v>
      </c>
      <c r="AB79">
        <v>8</v>
      </c>
      <c r="AC79">
        <v>0.66009999999999902</v>
      </c>
      <c r="AD79">
        <v>-0.16832359999999899</v>
      </c>
      <c r="AE79">
        <v>-8.4099999999977998E-2</v>
      </c>
      <c r="AF79">
        <v>9.6669294435603195E-2</v>
      </c>
      <c r="AG79">
        <v>-0.16832359999999899</v>
      </c>
      <c r="AH79">
        <v>0.617902334014788</v>
      </c>
      <c r="AI79">
        <v>105.063508695796</v>
      </c>
      <c r="AJ79">
        <v>81.108293226472298</v>
      </c>
      <c r="AK79">
        <v>0.64767359154481496</v>
      </c>
      <c r="AL79">
        <v>86.223735091601299</v>
      </c>
      <c r="AM79">
        <v>88.045959940734704</v>
      </c>
      <c r="AN79">
        <v>1.0000000002671099</v>
      </c>
    </row>
    <row r="80" spans="1:40" x14ac:dyDescent="0.25">
      <c r="A80" t="str">
        <f>"20190312164218609"</f>
        <v>20190312164218609</v>
      </c>
      <c r="B80" t="str">
        <f>"1552380138604022"</f>
        <v>1552380138604022</v>
      </c>
      <c r="C80" t="s">
        <v>40</v>
      </c>
      <c r="D80">
        <v>4.9857469999999999</v>
      </c>
      <c r="E80">
        <v>0.54413440000000002</v>
      </c>
      <c r="F80" t="s">
        <v>41</v>
      </c>
      <c r="G80">
        <v>-470.2867</v>
      </c>
      <c r="H80">
        <v>0.94336379999999997</v>
      </c>
      <c r="I80">
        <v>367.26330000000002</v>
      </c>
      <c r="J80">
        <v>-470.94200000000001</v>
      </c>
      <c r="K80">
        <v>1.110333</v>
      </c>
      <c r="L80">
        <v>367.34589999999997</v>
      </c>
      <c r="M80">
        <v>0.9995174</v>
      </c>
      <c r="N80">
        <v>0</v>
      </c>
      <c r="O80">
        <v>2.8679340000000001E-2</v>
      </c>
      <c r="P80">
        <v>0.99854370000000003</v>
      </c>
      <c r="Q80">
        <v>5.3655960000000003E-2</v>
      </c>
      <c r="R80">
        <v>-5.6078050000000004E-3</v>
      </c>
      <c r="S80">
        <v>3.0400390000000002</v>
      </c>
      <c r="T80">
        <v>-0.69297119999999901</v>
      </c>
      <c r="U80">
        <v>-0.33175660000000001</v>
      </c>
      <c r="V80">
        <v>3.4242259999999997E-2</v>
      </c>
      <c r="W80">
        <v>6.5567459999999994E-2</v>
      </c>
      <c r="X80">
        <v>0.99726049999999999</v>
      </c>
      <c r="Y80">
        <v>0.132854</v>
      </c>
      <c r="Z80">
        <v>-2.1346049999999998E-2</v>
      </c>
      <c r="AA80">
        <v>0.99090579999999995</v>
      </c>
      <c r="AB80">
        <v>8</v>
      </c>
      <c r="AC80">
        <v>0.65529999999995403</v>
      </c>
      <c r="AD80">
        <v>-0.16696919999999901</v>
      </c>
      <c r="AE80">
        <v>-8.2599999999956694E-2</v>
      </c>
      <c r="AF80">
        <v>9.5272385193329201E-2</v>
      </c>
      <c r="AG80">
        <v>-0.16696919999999901</v>
      </c>
      <c r="AH80">
        <v>0.61345729791924697</v>
      </c>
      <c r="AI80">
        <v>105.053659416941</v>
      </c>
      <c r="AJ80">
        <v>81.172257342541698</v>
      </c>
      <c r="AK80">
        <v>0.64287276929377701</v>
      </c>
      <c r="AL80">
        <v>86.240564529908596</v>
      </c>
      <c r="AM80">
        <v>88.033446131955401</v>
      </c>
      <c r="AN80">
        <v>1.0000000645205001</v>
      </c>
    </row>
    <row r="81" spans="1:40" x14ac:dyDescent="0.25">
      <c r="A81" t="str">
        <f>"20190312164218630"</f>
        <v>20190312164218630</v>
      </c>
      <c r="B81" t="str">
        <f>"1552380138623543"</f>
        <v>1552380138623543</v>
      </c>
      <c r="C81" t="s">
        <v>40</v>
      </c>
      <c r="D81">
        <v>4.8977529999999998</v>
      </c>
      <c r="E81">
        <v>0.54410509999999901</v>
      </c>
      <c r="F81" t="s">
        <v>41</v>
      </c>
      <c r="G81">
        <v>-470.21460000000002</v>
      </c>
      <c r="H81">
        <v>0.94426410000000005</v>
      </c>
      <c r="I81">
        <v>367.26639999999998</v>
      </c>
      <c r="J81">
        <v>-470.8682</v>
      </c>
      <c r="K81">
        <v>1.1103369999999999</v>
      </c>
      <c r="L81">
        <v>367.34820000000002</v>
      </c>
      <c r="M81">
        <v>0.99951140000000005</v>
      </c>
      <c r="N81">
        <v>0</v>
      </c>
      <c r="O81">
        <v>2.8883800000000001E-2</v>
      </c>
      <c r="P81">
        <v>0.99856350000000005</v>
      </c>
      <c r="Q81">
        <v>5.3260219999999997E-2</v>
      </c>
      <c r="R81">
        <v>-5.871373E-3</v>
      </c>
      <c r="S81">
        <v>3.039825</v>
      </c>
      <c r="T81">
        <v>-0.69414310000000001</v>
      </c>
      <c r="U81">
        <v>-0.33209229999999901</v>
      </c>
      <c r="V81">
        <v>3.4710369999999997E-2</v>
      </c>
      <c r="W81">
        <v>6.5187770000000006E-2</v>
      </c>
      <c r="X81">
        <v>0.99726919999999997</v>
      </c>
      <c r="Y81">
        <v>0.1331454</v>
      </c>
      <c r="Z81">
        <v>-2.1461330000000001E-2</v>
      </c>
      <c r="AA81">
        <v>0.99086410000000003</v>
      </c>
      <c r="AB81">
        <v>8</v>
      </c>
      <c r="AC81">
        <v>0.65359999999998297</v>
      </c>
      <c r="AD81">
        <v>-0.1660729</v>
      </c>
      <c r="AE81">
        <v>-8.1800000000043796E-2</v>
      </c>
      <c r="AF81">
        <v>9.4630404914937002E-2</v>
      </c>
      <c r="AG81">
        <v>-0.1660729</v>
      </c>
      <c r="AH81">
        <v>0.61205840142791901</v>
      </c>
      <c r="AI81">
        <v>105.010682198997</v>
      </c>
      <c r="AJ81">
        <v>81.211084331784207</v>
      </c>
      <c r="AK81">
        <v>0.64121026848240303</v>
      </c>
      <c r="AL81">
        <v>86.2623657737863</v>
      </c>
      <c r="AM81">
        <v>88.006601208684202</v>
      </c>
      <c r="AN81">
        <v>1.00000005620587</v>
      </c>
    </row>
    <row r="82" spans="1:40" x14ac:dyDescent="0.25">
      <c r="A82" t="str">
        <f>"20190312164218652"</f>
        <v>20190312164218652</v>
      </c>
      <c r="B82" t="str">
        <f>"1552380138644039"</f>
        <v>1552380138644039</v>
      </c>
      <c r="C82" t="s">
        <v>40</v>
      </c>
      <c r="D82">
        <v>4.8562859999999999</v>
      </c>
      <c r="E82">
        <v>0.53852919999999904</v>
      </c>
      <c r="F82" t="s">
        <v>41</v>
      </c>
      <c r="G82">
        <v>-470.14299999999997</v>
      </c>
      <c r="H82">
        <v>0.94427539999999999</v>
      </c>
      <c r="I82">
        <v>367.26870000000002</v>
      </c>
      <c r="J82">
        <v>-470.78640000000001</v>
      </c>
      <c r="K82">
        <v>1.110341</v>
      </c>
      <c r="L82">
        <v>367.35079999999999</v>
      </c>
      <c r="M82">
        <v>0.99950459999999997</v>
      </c>
      <c r="N82">
        <v>0</v>
      </c>
      <c r="O82">
        <v>2.910741E-2</v>
      </c>
      <c r="P82">
        <v>0.99860009999999999</v>
      </c>
      <c r="Q82">
        <v>5.2542279999999997E-2</v>
      </c>
      <c r="R82">
        <v>-6.1285510000000003E-3</v>
      </c>
      <c r="S82">
        <v>3.0394899999999998</v>
      </c>
      <c r="T82">
        <v>-0.69622910000000005</v>
      </c>
      <c r="U82">
        <v>-0.33093260000000002</v>
      </c>
      <c r="V82">
        <v>3.5191550000000002E-2</v>
      </c>
      <c r="W82">
        <v>6.4495899999999995E-2</v>
      </c>
      <c r="X82">
        <v>0.99729730000000005</v>
      </c>
      <c r="Y82">
        <v>0.13297809999999999</v>
      </c>
      <c r="Z82">
        <v>-2.1558529999999999E-2</v>
      </c>
      <c r="AA82">
        <v>0.99088449999999995</v>
      </c>
      <c r="AB82">
        <v>8</v>
      </c>
      <c r="AC82">
        <v>0.64339999999998498</v>
      </c>
      <c r="AD82">
        <v>-0.16606559999999901</v>
      </c>
      <c r="AE82">
        <v>-8.2099999999968504E-2</v>
      </c>
      <c r="AF82">
        <v>9.4593509997122099E-2</v>
      </c>
      <c r="AG82">
        <v>-0.16606559999999901</v>
      </c>
      <c r="AH82">
        <v>0.60132001663040502</v>
      </c>
      <c r="AI82">
        <v>105.259715966725</v>
      </c>
      <c r="AJ82">
        <v>81.060077529538901</v>
      </c>
      <c r="AK82">
        <v>0.63096075792185902</v>
      </c>
      <c r="AL82">
        <v>86.302090525217395</v>
      </c>
      <c r="AM82">
        <v>87.979046943847393</v>
      </c>
      <c r="AN82">
        <v>1.0000000354477501</v>
      </c>
    </row>
    <row r="83" spans="1:40" x14ac:dyDescent="0.25">
      <c r="A83" t="str">
        <f>"20190312164218675"</f>
        <v>20190312164218675</v>
      </c>
      <c r="B83" t="str">
        <f>"1552380138663562"</f>
        <v>1552380138663562</v>
      </c>
      <c r="C83" t="s">
        <v>40</v>
      </c>
      <c r="D83">
        <v>5.0555580000000004</v>
      </c>
      <c r="E83">
        <v>0.54564009999999996</v>
      </c>
      <c r="F83" t="s">
        <v>41</v>
      </c>
      <c r="G83">
        <v>-470.08080000000001</v>
      </c>
      <c r="H83">
        <v>0.92650290000000002</v>
      </c>
      <c r="I83">
        <v>367.28530000000001</v>
      </c>
      <c r="J83">
        <v>-470.70670000000001</v>
      </c>
      <c r="K83">
        <v>1.110355</v>
      </c>
      <c r="L83">
        <v>367.35340000000002</v>
      </c>
      <c r="M83">
        <v>0.99949779999999999</v>
      </c>
      <c r="N83">
        <v>0</v>
      </c>
      <c r="O83">
        <v>2.932384E-2</v>
      </c>
      <c r="P83">
        <v>0.99859129999999996</v>
      </c>
      <c r="Q83">
        <v>5.2711309999999997E-2</v>
      </c>
      <c r="R83">
        <v>-6.0887049999999998E-3</v>
      </c>
      <c r="S83">
        <v>3.0442200000000001</v>
      </c>
      <c r="T83">
        <v>-0.79319229999999996</v>
      </c>
      <c r="U83">
        <v>-0.28222659999999899</v>
      </c>
      <c r="V83">
        <v>3.5367019999999999E-2</v>
      </c>
      <c r="W83">
        <v>6.4697169999999998E-2</v>
      </c>
      <c r="X83">
        <v>0.997278</v>
      </c>
      <c r="Y83">
        <v>0.11663850000000001</v>
      </c>
      <c r="Z83">
        <v>-2.241752E-2</v>
      </c>
      <c r="AA83">
        <v>0.99292139999999995</v>
      </c>
      <c r="AB83">
        <v>8</v>
      </c>
      <c r="AC83">
        <v>0.62590000000000101</v>
      </c>
      <c r="AD83">
        <v>-0.18385209999999999</v>
      </c>
      <c r="AE83">
        <v>-6.8100000000015301E-2</v>
      </c>
      <c r="AF83">
        <v>7.9635034178763497E-2</v>
      </c>
      <c r="AG83">
        <v>-0.18385209999999999</v>
      </c>
      <c r="AH83">
        <v>0.57463253473015097</v>
      </c>
      <c r="AI83">
        <v>107.58436762718</v>
      </c>
      <c r="AJ83">
        <v>82.109960702674798</v>
      </c>
      <c r="AK83">
        <v>0.60856050094749103</v>
      </c>
      <c r="AL83">
        <v>86.2905342613453</v>
      </c>
      <c r="AM83">
        <v>87.968939334258096</v>
      </c>
      <c r="AN83">
        <v>0.99999997959684395</v>
      </c>
    </row>
    <row r="84" spans="1:40" x14ac:dyDescent="0.25">
      <c r="A84" t="str">
        <f>"20190312164218696"</f>
        <v>20190312164218696</v>
      </c>
      <c r="B84" t="str">
        <f>"1552380138693815"</f>
        <v>1552380138693815</v>
      </c>
      <c r="C84" t="s">
        <v>40</v>
      </c>
      <c r="D84">
        <v>4.7222650000000002</v>
      </c>
      <c r="E84">
        <v>0.54542880000000005</v>
      </c>
      <c r="F84" t="s">
        <v>41</v>
      </c>
      <c r="G84">
        <v>-470.00209999999998</v>
      </c>
      <c r="H84">
        <v>0.93971919999999998</v>
      </c>
      <c r="I84">
        <v>367.27390000000003</v>
      </c>
      <c r="J84">
        <v>-470.62869999999998</v>
      </c>
      <c r="K84">
        <v>1.110365</v>
      </c>
      <c r="L84">
        <v>367.35599999999999</v>
      </c>
      <c r="M84">
        <v>0.99949120000000002</v>
      </c>
      <c r="N84">
        <v>0</v>
      </c>
      <c r="O84">
        <v>2.953536E-2</v>
      </c>
      <c r="P84">
        <v>0.99862070000000003</v>
      </c>
      <c r="Q84">
        <v>5.2085649999999997E-2</v>
      </c>
      <c r="R84">
        <v>-6.6460869999999898E-3</v>
      </c>
      <c r="S84">
        <v>3.0410159999999999</v>
      </c>
      <c r="T84">
        <v>-0.73659519999999901</v>
      </c>
      <c r="U84">
        <v>-0.34219359999999999</v>
      </c>
      <c r="V84">
        <v>3.613599E-2</v>
      </c>
      <c r="W84">
        <v>6.41095E-2</v>
      </c>
      <c r="X84">
        <v>0.99728839999999996</v>
      </c>
      <c r="Y84">
        <v>0.13638129999999901</v>
      </c>
      <c r="Z84">
        <v>-2.326609E-2</v>
      </c>
      <c r="AA84">
        <v>0.99038309999999996</v>
      </c>
      <c r="AB84">
        <v>8</v>
      </c>
      <c r="AC84">
        <v>0.62659999999999605</v>
      </c>
      <c r="AD84">
        <v>-0.17064579999999999</v>
      </c>
      <c r="AE84">
        <v>-8.2099999999968504E-2</v>
      </c>
      <c r="AF84">
        <v>9.3737489719893902E-2</v>
      </c>
      <c r="AG84">
        <v>-0.17064579999999999</v>
      </c>
      <c r="AH84">
        <v>0.581501294551932</v>
      </c>
      <c r="AI84">
        <v>106.157215168185</v>
      </c>
      <c r="AJ84">
        <v>80.842746752627903</v>
      </c>
      <c r="AK84">
        <v>0.61322953418944204</v>
      </c>
      <c r="AL84">
        <v>86.324275379080007</v>
      </c>
      <c r="AM84">
        <v>87.924838671372996</v>
      </c>
      <c r="AN84">
        <v>0.99999999526904404</v>
      </c>
    </row>
    <row r="85" spans="1:40" x14ac:dyDescent="0.25">
      <c r="A85" t="str">
        <f>"20190312164218719"</f>
        <v>20190312164218719</v>
      </c>
      <c r="B85" t="str">
        <f>"1552380138714311"</f>
        <v>1552380138714311</v>
      </c>
      <c r="C85" t="s">
        <v>40</v>
      </c>
      <c r="D85">
        <v>4.9398339999999896</v>
      </c>
      <c r="E85">
        <v>0.54521409999999904</v>
      </c>
      <c r="F85" t="s">
        <v>41</v>
      </c>
      <c r="G85">
        <v>-469.92860000000002</v>
      </c>
      <c r="H85">
        <v>0.94387779999999999</v>
      </c>
      <c r="I85">
        <v>367.27710000000002</v>
      </c>
      <c r="J85">
        <v>-470.54849999999999</v>
      </c>
      <c r="K85">
        <v>1.110366</v>
      </c>
      <c r="L85">
        <v>367.35860000000002</v>
      </c>
      <c r="M85">
        <v>0.99948429999999999</v>
      </c>
      <c r="N85">
        <v>0</v>
      </c>
      <c r="O85">
        <v>2.9752859999999999E-2</v>
      </c>
      <c r="P85">
        <v>0.99864240000000004</v>
      </c>
      <c r="Q85">
        <v>5.1641850000000003E-2</v>
      </c>
      <c r="R85">
        <v>-6.8334420000000003E-3</v>
      </c>
      <c r="S85">
        <v>3.0395810000000001</v>
      </c>
      <c r="T85">
        <v>-0.72291249999999996</v>
      </c>
      <c r="U85">
        <v>-0.34259030000000001</v>
      </c>
      <c r="V85">
        <v>3.6540690000000001E-2</v>
      </c>
      <c r="W85">
        <v>6.3709310000000005E-2</v>
      </c>
      <c r="X85">
        <v>0.9972993</v>
      </c>
      <c r="Y85">
        <v>0.1369234</v>
      </c>
      <c r="Z85">
        <v>-2.297018E-2</v>
      </c>
      <c r="AA85">
        <v>0.99031530000000001</v>
      </c>
      <c r="AB85">
        <v>8</v>
      </c>
      <c r="AC85">
        <v>0.61989999999997203</v>
      </c>
      <c r="AD85">
        <v>-0.166488199999999</v>
      </c>
      <c r="AE85">
        <v>-8.1500000000005401E-2</v>
      </c>
      <c r="AF85">
        <v>9.3293984670058394E-2</v>
      </c>
      <c r="AG85">
        <v>-0.166488199999999</v>
      </c>
      <c r="AH85">
        <v>0.57633506311899096</v>
      </c>
      <c r="AI85">
        <v>105.91613775827599</v>
      </c>
      <c r="AJ85">
        <v>80.8050303646407</v>
      </c>
      <c r="AK85">
        <v>0.60711135164418395</v>
      </c>
      <c r="AL85">
        <v>86.347251550077104</v>
      </c>
      <c r="AM85">
        <v>87.901641765205298</v>
      </c>
      <c r="AN85">
        <v>0.99999999599342104</v>
      </c>
    </row>
    <row r="86" spans="1:40" x14ac:dyDescent="0.25">
      <c r="A86" t="str">
        <f>"20190312164218742"</f>
        <v>20190312164218742</v>
      </c>
      <c r="B86" t="str">
        <f>"1552380138733832"</f>
        <v>1552380138733832</v>
      </c>
      <c r="C86" t="s">
        <v>40</v>
      </c>
      <c r="D86">
        <v>4.8538949999999996</v>
      </c>
      <c r="E86">
        <v>0.54501379999999999</v>
      </c>
      <c r="F86" t="s">
        <v>41</v>
      </c>
      <c r="G86">
        <v>-469.85610000000003</v>
      </c>
      <c r="H86">
        <v>0.9459651</v>
      </c>
      <c r="I86">
        <v>367.28030000000001</v>
      </c>
      <c r="J86">
        <v>-470.4667</v>
      </c>
      <c r="K86">
        <v>1.110371</v>
      </c>
      <c r="L86">
        <v>367.36130000000003</v>
      </c>
      <c r="M86">
        <v>0.99947699999999995</v>
      </c>
      <c r="N86">
        <v>0</v>
      </c>
      <c r="O86">
        <v>2.9975109999999999E-2</v>
      </c>
      <c r="P86">
        <v>0.99865130000000002</v>
      </c>
      <c r="Q86">
        <v>5.1478669999999997E-2</v>
      </c>
      <c r="R86">
        <v>-6.7696839999999998E-3</v>
      </c>
      <c r="S86">
        <v>3.0390929999999998</v>
      </c>
      <c r="T86">
        <v>-0.72187400000000002</v>
      </c>
      <c r="U86">
        <v>-0.34133909999999901</v>
      </c>
      <c r="V86">
        <v>3.6698710000000002E-2</v>
      </c>
      <c r="W86">
        <v>6.3593189999999994E-2</v>
      </c>
      <c r="X86">
        <v>0.99730090000000005</v>
      </c>
      <c r="Y86">
        <v>0.1367681</v>
      </c>
      <c r="Z86">
        <v>-2.297594E-2</v>
      </c>
      <c r="AA86">
        <v>0.99033660000000001</v>
      </c>
      <c r="AB86">
        <v>8</v>
      </c>
      <c r="AC86">
        <v>0.61059999999997605</v>
      </c>
      <c r="AD86">
        <v>-0.16440589999999999</v>
      </c>
      <c r="AE86">
        <v>-8.1000000000017197E-2</v>
      </c>
      <c r="AF86">
        <v>9.2665905703131005E-2</v>
      </c>
      <c r="AG86">
        <v>-0.16440589999999999</v>
      </c>
      <c r="AH86">
        <v>0.56746896230843602</v>
      </c>
      <c r="AI86">
        <v>105.956856841963</v>
      </c>
      <c r="AJ86">
        <v>80.725636675999596</v>
      </c>
      <c r="AK86">
        <v>0.59802783649091595</v>
      </c>
      <c r="AL86">
        <v>86.353918222406506</v>
      </c>
      <c r="AM86">
        <v>87.892578969770994</v>
      </c>
      <c r="AN86">
        <v>0.99999998713542504</v>
      </c>
    </row>
    <row r="87" spans="1:40" x14ac:dyDescent="0.25">
      <c r="A87" t="str">
        <f>"20190312164218765"</f>
        <v>20190312164218765</v>
      </c>
      <c r="B87" t="str">
        <f>"1552380138754328"</f>
        <v>1552380138754328</v>
      </c>
      <c r="C87" t="s">
        <v>40</v>
      </c>
      <c r="D87">
        <v>4.965211</v>
      </c>
      <c r="E87">
        <v>0.54495249999999995</v>
      </c>
      <c r="F87" t="s">
        <v>41</v>
      </c>
      <c r="G87">
        <v>-469.71899999999999</v>
      </c>
      <c r="H87">
        <v>0.93288660000000001</v>
      </c>
      <c r="I87">
        <v>367.27730000000003</v>
      </c>
      <c r="J87">
        <v>-470.38490000000002</v>
      </c>
      <c r="K87">
        <v>1.110379</v>
      </c>
      <c r="L87">
        <v>367.36399999999998</v>
      </c>
      <c r="M87">
        <v>0.99946970000000002</v>
      </c>
      <c r="N87">
        <v>0</v>
      </c>
      <c r="O87">
        <v>3.019782E-2</v>
      </c>
      <c r="P87">
        <v>0.99863760000000001</v>
      </c>
      <c r="Q87">
        <v>5.1754960000000003E-2</v>
      </c>
      <c r="R87">
        <v>-6.6822899999999996E-3</v>
      </c>
      <c r="S87">
        <v>3.0389400000000002</v>
      </c>
      <c r="T87">
        <v>-0.72154050000000003</v>
      </c>
      <c r="U87">
        <v>-0.33963009999999999</v>
      </c>
      <c r="V87">
        <v>3.6832910000000003E-2</v>
      </c>
      <c r="W87">
        <v>6.3917740000000001E-2</v>
      </c>
      <c r="X87">
        <v>0.99727520000000003</v>
      </c>
      <c r="Y87">
        <v>0.13645019999999999</v>
      </c>
      <c r="Z87">
        <v>-2.2982309999999999E-2</v>
      </c>
      <c r="AA87">
        <v>0.99038029999999999</v>
      </c>
      <c r="AB87">
        <v>8</v>
      </c>
      <c r="AC87">
        <v>0.66590000000002103</v>
      </c>
      <c r="AD87">
        <v>-0.17749239999999999</v>
      </c>
      <c r="AE87">
        <v>-8.6700000000007493E-2</v>
      </c>
      <c r="AF87">
        <v>9.9798547811106794E-2</v>
      </c>
      <c r="AG87">
        <v>-0.17749239999999999</v>
      </c>
      <c r="AH87">
        <v>0.61968545169996203</v>
      </c>
      <c r="AI87">
        <v>105.789828198023</v>
      </c>
      <c r="AJ87">
        <v>80.851235501713703</v>
      </c>
      <c r="AK87">
        <v>0.65228319099264898</v>
      </c>
      <c r="AL87">
        <v>86.335284951939201</v>
      </c>
      <c r="AM87">
        <v>87.884825072696998</v>
      </c>
      <c r="AN87">
        <v>0.99999998264040701</v>
      </c>
    </row>
    <row r="88" spans="1:40" x14ac:dyDescent="0.25">
      <c r="A88" t="str">
        <f>"20190312164218790"</f>
        <v>20190312164218790</v>
      </c>
      <c r="B88" t="str">
        <f>"1552380138783608"</f>
        <v>1552380138783608</v>
      </c>
      <c r="C88" t="s">
        <v>40</v>
      </c>
      <c r="D88">
        <v>4.7098990000000001</v>
      </c>
      <c r="E88">
        <v>0.54450319999999997</v>
      </c>
      <c r="F88" t="s">
        <v>41</v>
      </c>
      <c r="G88">
        <v>-469.64659999999998</v>
      </c>
      <c r="H88">
        <v>0.93546870000000004</v>
      </c>
      <c r="I88">
        <v>367.28140000000002</v>
      </c>
      <c r="J88">
        <v>-470.29500000000002</v>
      </c>
      <c r="K88">
        <v>1.1103889999999901</v>
      </c>
      <c r="L88">
        <v>367.36700000000002</v>
      </c>
      <c r="M88">
        <v>0.99946159999999995</v>
      </c>
      <c r="N88">
        <v>0</v>
      </c>
      <c r="O88">
        <v>3.044272E-2</v>
      </c>
      <c r="P88">
        <v>0.9986351</v>
      </c>
      <c r="Q88">
        <v>5.1866330000000002E-2</v>
      </c>
      <c r="R88">
        <v>-6.1631790000000004E-3</v>
      </c>
      <c r="S88">
        <v>3.0390929999999998</v>
      </c>
      <c r="T88">
        <v>-0.71993759999999996</v>
      </c>
      <c r="U88">
        <v>-0.33956910000000001</v>
      </c>
      <c r="V88">
        <v>3.6558130000000001E-2</v>
      </c>
      <c r="W88">
        <v>6.4082860000000005E-2</v>
      </c>
      <c r="X88">
        <v>0.99727480000000002</v>
      </c>
      <c r="Y88">
        <v>0.1366752</v>
      </c>
      <c r="Z88">
        <v>-2.3014840000000002E-2</v>
      </c>
      <c r="AA88">
        <v>0.99034849999999996</v>
      </c>
      <c r="AB88">
        <v>8</v>
      </c>
      <c r="AC88">
        <v>0.64840000000003695</v>
      </c>
      <c r="AD88">
        <v>-0.174920299999999</v>
      </c>
      <c r="AE88">
        <v>-8.5599999999942597E-2</v>
      </c>
      <c r="AF88">
        <v>9.8271462948113897E-2</v>
      </c>
      <c r="AG88">
        <v>-0.174920299999999</v>
      </c>
      <c r="AH88">
        <v>0.60240321157576204</v>
      </c>
      <c r="AI88">
        <v>105.991378253718</v>
      </c>
      <c r="AJ88">
        <v>80.734817363198999</v>
      </c>
      <c r="AK88">
        <v>0.63493623388403697</v>
      </c>
      <c r="AL88">
        <v>86.325805152304099</v>
      </c>
      <c r="AM88">
        <v>87.9005896360772</v>
      </c>
      <c r="AN88">
        <v>1.0000000682649499</v>
      </c>
    </row>
    <row r="89" spans="1:40" x14ac:dyDescent="0.25">
      <c r="A89" t="str">
        <f>"20190312164218810"</f>
        <v>20190312164218810</v>
      </c>
      <c r="B89" t="str">
        <f>"1552380138804103"</f>
        <v>1552380138804103</v>
      </c>
      <c r="C89" t="s">
        <v>40</v>
      </c>
      <c r="D89">
        <v>4.8575530000000002</v>
      </c>
      <c r="E89">
        <v>0.54461930000000003</v>
      </c>
      <c r="F89" t="s">
        <v>41</v>
      </c>
      <c r="G89">
        <v>-469.57440000000003</v>
      </c>
      <c r="H89">
        <v>0.9378862</v>
      </c>
      <c r="I89">
        <v>367.28769999999997</v>
      </c>
      <c r="J89">
        <v>-470.22129999999999</v>
      </c>
      <c r="K89">
        <v>1.110406</v>
      </c>
      <c r="L89">
        <v>367.36939999999998</v>
      </c>
      <c r="M89">
        <v>0.99945499999999998</v>
      </c>
      <c r="N89">
        <v>0</v>
      </c>
      <c r="O89">
        <v>3.0643090000000001E-2</v>
      </c>
      <c r="P89">
        <v>0.99864379999999997</v>
      </c>
      <c r="Q89">
        <v>5.1784049999999998E-2</v>
      </c>
      <c r="R89">
        <v>-5.4003940000000002E-3</v>
      </c>
      <c r="S89">
        <v>3.0398559999999999</v>
      </c>
      <c r="T89">
        <v>-0.72780349999999905</v>
      </c>
      <c r="U89">
        <v>-0.33404539999999999</v>
      </c>
      <c r="V89">
        <v>3.5995949999999999E-2</v>
      </c>
      <c r="W89">
        <v>6.4046210000000006E-2</v>
      </c>
      <c r="X89">
        <v>0.99729749999999995</v>
      </c>
      <c r="Y89">
        <v>0.1350114</v>
      </c>
      <c r="Z89">
        <v>-2.310736E-2</v>
      </c>
      <c r="AA89">
        <v>0.99057459999999997</v>
      </c>
      <c r="AB89">
        <v>8</v>
      </c>
      <c r="AC89">
        <v>0.64689999999995895</v>
      </c>
      <c r="AD89">
        <v>-0.1725198</v>
      </c>
      <c r="AE89">
        <v>-8.1700000000012096E-2</v>
      </c>
      <c r="AF89">
        <v>9.4846383449242802E-2</v>
      </c>
      <c r="AG89">
        <v>-0.1725198</v>
      </c>
      <c r="AH89">
        <v>0.60195254735885295</v>
      </c>
      <c r="AI89">
        <v>105.807219725461</v>
      </c>
      <c r="AJ89">
        <v>81.045832348991595</v>
      </c>
      <c r="AK89">
        <v>0.63332913016633996</v>
      </c>
      <c r="AL89">
        <v>86.327908983371302</v>
      </c>
      <c r="AM89">
        <v>87.932892525524395</v>
      </c>
      <c r="AN89">
        <v>0.99999996446900696</v>
      </c>
    </row>
    <row r="90" spans="1:40" x14ac:dyDescent="0.25">
      <c r="A90" t="str">
        <f>"20190312164218831"</f>
        <v>20190312164218831</v>
      </c>
      <c r="B90" t="str">
        <f>"1552380138823623"</f>
        <v>1552380138823623</v>
      </c>
      <c r="C90" t="s">
        <v>40</v>
      </c>
      <c r="D90">
        <v>5.0390709999999999</v>
      </c>
      <c r="E90">
        <v>0.5446915</v>
      </c>
      <c r="F90" t="s">
        <v>41</v>
      </c>
      <c r="G90">
        <v>-469.5027</v>
      </c>
      <c r="H90">
        <v>0.93877239999999995</v>
      </c>
      <c r="I90">
        <v>367.29059999999998</v>
      </c>
      <c r="J90">
        <v>-470.14620000000002</v>
      </c>
      <c r="K90">
        <v>1.110412</v>
      </c>
      <c r="L90">
        <v>367.37200000000001</v>
      </c>
      <c r="M90">
        <v>0.99944820000000001</v>
      </c>
      <c r="N90">
        <v>0</v>
      </c>
      <c r="O90">
        <v>3.084721E-2</v>
      </c>
      <c r="P90">
        <v>0.99861290000000003</v>
      </c>
      <c r="Q90">
        <v>5.2444350000000001E-2</v>
      </c>
      <c r="R90">
        <v>-4.6768779999999998E-3</v>
      </c>
      <c r="S90">
        <v>3.039917</v>
      </c>
      <c r="T90">
        <v>-0.7261592</v>
      </c>
      <c r="U90">
        <v>-0.33255000000000001</v>
      </c>
      <c r="V90">
        <v>3.5475380000000001E-2</v>
      </c>
      <c r="W90">
        <v>6.4738099999999896E-2</v>
      </c>
      <c r="X90">
        <v>0.99727149999999998</v>
      </c>
      <c r="Y90">
        <v>0.13475200000000001</v>
      </c>
      <c r="Z90">
        <v>-2.3074219999999999E-2</v>
      </c>
      <c r="AA90">
        <v>0.99061069999999996</v>
      </c>
      <c r="AB90">
        <v>8</v>
      </c>
      <c r="AC90">
        <v>0.64350000000001695</v>
      </c>
      <c r="AD90">
        <v>-0.1716396</v>
      </c>
      <c r="AE90">
        <v>-8.1399999999973702E-2</v>
      </c>
      <c r="AF90">
        <v>9.4589459747017005E-2</v>
      </c>
      <c r="AG90">
        <v>-0.1716396</v>
      </c>
      <c r="AH90">
        <v>0.59875561528124399</v>
      </c>
      <c r="AI90">
        <v>105.8094207251</v>
      </c>
      <c r="AJ90">
        <v>81.022789332869905</v>
      </c>
      <c r="AK90">
        <v>0.63001238481018296</v>
      </c>
      <c r="AL90">
        <v>86.288184236470997</v>
      </c>
      <c r="AM90">
        <v>87.962708394107096</v>
      </c>
      <c r="AN90">
        <v>0.99999998444500204</v>
      </c>
    </row>
    <row r="91" spans="1:40" x14ac:dyDescent="0.25">
      <c r="A91" t="str">
        <f>"20190312164218853"</f>
        <v>20190312164218853</v>
      </c>
      <c r="B91" t="str">
        <f>"1552380138844119"</f>
        <v>1552380138844119</v>
      </c>
      <c r="C91" t="s">
        <v>40</v>
      </c>
      <c r="D91">
        <v>4.7924340000000001</v>
      </c>
      <c r="E91">
        <v>0.54469380000000001</v>
      </c>
      <c r="F91" t="s">
        <v>41</v>
      </c>
      <c r="G91">
        <v>-469.43060000000003</v>
      </c>
      <c r="H91">
        <v>0.94063779999999997</v>
      </c>
      <c r="I91">
        <v>367.29329999999999</v>
      </c>
      <c r="J91">
        <v>-470.06729999999999</v>
      </c>
      <c r="K91">
        <v>1.1103609999999999</v>
      </c>
      <c r="L91">
        <v>367.37470000000002</v>
      </c>
      <c r="M91">
        <v>0.99944390000000005</v>
      </c>
      <c r="N91">
        <v>0</v>
      </c>
      <c r="O91">
        <v>3.1062880000000001E-2</v>
      </c>
      <c r="P91">
        <v>0.99857439999999997</v>
      </c>
      <c r="Q91">
        <v>5.3247879999999997E-2</v>
      </c>
      <c r="R91">
        <v>-3.7638960000000001E-3</v>
      </c>
      <c r="S91">
        <v>3.040527</v>
      </c>
      <c r="T91">
        <v>-0.72174110000000002</v>
      </c>
      <c r="U91">
        <v>-0.3311462</v>
      </c>
      <c r="V91">
        <v>3.4776799999999997E-2</v>
      </c>
      <c r="W91">
        <v>6.5348589999999998E-2</v>
      </c>
      <c r="X91">
        <v>0.99725629999999998</v>
      </c>
      <c r="Y91">
        <v>0.13454849999999999</v>
      </c>
      <c r="Z91">
        <v>-2.2960290000000001E-2</v>
      </c>
      <c r="AA91">
        <v>0.99064099999999999</v>
      </c>
      <c r="AB91">
        <v>8</v>
      </c>
      <c r="AC91">
        <v>0.63669999999996196</v>
      </c>
      <c r="AD91">
        <v>-0.16972319999999999</v>
      </c>
      <c r="AE91">
        <v>-8.1400000000030504E-2</v>
      </c>
      <c r="AF91">
        <v>9.4530764441522794E-2</v>
      </c>
      <c r="AG91">
        <v>-0.16972319999999999</v>
      </c>
      <c r="AH91">
        <v>0.59244320878043499</v>
      </c>
      <c r="AI91">
        <v>105.79628576808599</v>
      </c>
      <c r="AJ91">
        <v>80.934256026135898</v>
      </c>
      <c r="AK91">
        <v>0.62348294738043697</v>
      </c>
      <c r="AL91">
        <v>86.253131551881296</v>
      </c>
      <c r="AM91">
        <v>88.002763440462701</v>
      </c>
      <c r="AN91">
        <v>0.99999999596145905</v>
      </c>
    </row>
    <row r="92" spans="1:40" x14ac:dyDescent="0.25">
      <c r="A92" t="str">
        <f>"20190312164218877"</f>
        <v>20190312164218877</v>
      </c>
      <c r="B92" t="str">
        <f>"1552380138874375"</f>
        <v>1552380138874375</v>
      </c>
      <c r="C92" t="s">
        <v>40</v>
      </c>
      <c r="D92">
        <v>4.9250970000000001</v>
      </c>
      <c r="E92">
        <v>0.54474180000000005</v>
      </c>
      <c r="F92" t="s">
        <v>41</v>
      </c>
      <c r="G92">
        <v>-469.35730000000001</v>
      </c>
      <c r="H92">
        <v>0.94303000000000003</v>
      </c>
      <c r="I92">
        <v>367.29790000000003</v>
      </c>
      <c r="J92">
        <v>-469.98180000000002</v>
      </c>
      <c r="K92">
        <v>1.1102129999999999</v>
      </c>
      <c r="L92">
        <v>367.37759999999997</v>
      </c>
      <c r="M92">
        <v>0.99944319999999998</v>
      </c>
      <c r="N92">
        <v>0</v>
      </c>
      <c r="O92">
        <v>3.1301080000000002E-2</v>
      </c>
      <c r="P92">
        <v>0.9984731</v>
      </c>
      <c r="Q92">
        <v>5.5151190000000003E-2</v>
      </c>
      <c r="R92">
        <v>-3.1759919999999999E-3</v>
      </c>
      <c r="S92">
        <v>3.0413209999999999</v>
      </c>
      <c r="T92">
        <v>-0.71695330000000002</v>
      </c>
      <c r="U92">
        <v>-0.32803339999999998</v>
      </c>
      <c r="V92">
        <v>3.4423099999999998E-2</v>
      </c>
      <c r="W92">
        <v>6.6690799999999995E-2</v>
      </c>
      <c r="X92">
        <v>0.9971797</v>
      </c>
      <c r="Y92">
        <v>0.13382839999999999</v>
      </c>
      <c r="Z92">
        <v>-2.2779170000000001E-2</v>
      </c>
      <c r="AA92">
        <v>0.99074269999999998</v>
      </c>
      <c r="AB92">
        <v>8</v>
      </c>
      <c r="AC92">
        <v>0.62450000000001105</v>
      </c>
      <c r="AD92">
        <v>-0.167182999999999</v>
      </c>
      <c r="AE92">
        <v>-7.9699999999945703E-2</v>
      </c>
      <c r="AF92">
        <v>9.2674508243929504E-2</v>
      </c>
      <c r="AG92">
        <v>-0.167182999999999</v>
      </c>
      <c r="AH92">
        <v>0.58074579476441901</v>
      </c>
      <c r="AI92">
        <v>105.86936488252501</v>
      </c>
      <c r="AJ92">
        <v>80.933275310579305</v>
      </c>
      <c r="AK92">
        <v>0.61139545149093999</v>
      </c>
      <c r="AL92">
        <v>86.176060384684604</v>
      </c>
      <c r="AM92">
        <v>88.022908539197104</v>
      </c>
      <c r="AN92">
        <v>0.99999998335516904</v>
      </c>
    </row>
    <row r="93" spans="1:40" x14ac:dyDescent="0.25">
      <c r="A93" t="str">
        <f>"20190312164218898"</f>
        <v>20190312164218898</v>
      </c>
      <c r="B93" t="str">
        <f>"1552380138893895"</f>
        <v>1552380138893895</v>
      </c>
      <c r="C93" t="s">
        <v>40</v>
      </c>
      <c r="D93">
        <v>5.0261440000000004</v>
      </c>
      <c r="E93">
        <v>0.54474769999999995</v>
      </c>
      <c r="F93" t="s">
        <v>41</v>
      </c>
      <c r="G93">
        <v>-469.28179999999998</v>
      </c>
      <c r="H93">
        <v>0.94722949999999995</v>
      </c>
      <c r="I93">
        <v>367.30220000000003</v>
      </c>
      <c r="J93">
        <v>-469.90199999999999</v>
      </c>
      <c r="K93">
        <v>1.1100760000000001</v>
      </c>
      <c r="L93">
        <v>367.38040000000001</v>
      </c>
      <c r="M93">
        <v>0.99944310000000003</v>
      </c>
      <c r="N93">
        <v>0</v>
      </c>
      <c r="O93">
        <v>3.1524990000000003E-2</v>
      </c>
      <c r="P93">
        <v>0.99841639999999998</v>
      </c>
      <c r="Q93">
        <v>5.618012E-2</v>
      </c>
      <c r="R93">
        <v>-2.905772E-3</v>
      </c>
      <c r="S93">
        <v>3.042694</v>
      </c>
      <c r="T93">
        <v>-0.70864799999999994</v>
      </c>
      <c r="U93">
        <v>-0.32678220000000002</v>
      </c>
      <c r="V93">
        <v>3.437428E-2</v>
      </c>
      <c r="W93">
        <v>6.7097599999999993E-2</v>
      </c>
      <c r="X93">
        <v>0.99715410000000004</v>
      </c>
      <c r="Y93">
        <v>0.1337025</v>
      </c>
      <c r="Z93">
        <v>-2.2549639999999999E-2</v>
      </c>
      <c r="AA93">
        <v>0.99076489999999995</v>
      </c>
      <c r="AB93">
        <v>8</v>
      </c>
      <c r="AC93">
        <v>0.62020000000001096</v>
      </c>
      <c r="AD93">
        <v>-0.16284650000000001</v>
      </c>
      <c r="AE93">
        <v>-7.8199999999981104E-2</v>
      </c>
      <c r="AF93">
        <v>9.15042023785472E-2</v>
      </c>
      <c r="AG93">
        <v>-0.16284650000000001</v>
      </c>
      <c r="AH93">
        <v>0.57818783026739495</v>
      </c>
      <c r="AI93">
        <v>105.545906596468</v>
      </c>
      <c r="AJ93">
        <v>81.006936574922804</v>
      </c>
      <c r="AK93">
        <v>0.60761267982531597</v>
      </c>
      <c r="AL93">
        <v>86.152700157936806</v>
      </c>
      <c r="AM93">
        <v>88.025659650386103</v>
      </c>
      <c r="AN93">
        <v>0.99999998909904397</v>
      </c>
    </row>
    <row r="94" spans="1:40" x14ac:dyDescent="0.25">
      <c r="A94" t="str">
        <f>"20190312164218922"</f>
        <v>20190312164218922</v>
      </c>
      <c r="B94" t="str">
        <f>"1552380138914391"</f>
        <v>1552380138914391</v>
      </c>
      <c r="C94" t="s">
        <v>40</v>
      </c>
      <c r="D94">
        <v>5.1204159999999996</v>
      </c>
      <c r="E94">
        <v>0.54476369999999996</v>
      </c>
      <c r="F94" t="s">
        <v>41</v>
      </c>
      <c r="G94">
        <v>-469.20639999999997</v>
      </c>
      <c r="H94">
        <v>0.94915450000000001</v>
      </c>
      <c r="I94">
        <v>367.30579999999998</v>
      </c>
      <c r="J94">
        <v>-469.81509999999997</v>
      </c>
      <c r="K94">
        <v>1.10997099999999</v>
      </c>
      <c r="L94">
        <v>367.38339999999999</v>
      </c>
      <c r="M94">
        <v>0.99944180000000005</v>
      </c>
      <c r="N94">
        <v>0</v>
      </c>
      <c r="O94">
        <v>3.1767829999999997E-2</v>
      </c>
      <c r="P94">
        <v>0.99839389999999995</v>
      </c>
      <c r="Q94">
        <v>5.6585879999999998E-2</v>
      </c>
      <c r="R94">
        <v>-2.7920039999999998E-3</v>
      </c>
      <c r="S94">
        <v>3.0434269999999999</v>
      </c>
      <c r="T94">
        <v>-0.70403899999999997</v>
      </c>
      <c r="U94">
        <v>-0.32632450000000002</v>
      </c>
      <c r="V94">
        <v>3.4501909999999997E-2</v>
      </c>
      <c r="W94">
        <v>6.6901580000000002E-2</v>
      </c>
      <c r="X94">
        <v>0.99716289999999996</v>
      </c>
      <c r="Y94">
        <v>0.13381889999999999</v>
      </c>
      <c r="Z94">
        <v>-2.2470199999999999E-2</v>
      </c>
      <c r="AA94">
        <v>0.99075100000000005</v>
      </c>
      <c r="AB94">
        <v>8</v>
      </c>
      <c r="AC94">
        <v>0.60869999999999802</v>
      </c>
      <c r="AD94">
        <v>-0.160816499999999</v>
      </c>
      <c r="AE94">
        <v>-7.7600000000018099E-2</v>
      </c>
      <c r="AF94">
        <v>9.0671309161249602E-2</v>
      </c>
      <c r="AG94">
        <v>-0.160816499999999</v>
      </c>
      <c r="AH94">
        <v>0.56698486543067905</v>
      </c>
      <c r="AI94">
        <v>105.646276262089</v>
      </c>
      <c r="AJ94">
        <v>80.914282101126304</v>
      </c>
      <c r="AK94">
        <v>0.59628438735615896</v>
      </c>
      <c r="AL94">
        <v>86.163956712314501</v>
      </c>
      <c r="AM94">
        <v>88.018352330621298</v>
      </c>
      <c r="AN94">
        <v>1.00000002616827</v>
      </c>
    </row>
    <row r="95" spans="1:40" x14ac:dyDescent="0.25">
      <c r="A95" t="str">
        <f>"20190312164218942"</f>
        <v>20190312164218942</v>
      </c>
      <c r="B95" t="str">
        <f>"1552380138933912"</f>
        <v>1552380138933912</v>
      </c>
      <c r="C95" t="s">
        <v>40</v>
      </c>
      <c r="D95">
        <v>4.8897490000000001</v>
      </c>
      <c r="E95">
        <v>0.54482200000000003</v>
      </c>
      <c r="F95" t="s">
        <v>41</v>
      </c>
      <c r="G95">
        <v>-469.06049999999999</v>
      </c>
      <c r="H95">
        <v>0.93608630000000004</v>
      </c>
      <c r="I95">
        <v>367.30220000000003</v>
      </c>
      <c r="J95">
        <v>-469.7355</v>
      </c>
      <c r="K95">
        <v>1.1099079999999999</v>
      </c>
      <c r="L95">
        <v>367.38619999999997</v>
      </c>
      <c r="M95">
        <v>0.99943970000000004</v>
      </c>
      <c r="N95">
        <v>0</v>
      </c>
      <c r="O95">
        <v>3.1985909999999999E-2</v>
      </c>
      <c r="P95">
        <v>0.99835430000000003</v>
      </c>
      <c r="Q95">
        <v>5.7281499999999999E-2</v>
      </c>
      <c r="R95">
        <v>-2.7862960000000002E-3</v>
      </c>
      <c r="S95">
        <v>3.0436709999999998</v>
      </c>
      <c r="T95">
        <v>-0.70152689999999995</v>
      </c>
      <c r="U95">
        <v>-0.3265381</v>
      </c>
      <c r="V95">
        <v>3.4712430000000002E-2</v>
      </c>
      <c r="W95">
        <v>6.7126610000000003E-2</v>
      </c>
      <c r="X95">
        <v>0.99714049999999999</v>
      </c>
      <c r="Y95">
        <v>0.13411300000000001</v>
      </c>
      <c r="Z95">
        <v>-2.2473070000000001E-2</v>
      </c>
      <c r="AA95">
        <v>0.99071120000000001</v>
      </c>
      <c r="AB95">
        <v>8</v>
      </c>
      <c r="AC95">
        <v>0.67500000000001104</v>
      </c>
      <c r="AD95">
        <v>-0.173821699999999</v>
      </c>
      <c r="AE95">
        <v>-8.3999999999946298E-2</v>
      </c>
      <c r="AF95">
        <v>9.9078529463749204E-2</v>
      </c>
      <c r="AG95">
        <v>-0.173821699999999</v>
      </c>
      <c r="AH95">
        <v>0.63077667242606195</v>
      </c>
      <c r="AI95">
        <v>105.22859320188</v>
      </c>
      <c r="AJ95">
        <v>81.073267675264702</v>
      </c>
      <c r="AK95">
        <v>0.66174749630692598</v>
      </c>
      <c r="AL95">
        <v>86.151034508022306</v>
      </c>
      <c r="AM95">
        <v>88.006225905645707</v>
      </c>
      <c r="AN95">
        <v>1.0000000556534201</v>
      </c>
    </row>
    <row r="96" spans="1:40" x14ac:dyDescent="0.25">
      <c r="A96" t="str">
        <f>"20190312164218965"</f>
        <v>20190312164218965</v>
      </c>
      <c r="B96" t="str">
        <f>"1552380138953435"</f>
        <v>1552380138953435</v>
      </c>
      <c r="C96" t="s">
        <v>40</v>
      </c>
      <c r="D96">
        <v>5.0630430000000004</v>
      </c>
      <c r="E96">
        <v>0.54485550000000005</v>
      </c>
      <c r="F96" t="s">
        <v>41</v>
      </c>
      <c r="G96">
        <v>-468.9828</v>
      </c>
      <c r="H96">
        <v>0.93737239999999999</v>
      </c>
      <c r="I96">
        <v>367.30459999999999</v>
      </c>
      <c r="J96">
        <v>-469.64640000000003</v>
      </c>
      <c r="K96">
        <v>1.1098520000000001</v>
      </c>
      <c r="L96">
        <v>367.38929999999999</v>
      </c>
      <c r="M96">
        <v>0.99943669999999996</v>
      </c>
      <c r="N96">
        <v>0</v>
      </c>
      <c r="O96">
        <v>3.2227159999999998E-2</v>
      </c>
      <c r="P96">
        <v>0.99837759999999998</v>
      </c>
      <c r="Q96">
        <v>5.6868920000000003E-2</v>
      </c>
      <c r="R96">
        <v>-2.9350090000000001E-3</v>
      </c>
      <c r="S96">
        <v>3.044098</v>
      </c>
      <c r="T96">
        <v>-0.69798909999999903</v>
      </c>
      <c r="U96">
        <v>-0.32775880000000002</v>
      </c>
      <c r="V96">
        <v>3.5102519999999998E-2</v>
      </c>
      <c r="W96">
        <v>6.6222649999999994E-2</v>
      </c>
      <c r="X96">
        <v>0.9971873</v>
      </c>
      <c r="Y96">
        <v>0.1347515</v>
      </c>
      <c r="Z96">
        <v>-2.248561E-2</v>
      </c>
      <c r="AA96">
        <v>0.99062419999999995</v>
      </c>
      <c r="AB96">
        <v>9</v>
      </c>
      <c r="AC96">
        <v>0.66360000000003005</v>
      </c>
      <c r="AD96">
        <v>-0.17247960000000001</v>
      </c>
      <c r="AE96">
        <v>-8.4699999999997999E-2</v>
      </c>
      <c r="AF96">
        <v>9.9433265416011204E-2</v>
      </c>
      <c r="AG96">
        <v>-0.17247960000000001</v>
      </c>
      <c r="AH96">
        <v>0.61935518889289098</v>
      </c>
      <c r="AI96">
        <v>105.37420713493999</v>
      </c>
      <c r="AJ96">
        <v>80.879379317641707</v>
      </c>
      <c r="AK96">
        <v>0.65056670426329</v>
      </c>
      <c r="AL96">
        <v>86.202943158215803</v>
      </c>
      <c r="AM96">
        <v>87.983933281302697</v>
      </c>
      <c r="AN96">
        <v>1.0000000687823201</v>
      </c>
    </row>
    <row r="97" spans="1:40" x14ac:dyDescent="0.25">
      <c r="A97" t="str">
        <f>"20190312164218990"</f>
        <v>20190312164218990</v>
      </c>
      <c r="B97" t="str">
        <f>"1552380138983483"</f>
        <v>1552380138983483</v>
      </c>
      <c r="C97" t="s">
        <v>40</v>
      </c>
      <c r="D97">
        <v>5.1160589999999999</v>
      </c>
      <c r="E97">
        <v>0.54482779999999997</v>
      </c>
      <c r="F97" t="s">
        <v>41</v>
      </c>
      <c r="G97">
        <v>-468.904</v>
      </c>
      <c r="H97">
        <v>0.93931450000000005</v>
      </c>
      <c r="I97">
        <v>367.30919999999998</v>
      </c>
      <c r="J97">
        <v>-469.55029999999999</v>
      </c>
      <c r="K97">
        <v>1.109788</v>
      </c>
      <c r="L97">
        <v>367.39269999999999</v>
      </c>
      <c r="M97">
        <v>0.99943289999999996</v>
      </c>
      <c r="N97">
        <v>0</v>
      </c>
      <c r="O97">
        <v>3.2485100000000003E-2</v>
      </c>
      <c r="P97">
        <v>0.99837600000000004</v>
      </c>
      <c r="Q97">
        <v>5.6902620000000001E-2</v>
      </c>
      <c r="R97">
        <v>-2.7769880000000002E-3</v>
      </c>
      <c r="S97">
        <v>3.043701</v>
      </c>
      <c r="T97">
        <v>-0.69906780000000002</v>
      </c>
      <c r="U97">
        <v>-0.32843020000000001</v>
      </c>
      <c r="V97">
        <v>3.5202079999999997E-2</v>
      </c>
      <c r="W97">
        <v>6.574969E-2</v>
      </c>
      <c r="X97">
        <v>0.99721499999999996</v>
      </c>
      <c r="Y97">
        <v>0.1352043</v>
      </c>
      <c r="Z97">
        <v>-2.263159E-2</v>
      </c>
      <c r="AA97">
        <v>0.99055919999999997</v>
      </c>
      <c r="AB97">
        <v>9</v>
      </c>
      <c r="AC97">
        <v>0.64629999999999599</v>
      </c>
      <c r="AD97">
        <v>-0.170473499999999</v>
      </c>
      <c r="AE97">
        <v>-8.3500000000015007E-2</v>
      </c>
      <c r="AF97">
        <v>9.7761879487682501E-2</v>
      </c>
      <c r="AG97">
        <v>-0.170473499999999</v>
      </c>
      <c r="AH97">
        <v>0.60204725592554598</v>
      </c>
      <c r="AI97">
        <v>105.615435793307</v>
      </c>
      <c r="AJ97">
        <v>80.776678407425294</v>
      </c>
      <c r="AK97">
        <v>0.63330837484648395</v>
      </c>
      <c r="AL97">
        <v>86.230100630995693</v>
      </c>
      <c r="AM97">
        <v>87.978276036464905</v>
      </c>
      <c r="AN97">
        <v>0.99999998219821096</v>
      </c>
    </row>
    <row r="98" spans="1:40" x14ac:dyDescent="0.25">
      <c r="A98" t="str">
        <f>"20190312164219012"</f>
        <v>20190312164219012</v>
      </c>
      <c r="B98" t="str">
        <f>"1552380139003979"</f>
        <v>1552380139003979</v>
      </c>
      <c r="C98" t="s">
        <v>40</v>
      </c>
      <c r="D98">
        <v>4.8731580000000001</v>
      </c>
      <c r="E98">
        <v>0.54483249999999905</v>
      </c>
      <c r="F98" t="s">
        <v>41</v>
      </c>
      <c r="G98">
        <v>-468.82319999999999</v>
      </c>
      <c r="H98">
        <v>0.9431098</v>
      </c>
      <c r="I98">
        <v>367.3141</v>
      </c>
      <c r="J98">
        <v>-469.4622</v>
      </c>
      <c r="K98">
        <v>1.1097490000000001</v>
      </c>
      <c r="L98">
        <v>367.39589999999998</v>
      </c>
      <c r="M98">
        <v>0.99942900000000001</v>
      </c>
      <c r="N98">
        <v>0</v>
      </c>
      <c r="O98">
        <v>3.2719940000000003E-2</v>
      </c>
      <c r="P98">
        <v>0.99837549999999997</v>
      </c>
      <c r="Q98">
        <v>5.6930189999999999E-2</v>
      </c>
      <c r="R98">
        <v>-2.351148E-3</v>
      </c>
      <c r="S98">
        <v>3.043701</v>
      </c>
      <c r="T98">
        <v>-0.69789769999999995</v>
      </c>
      <c r="U98">
        <v>-0.32800289999999999</v>
      </c>
      <c r="V98">
        <v>3.5010769999999997E-2</v>
      </c>
      <c r="W98">
        <v>6.5346689999999999E-2</v>
      </c>
      <c r="X98">
        <v>0.99724820000000003</v>
      </c>
      <c r="Y98">
        <v>0.13530490000000001</v>
      </c>
      <c r="Z98">
        <v>-2.2659180000000001E-2</v>
      </c>
      <c r="AA98">
        <v>0.99054489999999995</v>
      </c>
      <c r="AB98">
        <v>9</v>
      </c>
      <c r="AC98">
        <v>0.63900000000001</v>
      </c>
      <c r="AD98">
        <v>-0.16663919999999899</v>
      </c>
      <c r="AE98">
        <v>-8.1799999999986994E-2</v>
      </c>
      <c r="AF98">
        <v>9.6226436067925705E-2</v>
      </c>
      <c r="AG98">
        <v>-0.16663919999999899</v>
      </c>
      <c r="AH98">
        <v>0.59609622341761204</v>
      </c>
      <c r="AI98">
        <v>105.428340286634</v>
      </c>
      <c r="AJ98">
        <v>80.829982132485398</v>
      </c>
      <c r="AK98">
        <v>0.62638555023860099</v>
      </c>
      <c r="AL98">
        <v>86.2532405051994</v>
      </c>
      <c r="AM98">
        <v>87.989321184420803</v>
      </c>
      <c r="AN98">
        <v>0.99999995815659304</v>
      </c>
    </row>
    <row r="99" spans="1:40" x14ac:dyDescent="0.25">
      <c r="A99" t="str">
        <f>"20190312164219032"</f>
        <v>20190312164219032</v>
      </c>
      <c r="B99" t="str">
        <f>"1552380139023500"</f>
        <v>1552380139023500</v>
      </c>
      <c r="C99" t="s">
        <v>40</v>
      </c>
      <c r="D99">
        <v>4.9815170000000002</v>
      </c>
      <c r="E99">
        <v>0.54477959999999903</v>
      </c>
      <c r="F99" t="s">
        <v>41</v>
      </c>
      <c r="G99">
        <v>-468.7423</v>
      </c>
      <c r="H99">
        <v>0.94497039999999999</v>
      </c>
      <c r="I99">
        <v>367.31830000000002</v>
      </c>
      <c r="J99">
        <v>-469.38060000000002</v>
      </c>
      <c r="K99">
        <v>1.109718</v>
      </c>
      <c r="L99">
        <v>367.39879999999999</v>
      </c>
      <c r="M99">
        <v>0.99942509999999996</v>
      </c>
      <c r="N99">
        <v>0</v>
      </c>
      <c r="O99">
        <v>3.2935399999999997E-2</v>
      </c>
      <c r="P99">
        <v>0.99836029999999998</v>
      </c>
      <c r="Q99">
        <v>5.7196089999999998E-2</v>
      </c>
      <c r="R99">
        <v>-2.416484E-3</v>
      </c>
      <c r="S99">
        <v>3.0438839999999998</v>
      </c>
      <c r="T99">
        <v>-0.69691169999999902</v>
      </c>
      <c r="U99">
        <v>-0.32656859999999999</v>
      </c>
      <c r="V99">
        <v>3.5290450000000001E-2</v>
      </c>
      <c r="W99">
        <v>6.5247250000000007E-2</v>
      </c>
      <c r="X99">
        <v>0.99724489999999999</v>
      </c>
      <c r="Y99">
        <v>0.1350634</v>
      </c>
      <c r="Z99">
        <v>-2.264853E-2</v>
      </c>
      <c r="AA99">
        <v>0.99057810000000002</v>
      </c>
      <c r="AB99">
        <v>9</v>
      </c>
      <c r="AC99">
        <v>0.63830000000001497</v>
      </c>
      <c r="AD99">
        <v>-0.16474759999999999</v>
      </c>
      <c r="AE99">
        <v>-8.0499999999972205E-2</v>
      </c>
      <c r="AF99">
        <v>9.5234698865975007E-2</v>
      </c>
      <c r="AG99">
        <v>-0.16474759999999999</v>
      </c>
      <c r="AH99">
        <v>0.59620634438643205</v>
      </c>
      <c r="AI99">
        <v>105.26258532222499</v>
      </c>
      <c r="AJ99">
        <v>80.924558212861101</v>
      </c>
      <c r="AK99">
        <v>0.62583817769491001</v>
      </c>
      <c r="AL99">
        <v>86.258950358542094</v>
      </c>
      <c r="AM99">
        <v>87.973265720853107</v>
      </c>
      <c r="AN99">
        <v>1.0000000050348801</v>
      </c>
    </row>
    <row r="100" spans="1:40" x14ac:dyDescent="0.25">
      <c r="A100" t="str">
        <f>"20190312164219054"</f>
        <v>20190312164219054</v>
      </c>
      <c r="B100" t="str">
        <f>"1552380139043995"</f>
        <v>1552380139043995</v>
      </c>
      <c r="C100" t="s">
        <v>40</v>
      </c>
      <c r="D100">
        <v>4.9002189999999999</v>
      </c>
      <c r="E100">
        <v>0.544736</v>
      </c>
      <c r="F100" t="s">
        <v>41</v>
      </c>
      <c r="G100">
        <v>-468.66109999999998</v>
      </c>
      <c r="H100">
        <v>0.94533210000000001</v>
      </c>
      <c r="I100">
        <v>367.32119999999998</v>
      </c>
      <c r="J100">
        <v>-469.28980000000001</v>
      </c>
      <c r="K100">
        <v>1.109685</v>
      </c>
      <c r="L100">
        <v>367.40210000000002</v>
      </c>
      <c r="M100">
        <v>0.99941999999999998</v>
      </c>
      <c r="N100">
        <v>0</v>
      </c>
      <c r="O100">
        <v>3.317266E-2</v>
      </c>
      <c r="P100">
        <v>0.9983358</v>
      </c>
      <c r="Q100">
        <v>5.7636279999999998E-2</v>
      </c>
      <c r="R100">
        <v>-1.92702E-3</v>
      </c>
      <c r="S100">
        <v>3.0439449999999999</v>
      </c>
      <c r="T100">
        <v>-0.69553100000000001</v>
      </c>
      <c r="U100">
        <v>-0.32727050000000002</v>
      </c>
      <c r="V100">
        <v>3.503705E-2</v>
      </c>
      <c r="W100">
        <v>6.5308130000000006E-2</v>
      </c>
      <c r="X100">
        <v>0.99724979999999996</v>
      </c>
      <c r="Y100">
        <v>0.13552149999999999</v>
      </c>
      <c r="Z100">
        <v>-2.2708989999999998E-2</v>
      </c>
      <c r="AA100">
        <v>0.99051409999999995</v>
      </c>
      <c r="AB100">
        <v>9</v>
      </c>
      <c r="AC100">
        <v>0.62870000000003701</v>
      </c>
      <c r="AD100">
        <v>-0.1643529</v>
      </c>
      <c r="AE100">
        <v>-8.0900000000042299E-2</v>
      </c>
      <c r="AF100">
        <v>9.5304805454679606E-2</v>
      </c>
      <c r="AG100">
        <v>-0.1643529</v>
      </c>
      <c r="AH100">
        <v>0.58625855011530603</v>
      </c>
      <c r="AI100">
        <v>105.467273263151</v>
      </c>
      <c r="AJ100">
        <v>80.766515444359598</v>
      </c>
      <c r="AK100">
        <v>0.61627426464559198</v>
      </c>
      <c r="AL100">
        <v>86.255454548787199</v>
      </c>
      <c r="AM100">
        <v>87.987816382231401</v>
      </c>
      <c r="AN100">
        <v>0.999999955158418</v>
      </c>
    </row>
    <row r="101" spans="1:40" x14ac:dyDescent="0.25">
      <c r="A101" t="str">
        <f>"20190312164219076"</f>
        <v>20190312164219076</v>
      </c>
      <c r="B101" t="str">
        <f>"1552380139073989"</f>
        <v>1552380139073989</v>
      </c>
      <c r="C101" t="s">
        <v>40</v>
      </c>
      <c r="D101">
        <v>5.0406170000000001</v>
      </c>
      <c r="E101">
        <v>0.54471179999999997</v>
      </c>
      <c r="F101" t="s">
        <v>41</v>
      </c>
      <c r="G101">
        <v>-468.5779</v>
      </c>
      <c r="H101">
        <v>0.94760789999999995</v>
      </c>
      <c r="I101">
        <v>367.32600000000002</v>
      </c>
      <c r="J101">
        <v>-469.19810000000001</v>
      </c>
      <c r="K101">
        <v>1.1096520000000001</v>
      </c>
      <c r="L101">
        <v>367.40539999999999</v>
      </c>
      <c r="M101">
        <v>0.99941500000000005</v>
      </c>
      <c r="N101">
        <v>0</v>
      </c>
      <c r="O101">
        <v>3.3408920000000002E-2</v>
      </c>
      <c r="P101">
        <v>0.9983166</v>
      </c>
      <c r="Q101">
        <v>5.7970960000000002E-2</v>
      </c>
      <c r="R101">
        <v>-1.8228809999999999E-3</v>
      </c>
      <c r="S101">
        <v>3.0443730000000002</v>
      </c>
      <c r="T101">
        <v>-0.69310360000000004</v>
      </c>
      <c r="U101">
        <v>-0.32562259999999998</v>
      </c>
      <c r="V101">
        <v>3.516818E-2</v>
      </c>
      <c r="W101">
        <v>6.5272440000000001E-2</v>
      </c>
      <c r="X101">
        <v>0.99724760000000001</v>
      </c>
      <c r="Y101">
        <v>0.13524220000000001</v>
      </c>
      <c r="Z101">
        <v>-2.265089E-2</v>
      </c>
      <c r="AA101">
        <v>0.99055360000000003</v>
      </c>
      <c r="AB101">
        <v>9</v>
      </c>
      <c r="AC101">
        <v>0.62020000000001096</v>
      </c>
      <c r="AD101">
        <v>-0.1620441</v>
      </c>
      <c r="AE101">
        <v>-7.9400000000020995E-2</v>
      </c>
      <c r="AF101">
        <v>9.3777857198612105E-2</v>
      </c>
      <c r="AG101">
        <v>-0.1620441</v>
      </c>
      <c r="AH101">
        <v>0.57835579924359304</v>
      </c>
      <c r="AI101">
        <v>105.45977144115299</v>
      </c>
      <c r="AJ101">
        <v>80.789897209034606</v>
      </c>
      <c r="AK101">
        <v>0.60790460383539502</v>
      </c>
      <c r="AL101">
        <v>86.257504103237807</v>
      </c>
      <c r="AM101">
        <v>87.980287337933007</v>
      </c>
      <c r="AN101">
        <v>1.00000003400691</v>
      </c>
    </row>
    <row r="102" spans="1:40" x14ac:dyDescent="0.25">
      <c r="A102" t="str">
        <f>"20190312164219098"</f>
        <v>20190312164219098</v>
      </c>
      <c r="B102" t="str">
        <f>"1552380139093509"</f>
        <v>1552380139093509</v>
      </c>
      <c r="C102" t="s">
        <v>40</v>
      </c>
      <c r="D102">
        <v>4.9131400000000003</v>
      </c>
      <c r="E102">
        <v>0.54479040000000001</v>
      </c>
      <c r="F102" t="s">
        <v>41</v>
      </c>
      <c r="G102">
        <v>-468.49369999999999</v>
      </c>
      <c r="H102">
        <v>0.94971850000000002</v>
      </c>
      <c r="I102">
        <v>367.32990000000001</v>
      </c>
      <c r="J102">
        <v>-469.10939999999999</v>
      </c>
      <c r="K102">
        <v>1.109618</v>
      </c>
      <c r="L102">
        <v>367.40859999999998</v>
      </c>
      <c r="M102">
        <v>0.99941000000000002</v>
      </c>
      <c r="N102">
        <v>0</v>
      </c>
      <c r="O102">
        <v>3.36336E-2</v>
      </c>
      <c r="P102">
        <v>0.99831119999999995</v>
      </c>
      <c r="Q102">
        <v>5.8074389999999997E-2</v>
      </c>
      <c r="R102">
        <v>-1.5332200000000001E-3</v>
      </c>
      <c r="S102">
        <v>3.0446469999999999</v>
      </c>
      <c r="T102">
        <v>-0.69139600000000001</v>
      </c>
      <c r="U102">
        <v>-0.3249512</v>
      </c>
      <c r="V102">
        <v>3.5102689999999999E-2</v>
      </c>
      <c r="W102">
        <v>6.5027409999999994E-2</v>
      </c>
      <c r="X102">
        <v>0.99726590000000004</v>
      </c>
      <c r="Y102">
        <v>0.13525470000000001</v>
      </c>
      <c r="Z102">
        <v>-2.2646380000000001E-2</v>
      </c>
      <c r="AA102">
        <v>0.99055199999999999</v>
      </c>
      <c r="AB102">
        <v>9</v>
      </c>
      <c r="AC102">
        <v>0.61570000000000302</v>
      </c>
      <c r="AD102">
        <v>-0.1598995</v>
      </c>
      <c r="AE102">
        <v>-7.8699999999969295E-2</v>
      </c>
      <c r="AF102">
        <v>9.3180559859745202E-2</v>
      </c>
      <c r="AG102">
        <v>-0.1598995</v>
      </c>
      <c r="AH102">
        <v>0.57457484343930398</v>
      </c>
      <c r="AI102">
        <v>105.360426594431</v>
      </c>
      <c r="AJ102">
        <v>80.788365126978604</v>
      </c>
      <c r="AK102">
        <v>0.60364452913061795</v>
      </c>
      <c r="AL102">
        <v>86.271573121922401</v>
      </c>
      <c r="AM102">
        <v>87.984082292578805</v>
      </c>
      <c r="AN102">
        <v>1.0000000190996701</v>
      </c>
    </row>
    <row r="103" spans="1:40" x14ac:dyDescent="0.25">
      <c r="A103" t="str">
        <f>"20190312164219121"</f>
        <v>20190312164219121</v>
      </c>
      <c r="B103" t="str">
        <f>"1552380139114004"</f>
        <v>1552380139114004</v>
      </c>
      <c r="C103" t="s">
        <v>40</v>
      </c>
      <c r="D103">
        <v>5.2004199999999896</v>
      </c>
      <c r="E103">
        <v>0.54477030000000004</v>
      </c>
      <c r="F103" t="s">
        <v>41</v>
      </c>
      <c r="G103">
        <v>-468.40879999999999</v>
      </c>
      <c r="H103">
        <v>0.95063249999999999</v>
      </c>
      <c r="I103">
        <v>367.33390000000003</v>
      </c>
      <c r="J103">
        <v>-469.00689999999997</v>
      </c>
      <c r="K103">
        <v>1.10958</v>
      </c>
      <c r="L103">
        <v>367.41239999999999</v>
      </c>
      <c r="M103">
        <v>0.99940399999999996</v>
      </c>
      <c r="N103">
        <v>0</v>
      </c>
      <c r="O103">
        <v>3.3889320000000001E-2</v>
      </c>
      <c r="P103">
        <v>0.99827540000000003</v>
      </c>
      <c r="Q103">
        <v>5.86869E-2</v>
      </c>
      <c r="R103">
        <v>-1.532891E-3</v>
      </c>
      <c r="S103">
        <v>3.044708</v>
      </c>
      <c r="T103">
        <v>-0.69089469999999997</v>
      </c>
      <c r="U103">
        <v>-0.32498169999999998</v>
      </c>
      <c r="V103">
        <v>3.5356190000000003E-2</v>
      </c>
      <c r="W103">
        <v>6.5254380000000001E-2</v>
      </c>
      <c r="X103">
        <v>0.99724210000000002</v>
      </c>
      <c r="Y103">
        <v>0.13550909999999999</v>
      </c>
      <c r="Z103">
        <v>-2.2715490000000001E-2</v>
      </c>
      <c r="AA103">
        <v>0.99051560000000005</v>
      </c>
      <c r="AB103">
        <v>9</v>
      </c>
      <c r="AC103">
        <v>0.59809999999998797</v>
      </c>
      <c r="AD103">
        <v>-0.15894749999999899</v>
      </c>
      <c r="AE103">
        <v>-7.8499999999962697E-2</v>
      </c>
      <c r="AF103">
        <v>9.2315176933217294E-2</v>
      </c>
      <c r="AG103">
        <v>-0.15894749999999899</v>
      </c>
      <c r="AH103">
        <v>0.55646138820010005</v>
      </c>
      <c r="AI103">
        <v>105.737222066313</v>
      </c>
      <c r="AJ103">
        <v>80.580599754784004</v>
      </c>
      <c r="AK103">
        <v>0.58603385244032102</v>
      </c>
      <c r="AL103">
        <v>86.258540948864294</v>
      </c>
      <c r="AM103">
        <v>87.969487726721397</v>
      </c>
      <c r="AN103">
        <v>1.00000000014645</v>
      </c>
    </row>
    <row r="104" spans="1:40" x14ac:dyDescent="0.25">
      <c r="A104" t="str">
        <f>"20190312164219143"</f>
        <v>20190312164219143</v>
      </c>
      <c r="B104" t="str">
        <f>"1552380139133525"</f>
        <v>1552380139133525</v>
      </c>
      <c r="C104" t="s">
        <v>40</v>
      </c>
      <c r="D104">
        <v>5.2704630000000003</v>
      </c>
      <c r="E104">
        <v>0.54474400000000001</v>
      </c>
      <c r="F104" t="s">
        <v>41</v>
      </c>
      <c r="G104">
        <v>-468.24220000000003</v>
      </c>
      <c r="H104">
        <v>0.93675730000000001</v>
      </c>
      <c r="I104">
        <v>367.3304</v>
      </c>
      <c r="J104">
        <v>-468.9119</v>
      </c>
      <c r="K104">
        <v>1.109553</v>
      </c>
      <c r="L104">
        <v>367.41579999999999</v>
      </c>
      <c r="M104">
        <v>0.99939829999999996</v>
      </c>
      <c r="N104">
        <v>0</v>
      </c>
      <c r="O104">
        <v>3.4120879999999999E-2</v>
      </c>
      <c r="P104">
        <v>0.99823450000000002</v>
      </c>
      <c r="Q104">
        <v>5.9388820000000002E-2</v>
      </c>
      <c r="R104">
        <v>-1.0548840000000001E-3</v>
      </c>
      <c r="S104">
        <v>3.045105</v>
      </c>
      <c r="T104">
        <v>-0.68830550000000001</v>
      </c>
      <c r="U104">
        <v>-0.3252563</v>
      </c>
      <c r="V104">
        <v>3.5108109999999998E-2</v>
      </c>
      <c r="W104">
        <v>6.5627399999999905E-2</v>
      </c>
      <c r="X104">
        <v>0.99722639999999996</v>
      </c>
      <c r="Y104">
        <v>0.13583190000000001</v>
      </c>
      <c r="Z104">
        <v>-2.271697E-2</v>
      </c>
      <c r="AA104">
        <v>0.9904714</v>
      </c>
      <c r="AB104">
        <v>10</v>
      </c>
      <c r="AC104">
        <v>0.66969999999997698</v>
      </c>
      <c r="AD104">
        <v>-0.1727957</v>
      </c>
      <c r="AE104">
        <v>-8.5399999999992801E-2</v>
      </c>
      <c r="AF104">
        <v>0.101549103946686</v>
      </c>
      <c r="AG104">
        <v>-0.1727957</v>
      </c>
      <c r="AH104">
        <v>0.62542517306468803</v>
      </c>
      <c r="AI104">
        <v>105.25439617657</v>
      </c>
      <c r="AJ104">
        <v>80.777476180834</v>
      </c>
      <c r="AK104">
        <v>0.65675506968264796</v>
      </c>
      <c r="AL104">
        <v>86.237122617609202</v>
      </c>
      <c r="AM104">
        <v>87.983691486835895</v>
      </c>
      <c r="AN104">
        <v>1.0000000139377401</v>
      </c>
    </row>
    <row r="105" spans="1:40" x14ac:dyDescent="0.25">
      <c r="A105" t="str">
        <f>"20190312164219167"</f>
        <v>20190312164219167</v>
      </c>
      <c r="B105" t="str">
        <f>"1552380139163435"</f>
        <v>1552380139163435</v>
      </c>
      <c r="C105" t="s">
        <v>40</v>
      </c>
      <c r="D105">
        <v>5.2006459999999999</v>
      </c>
      <c r="E105">
        <v>0.54462630000000001</v>
      </c>
      <c r="F105" t="s">
        <v>41</v>
      </c>
      <c r="G105">
        <v>-468.15309999999999</v>
      </c>
      <c r="H105">
        <v>0.93882129999999997</v>
      </c>
      <c r="I105">
        <v>367.33510000000001</v>
      </c>
      <c r="J105">
        <v>-468.80939999999998</v>
      </c>
      <c r="K105">
        <v>1.109513</v>
      </c>
      <c r="L105">
        <v>367.4196</v>
      </c>
      <c r="M105">
        <v>0.99939420000000001</v>
      </c>
      <c r="N105">
        <v>0</v>
      </c>
      <c r="O105">
        <v>3.4300560000000001E-2</v>
      </c>
      <c r="P105">
        <v>0.99824060000000003</v>
      </c>
      <c r="Q105">
        <v>5.9289120000000001E-2</v>
      </c>
      <c r="R105">
        <v>-8.2607169999999997E-4</v>
      </c>
      <c r="S105">
        <v>3.0457459999999998</v>
      </c>
      <c r="T105">
        <v>-0.68541129999999995</v>
      </c>
      <c r="U105">
        <v>-0.32391360000000002</v>
      </c>
      <c r="V105">
        <v>3.5058480000000003E-2</v>
      </c>
      <c r="W105">
        <v>6.5177289999999999E-2</v>
      </c>
      <c r="X105">
        <v>0.99725759999999997</v>
      </c>
      <c r="Y105">
        <v>0.1355942</v>
      </c>
      <c r="Z105">
        <v>-2.2633130000000001E-2</v>
      </c>
      <c r="AA105">
        <v>0.99050590000000005</v>
      </c>
      <c r="AB105">
        <v>10</v>
      </c>
      <c r="AC105">
        <v>0.656299999999987</v>
      </c>
      <c r="AD105">
        <v>-0.1706917</v>
      </c>
      <c r="AE105">
        <v>-8.4499999999991304E-2</v>
      </c>
      <c r="AF105">
        <v>0.100288945031185</v>
      </c>
      <c r="AG105">
        <v>-0.1706917</v>
      </c>
      <c r="AH105">
        <v>0.61227487042228801</v>
      </c>
      <c r="AI105">
        <v>105.382461898806</v>
      </c>
      <c r="AJ105">
        <v>80.697713459494494</v>
      </c>
      <c r="AK105">
        <v>0.64348585524080304</v>
      </c>
      <c r="AL105">
        <v>86.262967109964706</v>
      </c>
      <c r="AM105">
        <v>87.9866024012439</v>
      </c>
      <c r="AN105">
        <v>0.99999994845470497</v>
      </c>
    </row>
    <row r="106" spans="1:40" x14ac:dyDescent="0.25">
      <c r="A106" t="str">
        <f>"20190312164219190"</f>
        <v>20190312164219190</v>
      </c>
      <c r="B106" t="str">
        <f>"1552380139183933"</f>
        <v>1552380139183933</v>
      </c>
      <c r="C106" t="s">
        <v>40</v>
      </c>
      <c r="D106">
        <v>5.1650609999999997</v>
      </c>
      <c r="E106">
        <v>0.54459190000000002</v>
      </c>
      <c r="F106" t="s">
        <v>41</v>
      </c>
      <c r="G106">
        <v>-468.06229999999999</v>
      </c>
      <c r="H106">
        <v>0.94160840000000001</v>
      </c>
      <c r="I106">
        <v>367.34030000000001</v>
      </c>
      <c r="J106">
        <v>-468.70609999999999</v>
      </c>
      <c r="K106">
        <v>1.109415</v>
      </c>
      <c r="L106">
        <v>367.42349999999999</v>
      </c>
      <c r="M106">
        <v>0.99939480000000003</v>
      </c>
      <c r="N106">
        <v>0</v>
      </c>
      <c r="O106">
        <v>3.4349480000000002E-2</v>
      </c>
      <c r="P106">
        <v>0.99826009999999998</v>
      </c>
      <c r="Q106">
        <v>5.8966709999999999E-2</v>
      </c>
      <c r="R106" s="1">
        <v>-3.9165609999999997E-5</v>
      </c>
      <c r="S106">
        <v>3.0456539999999999</v>
      </c>
      <c r="T106">
        <v>-0.68442309999999995</v>
      </c>
      <c r="U106">
        <v>-0.32247920000000002</v>
      </c>
      <c r="V106">
        <v>3.4324500000000001E-2</v>
      </c>
      <c r="W106">
        <v>6.4467339999999998E-2</v>
      </c>
      <c r="X106">
        <v>0.99732940000000003</v>
      </c>
      <c r="Y106">
        <v>0.1352043</v>
      </c>
      <c r="Z106">
        <v>-2.2570130000000001E-2</v>
      </c>
      <c r="AA106">
        <v>0.99056069999999996</v>
      </c>
      <c r="AB106">
        <v>10</v>
      </c>
      <c r="AC106">
        <v>0.64379999999999804</v>
      </c>
      <c r="AD106">
        <v>-0.167806599999999</v>
      </c>
      <c r="AE106">
        <v>-8.3199999999976598E-2</v>
      </c>
      <c r="AF106">
        <v>9.8671922858619601E-2</v>
      </c>
      <c r="AG106">
        <v>-0.167806599999999</v>
      </c>
      <c r="AH106">
        <v>0.60043928543501601</v>
      </c>
      <c r="AI106">
        <v>105.417481476619</v>
      </c>
      <c r="AJ106">
        <v>80.667828460526195</v>
      </c>
      <c r="AK106">
        <v>0.63120720754589799</v>
      </c>
      <c r="AL106">
        <v>86.303730435532302</v>
      </c>
      <c r="AM106">
        <v>88.028862837471706</v>
      </c>
      <c r="AN106">
        <v>1.00000007066564</v>
      </c>
    </row>
    <row r="107" spans="1:40" x14ac:dyDescent="0.25">
      <c r="A107" t="str">
        <f>"20190312164219212"</f>
        <v>20190312164219212</v>
      </c>
      <c r="B107" t="str">
        <f>"1552380139203451"</f>
        <v>1552380139203451</v>
      </c>
      <c r="C107" t="s">
        <v>40</v>
      </c>
      <c r="D107">
        <v>4.9095219999999999</v>
      </c>
      <c r="E107">
        <v>0.54455940000000003</v>
      </c>
      <c r="F107" t="s">
        <v>41</v>
      </c>
      <c r="G107">
        <v>-467.97050000000002</v>
      </c>
      <c r="H107">
        <v>0.94398490000000002</v>
      </c>
      <c r="I107">
        <v>367.34570000000002</v>
      </c>
      <c r="J107">
        <v>-468.6062</v>
      </c>
      <c r="K107">
        <v>1.1092280000000001</v>
      </c>
      <c r="L107">
        <v>367.4273</v>
      </c>
      <c r="M107">
        <v>0.99938680000000002</v>
      </c>
      <c r="N107">
        <v>0</v>
      </c>
      <c r="O107">
        <v>3.4626379999999998E-2</v>
      </c>
      <c r="P107">
        <v>0.99827129999999997</v>
      </c>
      <c r="Q107">
        <v>5.8776490000000001E-2</v>
      </c>
      <c r="R107">
        <v>3.8609860000000002E-4</v>
      </c>
      <c r="S107">
        <v>3.0456850000000002</v>
      </c>
      <c r="T107">
        <v>-0.68511219999999995</v>
      </c>
      <c r="U107">
        <v>-0.31985469999999999</v>
      </c>
      <c r="V107">
        <v>3.4192420000000001E-2</v>
      </c>
      <c r="W107">
        <v>6.3991489999999998E-2</v>
      </c>
      <c r="X107">
        <v>0.99736449999999999</v>
      </c>
      <c r="Y107">
        <v>0.134632</v>
      </c>
      <c r="Z107">
        <v>-2.2591E-2</v>
      </c>
      <c r="AA107">
        <v>0.99063809999999997</v>
      </c>
      <c r="AB107">
        <v>10</v>
      </c>
      <c r="AC107">
        <v>0.63569999999998505</v>
      </c>
      <c r="AD107">
        <v>-0.1652431</v>
      </c>
      <c r="AE107">
        <v>-8.1599999999980299E-2</v>
      </c>
      <c r="AF107">
        <v>9.7108282120218395E-2</v>
      </c>
      <c r="AG107">
        <v>-0.1652431</v>
      </c>
      <c r="AH107">
        <v>0.593070126617261</v>
      </c>
      <c r="AI107">
        <v>105.374210700815</v>
      </c>
      <c r="AJ107">
        <v>80.701004429221697</v>
      </c>
      <c r="AK107">
        <v>0.623271590592547</v>
      </c>
      <c r="AL107">
        <v>86.331050743642294</v>
      </c>
      <c r="AM107">
        <v>88.036510834490201</v>
      </c>
      <c r="AN107">
        <v>0.99999998911906296</v>
      </c>
    </row>
    <row r="108" spans="1:40" x14ac:dyDescent="0.25">
      <c r="A108" t="str">
        <f>"20190312164219232"</f>
        <v>20190312164219232</v>
      </c>
      <c r="B108" t="str">
        <f>"1552380139223947"</f>
        <v>1552380139223947</v>
      </c>
      <c r="C108" t="s">
        <v>40</v>
      </c>
      <c r="D108">
        <v>5.0250059999999896</v>
      </c>
      <c r="E108">
        <v>0.54450010000000004</v>
      </c>
      <c r="F108" t="s">
        <v>41</v>
      </c>
      <c r="G108">
        <v>-467.87830000000002</v>
      </c>
      <c r="H108">
        <v>0.9453973</v>
      </c>
      <c r="I108">
        <v>367.35160000000002</v>
      </c>
      <c r="J108">
        <v>-468.50779999999997</v>
      </c>
      <c r="K108">
        <v>1.1090409999999999</v>
      </c>
      <c r="L108">
        <v>367.43110000000001</v>
      </c>
      <c r="M108">
        <v>0.99937220000000004</v>
      </c>
      <c r="N108">
        <v>0</v>
      </c>
      <c r="O108">
        <v>3.5074109999999999E-2</v>
      </c>
      <c r="P108">
        <v>0.99829440000000003</v>
      </c>
      <c r="Q108">
        <v>5.8372489999999999E-2</v>
      </c>
      <c r="R108">
        <v>1.0976549999999999E-3</v>
      </c>
      <c r="S108">
        <v>3.0456850000000002</v>
      </c>
      <c r="T108">
        <v>-0.6855388</v>
      </c>
      <c r="U108">
        <v>-0.3172913</v>
      </c>
      <c r="V108">
        <v>3.3944969999999998E-2</v>
      </c>
      <c r="W108">
        <v>6.3362870000000002E-2</v>
      </c>
      <c r="X108">
        <v>0.99741310000000005</v>
      </c>
      <c r="Y108">
        <v>0.1342438</v>
      </c>
      <c r="Z108">
        <v>-2.2661919999999999E-2</v>
      </c>
      <c r="AA108">
        <v>0.99068920000000005</v>
      </c>
      <c r="AB108">
        <v>10</v>
      </c>
      <c r="AC108">
        <v>0.62949999999994999</v>
      </c>
      <c r="AD108">
        <v>-0.163643699999999</v>
      </c>
      <c r="AE108">
        <v>-7.9499999999995893E-2</v>
      </c>
      <c r="AF108">
        <v>9.5198179559570204E-2</v>
      </c>
      <c r="AG108">
        <v>-0.163643699999999</v>
      </c>
      <c r="AH108">
        <v>0.58726117348035101</v>
      </c>
      <c r="AI108">
        <v>105.37971790335099</v>
      </c>
      <c r="AJ108">
        <v>80.792145038389194</v>
      </c>
      <c r="AK108">
        <v>0.61702320849273196</v>
      </c>
      <c r="AL108">
        <v>86.367141312595805</v>
      </c>
      <c r="AM108">
        <v>88.050804480102002</v>
      </c>
      <c r="AN108">
        <v>1.00000000316727</v>
      </c>
    </row>
    <row r="109" spans="1:40" x14ac:dyDescent="0.25">
      <c r="A109" t="str">
        <f>"20190312164219258"</f>
        <v>20190312164219258</v>
      </c>
      <c r="B109" t="str">
        <f>"1552380139254204"</f>
        <v>1552380139254204</v>
      </c>
      <c r="C109" t="s">
        <v>40</v>
      </c>
      <c r="D109">
        <v>5.5226470000000001</v>
      </c>
      <c r="E109">
        <v>0.54443809999999904</v>
      </c>
      <c r="F109" t="s">
        <v>41</v>
      </c>
      <c r="G109">
        <v>-467.7851</v>
      </c>
      <c r="H109">
        <v>0.94608429999999999</v>
      </c>
      <c r="I109">
        <v>367.3562</v>
      </c>
      <c r="J109">
        <v>-468.39429999999999</v>
      </c>
      <c r="K109">
        <v>1.1089150000000001</v>
      </c>
      <c r="L109">
        <v>367.43529999999998</v>
      </c>
      <c r="M109">
        <v>0.99935640000000003</v>
      </c>
      <c r="N109">
        <v>0</v>
      </c>
      <c r="O109">
        <v>3.5559010000000002E-2</v>
      </c>
      <c r="P109">
        <v>0.99829190000000001</v>
      </c>
      <c r="Q109">
        <v>5.8409900000000001E-2</v>
      </c>
      <c r="R109">
        <v>1.2766570000000001E-3</v>
      </c>
      <c r="S109">
        <v>3.0456240000000001</v>
      </c>
      <c r="T109">
        <v>-0.68693459999999995</v>
      </c>
      <c r="U109">
        <v>-0.31402590000000002</v>
      </c>
      <c r="V109">
        <v>3.4255279999999999E-2</v>
      </c>
      <c r="W109">
        <v>6.3113030000000001E-2</v>
      </c>
      <c r="X109">
        <v>0.99741829999999998</v>
      </c>
      <c r="Y109">
        <v>0.13366020000000001</v>
      </c>
      <c r="Z109">
        <v>-2.2751500000000001E-2</v>
      </c>
      <c r="AA109">
        <v>0.99076600000000004</v>
      </c>
      <c r="AB109">
        <v>10</v>
      </c>
      <c r="AC109">
        <v>0.60919999999998697</v>
      </c>
      <c r="AD109">
        <v>-0.162830699999999</v>
      </c>
      <c r="AE109">
        <v>-7.9099999999982601E-2</v>
      </c>
      <c r="AF109">
        <v>9.4101443152001196E-2</v>
      </c>
      <c r="AG109">
        <v>-0.162830699999999</v>
      </c>
      <c r="AH109">
        <v>0.56622077547679694</v>
      </c>
      <c r="AI109">
        <v>105.83777046223599</v>
      </c>
      <c r="AJ109">
        <v>80.564133305034403</v>
      </c>
      <c r="AK109">
        <v>0.59663630885768604</v>
      </c>
      <c r="AL109">
        <v>86.381484685907395</v>
      </c>
      <c r="AM109">
        <v>88.0330099720004</v>
      </c>
      <c r="AN109">
        <v>0.99999997196927404</v>
      </c>
    </row>
    <row r="110" spans="1:40" x14ac:dyDescent="0.25">
      <c r="A110" t="str">
        <f>"20190312164219279"</f>
        <v>20190312164219279</v>
      </c>
      <c r="B110" t="str">
        <f>"1552380139263964"</f>
        <v>1552380139263964</v>
      </c>
      <c r="C110" t="s">
        <v>40</v>
      </c>
      <c r="D110">
        <v>5.267684</v>
      </c>
      <c r="E110">
        <v>0.54440250000000001</v>
      </c>
      <c r="F110" t="s">
        <v>41</v>
      </c>
      <c r="G110">
        <v>-467.68900000000002</v>
      </c>
      <c r="H110">
        <v>0.95010030000000001</v>
      </c>
      <c r="I110">
        <v>367.36279999999999</v>
      </c>
      <c r="J110">
        <v>-468.29090000000002</v>
      </c>
      <c r="K110">
        <v>1.108884</v>
      </c>
      <c r="L110">
        <v>367.43920000000003</v>
      </c>
      <c r="M110">
        <v>0.99934860000000003</v>
      </c>
      <c r="N110">
        <v>0</v>
      </c>
      <c r="O110">
        <v>3.58143E-2</v>
      </c>
      <c r="P110">
        <v>0.99828170000000005</v>
      </c>
      <c r="Q110">
        <v>5.8587819999999999E-2</v>
      </c>
      <c r="R110">
        <v>9.2697750000000001E-4</v>
      </c>
      <c r="S110">
        <v>3.0456850000000002</v>
      </c>
      <c r="T110">
        <v>-0.68590090000000004</v>
      </c>
      <c r="U110">
        <v>-0.31295780000000001</v>
      </c>
      <c r="V110">
        <v>3.4853420000000003E-2</v>
      </c>
      <c r="W110">
        <v>6.2995010000000004E-2</v>
      </c>
      <c r="X110">
        <v>0.99740510000000004</v>
      </c>
      <c r="Y110">
        <v>0.13357559999999999</v>
      </c>
      <c r="Z110">
        <v>-2.2765299999999999E-2</v>
      </c>
      <c r="AA110">
        <v>0.99077709999999997</v>
      </c>
      <c r="AB110">
        <v>10</v>
      </c>
      <c r="AC110">
        <v>0.60189999999999999</v>
      </c>
      <c r="AD110">
        <v>-0.158783699999999</v>
      </c>
      <c r="AE110">
        <v>-7.6400000000035106E-2</v>
      </c>
      <c r="AF110">
        <v>9.1632025987836999E-2</v>
      </c>
      <c r="AG110">
        <v>-0.158783699999999</v>
      </c>
      <c r="AH110">
        <v>0.56039653153318203</v>
      </c>
      <c r="AI110">
        <v>105.622491451906</v>
      </c>
      <c r="AJ110">
        <v>80.713584591271797</v>
      </c>
      <c r="AK110">
        <v>0.58962103433200697</v>
      </c>
      <c r="AL110">
        <v>86.388260436658101</v>
      </c>
      <c r="AM110">
        <v>87.998665093507398</v>
      </c>
      <c r="AN110">
        <v>1.0000000328383001</v>
      </c>
    </row>
    <row r="111" spans="1:40" x14ac:dyDescent="0.25">
      <c r="A111" t="str">
        <f>"20190312164219302"</f>
        <v>20190312164219302</v>
      </c>
      <c r="B111" t="str">
        <f>"1552380139294221"</f>
        <v>1552380139294221</v>
      </c>
      <c r="C111" t="s">
        <v>40</v>
      </c>
      <c r="D111">
        <v>5.0341290000000001</v>
      </c>
      <c r="E111">
        <v>0.54437119999999894</v>
      </c>
      <c r="F111" t="s">
        <v>41</v>
      </c>
      <c r="G111">
        <v>-467.59230000000002</v>
      </c>
      <c r="H111">
        <v>0.95182259999999996</v>
      </c>
      <c r="I111">
        <v>367.36689999999999</v>
      </c>
      <c r="J111">
        <v>-468.18110000000001</v>
      </c>
      <c r="K111">
        <v>1.1088910000000001</v>
      </c>
      <c r="L111">
        <v>367.4434</v>
      </c>
      <c r="M111">
        <v>0.99934559999999995</v>
      </c>
      <c r="N111">
        <v>0</v>
      </c>
      <c r="O111">
        <v>3.5935519999999999E-2</v>
      </c>
      <c r="P111">
        <v>0.99826700000000002</v>
      </c>
      <c r="Q111">
        <v>5.8848209999999998E-2</v>
      </c>
      <c r="R111">
        <v>5.0233540000000005E-4</v>
      </c>
      <c r="S111">
        <v>3.0456539999999999</v>
      </c>
      <c r="T111">
        <v>-0.68498159999999997</v>
      </c>
      <c r="U111">
        <v>-0.31387330000000002</v>
      </c>
      <c r="V111">
        <v>3.5388509999999998E-2</v>
      </c>
      <c r="W111">
        <v>6.296504E-2</v>
      </c>
      <c r="X111">
        <v>0.9973881</v>
      </c>
      <c r="Y111">
        <v>0.13398929999999901</v>
      </c>
      <c r="Z111">
        <v>-2.2808109999999999E-2</v>
      </c>
      <c r="AA111">
        <v>0.9907203</v>
      </c>
      <c r="AB111">
        <v>11</v>
      </c>
      <c r="AC111">
        <v>0.588799999999992</v>
      </c>
      <c r="AD111">
        <v>-0.1570684</v>
      </c>
      <c r="AE111">
        <v>-7.6500000000009893E-2</v>
      </c>
      <c r="AF111">
        <v>9.1225658420827596E-2</v>
      </c>
      <c r="AG111">
        <v>-0.1570684</v>
      </c>
      <c r="AH111">
        <v>0.54736608781539198</v>
      </c>
      <c r="AI111">
        <v>105.804110842577</v>
      </c>
      <c r="AJ111">
        <v>80.5378838152443</v>
      </c>
      <c r="AK111">
        <v>0.57671677374877905</v>
      </c>
      <c r="AL111">
        <v>86.389980824709895</v>
      </c>
      <c r="AM111">
        <v>87.967930392419603</v>
      </c>
      <c r="AN111">
        <v>0.99999998246191502</v>
      </c>
    </row>
    <row r="112" spans="1:40" x14ac:dyDescent="0.25">
      <c r="A112" t="str">
        <f>"20190312164219323"</f>
        <v>20190312164219323</v>
      </c>
      <c r="B112" t="str">
        <f>"1552380139313740"</f>
        <v>1552380139313740</v>
      </c>
      <c r="C112" t="s">
        <v>40</v>
      </c>
      <c r="D112">
        <v>5.0917329999999996</v>
      </c>
      <c r="E112">
        <v>0.54436770000000001</v>
      </c>
      <c r="F112" t="s">
        <v>41</v>
      </c>
      <c r="G112">
        <v>-467.40339999999998</v>
      </c>
      <c r="H112">
        <v>0.93423</v>
      </c>
      <c r="I112">
        <v>367.36250000000001</v>
      </c>
      <c r="J112">
        <v>-468.07089999999999</v>
      </c>
      <c r="K112">
        <v>1.1089039999999999</v>
      </c>
      <c r="L112">
        <v>367.4477</v>
      </c>
      <c r="M112">
        <v>0.99934239999999996</v>
      </c>
      <c r="N112">
        <v>0</v>
      </c>
      <c r="O112">
        <v>3.6045340000000002E-2</v>
      </c>
      <c r="P112">
        <v>0.99824440000000003</v>
      </c>
      <c r="Q112">
        <v>5.9228669999999997E-2</v>
      </c>
      <c r="R112">
        <v>-1.398742E-4</v>
      </c>
      <c r="S112">
        <v>3.0457459999999998</v>
      </c>
      <c r="T112">
        <v>-0.68433429999999995</v>
      </c>
      <c r="U112">
        <v>-0.31448359999999997</v>
      </c>
      <c r="V112">
        <v>3.613218E-2</v>
      </c>
      <c r="W112">
        <v>6.3118750000000001E-2</v>
      </c>
      <c r="X112">
        <v>0.99735180000000001</v>
      </c>
      <c r="Y112">
        <v>0.13428960000000001</v>
      </c>
      <c r="Z112">
        <v>-2.2843740000000001E-2</v>
      </c>
      <c r="AA112">
        <v>0.99067879999999997</v>
      </c>
      <c r="AB112">
        <v>11</v>
      </c>
      <c r="AC112">
        <v>0.66750000000001797</v>
      </c>
      <c r="AD112">
        <v>-0.174674</v>
      </c>
      <c r="AE112">
        <v>-8.5199999999986106E-2</v>
      </c>
      <c r="AF112">
        <v>0.102311278856484</v>
      </c>
      <c r="AG112">
        <v>-0.174674</v>
      </c>
      <c r="AH112">
        <v>0.62207902216580402</v>
      </c>
      <c r="AI112">
        <v>105.48637356325</v>
      </c>
      <c r="AJ112">
        <v>80.6603639070414</v>
      </c>
      <c r="AK112">
        <v>0.65418721622790199</v>
      </c>
      <c r="AL112">
        <v>86.381156625538097</v>
      </c>
      <c r="AM112">
        <v>87.925189060242204</v>
      </c>
      <c r="AN112">
        <v>1.0000000619981699</v>
      </c>
    </row>
    <row r="113" spans="1:40" x14ac:dyDescent="0.25">
      <c r="A113" t="str">
        <f>"20190312164219344"</f>
        <v>20190312164219344</v>
      </c>
      <c r="B113" t="str">
        <f>"1552380139334235"</f>
        <v>1552380139334235</v>
      </c>
      <c r="C113" t="s">
        <v>40</v>
      </c>
      <c r="D113">
        <v>5.0384919999999997</v>
      </c>
      <c r="E113">
        <v>0.54435909999999998</v>
      </c>
      <c r="F113" t="s">
        <v>41</v>
      </c>
      <c r="G113">
        <v>-467.3023</v>
      </c>
      <c r="H113">
        <v>0.93659729999999997</v>
      </c>
      <c r="I113">
        <v>367.36779999999999</v>
      </c>
      <c r="J113">
        <v>-467.96420000000001</v>
      </c>
      <c r="K113">
        <v>1.1089059999999999</v>
      </c>
      <c r="L113">
        <v>367.45179999999999</v>
      </c>
      <c r="M113">
        <v>0.99933660000000002</v>
      </c>
      <c r="N113">
        <v>0</v>
      </c>
      <c r="O113">
        <v>3.6227410000000002E-2</v>
      </c>
      <c r="P113">
        <v>0.99825319999999995</v>
      </c>
      <c r="Q113">
        <v>5.9080809999999997E-2</v>
      </c>
      <c r="R113">
        <v>-4.0388620000000002E-4</v>
      </c>
      <c r="S113">
        <v>3.045776</v>
      </c>
      <c r="T113">
        <v>-0.68290030000000002</v>
      </c>
      <c r="U113">
        <v>-0.31622309999999998</v>
      </c>
      <c r="V113">
        <v>3.65749E-2</v>
      </c>
      <c r="W113">
        <v>6.2795139999999999E-2</v>
      </c>
      <c r="X113">
        <v>0.99735609999999997</v>
      </c>
      <c r="Y113">
        <v>0.13502400000000001</v>
      </c>
      <c r="Z113">
        <v>-2.2917509999999999E-2</v>
      </c>
      <c r="AA113">
        <v>0.99057729999999999</v>
      </c>
      <c r="AB113">
        <v>11</v>
      </c>
      <c r="AC113">
        <v>0.66190000000000204</v>
      </c>
      <c r="AD113">
        <v>-0.17230869999999901</v>
      </c>
      <c r="AE113">
        <v>-8.40000000000031E-2</v>
      </c>
      <c r="AF113">
        <v>0.10117605001685399</v>
      </c>
      <c r="AG113">
        <v>-0.17230869999999901</v>
      </c>
      <c r="AH113">
        <v>0.61725480128157795</v>
      </c>
      <c r="AI113">
        <v>105.401663131503</v>
      </c>
      <c r="AJ113">
        <v>80.691258607667805</v>
      </c>
      <c r="AK113">
        <v>0.64879146950145905</v>
      </c>
      <c r="AL113">
        <v>86.399735001050999</v>
      </c>
      <c r="AM113">
        <v>87.899798513404207</v>
      </c>
      <c r="AN113">
        <v>1.00000007156241</v>
      </c>
    </row>
    <row r="114" spans="1:40" x14ac:dyDescent="0.25">
      <c r="A114" t="str">
        <f>"20190312164219367"</f>
        <v>20190312164219367</v>
      </c>
      <c r="B114" t="str">
        <f>"1552380139363515"</f>
        <v>1552380139363515</v>
      </c>
      <c r="C114" t="s">
        <v>40</v>
      </c>
      <c r="D114">
        <v>4.9461979999999999</v>
      </c>
      <c r="E114">
        <v>0.51627100000000004</v>
      </c>
      <c r="F114" t="s">
        <v>41</v>
      </c>
      <c r="G114">
        <v>-467.20030000000003</v>
      </c>
      <c r="H114">
        <v>0.93757509999999999</v>
      </c>
      <c r="I114">
        <v>367.37150000000003</v>
      </c>
      <c r="J114">
        <v>-467.85019999999997</v>
      </c>
      <c r="K114">
        <v>1.1089059999999999</v>
      </c>
      <c r="L114">
        <v>367.4563</v>
      </c>
      <c r="M114">
        <v>0.99932730000000003</v>
      </c>
      <c r="N114">
        <v>0</v>
      </c>
      <c r="O114">
        <v>3.6500989999999997E-2</v>
      </c>
      <c r="P114">
        <v>0.99824230000000003</v>
      </c>
      <c r="Q114">
        <v>5.9262700000000001E-2</v>
      </c>
      <c r="R114">
        <v>-6.3768050000000001E-4</v>
      </c>
      <c r="S114">
        <v>3.045563</v>
      </c>
      <c r="T114">
        <v>-0.68325000000000002</v>
      </c>
      <c r="U114">
        <v>-0.31768800000000003</v>
      </c>
      <c r="V114">
        <v>3.7080130000000003E-2</v>
      </c>
      <c r="W114">
        <v>6.2810359999999996E-2</v>
      </c>
      <c r="X114">
        <v>0.99733640000000001</v>
      </c>
      <c r="Y114">
        <v>0.13574439999999999</v>
      </c>
      <c r="Z114">
        <v>-2.3070090000000001E-2</v>
      </c>
      <c r="AA114">
        <v>0.9904752</v>
      </c>
      <c r="AB114">
        <v>11</v>
      </c>
      <c r="AC114">
        <v>0.64989999999994497</v>
      </c>
      <c r="AD114">
        <v>-0.17133089999999901</v>
      </c>
      <c r="AE114">
        <v>-8.4799999999972897E-2</v>
      </c>
      <c r="AF114">
        <v>0.10152768602583701</v>
      </c>
      <c r="AG114">
        <v>-0.17133089999999901</v>
      </c>
      <c r="AH114">
        <v>0.60502678898220497</v>
      </c>
      <c r="AI114">
        <v>105.60368059158201</v>
      </c>
      <c r="AJ114">
        <v>80.474123214778004</v>
      </c>
      <c r="AK114">
        <v>0.63696119482326996</v>
      </c>
      <c r="AL114">
        <v>86.398860926202602</v>
      </c>
      <c r="AM114">
        <v>87.870771731492297</v>
      </c>
      <c r="AN114">
        <v>0.99999998606455298</v>
      </c>
    </row>
    <row r="115" spans="1:40" x14ac:dyDescent="0.25">
      <c r="A115" t="str">
        <f>"20190312164219389"</f>
        <v>20190312164219389</v>
      </c>
      <c r="B115" t="str">
        <f>"1552380139384012"</f>
        <v>1552380139384012</v>
      </c>
      <c r="C115" t="s">
        <v>40</v>
      </c>
      <c r="D115">
        <v>4.9266439999999996</v>
      </c>
      <c r="E115">
        <v>0.51399510000000004</v>
      </c>
      <c r="F115" t="s">
        <v>41</v>
      </c>
      <c r="G115">
        <v>-467.10289999999998</v>
      </c>
      <c r="H115">
        <v>0.9315485</v>
      </c>
      <c r="I115">
        <v>367.43349999999998</v>
      </c>
      <c r="J115">
        <v>-467.73390000000001</v>
      </c>
      <c r="K115">
        <v>1.10891299999999</v>
      </c>
      <c r="L115">
        <v>367.46080000000001</v>
      </c>
      <c r="M115">
        <v>0.99931680000000001</v>
      </c>
      <c r="N115">
        <v>0</v>
      </c>
      <c r="O115">
        <v>3.6808929999999997E-2</v>
      </c>
      <c r="P115">
        <v>0.99822230000000001</v>
      </c>
      <c r="Q115">
        <v>5.9601370000000001E-2</v>
      </c>
      <c r="R115">
        <v>-3.9330240000000002E-4</v>
      </c>
      <c r="S115">
        <v>3.0482480000000001</v>
      </c>
      <c r="T115">
        <v>-0.72356739999999997</v>
      </c>
      <c r="U115">
        <v>-9.1705320000000007E-2</v>
      </c>
      <c r="V115">
        <v>3.7141760000000003E-2</v>
      </c>
      <c r="W115">
        <v>6.299072E-2</v>
      </c>
      <c r="X115">
        <v>0.99732270000000001</v>
      </c>
      <c r="Y115">
        <v>6.4042840000000004E-2</v>
      </c>
      <c r="Z115">
        <v>-1.611073E-2</v>
      </c>
      <c r="AA115">
        <v>0.99781710000000001</v>
      </c>
      <c r="AB115">
        <v>11</v>
      </c>
      <c r="AC115">
        <v>0.63100000000002798</v>
      </c>
      <c r="AD115">
        <v>-0.17736449999999901</v>
      </c>
      <c r="AE115">
        <v>-2.73000000000252E-2</v>
      </c>
      <c r="AF115">
        <v>4.6816096036212701E-2</v>
      </c>
      <c r="AG115">
        <v>-0.17736449999999901</v>
      </c>
      <c r="AH115">
        <v>0.58354826635429902</v>
      </c>
      <c r="AI115">
        <v>106.85512952344899</v>
      </c>
      <c r="AJ115">
        <v>85.413178050772899</v>
      </c>
      <c r="AK115">
        <v>0.61170130936056499</v>
      </c>
      <c r="AL115">
        <v>86.388506441524001</v>
      </c>
      <c r="AM115">
        <v>87.867206787146699</v>
      </c>
      <c r="AN115">
        <v>0.99999995453865198</v>
      </c>
    </row>
    <row r="116" spans="1:40" x14ac:dyDescent="0.25">
      <c r="A116" t="str">
        <f>"20190312164219414"</f>
        <v>20190312164219414</v>
      </c>
      <c r="B116" t="str">
        <f>"1552380139404507"</f>
        <v>1552380139404507</v>
      </c>
      <c r="C116" t="s">
        <v>40</v>
      </c>
      <c r="D116">
        <v>4.8958269999999997</v>
      </c>
      <c r="E116">
        <v>0.51373519999999995</v>
      </c>
      <c r="F116" t="s">
        <v>41</v>
      </c>
      <c r="G116">
        <v>-466.99549999999999</v>
      </c>
      <c r="H116">
        <v>0.9382277</v>
      </c>
      <c r="I116">
        <v>367.4427</v>
      </c>
      <c r="J116">
        <v>-467.6069</v>
      </c>
      <c r="K116">
        <v>1.1089340000000001</v>
      </c>
      <c r="L116">
        <v>367.46570000000003</v>
      </c>
      <c r="M116">
        <v>0.99930540000000001</v>
      </c>
      <c r="N116">
        <v>0</v>
      </c>
      <c r="O116">
        <v>3.7124589999999999E-2</v>
      </c>
      <c r="P116">
        <v>0.99820350000000002</v>
      </c>
      <c r="Q116">
        <v>5.9916360000000002E-2</v>
      </c>
      <c r="R116" s="1">
        <v>-8.9725949999999998E-5</v>
      </c>
      <c r="S116">
        <v>3.0473629999999998</v>
      </c>
      <c r="T116">
        <v>-0.70452559999999997</v>
      </c>
      <c r="U116">
        <v>-7.4005130000000002E-2</v>
      </c>
      <c r="V116">
        <v>3.7150389999999998E-2</v>
      </c>
      <c r="W116">
        <v>6.3146350000000004E-2</v>
      </c>
      <c r="X116">
        <v>0.99731259999999999</v>
      </c>
      <c r="Y116">
        <v>5.8844769999999998E-2</v>
      </c>
      <c r="Z116">
        <v>-1.518221E-2</v>
      </c>
      <c r="AA116">
        <v>0.99815169999999998</v>
      </c>
      <c r="AB116">
        <v>12</v>
      </c>
      <c r="AC116">
        <v>0.61140000000000305</v>
      </c>
      <c r="AD116">
        <v>-0.17070630000000001</v>
      </c>
      <c r="AE116">
        <v>-2.3000000000024501E-2</v>
      </c>
      <c r="AF116">
        <v>4.23829145517918E-2</v>
      </c>
      <c r="AG116">
        <v>-0.17070630000000001</v>
      </c>
      <c r="AH116">
        <v>0.56605941880383204</v>
      </c>
      <c r="AI116">
        <v>106.737493706545</v>
      </c>
      <c r="AJ116">
        <v>85.718047605657105</v>
      </c>
      <c r="AK116">
        <v>0.59275645751195905</v>
      </c>
      <c r="AL116">
        <v>86.379571940124805</v>
      </c>
      <c r="AM116">
        <v>87.8666900997124</v>
      </c>
      <c r="AN116">
        <v>1.00000001755711</v>
      </c>
    </row>
    <row r="117" spans="1:40" x14ac:dyDescent="0.25">
      <c r="A117" t="str">
        <f>"20190312164219433"</f>
        <v>20190312164219433</v>
      </c>
      <c r="B117" t="str">
        <f>"1552380139424028"</f>
        <v>1552380139424028</v>
      </c>
      <c r="C117" t="s">
        <v>40</v>
      </c>
      <c r="D117">
        <v>4.8657909999999998</v>
      </c>
      <c r="E117">
        <v>0.51354769999999905</v>
      </c>
      <c r="F117" t="s">
        <v>41</v>
      </c>
      <c r="G117">
        <v>-466.887</v>
      </c>
      <c r="H117">
        <v>0.94397200000000003</v>
      </c>
      <c r="I117">
        <v>367.4486</v>
      </c>
      <c r="J117">
        <v>-467.49959999999999</v>
      </c>
      <c r="K117">
        <v>1.108954</v>
      </c>
      <c r="L117">
        <v>367.4699</v>
      </c>
      <c r="M117">
        <v>0.99929699999999999</v>
      </c>
      <c r="N117">
        <v>0</v>
      </c>
      <c r="O117">
        <v>3.7362199999999998E-2</v>
      </c>
      <c r="P117">
        <v>0.99820719999999996</v>
      </c>
      <c r="Q117">
        <v>5.9854860000000003E-2</v>
      </c>
      <c r="R117">
        <v>5.2260769999999896E-4</v>
      </c>
      <c r="S117">
        <v>3.0473020000000002</v>
      </c>
      <c r="T117">
        <v>-0.69841529999999996</v>
      </c>
      <c r="U117">
        <v>-7.13501E-2</v>
      </c>
      <c r="V117">
        <v>3.6772840000000001E-2</v>
      </c>
      <c r="W117">
        <v>6.2964560000000003E-2</v>
      </c>
      <c r="X117">
        <v>0.99733810000000001</v>
      </c>
      <c r="Y117">
        <v>5.8265259999999999E-2</v>
      </c>
      <c r="Z117">
        <v>-1.504247E-2</v>
      </c>
      <c r="AA117">
        <v>0.99818779999999996</v>
      </c>
      <c r="AB117">
        <v>12</v>
      </c>
      <c r="AC117">
        <v>0.612600000000043</v>
      </c>
      <c r="AD117">
        <v>-0.16498199999999999</v>
      </c>
      <c r="AE117">
        <v>-2.1299999999996499E-2</v>
      </c>
      <c r="AF117">
        <v>4.1189447824399802E-2</v>
      </c>
      <c r="AG117">
        <v>-0.16498199999999999</v>
      </c>
      <c r="AH117">
        <v>0.57007845062770401</v>
      </c>
      <c r="AI117">
        <v>106.10077504865799</v>
      </c>
      <c r="AJ117">
        <v>85.8674325238932</v>
      </c>
      <c r="AK117">
        <v>0.59489921062828999</v>
      </c>
      <c r="AL117">
        <v>86.390008559148399</v>
      </c>
      <c r="AM117">
        <v>87.888404601949702</v>
      </c>
      <c r="AN117">
        <v>1.00000003164463</v>
      </c>
    </row>
    <row r="118" spans="1:40" x14ac:dyDescent="0.25">
      <c r="A118" t="str">
        <f>"20190312164219457"</f>
        <v>20190312164219457</v>
      </c>
      <c r="B118" t="str">
        <f>"1552380139454284"</f>
        <v>1552380139454284</v>
      </c>
      <c r="C118" t="s">
        <v>40</v>
      </c>
      <c r="D118">
        <v>4.8712569999999999</v>
      </c>
      <c r="E118">
        <v>0.5134997</v>
      </c>
      <c r="F118" t="s">
        <v>41</v>
      </c>
      <c r="G118">
        <v>-466.7792</v>
      </c>
      <c r="H118">
        <v>0.94531449999999995</v>
      </c>
      <c r="I118">
        <v>367.45389999999998</v>
      </c>
      <c r="J118">
        <v>-467.3766</v>
      </c>
      <c r="K118">
        <v>1.108976</v>
      </c>
      <c r="L118">
        <v>367.47480000000002</v>
      </c>
      <c r="M118">
        <v>0.99928790000000001</v>
      </c>
      <c r="N118">
        <v>0</v>
      </c>
      <c r="O118">
        <v>3.7614250000000002E-2</v>
      </c>
      <c r="P118">
        <v>0.99820370000000003</v>
      </c>
      <c r="Q118">
        <v>5.9907870000000002E-2</v>
      </c>
      <c r="R118">
        <v>8.6843529999999997E-4</v>
      </c>
      <c r="S118">
        <v>3.0469360000000001</v>
      </c>
      <c r="T118">
        <v>-0.69219489999999995</v>
      </c>
      <c r="U118">
        <v>-6.6650390000000004E-2</v>
      </c>
      <c r="V118">
        <v>3.66755E-2</v>
      </c>
      <c r="W118">
        <v>6.2894119999999998E-2</v>
      </c>
      <c r="X118">
        <v>0.99734610000000001</v>
      </c>
      <c r="Y118">
        <v>5.7048229999999998E-2</v>
      </c>
      <c r="Z118">
        <v>-1.4833799999999999E-2</v>
      </c>
      <c r="AA118">
        <v>0.99826119999999996</v>
      </c>
      <c r="AB118">
        <v>12</v>
      </c>
      <c r="AC118">
        <v>0.59739999999999305</v>
      </c>
      <c r="AD118">
        <v>-0.16366149999999899</v>
      </c>
      <c r="AE118">
        <v>-2.0900000000040098E-2</v>
      </c>
      <c r="AF118">
        <v>4.0332709622074102E-2</v>
      </c>
      <c r="AG118">
        <v>-0.16366149999999899</v>
      </c>
      <c r="AH118">
        <v>0.55461684305249603</v>
      </c>
      <c r="AI118">
        <v>106.399794367769</v>
      </c>
      <c r="AJ118">
        <v>85.840672242803706</v>
      </c>
      <c r="AK118">
        <v>0.57966512457213204</v>
      </c>
      <c r="AL118">
        <v>86.394052385099997</v>
      </c>
      <c r="AM118">
        <v>87.8940059644721</v>
      </c>
      <c r="AN118">
        <v>1.0000000029080101</v>
      </c>
    </row>
    <row r="119" spans="1:40" x14ac:dyDescent="0.25">
      <c r="A119" t="str">
        <f>"20190312164219477"</f>
        <v>20190312164219477</v>
      </c>
      <c r="B119" t="str">
        <f>"1552380139473804"</f>
        <v>1552380139473804</v>
      </c>
      <c r="C119" t="s">
        <v>40</v>
      </c>
      <c r="D119">
        <v>4.8584680000000002</v>
      </c>
      <c r="E119">
        <v>0.51343649999999996</v>
      </c>
      <c r="F119" t="s">
        <v>41</v>
      </c>
      <c r="G119">
        <v>-466.66910000000001</v>
      </c>
      <c r="H119">
        <v>0.94837680000000002</v>
      </c>
      <c r="I119">
        <v>367.45940000000002</v>
      </c>
      <c r="J119">
        <v>-467.26069999999999</v>
      </c>
      <c r="K119">
        <v>1.1089929999999999</v>
      </c>
      <c r="L119">
        <v>367.4794</v>
      </c>
      <c r="M119">
        <v>0.99927949999999999</v>
      </c>
      <c r="N119">
        <v>0</v>
      </c>
      <c r="O119">
        <v>3.7845789999999997E-2</v>
      </c>
      <c r="P119">
        <v>0.9982029</v>
      </c>
      <c r="Q119">
        <v>5.991171E-2</v>
      </c>
      <c r="R119">
        <v>1.268578E-3</v>
      </c>
      <c r="S119">
        <v>3.0469360000000001</v>
      </c>
      <c r="T119">
        <v>-0.69159899999999996</v>
      </c>
      <c r="U119">
        <v>-6.6192630000000002E-2</v>
      </c>
      <c r="V119">
        <v>3.6504259999999997E-2</v>
      </c>
      <c r="W119">
        <v>6.2792760000000003E-2</v>
      </c>
      <c r="X119">
        <v>0.99735870000000004</v>
      </c>
      <c r="Y119">
        <v>5.7125860000000001E-2</v>
      </c>
      <c r="Z119">
        <v>-1.488193E-2</v>
      </c>
      <c r="AA119">
        <v>0.99825609999999998</v>
      </c>
      <c r="AB119">
        <v>12</v>
      </c>
      <c r="AC119">
        <v>0.59159999999997104</v>
      </c>
      <c r="AD119">
        <v>-0.16061619999999999</v>
      </c>
      <c r="AE119">
        <v>-1.99999999999818E-2</v>
      </c>
      <c r="AF119">
        <v>3.9469392015277598E-2</v>
      </c>
      <c r="AG119">
        <v>-0.16061619999999999</v>
      </c>
      <c r="AH119">
        <v>0.54993052340231796</v>
      </c>
      <c r="AI119">
        <v>106.24173934766399</v>
      </c>
      <c r="AJ119">
        <v>85.894829534451205</v>
      </c>
      <c r="AK119">
        <v>0.57426385675753799</v>
      </c>
      <c r="AL119">
        <v>86.399871139056401</v>
      </c>
      <c r="AM119">
        <v>87.903856636429396</v>
      </c>
      <c r="AN119">
        <v>0.99999993408612498</v>
      </c>
    </row>
    <row r="120" spans="1:40" x14ac:dyDescent="0.25">
      <c r="A120" t="str">
        <f>"20190312164219501"</f>
        <v>20190312164219501</v>
      </c>
      <c r="B120" t="str">
        <f>"1552380139494301"</f>
        <v>1552380139494301</v>
      </c>
      <c r="C120" t="s">
        <v>40</v>
      </c>
      <c r="D120">
        <v>4.8593140000000004</v>
      </c>
      <c r="E120">
        <v>0.51312329999999995</v>
      </c>
      <c r="F120" t="s">
        <v>41</v>
      </c>
      <c r="G120">
        <v>-466.55840000000001</v>
      </c>
      <c r="H120">
        <v>0.94955429999999996</v>
      </c>
      <c r="I120">
        <v>367.46390000000002</v>
      </c>
      <c r="J120">
        <v>-467.13099999999997</v>
      </c>
      <c r="K120">
        <v>1.1090100000000001</v>
      </c>
      <c r="L120">
        <v>367.4846</v>
      </c>
      <c r="M120">
        <v>0.99927010000000005</v>
      </c>
      <c r="N120">
        <v>0</v>
      </c>
      <c r="O120">
        <v>3.8104310000000002E-2</v>
      </c>
      <c r="P120">
        <v>0.99816910000000003</v>
      </c>
      <c r="Q120">
        <v>6.0465970000000001E-2</v>
      </c>
      <c r="R120">
        <v>1.572651E-3</v>
      </c>
      <c r="S120">
        <v>3.0470280000000001</v>
      </c>
      <c r="T120">
        <v>-0.69201400000000002</v>
      </c>
      <c r="U120">
        <v>-6.4788819999999997E-2</v>
      </c>
      <c r="V120">
        <v>3.6455370000000001E-2</v>
      </c>
      <c r="W120">
        <v>6.3240560000000001E-2</v>
      </c>
      <c r="X120">
        <v>0.99733229999999995</v>
      </c>
      <c r="Y120">
        <v>5.6919659999999997E-2</v>
      </c>
      <c r="Z120">
        <v>-1.492509E-2</v>
      </c>
      <c r="AA120">
        <v>0.99826720000000002</v>
      </c>
      <c r="AB120">
        <v>12</v>
      </c>
      <c r="AC120">
        <v>0.57259999999996503</v>
      </c>
      <c r="AD120">
        <v>-0.15945570000000001</v>
      </c>
      <c r="AE120">
        <v>-2.0699999999976602E-2</v>
      </c>
      <c r="AF120">
        <v>3.9448376842932502E-2</v>
      </c>
      <c r="AG120">
        <v>-0.15945570000000001</v>
      </c>
      <c r="AH120">
        <v>0.53032294268756597</v>
      </c>
      <c r="AI120">
        <v>106.691263683088</v>
      </c>
      <c r="AJ120">
        <v>85.745855335597</v>
      </c>
      <c r="AK120">
        <v>0.55517989718543603</v>
      </c>
      <c r="AL120">
        <v>86.3741633743157</v>
      </c>
      <c r="AM120">
        <v>87.906606130374399</v>
      </c>
      <c r="AN120">
        <v>1.00000003952711</v>
      </c>
    </row>
    <row r="121" spans="1:40" x14ac:dyDescent="0.25">
      <c r="A121" t="str">
        <f>"20190312164219522"</f>
        <v>20190312164219522</v>
      </c>
      <c r="B121" t="str">
        <f>"1552380139513820"</f>
        <v>1552380139513820</v>
      </c>
      <c r="C121" t="s">
        <v>40</v>
      </c>
      <c r="D121">
        <v>4.7189410000000001</v>
      </c>
      <c r="E121">
        <v>0.48862650000000002</v>
      </c>
      <c r="F121" t="s">
        <v>41</v>
      </c>
      <c r="G121">
        <v>-466.3424</v>
      </c>
      <c r="H121">
        <v>0.93079259999999997</v>
      </c>
      <c r="I121">
        <v>367.46870000000001</v>
      </c>
      <c r="J121">
        <v>-467.00670000000002</v>
      </c>
      <c r="K121">
        <v>1.1090199999999999</v>
      </c>
      <c r="L121">
        <v>367.4896</v>
      </c>
      <c r="M121">
        <v>0.99926099999999995</v>
      </c>
      <c r="N121">
        <v>0</v>
      </c>
      <c r="O121">
        <v>3.8347270000000003E-2</v>
      </c>
      <c r="P121">
        <v>0.99812219999999996</v>
      </c>
      <c r="Q121">
        <v>6.1226120000000002E-2</v>
      </c>
      <c r="R121">
        <v>1.936096E-3</v>
      </c>
      <c r="S121">
        <v>3.0473020000000002</v>
      </c>
      <c r="T121">
        <v>-0.68879889999999999</v>
      </c>
      <c r="U121">
        <v>-6.0607910000000001E-2</v>
      </c>
      <c r="V121">
        <v>3.6332059999999999E-2</v>
      </c>
      <c r="W121">
        <v>6.3913449999999997E-2</v>
      </c>
      <c r="X121">
        <v>0.99729389999999996</v>
      </c>
      <c r="Y121">
        <v>5.5835120000000002E-2</v>
      </c>
      <c r="Z121">
        <v>-1.4789470000000001E-2</v>
      </c>
      <c r="AA121">
        <v>0.99833050000000001</v>
      </c>
      <c r="AB121">
        <v>13</v>
      </c>
      <c r="AC121">
        <v>0.66430000000002498</v>
      </c>
      <c r="AD121">
        <v>-0.17822740000000001</v>
      </c>
      <c r="AE121">
        <v>-2.0899999999983199E-2</v>
      </c>
      <c r="AF121">
        <v>4.3248777078213098E-2</v>
      </c>
      <c r="AG121">
        <v>-0.17822740000000001</v>
      </c>
      <c r="AH121">
        <v>0.61853119531775402</v>
      </c>
      <c r="AI121">
        <v>106.036999240418</v>
      </c>
      <c r="AJ121">
        <v>86.000289218593906</v>
      </c>
      <c r="AK121">
        <v>0.64514827939841102</v>
      </c>
      <c r="AL121">
        <v>86.335531447778706</v>
      </c>
      <c r="AM121">
        <v>87.913600489433804</v>
      </c>
      <c r="AN121">
        <v>1.0000000353259699</v>
      </c>
    </row>
    <row r="122" spans="1:40" x14ac:dyDescent="0.25">
      <c r="A122" t="str">
        <f>"20190312164219547"</f>
        <v>20190312164219547</v>
      </c>
      <c r="B122" t="str">
        <f>"1552380139544077"</f>
        <v>1552380139544077</v>
      </c>
      <c r="C122" t="s">
        <v>40</v>
      </c>
      <c r="D122">
        <v>4.7000149999999996</v>
      </c>
      <c r="E122">
        <v>0.4879095</v>
      </c>
      <c r="F122" t="s">
        <v>41</v>
      </c>
      <c r="G122">
        <v>-466.20609999999999</v>
      </c>
      <c r="H122">
        <v>0.97852099999999997</v>
      </c>
      <c r="I122">
        <v>367.5231</v>
      </c>
      <c r="J122">
        <v>-466.87270000000001</v>
      </c>
      <c r="K122">
        <v>1.1090279999999999</v>
      </c>
      <c r="L122">
        <v>367.495</v>
      </c>
      <c r="M122">
        <v>0.99925140000000001</v>
      </c>
      <c r="N122">
        <v>0</v>
      </c>
      <c r="O122">
        <v>3.8599509999999997E-2</v>
      </c>
      <c r="P122">
        <v>0.99806839999999997</v>
      </c>
      <c r="Q122">
        <v>6.2087070000000001E-2</v>
      </c>
      <c r="R122">
        <v>2.189678E-3</v>
      </c>
      <c r="S122">
        <v>3.0357669999999999</v>
      </c>
      <c r="T122">
        <v>-0.49484729999999999</v>
      </c>
      <c r="U122">
        <v>0.12728879999999901</v>
      </c>
      <c r="V122">
        <v>3.6327980000000003E-2</v>
      </c>
      <c r="W122">
        <v>6.4696690000000001E-2</v>
      </c>
      <c r="X122">
        <v>0.99724349999999995</v>
      </c>
      <c r="Y122">
        <v>-3.754645E-3</v>
      </c>
      <c r="Z122">
        <v>-5.9417159999999997E-3</v>
      </c>
      <c r="AA122">
        <v>0.99997530000000001</v>
      </c>
      <c r="AB122">
        <v>13</v>
      </c>
      <c r="AC122">
        <v>0.66660000000001596</v>
      </c>
      <c r="AD122">
        <v>-0.13050700000000001</v>
      </c>
      <c r="AE122">
        <v>2.80999999999949E-2</v>
      </c>
      <c r="AF122">
        <v>-2.2619909086508401E-3</v>
      </c>
      <c r="AG122">
        <v>-0.13050700000000001</v>
      </c>
      <c r="AH122">
        <v>0.64260077680781302</v>
      </c>
      <c r="AI122">
        <v>101.480099677832</v>
      </c>
      <c r="AJ122">
        <v>90.201683536265804</v>
      </c>
      <c r="AK122">
        <v>0.655723228203696</v>
      </c>
      <c r="AL122">
        <v>86.290561863640306</v>
      </c>
      <c r="AM122">
        <v>87.913729239680606</v>
      </c>
      <c r="AN122">
        <v>0.999999991060043</v>
      </c>
    </row>
    <row r="123" spans="1:40" x14ac:dyDescent="0.25">
      <c r="A123" t="str">
        <f>"20190312164219569"</f>
        <v>20190312164219569</v>
      </c>
      <c r="B123" t="str">
        <f>"1552380139563595"</f>
        <v>1552380139563595</v>
      </c>
      <c r="C123" t="s">
        <v>40</v>
      </c>
      <c r="D123">
        <v>4.7365979999999999</v>
      </c>
      <c r="E123">
        <v>0.4887321</v>
      </c>
      <c r="F123" t="s">
        <v>41</v>
      </c>
      <c r="G123">
        <v>-466.07909999999998</v>
      </c>
      <c r="H123">
        <v>1.002378</v>
      </c>
      <c r="I123">
        <v>367.52870000000001</v>
      </c>
      <c r="J123">
        <v>-466.74220000000003</v>
      </c>
      <c r="K123">
        <v>1.1090329999999999</v>
      </c>
      <c r="L123">
        <v>367.50040000000001</v>
      </c>
      <c r="M123">
        <v>0.99924259999999998</v>
      </c>
      <c r="N123">
        <v>0</v>
      </c>
      <c r="O123">
        <v>3.8832989999999998E-2</v>
      </c>
      <c r="P123">
        <v>0.99802199999999996</v>
      </c>
      <c r="Q123">
        <v>6.2827519999999998E-2</v>
      </c>
      <c r="R123">
        <v>2.2304410000000001E-3</v>
      </c>
      <c r="S123">
        <v>3.0309140000000001</v>
      </c>
      <c r="T123">
        <v>-0.40753630000000002</v>
      </c>
      <c r="U123">
        <v>0.12991330000000001</v>
      </c>
      <c r="V123">
        <v>3.6518599999999998E-2</v>
      </c>
      <c r="W123">
        <v>6.5377619999999997E-2</v>
      </c>
      <c r="X123">
        <v>0.99719210000000003</v>
      </c>
      <c r="Y123">
        <v>-4.3035529999999999E-3</v>
      </c>
      <c r="Z123">
        <v>-4.9057900000000002E-3</v>
      </c>
      <c r="AA123">
        <v>0.9999787</v>
      </c>
      <c r="AB123">
        <v>13</v>
      </c>
      <c r="AC123">
        <v>0.66310000000004199</v>
      </c>
      <c r="AD123">
        <v>-0.106654999999999</v>
      </c>
      <c r="AE123">
        <v>2.8300000000001501E-2</v>
      </c>
      <c r="AF123">
        <v>-2.46476897211777E-3</v>
      </c>
      <c r="AG123">
        <v>-0.106654999999999</v>
      </c>
      <c r="AH123">
        <v>0.64699126856939104</v>
      </c>
      <c r="AI123">
        <v>99.360821346869699</v>
      </c>
      <c r="AJ123">
        <v>90.218272151830405</v>
      </c>
      <c r="AK123">
        <v>0.65572788999410103</v>
      </c>
      <c r="AL123">
        <v>86.251464566489702</v>
      </c>
      <c r="AM123">
        <v>87.902683916176201</v>
      </c>
      <c r="AN123">
        <v>0.99999996282261605</v>
      </c>
    </row>
    <row r="124" spans="1:40" x14ac:dyDescent="0.25">
      <c r="A124" t="str">
        <f>"20190312164219591"</f>
        <v>20190312164219591</v>
      </c>
      <c r="B124" t="str">
        <f>"1552380139584091"</f>
        <v>1552380139584091</v>
      </c>
      <c r="C124" t="s">
        <v>40</v>
      </c>
      <c r="D124">
        <v>4.6600869999999999</v>
      </c>
      <c r="E124">
        <v>0.48846650000000003</v>
      </c>
      <c r="F124" t="s">
        <v>41</v>
      </c>
      <c r="G124">
        <v>-465.9572</v>
      </c>
      <c r="H124">
        <v>1.012081</v>
      </c>
      <c r="I124">
        <v>367.53210000000001</v>
      </c>
      <c r="J124">
        <v>-466.60570000000001</v>
      </c>
      <c r="K124">
        <v>1.1090390000000001</v>
      </c>
      <c r="L124">
        <v>367.5059</v>
      </c>
      <c r="M124">
        <v>0.99923360000000006</v>
      </c>
      <c r="N124">
        <v>0</v>
      </c>
      <c r="O124">
        <v>3.90649E-2</v>
      </c>
      <c r="P124">
        <v>0.99796099999999999</v>
      </c>
      <c r="Q124">
        <v>6.3783400000000004E-2</v>
      </c>
      <c r="R124">
        <v>2.346781E-3</v>
      </c>
      <c r="S124">
        <v>3.0292659999999998</v>
      </c>
      <c r="T124">
        <v>-0.37410209999999999</v>
      </c>
      <c r="U124">
        <v>0.1221619</v>
      </c>
      <c r="V124">
        <v>3.6631789999999997E-2</v>
      </c>
      <c r="W124">
        <v>6.6288769999999997E-2</v>
      </c>
      <c r="X124">
        <v>0.99712780000000001</v>
      </c>
      <c r="Y124">
        <v>-1.51498E-3</v>
      </c>
      <c r="Z124">
        <v>-4.7091679999999997E-3</v>
      </c>
      <c r="AA124">
        <v>0.99998779999999998</v>
      </c>
      <c r="AB124">
        <v>13</v>
      </c>
      <c r="AC124">
        <v>0.64850000000001196</v>
      </c>
      <c r="AD124">
        <v>-9.6957999999999794E-2</v>
      </c>
      <c r="AE124">
        <v>2.6200000000017099E-2</v>
      </c>
      <c r="AF124">
        <v>-8.2785978663107995E-4</v>
      </c>
      <c r="AG124">
        <v>-9.6957999999999794E-2</v>
      </c>
      <c r="AH124">
        <v>0.63486020396948295</v>
      </c>
      <c r="AI124">
        <v>98.683301949622802</v>
      </c>
      <c r="AJ124">
        <v>90.074713841914601</v>
      </c>
      <c r="AK124">
        <v>0.64222193804011396</v>
      </c>
      <c r="AL124">
        <v>86.199146040195899</v>
      </c>
      <c r="AM124">
        <v>87.896053540172801</v>
      </c>
      <c r="AN124">
        <v>0.99999996929977797</v>
      </c>
    </row>
    <row r="125" spans="1:40" x14ac:dyDescent="0.25">
      <c r="A125" t="str">
        <f>"20190312164219614"</f>
        <v>20190312164219614</v>
      </c>
      <c r="B125" t="str">
        <f>"1552380139603612"</f>
        <v>1552380139603612</v>
      </c>
      <c r="C125" t="s">
        <v>40</v>
      </c>
      <c r="D125">
        <v>4.6548619999999996</v>
      </c>
      <c r="E125">
        <v>0.48818349999999999</v>
      </c>
      <c r="F125" t="s">
        <v>41</v>
      </c>
      <c r="G125">
        <v>-465.83510000000001</v>
      </c>
      <c r="H125">
        <v>1.019315</v>
      </c>
      <c r="I125">
        <v>367.53699999999998</v>
      </c>
      <c r="J125">
        <v>-466.47579999999999</v>
      </c>
      <c r="K125">
        <v>1.1090469999999999</v>
      </c>
      <c r="L125">
        <v>367.51119999999997</v>
      </c>
      <c r="M125">
        <v>0.99922549999999999</v>
      </c>
      <c r="N125">
        <v>0</v>
      </c>
      <c r="O125">
        <v>3.9274610000000001E-2</v>
      </c>
      <c r="P125">
        <v>0.99789209999999995</v>
      </c>
      <c r="Q125">
        <v>6.4859399999999998E-2</v>
      </c>
      <c r="R125">
        <v>2.2679890000000002E-3</v>
      </c>
      <c r="S125">
        <v>3.028381</v>
      </c>
      <c r="T125">
        <v>-0.35292590000000001</v>
      </c>
      <c r="U125">
        <v>0.1238403</v>
      </c>
      <c r="V125">
        <v>3.6917480000000003E-2</v>
      </c>
      <c r="W125">
        <v>6.7337369999999994E-2</v>
      </c>
      <c r="X125">
        <v>0.99704700000000002</v>
      </c>
      <c r="Y125">
        <v>-1.838379E-3</v>
      </c>
      <c r="Z125">
        <v>-4.4512229999999998E-3</v>
      </c>
      <c r="AA125">
        <v>0.9999884</v>
      </c>
      <c r="AB125">
        <v>13</v>
      </c>
      <c r="AC125">
        <v>0.64069999999998095</v>
      </c>
      <c r="AD125">
        <v>-8.9731999999999895E-2</v>
      </c>
      <c r="AE125">
        <v>2.5800000000003799E-2</v>
      </c>
      <c r="AF125">
        <v>-6.0493067224703196E-4</v>
      </c>
      <c r="AG125">
        <v>-8.9731999999999895E-2</v>
      </c>
      <c r="AH125">
        <v>0.62890307998085904</v>
      </c>
      <c r="AI125">
        <v>98.120161545810603</v>
      </c>
      <c r="AJ125">
        <v>90.055111772913307</v>
      </c>
      <c r="AK125">
        <v>0.63527260430033405</v>
      </c>
      <c r="AL125">
        <v>86.138931138007493</v>
      </c>
      <c r="AM125">
        <v>87.879488183305995</v>
      </c>
      <c r="AN125">
        <v>0.99999997096853299</v>
      </c>
    </row>
    <row r="126" spans="1:40" x14ac:dyDescent="0.25">
      <c r="A126" t="str">
        <f>"20190312164219635"</f>
        <v>20190312164219635</v>
      </c>
      <c r="B126" t="str">
        <f>"1552380139624111"</f>
        <v>1552380139624111</v>
      </c>
      <c r="C126" t="s">
        <v>40</v>
      </c>
      <c r="D126">
        <v>4.606077</v>
      </c>
      <c r="E126">
        <v>0.48875220000000003</v>
      </c>
      <c r="F126" t="s">
        <v>41</v>
      </c>
      <c r="G126">
        <v>-465.71300000000002</v>
      </c>
      <c r="H126">
        <v>1.0237229999999999</v>
      </c>
      <c r="I126">
        <v>367.54289999999997</v>
      </c>
      <c r="J126">
        <v>-466.34629999999999</v>
      </c>
      <c r="K126">
        <v>1.109049</v>
      </c>
      <c r="L126">
        <v>367.51650000000001</v>
      </c>
      <c r="M126">
        <v>0.99921760000000004</v>
      </c>
      <c r="N126">
        <v>0</v>
      </c>
      <c r="O126">
        <v>3.9474059999999998E-2</v>
      </c>
      <c r="P126">
        <v>0.99781600000000004</v>
      </c>
      <c r="Q126">
        <v>6.599671E-2</v>
      </c>
      <c r="R126">
        <v>2.770752E-3</v>
      </c>
      <c r="S126">
        <v>3.028076</v>
      </c>
      <c r="T126">
        <v>-0.33868769999999998</v>
      </c>
      <c r="U126">
        <v>0.12570190000000001</v>
      </c>
      <c r="V126">
        <v>3.6611869999999998E-2</v>
      </c>
      <c r="W126">
        <v>6.8459629999999994E-2</v>
      </c>
      <c r="X126">
        <v>0.99698189999999998</v>
      </c>
      <c r="Y126">
        <v>-2.235496E-3</v>
      </c>
      <c r="Z126">
        <v>-4.2732170000000002E-3</v>
      </c>
      <c r="AA126">
        <v>0.9999884</v>
      </c>
      <c r="AB126">
        <v>13</v>
      </c>
      <c r="AC126">
        <v>0.633299999999962</v>
      </c>
      <c r="AD126">
        <v>-8.5325999999999999E-2</v>
      </c>
      <c r="AE126">
        <v>2.6399999999966801E-2</v>
      </c>
      <c r="AF126">
        <v>-1.35585666562306E-3</v>
      </c>
      <c r="AG126">
        <v>-8.5325999999999999E-2</v>
      </c>
      <c r="AH126">
        <v>0.62256678846654601</v>
      </c>
      <c r="AI126">
        <v>97.804043037604103</v>
      </c>
      <c r="AJ126">
        <v>90.124781377972397</v>
      </c>
      <c r="AK126">
        <v>0.62838823248438203</v>
      </c>
      <c r="AL126">
        <v>86.074481866722905</v>
      </c>
      <c r="AM126">
        <v>87.896889166333295</v>
      </c>
      <c r="AN126">
        <v>1.00000002944612</v>
      </c>
    </row>
    <row r="127" spans="1:40" x14ac:dyDescent="0.25">
      <c r="A127" t="str">
        <f>"20190312164219658"</f>
        <v>20190312164219658</v>
      </c>
      <c r="B127" t="str">
        <f>"1552380139654364"</f>
        <v>1552380139654364</v>
      </c>
      <c r="C127" t="s">
        <v>40</v>
      </c>
      <c r="D127">
        <v>4.6592169999999999</v>
      </c>
      <c r="E127">
        <v>0.48922769999999999</v>
      </c>
      <c r="F127" t="s">
        <v>41</v>
      </c>
      <c r="G127">
        <v>-465.58960000000002</v>
      </c>
      <c r="H127">
        <v>1.027655</v>
      </c>
      <c r="I127">
        <v>367.5471</v>
      </c>
      <c r="J127">
        <v>-466.20589999999999</v>
      </c>
      <c r="K127">
        <v>1.1090580000000001</v>
      </c>
      <c r="L127">
        <v>367.5224</v>
      </c>
      <c r="M127">
        <v>0.99920960000000003</v>
      </c>
      <c r="N127">
        <v>0</v>
      </c>
      <c r="O127">
        <v>3.9680100000000003E-2</v>
      </c>
      <c r="P127">
        <v>0.9977123</v>
      </c>
      <c r="Q127">
        <v>6.7549390000000001E-2</v>
      </c>
      <c r="R127">
        <v>2.7841239999999998E-3</v>
      </c>
      <c r="S127">
        <v>3.027771</v>
      </c>
      <c r="T127">
        <v>-0.32572479999999998</v>
      </c>
      <c r="U127">
        <v>0.12231450000000001</v>
      </c>
      <c r="V127">
        <v>3.6800399999999997E-2</v>
      </c>
      <c r="W127">
        <v>7.0006589999999994E-2</v>
      </c>
      <c r="X127">
        <v>0.99686750000000002</v>
      </c>
      <c r="Y127">
        <v>-9.0810700000000001E-4</v>
      </c>
      <c r="Z127">
        <v>-4.2043849999999997E-3</v>
      </c>
      <c r="AA127">
        <v>0.99999079999999996</v>
      </c>
      <c r="AB127">
        <v>13</v>
      </c>
      <c r="AC127">
        <v>0.61629999999996699</v>
      </c>
      <c r="AD127">
        <v>-8.14030000000001E-2</v>
      </c>
      <c r="AE127">
        <v>2.4699999999995701E-2</v>
      </c>
      <c r="AF127">
        <v>-2.21769340236294E-4</v>
      </c>
      <c r="AG127">
        <v>-8.14030000000001E-2</v>
      </c>
      <c r="AH127">
        <v>0.60623528709947205</v>
      </c>
      <c r="AI127">
        <v>97.647717676390002</v>
      </c>
      <c r="AJ127">
        <v>90.020959595926698</v>
      </c>
      <c r="AK127">
        <v>0.61167615689612997</v>
      </c>
      <c r="AL127">
        <v>85.985634283514599</v>
      </c>
      <c r="AM127">
        <v>87.885826786072798</v>
      </c>
      <c r="AN127">
        <v>1.00000000231991</v>
      </c>
    </row>
    <row r="128" spans="1:40" x14ac:dyDescent="0.25">
      <c r="A128" t="str">
        <f>"20190312164219679"</f>
        <v>20190312164219679</v>
      </c>
      <c r="B128" t="str">
        <f>"1552380139673886"</f>
        <v>1552380139673886</v>
      </c>
      <c r="C128" t="s">
        <v>40</v>
      </c>
      <c r="D128">
        <v>4.532654</v>
      </c>
      <c r="E128">
        <v>0.48955310000000002</v>
      </c>
      <c r="F128" t="s">
        <v>41</v>
      </c>
      <c r="G128">
        <v>-465.46460000000002</v>
      </c>
      <c r="H128">
        <v>1.0323899999999999</v>
      </c>
      <c r="I128">
        <v>367.55130000000003</v>
      </c>
      <c r="J128">
        <v>-466.07249999999999</v>
      </c>
      <c r="K128">
        <v>1.1090580000000001</v>
      </c>
      <c r="L128">
        <v>367.52789999999999</v>
      </c>
      <c r="M128">
        <v>0.99920220000000004</v>
      </c>
      <c r="N128">
        <v>0</v>
      </c>
      <c r="O128">
        <v>3.9865280000000003E-2</v>
      </c>
      <c r="P128">
        <v>0.99764889999999995</v>
      </c>
      <c r="Q128">
        <v>6.8445399999999906E-2</v>
      </c>
      <c r="R128">
        <v>3.5044989999999999E-3</v>
      </c>
      <c r="S128">
        <v>3.027771</v>
      </c>
      <c r="T128">
        <v>-0.31324540000000001</v>
      </c>
      <c r="U128">
        <v>0.11828610000000001</v>
      </c>
      <c r="V128">
        <v>3.6263129999999998E-2</v>
      </c>
      <c r="W128">
        <v>7.0904140000000004E-2</v>
      </c>
      <c r="X128">
        <v>0.99682369999999998</v>
      </c>
      <c r="Y128">
        <v>6.131954E-4</v>
      </c>
      <c r="Z128">
        <v>-4.1418440000000004E-3</v>
      </c>
      <c r="AA128">
        <v>0.99999119999999997</v>
      </c>
      <c r="AB128">
        <v>14</v>
      </c>
      <c r="AC128">
        <v>0.60789999999997202</v>
      </c>
      <c r="AD128">
        <v>-7.6668000000000097E-2</v>
      </c>
      <c r="AE128">
        <v>2.34000000000378E-2</v>
      </c>
      <c r="AF128">
        <v>8.3944216779984198E-4</v>
      </c>
      <c r="AG128">
        <v>-7.6668000000000097E-2</v>
      </c>
      <c r="AH128">
        <v>0.59883850737086797</v>
      </c>
      <c r="AI128">
        <v>97.295758556438102</v>
      </c>
      <c r="AJ128">
        <v>89.919683752355397</v>
      </c>
      <c r="AK128">
        <v>0.60372696212553101</v>
      </c>
      <c r="AL128">
        <v>85.934080127997504</v>
      </c>
      <c r="AM128">
        <v>87.916573945000593</v>
      </c>
      <c r="AN128">
        <v>0.99999995027411104</v>
      </c>
    </row>
    <row r="129" spans="1:40" x14ac:dyDescent="0.25">
      <c r="A129" t="str">
        <f>"20190312164219702"</f>
        <v>20190312164219702</v>
      </c>
      <c r="B129" t="str">
        <f>"1552380139694380"</f>
        <v>1552380139694380</v>
      </c>
      <c r="C129" t="s">
        <v>40</v>
      </c>
      <c r="D129">
        <v>4.4987659999999998</v>
      </c>
      <c r="E129">
        <v>0.48990640000000002</v>
      </c>
      <c r="F129" t="s">
        <v>41</v>
      </c>
      <c r="G129">
        <v>-465.33920000000001</v>
      </c>
      <c r="H129">
        <v>1.0346919999999999</v>
      </c>
      <c r="I129">
        <v>367.55619999999999</v>
      </c>
      <c r="J129">
        <v>-465.93060000000003</v>
      </c>
      <c r="K129">
        <v>1.1090709999999999</v>
      </c>
      <c r="L129">
        <v>367.53379999999999</v>
      </c>
      <c r="M129">
        <v>0.99919469999999999</v>
      </c>
      <c r="N129">
        <v>0</v>
      </c>
      <c r="O129">
        <v>4.0050580000000002E-2</v>
      </c>
      <c r="P129">
        <v>0.9975754</v>
      </c>
      <c r="Q129">
        <v>6.9490699999999905E-2</v>
      </c>
      <c r="R129">
        <v>3.8413649999999998E-3</v>
      </c>
      <c r="S129">
        <v>3.027771</v>
      </c>
      <c r="T129">
        <v>-0.30728749999999999</v>
      </c>
      <c r="U129">
        <v>0.1177979</v>
      </c>
      <c r="V129">
        <v>3.6108939999999999E-2</v>
      </c>
      <c r="W129">
        <v>7.1953349999999999E-2</v>
      </c>
      <c r="X129">
        <v>0.99675420000000003</v>
      </c>
      <c r="Y129">
        <v>9.6501379999999997E-4</v>
      </c>
      <c r="Z129">
        <v>-4.1000209999999997E-3</v>
      </c>
      <c r="AA129">
        <v>0.99999110000000002</v>
      </c>
      <c r="AB129">
        <v>14</v>
      </c>
      <c r="AC129">
        <v>0.59140000000002102</v>
      </c>
      <c r="AD129">
        <v>-7.4378999999999904E-2</v>
      </c>
      <c r="AE129">
        <v>2.24000000000046E-2</v>
      </c>
      <c r="AF129">
        <v>1.2836800498519001E-3</v>
      </c>
      <c r="AG129">
        <v>-7.4378999999999904E-2</v>
      </c>
      <c r="AH129">
        <v>0.58262022762582499</v>
      </c>
      <c r="AI129">
        <v>97.275176146943494</v>
      </c>
      <c r="AJ129">
        <v>89.873761111269602</v>
      </c>
      <c r="AK129">
        <v>0.587350162266291</v>
      </c>
      <c r="AL129">
        <v>85.873811233135598</v>
      </c>
      <c r="AM129">
        <v>87.925280341751304</v>
      </c>
      <c r="AN129">
        <v>1.00000003767089</v>
      </c>
    </row>
    <row r="130" spans="1:40" x14ac:dyDescent="0.25">
      <c r="A130" t="str">
        <f>"20190312164219723"</f>
        <v>20190312164219723</v>
      </c>
      <c r="B130" t="str">
        <f>"1552380139714876"</f>
        <v>1552380139714876</v>
      </c>
      <c r="C130" t="s">
        <v>40</v>
      </c>
      <c r="D130">
        <v>4.4693420000000001</v>
      </c>
      <c r="E130">
        <v>0.49023660000000002</v>
      </c>
      <c r="F130" t="s">
        <v>41</v>
      </c>
      <c r="G130">
        <v>-465.0908</v>
      </c>
      <c r="H130">
        <v>1.0260149999999999</v>
      </c>
      <c r="I130">
        <v>367.56549999999999</v>
      </c>
      <c r="J130">
        <v>-465.79129999999998</v>
      </c>
      <c r="K130">
        <v>1.1090719999999901</v>
      </c>
      <c r="L130">
        <v>367.53949999999998</v>
      </c>
      <c r="M130">
        <v>0.99918779999999996</v>
      </c>
      <c r="N130">
        <v>0</v>
      </c>
      <c r="O130">
        <v>4.0220199999999998E-2</v>
      </c>
      <c r="P130">
        <v>0.99750240000000001</v>
      </c>
      <c r="Q130">
        <v>7.0518520000000001E-2</v>
      </c>
      <c r="R130">
        <v>3.9792400000000002E-3</v>
      </c>
      <c r="S130">
        <v>3.027771</v>
      </c>
      <c r="T130">
        <v>-0.29979090000000003</v>
      </c>
      <c r="U130">
        <v>0.115722699999999</v>
      </c>
      <c r="V130">
        <v>3.6138049999999998E-2</v>
      </c>
      <c r="W130">
        <v>7.2984899999999894E-2</v>
      </c>
      <c r="X130">
        <v>0.99667810000000001</v>
      </c>
      <c r="Y130">
        <v>1.8242200000000001E-3</v>
      </c>
      <c r="Z130">
        <v>-4.0597039999999999E-3</v>
      </c>
      <c r="AA130">
        <v>0.99999009999999999</v>
      </c>
      <c r="AB130">
        <v>14</v>
      </c>
      <c r="AC130">
        <v>0.70049999999997603</v>
      </c>
      <c r="AD130">
        <v>-8.3056999999999895E-2</v>
      </c>
      <c r="AE130">
        <v>2.60000000000104E-2</v>
      </c>
      <c r="AF130">
        <v>2.1649796696564701E-3</v>
      </c>
      <c r="AG130">
        <v>-8.3056999999999895E-2</v>
      </c>
      <c r="AH130">
        <v>0.691274064098793</v>
      </c>
      <c r="AI130">
        <v>96.851246759943706</v>
      </c>
      <c r="AJ130">
        <v>89.820557722789204</v>
      </c>
      <c r="AK130">
        <v>0.69624922555190805</v>
      </c>
      <c r="AL130">
        <v>85.814551777965093</v>
      </c>
      <c r="AM130">
        <v>87.923450824049695</v>
      </c>
      <c r="AN130">
        <v>0.99999999465271106</v>
      </c>
    </row>
    <row r="131" spans="1:40" x14ac:dyDescent="0.25">
      <c r="A131" t="str">
        <f>"20190312164219747"</f>
        <v>20190312164219747</v>
      </c>
      <c r="B131" t="str">
        <f>"1552380139744156"</f>
        <v>1552380139744156</v>
      </c>
      <c r="C131" t="s">
        <v>40</v>
      </c>
      <c r="D131">
        <v>4.4494300000000004</v>
      </c>
      <c r="E131">
        <v>0.49077549999999998</v>
      </c>
      <c r="F131" t="s">
        <v>41</v>
      </c>
      <c r="G131">
        <v>-464.96129999999999</v>
      </c>
      <c r="H131">
        <v>1.0285359999999999</v>
      </c>
      <c r="I131">
        <v>367.57049999999998</v>
      </c>
      <c r="J131">
        <v>-465.64640000000003</v>
      </c>
      <c r="K131">
        <v>1.1090709999999999</v>
      </c>
      <c r="L131">
        <v>367.54559999999998</v>
      </c>
      <c r="M131">
        <v>0.99918119999999999</v>
      </c>
      <c r="N131">
        <v>0</v>
      </c>
      <c r="O131">
        <v>4.0387029999999997E-2</v>
      </c>
      <c r="P131">
        <v>0.99741849999999999</v>
      </c>
      <c r="Q131">
        <v>7.1702260000000004E-2</v>
      </c>
      <c r="R131">
        <v>3.9440600000000001E-3</v>
      </c>
      <c r="S131">
        <v>3.027863</v>
      </c>
      <c r="T131">
        <v>-0.29385090000000003</v>
      </c>
      <c r="U131">
        <v>0.1129761</v>
      </c>
      <c r="V131">
        <v>3.6336090000000001E-2</v>
      </c>
      <c r="W131">
        <v>7.4172329999999995E-2</v>
      </c>
      <c r="X131">
        <v>0.9965832</v>
      </c>
      <c r="Y131">
        <v>2.9003369999999998E-3</v>
      </c>
      <c r="Z131">
        <v>-4.0478190000000002E-3</v>
      </c>
      <c r="AA131">
        <v>0.99998759999999998</v>
      </c>
      <c r="AB131">
        <v>14</v>
      </c>
      <c r="AC131">
        <v>0.68510000000003402</v>
      </c>
      <c r="AD131">
        <v>-8.0534999999999801E-2</v>
      </c>
      <c r="AE131">
        <v>2.4900000000002299E-2</v>
      </c>
      <c r="AF131">
        <v>2.7515779250096798E-3</v>
      </c>
      <c r="AG131">
        <v>-8.0534999999999801E-2</v>
      </c>
      <c r="AH131">
        <v>0.67621471484325302</v>
      </c>
      <c r="AI131">
        <v>96.791696617820193</v>
      </c>
      <c r="AJ131">
        <v>89.766859654876399</v>
      </c>
      <c r="AK131">
        <v>0.68099911745656405</v>
      </c>
      <c r="AL131">
        <v>85.746331984628597</v>
      </c>
      <c r="AM131">
        <v>87.911882531778105</v>
      </c>
      <c r="AN131">
        <v>0.99999996024817694</v>
      </c>
    </row>
    <row r="132" spans="1:40" x14ac:dyDescent="0.25">
      <c r="A132" t="str">
        <f>"20190312164219770"</f>
        <v>20190312164219770</v>
      </c>
      <c r="B132" t="str">
        <f>"1552380139763676"</f>
        <v>1552380139763676</v>
      </c>
      <c r="C132" t="s">
        <v>40</v>
      </c>
      <c r="D132">
        <v>4.4060649999999999</v>
      </c>
      <c r="E132">
        <v>0.49107800000000001</v>
      </c>
      <c r="F132" t="s">
        <v>41</v>
      </c>
      <c r="G132">
        <v>-464.82979999999998</v>
      </c>
      <c r="H132">
        <v>1.0321070000000001</v>
      </c>
      <c r="I132">
        <v>367.57440000000003</v>
      </c>
      <c r="J132">
        <v>-465.49650000000003</v>
      </c>
      <c r="K132">
        <v>1.1090770000000001</v>
      </c>
      <c r="L132">
        <v>367.55180000000001</v>
      </c>
      <c r="M132">
        <v>0.99917429999999996</v>
      </c>
      <c r="N132">
        <v>0</v>
      </c>
      <c r="O132">
        <v>4.0552119999999997E-2</v>
      </c>
      <c r="P132">
        <v>0.99734120000000004</v>
      </c>
      <c r="Q132">
        <v>7.2777900000000006E-2</v>
      </c>
      <c r="R132">
        <v>3.7496209999999999E-3</v>
      </c>
      <c r="S132">
        <v>3.027863</v>
      </c>
      <c r="T132">
        <v>-0.28574959999999899</v>
      </c>
      <c r="U132">
        <v>0.10855099999999999</v>
      </c>
      <c r="V132">
        <v>3.6692059999999999E-2</v>
      </c>
      <c r="W132">
        <v>7.5250300000000006E-2</v>
      </c>
      <c r="X132">
        <v>0.99648939999999997</v>
      </c>
      <c r="Y132">
        <v>4.5280920000000001E-3</v>
      </c>
      <c r="Z132">
        <v>-4.028996E-3</v>
      </c>
      <c r="AA132">
        <v>0.99998160000000003</v>
      </c>
      <c r="AB132">
        <v>14</v>
      </c>
      <c r="AC132">
        <v>0.66670000000004803</v>
      </c>
      <c r="AD132">
        <v>-7.6970000000000205E-2</v>
      </c>
      <c r="AE132">
        <v>2.2600000000011201E-2</v>
      </c>
      <c r="AF132">
        <v>4.3962449291402696E-3</v>
      </c>
      <c r="AG132">
        <v>-7.6970000000000205E-2</v>
      </c>
      <c r="AH132">
        <v>0.65830391742540395</v>
      </c>
      <c r="AI132">
        <v>96.668692245840106</v>
      </c>
      <c r="AJ132">
        <v>89.617376520060503</v>
      </c>
      <c r="AK132">
        <v>0.66280295380083398</v>
      </c>
      <c r="AL132">
        <v>85.684396005219796</v>
      </c>
      <c r="AM132">
        <v>87.891246163505102</v>
      </c>
      <c r="AN132">
        <v>1.0000000196147401</v>
      </c>
    </row>
    <row r="133" spans="1:40" x14ac:dyDescent="0.25">
      <c r="A133" t="str">
        <f>"20190312164219793"</f>
        <v>20190312164219793</v>
      </c>
      <c r="B133" t="str">
        <f>"1552380139784172"</f>
        <v>1552380139784172</v>
      </c>
      <c r="C133" t="s">
        <v>40</v>
      </c>
      <c r="D133">
        <v>4.4203449999999904</v>
      </c>
      <c r="E133">
        <v>0.49136390000000002</v>
      </c>
      <c r="F133" t="s">
        <v>41</v>
      </c>
      <c r="G133">
        <v>-464.69720000000001</v>
      </c>
      <c r="H133">
        <v>1.035102</v>
      </c>
      <c r="I133">
        <v>367.5795</v>
      </c>
      <c r="J133">
        <v>-465.34089999999998</v>
      </c>
      <c r="K133">
        <v>1.109073</v>
      </c>
      <c r="L133">
        <v>367.55829999999997</v>
      </c>
      <c r="M133">
        <v>0.99916769999999999</v>
      </c>
      <c r="N133">
        <v>0</v>
      </c>
      <c r="O133">
        <v>4.0715260000000003E-2</v>
      </c>
      <c r="P133">
        <v>0.99723899999999999</v>
      </c>
      <c r="Q133">
        <v>7.4170050000000001E-2</v>
      </c>
      <c r="R133">
        <v>3.6769569999999998E-3</v>
      </c>
      <c r="S133">
        <v>3.0280149999999999</v>
      </c>
      <c r="T133">
        <v>-0.28030229999999901</v>
      </c>
      <c r="U133">
        <v>0.1051636</v>
      </c>
      <c r="V133">
        <v>3.6923159999999997E-2</v>
      </c>
      <c r="W133">
        <v>7.66434E-2</v>
      </c>
      <c r="X133">
        <v>0.99637469999999995</v>
      </c>
      <c r="Y133">
        <v>5.8118170000000004E-3</v>
      </c>
      <c r="Z133">
        <v>-4.0267439999999996E-3</v>
      </c>
      <c r="AA133">
        <v>0.99997499999999995</v>
      </c>
      <c r="AB133">
        <v>15</v>
      </c>
      <c r="AC133">
        <v>0.64369999999996697</v>
      </c>
      <c r="AD133">
        <v>-7.3970999999999995E-2</v>
      </c>
      <c r="AE133">
        <v>2.1200000000021601E-2</v>
      </c>
      <c r="AF133">
        <v>4.9606362683007896E-3</v>
      </c>
      <c r="AG133">
        <v>-7.3970999999999995E-2</v>
      </c>
      <c r="AH133">
        <v>0.635644470884551</v>
      </c>
      <c r="AI133">
        <v>96.637548297705905</v>
      </c>
      <c r="AJ133">
        <v>89.552866791137703</v>
      </c>
      <c r="AK133">
        <v>0.63995328745095703</v>
      </c>
      <c r="AL133">
        <v>85.604346129919307</v>
      </c>
      <c r="AM133">
        <v>87.877732507336503</v>
      </c>
      <c r="AN133">
        <v>1.00000003665401</v>
      </c>
    </row>
    <row r="134" spans="1:40" x14ac:dyDescent="0.25">
      <c r="A134" t="str">
        <f>"20190312164219815"</f>
        <v>20190312164219815</v>
      </c>
      <c r="B134" t="str">
        <f>"1552380139803692"</f>
        <v>1552380139803692</v>
      </c>
      <c r="C134" t="s">
        <v>40</v>
      </c>
      <c r="D134">
        <v>4.3772339999999996</v>
      </c>
      <c r="E134">
        <v>0.49163109999999999</v>
      </c>
      <c r="F134" t="s">
        <v>41</v>
      </c>
      <c r="G134">
        <v>-464.56299999999999</v>
      </c>
      <c r="H134">
        <v>1.038851</v>
      </c>
      <c r="I134">
        <v>367.58460000000002</v>
      </c>
      <c r="J134">
        <v>-465.19490000000002</v>
      </c>
      <c r="K134">
        <v>1.109076</v>
      </c>
      <c r="L134">
        <v>367.56439999999998</v>
      </c>
      <c r="M134">
        <v>0.99916179999999999</v>
      </c>
      <c r="N134">
        <v>0</v>
      </c>
      <c r="O134">
        <v>4.0861229999999998E-2</v>
      </c>
      <c r="P134">
        <v>0.99715430000000005</v>
      </c>
      <c r="Q134">
        <v>7.5277339999999998E-2</v>
      </c>
      <c r="R134">
        <v>4.1025239999999998E-3</v>
      </c>
      <c r="S134">
        <v>3.0282900000000001</v>
      </c>
      <c r="T134">
        <v>-0.27350950000000002</v>
      </c>
      <c r="U134">
        <v>0.10290530000000001</v>
      </c>
      <c r="V134">
        <v>3.6639989999999997E-2</v>
      </c>
      <c r="W134">
        <v>7.7750159999999999E-2</v>
      </c>
      <c r="X134">
        <v>0.99629939999999995</v>
      </c>
      <c r="Y134">
        <v>6.7111540000000004E-3</v>
      </c>
      <c r="Z134">
        <v>-3.9829289999999996E-3</v>
      </c>
      <c r="AA134">
        <v>0.99996949999999996</v>
      </c>
      <c r="AB134">
        <v>15</v>
      </c>
      <c r="AC134">
        <v>0.63189999999997304</v>
      </c>
      <c r="AD134">
        <v>-7.0224999999999899E-2</v>
      </c>
      <c r="AE134">
        <v>2.0200000000045199E-2</v>
      </c>
      <c r="AF134">
        <v>5.56845657907415E-3</v>
      </c>
      <c r="AG134">
        <v>-7.0224999999999899E-2</v>
      </c>
      <c r="AH134">
        <v>0.624492689798955</v>
      </c>
      <c r="AI134">
        <v>96.415777019257703</v>
      </c>
      <c r="AJ134">
        <v>89.489120352781697</v>
      </c>
      <c r="AK134">
        <v>0.62845340157087803</v>
      </c>
      <c r="AL134">
        <v>85.540743648486099</v>
      </c>
      <c r="AM134">
        <v>87.893834797592305</v>
      </c>
      <c r="AN134">
        <v>1.0000000353437899</v>
      </c>
    </row>
    <row r="135" spans="1:40" x14ac:dyDescent="0.25">
      <c r="A135" t="str">
        <f>"20190312164219835"</f>
        <v>20190312164219835</v>
      </c>
      <c r="B135" t="str">
        <f>"1552380139824188"</f>
        <v>1552380139824188</v>
      </c>
      <c r="C135" t="s">
        <v>40</v>
      </c>
      <c r="D135">
        <v>4.7079029999999999</v>
      </c>
      <c r="E135">
        <v>0.49189050000000001</v>
      </c>
      <c r="F135" t="s">
        <v>41</v>
      </c>
      <c r="G135">
        <v>-464.42739999999998</v>
      </c>
      <c r="H135">
        <v>1.0411889999999999</v>
      </c>
      <c r="I135">
        <v>367.58980000000003</v>
      </c>
      <c r="J135">
        <v>-465.05340000000001</v>
      </c>
      <c r="K135">
        <v>1.1090770000000001</v>
      </c>
      <c r="L135">
        <v>367.57040000000001</v>
      </c>
      <c r="M135">
        <v>0.9991563</v>
      </c>
      <c r="N135">
        <v>0</v>
      </c>
      <c r="O135">
        <v>4.0995940000000002E-2</v>
      </c>
      <c r="P135">
        <v>0.99707140000000005</v>
      </c>
      <c r="Q135">
        <v>7.6339450000000003E-2</v>
      </c>
      <c r="R135">
        <v>4.6095529999999997E-3</v>
      </c>
      <c r="S135">
        <v>3.028381</v>
      </c>
      <c r="T135">
        <v>-0.26820149999999998</v>
      </c>
      <c r="U135">
        <v>0.10189819999999999</v>
      </c>
      <c r="V135">
        <v>3.6264440000000002E-2</v>
      </c>
      <c r="W135">
        <v>7.8811679999999995E-2</v>
      </c>
      <c r="X135">
        <v>0.9962297</v>
      </c>
      <c r="Y135">
        <v>7.1842E-3</v>
      </c>
      <c r="Z135">
        <v>-3.9386389999999999E-3</v>
      </c>
      <c r="AA135">
        <v>0.99996640000000003</v>
      </c>
      <c r="AB135">
        <v>15</v>
      </c>
      <c r="AC135">
        <v>0.62600000000003297</v>
      </c>
      <c r="AD135">
        <v>-6.7888000000000101E-2</v>
      </c>
      <c r="AE135">
        <v>1.9400000000018701E-2</v>
      </c>
      <c r="AF135">
        <v>6.2069167760297602E-3</v>
      </c>
      <c r="AG135">
        <v>-6.7888000000000101E-2</v>
      </c>
      <c r="AH135">
        <v>0.61899613727678904</v>
      </c>
      <c r="AI135">
        <v>96.258550485690705</v>
      </c>
      <c r="AJ135">
        <v>89.425492026541605</v>
      </c>
      <c r="AK135">
        <v>0.62273872878073899</v>
      </c>
      <c r="AL135">
        <v>85.479735672354394</v>
      </c>
      <c r="AM135">
        <v>87.915257560193595</v>
      </c>
      <c r="AN135">
        <v>1.00000000283751</v>
      </c>
    </row>
    <row r="136" spans="1:40" x14ac:dyDescent="0.25">
      <c r="A136" t="str">
        <f>"20190312164219869"</f>
        <v>20190312164219869</v>
      </c>
      <c r="B136" t="str">
        <f>"1552380139864204"</f>
        <v>1552380139864204</v>
      </c>
      <c r="C136" t="s">
        <v>40</v>
      </c>
      <c r="D136">
        <v>4.5474100000000002</v>
      </c>
      <c r="E136">
        <v>0.49232179999999998</v>
      </c>
      <c r="F136" t="s">
        <v>41</v>
      </c>
      <c r="G136">
        <v>-464.29070000000002</v>
      </c>
      <c r="H136">
        <v>1.042821</v>
      </c>
      <c r="I136">
        <v>367.59550000000002</v>
      </c>
      <c r="J136">
        <v>-464.83</v>
      </c>
      <c r="K136">
        <v>1.1090660000000001</v>
      </c>
      <c r="L136">
        <v>367.57979999999998</v>
      </c>
      <c r="M136">
        <v>0.99914820000000004</v>
      </c>
      <c r="N136">
        <v>0</v>
      </c>
      <c r="O136">
        <v>4.1194889999999998E-2</v>
      </c>
      <c r="P136">
        <v>0.99699439999999995</v>
      </c>
      <c r="Q136">
        <v>7.733363E-2</v>
      </c>
      <c r="R136">
        <v>4.6894670000000001E-3</v>
      </c>
      <c r="S136">
        <v>3.0285340000000001</v>
      </c>
      <c r="T136">
        <v>-0.26343630000000001</v>
      </c>
      <c r="U136">
        <v>0.10134890000000001</v>
      </c>
      <c r="V136">
        <v>3.6380179999999998E-2</v>
      </c>
      <c r="W136">
        <v>7.9804650000000005E-2</v>
      </c>
      <c r="X136">
        <v>0.99614639999999999</v>
      </c>
      <c r="Y136">
        <v>7.5706100000000002E-3</v>
      </c>
      <c r="Z136">
        <v>-3.902768E-3</v>
      </c>
      <c r="AA136">
        <v>0.99996370000000001</v>
      </c>
      <c r="AB136">
        <v>15</v>
      </c>
      <c r="AC136">
        <v>0.53929999999996803</v>
      </c>
      <c r="AD136">
        <v>-6.6244999999999804E-2</v>
      </c>
      <c r="AE136">
        <v>1.5700000000038E-2</v>
      </c>
      <c r="AF136">
        <v>6.4328173359995099E-3</v>
      </c>
      <c r="AG136">
        <v>-6.6244999999999804E-2</v>
      </c>
      <c r="AH136">
        <v>0.53147658248144203</v>
      </c>
      <c r="AI136">
        <v>97.104377947504702</v>
      </c>
      <c r="AJ136">
        <v>89.306544636315706</v>
      </c>
      <c r="AK136">
        <v>0.535627798839858</v>
      </c>
      <c r="AL136">
        <v>85.422662781162401</v>
      </c>
      <c r="AM136">
        <v>87.908435155072297</v>
      </c>
      <c r="AN136">
        <v>0.99999997494570703</v>
      </c>
    </row>
    <row r="137" spans="1:40" x14ac:dyDescent="0.25">
      <c r="A137" t="str">
        <f>"20190312164219891"</f>
        <v>20190312164219891</v>
      </c>
      <c r="B137" t="str">
        <f>"1552380139883724"</f>
        <v>1552380139883724</v>
      </c>
      <c r="C137" t="s">
        <v>40</v>
      </c>
      <c r="D137">
        <v>4.360322</v>
      </c>
      <c r="E137">
        <v>0.4926837</v>
      </c>
      <c r="F137" t="s">
        <v>41</v>
      </c>
      <c r="G137">
        <v>-464.01859999999999</v>
      </c>
      <c r="H137">
        <v>1.039744</v>
      </c>
      <c r="I137">
        <v>367.60559999999998</v>
      </c>
      <c r="J137">
        <v>-464.67059999999998</v>
      </c>
      <c r="K137">
        <v>1.1090629999999999</v>
      </c>
      <c r="L137">
        <v>367.5865</v>
      </c>
      <c r="M137">
        <v>0.99914259999999999</v>
      </c>
      <c r="N137">
        <v>0</v>
      </c>
      <c r="O137">
        <v>4.1326910000000001E-2</v>
      </c>
      <c r="P137">
        <v>0.99691189999999996</v>
      </c>
      <c r="Q137">
        <v>7.8401209999999999E-2</v>
      </c>
      <c r="R137">
        <v>4.4829839999999998E-3</v>
      </c>
      <c r="S137">
        <v>3.0286559999999998</v>
      </c>
      <c r="T137">
        <v>-0.25900289999999998</v>
      </c>
      <c r="U137">
        <v>9.817505E-2</v>
      </c>
      <c r="V137">
        <v>3.6714999999999998E-2</v>
      </c>
      <c r="W137">
        <v>8.0871209999999999E-2</v>
      </c>
      <c r="X137">
        <v>0.99604809999999999</v>
      </c>
      <c r="Y137">
        <v>8.7521819999999903E-3</v>
      </c>
      <c r="Z137">
        <v>-3.8989319999999999E-3</v>
      </c>
      <c r="AA137">
        <v>0.99995409999999996</v>
      </c>
      <c r="AB137">
        <v>15</v>
      </c>
      <c r="AC137">
        <v>0.65199999999998604</v>
      </c>
      <c r="AD137">
        <v>-6.9318999999999895E-2</v>
      </c>
      <c r="AE137">
        <v>1.9099999999980299E-2</v>
      </c>
      <c r="AF137">
        <v>7.7737513029126999E-3</v>
      </c>
      <c r="AG137">
        <v>-6.9318999999999895E-2</v>
      </c>
      <c r="AH137">
        <v>0.64494846071823297</v>
      </c>
      <c r="AI137">
        <v>96.1341530181043</v>
      </c>
      <c r="AJ137">
        <v>89.309430753015505</v>
      </c>
      <c r="AK137">
        <v>0.64870954359646704</v>
      </c>
      <c r="AL137">
        <v>85.361355251315004</v>
      </c>
      <c r="AM137">
        <v>87.888994931624694</v>
      </c>
      <c r="AN137">
        <v>0.99999998067273599</v>
      </c>
    </row>
    <row r="138" spans="1:40" x14ac:dyDescent="0.25">
      <c r="A138" t="str">
        <f>"20190312164219913"</f>
        <v>20190312164219913</v>
      </c>
      <c r="B138" t="str">
        <f>"1552380139904220"</f>
        <v>1552380139904220</v>
      </c>
      <c r="C138" t="s">
        <v>40</v>
      </c>
      <c r="D138">
        <v>4.6181960000000002</v>
      </c>
      <c r="E138">
        <v>0.51120529999999997</v>
      </c>
      <c r="F138" t="s">
        <v>41</v>
      </c>
      <c r="G138">
        <v>-463.87700000000001</v>
      </c>
      <c r="H138">
        <v>1.0425930000000001</v>
      </c>
      <c r="I138">
        <v>367.6112</v>
      </c>
      <c r="J138">
        <v>-464.51440000000002</v>
      </c>
      <c r="K138">
        <v>1.109064</v>
      </c>
      <c r="L138">
        <v>367.59309999999999</v>
      </c>
      <c r="M138">
        <v>0.99913750000000001</v>
      </c>
      <c r="N138">
        <v>0</v>
      </c>
      <c r="O138">
        <v>4.1448440000000003E-2</v>
      </c>
      <c r="P138">
        <v>0.99682150000000003</v>
      </c>
      <c r="Q138">
        <v>7.9553189999999996E-2</v>
      </c>
      <c r="R138">
        <v>4.2689700000000004E-3</v>
      </c>
      <c r="S138">
        <v>3.0288390000000001</v>
      </c>
      <c r="T138">
        <v>-0.25393640000000001</v>
      </c>
      <c r="U138">
        <v>9.4879149999999995E-2</v>
      </c>
      <c r="V138">
        <v>3.7046750000000003E-2</v>
      </c>
      <c r="W138">
        <v>8.2022750000000005E-2</v>
      </c>
      <c r="X138">
        <v>0.99594159999999998</v>
      </c>
      <c r="Y138">
        <v>9.9651770000000004E-3</v>
      </c>
      <c r="Z138">
        <v>-3.8836930000000001E-3</v>
      </c>
      <c r="AA138">
        <v>0.99994280000000002</v>
      </c>
      <c r="AB138">
        <v>15</v>
      </c>
      <c r="AC138">
        <v>0.63740000000007002</v>
      </c>
      <c r="AD138">
        <v>-6.6470999999999905E-2</v>
      </c>
      <c r="AE138">
        <v>1.8100000000003998E-2</v>
      </c>
      <c r="AF138">
        <v>8.2452756854351703E-3</v>
      </c>
      <c r="AG138">
        <v>-6.6470999999999905E-2</v>
      </c>
      <c r="AH138">
        <v>0.630748425625973</v>
      </c>
      <c r="AI138">
        <v>96.015362246405502</v>
      </c>
      <c r="AJ138">
        <v>89.251060213820296</v>
      </c>
      <c r="AK138">
        <v>0.63429484850641205</v>
      </c>
      <c r="AL138">
        <v>85.295156702116799</v>
      </c>
      <c r="AM138">
        <v>87.869710203138297</v>
      </c>
      <c r="AN138">
        <v>0.99999993190684</v>
      </c>
    </row>
    <row r="139" spans="1:40" x14ac:dyDescent="0.25">
      <c r="A139" t="str">
        <f>"20190312164219936"</f>
        <v>20190312164219936</v>
      </c>
      <c r="B139" t="str">
        <f>"1552380139923740"</f>
        <v>1552380139923740</v>
      </c>
      <c r="C139" t="s">
        <v>40</v>
      </c>
      <c r="D139">
        <v>4.2908229999999996</v>
      </c>
      <c r="E139">
        <v>0.51243490000000003</v>
      </c>
      <c r="F139" t="s">
        <v>42</v>
      </c>
      <c r="G139">
        <v>-442.60669999999999</v>
      </c>
      <c r="H139" s="1">
        <v>-3.9097629999999999E-6</v>
      </c>
      <c r="I139">
        <v>367.16719999999998</v>
      </c>
      <c r="J139">
        <v>-464.35890000000001</v>
      </c>
      <c r="K139">
        <v>1.1090660000000001</v>
      </c>
      <c r="L139">
        <v>367.59969999999998</v>
      </c>
      <c r="M139">
        <v>0.9991331</v>
      </c>
      <c r="N139">
        <v>0</v>
      </c>
      <c r="O139">
        <v>4.1558339999999999E-2</v>
      </c>
      <c r="P139">
        <v>0.99663009999999996</v>
      </c>
      <c r="Q139">
        <v>8.1913620000000006E-2</v>
      </c>
      <c r="R139">
        <v>4.321358E-3</v>
      </c>
      <c r="S139">
        <v>3.0220030000000002</v>
      </c>
      <c r="T139">
        <v>-0.1529876</v>
      </c>
      <c r="U139">
        <v>-5.8746340000000001E-2</v>
      </c>
      <c r="V139">
        <v>3.709672E-2</v>
      </c>
      <c r="W139">
        <v>8.4383E-2</v>
      </c>
      <c r="X139">
        <v>0.99574260000000003</v>
      </c>
      <c r="Y139">
        <v>6.0838610000000001E-2</v>
      </c>
      <c r="Z139">
        <v>-3.6409260000000001E-3</v>
      </c>
      <c r="AA139">
        <v>0.99814099999999994</v>
      </c>
      <c r="AB139">
        <v>16</v>
      </c>
      <c r="AC139">
        <v>21.752199999999998</v>
      </c>
      <c r="AD139">
        <v>-1.1090699097629999</v>
      </c>
      <c r="AE139">
        <v>-0.43250000000000399</v>
      </c>
      <c r="AF139">
        <v>1.33265133518532</v>
      </c>
      <c r="AG139">
        <v>-1.1090699097629999</v>
      </c>
      <c r="AH139">
        <v>21.6591501538263</v>
      </c>
      <c r="AI139">
        <v>92.925781682137895</v>
      </c>
      <c r="AJ139">
        <v>86.4791249357054</v>
      </c>
      <c r="AK139">
        <v>21.728432548895601</v>
      </c>
      <c r="AL139">
        <v>85.159454053226696</v>
      </c>
      <c r="AM139">
        <v>87.866413523765303</v>
      </c>
      <c r="AN139">
        <v>0.99999999138925899</v>
      </c>
    </row>
    <row r="140" spans="1:40" x14ac:dyDescent="0.25">
      <c r="A140" t="str">
        <f>"20190312164219957"</f>
        <v>20190312164219957</v>
      </c>
      <c r="B140" t="str">
        <f>"1552380139953996"</f>
        <v>1552380139953996</v>
      </c>
      <c r="C140" t="s">
        <v>40</v>
      </c>
      <c r="D140">
        <v>4.3004800000000003</v>
      </c>
      <c r="E140">
        <v>0.51299570000000005</v>
      </c>
      <c r="F140" t="s">
        <v>42</v>
      </c>
      <c r="G140">
        <v>-441.31549999999999</v>
      </c>
      <c r="H140" s="1">
        <v>-4.5358330000000001E-6</v>
      </c>
      <c r="I140">
        <v>367.07870000000003</v>
      </c>
      <c r="J140">
        <v>-464.202</v>
      </c>
      <c r="K140">
        <v>1.1090629999999999</v>
      </c>
      <c r="L140">
        <v>367.60640000000001</v>
      </c>
      <c r="M140">
        <v>0.99912909999999999</v>
      </c>
      <c r="N140">
        <v>0</v>
      </c>
      <c r="O140">
        <v>4.1654999999999998E-2</v>
      </c>
      <c r="P140">
        <v>0.99645669999999997</v>
      </c>
      <c r="Q140">
        <v>8.4006910000000004E-2</v>
      </c>
      <c r="R140">
        <v>4.1625830000000001E-3</v>
      </c>
      <c r="S140">
        <v>3.0223689999999999</v>
      </c>
      <c r="T140">
        <v>-0.14546539999999999</v>
      </c>
      <c r="U140">
        <v>-6.8328860000000005E-2</v>
      </c>
      <c r="V140">
        <v>3.7345530000000002E-2</v>
      </c>
      <c r="W140">
        <v>8.6477209999999999E-2</v>
      </c>
      <c r="X140">
        <v>0.99555360000000004</v>
      </c>
      <c r="Y140">
        <v>6.4104419999999995E-2</v>
      </c>
      <c r="Z140">
        <v>-3.544799E-3</v>
      </c>
      <c r="AA140">
        <v>0.99793690000000002</v>
      </c>
      <c r="AB140">
        <v>16</v>
      </c>
      <c r="AC140">
        <v>22.886500000000002</v>
      </c>
      <c r="AD140">
        <v>-1.109067535833</v>
      </c>
      <c r="AE140">
        <v>-0.52769999999998096</v>
      </c>
      <c r="AF140">
        <v>1.4771150578819801</v>
      </c>
      <c r="AG140">
        <v>-1.109067535833</v>
      </c>
      <c r="AH140">
        <v>22.7911617285191</v>
      </c>
      <c r="AI140">
        <v>92.780116113313497</v>
      </c>
      <c r="AJ140">
        <v>86.291796823637497</v>
      </c>
      <c r="AK140">
        <v>22.865890593387601</v>
      </c>
      <c r="AL140">
        <v>85.039024324845101</v>
      </c>
      <c r="AM140">
        <v>87.851709404588306</v>
      </c>
      <c r="AN140">
        <v>0.99999998346666197</v>
      </c>
    </row>
    <row r="141" spans="1:40" x14ac:dyDescent="0.25">
      <c r="A141" t="str">
        <f>"20190312164219982"</f>
        <v>20190312164219982</v>
      </c>
      <c r="B141" t="str">
        <f>"1552380139974492"</f>
        <v>1552380139974492</v>
      </c>
      <c r="C141" t="s">
        <v>40</v>
      </c>
      <c r="D141">
        <v>4.2908470000000003</v>
      </c>
      <c r="E141">
        <v>0.50604340000000003</v>
      </c>
      <c r="F141" t="s">
        <v>43</v>
      </c>
      <c r="G141">
        <v>-438.45780000000002</v>
      </c>
      <c r="H141">
        <v>-0.05</v>
      </c>
      <c r="I141">
        <v>366.98379999999997</v>
      </c>
      <c r="J141">
        <v>-464.03269999999998</v>
      </c>
      <c r="K141">
        <v>1.1090580000000001</v>
      </c>
      <c r="L141">
        <v>367.61349999999999</v>
      </c>
      <c r="M141">
        <v>0.9991255</v>
      </c>
      <c r="N141">
        <v>0</v>
      </c>
      <c r="O141">
        <v>4.17393E-2</v>
      </c>
      <c r="P141">
        <v>0.99637690000000001</v>
      </c>
      <c r="Q141">
        <v>8.4938E-2</v>
      </c>
      <c r="R141">
        <v>4.3305210000000004E-3</v>
      </c>
      <c r="S141">
        <v>3.0224299999999999</v>
      </c>
      <c r="T141">
        <v>-0.13607669999999999</v>
      </c>
      <c r="U141">
        <v>-7.3089600000000005E-2</v>
      </c>
      <c r="V141">
        <v>3.726061E-2</v>
      </c>
      <c r="W141">
        <v>8.7410169999999995E-2</v>
      </c>
      <c r="X141">
        <v>0.99547529999999995</v>
      </c>
      <c r="Y141">
        <v>6.5772620000000004E-2</v>
      </c>
      <c r="Z141">
        <v>-3.3574569999999999E-3</v>
      </c>
      <c r="AA141">
        <v>0.99782899999999997</v>
      </c>
      <c r="AB141">
        <v>16</v>
      </c>
      <c r="AC141">
        <v>25.5748999999999</v>
      </c>
      <c r="AD141">
        <v>-1.1590579999999999</v>
      </c>
      <c r="AE141">
        <v>-0.62970000000001303</v>
      </c>
      <c r="AF141">
        <v>1.6931574025993299</v>
      </c>
      <c r="AG141">
        <v>-1.1590579999999999</v>
      </c>
      <c r="AH141">
        <v>25.4740391261263</v>
      </c>
      <c r="AI141">
        <v>92.599409461611103</v>
      </c>
      <c r="AJ141">
        <v>86.197371981382702</v>
      </c>
      <c r="AK141">
        <v>25.556542544654899</v>
      </c>
      <c r="AL141">
        <v>84.985366453474697</v>
      </c>
      <c r="AM141">
        <v>87.8564214064276</v>
      </c>
      <c r="AN141">
        <v>0.999999981893545</v>
      </c>
    </row>
    <row r="142" spans="1:40" x14ac:dyDescent="0.25">
      <c r="A142" t="str">
        <f>"20190312164220005"</f>
        <v>20190312164220005</v>
      </c>
      <c r="B142" t="str">
        <f>"1552380139994013"</f>
        <v>1552380139994013</v>
      </c>
      <c r="C142" t="s">
        <v>40</v>
      </c>
      <c r="D142">
        <v>4.2967219999999999</v>
      </c>
      <c r="E142">
        <v>0.5059439</v>
      </c>
      <c r="F142" t="s">
        <v>41</v>
      </c>
      <c r="G142">
        <v>-463.14839999999998</v>
      </c>
      <c r="H142">
        <v>1.0575909999999999</v>
      </c>
      <c r="I142">
        <v>367.60890000000001</v>
      </c>
      <c r="J142">
        <v>-463.85610000000003</v>
      </c>
      <c r="K142">
        <v>1.109049</v>
      </c>
      <c r="L142">
        <v>367.62099999999998</v>
      </c>
      <c r="M142">
        <v>0.99912319999999999</v>
      </c>
      <c r="N142">
        <v>0</v>
      </c>
      <c r="O142">
        <v>4.1794079999999997E-2</v>
      </c>
      <c r="P142">
        <v>0.99625399999999997</v>
      </c>
      <c r="Q142">
        <v>8.6400169999999998E-2</v>
      </c>
      <c r="R142">
        <v>3.6441730000000001E-3</v>
      </c>
      <c r="S142">
        <v>3.0260009999999999</v>
      </c>
      <c r="T142">
        <v>-0.17624619999999999</v>
      </c>
      <c r="U142">
        <v>-1.525879E-2</v>
      </c>
      <c r="V142">
        <v>3.7999089999999999E-2</v>
      </c>
      <c r="W142">
        <v>8.8874999999999996E-2</v>
      </c>
      <c r="X142">
        <v>0.99531769999999997</v>
      </c>
      <c r="Y142">
        <v>4.6681859999999999E-2</v>
      </c>
      <c r="Z142">
        <v>-3.790023E-3</v>
      </c>
      <c r="AA142">
        <v>0.99890259999999997</v>
      </c>
      <c r="AB142">
        <v>16</v>
      </c>
      <c r="AC142">
        <v>0.70770000000004496</v>
      </c>
      <c r="AD142">
        <v>-5.1457999999999997E-2</v>
      </c>
      <c r="AE142">
        <v>-1.2099999999975301E-2</v>
      </c>
      <c r="AF142">
        <v>4.14481167360847E-2</v>
      </c>
      <c r="AG142">
        <v>-5.1457999999999997E-2</v>
      </c>
      <c r="AH142">
        <v>0.70286100648661798</v>
      </c>
      <c r="AI142">
        <v>94.180043380592096</v>
      </c>
      <c r="AJ142">
        <v>86.625143447549505</v>
      </c>
      <c r="AK142">
        <v>0.70595996103486602</v>
      </c>
      <c r="AL142">
        <v>84.9011100747</v>
      </c>
      <c r="AM142">
        <v>87.813632148632294</v>
      </c>
      <c r="AN142">
        <v>1.0000000101995501</v>
      </c>
    </row>
    <row r="143" spans="1:40" x14ac:dyDescent="0.25">
      <c r="A143" t="str">
        <f>"20190312164220028"</f>
        <v>20190312164220028</v>
      </c>
      <c r="B143" t="str">
        <f>"1552380140024268"</f>
        <v>1552380140024268</v>
      </c>
      <c r="C143" t="s">
        <v>40</v>
      </c>
      <c r="D143">
        <v>4.2516109999999996</v>
      </c>
      <c r="E143">
        <v>0.505722</v>
      </c>
      <c r="F143" t="s">
        <v>41</v>
      </c>
      <c r="G143">
        <v>-462.9898</v>
      </c>
      <c r="H143">
        <v>1.05881</v>
      </c>
      <c r="I143">
        <v>367.61610000000002</v>
      </c>
      <c r="J143">
        <v>-463.69</v>
      </c>
      <c r="K143">
        <v>1.10904</v>
      </c>
      <c r="L143">
        <v>367.62799999999999</v>
      </c>
      <c r="M143">
        <v>0.99912199999999995</v>
      </c>
      <c r="N143">
        <v>0</v>
      </c>
      <c r="O143">
        <v>4.1821570000000002E-2</v>
      </c>
      <c r="P143">
        <v>0.99606430000000001</v>
      </c>
      <c r="Q143">
        <v>8.8594809999999996E-2</v>
      </c>
      <c r="R143">
        <v>2.6927100000000001E-3</v>
      </c>
      <c r="S143">
        <v>3.0265499999999999</v>
      </c>
      <c r="T143">
        <v>-0.175511</v>
      </c>
      <c r="U143">
        <v>-1.672363E-2</v>
      </c>
      <c r="V143">
        <v>3.8972439999999997E-2</v>
      </c>
      <c r="W143">
        <v>9.1073340000000003E-2</v>
      </c>
      <c r="X143">
        <v>0.99508129999999995</v>
      </c>
      <c r="Y143">
        <v>4.719226E-2</v>
      </c>
      <c r="Z143">
        <v>-3.7899359999999998E-3</v>
      </c>
      <c r="AA143">
        <v>0.99887870000000001</v>
      </c>
      <c r="AB143">
        <v>16</v>
      </c>
      <c r="AC143">
        <v>0.70019999999999505</v>
      </c>
      <c r="AD143">
        <v>-5.0229999999999997E-2</v>
      </c>
      <c r="AE143">
        <v>-1.19000000000255E-2</v>
      </c>
      <c r="AF143">
        <v>4.0962404783754403E-2</v>
      </c>
      <c r="AG143">
        <v>-5.0229999999999997E-2</v>
      </c>
      <c r="AH143">
        <v>0.69551153903982599</v>
      </c>
      <c r="AI143">
        <v>94.123621583522194</v>
      </c>
      <c r="AJ143">
        <v>86.629437766527403</v>
      </c>
      <c r="AK143">
        <v>0.69852506930189395</v>
      </c>
      <c r="AL143">
        <v>84.774641443058201</v>
      </c>
      <c r="AM143">
        <v>87.757152440007701</v>
      </c>
      <c r="AN143">
        <v>0.99999999897399905</v>
      </c>
    </row>
    <row r="144" spans="1:40" x14ac:dyDescent="0.25">
      <c r="A144" t="str">
        <f>"20190312164220048"</f>
        <v>20190312164220048</v>
      </c>
      <c r="B144" t="str">
        <f>"1552380140043788"</f>
        <v>1552380140043788</v>
      </c>
      <c r="C144" t="s">
        <v>40</v>
      </c>
      <c r="D144">
        <v>4.224933</v>
      </c>
      <c r="E144">
        <v>0.50597599999999998</v>
      </c>
      <c r="F144" t="s">
        <v>42</v>
      </c>
      <c r="G144">
        <v>-444.09449999999998</v>
      </c>
      <c r="H144" s="1">
        <v>-3.1451549999999998E-6</v>
      </c>
      <c r="I144">
        <v>367.51280000000003</v>
      </c>
      <c r="J144">
        <v>-463.53680000000003</v>
      </c>
      <c r="K144">
        <v>1.1090370000000001</v>
      </c>
      <c r="L144">
        <v>367.63440000000003</v>
      </c>
      <c r="M144">
        <v>0.9991217</v>
      </c>
      <c r="N144">
        <v>0</v>
      </c>
      <c r="O144">
        <v>4.1829089999999999E-2</v>
      </c>
      <c r="P144">
        <v>0.99586209999999997</v>
      </c>
      <c r="Q144">
        <v>9.0868340000000006E-2</v>
      </c>
      <c r="R144">
        <v>1.2804839999999999E-3</v>
      </c>
      <c r="S144">
        <v>3.027161</v>
      </c>
      <c r="T144">
        <v>-0.17132790000000001</v>
      </c>
      <c r="U144">
        <v>-1.7791749999999999E-2</v>
      </c>
      <c r="V144">
        <v>4.0385659999999997E-2</v>
      </c>
      <c r="W144">
        <v>9.3350950000000002E-2</v>
      </c>
      <c r="X144">
        <v>0.99481390000000003</v>
      </c>
      <c r="Y144">
        <v>4.7557599999999998E-2</v>
      </c>
      <c r="Z144">
        <v>-3.7097649999999999E-3</v>
      </c>
      <c r="AA144">
        <v>0.99886160000000002</v>
      </c>
      <c r="AB144">
        <v>17</v>
      </c>
      <c r="AC144">
        <v>19.442299999999999</v>
      </c>
      <c r="AD144">
        <v>-1.109040145155</v>
      </c>
      <c r="AE144">
        <v>-0.1216</v>
      </c>
      <c r="AF144">
        <v>0.931718227494582</v>
      </c>
      <c r="AG144">
        <v>-1.109040145155</v>
      </c>
      <c r="AH144">
        <v>19.357213927236799</v>
      </c>
      <c r="AI144">
        <v>93.275300304420796</v>
      </c>
      <c r="AJ144">
        <v>87.244316578361506</v>
      </c>
      <c r="AK144">
        <v>19.411331740089899</v>
      </c>
      <c r="AL144">
        <v>84.643585860831706</v>
      </c>
      <c r="AM144">
        <v>87.675285830657501</v>
      </c>
      <c r="AN144">
        <v>1.00000004851637</v>
      </c>
    </row>
    <row r="145" spans="1:40" x14ac:dyDescent="0.25">
      <c r="A145" t="str">
        <f>"20190312164220071"</f>
        <v>20190312164220071</v>
      </c>
      <c r="B145" t="str">
        <f>"1552380140064286"</f>
        <v>1552380140064286</v>
      </c>
      <c r="C145" t="s">
        <v>40</v>
      </c>
      <c r="D145">
        <v>4.2411250000000003</v>
      </c>
      <c r="E145">
        <v>0.54270430000000003</v>
      </c>
      <c r="F145" t="s">
        <v>42</v>
      </c>
      <c r="G145">
        <v>-443.19630000000001</v>
      </c>
      <c r="H145" s="1">
        <v>-3.5761259999999998E-6</v>
      </c>
      <c r="I145">
        <v>367.4769</v>
      </c>
      <c r="J145">
        <v>-463.3646</v>
      </c>
      <c r="K145">
        <v>1.10903</v>
      </c>
      <c r="L145">
        <v>367.64159999999998</v>
      </c>
      <c r="M145">
        <v>0.99912239999999997</v>
      </c>
      <c r="N145">
        <v>0</v>
      </c>
      <c r="O145">
        <v>4.1812889999999998E-2</v>
      </c>
      <c r="P145">
        <v>0.99568639999999997</v>
      </c>
      <c r="Q145">
        <v>9.2783679999999993E-2</v>
      </c>
      <c r="R145">
        <v>-1.4463719999999999E-4</v>
      </c>
      <c r="S145">
        <v>3.0275569999999998</v>
      </c>
      <c r="T145">
        <v>-0.16507349999999901</v>
      </c>
      <c r="U145">
        <v>-2.34375E-2</v>
      </c>
      <c r="V145">
        <v>4.1789069999999998E-2</v>
      </c>
      <c r="W145">
        <v>9.5272609999999994E-2</v>
      </c>
      <c r="X145">
        <v>0.9945737</v>
      </c>
      <c r="Y145">
        <v>4.9410679999999998E-2</v>
      </c>
      <c r="Z145">
        <v>-3.623673E-3</v>
      </c>
      <c r="AA145">
        <v>0.99877199999999999</v>
      </c>
      <c r="AB145">
        <v>17</v>
      </c>
      <c r="AC145">
        <v>20.168299999999899</v>
      </c>
      <c r="AD145">
        <v>-1.109033576126</v>
      </c>
      <c r="AE145">
        <v>-0.164699999999982</v>
      </c>
      <c r="AF145">
        <v>1.0048153065835499</v>
      </c>
      <c r="AG145">
        <v>-1.109033576126</v>
      </c>
      <c r="AH145">
        <v>20.083052508068601</v>
      </c>
      <c r="AI145">
        <v>93.156857059684896</v>
      </c>
      <c r="AJ145">
        <v>87.1357089008592</v>
      </c>
      <c r="AK145">
        <v>20.138734004777</v>
      </c>
      <c r="AL145">
        <v>84.532989729944902</v>
      </c>
      <c r="AM145">
        <v>87.594014584729706</v>
      </c>
      <c r="AN145">
        <v>1.00000002065968</v>
      </c>
    </row>
    <row r="146" spans="1:40" x14ac:dyDescent="0.25">
      <c r="A146" t="str">
        <f>"20190312164220092"</f>
        <v>20190312164220092</v>
      </c>
      <c r="B146" t="str">
        <f>"1552380140083805"</f>
        <v>1552380140083805</v>
      </c>
      <c r="C146" t="s">
        <v>40</v>
      </c>
      <c r="D146">
        <v>4.2077419999999996</v>
      </c>
      <c r="E146">
        <v>0.55383090000000001</v>
      </c>
      <c r="F146" t="s">
        <v>42</v>
      </c>
      <c r="G146">
        <v>-442.9153</v>
      </c>
      <c r="H146" s="1">
        <v>-4.0639589999999999E-6</v>
      </c>
      <c r="I146">
        <v>365.47550000000001</v>
      </c>
      <c r="J146">
        <v>-463.19970000000001</v>
      </c>
      <c r="K146">
        <v>1.1090169999999999</v>
      </c>
      <c r="L146">
        <v>367.64839999999998</v>
      </c>
      <c r="M146">
        <v>0.99912440000000002</v>
      </c>
      <c r="N146">
        <v>0</v>
      </c>
      <c r="O146">
        <v>4.1762639999999997E-2</v>
      </c>
      <c r="P146">
        <v>0.99550280000000002</v>
      </c>
      <c r="Q146">
        <v>9.4713290000000006E-2</v>
      </c>
      <c r="R146">
        <v>-1.901331E-3</v>
      </c>
      <c r="S146">
        <v>3.0282589999999998</v>
      </c>
      <c r="T146">
        <v>-0.16423260000000001</v>
      </c>
      <c r="U146">
        <v>-0.32077030000000001</v>
      </c>
      <c r="V146">
        <v>4.3490519999999998E-2</v>
      </c>
      <c r="W146">
        <v>9.7208600000000006E-2</v>
      </c>
      <c r="X146">
        <v>0.99431340000000001</v>
      </c>
      <c r="Y146">
        <v>0.14650099999999999</v>
      </c>
      <c r="Z146">
        <v>-6.216376E-3</v>
      </c>
      <c r="AA146">
        <v>0.98919100000000004</v>
      </c>
      <c r="AB146">
        <v>17</v>
      </c>
      <c r="AC146">
        <v>20.284400000000002</v>
      </c>
      <c r="AD146">
        <v>-1.1090210639589999</v>
      </c>
      <c r="AE146">
        <v>-2.1728999999999701</v>
      </c>
      <c r="AF146">
        <v>3.0092438460144302</v>
      </c>
      <c r="AG146">
        <v>-1.1090210639589999</v>
      </c>
      <c r="AH146">
        <v>20.116506540001001</v>
      </c>
      <c r="AI146">
        <v>93.120861121966101</v>
      </c>
      <c r="AJ146">
        <v>81.492166567071493</v>
      </c>
      <c r="AK146">
        <v>20.3705501059491</v>
      </c>
      <c r="AL146">
        <v>84.421548451627302</v>
      </c>
      <c r="AM146">
        <v>87.495522022937905</v>
      </c>
      <c r="AN146">
        <v>1.00000003733169</v>
      </c>
    </row>
    <row r="147" spans="1:40" x14ac:dyDescent="0.25">
      <c r="A147" t="str">
        <f>"20190312164220116"</f>
        <v>20190312164220116</v>
      </c>
      <c r="B147" t="str">
        <f>"1552380140104300"</f>
        <v>1552380140104300</v>
      </c>
      <c r="C147" t="s">
        <v>40</v>
      </c>
      <c r="D147">
        <v>4.0921269999999996</v>
      </c>
      <c r="E147">
        <v>0.55952840000000004</v>
      </c>
      <c r="F147" t="s">
        <v>42</v>
      </c>
      <c r="G147">
        <v>-443.75369999999998</v>
      </c>
      <c r="H147" s="1">
        <v>-3.7543179999999999E-6</v>
      </c>
      <c r="I147">
        <v>364.9871</v>
      </c>
      <c r="J147">
        <v>-463.01909999999998</v>
      </c>
      <c r="K147">
        <v>1.109</v>
      </c>
      <c r="L147">
        <v>367.65589999999997</v>
      </c>
      <c r="M147">
        <v>0.99912889999999999</v>
      </c>
      <c r="N147">
        <v>0</v>
      </c>
      <c r="O147">
        <v>4.1656079999999998E-2</v>
      </c>
      <c r="P147">
        <v>0.99529279999999998</v>
      </c>
      <c r="Q147">
        <v>9.6840599999999999E-2</v>
      </c>
      <c r="R147">
        <v>-3.7870970000000001E-3</v>
      </c>
      <c r="S147">
        <v>3.029236</v>
      </c>
      <c r="T147">
        <v>-0.1727592</v>
      </c>
      <c r="U147">
        <v>-0.41458129999999999</v>
      </c>
      <c r="V147">
        <v>4.5266550000000003E-2</v>
      </c>
      <c r="W147">
        <v>9.9343989999999993E-2</v>
      </c>
      <c r="X147">
        <v>0.99402299999999999</v>
      </c>
      <c r="Y147">
        <v>0.17640149999999999</v>
      </c>
      <c r="Z147">
        <v>-7.3667250000000002E-3</v>
      </c>
      <c r="AA147">
        <v>0.98429069999999996</v>
      </c>
      <c r="AB147">
        <v>17</v>
      </c>
      <c r="AC147">
        <v>19.2654</v>
      </c>
      <c r="AD147">
        <v>-1.109003754318</v>
      </c>
      <c r="AE147">
        <v>-2.6687999999999699</v>
      </c>
      <c r="AF147">
        <v>3.4577648542783499</v>
      </c>
      <c r="AG147">
        <v>-1.109003754318</v>
      </c>
      <c r="AH147">
        <v>19.0754858003795</v>
      </c>
      <c r="AI147">
        <v>93.274060415135395</v>
      </c>
      <c r="AJ147">
        <v>79.725700810521502</v>
      </c>
      <c r="AK147">
        <v>19.418037636049998</v>
      </c>
      <c r="AL147">
        <v>84.298604271056703</v>
      </c>
      <c r="AM147">
        <v>87.392624054947504</v>
      </c>
      <c r="AN147">
        <v>1.00000000671351</v>
      </c>
    </row>
    <row r="148" spans="1:40" x14ac:dyDescent="0.25">
      <c r="A148" t="str">
        <f>"20190312164220137"</f>
        <v>20190312164220137</v>
      </c>
      <c r="B148" t="str">
        <f>"1552380140133580"</f>
        <v>1552380140133580</v>
      </c>
      <c r="C148" t="s">
        <v>40</v>
      </c>
      <c r="D148">
        <v>4.1407040000000004</v>
      </c>
      <c r="E148">
        <v>0.56323440000000002</v>
      </c>
      <c r="F148" t="s">
        <v>42</v>
      </c>
      <c r="G148">
        <v>-442.76150000000001</v>
      </c>
      <c r="H148" s="1">
        <v>-4.3028700000000004E-6</v>
      </c>
      <c r="I148">
        <v>364.5385</v>
      </c>
      <c r="J148">
        <v>-462.85210000000001</v>
      </c>
      <c r="K148">
        <v>1.108967</v>
      </c>
      <c r="L148">
        <v>367.66269999999997</v>
      </c>
      <c r="M148">
        <v>0.99913540000000001</v>
      </c>
      <c r="N148">
        <v>0</v>
      </c>
      <c r="O148">
        <v>4.1499479999999998E-2</v>
      </c>
      <c r="P148">
        <v>0.99507579999999995</v>
      </c>
      <c r="Q148">
        <v>9.8927290000000001E-2</v>
      </c>
      <c r="R148">
        <v>-6.1328160000000001E-3</v>
      </c>
      <c r="S148">
        <v>3.0285340000000001</v>
      </c>
      <c r="T148">
        <v>-0.16579769999999999</v>
      </c>
      <c r="U148">
        <v>-0.46606449999999999</v>
      </c>
      <c r="V148">
        <v>4.745427E-2</v>
      </c>
      <c r="W148">
        <v>0.10143720000000001</v>
      </c>
      <c r="X148">
        <v>0.99370950000000002</v>
      </c>
      <c r="Y148">
        <v>0.19264329999999999</v>
      </c>
      <c r="Z148">
        <v>-7.4966969999999897E-3</v>
      </c>
      <c r="AA148">
        <v>0.98124020000000001</v>
      </c>
      <c r="AB148">
        <v>17</v>
      </c>
      <c r="AC148">
        <v>20.090599999999899</v>
      </c>
      <c r="AD148">
        <v>-1.1089713028699999</v>
      </c>
      <c r="AE148">
        <v>-3.1241999999999699</v>
      </c>
      <c r="AF148">
        <v>3.94352887390614</v>
      </c>
      <c r="AG148">
        <v>-1.1089713028699999</v>
      </c>
      <c r="AH148">
        <v>19.884484198211599</v>
      </c>
      <c r="AI148">
        <v>93.131258175979497</v>
      </c>
      <c r="AJ148">
        <v>78.782546816784006</v>
      </c>
      <c r="AK148">
        <v>20.302067607976401</v>
      </c>
      <c r="AL148">
        <v>84.178063102454004</v>
      </c>
      <c r="AM148">
        <v>87.265936003342802</v>
      </c>
      <c r="AN148">
        <v>0.99999999183766097</v>
      </c>
    </row>
    <row r="149" spans="1:40" x14ac:dyDescent="0.25">
      <c r="A149" t="str">
        <f>"20190312164220159"</f>
        <v>20190312164220159</v>
      </c>
      <c r="B149" t="str">
        <f>"1552380140154077"</f>
        <v>1552380140154077</v>
      </c>
      <c r="C149" t="s">
        <v>40</v>
      </c>
      <c r="D149">
        <v>4.0772449999999996</v>
      </c>
      <c r="E149">
        <v>0.56441399999999997</v>
      </c>
      <c r="F149" t="s">
        <v>42</v>
      </c>
      <c r="G149">
        <v>-441.88959999999997</v>
      </c>
      <c r="H149" s="1">
        <v>-4.7778490000000001E-6</v>
      </c>
      <c r="I149">
        <v>364.18419999999998</v>
      </c>
      <c r="J149">
        <v>-462.67910000000001</v>
      </c>
      <c r="K149">
        <v>1.1089359999999999</v>
      </c>
      <c r="L149">
        <v>367.66969999999998</v>
      </c>
      <c r="M149">
        <v>0.99914480000000006</v>
      </c>
      <c r="N149">
        <v>0</v>
      </c>
      <c r="O149">
        <v>4.127318E-2</v>
      </c>
      <c r="P149">
        <v>0.99475159999999996</v>
      </c>
      <c r="Q149">
        <v>0.1019273</v>
      </c>
      <c r="R149">
        <v>-8.9670180000000002E-3</v>
      </c>
      <c r="S149">
        <v>3.027679</v>
      </c>
      <c r="T149">
        <v>-0.1601726</v>
      </c>
      <c r="U149">
        <v>-0.50241089999999999</v>
      </c>
      <c r="V149">
        <v>5.0059260000000001E-2</v>
      </c>
      <c r="W149">
        <v>0.1044433</v>
      </c>
      <c r="X149">
        <v>0.99327019999999999</v>
      </c>
      <c r="Y149">
        <v>0.2039435</v>
      </c>
      <c r="Z149">
        <v>-7.5228259999999998E-3</v>
      </c>
      <c r="AA149">
        <v>0.97895379999999999</v>
      </c>
      <c r="AB149">
        <v>17</v>
      </c>
      <c r="AC149">
        <v>20.7895</v>
      </c>
      <c r="AD149">
        <v>-1.1089407778489999</v>
      </c>
      <c r="AE149">
        <v>-3.4855</v>
      </c>
      <c r="AF149">
        <v>4.3286019583390001</v>
      </c>
      <c r="AG149">
        <v>-1.1089407778489999</v>
      </c>
      <c r="AH149">
        <v>20.5709965433119</v>
      </c>
      <c r="AI149">
        <v>93.019710349888001</v>
      </c>
      <c r="AJ149">
        <v>78.117034006421804</v>
      </c>
      <c r="AK149">
        <v>21.050711231392199</v>
      </c>
      <c r="AL149">
        <v>84.004906419457001</v>
      </c>
      <c r="AM149">
        <v>87.114823720810094</v>
      </c>
      <c r="AN149">
        <v>1.00000001131733</v>
      </c>
    </row>
    <row r="150" spans="1:40" x14ac:dyDescent="0.25">
      <c r="A150" t="str">
        <f>"20190312164220183"</f>
        <v>20190312164220183</v>
      </c>
      <c r="B150" t="str">
        <f>"1552380140173597"</f>
        <v>1552380140173597</v>
      </c>
      <c r="C150" t="s">
        <v>40</v>
      </c>
      <c r="D150">
        <v>4.154013</v>
      </c>
      <c r="E150">
        <v>0.56523939999999995</v>
      </c>
      <c r="F150" t="s">
        <v>42</v>
      </c>
      <c r="G150">
        <v>-440.61160000000001</v>
      </c>
      <c r="H150" s="1">
        <v>-5.4372360000000004E-6</v>
      </c>
      <c r="I150">
        <v>363.87279999999998</v>
      </c>
      <c r="J150">
        <v>-462.49740000000003</v>
      </c>
      <c r="K150">
        <v>1.1089020000000001</v>
      </c>
      <c r="L150">
        <v>367.67680000000001</v>
      </c>
      <c r="M150">
        <v>0.99915750000000003</v>
      </c>
      <c r="N150">
        <v>0</v>
      </c>
      <c r="O150">
        <v>4.0959509999999998E-2</v>
      </c>
      <c r="P150">
        <v>0.99430989999999997</v>
      </c>
      <c r="Q150">
        <v>0.10586280000000001</v>
      </c>
      <c r="R150">
        <v>-1.1867549999999999E-2</v>
      </c>
      <c r="S150">
        <v>3.026764</v>
      </c>
      <c r="T150">
        <v>-0.1521015</v>
      </c>
      <c r="U150">
        <v>-0.52078250000000004</v>
      </c>
      <c r="V150">
        <v>5.2642130000000002E-2</v>
      </c>
      <c r="W150">
        <v>0.1083852</v>
      </c>
      <c r="X150">
        <v>0.99271419999999999</v>
      </c>
      <c r="Y150">
        <v>0.20948420000000001</v>
      </c>
      <c r="Z150">
        <v>-7.2653049999999997E-3</v>
      </c>
      <c r="AA150">
        <v>0.97778509999999996</v>
      </c>
      <c r="AB150">
        <v>17</v>
      </c>
      <c r="AC150">
        <v>21.8858</v>
      </c>
      <c r="AD150">
        <v>-1.1089074372359999</v>
      </c>
      <c r="AE150">
        <v>-3.80400000000003</v>
      </c>
      <c r="AF150">
        <v>4.6855660856728596</v>
      </c>
      <c r="AG150">
        <v>-1.1089074372359999</v>
      </c>
      <c r="AH150">
        <v>21.657653130480998</v>
      </c>
      <c r="AI150">
        <v>92.864911975777702</v>
      </c>
      <c r="AJ150">
        <v>77.792378322388501</v>
      </c>
      <c r="AK150">
        <v>22.1864405520083</v>
      </c>
      <c r="AL150">
        <v>83.777762302598504</v>
      </c>
      <c r="AM150">
        <v>86.964534751986506</v>
      </c>
      <c r="AN150">
        <v>1.0000000141558001</v>
      </c>
    </row>
    <row r="151" spans="1:40" x14ac:dyDescent="0.25">
      <c r="A151" t="str">
        <f>"20190312164220206"</f>
        <v>20190312164220206</v>
      </c>
      <c r="B151" t="str">
        <f>"1552380140194092"</f>
        <v>1552380140194092</v>
      </c>
      <c r="C151" t="s">
        <v>40</v>
      </c>
      <c r="D151">
        <v>4.1231739999999997</v>
      </c>
      <c r="E151">
        <v>0.56571470000000001</v>
      </c>
      <c r="F151" t="s">
        <v>43</v>
      </c>
      <c r="G151">
        <v>-438.08120000000002</v>
      </c>
      <c r="H151">
        <v>-0.05</v>
      </c>
      <c r="I151">
        <v>363.35140000000001</v>
      </c>
      <c r="J151">
        <v>-462.30489999999998</v>
      </c>
      <c r="K151">
        <v>1.1088739999999999</v>
      </c>
      <c r="L151">
        <v>367.68430000000001</v>
      </c>
      <c r="M151">
        <v>0.99917449999999997</v>
      </c>
      <c r="N151">
        <v>0</v>
      </c>
      <c r="O151">
        <v>4.0541870000000001E-2</v>
      </c>
      <c r="P151">
        <v>0.99375579999999997</v>
      </c>
      <c r="Q151">
        <v>0.110500399999999</v>
      </c>
      <c r="R151">
        <v>-1.546222E-2</v>
      </c>
      <c r="S151">
        <v>3.0260310000000001</v>
      </c>
      <c r="T151">
        <v>-0.14362929999999999</v>
      </c>
      <c r="U151">
        <v>-0.53607179999999999</v>
      </c>
      <c r="V151">
        <v>5.5813210000000002E-2</v>
      </c>
      <c r="W151">
        <v>0.1130285</v>
      </c>
      <c r="X151">
        <v>0.99202290000000004</v>
      </c>
      <c r="Y151">
        <v>0.21393609999999999</v>
      </c>
      <c r="Z151">
        <v>-6.9449059999999998E-3</v>
      </c>
      <c r="AA151">
        <v>0.976823</v>
      </c>
      <c r="AB151">
        <v>18</v>
      </c>
      <c r="AC151">
        <v>24.223699999999901</v>
      </c>
      <c r="AD151">
        <v>-1.158874</v>
      </c>
      <c r="AE151">
        <v>-4.3328999999999898</v>
      </c>
      <c r="AF151">
        <v>5.2996616505166898</v>
      </c>
      <c r="AG151">
        <v>-1.158874</v>
      </c>
      <c r="AH151">
        <v>23.974949040973002</v>
      </c>
      <c r="AI151">
        <v>92.702213069950204</v>
      </c>
      <c r="AJ151">
        <v>77.535212814464202</v>
      </c>
      <c r="AK151">
        <v>24.581041151161301</v>
      </c>
      <c r="AL151">
        <v>83.510074993556202</v>
      </c>
      <c r="AM151">
        <v>86.779818709523198</v>
      </c>
      <c r="AN151">
        <v>0.99999999517358196</v>
      </c>
    </row>
    <row r="152" spans="1:40" x14ac:dyDescent="0.25">
      <c r="A152" t="str">
        <f>"20190312164220230"</f>
        <v>20190312164220230</v>
      </c>
      <c r="B152" t="str">
        <f>"1552380140224348"</f>
        <v>1552380140224348</v>
      </c>
      <c r="C152" t="s">
        <v>40</v>
      </c>
      <c r="D152">
        <v>4.1879660000000003</v>
      </c>
      <c r="E152">
        <v>0.56615070000000001</v>
      </c>
      <c r="F152" t="s">
        <v>43</v>
      </c>
      <c r="G152">
        <v>-436.29880000000003</v>
      </c>
      <c r="H152">
        <v>-0.05</v>
      </c>
      <c r="I152">
        <v>362.95909999999998</v>
      </c>
      <c r="J152">
        <v>-462.11950000000002</v>
      </c>
      <c r="K152">
        <v>1.1088519999999999</v>
      </c>
      <c r="L152">
        <v>367.69130000000001</v>
      </c>
      <c r="M152">
        <v>0.99919329999999995</v>
      </c>
      <c r="N152">
        <v>0</v>
      </c>
      <c r="O152">
        <v>4.0075090000000001E-2</v>
      </c>
      <c r="P152">
        <v>0.99313899999999999</v>
      </c>
      <c r="Q152">
        <v>0.1152792</v>
      </c>
      <c r="R152">
        <v>-1.9641309999999999E-2</v>
      </c>
      <c r="S152">
        <v>3.025299</v>
      </c>
      <c r="T152">
        <v>-0.13481219999999999</v>
      </c>
      <c r="U152">
        <v>-0.54968260000000002</v>
      </c>
      <c r="V152">
        <v>5.9515499999999999E-2</v>
      </c>
      <c r="W152">
        <v>0.1178148</v>
      </c>
      <c r="X152">
        <v>0.99125050000000003</v>
      </c>
      <c r="Y152">
        <v>0.21780630000000001</v>
      </c>
      <c r="Z152">
        <v>-6.5828709999999997E-3</v>
      </c>
      <c r="AA152">
        <v>0.9759698</v>
      </c>
      <c r="AB152">
        <v>18</v>
      </c>
      <c r="AC152">
        <v>25.820699999999899</v>
      </c>
      <c r="AD152">
        <v>-1.158852</v>
      </c>
      <c r="AE152">
        <v>-4.7322000000000299</v>
      </c>
      <c r="AF152">
        <v>5.7519592748442596</v>
      </c>
      <c r="AG152">
        <v>-1.158852</v>
      </c>
      <c r="AH152">
        <v>25.560500484258199</v>
      </c>
      <c r="AI152">
        <v>92.532627543010804</v>
      </c>
      <c r="AJ152">
        <v>77.317810105665998</v>
      </c>
      <c r="AK152">
        <v>26.2253152214256</v>
      </c>
      <c r="AL152">
        <v>83.233994718459897</v>
      </c>
      <c r="AM152">
        <v>86.564038806984598</v>
      </c>
      <c r="AN152">
        <v>0.99999998779476995</v>
      </c>
    </row>
    <row r="153" spans="1:40" x14ac:dyDescent="0.25">
      <c r="A153" t="str">
        <f>"20190312164220249"</f>
        <v>20190312164220249</v>
      </c>
      <c r="B153" t="str">
        <f>"1552380140243868"</f>
        <v>1552380140243868</v>
      </c>
      <c r="C153" t="s">
        <v>40</v>
      </c>
      <c r="D153">
        <v>4.2073609999999997</v>
      </c>
      <c r="E153">
        <v>0.56190620000000002</v>
      </c>
      <c r="F153" t="s">
        <v>43</v>
      </c>
      <c r="G153">
        <v>-434.39109999999999</v>
      </c>
      <c r="H153">
        <v>-0.05</v>
      </c>
      <c r="I153">
        <v>362.50740000000002</v>
      </c>
      <c r="J153">
        <v>-461.95280000000002</v>
      </c>
      <c r="K153">
        <v>1.1088579999999999</v>
      </c>
      <c r="L153">
        <v>367.69749999999999</v>
      </c>
      <c r="M153">
        <v>0.99921199999999999</v>
      </c>
      <c r="N153">
        <v>0</v>
      </c>
      <c r="O153">
        <v>3.960644E-2</v>
      </c>
      <c r="P153">
        <v>0.99208909999999995</v>
      </c>
      <c r="Q153">
        <v>0.1233165</v>
      </c>
      <c r="R153">
        <v>-2.3509510000000001E-2</v>
      </c>
      <c r="S153">
        <v>3.0241699999999998</v>
      </c>
      <c r="T153">
        <v>-0.1263891</v>
      </c>
      <c r="U153">
        <v>-0.56536869999999995</v>
      </c>
      <c r="V153">
        <v>6.2889280000000006E-2</v>
      </c>
      <c r="W153">
        <v>0.12585869999999999</v>
      </c>
      <c r="X153">
        <v>0.99005279999999996</v>
      </c>
      <c r="Y153">
        <v>0.2223328</v>
      </c>
      <c r="Z153">
        <v>-6.24567E-3</v>
      </c>
      <c r="AA153">
        <v>0.97495089999999995</v>
      </c>
      <c r="AB153">
        <v>18</v>
      </c>
      <c r="AC153">
        <v>27.561699999999998</v>
      </c>
      <c r="AD153">
        <v>-1.1588579999999999</v>
      </c>
      <c r="AE153">
        <v>-5.19009999999997</v>
      </c>
      <c r="AF153">
        <v>6.2669523796643603</v>
      </c>
      <c r="AG153">
        <v>-1.1588579999999999</v>
      </c>
      <c r="AH153">
        <v>27.287922456021899</v>
      </c>
      <c r="AI153">
        <v>92.370135666157196</v>
      </c>
      <c r="AJ153">
        <v>77.065722506989502</v>
      </c>
      <c r="AK153">
        <v>28.022283203889899</v>
      </c>
      <c r="AL153">
        <v>82.769652759822193</v>
      </c>
      <c r="AM153">
        <v>86.365390136334099</v>
      </c>
      <c r="AN153">
        <v>1.0000000103462201</v>
      </c>
    </row>
    <row r="154" spans="1:40" x14ac:dyDescent="0.25">
      <c r="A154" t="str">
        <f>"20190312164220273"</f>
        <v>20190312164220273</v>
      </c>
      <c r="B154" t="str">
        <f>"1552380140264365"</f>
        <v>1552380140264365</v>
      </c>
      <c r="C154" t="s">
        <v>40</v>
      </c>
      <c r="D154">
        <v>4.1542659999999998</v>
      </c>
      <c r="E154">
        <v>0.56234200000000001</v>
      </c>
      <c r="F154" t="s">
        <v>42</v>
      </c>
      <c r="G154">
        <v>-444.57190000000003</v>
      </c>
      <c r="H154" s="1">
        <v>-3.4337860000000001E-6</v>
      </c>
      <c r="I154">
        <v>364.61360000000002</v>
      </c>
      <c r="J154">
        <v>-461.7636</v>
      </c>
      <c r="K154">
        <v>1.108867</v>
      </c>
      <c r="L154">
        <v>367.70429999999999</v>
      </c>
      <c r="M154">
        <v>0.99923499999999998</v>
      </c>
      <c r="N154">
        <v>0</v>
      </c>
      <c r="O154">
        <v>3.9019829999999998E-2</v>
      </c>
      <c r="P154">
        <v>0.99056180000000005</v>
      </c>
      <c r="Q154">
        <v>0.13422310000000001</v>
      </c>
      <c r="R154">
        <v>-2.7784989999999999E-2</v>
      </c>
      <c r="S154">
        <v>3.0352169999999998</v>
      </c>
      <c r="T154">
        <v>-0.1936398</v>
      </c>
      <c r="U154">
        <v>-0.53854369999999996</v>
      </c>
      <c r="V154">
        <v>6.6539269999999998E-2</v>
      </c>
      <c r="W154">
        <v>0.13677529999999999</v>
      </c>
      <c r="X154">
        <v>0.98836480000000004</v>
      </c>
      <c r="Y154">
        <v>0.2124933</v>
      </c>
      <c r="Z154">
        <v>-9.1883820000000001E-3</v>
      </c>
      <c r="AA154">
        <v>0.97711930000000002</v>
      </c>
      <c r="AB154">
        <v>18</v>
      </c>
      <c r="AC154">
        <v>17.191699999999901</v>
      </c>
      <c r="AD154">
        <v>-1.108870433786</v>
      </c>
      <c r="AE154">
        <v>-3.0906999999999698</v>
      </c>
      <c r="AF154">
        <v>3.74407695038754</v>
      </c>
      <c r="AG154">
        <v>-1.108870433786</v>
      </c>
      <c r="AH154">
        <v>16.989539792186601</v>
      </c>
      <c r="AI154">
        <v>93.647010284947299</v>
      </c>
      <c r="AJ154">
        <v>77.572066183440498</v>
      </c>
      <c r="AK154">
        <v>17.432503210945999</v>
      </c>
      <c r="AL154">
        <v>82.138710305944201</v>
      </c>
      <c r="AM154">
        <v>86.148511924835702</v>
      </c>
      <c r="AN154">
        <v>0.99999996751063103</v>
      </c>
    </row>
    <row r="155" spans="1:40" x14ac:dyDescent="0.25">
      <c r="A155" t="str">
        <f>"20190312164220295"</f>
        <v>20190312164220295</v>
      </c>
      <c r="B155" t="str">
        <f>"1552380140284861"</f>
        <v>1552380140284861</v>
      </c>
      <c r="C155" t="s">
        <v>40</v>
      </c>
      <c r="D155">
        <v>4.2127290000000004</v>
      </c>
      <c r="E155">
        <v>0.56221679999999996</v>
      </c>
      <c r="F155" t="s">
        <v>43</v>
      </c>
      <c r="G155">
        <v>-437.72340000000003</v>
      </c>
      <c r="H155">
        <v>-0.05</v>
      </c>
      <c r="I155">
        <v>363.30860000000001</v>
      </c>
      <c r="J155">
        <v>-461.57850000000002</v>
      </c>
      <c r="K155">
        <v>1.1088769999999999</v>
      </c>
      <c r="L155">
        <v>367.71080000000001</v>
      </c>
      <c r="M155">
        <v>0.99925929999999996</v>
      </c>
      <c r="N155">
        <v>0</v>
      </c>
      <c r="O155">
        <v>3.83924E-2</v>
      </c>
      <c r="P155">
        <v>0.9890447</v>
      </c>
      <c r="Q155">
        <v>0.14418510000000001</v>
      </c>
      <c r="R155">
        <v>-3.1645090000000001E-2</v>
      </c>
      <c r="S155">
        <v>3.0328059999999999</v>
      </c>
      <c r="T155">
        <v>-0.1461973</v>
      </c>
      <c r="U155">
        <v>-0.55453490000000005</v>
      </c>
      <c r="V155">
        <v>6.9735729999999996E-2</v>
      </c>
      <c r="W155">
        <v>0.14674909999999999</v>
      </c>
      <c r="X155">
        <v>0.98671249999999999</v>
      </c>
      <c r="Y155">
        <v>0.21720970000000001</v>
      </c>
      <c r="Z155">
        <v>-7.0250769999999898E-3</v>
      </c>
      <c r="AA155">
        <v>0.97609970000000001</v>
      </c>
      <c r="AB155">
        <v>18</v>
      </c>
      <c r="AC155">
        <v>23.8551</v>
      </c>
      <c r="AD155">
        <v>-1.1588769999999999</v>
      </c>
      <c r="AE155">
        <v>-4.4021999999999899</v>
      </c>
      <c r="AF155">
        <v>5.3027098392416097</v>
      </c>
      <c r="AG155">
        <v>-1.1588769999999999</v>
      </c>
      <c r="AH155">
        <v>23.614605751096299</v>
      </c>
      <c r="AI155">
        <v>92.741356112096895</v>
      </c>
      <c r="AJ155">
        <v>77.344043835388803</v>
      </c>
      <c r="AK155">
        <v>24.230380358550502</v>
      </c>
      <c r="AL155">
        <v>81.561420850749002</v>
      </c>
      <c r="AM155">
        <v>85.957352970609904</v>
      </c>
      <c r="AN155">
        <v>0.99999996402284497</v>
      </c>
    </row>
    <row r="156" spans="1:40" x14ac:dyDescent="0.25">
      <c r="A156" t="str">
        <f>"20190312164220318"</f>
        <v>20190312164220318</v>
      </c>
      <c r="B156" t="str">
        <f>"1552380140314141"</f>
        <v>1552380140314141</v>
      </c>
      <c r="C156" t="s">
        <v>40</v>
      </c>
      <c r="D156">
        <v>4.1424890000000003</v>
      </c>
      <c r="E156">
        <v>0.56155809999999995</v>
      </c>
      <c r="F156" t="s">
        <v>43</v>
      </c>
      <c r="G156">
        <v>-436.6875</v>
      </c>
      <c r="H156">
        <v>-0.05</v>
      </c>
      <c r="I156">
        <v>363.08</v>
      </c>
      <c r="J156">
        <v>-461.38459999999998</v>
      </c>
      <c r="K156">
        <v>1.1088819999999999</v>
      </c>
      <c r="L156">
        <v>367.71749999999997</v>
      </c>
      <c r="M156">
        <v>0.99928620000000001</v>
      </c>
      <c r="N156">
        <v>0</v>
      </c>
      <c r="O156">
        <v>3.7684740000000001E-2</v>
      </c>
      <c r="P156">
        <v>0.98763749999999995</v>
      </c>
      <c r="Q156">
        <v>0.15253269999999999</v>
      </c>
      <c r="R156">
        <v>-3.6141510000000002E-2</v>
      </c>
      <c r="S156">
        <v>3.035736</v>
      </c>
      <c r="T156">
        <v>-0.1413382</v>
      </c>
      <c r="U156">
        <v>-0.56478879999999998</v>
      </c>
      <c r="V156">
        <v>7.3494569999999995E-2</v>
      </c>
      <c r="W156">
        <v>0.15510750000000001</v>
      </c>
      <c r="X156">
        <v>0.98516000000000004</v>
      </c>
      <c r="Y156">
        <v>0.21955749999999999</v>
      </c>
      <c r="Z156">
        <v>-6.8048400000000004E-3</v>
      </c>
      <c r="AA156">
        <v>0.97557579999999999</v>
      </c>
      <c r="AB156">
        <v>19</v>
      </c>
      <c r="AC156">
        <v>24.697099999999899</v>
      </c>
      <c r="AD156">
        <v>-1.158882</v>
      </c>
      <c r="AE156">
        <v>-4.6374999999999797</v>
      </c>
      <c r="AF156">
        <v>5.5531022578636096</v>
      </c>
      <c r="AG156">
        <v>-1.158882</v>
      </c>
      <c r="AH156">
        <v>24.4527859331603</v>
      </c>
      <c r="AI156">
        <v>92.646092743230597</v>
      </c>
      <c r="AJ156">
        <v>77.205424229925498</v>
      </c>
      <c r="AK156">
        <v>25.102165087282302</v>
      </c>
      <c r="AL156">
        <v>81.076969111346301</v>
      </c>
      <c r="AM156">
        <v>85.733542961651594</v>
      </c>
      <c r="AN156">
        <v>1.0000000069878601</v>
      </c>
    </row>
    <row r="157" spans="1:40" x14ac:dyDescent="0.25">
      <c r="A157" t="str">
        <f>"20190312164220338"</f>
        <v>20190312164220338</v>
      </c>
      <c r="B157" t="str">
        <f>"1552380140333660"</f>
        <v>1552380140333660</v>
      </c>
      <c r="C157" t="s">
        <v>40</v>
      </c>
      <c r="D157">
        <v>4.1775479999999998</v>
      </c>
      <c r="E157">
        <v>0.56252819999999903</v>
      </c>
      <c r="F157" t="s">
        <v>43</v>
      </c>
      <c r="G157">
        <v>-435.14949999999999</v>
      </c>
      <c r="H157">
        <v>-0.05</v>
      </c>
      <c r="I157">
        <v>362.77420000000001</v>
      </c>
      <c r="J157">
        <v>-461.21249999999998</v>
      </c>
      <c r="K157">
        <v>1.108884</v>
      </c>
      <c r="L157">
        <v>367.72320000000002</v>
      </c>
      <c r="M157">
        <v>0.99931110000000001</v>
      </c>
      <c r="N157">
        <v>0</v>
      </c>
      <c r="O157">
        <v>3.7015359999999997E-2</v>
      </c>
      <c r="P157">
        <v>0.98641959999999995</v>
      </c>
      <c r="Q157">
        <v>0.15943170000000001</v>
      </c>
      <c r="R157">
        <v>-3.9475139999999999E-2</v>
      </c>
      <c r="S157">
        <v>3.0372919999999999</v>
      </c>
      <c r="T157">
        <v>-0.13416649999999999</v>
      </c>
      <c r="U157">
        <v>-0.57229609999999997</v>
      </c>
      <c r="V157">
        <v>7.6136629999999997E-2</v>
      </c>
      <c r="W157">
        <v>0.16201179999999901</v>
      </c>
      <c r="X157">
        <v>0.98384729999999998</v>
      </c>
      <c r="Y157">
        <v>0.2211698</v>
      </c>
      <c r="Z157">
        <v>-6.461151E-3</v>
      </c>
      <c r="AA157">
        <v>0.97521389999999997</v>
      </c>
      <c r="AB157">
        <v>19</v>
      </c>
      <c r="AC157">
        <v>26.062999999999899</v>
      </c>
      <c r="AD157">
        <v>-1.158884</v>
      </c>
      <c r="AE157">
        <v>-4.9490000000000096</v>
      </c>
      <c r="AF157">
        <v>5.8990859547020698</v>
      </c>
      <c r="AG157">
        <v>-1.158884</v>
      </c>
      <c r="AH157">
        <v>25.8126906725856</v>
      </c>
      <c r="AI157">
        <v>92.506093827068597</v>
      </c>
      <c r="AJ157">
        <v>77.127018539521004</v>
      </c>
      <c r="AK157">
        <v>26.503532349198402</v>
      </c>
      <c r="AL157">
        <v>80.6763129443477</v>
      </c>
      <c r="AM157">
        <v>85.574892006316404</v>
      </c>
      <c r="AN157">
        <v>1.0000000597421399</v>
      </c>
    </row>
    <row r="158" spans="1:40" x14ac:dyDescent="0.25">
      <c r="A158" t="str">
        <f>"20190312164220361"</f>
        <v>20190312164220361</v>
      </c>
      <c r="B158" t="str">
        <f>"1552380140354156"</f>
        <v>1552380140354156</v>
      </c>
      <c r="C158" t="s">
        <v>40</v>
      </c>
      <c r="D158">
        <v>4.4437309999999997</v>
      </c>
      <c r="E158">
        <v>0.56242819999999905</v>
      </c>
      <c r="F158" t="s">
        <v>43</v>
      </c>
      <c r="G158">
        <v>-430.64699999999999</v>
      </c>
      <c r="H158">
        <v>-0.05</v>
      </c>
      <c r="I158">
        <v>361.7774</v>
      </c>
      <c r="J158">
        <v>-461.01229999999998</v>
      </c>
      <c r="K158">
        <v>1.108876</v>
      </c>
      <c r="L158">
        <v>367.72980000000001</v>
      </c>
      <c r="M158">
        <v>0.99934120000000004</v>
      </c>
      <c r="N158">
        <v>0</v>
      </c>
      <c r="O158">
        <v>3.6193450000000002E-2</v>
      </c>
      <c r="P158">
        <v>0.98538040000000005</v>
      </c>
      <c r="Q158">
        <v>0.16490669999999999</v>
      </c>
      <c r="R158">
        <v>-4.2794819999999997E-2</v>
      </c>
      <c r="S158">
        <v>3.0362550000000001</v>
      </c>
      <c r="T158">
        <v>-0.115119</v>
      </c>
      <c r="U158">
        <v>-0.59063719999999997</v>
      </c>
      <c r="V158">
        <v>7.8624150000000004E-2</v>
      </c>
      <c r="W158">
        <v>0.16748729999999901</v>
      </c>
      <c r="X158">
        <v>0.98273410000000005</v>
      </c>
      <c r="Y158">
        <v>0.2261695</v>
      </c>
      <c r="Z158">
        <v>-5.606308E-3</v>
      </c>
      <c r="AA158">
        <v>0.97407189999999999</v>
      </c>
      <c r="AB158">
        <v>19</v>
      </c>
      <c r="AC158">
        <v>30.365299999999898</v>
      </c>
      <c r="AD158">
        <v>-1.158876</v>
      </c>
      <c r="AE158">
        <v>-5.9524000000000097</v>
      </c>
      <c r="AF158">
        <v>7.03765766890539</v>
      </c>
      <c r="AG158">
        <v>-1.158876</v>
      </c>
      <c r="AH158">
        <v>30.0877639221858</v>
      </c>
      <c r="AI158">
        <v>92.1478275394702</v>
      </c>
      <c r="AJ158">
        <v>76.834956206555006</v>
      </c>
      <c r="AK158">
        <v>30.921596932973301</v>
      </c>
      <c r="AL158">
        <v>80.358242930519495</v>
      </c>
      <c r="AM158">
        <v>85.425764634772605</v>
      </c>
      <c r="AN158">
        <v>1.0000000319636599</v>
      </c>
    </row>
    <row r="159" spans="1:40" x14ac:dyDescent="0.25">
      <c r="A159" t="str">
        <f>"20190312164220384"</f>
        <v>20190312164220384</v>
      </c>
      <c r="B159" t="str">
        <f>"1552380140373676"</f>
        <v>1552380140373676</v>
      </c>
      <c r="C159" t="s">
        <v>40</v>
      </c>
      <c r="D159">
        <v>4.3481489999999896</v>
      </c>
      <c r="E159">
        <v>0.51837370000000005</v>
      </c>
      <c r="F159" t="s">
        <v>43</v>
      </c>
      <c r="G159">
        <v>-424.00880000000001</v>
      </c>
      <c r="H159">
        <v>-0.05</v>
      </c>
      <c r="I159">
        <v>360.40260000000001</v>
      </c>
      <c r="J159">
        <v>-460.82240000000002</v>
      </c>
      <c r="K159">
        <v>1.108862</v>
      </c>
      <c r="L159">
        <v>367.73570000000001</v>
      </c>
      <c r="M159">
        <v>0.9993706</v>
      </c>
      <c r="N159">
        <v>0</v>
      </c>
      <c r="O159">
        <v>3.5371430000000002E-2</v>
      </c>
      <c r="P159">
        <v>0.98447969999999896</v>
      </c>
      <c r="Q159">
        <v>0.169509299999999</v>
      </c>
      <c r="R159">
        <v>-4.5460710000000001E-2</v>
      </c>
      <c r="S159">
        <v>3.0343019999999998</v>
      </c>
      <c r="T159">
        <v>-9.5028280000000007E-2</v>
      </c>
      <c r="U159">
        <v>-0.60083009999999903</v>
      </c>
      <c r="V159">
        <v>8.0463190000000004E-2</v>
      </c>
      <c r="W159">
        <v>0.1720854</v>
      </c>
      <c r="X159">
        <v>0.98179039999999995</v>
      </c>
      <c r="Y159">
        <v>0.2286928</v>
      </c>
      <c r="Z159">
        <v>-4.6434600000000003E-3</v>
      </c>
      <c r="AA159">
        <v>0.97348760000000001</v>
      </c>
      <c r="AB159">
        <v>19</v>
      </c>
      <c r="AC159">
        <v>36.813600000000001</v>
      </c>
      <c r="AD159">
        <v>-1.1588620000000001</v>
      </c>
      <c r="AE159">
        <v>-7.3331</v>
      </c>
      <c r="AF159">
        <v>8.6224473479533295</v>
      </c>
      <c r="AG159">
        <v>-1.1588620000000001</v>
      </c>
      <c r="AH159">
        <v>36.4963945502519</v>
      </c>
      <c r="AI159">
        <v>91.769994931345906</v>
      </c>
      <c r="AJ159">
        <v>76.707337284579594</v>
      </c>
      <c r="AK159">
        <v>37.519013507432803</v>
      </c>
      <c r="AL159">
        <v>80.090909690705899</v>
      </c>
      <c r="AM159">
        <v>85.314762917759495</v>
      </c>
      <c r="AN159">
        <v>1.00000004968514</v>
      </c>
    </row>
    <row r="160" spans="1:40" x14ac:dyDescent="0.25">
      <c r="A160" t="str">
        <f>"20190312164220408"</f>
        <v>20190312164220408</v>
      </c>
      <c r="B160" t="str">
        <f>"1552380140403932"</f>
        <v>1552380140403932</v>
      </c>
      <c r="C160" t="s">
        <v>40</v>
      </c>
      <c r="D160">
        <v>4.5230119999999996</v>
      </c>
      <c r="E160">
        <v>0.50275779999999903</v>
      </c>
      <c r="F160" t="s">
        <v>42</v>
      </c>
      <c r="G160">
        <v>-381.81259999999997</v>
      </c>
      <c r="H160" s="1">
        <v>-5.0613070000000001E-6</v>
      </c>
      <c r="I160">
        <v>361.01330000000002</v>
      </c>
      <c r="J160">
        <v>-460.60919999999999</v>
      </c>
      <c r="K160">
        <v>1.1088480000000001</v>
      </c>
      <c r="L160">
        <v>367.74220000000003</v>
      </c>
      <c r="M160">
        <v>0.99940399999999996</v>
      </c>
      <c r="N160">
        <v>0</v>
      </c>
      <c r="O160">
        <v>3.441371E-2</v>
      </c>
      <c r="P160">
        <v>0.98370409999999997</v>
      </c>
      <c r="Q160">
        <v>0.1733007</v>
      </c>
      <c r="R160">
        <v>-4.788738E-2</v>
      </c>
      <c r="S160">
        <v>3.042694</v>
      </c>
      <c r="T160">
        <v>-4.2702789999999997E-2</v>
      </c>
      <c r="U160">
        <v>-0.25888060000000002</v>
      </c>
      <c r="V160">
        <v>8.1935389999999997E-2</v>
      </c>
      <c r="W160">
        <v>0.17587149999999999</v>
      </c>
      <c r="X160">
        <v>0.98099729999999996</v>
      </c>
      <c r="Y160">
        <v>0.1190011</v>
      </c>
      <c r="Z160">
        <v>-1.3157080000000001E-3</v>
      </c>
      <c r="AA160">
        <v>0.99289329999999998</v>
      </c>
      <c r="AB160">
        <v>19</v>
      </c>
      <c r="AC160">
        <v>78.796599999999998</v>
      </c>
      <c r="AD160">
        <v>-1.108853061307</v>
      </c>
      <c r="AE160">
        <v>-6.7289000000000003</v>
      </c>
      <c r="AF160">
        <v>9.4347527092066503</v>
      </c>
      <c r="AG160">
        <v>-1.108853061307</v>
      </c>
      <c r="AH160">
        <v>78.502925568761</v>
      </c>
      <c r="AI160">
        <v>90.803467415836494</v>
      </c>
      <c r="AJ160">
        <v>83.146864909184998</v>
      </c>
      <c r="AK160">
        <v>79.075618471497805</v>
      </c>
      <c r="AL160">
        <v>79.870621461672897</v>
      </c>
      <c r="AM160">
        <v>85.2255922795553</v>
      </c>
      <c r="AN160">
        <v>0.99999994762699396</v>
      </c>
    </row>
    <row r="161" spans="1:40" x14ac:dyDescent="0.25">
      <c r="A161" t="str">
        <f>"20190312164220430"</f>
        <v>20190312164220430</v>
      </c>
      <c r="B161" t="str">
        <f>"1552380140424429"</f>
        <v>1552380140424429</v>
      </c>
      <c r="C161" t="s">
        <v>40</v>
      </c>
      <c r="D161">
        <v>4.3065709999999999</v>
      </c>
      <c r="E161">
        <v>0.49832359999999998</v>
      </c>
      <c r="F161" t="s">
        <v>43</v>
      </c>
      <c r="G161">
        <v>-398.33749999999998</v>
      </c>
      <c r="H161">
        <v>-0.05</v>
      </c>
      <c r="I161">
        <v>364.86559999999997</v>
      </c>
      <c r="J161">
        <v>-460.41480000000001</v>
      </c>
      <c r="K161">
        <v>1.108832</v>
      </c>
      <c r="L161">
        <v>367.74790000000002</v>
      </c>
      <c r="M161">
        <v>0.99943459999999995</v>
      </c>
      <c r="N161">
        <v>0</v>
      </c>
      <c r="O161">
        <v>3.3510360000000003E-2</v>
      </c>
      <c r="P161">
        <v>0.98328179999999998</v>
      </c>
      <c r="Q161">
        <v>0.17524999999999999</v>
      </c>
      <c r="R161">
        <v>-4.943815E-2</v>
      </c>
      <c r="S161">
        <v>3.052826</v>
      </c>
      <c r="T161">
        <v>-5.6811689999999998E-2</v>
      </c>
      <c r="U161">
        <v>-0.1410217</v>
      </c>
      <c r="V161">
        <v>8.2595130000000003E-2</v>
      </c>
      <c r="W161">
        <v>0.17781449999999999</v>
      </c>
      <c r="X161">
        <v>0.98059169999999996</v>
      </c>
      <c r="Y161">
        <v>7.9573969999999994E-2</v>
      </c>
      <c r="Z161">
        <v>-1.363221E-3</v>
      </c>
      <c r="AA161">
        <v>0.99682800000000005</v>
      </c>
      <c r="AB161">
        <v>19</v>
      </c>
      <c r="AC161">
        <v>62.077300000000001</v>
      </c>
      <c r="AD161">
        <v>-1.1588319999999901</v>
      </c>
      <c r="AE161">
        <v>-2.8823000000000398</v>
      </c>
      <c r="AF161">
        <v>4.9591972580859602</v>
      </c>
      <c r="AG161">
        <v>-1.1588319999999901</v>
      </c>
      <c r="AH161">
        <v>61.924315161025902</v>
      </c>
      <c r="AI161">
        <v>91.068669192062401</v>
      </c>
      <c r="AJ161">
        <v>85.421250194708193</v>
      </c>
      <c r="AK161">
        <v>62.133383436047403</v>
      </c>
      <c r="AL161">
        <v>79.757513761045601</v>
      </c>
      <c r="AM161">
        <v>85.185347522438306</v>
      </c>
      <c r="AN161">
        <v>1.0000000170094201</v>
      </c>
    </row>
    <row r="162" spans="1:40" x14ac:dyDescent="0.25">
      <c r="A162" t="str">
        <f>"20190312164220452"</f>
        <v>20190312164220452</v>
      </c>
      <c r="B162" t="str">
        <f>"1552380140443949"</f>
        <v>1552380140443949</v>
      </c>
      <c r="C162" t="s">
        <v>40</v>
      </c>
      <c r="D162">
        <v>4.560651</v>
      </c>
      <c r="E162">
        <v>0.49598740000000002</v>
      </c>
      <c r="F162" t="s">
        <v>43</v>
      </c>
      <c r="G162">
        <v>-407.35989999999998</v>
      </c>
      <c r="H162">
        <v>-0.05</v>
      </c>
      <c r="I162">
        <v>365.83609999999999</v>
      </c>
      <c r="J162">
        <v>-460.22239999999999</v>
      </c>
      <c r="K162">
        <v>1.1088039999999999</v>
      </c>
      <c r="L162">
        <v>367.75330000000002</v>
      </c>
      <c r="M162">
        <v>0.9994653</v>
      </c>
      <c r="N162">
        <v>0</v>
      </c>
      <c r="O162">
        <v>3.258527E-2</v>
      </c>
      <c r="P162">
        <v>0.98315730000000001</v>
      </c>
      <c r="Q162">
        <v>0.1757348</v>
      </c>
      <c r="R162">
        <v>-5.0189600000000001E-2</v>
      </c>
      <c r="S162">
        <v>3.057312</v>
      </c>
      <c r="T162">
        <v>-6.6778180000000006E-2</v>
      </c>
      <c r="U162">
        <v>-0.1101685</v>
      </c>
      <c r="V162">
        <v>8.2442950000000001E-2</v>
      </c>
      <c r="W162">
        <v>0.1782936</v>
      </c>
      <c r="X162">
        <v>0.98051750000000004</v>
      </c>
      <c r="Y162">
        <v>6.8532090000000004E-2</v>
      </c>
      <c r="Z162">
        <v>-1.4595400000000001E-3</v>
      </c>
      <c r="AA162">
        <v>0.99764779999999997</v>
      </c>
      <c r="AB162">
        <v>20</v>
      </c>
      <c r="AC162">
        <v>52.862499999999997</v>
      </c>
      <c r="AD162">
        <v>-1.1588039999999999</v>
      </c>
      <c r="AE162">
        <v>-1.91720000000003</v>
      </c>
      <c r="AF162">
        <v>3.6369816165360298</v>
      </c>
      <c r="AG162">
        <v>-1.1588039999999999</v>
      </c>
      <c r="AH162">
        <v>52.746641650768602</v>
      </c>
      <c r="AI162">
        <v>91.255562477151301</v>
      </c>
      <c r="AJ162">
        <v>86.055589795755694</v>
      </c>
      <c r="AK162">
        <v>52.884578729758601</v>
      </c>
      <c r="AL162">
        <v>79.729617496711199</v>
      </c>
      <c r="AM162">
        <v>85.193814870111098</v>
      </c>
      <c r="AN162">
        <v>1.0000000078059501</v>
      </c>
    </row>
    <row r="163" spans="1:40" x14ac:dyDescent="0.25">
      <c r="A163" t="str">
        <f>"20190312164220473"</f>
        <v>20190312164220473</v>
      </c>
      <c r="B163" t="str">
        <f>"1552380140464445"</f>
        <v>1552380140464445</v>
      </c>
      <c r="C163" t="s">
        <v>40</v>
      </c>
      <c r="D163">
        <v>4.3184950000000004</v>
      </c>
      <c r="E163">
        <v>0.49465690000000001</v>
      </c>
      <c r="F163" t="s">
        <v>43</v>
      </c>
      <c r="G163">
        <v>-413.71260000000001</v>
      </c>
      <c r="H163">
        <v>-0.05</v>
      </c>
      <c r="I163">
        <v>366.33080000000001</v>
      </c>
      <c r="J163">
        <v>-460.03359999999998</v>
      </c>
      <c r="K163">
        <v>1.1087800000000001</v>
      </c>
      <c r="L163">
        <v>367.75850000000003</v>
      </c>
      <c r="M163">
        <v>0.99949540000000003</v>
      </c>
      <c r="N163">
        <v>0</v>
      </c>
      <c r="O163">
        <v>3.1648080000000002E-2</v>
      </c>
      <c r="P163">
        <v>0.98315359999999996</v>
      </c>
      <c r="Q163">
        <v>0.17556250000000001</v>
      </c>
      <c r="R163">
        <v>-5.086297E-2</v>
      </c>
      <c r="S163">
        <v>3.0602420000000001</v>
      </c>
      <c r="T163">
        <v>-7.624686E-2</v>
      </c>
      <c r="U163">
        <v>-9.3597410000000006E-2</v>
      </c>
      <c r="V163">
        <v>8.2204369999999999E-2</v>
      </c>
      <c r="W163">
        <v>0.17811340000000001</v>
      </c>
      <c r="X163">
        <v>0.98057030000000001</v>
      </c>
      <c r="Y163">
        <v>6.2159689999999997E-2</v>
      </c>
      <c r="Z163">
        <v>-1.5622769999999999E-3</v>
      </c>
      <c r="AA163">
        <v>0.99806499999999998</v>
      </c>
      <c r="AB163">
        <v>20</v>
      </c>
      <c r="AC163">
        <v>46.320999999999898</v>
      </c>
      <c r="AD163">
        <v>-1.1587799999999999</v>
      </c>
      <c r="AE163">
        <v>-1.42770000000001</v>
      </c>
      <c r="AF163">
        <v>2.89115330925936</v>
      </c>
      <c r="AG163">
        <v>-1.1587799999999999</v>
      </c>
      <c r="AH163">
        <v>46.223712260535699</v>
      </c>
      <c r="AI163">
        <v>91.433244731437696</v>
      </c>
      <c r="AJ163">
        <v>86.420984717621707</v>
      </c>
      <c r="AK163">
        <v>46.328534551514103</v>
      </c>
      <c r="AL163">
        <v>79.740110349044997</v>
      </c>
      <c r="AM163">
        <v>85.207915368568905</v>
      </c>
      <c r="AN163">
        <v>1.0000000274743699</v>
      </c>
    </row>
    <row r="164" spans="1:40" x14ac:dyDescent="0.25">
      <c r="A164" t="str">
        <f>"20190312164220495"</f>
        <v>20190312164220495</v>
      </c>
      <c r="B164" t="str">
        <f>"1552380140483964"</f>
        <v>1552380140483964</v>
      </c>
      <c r="C164" t="s">
        <v>40</v>
      </c>
      <c r="D164">
        <v>4.3378829999999997</v>
      </c>
      <c r="E164">
        <v>0.49359900000000001</v>
      </c>
      <c r="F164" t="s">
        <v>43</v>
      </c>
      <c r="G164">
        <v>-416.78960000000001</v>
      </c>
      <c r="H164">
        <v>-0.05</v>
      </c>
      <c r="I164">
        <v>366.56020000000001</v>
      </c>
      <c r="J164">
        <v>-459.82990000000001</v>
      </c>
      <c r="K164">
        <v>1.1087469999999999</v>
      </c>
      <c r="L164">
        <v>367.76369999999997</v>
      </c>
      <c r="M164">
        <v>0.99952779999999997</v>
      </c>
      <c r="N164">
        <v>0</v>
      </c>
      <c r="O164">
        <v>3.0607160000000001E-2</v>
      </c>
      <c r="P164">
        <v>0.98320700000000005</v>
      </c>
      <c r="Q164">
        <v>0.1752609</v>
      </c>
      <c r="R164">
        <v>-5.0868249999999997E-2</v>
      </c>
      <c r="S164">
        <v>3.0616759999999998</v>
      </c>
      <c r="T164">
        <v>-8.2041740000000002E-2</v>
      </c>
      <c r="U164">
        <v>-8.4838869999999997E-2</v>
      </c>
      <c r="V164">
        <v>8.1199460000000001E-2</v>
      </c>
      <c r="W164">
        <v>0.1778033</v>
      </c>
      <c r="X164">
        <v>0.98071030000000003</v>
      </c>
      <c r="Y164">
        <v>5.824998E-2</v>
      </c>
      <c r="Z164">
        <v>-1.60000299999999E-3</v>
      </c>
      <c r="AA164">
        <v>0.99830070000000004</v>
      </c>
      <c r="AB164">
        <v>20</v>
      </c>
      <c r="AC164">
        <v>43.040300000000002</v>
      </c>
      <c r="AD164">
        <v>-1.158747</v>
      </c>
      <c r="AE164">
        <v>-1.20349999999996</v>
      </c>
      <c r="AF164">
        <v>2.5184583660477</v>
      </c>
      <c r="AG164">
        <v>-1.158747</v>
      </c>
      <c r="AH164">
        <v>42.952191202487199</v>
      </c>
      <c r="AI164">
        <v>91.542679493221002</v>
      </c>
      <c r="AJ164">
        <v>86.644361795348303</v>
      </c>
      <c r="AK164">
        <v>43.041561963369098</v>
      </c>
      <c r="AL164">
        <v>79.758165990811605</v>
      </c>
      <c r="AM164">
        <v>85.266901200276195</v>
      </c>
      <c r="AN164">
        <v>1.0000000291606299</v>
      </c>
    </row>
    <row r="165" spans="1:40" x14ac:dyDescent="0.25">
      <c r="A165" t="str">
        <f>"20190312164220517"</f>
        <v>20190312164220517</v>
      </c>
      <c r="B165" t="str">
        <f>"1552380140514220"</f>
        <v>1552380140514220</v>
      </c>
      <c r="C165" t="s">
        <v>40</v>
      </c>
      <c r="D165">
        <v>4.3496069999999998</v>
      </c>
      <c r="E165">
        <v>0.49222700000000003</v>
      </c>
      <c r="F165" t="s">
        <v>43</v>
      </c>
      <c r="G165">
        <v>-419.74279999999999</v>
      </c>
      <c r="H165">
        <v>-0.05</v>
      </c>
      <c r="I165">
        <v>366.7697</v>
      </c>
      <c r="J165">
        <v>-459.63709999999998</v>
      </c>
      <c r="K165">
        <v>1.108714</v>
      </c>
      <c r="L165">
        <v>367.76850000000002</v>
      </c>
      <c r="M165">
        <v>0.99955839999999996</v>
      </c>
      <c r="N165">
        <v>0</v>
      </c>
      <c r="O165">
        <v>2.9593959999999999E-2</v>
      </c>
      <c r="P165">
        <v>0.98357159999999999</v>
      </c>
      <c r="Q165">
        <v>0.173306399999999</v>
      </c>
      <c r="R165">
        <v>-5.0519420000000002E-2</v>
      </c>
      <c r="S165">
        <v>3.06311</v>
      </c>
      <c r="T165">
        <v>-8.8541389999999998E-2</v>
      </c>
      <c r="U165">
        <v>-7.5958250000000005E-2</v>
      </c>
      <c r="V165">
        <v>7.9873360000000004E-2</v>
      </c>
      <c r="W165">
        <v>0.175841</v>
      </c>
      <c r="X165">
        <v>0.98117290000000001</v>
      </c>
      <c r="Y165">
        <v>5.4329210000000003E-2</v>
      </c>
      <c r="Z165">
        <v>-1.6400399999999999E-3</v>
      </c>
      <c r="AA165">
        <v>0.99852169999999896</v>
      </c>
      <c r="AB165">
        <v>20</v>
      </c>
      <c r="AC165">
        <v>39.894299999999902</v>
      </c>
      <c r="AD165">
        <v>-1.158714</v>
      </c>
      <c r="AE165">
        <v>-0.99880000000001701</v>
      </c>
      <c r="AF165">
        <v>2.1771616168159902</v>
      </c>
      <c r="AG165">
        <v>-1.158714</v>
      </c>
      <c r="AH165">
        <v>39.813702375790797</v>
      </c>
      <c r="AI165">
        <v>91.664545786841003</v>
      </c>
      <c r="AJ165">
        <v>86.869970691382903</v>
      </c>
      <c r="AK165">
        <v>39.890018146242802</v>
      </c>
      <c r="AL165">
        <v>79.872397545146001</v>
      </c>
      <c r="AM165">
        <v>85.346042226770095</v>
      </c>
      <c r="AN165">
        <v>1.0000000353065399</v>
      </c>
    </row>
    <row r="166" spans="1:40" x14ac:dyDescent="0.25">
      <c r="A166" t="str">
        <f>"20190312164220540"</f>
        <v>20190312164220540</v>
      </c>
      <c r="B166" t="str">
        <f>"1552380140533740"</f>
        <v>1552380140533740</v>
      </c>
      <c r="C166" t="s">
        <v>40</v>
      </c>
      <c r="D166">
        <v>4.3861530000000002</v>
      </c>
      <c r="E166">
        <v>0.49125220000000003</v>
      </c>
      <c r="F166" t="s">
        <v>43</v>
      </c>
      <c r="G166">
        <v>-425.73349999999999</v>
      </c>
      <c r="H166">
        <v>-0.05</v>
      </c>
      <c r="I166">
        <v>367.06099999999998</v>
      </c>
      <c r="J166">
        <v>-459.42270000000002</v>
      </c>
      <c r="K166">
        <v>1.1086800000000001</v>
      </c>
      <c r="L166">
        <v>367.77359999999999</v>
      </c>
      <c r="M166">
        <v>0.99959189999999998</v>
      </c>
      <c r="N166">
        <v>0</v>
      </c>
      <c r="O166">
        <v>2.84423E-2</v>
      </c>
      <c r="P166">
        <v>0.98387550000000001</v>
      </c>
      <c r="Q166">
        <v>0.17179659999999999</v>
      </c>
      <c r="R166">
        <v>-4.975135E-2</v>
      </c>
      <c r="S166">
        <v>3.065277</v>
      </c>
      <c r="T166">
        <v>-0.10476149999999999</v>
      </c>
      <c r="U166">
        <v>-6.3964839999999995E-2</v>
      </c>
      <c r="V166">
        <v>7.7990619999999997E-2</v>
      </c>
      <c r="W166">
        <v>0.17432420000000001</v>
      </c>
      <c r="X166">
        <v>0.98159490000000005</v>
      </c>
      <c r="Y166">
        <v>4.9245450000000003E-2</v>
      </c>
      <c r="Z166">
        <v>-1.8128459999999999E-3</v>
      </c>
      <c r="AA166">
        <v>0.99878509999999998</v>
      </c>
      <c r="AB166">
        <v>20</v>
      </c>
      <c r="AC166">
        <v>33.6892</v>
      </c>
      <c r="AD166">
        <v>-1.1586799999999999</v>
      </c>
      <c r="AE166">
        <v>-0.712600000000009</v>
      </c>
      <c r="AF166">
        <v>1.6685406024902101</v>
      </c>
      <c r="AG166">
        <v>-1.1586799999999999</v>
      </c>
      <c r="AH166">
        <v>33.615556571162699</v>
      </c>
      <c r="AI166">
        <v>91.971696298297601</v>
      </c>
      <c r="AJ166">
        <v>87.158400783473397</v>
      </c>
      <c r="AK166">
        <v>33.676879467575397</v>
      </c>
      <c r="AL166">
        <v>79.960666924236193</v>
      </c>
      <c r="AM166">
        <v>85.457223873418101</v>
      </c>
      <c r="AN166">
        <v>1.0000000056098099</v>
      </c>
    </row>
    <row r="167" spans="1:40" x14ac:dyDescent="0.25">
      <c r="A167" t="str">
        <f>"20190312164220563"</f>
        <v>20190312164220563</v>
      </c>
      <c r="B167" t="str">
        <f>"1552380140554237"</f>
        <v>1552380140554237</v>
      </c>
      <c r="C167" t="s">
        <v>40</v>
      </c>
      <c r="D167">
        <v>4.6757369999999998</v>
      </c>
      <c r="E167">
        <v>0.49085570000000001</v>
      </c>
      <c r="F167" t="s">
        <v>43</v>
      </c>
      <c r="G167">
        <v>-429.1807</v>
      </c>
      <c r="H167">
        <v>-0.05</v>
      </c>
      <c r="I167">
        <v>367.24369999999999</v>
      </c>
      <c r="J167">
        <v>-459.21929999999998</v>
      </c>
      <c r="K167">
        <v>1.1086560000000001</v>
      </c>
      <c r="L167">
        <v>367.77820000000003</v>
      </c>
      <c r="M167">
        <v>0.99962300000000004</v>
      </c>
      <c r="N167">
        <v>0</v>
      </c>
      <c r="O167">
        <v>2.732803E-2</v>
      </c>
      <c r="P167">
        <v>0.98410679999999995</v>
      </c>
      <c r="Q167">
        <v>0.1707438</v>
      </c>
      <c r="R167">
        <v>-4.878822E-2</v>
      </c>
      <c r="S167">
        <v>3.066986</v>
      </c>
      <c r="T167">
        <v>-0.117507</v>
      </c>
      <c r="U167">
        <v>-5.3741459999999998E-2</v>
      </c>
      <c r="V167">
        <v>7.5945520000000002E-2</v>
      </c>
      <c r="W167">
        <v>0.17326569999999999</v>
      </c>
      <c r="X167">
        <v>0.9819426</v>
      </c>
      <c r="Y167">
        <v>4.4784379999999999E-2</v>
      </c>
      <c r="Z167">
        <v>-1.9040800000000001E-3</v>
      </c>
      <c r="AA167">
        <v>0.99899490000000002</v>
      </c>
      <c r="AB167">
        <v>20</v>
      </c>
      <c r="AC167">
        <v>30.038599999999899</v>
      </c>
      <c r="AD167">
        <v>-1.1586559999999999</v>
      </c>
      <c r="AE167">
        <v>-0.53450000000003595</v>
      </c>
      <c r="AF167">
        <v>1.35318636642126</v>
      </c>
      <c r="AG167">
        <v>-1.1586559999999999</v>
      </c>
      <c r="AH167">
        <v>29.968201110065799</v>
      </c>
      <c r="AI167">
        <v>92.211863730220799</v>
      </c>
      <c r="AJ167">
        <v>87.414618288891901</v>
      </c>
      <c r="AK167">
        <v>30.021103824509101</v>
      </c>
      <c r="AL167">
        <v>80.022251631287702</v>
      </c>
      <c r="AM167">
        <v>85.577427382564593</v>
      </c>
      <c r="AN167">
        <v>0.99999999724966004</v>
      </c>
    </row>
    <row r="168" spans="1:40" x14ac:dyDescent="0.25">
      <c r="A168" t="str">
        <f>"20190312164220584"</f>
        <v>20190312164220584</v>
      </c>
      <c r="B168" t="str">
        <f>"1552380140573757"</f>
        <v>1552380140573757</v>
      </c>
      <c r="C168" t="s">
        <v>40</v>
      </c>
      <c r="D168">
        <v>4.6400880000000004</v>
      </c>
      <c r="E168">
        <v>0.49043579999999998</v>
      </c>
      <c r="F168" t="s">
        <v>43</v>
      </c>
      <c r="G168">
        <v>-430.64370000000002</v>
      </c>
      <c r="H168">
        <v>-0.05</v>
      </c>
      <c r="I168">
        <v>367.3322</v>
      </c>
      <c r="J168">
        <v>-459.0129</v>
      </c>
      <c r="K168">
        <v>1.1086339999999999</v>
      </c>
      <c r="L168">
        <v>367.78250000000003</v>
      </c>
      <c r="M168">
        <v>0.99965360000000003</v>
      </c>
      <c r="N168">
        <v>0</v>
      </c>
      <c r="O168">
        <v>2.6185409999999999E-2</v>
      </c>
      <c r="P168">
        <v>0.98425569999999896</v>
      </c>
      <c r="Q168">
        <v>0.1701395</v>
      </c>
      <c r="R168">
        <v>-4.7894630000000001E-2</v>
      </c>
      <c r="S168">
        <v>3.0676269999999999</v>
      </c>
      <c r="T168">
        <v>-0.1243833</v>
      </c>
      <c r="U168">
        <v>-4.788208E-2</v>
      </c>
      <c r="V168">
        <v>7.3937719999999998E-2</v>
      </c>
      <c r="W168">
        <v>0.1726557</v>
      </c>
      <c r="X168">
        <v>0.98220320000000005</v>
      </c>
      <c r="Y168">
        <v>4.1728109999999999E-2</v>
      </c>
      <c r="Z168">
        <v>-1.9067859999999999E-3</v>
      </c>
      <c r="AA168">
        <v>0.99912719999999999</v>
      </c>
      <c r="AB168">
        <v>21</v>
      </c>
      <c r="AC168">
        <v>28.3691999999999</v>
      </c>
      <c r="AD168">
        <v>-1.1586339999999999</v>
      </c>
      <c r="AE168">
        <v>-0.45030000000002701</v>
      </c>
      <c r="AF168">
        <v>1.19102119402493</v>
      </c>
      <c r="AG168">
        <v>-1.1586339999999999</v>
      </c>
      <c r="AH168">
        <v>28.300487323176899</v>
      </c>
      <c r="AI168">
        <v>92.342333297146098</v>
      </c>
      <c r="AJ168">
        <v>87.590138924093594</v>
      </c>
      <c r="AK168">
        <v>28.349224803508601</v>
      </c>
      <c r="AL168">
        <v>80.057736407052801</v>
      </c>
      <c r="AM168">
        <v>85.695041075781603</v>
      </c>
      <c r="AN168">
        <v>0.99999995163576305</v>
      </c>
    </row>
    <row r="169" spans="1:40" x14ac:dyDescent="0.25">
      <c r="A169" t="str">
        <f>"20190312164220608"</f>
        <v>20190312164220608</v>
      </c>
      <c r="B169" t="str">
        <f>"1552380140604013"</f>
        <v>1552380140604013</v>
      </c>
      <c r="C169" t="s">
        <v>40</v>
      </c>
      <c r="D169">
        <v>4.3757099999999998</v>
      </c>
      <c r="E169">
        <v>0.49001679999999997</v>
      </c>
      <c r="F169" t="s">
        <v>43</v>
      </c>
      <c r="G169">
        <v>-431.50689999999997</v>
      </c>
      <c r="H169">
        <v>-0.05</v>
      </c>
      <c r="I169">
        <v>367.40859999999998</v>
      </c>
      <c r="J169">
        <v>-458.78579999999999</v>
      </c>
      <c r="K169">
        <v>1.1086199999999999</v>
      </c>
      <c r="L169">
        <v>367.78710000000001</v>
      </c>
      <c r="M169">
        <v>0.99968590000000002</v>
      </c>
      <c r="N169">
        <v>0</v>
      </c>
      <c r="O169">
        <v>2.4918719999999998E-2</v>
      </c>
      <c r="P169">
        <v>0.98438890000000001</v>
      </c>
      <c r="Q169">
        <v>0.16961189999999901</v>
      </c>
      <c r="R169">
        <v>-4.7014140000000003E-2</v>
      </c>
      <c r="S169">
        <v>3.0683289999999999</v>
      </c>
      <c r="T169">
        <v>-0.1292468</v>
      </c>
      <c r="U169">
        <v>-4.1717530000000003E-2</v>
      </c>
      <c r="V169">
        <v>7.1819129999999995E-2</v>
      </c>
      <c r="W169">
        <v>0.172123</v>
      </c>
      <c r="X169">
        <v>0.98245389999999999</v>
      </c>
      <c r="Y169">
        <v>3.8451020000000002E-2</v>
      </c>
      <c r="Z169">
        <v>-1.8585380000000001E-3</v>
      </c>
      <c r="AA169">
        <v>0.9992588</v>
      </c>
      <c r="AB169">
        <v>21</v>
      </c>
      <c r="AC169">
        <v>27.2789</v>
      </c>
      <c r="AD169">
        <v>-1.15862</v>
      </c>
      <c r="AE169">
        <v>-0.37850000000002998</v>
      </c>
      <c r="AF169">
        <v>1.0562351262020999</v>
      </c>
      <c r="AG169">
        <v>-1.15862</v>
      </c>
      <c r="AH169">
        <v>27.211917615560601</v>
      </c>
      <c r="AI169">
        <v>92.436215805410995</v>
      </c>
      <c r="AJ169">
        <v>87.777170620229299</v>
      </c>
      <c r="AK169">
        <v>27.257044837294401</v>
      </c>
      <c r="AL169">
        <v>80.088722140844396</v>
      </c>
      <c r="AM169">
        <v>85.819013431244599</v>
      </c>
      <c r="AN169">
        <v>0.99999999009408302</v>
      </c>
    </row>
    <row r="170" spans="1:40" x14ac:dyDescent="0.25">
      <c r="A170" t="str">
        <f>"20190312164220631"</f>
        <v>20190312164220631</v>
      </c>
      <c r="B170" t="str">
        <f>"1552380140623533"</f>
        <v>1552380140623533</v>
      </c>
      <c r="C170" t="s">
        <v>40</v>
      </c>
      <c r="D170">
        <v>4.5582339999999997</v>
      </c>
      <c r="E170">
        <v>0.48975239999999998</v>
      </c>
      <c r="F170" t="s">
        <v>43</v>
      </c>
      <c r="G170">
        <v>-432.28469999999999</v>
      </c>
      <c r="H170">
        <v>-0.05</v>
      </c>
      <c r="I170">
        <v>367.47559999999999</v>
      </c>
      <c r="J170">
        <v>-458.57350000000002</v>
      </c>
      <c r="K170">
        <v>1.108611</v>
      </c>
      <c r="L170">
        <v>367.791</v>
      </c>
      <c r="M170">
        <v>0.99971480000000001</v>
      </c>
      <c r="N170">
        <v>0</v>
      </c>
      <c r="O170">
        <v>2.3733589999999999E-2</v>
      </c>
      <c r="P170">
        <v>0.98441920000000005</v>
      </c>
      <c r="Q170">
        <v>0.16957929999999999</v>
      </c>
      <c r="R170">
        <v>-4.6499909999999998E-2</v>
      </c>
      <c r="S170">
        <v>3.069</v>
      </c>
      <c r="T170">
        <v>-0.1341755</v>
      </c>
      <c r="U170">
        <v>-3.6071779999999998E-2</v>
      </c>
      <c r="V170">
        <v>7.0142609999999994E-2</v>
      </c>
      <c r="W170">
        <v>0.17208689999999999</v>
      </c>
      <c r="X170">
        <v>0.98258140000000005</v>
      </c>
      <c r="Y170">
        <v>3.5424999999999998E-2</v>
      </c>
      <c r="Z170">
        <v>-1.8110470000000001E-3</v>
      </c>
      <c r="AA170">
        <v>0.99937069999999995</v>
      </c>
      <c r="AB170">
        <v>21</v>
      </c>
      <c r="AC170">
        <v>26.288799999999998</v>
      </c>
      <c r="AD170">
        <v>-1.1586110000000001</v>
      </c>
      <c r="AE170">
        <v>-0.315400000000011</v>
      </c>
      <c r="AF170">
        <v>0.93742038989783405</v>
      </c>
      <c r="AG170">
        <v>-1.1586110000000001</v>
      </c>
      <c r="AH170">
        <v>26.222981668949501</v>
      </c>
      <c r="AI170">
        <v>92.528243420564095</v>
      </c>
      <c r="AJ170">
        <v>87.952659579414998</v>
      </c>
      <c r="AK170">
        <v>26.2652984762553</v>
      </c>
      <c r="AL170">
        <v>80.090822421210902</v>
      </c>
      <c r="AM170">
        <v>85.916806865736703</v>
      </c>
      <c r="AN170">
        <v>1.0000000472575801</v>
      </c>
    </row>
    <row r="171" spans="1:40" x14ac:dyDescent="0.25">
      <c r="A171" t="str">
        <f>"20190312164220651"</f>
        <v>20190312164220651</v>
      </c>
      <c r="B171" t="str">
        <f>"1552380140644029"</f>
        <v>1552380140644029</v>
      </c>
      <c r="C171" t="s">
        <v>40</v>
      </c>
      <c r="D171">
        <v>4.6098929999999996</v>
      </c>
      <c r="E171">
        <v>0.48960130000000002</v>
      </c>
      <c r="F171" t="s">
        <v>43</v>
      </c>
      <c r="G171">
        <v>-432.71499999999997</v>
      </c>
      <c r="H171">
        <v>-0.05</v>
      </c>
      <c r="I171">
        <v>367.51</v>
      </c>
      <c r="J171">
        <v>-458.3734</v>
      </c>
      <c r="K171">
        <v>1.108603</v>
      </c>
      <c r="L171">
        <v>367.7946</v>
      </c>
      <c r="M171">
        <v>0.99974079999999999</v>
      </c>
      <c r="N171">
        <v>0</v>
      </c>
      <c r="O171">
        <v>2.261736E-2</v>
      </c>
      <c r="P171">
        <v>0.98453159999999895</v>
      </c>
      <c r="Q171">
        <v>0.16913689999999901</v>
      </c>
      <c r="R171">
        <v>-4.5722869999999999E-2</v>
      </c>
      <c r="S171">
        <v>3.0696110000000001</v>
      </c>
      <c r="T171">
        <v>-0.1375364</v>
      </c>
      <c r="U171">
        <v>-3.3355709999999997E-2</v>
      </c>
      <c r="V171">
        <v>6.8271479999999996E-2</v>
      </c>
      <c r="W171">
        <v>0.1716425</v>
      </c>
      <c r="X171">
        <v>0.98279090000000002</v>
      </c>
      <c r="Y171">
        <v>3.3422889999999997E-2</v>
      </c>
      <c r="Z171">
        <v>-1.761194E-3</v>
      </c>
      <c r="AA171">
        <v>0.99943979999999999</v>
      </c>
      <c r="AB171">
        <v>21</v>
      </c>
      <c r="AC171">
        <v>25.6584</v>
      </c>
      <c r="AD171">
        <v>-1.158603</v>
      </c>
      <c r="AE171">
        <v>-0.28460000000001101</v>
      </c>
      <c r="AF171">
        <v>0.86309483153170297</v>
      </c>
      <c r="AG171">
        <v>-1.158603</v>
      </c>
      <c r="AH171">
        <v>25.593222169665701</v>
      </c>
      <c r="AI171">
        <v>92.590534743078194</v>
      </c>
      <c r="AJ171">
        <v>88.068513732773198</v>
      </c>
      <c r="AK171">
        <v>25.633967984408699</v>
      </c>
      <c r="AL171">
        <v>80.116669257843697</v>
      </c>
      <c r="AM171">
        <v>86.026221142720701</v>
      </c>
      <c r="AN171">
        <v>1.00000004795522</v>
      </c>
    </row>
    <row r="172" spans="1:40" x14ac:dyDescent="0.25">
      <c r="A172" t="str">
        <f>"20190312164220673"</f>
        <v>20190312164220673</v>
      </c>
      <c r="B172" t="str">
        <f>"1552380140663549"</f>
        <v>1552380140663549</v>
      </c>
      <c r="C172" t="s">
        <v>40</v>
      </c>
      <c r="D172">
        <v>4.5946669999999896</v>
      </c>
      <c r="E172">
        <v>0.4895158</v>
      </c>
      <c r="F172" t="s">
        <v>43</v>
      </c>
      <c r="G172">
        <v>-432.99520000000001</v>
      </c>
      <c r="H172">
        <v>-0.05</v>
      </c>
      <c r="I172">
        <v>367.53820000000002</v>
      </c>
      <c r="J172">
        <v>-458.15940000000001</v>
      </c>
      <c r="K172">
        <v>1.1085969999999901</v>
      </c>
      <c r="L172">
        <v>367.79809999999998</v>
      </c>
      <c r="M172">
        <v>0.99976690000000001</v>
      </c>
      <c r="N172">
        <v>0</v>
      </c>
      <c r="O172">
        <v>2.142664E-2</v>
      </c>
      <c r="P172">
        <v>0.98454240000000004</v>
      </c>
      <c r="Q172">
        <v>0.16937199999999999</v>
      </c>
      <c r="R172">
        <v>-4.4602870000000003E-2</v>
      </c>
      <c r="S172">
        <v>3.0697329999999998</v>
      </c>
      <c r="T172">
        <v>-0.14014389999999999</v>
      </c>
      <c r="U172">
        <v>-3.100586E-2</v>
      </c>
      <c r="V172">
        <v>6.5982949999999999E-2</v>
      </c>
      <c r="W172">
        <v>0.171874</v>
      </c>
      <c r="X172">
        <v>0.98290670000000002</v>
      </c>
      <c r="Y172">
        <v>3.1468210000000003E-2</v>
      </c>
      <c r="Z172">
        <v>-1.6955640000000001E-3</v>
      </c>
      <c r="AA172">
        <v>0.99950329999999998</v>
      </c>
      <c r="AB172">
        <v>21</v>
      </c>
      <c r="AC172">
        <v>25.164199999999902</v>
      </c>
      <c r="AD172">
        <v>-1.1585970000000001</v>
      </c>
      <c r="AE172">
        <v>-0.259899999999959</v>
      </c>
      <c r="AF172">
        <v>0.79733645830680999</v>
      </c>
      <c r="AG172">
        <v>-1.1585970000000001</v>
      </c>
      <c r="AH172">
        <v>25.0996530220878</v>
      </c>
      <c r="AI172">
        <v>92.641559722069303</v>
      </c>
      <c r="AJ172">
        <v>88.180506475144895</v>
      </c>
      <c r="AK172">
        <v>25.139026915641601</v>
      </c>
      <c r="AL172">
        <v>80.103204730823705</v>
      </c>
      <c r="AM172">
        <v>86.159471840354698</v>
      </c>
      <c r="AN172">
        <v>1.0000000012357899</v>
      </c>
    </row>
    <row r="173" spans="1:40" x14ac:dyDescent="0.25">
      <c r="A173" t="str">
        <f>"20190312164220697"</f>
        <v>20190312164220697</v>
      </c>
      <c r="B173" t="str">
        <f>"1552380140694419"</f>
        <v>1552380140694419</v>
      </c>
      <c r="C173" t="s">
        <v>40</v>
      </c>
      <c r="D173">
        <v>4.2553359999999998</v>
      </c>
      <c r="E173">
        <v>0.48947800000000002</v>
      </c>
      <c r="F173" t="s">
        <v>43</v>
      </c>
      <c r="G173">
        <v>-432.9015</v>
      </c>
      <c r="H173">
        <v>-0.05</v>
      </c>
      <c r="I173">
        <v>367.56889999999999</v>
      </c>
      <c r="J173">
        <v>-457.93340000000001</v>
      </c>
      <c r="K173">
        <v>1.1085929999999999</v>
      </c>
      <c r="L173">
        <v>367.80160000000001</v>
      </c>
      <c r="M173">
        <v>0.99979309999999999</v>
      </c>
      <c r="N173">
        <v>0</v>
      </c>
      <c r="O173">
        <v>2.0175120000000001E-2</v>
      </c>
      <c r="P173">
        <v>0.98440680000000003</v>
      </c>
      <c r="Q173">
        <v>0.17043810000000001</v>
      </c>
      <c r="R173">
        <v>-4.3523930000000002E-2</v>
      </c>
      <c r="S173">
        <v>3.070068</v>
      </c>
      <c r="T173">
        <v>-0.14082620000000001</v>
      </c>
      <c r="U173">
        <v>-2.786255E-2</v>
      </c>
      <c r="V173">
        <v>6.3674179999999997E-2</v>
      </c>
      <c r="W173">
        <v>0.17293269999999999</v>
      </c>
      <c r="X173">
        <v>0.98287329999999995</v>
      </c>
      <c r="Y173">
        <v>2.9195780000000001E-2</v>
      </c>
      <c r="Z173">
        <v>-1.5941690000000001E-3</v>
      </c>
      <c r="AA173">
        <v>0.99957249999999997</v>
      </c>
      <c r="AB173">
        <v>21</v>
      </c>
      <c r="AC173">
        <v>25.0319</v>
      </c>
      <c r="AD173">
        <v>-1.158593</v>
      </c>
      <c r="AE173">
        <v>-0.232700000000022</v>
      </c>
      <c r="AF173">
        <v>0.73609913323294995</v>
      </c>
      <c r="AG173">
        <v>-1.158593</v>
      </c>
      <c r="AH173">
        <v>24.9686253349794</v>
      </c>
      <c r="AI173">
        <v>92.655578322845003</v>
      </c>
      <c r="AJ173">
        <v>88.311354315614693</v>
      </c>
      <c r="AK173">
        <v>25.006327815018601</v>
      </c>
      <c r="AL173">
        <v>80.041623804843297</v>
      </c>
      <c r="AM173">
        <v>86.293346497828793</v>
      </c>
      <c r="AN173">
        <v>1.0000000218904199</v>
      </c>
    </row>
    <row r="174" spans="1:40" x14ac:dyDescent="0.25">
      <c r="A174" t="str">
        <f>"20190312164220717"</f>
        <v>20190312164220717</v>
      </c>
      <c r="B174" t="str">
        <f>"1552380140713938"</f>
        <v>1552380140713938</v>
      </c>
      <c r="C174" t="s">
        <v>40</v>
      </c>
      <c r="D174">
        <v>4.4549649999999996</v>
      </c>
      <c r="E174">
        <v>0.489512</v>
      </c>
      <c r="F174" t="s">
        <v>43</v>
      </c>
      <c r="G174">
        <v>-432.25850000000003</v>
      </c>
      <c r="H174">
        <v>-0.05</v>
      </c>
      <c r="I174">
        <v>367.59179999999998</v>
      </c>
      <c r="J174">
        <v>-457.73500000000001</v>
      </c>
      <c r="K174">
        <v>1.108587</v>
      </c>
      <c r="L174">
        <v>367.80439999999999</v>
      </c>
      <c r="M174">
        <v>0.99981450000000005</v>
      </c>
      <c r="N174">
        <v>0</v>
      </c>
      <c r="O174">
        <v>1.9085609999999999E-2</v>
      </c>
      <c r="P174">
        <v>0.98414990000000002</v>
      </c>
      <c r="Q174">
        <v>0.17224249999999999</v>
      </c>
      <c r="R174">
        <v>-4.2209829999999997E-2</v>
      </c>
      <c r="S174">
        <v>3.0704039999999999</v>
      </c>
      <c r="T174">
        <v>-0.13855339999999999</v>
      </c>
      <c r="U174">
        <v>-2.5085449999999999E-2</v>
      </c>
      <c r="V174">
        <v>6.1288380000000003E-2</v>
      </c>
      <c r="W174">
        <v>0.1747312</v>
      </c>
      <c r="X174">
        <v>0.98270679999999999</v>
      </c>
      <c r="Y174">
        <v>2.7206259999999999E-2</v>
      </c>
      <c r="Z174">
        <v>-1.4743E-3</v>
      </c>
      <c r="AA174">
        <v>0.99962879999999998</v>
      </c>
      <c r="AB174">
        <v>22</v>
      </c>
      <c r="AC174">
        <v>25.476499999999898</v>
      </c>
      <c r="AD174">
        <v>-1.158587</v>
      </c>
      <c r="AE174">
        <v>-0.212600000000008</v>
      </c>
      <c r="AF174">
        <v>0.69735532776609499</v>
      </c>
      <c r="AG174">
        <v>-1.158587</v>
      </c>
      <c r="AH174">
        <v>25.4152435302179</v>
      </c>
      <c r="AI174">
        <v>92.6091151415106</v>
      </c>
      <c r="AJ174">
        <v>88.428285981798794</v>
      </c>
      <c r="AK174">
        <v>25.451193134900699</v>
      </c>
      <c r="AL174">
        <v>79.936983561984107</v>
      </c>
      <c r="AM174">
        <v>86.4312618925305</v>
      </c>
      <c r="AN174">
        <v>0.99999995627135096</v>
      </c>
    </row>
    <row r="175" spans="1:40" x14ac:dyDescent="0.25">
      <c r="A175" t="str">
        <f>"20190312164220742"</f>
        <v>20190312164220742</v>
      </c>
      <c r="B175" t="str">
        <f>"1552380140734434"</f>
        <v>1552380140734434</v>
      </c>
      <c r="C175" t="s">
        <v>40</v>
      </c>
      <c r="D175">
        <v>4.3998390000000001</v>
      </c>
      <c r="E175">
        <v>0.48954550000000002</v>
      </c>
      <c r="F175" t="s">
        <v>43</v>
      </c>
      <c r="G175">
        <v>-431.1703</v>
      </c>
      <c r="H175">
        <v>-0.05</v>
      </c>
      <c r="I175">
        <v>367.61799999999999</v>
      </c>
      <c r="J175">
        <v>-457.4941</v>
      </c>
      <c r="K175">
        <v>1.1085799999999999</v>
      </c>
      <c r="L175">
        <v>367.80759999999998</v>
      </c>
      <c r="M175">
        <v>0.99983840000000002</v>
      </c>
      <c r="N175">
        <v>0</v>
      </c>
      <c r="O175">
        <v>1.7785849999999999E-2</v>
      </c>
      <c r="P175">
        <v>0.98405799999999999</v>
      </c>
      <c r="Q175">
        <v>0.1729955</v>
      </c>
      <c r="R175">
        <v>-4.1261480000000003E-2</v>
      </c>
      <c r="S175">
        <v>3.0708009999999999</v>
      </c>
      <c r="T175">
        <v>-0.13392889999999999</v>
      </c>
      <c r="U175">
        <v>-2.1545410000000001E-2</v>
      </c>
      <c r="V175">
        <v>5.9060769999999999E-2</v>
      </c>
      <c r="W175">
        <v>0.1754763</v>
      </c>
      <c r="X175">
        <v>0.98271050000000004</v>
      </c>
      <c r="Y175">
        <v>2.4759969999999999E-2</v>
      </c>
      <c r="Z175">
        <v>-1.314986E-3</v>
      </c>
      <c r="AA175">
        <v>0.99969260000000004</v>
      </c>
      <c r="AB175">
        <v>22</v>
      </c>
      <c r="AC175">
        <v>26.323799999999999</v>
      </c>
      <c r="AD175">
        <v>-1.1585799999999999</v>
      </c>
      <c r="AE175">
        <v>-0.18959999999992699</v>
      </c>
      <c r="AF175">
        <v>0.65649113622447397</v>
      </c>
      <c r="AG175">
        <v>-1.1585799999999999</v>
      </c>
      <c r="AH175">
        <v>26.265387468248701</v>
      </c>
      <c r="AI175">
        <v>92.524922024741798</v>
      </c>
      <c r="AJ175">
        <v>88.568216763838507</v>
      </c>
      <c r="AK175">
        <v>26.299122933770601</v>
      </c>
      <c r="AL175">
        <v>79.893623161587698</v>
      </c>
      <c r="AM175">
        <v>86.560668259456904</v>
      </c>
      <c r="AN175">
        <v>1.0000000166124601</v>
      </c>
    </row>
    <row r="176" spans="1:40" x14ac:dyDescent="0.25">
      <c r="A176" t="str">
        <f>"20190312164220763"</f>
        <v>20190312164220763</v>
      </c>
      <c r="B176" t="str">
        <f>"1552380140753955"</f>
        <v>1552380140753955</v>
      </c>
      <c r="C176" t="s">
        <v>40</v>
      </c>
      <c r="D176">
        <v>4.1673359999999997</v>
      </c>
      <c r="E176">
        <v>0.48959370000000002</v>
      </c>
      <c r="F176" t="s">
        <v>43</v>
      </c>
      <c r="G176">
        <v>-430.58679999999998</v>
      </c>
      <c r="H176">
        <v>-0.05</v>
      </c>
      <c r="I176">
        <v>367.6472</v>
      </c>
      <c r="J176">
        <v>-457.27760000000001</v>
      </c>
      <c r="K176">
        <v>1.108582</v>
      </c>
      <c r="L176">
        <v>367.81020000000001</v>
      </c>
      <c r="M176">
        <v>0.99985800000000002</v>
      </c>
      <c r="N176">
        <v>0</v>
      </c>
      <c r="O176">
        <v>1.6653330000000001E-2</v>
      </c>
      <c r="P176">
        <v>0.9843016</v>
      </c>
      <c r="Q176">
        <v>0.1718896</v>
      </c>
      <c r="R176">
        <v>-4.005732E-2</v>
      </c>
      <c r="S176">
        <v>3.0711059999999999</v>
      </c>
      <c r="T176">
        <v>-0.1322364</v>
      </c>
      <c r="U176">
        <v>-1.8310549999999998E-2</v>
      </c>
      <c r="V176">
        <v>5.6740329999999999E-2</v>
      </c>
      <c r="W176">
        <v>0.17436499999999999</v>
      </c>
      <c r="X176">
        <v>0.98304499999999995</v>
      </c>
      <c r="Y176">
        <v>2.2578009999999999E-2</v>
      </c>
      <c r="Z176">
        <v>-1.202566E-3</v>
      </c>
      <c r="AA176">
        <v>0.99974439999999998</v>
      </c>
      <c r="AB176">
        <v>22</v>
      </c>
      <c r="AC176">
        <v>26.690799999999999</v>
      </c>
      <c r="AD176">
        <v>-1.158582</v>
      </c>
      <c r="AE176">
        <v>-0.16300000000001</v>
      </c>
      <c r="AF176">
        <v>0.60632716521160801</v>
      </c>
      <c r="AG176">
        <v>-1.158582</v>
      </c>
      <c r="AH176">
        <v>26.634201411369698</v>
      </c>
      <c r="AI176">
        <v>92.490139406067598</v>
      </c>
      <c r="AJ176">
        <v>88.695887756098898</v>
      </c>
      <c r="AK176">
        <v>26.666282637506999</v>
      </c>
      <c r="AL176">
        <v>79.958293298675699</v>
      </c>
      <c r="AM176">
        <v>86.696612621358497</v>
      </c>
      <c r="AN176">
        <v>1.0000000451492499</v>
      </c>
    </row>
    <row r="177" spans="1:40" x14ac:dyDescent="0.25">
      <c r="A177" t="str">
        <f>"20190312164220786"</f>
        <v>20190312164220786</v>
      </c>
      <c r="B177" t="str">
        <f>"1552380140774069"</f>
        <v>1552380140774069</v>
      </c>
      <c r="C177" t="s">
        <v>40</v>
      </c>
      <c r="D177">
        <v>4.2131400000000001</v>
      </c>
      <c r="E177">
        <v>0.48964649999999998</v>
      </c>
      <c r="F177" t="s">
        <v>43</v>
      </c>
      <c r="G177">
        <v>-431.09100000000001</v>
      </c>
      <c r="H177">
        <v>-0.05</v>
      </c>
      <c r="I177">
        <v>367.69049999999999</v>
      </c>
      <c r="J177">
        <v>-457.05160000000001</v>
      </c>
      <c r="K177">
        <v>1.1085910000000001</v>
      </c>
      <c r="L177">
        <v>367.81259999999997</v>
      </c>
      <c r="M177">
        <v>0.99987649999999995</v>
      </c>
      <c r="N177">
        <v>0</v>
      </c>
      <c r="O177">
        <v>1.550844E-2</v>
      </c>
      <c r="P177">
        <v>0.98439600000000005</v>
      </c>
      <c r="Q177">
        <v>0.17154700000000001</v>
      </c>
      <c r="R177">
        <v>-3.919475E-2</v>
      </c>
      <c r="S177">
        <v>3.0710139999999999</v>
      </c>
      <c r="T177">
        <v>-0.13587189999999999</v>
      </c>
      <c r="U177">
        <v>-1.403809E-2</v>
      </c>
      <c r="V177">
        <v>5.474532E-2</v>
      </c>
      <c r="W177">
        <v>0.17401800000000001</v>
      </c>
      <c r="X177">
        <v>0.98321959999999997</v>
      </c>
      <c r="Y177">
        <v>2.004411E-2</v>
      </c>
      <c r="Z177">
        <v>-1.128984E-3</v>
      </c>
      <c r="AA177">
        <v>0.99979850000000003</v>
      </c>
      <c r="AB177">
        <v>22</v>
      </c>
      <c r="AC177">
        <v>25.960599999999999</v>
      </c>
      <c r="AD177">
        <v>-1.1585909999999999</v>
      </c>
      <c r="AE177">
        <v>-0.122099999999989</v>
      </c>
      <c r="AF177">
        <v>0.52365207490112498</v>
      </c>
      <c r="AG177">
        <v>-1.1585909999999999</v>
      </c>
      <c r="AH177">
        <v>25.903991629527798</v>
      </c>
      <c r="AI177">
        <v>92.560401937600901</v>
      </c>
      <c r="AJ177">
        <v>88.841917171196002</v>
      </c>
      <c r="AK177">
        <v>25.935175475471102</v>
      </c>
      <c r="AL177">
        <v>79.978483636830205</v>
      </c>
      <c r="AM177">
        <v>86.813081904119699</v>
      </c>
      <c r="AN177">
        <v>1.00000004810503</v>
      </c>
    </row>
    <row r="178" spans="1:40" x14ac:dyDescent="0.25">
      <c r="A178" t="str">
        <f>"20190312164220808"</f>
        <v>20190312164220808</v>
      </c>
      <c r="B178" t="str">
        <f>"1552380140804321"</f>
        <v>1552380140804321</v>
      </c>
      <c r="C178" t="s">
        <v>40</v>
      </c>
      <c r="D178">
        <v>4.157705</v>
      </c>
      <c r="E178">
        <v>0.48975740000000001</v>
      </c>
      <c r="F178" t="s">
        <v>43</v>
      </c>
      <c r="G178">
        <v>-431.13990000000001</v>
      </c>
      <c r="H178">
        <v>-0.05</v>
      </c>
      <c r="I178">
        <v>367.71350000000001</v>
      </c>
      <c r="J178">
        <v>-456.83909999999997</v>
      </c>
      <c r="K178">
        <v>1.108614</v>
      </c>
      <c r="L178">
        <v>367.81479999999999</v>
      </c>
      <c r="M178">
        <v>0.99989189999999994</v>
      </c>
      <c r="N178">
        <v>0</v>
      </c>
      <c r="O178">
        <v>1.447706E-2</v>
      </c>
      <c r="P178">
        <v>0.98446080000000002</v>
      </c>
      <c r="Q178">
        <v>0.17123759999999999</v>
      </c>
      <c r="R178">
        <v>-3.8923270000000003E-2</v>
      </c>
      <c r="S178">
        <v>3.0710139999999999</v>
      </c>
      <c r="T178">
        <v>-0.1373142</v>
      </c>
      <c r="U178">
        <v>-1.1749269999999999E-2</v>
      </c>
      <c r="V178">
        <v>5.3449749999999997E-2</v>
      </c>
      <c r="W178">
        <v>0.17370669999999999</v>
      </c>
      <c r="X178">
        <v>0.98334589999999999</v>
      </c>
      <c r="Y178">
        <v>1.8269710000000002E-2</v>
      </c>
      <c r="Z178">
        <v>-1.0552179999999999E-3</v>
      </c>
      <c r="AA178">
        <v>0.99983250000000001</v>
      </c>
      <c r="AB178">
        <v>22</v>
      </c>
      <c r="AC178">
        <v>25.699199999999902</v>
      </c>
      <c r="AD178">
        <v>-1.158614</v>
      </c>
      <c r="AE178">
        <v>-0.10129999999998</v>
      </c>
      <c r="AF178">
        <v>0.47237935923398899</v>
      </c>
      <c r="AG178">
        <v>-1.158614</v>
      </c>
      <c r="AH178">
        <v>25.642920862564601</v>
      </c>
      <c r="AI178">
        <v>92.586574933328507</v>
      </c>
      <c r="AJ178">
        <v>88.944648979453802</v>
      </c>
      <c r="AK178">
        <v>25.6734282678371</v>
      </c>
      <c r="AL178">
        <v>79.996595437783498</v>
      </c>
      <c r="AM178">
        <v>86.8887504746518</v>
      </c>
      <c r="AN178">
        <v>1.0000000262233799</v>
      </c>
    </row>
    <row r="179" spans="1:40" x14ac:dyDescent="0.25">
      <c r="A179" t="str">
        <f>"20190312164220832"</f>
        <v>20190312164220832</v>
      </c>
      <c r="B179" t="str">
        <f>"1552380140823842"</f>
        <v>1552380140823842</v>
      </c>
      <c r="C179" t="s">
        <v>40</v>
      </c>
      <c r="D179">
        <v>4.423521</v>
      </c>
      <c r="E179">
        <v>0.48983500000000002</v>
      </c>
      <c r="F179" t="s">
        <v>43</v>
      </c>
      <c r="G179">
        <v>-431.26609999999999</v>
      </c>
      <c r="H179">
        <v>-0.05</v>
      </c>
      <c r="I179">
        <v>367.72</v>
      </c>
      <c r="J179">
        <v>-456.58580000000001</v>
      </c>
      <c r="K179">
        <v>1.108649</v>
      </c>
      <c r="L179">
        <v>367.81720000000001</v>
      </c>
      <c r="M179">
        <v>0.99990789999999996</v>
      </c>
      <c r="N179">
        <v>0</v>
      </c>
      <c r="O179">
        <v>1.332683E-2</v>
      </c>
      <c r="P179">
        <v>0.98443230000000004</v>
      </c>
      <c r="Q179">
        <v>0.17140329999999901</v>
      </c>
      <c r="R179">
        <v>-3.8910840000000002E-2</v>
      </c>
      <c r="S179">
        <v>3.071075</v>
      </c>
      <c r="T179">
        <v>-0.13913889999999901</v>
      </c>
      <c r="U179">
        <v>-1.138306E-2</v>
      </c>
      <c r="V179">
        <v>5.2289549999999997E-2</v>
      </c>
      <c r="W179">
        <v>0.173874799999999</v>
      </c>
      <c r="X179">
        <v>0.98337850000000004</v>
      </c>
      <c r="Y179">
        <v>1.7001860000000001E-2</v>
      </c>
      <c r="Z179">
        <v>-9.8841630000000009E-4</v>
      </c>
      <c r="AA179">
        <v>0.99985500000000005</v>
      </c>
      <c r="AB179">
        <v>23</v>
      </c>
      <c r="AC179">
        <v>25.319700000000001</v>
      </c>
      <c r="AD179">
        <v>-1.158649</v>
      </c>
      <c r="AE179">
        <v>-9.7199999999986603E-2</v>
      </c>
      <c r="AF179">
        <v>0.43371560889329802</v>
      </c>
      <c r="AG179">
        <v>-1.158649</v>
      </c>
      <c r="AH179">
        <v>25.263254375791199</v>
      </c>
      <c r="AI179">
        <v>92.625530714407802</v>
      </c>
      <c r="AJ179">
        <v>89.016451619170994</v>
      </c>
      <c r="AK179">
        <v>25.293528784859799</v>
      </c>
      <c r="AL179">
        <v>79.986814504332997</v>
      </c>
      <c r="AM179">
        <v>86.956256722785398</v>
      </c>
      <c r="AN179">
        <v>0.99999995868824498</v>
      </c>
    </row>
    <row r="180" spans="1:40" x14ac:dyDescent="0.25">
      <c r="A180" t="str">
        <f>"20190312164220854"</f>
        <v>20190312164220854</v>
      </c>
      <c r="B180" t="str">
        <f>"1552380140844338"</f>
        <v>1552380140844338</v>
      </c>
      <c r="C180" t="s">
        <v>40</v>
      </c>
      <c r="D180">
        <v>4.3312099999999996</v>
      </c>
      <c r="E180">
        <v>0.4898383</v>
      </c>
      <c r="F180" t="s">
        <v>43</v>
      </c>
      <c r="G180">
        <v>-431.01400000000001</v>
      </c>
      <c r="H180">
        <v>-0.05</v>
      </c>
      <c r="I180">
        <v>367.71879999999999</v>
      </c>
      <c r="J180">
        <v>-456.36649999999997</v>
      </c>
      <c r="K180">
        <v>1.10869</v>
      </c>
      <c r="L180">
        <v>367.81909999999999</v>
      </c>
      <c r="M180">
        <v>0.99991960000000002</v>
      </c>
      <c r="N180">
        <v>0</v>
      </c>
      <c r="O180">
        <v>1.241247E-2</v>
      </c>
      <c r="P180">
        <v>0.98454790000000003</v>
      </c>
      <c r="Q180">
        <v>0.17085359999999999</v>
      </c>
      <c r="R180">
        <v>-3.8401350000000001E-2</v>
      </c>
      <c r="S180">
        <v>3.071167</v>
      </c>
      <c r="T180">
        <v>-0.13915359999999999</v>
      </c>
      <c r="U180">
        <v>-1.1810299999999999E-2</v>
      </c>
      <c r="V180">
        <v>5.0862860000000003E-2</v>
      </c>
      <c r="W180">
        <v>0.17333289999999901</v>
      </c>
      <c r="X180">
        <v>0.98354900000000001</v>
      </c>
      <c r="Y180">
        <v>1.622825E-2</v>
      </c>
      <c r="Z180">
        <v>-9.2956780000000001E-4</v>
      </c>
      <c r="AA180">
        <v>0.99986790000000003</v>
      </c>
      <c r="AB180">
        <v>23</v>
      </c>
      <c r="AC180">
        <v>25.3524999999999</v>
      </c>
      <c r="AD180">
        <v>-1.15869</v>
      </c>
      <c r="AE180">
        <v>-0.100300000000004</v>
      </c>
      <c r="AF180">
        <v>0.41411549365821498</v>
      </c>
      <c r="AG180">
        <v>-1.15869</v>
      </c>
      <c r="AH180">
        <v>25.2964639648131</v>
      </c>
      <c r="AI180">
        <v>92.622216349216998</v>
      </c>
      <c r="AJ180">
        <v>89.062123827698699</v>
      </c>
      <c r="AK180">
        <v>25.326372485637901</v>
      </c>
      <c r="AL180">
        <v>80.018342028941504</v>
      </c>
      <c r="AM180">
        <v>87.039666008913002</v>
      </c>
      <c r="AN180">
        <v>0.99999998007539403</v>
      </c>
    </row>
    <row r="181" spans="1:40" x14ac:dyDescent="0.25">
      <c r="A181" t="str">
        <f>"20190312164220875"</f>
        <v>20190312164220875</v>
      </c>
      <c r="B181" t="str">
        <f>"1552380140863857"</f>
        <v>1552380140863857</v>
      </c>
      <c r="C181" t="s">
        <v>40</v>
      </c>
      <c r="D181">
        <v>4.187557</v>
      </c>
      <c r="E181">
        <v>0.50070760000000003</v>
      </c>
      <c r="F181" t="s">
        <v>43</v>
      </c>
      <c r="G181">
        <v>-431.25659999999999</v>
      </c>
      <c r="H181">
        <v>-0.05</v>
      </c>
      <c r="I181">
        <v>367.73939999999999</v>
      </c>
      <c r="J181">
        <v>-456.14249999999998</v>
      </c>
      <c r="K181">
        <v>1.1087389999999999</v>
      </c>
      <c r="L181">
        <v>367.82089999999999</v>
      </c>
      <c r="M181">
        <v>0.99992979999999998</v>
      </c>
      <c r="N181">
        <v>0</v>
      </c>
      <c r="O181">
        <v>1.1567640000000001E-2</v>
      </c>
      <c r="P181">
        <v>0.98467170000000004</v>
      </c>
      <c r="Q181">
        <v>0.17017660000000001</v>
      </c>
      <c r="R181">
        <v>-3.8232170000000003E-2</v>
      </c>
      <c r="S181">
        <v>3.0713200000000001</v>
      </c>
      <c r="T181">
        <v>-0.14172509999999999</v>
      </c>
      <c r="U181">
        <v>-9.7351069999999998E-3</v>
      </c>
      <c r="V181">
        <v>4.9840429999999998E-2</v>
      </c>
      <c r="W181">
        <v>0.1726683</v>
      </c>
      <c r="X181">
        <v>0.98371819999999999</v>
      </c>
      <c r="Y181">
        <v>1.4709119999999999E-2</v>
      </c>
      <c r="Z181">
        <v>-8.7268770000000005E-4</v>
      </c>
      <c r="AA181">
        <v>0.99989150000000004</v>
      </c>
      <c r="AB181">
        <v>23</v>
      </c>
      <c r="AC181">
        <v>24.8858999999999</v>
      </c>
      <c r="AD181">
        <v>-1.158739</v>
      </c>
      <c r="AE181">
        <v>-8.1500000000005401E-2</v>
      </c>
      <c r="AF181">
        <v>0.36856757145970798</v>
      </c>
      <c r="AG181">
        <v>-1.158739</v>
      </c>
      <c r="AH181">
        <v>24.829461823951998</v>
      </c>
      <c r="AI181">
        <v>92.671641573274997</v>
      </c>
      <c r="AJ181">
        <v>89.149566122610295</v>
      </c>
      <c r="AK181">
        <v>24.859217457352599</v>
      </c>
      <c r="AL181">
        <v>80.057003492571098</v>
      </c>
      <c r="AM181">
        <v>87.099569181287904</v>
      </c>
      <c r="AN181">
        <v>0.99999995364935601</v>
      </c>
    </row>
    <row r="182" spans="1:40" x14ac:dyDescent="0.25">
      <c r="A182" t="str">
        <f>"20190312164220896"</f>
        <v>20190312164220896</v>
      </c>
      <c r="B182" t="str">
        <f>"1552380140884101"</f>
        <v>1552380140884101</v>
      </c>
      <c r="C182" t="s">
        <v>40</v>
      </c>
      <c r="D182">
        <v>4.2249249999999998</v>
      </c>
      <c r="E182">
        <v>0.50323720000000005</v>
      </c>
      <c r="F182" t="s">
        <v>43</v>
      </c>
      <c r="G182">
        <v>-431.74579999999997</v>
      </c>
      <c r="H182">
        <v>-0.05</v>
      </c>
      <c r="I182">
        <v>367.06270000000001</v>
      </c>
      <c r="J182">
        <v>-455.92039999999997</v>
      </c>
      <c r="K182">
        <v>1.1087929999999999</v>
      </c>
      <c r="L182">
        <v>367.82260000000002</v>
      </c>
      <c r="M182">
        <v>0.99993799999999999</v>
      </c>
      <c r="N182">
        <v>0</v>
      </c>
      <c r="O182">
        <v>1.0824449999999999E-2</v>
      </c>
      <c r="P182">
        <v>0.98468900000000004</v>
      </c>
      <c r="Q182">
        <v>0.1700565</v>
      </c>
      <c r="R182">
        <v>-3.8324419999999998E-2</v>
      </c>
      <c r="S182">
        <v>3.0681150000000001</v>
      </c>
      <c r="T182">
        <v>-0.1457223</v>
      </c>
      <c r="U182">
        <v>-9.5336909999999997E-2</v>
      </c>
      <c r="V182">
        <v>4.917618E-2</v>
      </c>
      <c r="W182">
        <v>0.1725641</v>
      </c>
      <c r="X182">
        <v>0.98377000000000003</v>
      </c>
      <c r="Y182">
        <v>4.1816619999999999E-2</v>
      </c>
      <c r="Z182">
        <v>-1.505974E-3</v>
      </c>
      <c r="AA182">
        <v>0.99912420000000002</v>
      </c>
      <c r="AB182">
        <v>23</v>
      </c>
      <c r="AC182">
        <v>24.174600000000002</v>
      </c>
      <c r="AD182">
        <v>-1.158793</v>
      </c>
      <c r="AE182">
        <v>-0.75990000000001501</v>
      </c>
      <c r="AF182">
        <v>1.0191936338384</v>
      </c>
      <c r="AG182">
        <v>-1.158793</v>
      </c>
      <c r="AH182">
        <v>24.109616209624001</v>
      </c>
      <c r="AI182">
        <v>92.749267532957504</v>
      </c>
      <c r="AJ182">
        <v>87.579358146676299</v>
      </c>
      <c r="AK182">
        <v>24.158955909878799</v>
      </c>
      <c r="AL182">
        <v>80.063065554521003</v>
      </c>
      <c r="AM182">
        <v>87.138310514492304</v>
      </c>
      <c r="AN182">
        <v>1.0000000390941</v>
      </c>
    </row>
    <row r="183" spans="1:40" x14ac:dyDescent="0.25">
      <c r="A183" t="str">
        <f>"20190312164220920"</f>
        <v>20190312164220920</v>
      </c>
      <c r="B183" t="str">
        <f>"1552380140914354"</f>
        <v>1552380140914354</v>
      </c>
      <c r="C183" t="s">
        <v>40</v>
      </c>
      <c r="D183">
        <v>4.2211030000000003</v>
      </c>
      <c r="E183">
        <v>0.50440470000000004</v>
      </c>
      <c r="F183" t="s">
        <v>43</v>
      </c>
      <c r="G183">
        <v>-429.16210000000001</v>
      </c>
      <c r="H183">
        <v>-0.05</v>
      </c>
      <c r="I183">
        <v>366.8107</v>
      </c>
      <c r="J183">
        <v>-455.6832</v>
      </c>
      <c r="K183">
        <v>1.108854</v>
      </c>
      <c r="L183">
        <v>367.82440000000003</v>
      </c>
      <c r="M183">
        <v>0.99994530000000004</v>
      </c>
      <c r="N183">
        <v>0</v>
      </c>
      <c r="O183">
        <v>1.0134260000000001E-2</v>
      </c>
      <c r="P183">
        <v>0.98478779999999999</v>
      </c>
      <c r="Q183">
        <v>0.1695749</v>
      </c>
      <c r="R183">
        <v>-3.7916890000000002E-2</v>
      </c>
      <c r="S183">
        <v>3.0650330000000001</v>
      </c>
      <c r="T183">
        <v>-0.13273389999999999</v>
      </c>
      <c r="U183">
        <v>-0.1159058</v>
      </c>
      <c r="V183">
        <v>4.806237E-2</v>
      </c>
      <c r="W183">
        <v>0.1721037</v>
      </c>
      <c r="X183">
        <v>0.98390560000000005</v>
      </c>
      <c r="Y183">
        <v>4.785934E-2</v>
      </c>
      <c r="Z183">
        <v>-1.473968E-3</v>
      </c>
      <c r="AA183">
        <v>0.99885299999999999</v>
      </c>
      <c r="AB183">
        <v>23</v>
      </c>
      <c r="AC183">
        <v>26.521099999999901</v>
      </c>
      <c r="AD183">
        <v>-1.1588540000000001</v>
      </c>
      <c r="AE183">
        <v>-1.01370000000002</v>
      </c>
      <c r="AF183">
        <v>1.27998026329266</v>
      </c>
      <c r="AG183">
        <v>-1.1588540000000001</v>
      </c>
      <c r="AH183">
        <v>26.459020385929701</v>
      </c>
      <c r="AI183">
        <v>92.504916156966402</v>
      </c>
      <c r="AJ183">
        <v>87.2304213397599</v>
      </c>
      <c r="AK183">
        <v>26.515298449211802</v>
      </c>
      <c r="AL183">
        <v>80.0898443232483</v>
      </c>
      <c r="AM183">
        <v>87.2034067573003</v>
      </c>
      <c r="AN183">
        <v>0.99999995233753203</v>
      </c>
    </row>
    <row r="184" spans="1:40" x14ac:dyDescent="0.25">
      <c r="A184" t="str">
        <f>"20190312164220942"</f>
        <v>20190312164220942</v>
      </c>
      <c r="B184" t="str">
        <f>"1552380140933874"</f>
        <v>1552380140933874</v>
      </c>
      <c r="C184" t="s">
        <v>40</v>
      </c>
      <c r="D184">
        <v>4.2340299999999997</v>
      </c>
      <c r="E184">
        <v>0.50445799999999996</v>
      </c>
      <c r="F184" t="s">
        <v>43</v>
      </c>
      <c r="G184">
        <v>-427.79199999999997</v>
      </c>
      <c r="H184">
        <v>-0.05</v>
      </c>
      <c r="I184">
        <v>366.69490000000002</v>
      </c>
      <c r="J184">
        <v>-455.4418</v>
      </c>
      <c r="K184">
        <v>1.108919</v>
      </c>
      <c r="L184">
        <v>367.8261</v>
      </c>
      <c r="M184">
        <v>0.99995109999999998</v>
      </c>
      <c r="N184">
        <v>0</v>
      </c>
      <c r="O184">
        <v>9.5458639999999994E-3</v>
      </c>
      <c r="P184">
        <v>0.9849926</v>
      </c>
      <c r="Q184">
        <v>0.16849410000000001</v>
      </c>
      <c r="R184">
        <v>-3.7408589999999999E-2</v>
      </c>
      <c r="S184">
        <v>3.0634459999999999</v>
      </c>
      <c r="T184">
        <v>-0.12728349999999999</v>
      </c>
      <c r="U184">
        <v>-0.124054</v>
      </c>
      <c r="V184">
        <v>4.6948259999999999E-2</v>
      </c>
      <c r="W184">
        <v>0.1710487</v>
      </c>
      <c r="X184">
        <v>0.9841434</v>
      </c>
      <c r="Y184">
        <v>4.9946730000000002E-2</v>
      </c>
      <c r="Z184">
        <v>-1.433054E-3</v>
      </c>
      <c r="AA184">
        <v>0.9987509</v>
      </c>
      <c r="AB184">
        <v>23</v>
      </c>
      <c r="AC184">
        <v>27.649799999999999</v>
      </c>
      <c r="AD184">
        <v>-1.158919</v>
      </c>
      <c r="AE184">
        <v>-1.13119999999997</v>
      </c>
      <c r="AF184">
        <v>1.39264805514892</v>
      </c>
      <c r="AG184">
        <v>-1.158919</v>
      </c>
      <c r="AH184">
        <v>27.589353901387401</v>
      </c>
      <c r="AI184">
        <v>92.4022986786415</v>
      </c>
      <c r="AJ184">
        <v>87.110291569802797</v>
      </c>
      <c r="AK184">
        <v>27.6487795490157</v>
      </c>
      <c r="AL184">
        <v>80.151201864266696</v>
      </c>
      <c r="AM184">
        <v>87.268792937504998</v>
      </c>
      <c r="AN184">
        <v>1.0000000143261301</v>
      </c>
    </row>
    <row r="185" spans="1:40" x14ac:dyDescent="0.25">
      <c r="A185" t="str">
        <f>"20190312164220964"</f>
        <v>20190312164220964</v>
      </c>
      <c r="B185" t="str">
        <f>"1552380140954370"</f>
        <v>1552380140954370</v>
      </c>
      <c r="C185" t="s">
        <v>40</v>
      </c>
      <c r="D185">
        <v>4.2674949999999896</v>
      </c>
      <c r="E185">
        <v>0.50397460000000005</v>
      </c>
      <c r="F185" t="s">
        <v>43</v>
      </c>
      <c r="G185">
        <v>-428.25130000000001</v>
      </c>
      <c r="H185">
        <v>-0.05</v>
      </c>
      <c r="I185">
        <v>366.7321</v>
      </c>
      <c r="J185">
        <v>-455.20870000000002</v>
      </c>
      <c r="K185">
        <v>1.108976</v>
      </c>
      <c r="L185">
        <v>367.82780000000002</v>
      </c>
      <c r="M185">
        <v>0.99995540000000005</v>
      </c>
      <c r="N185">
        <v>0</v>
      </c>
      <c r="O185">
        <v>9.0792500000000005E-3</v>
      </c>
      <c r="P185">
        <v>0.98515980000000003</v>
      </c>
      <c r="Q185">
        <v>0.1677544</v>
      </c>
      <c r="R185">
        <v>-3.6318110000000001E-2</v>
      </c>
      <c r="S185">
        <v>3.0633539999999999</v>
      </c>
      <c r="T185">
        <v>-0.13056699999999999</v>
      </c>
      <c r="U185">
        <v>-0.1232605</v>
      </c>
      <c r="V185">
        <v>4.5374850000000001E-2</v>
      </c>
      <c r="W185">
        <v>0.17033589999999901</v>
      </c>
      <c r="X185">
        <v>0.98434080000000002</v>
      </c>
      <c r="Y185">
        <v>4.9222000000000002E-2</v>
      </c>
      <c r="Z185">
        <v>-1.4347369999999999E-3</v>
      </c>
      <c r="AA185">
        <v>0.99878679999999997</v>
      </c>
      <c r="AB185">
        <v>24</v>
      </c>
      <c r="AC185">
        <v>26.9574</v>
      </c>
      <c r="AD185">
        <v>-1.158976</v>
      </c>
      <c r="AE185">
        <v>-1.0957000000000201</v>
      </c>
      <c r="AF185">
        <v>1.3379396885131001</v>
      </c>
      <c r="AG185">
        <v>-1.158976</v>
      </c>
      <c r="AH185">
        <v>26.896707191851501</v>
      </c>
      <c r="AI185">
        <v>92.464298975625297</v>
      </c>
      <c r="AJ185">
        <v>87.152247593984796</v>
      </c>
      <c r="AK185">
        <v>26.954891313876001</v>
      </c>
      <c r="AL185">
        <v>80.192650471530897</v>
      </c>
      <c r="AM185">
        <v>87.360722717352502</v>
      </c>
      <c r="AN185">
        <v>1.0000000031929801</v>
      </c>
    </row>
    <row r="186" spans="1:40" x14ac:dyDescent="0.25">
      <c r="A186" t="str">
        <f>"20190312164220987"</f>
        <v>20190312164220987</v>
      </c>
      <c r="B186" t="str">
        <f>"1552380140984412"</f>
        <v>1552380140984412</v>
      </c>
      <c r="C186" t="s">
        <v>40</v>
      </c>
      <c r="D186">
        <v>4.2379300000000004</v>
      </c>
      <c r="E186">
        <v>0.50350709999999999</v>
      </c>
      <c r="F186" t="s">
        <v>43</v>
      </c>
      <c r="G186">
        <v>-428.89949999999999</v>
      </c>
      <c r="H186">
        <v>-0.05</v>
      </c>
      <c r="I186">
        <v>366.827</v>
      </c>
      <c r="J186">
        <v>-454.9631</v>
      </c>
      <c r="K186">
        <v>1.109022</v>
      </c>
      <c r="L186">
        <v>367.82960000000003</v>
      </c>
      <c r="M186">
        <v>0.99995900000000004</v>
      </c>
      <c r="N186">
        <v>0</v>
      </c>
      <c r="O186">
        <v>8.6687320000000002E-3</v>
      </c>
      <c r="P186">
        <v>0.98540609999999995</v>
      </c>
      <c r="Q186">
        <v>0.16640289999999999</v>
      </c>
      <c r="R186">
        <v>-3.5848680000000001E-2</v>
      </c>
      <c r="S186">
        <v>3.0638429999999999</v>
      </c>
      <c r="T186">
        <v>-0.13496849999999999</v>
      </c>
      <c r="U186">
        <v>-0.1165466</v>
      </c>
      <c r="V186">
        <v>4.4482090000000002E-2</v>
      </c>
      <c r="W186">
        <v>0.16901350000000001</v>
      </c>
      <c r="X186">
        <v>0.98460939999999997</v>
      </c>
      <c r="Y186">
        <v>4.6619389999999997E-2</v>
      </c>
      <c r="Z186">
        <v>-1.4075369999999999E-3</v>
      </c>
      <c r="AA186">
        <v>0.99891169999999996</v>
      </c>
      <c r="AB186">
        <v>24</v>
      </c>
      <c r="AC186">
        <v>26.063600000000001</v>
      </c>
      <c r="AD186">
        <v>-1.159022</v>
      </c>
      <c r="AE186">
        <v>-1.0026000000000199</v>
      </c>
      <c r="AF186">
        <v>1.2260804843290101</v>
      </c>
      <c r="AG186">
        <v>-1.159022</v>
      </c>
      <c r="AH186">
        <v>26.002585467234301</v>
      </c>
      <c r="AI186">
        <v>92.549346058928506</v>
      </c>
      <c r="AJ186">
        <v>87.300374457098997</v>
      </c>
      <c r="AK186">
        <v>26.057264943415699</v>
      </c>
      <c r="AL186">
        <v>80.269532634999393</v>
      </c>
      <c r="AM186">
        <v>87.413284677654005</v>
      </c>
      <c r="AN186">
        <v>0.99999994504068701</v>
      </c>
    </row>
    <row r="187" spans="1:40" x14ac:dyDescent="0.25">
      <c r="A187" t="str">
        <f>"20190312164221010"</f>
        <v>20190312164221010</v>
      </c>
      <c r="B187" t="str">
        <f>"1552380141003932"</f>
        <v>1552380141003932</v>
      </c>
      <c r="C187" t="s">
        <v>40</v>
      </c>
      <c r="D187">
        <v>4.2440100000000003</v>
      </c>
      <c r="E187">
        <v>0.50352209999999997</v>
      </c>
      <c r="F187" t="s">
        <v>43</v>
      </c>
      <c r="G187">
        <v>-429.78469999999999</v>
      </c>
      <c r="H187">
        <v>-0.05</v>
      </c>
      <c r="I187">
        <v>366.92410000000001</v>
      </c>
      <c r="J187">
        <v>-454.7149</v>
      </c>
      <c r="K187">
        <v>1.109062</v>
      </c>
      <c r="L187">
        <v>367.8313</v>
      </c>
      <c r="M187">
        <v>0.99996169999999995</v>
      </c>
      <c r="N187">
        <v>0</v>
      </c>
      <c r="O187">
        <v>8.326534E-3</v>
      </c>
      <c r="P187">
        <v>0.98555380000000004</v>
      </c>
      <c r="Q187">
        <v>0.16561979999999901</v>
      </c>
      <c r="R187">
        <v>-3.5409169999999997E-2</v>
      </c>
      <c r="S187">
        <v>3.064209</v>
      </c>
      <c r="T187">
        <v>-0.1410527</v>
      </c>
      <c r="U187">
        <v>-0.11019900000000001</v>
      </c>
      <c r="V187">
        <v>4.3690220000000002E-2</v>
      </c>
      <c r="W187">
        <v>0.1682611</v>
      </c>
      <c r="X187">
        <v>0.98477380000000003</v>
      </c>
      <c r="Y187">
        <v>4.4204420000000001E-2</v>
      </c>
      <c r="Z187">
        <v>-1.3995259999999999E-3</v>
      </c>
      <c r="AA187">
        <v>0.99902150000000001</v>
      </c>
      <c r="AB187">
        <v>24</v>
      </c>
      <c r="AC187">
        <v>24.930199999999999</v>
      </c>
      <c r="AD187">
        <v>-1.159062</v>
      </c>
      <c r="AE187">
        <v>-0.90719999999998802</v>
      </c>
      <c r="AF187">
        <v>1.1123502610415701</v>
      </c>
      <c r="AG187">
        <v>-1.159062</v>
      </c>
      <c r="AH187">
        <v>24.868099774861399</v>
      </c>
      <c r="AI187">
        <v>92.665870901433706</v>
      </c>
      <c r="AJ187">
        <v>87.438866590307896</v>
      </c>
      <c r="AK187">
        <v>24.9199344749448</v>
      </c>
      <c r="AL187">
        <v>80.313269239639197</v>
      </c>
      <c r="AM187">
        <v>87.459696083752107</v>
      </c>
      <c r="AN187">
        <v>1.00000003513164</v>
      </c>
    </row>
    <row r="188" spans="1:40" x14ac:dyDescent="0.25">
      <c r="A188" t="str">
        <f>"20190312164221033"</f>
        <v>20190312164221033</v>
      </c>
      <c r="B188" t="str">
        <f>"1552380141024427"</f>
        <v>1552380141024427</v>
      </c>
      <c r="C188" t="s">
        <v>40</v>
      </c>
      <c r="D188">
        <v>4.6149170000000002</v>
      </c>
      <c r="E188">
        <v>0.5037625</v>
      </c>
      <c r="F188" t="s">
        <v>43</v>
      </c>
      <c r="G188">
        <v>-430.13760000000002</v>
      </c>
      <c r="H188">
        <v>-0.05</v>
      </c>
      <c r="I188">
        <v>366.95749999999998</v>
      </c>
      <c r="J188">
        <v>-454.47730000000001</v>
      </c>
      <c r="K188">
        <v>1.109094</v>
      </c>
      <c r="L188">
        <v>367.83300000000003</v>
      </c>
      <c r="M188">
        <v>0.99996379999999996</v>
      </c>
      <c r="N188">
        <v>0</v>
      </c>
      <c r="O188">
        <v>8.0622070000000001E-3</v>
      </c>
      <c r="P188">
        <v>0.98564419999999997</v>
      </c>
      <c r="Q188">
        <v>0.1651996</v>
      </c>
      <c r="R188">
        <v>-3.4849039999999998E-2</v>
      </c>
      <c r="S188">
        <v>3.0643310000000001</v>
      </c>
      <c r="T188">
        <v>-0.14451310000000001</v>
      </c>
      <c r="U188">
        <v>-0.1089478</v>
      </c>
      <c r="V188">
        <v>4.2857230000000003E-2</v>
      </c>
      <c r="W188">
        <v>0.16787179999999999</v>
      </c>
      <c r="X188">
        <v>0.9848768</v>
      </c>
      <c r="Y188">
        <v>4.35298E-2</v>
      </c>
      <c r="Z188">
        <v>-1.4054269999999999E-3</v>
      </c>
      <c r="AA188">
        <v>0.99905120000000003</v>
      </c>
      <c r="AB188">
        <v>24</v>
      </c>
      <c r="AC188">
        <v>24.339700000000001</v>
      </c>
      <c r="AD188">
        <v>-1.1590940000000001</v>
      </c>
      <c r="AE188">
        <v>-0.87550000000004502</v>
      </c>
      <c r="AF188">
        <v>1.0692821751249699</v>
      </c>
      <c r="AG188">
        <v>-1.1590940000000001</v>
      </c>
      <c r="AH188">
        <v>24.276866257269202</v>
      </c>
      <c r="AI188">
        <v>92.730855819630705</v>
      </c>
      <c r="AJ188">
        <v>87.478019481811899</v>
      </c>
      <c r="AK188">
        <v>24.328031127574</v>
      </c>
      <c r="AL188">
        <v>80.335895972123595</v>
      </c>
      <c r="AM188">
        <v>87.508327704401296</v>
      </c>
      <c r="AN188">
        <v>0.99999999728837596</v>
      </c>
    </row>
    <row r="189" spans="1:40" x14ac:dyDescent="0.25">
      <c r="A189" t="str">
        <f>"20190312164221054"</f>
        <v>20190312164221054</v>
      </c>
      <c r="B189" t="str">
        <f>"1552380141043948"</f>
        <v>1552380141043948</v>
      </c>
      <c r="C189" t="s">
        <v>40</v>
      </c>
      <c r="D189">
        <v>4.2407079999999997</v>
      </c>
      <c r="E189">
        <v>0.50420710000000002</v>
      </c>
      <c r="F189" t="s">
        <v>43</v>
      </c>
      <c r="G189">
        <v>-430.08839999999998</v>
      </c>
      <c r="H189">
        <v>-0.05</v>
      </c>
      <c r="I189">
        <v>366.96629999999999</v>
      </c>
      <c r="J189">
        <v>-454.23020000000002</v>
      </c>
      <c r="K189">
        <v>1.109118</v>
      </c>
      <c r="L189">
        <v>367.8347</v>
      </c>
      <c r="M189">
        <v>0.9999654</v>
      </c>
      <c r="N189">
        <v>0</v>
      </c>
      <c r="O189">
        <v>7.8457879999999994E-3</v>
      </c>
      <c r="P189">
        <v>0.9858034</v>
      </c>
      <c r="Q189">
        <v>0.1643599</v>
      </c>
      <c r="R189">
        <v>-3.4321860000000003E-2</v>
      </c>
      <c r="S189">
        <v>3.06427</v>
      </c>
      <c r="T189">
        <v>-0.1456307</v>
      </c>
      <c r="U189">
        <v>-0.1088867</v>
      </c>
      <c r="V189">
        <v>4.2105299999999998E-2</v>
      </c>
      <c r="W189">
        <v>0.1670652</v>
      </c>
      <c r="X189">
        <v>0.98504639999999999</v>
      </c>
      <c r="Y189">
        <v>4.3294020000000003E-2</v>
      </c>
      <c r="Z189">
        <v>-1.400437E-3</v>
      </c>
      <c r="AA189">
        <v>0.99906139999999999</v>
      </c>
      <c r="AB189">
        <v>24</v>
      </c>
      <c r="AC189">
        <v>24.1418</v>
      </c>
      <c r="AD189">
        <v>-1.1591180000000001</v>
      </c>
      <c r="AE189">
        <v>-0.86840000000000805</v>
      </c>
      <c r="AF189">
        <v>1.0553557364519801</v>
      </c>
      <c r="AG189">
        <v>-1.1591180000000001</v>
      </c>
      <c r="AH189">
        <v>24.078807948628999</v>
      </c>
      <c r="AI189">
        <v>92.753366803329001</v>
      </c>
      <c r="AJ189">
        <v>87.490375979940595</v>
      </c>
      <c r="AK189">
        <v>24.129780821535501</v>
      </c>
      <c r="AL189">
        <v>80.382773027269906</v>
      </c>
      <c r="AM189">
        <v>87.552411404256404</v>
      </c>
      <c r="AN189">
        <v>1.00000002374604</v>
      </c>
    </row>
    <row r="190" spans="1:40" x14ac:dyDescent="0.25">
      <c r="A190" t="str">
        <f>"20190312164221077"</f>
        <v>20190312164221077</v>
      </c>
      <c r="B190" t="str">
        <f>"1552380141074204"</f>
        <v>1552380141074204</v>
      </c>
      <c r="C190" t="s">
        <v>40</v>
      </c>
      <c r="D190">
        <v>4.2681769999999997</v>
      </c>
      <c r="E190">
        <v>0.50468840000000004</v>
      </c>
      <c r="F190" t="s">
        <v>43</v>
      </c>
      <c r="G190">
        <v>-429.9853</v>
      </c>
      <c r="H190">
        <v>-0.05</v>
      </c>
      <c r="I190">
        <v>366.9615</v>
      </c>
      <c r="J190">
        <v>-453.98700000000002</v>
      </c>
      <c r="K190">
        <v>1.1091310000000001</v>
      </c>
      <c r="L190">
        <v>367.83640000000003</v>
      </c>
      <c r="M190">
        <v>0.99996680000000004</v>
      </c>
      <c r="N190">
        <v>0</v>
      </c>
      <c r="O190">
        <v>7.6804359999999997E-3</v>
      </c>
      <c r="P190">
        <v>0.98611780000000004</v>
      </c>
      <c r="Q190">
        <v>0.16249359999999999</v>
      </c>
      <c r="R190">
        <v>-3.417506E-2</v>
      </c>
      <c r="S190">
        <v>3.0637819999999998</v>
      </c>
      <c r="T190">
        <v>-0.14647539999999901</v>
      </c>
      <c r="U190">
        <v>-0.11035159999999999</v>
      </c>
      <c r="V190">
        <v>4.1786829999999997E-2</v>
      </c>
      <c r="W190">
        <v>0.16523370000000001</v>
      </c>
      <c r="X190">
        <v>0.98536880000000004</v>
      </c>
      <c r="Y190">
        <v>4.3610660000000002E-2</v>
      </c>
      <c r="Z190">
        <v>-1.4084270000000001E-3</v>
      </c>
      <c r="AA190">
        <v>0.99904760000000004</v>
      </c>
      <c r="AB190">
        <v>24</v>
      </c>
      <c r="AC190">
        <v>24.0016999999999</v>
      </c>
      <c r="AD190">
        <v>-1.1591309999999999</v>
      </c>
      <c r="AE190">
        <v>-0.87490000000002499</v>
      </c>
      <c r="AF190">
        <v>1.05675701363474</v>
      </c>
      <c r="AG190">
        <v>-1.1591309999999999</v>
      </c>
      <c r="AH190">
        <v>23.9385151476042</v>
      </c>
      <c r="AI190">
        <v>92.7694707145222</v>
      </c>
      <c r="AJ190">
        <v>87.472339798894296</v>
      </c>
      <c r="AK190">
        <v>23.989848426638801</v>
      </c>
      <c r="AL190">
        <v>80.489189095240306</v>
      </c>
      <c r="AM190">
        <v>87.571695680726293</v>
      </c>
      <c r="AN190">
        <v>0.999999993395289</v>
      </c>
    </row>
    <row r="191" spans="1:40" x14ac:dyDescent="0.25">
      <c r="A191" t="str">
        <f>"20190312164221098"</f>
        <v>20190312164221098</v>
      </c>
      <c r="B191" t="str">
        <f>"1552380141093724"</f>
        <v>1552380141093724</v>
      </c>
      <c r="C191" t="s">
        <v>40</v>
      </c>
      <c r="D191">
        <v>4.2765940000000002</v>
      </c>
      <c r="E191">
        <v>0.50479229999999997</v>
      </c>
      <c r="F191" t="s">
        <v>43</v>
      </c>
      <c r="G191">
        <v>-430.38920000000002</v>
      </c>
      <c r="H191">
        <v>-0.05</v>
      </c>
      <c r="I191">
        <v>366.96190000000001</v>
      </c>
      <c r="J191">
        <v>-453.7518</v>
      </c>
      <c r="K191">
        <v>1.1091439999999999</v>
      </c>
      <c r="L191">
        <v>367.8381</v>
      </c>
      <c r="M191">
        <v>0.99996750000000001</v>
      </c>
      <c r="N191">
        <v>0</v>
      </c>
      <c r="O191">
        <v>7.5548799999999999E-3</v>
      </c>
      <c r="P191">
        <v>0.98641259999999997</v>
      </c>
      <c r="Q191">
        <v>0.16088629999999901</v>
      </c>
      <c r="R191">
        <v>-3.3255489999999999E-2</v>
      </c>
      <c r="S191">
        <v>3.0630799999999998</v>
      </c>
      <c r="T191">
        <v>-0.15045939999999999</v>
      </c>
      <c r="U191">
        <v>-0.113525399999999</v>
      </c>
      <c r="V191">
        <v>4.073682E-2</v>
      </c>
      <c r="W191">
        <v>0.1636609</v>
      </c>
      <c r="X191">
        <v>0.98567519999999997</v>
      </c>
      <c r="Y191">
        <v>4.452304E-2</v>
      </c>
      <c r="Z191">
        <v>-1.463219E-3</v>
      </c>
      <c r="AA191">
        <v>0.99900730000000004</v>
      </c>
      <c r="AB191">
        <v>24</v>
      </c>
      <c r="AC191">
        <v>23.362599999999901</v>
      </c>
      <c r="AD191">
        <v>-1.159144</v>
      </c>
      <c r="AE191">
        <v>-0.87619999999998199</v>
      </c>
      <c r="AF191">
        <v>1.0500959587285801</v>
      </c>
      <c r="AG191">
        <v>-1.159144</v>
      </c>
      <c r="AH191">
        <v>23.298041771899499</v>
      </c>
      <c r="AI191">
        <v>92.845395763533105</v>
      </c>
      <c r="AJ191">
        <v>87.419294976554596</v>
      </c>
      <c r="AK191">
        <v>23.350483222846702</v>
      </c>
      <c r="AL191">
        <v>80.580547636772806</v>
      </c>
      <c r="AM191">
        <v>87.633378309087604</v>
      </c>
      <c r="AN191">
        <v>0.99999998929378098</v>
      </c>
    </row>
    <row r="192" spans="1:40" x14ac:dyDescent="0.25">
      <c r="A192" t="str">
        <f>"20190312164221121"</f>
        <v>20190312164221121</v>
      </c>
      <c r="B192" t="str">
        <f>"1552380141114220"</f>
        <v>1552380141114220</v>
      </c>
      <c r="C192" t="s">
        <v>40</v>
      </c>
      <c r="D192">
        <v>4.4394039999999997</v>
      </c>
      <c r="E192">
        <v>0.50493390000000005</v>
      </c>
      <c r="F192" t="s">
        <v>43</v>
      </c>
      <c r="G192">
        <v>-431.04969999999997</v>
      </c>
      <c r="H192">
        <v>-0.05</v>
      </c>
      <c r="I192">
        <v>367.0068</v>
      </c>
      <c r="J192">
        <v>-453.505</v>
      </c>
      <c r="K192">
        <v>1.1091569999999999</v>
      </c>
      <c r="L192">
        <v>367.8399</v>
      </c>
      <c r="M192">
        <v>0.99996819999999997</v>
      </c>
      <c r="N192">
        <v>0</v>
      </c>
      <c r="O192">
        <v>7.4477140000000002E-3</v>
      </c>
      <c r="P192">
        <v>0.98651670000000002</v>
      </c>
      <c r="Q192">
        <v>0.16043929999999901</v>
      </c>
      <c r="R192">
        <v>-3.2309629999999999E-2</v>
      </c>
      <c r="S192">
        <v>3.0630799999999998</v>
      </c>
      <c r="T192">
        <v>-0.1563976</v>
      </c>
      <c r="U192">
        <v>-0.1121521</v>
      </c>
      <c r="V192">
        <v>3.9680090000000001E-2</v>
      </c>
      <c r="W192">
        <v>0.16325020000000001</v>
      </c>
      <c r="X192">
        <v>0.98578639999999995</v>
      </c>
      <c r="Y192">
        <v>4.3964499999999997E-2</v>
      </c>
      <c r="Z192">
        <v>-1.5011950000000001E-3</v>
      </c>
      <c r="AA192">
        <v>0.99903200000000003</v>
      </c>
      <c r="AB192">
        <v>25</v>
      </c>
      <c r="AC192">
        <v>22.455300000000001</v>
      </c>
      <c r="AD192">
        <v>-1.159157</v>
      </c>
      <c r="AE192">
        <v>-0.83310000000000095</v>
      </c>
      <c r="AF192">
        <v>0.99766341596314201</v>
      </c>
      <c r="AG192">
        <v>-1.159157</v>
      </c>
      <c r="AH192">
        <v>22.388895015292601</v>
      </c>
      <c r="AI192">
        <v>92.960838067361806</v>
      </c>
      <c r="AJ192">
        <v>87.4485514553229</v>
      </c>
      <c r="AK192">
        <v>22.441069431914201</v>
      </c>
      <c r="AL192">
        <v>80.604399738633006</v>
      </c>
      <c r="AM192">
        <v>87.694962107061997</v>
      </c>
      <c r="AN192">
        <v>0.99999998188370298</v>
      </c>
    </row>
    <row r="193" spans="1:40" x14ac:dyDescent="0.25">
      <c r="A193" t="str">
        <f>"20190312164221143"</f>
        <v>20190312164221143</v>
      </c>
      <c r="B193" t="str">
        <f>"1552380141133740"</f>
        <v>1552380141133740</v>
      </c>
      <c r="C193" t="s">
        <v>40</v>
      </c>
      <c r="D193">
        <v>4.2896349999999996</v>
      </c>
      <c r="E193">
        <v>0.48160530000000001</v>
      </c>
      <c r="F193" t="s">
        <v>43</v>
      </c>
      <c r="G193">
        <v>-430.8888</v>
      </c>
      <c r="H193">
        <v>-0.05</v>
      </c>
      <c r="I193">
        <v>367.01819999999998</v>
      </c>
      <c r="J193">
        <v>-453.255</v>
      </c>
      <c r="K193">
        <v>1.1091580000000001</v>
      </c>
      <c r="L193">
        <v>367.84160000000003</v>
      </c>
      <c r="M193">
        <v>0.99996879999999999</v>
      </c>
      <c r="N193">
        <v>0</v>
      </c>
      <c r="O193">
        <v>7.3549419999999997E-3</v>
      </c>
      <c r="P193">
        <v>0.98666169999999997</v>
      </c>
      <c r="Q193">
        <v>0.15974099999999999</v>
      </c>
      <c r="R193">
        <v>-3.133375E-2</v>
      </c>
      <c r="S193">
        <v>3.062897</v>
      </c>
      <c r="T193">
        <v>-0.15698409999999999</v>
      </c>
      <c r="U193">
        <v>-0.11126709999999999</v>
      </c>
      <c r="V193">
        <v>3.8610539999999999E-2</v>
      </c>
      <c r="W193">
        <v>0.16258919999999999</v>
      </c>
      <c r="X193">
        <v>0.98593810000000004</v>
      </c>
      <c r="Y193">
        <v>4.3585829999999999E-2</v>
      </c>
      <c r="Z193">
        <v>-1.492469E-3</v>
      </c>
      <c r="AA193">
        <v>0.99904859999999895</v>
      </c>
      <c r="AB193">
        <v>25</v>
      </c>
      <c r="AC193">
        <v>22.3661999999999</v>
      </c>
      <c r="AD193">
        <v>-1.1591579999999999</v>
      </c>
      <c r="AE193">
        <v>-0.82340000000004898</v>
      </c>
      <c r="AF193">
        <v>0.98523777967273996</v>
      </c>
      <c r="AG193">
        <v>-1.1591579999999999</v>
      </c>
      <c r="AH193">
        <v>22.299723670184999</v>
      </c>
      <c r="AI193">
        <v>92.972708934341796</v>
      </c>
      <c r="AJ193">
        <v>87.470225192398402</v>
      </c>
      <c r="AK193">
        <v>22.351555125271801</v>
      </c>
      <c r="AL193">
        <v>80.642785080984297</v>
      </c>
      <c r="AM193">
        <v>87.757373269279498</v>
      </c>
      <c r="AN193">
        <v>0.99999997939367002</v>
      </c>
    </row>
    <row r="194" spans="1:40" x14ac:dyDescent="0.25">
      <c r="A194" t="str">
        <f>"20190312164221165"</f>
        <v>20190312164221165</v>
      </c>
      <c r="B194" t="str">
        <f>"1552380141154239"</f>
        <v>1552380141154239</v>
      </c>
      <c r="C194" t="s">
        <v>40</v>
      </c>
      <c r="D194">
        <v>4.2957939999999999</v>
      </c>
      <c r="E194">
        <v>0.47689890000000001</v>
      </c>
      <c r="F194" t="s">
        <v>43</v>
      </c>
      <c r="G194">
        <v>-431.48750000000001</v>
      </c>
      <c r="H194">
        <v>-0.05</v>
      </c>
      <c r="I194">
        <v>368.38760000000002</v>
      </c>
      <c r="J194">
        <v>-453.00209999999998</v>
      </c>
      <c r="K194">
        <v>1.1091519999999999</v>
      </c>
      <c r="L194">
        <v>367.84339999999997</v>
      </c>
      <c r="M194">
        <v>0.9999692</v>
      </c>
      <c r="N194">
        <v>0</v>
      </c>
      <c r="O194">
        <v>7.2700669999999998E-3</v>
      </c>
      <c r="P194">
        <v>0.98694490000000001</v>
      </c>
      <c r="Q194">
        <v>0.15813150000000001</v>
      </c>
      <c r="R194">
        <v>-3.0570480000000001E-2</v>
      </c>
      <c r="S194">
        <v>3.0694270000000001</v>
      </c>
      <c r="T194">
        <v>-0.1634526</v>
      </c>
      <c r="U194">
        <v>7.6995850000000005E-2</v>
      </c>
      <c r="V194">
        <v>3.7765409999999999E-2</v>
      </c>
      <c r="W194">
        <v>0.16101750000000001</v>
      </c>
      <c r="X194">
        <v>0.98622880000000002</v>
      </c>
      <c r="Y194">
        <v>-1.77935E-2</v>
      </c>
      <c r="Z194" s="1">
        <v>8.6558490000000001E-5</v>
      </c>
      <c r="AA194">
        <v>0.99984170000000006</v>
      </c>
      <c r="AB194">
        <v>25</v>
      </c>
      <c r="AC194">
        <v>21.514599999999898</v>
      </c>
      <c r="AD194">
        <v>-1.159152</v>
      </c>
      <c r="AE194">
        <v>0.54420000000004598</v>
      </c>
      <c r="AF194">
        <v>-0.38665070616888197</v>
      </c>
      <c r="AG194">
        <v>-1.159152</v>
      </c>
      <c r="AH194">
        <v>21.455746306884802</v>
      </c>
      <c r="AI194">
        <v>93.0919113233074</v>
      </c>
      <c r="AJ194">
        <v>91.032406686840901</v>
      </c>
      <c r="AK194">
        <v>21.490513761031501</v>
      </c>
      <c r="AL194">
        <v>80.734040019850795</v>
      </c>
      <c r="AM194">
        <v>87.807058649473007</v>
      </c>
      <c r="AN194">
        <v>1.0000000537240701</v>
      </c>
    </row>
    <row r="195" spans="1:40" x14ac:dyDescent="0.25">
      <c r="A195" t="str">
        <f>"20190312164221186"</f>
        <v>20190312164221186</v>
      </c>
      <c r="B195" t="str">
        <f>"1552380141174268"</f>
        <v>1552380141174268</v>
      </c>
      <c r="C195" t="s">
        <v>40</v>
      </c>
      <c r="D195">
        <v>4.5168119999999998</v>
      </c>
      <c r="E195">
        <v>0.47523009999999899</v>
      </c>
      <c r="F195" t="s">
        <v>43</v>
      </c>
      <c r="G195">
        <v>-433.76670000000001</v>
      </c>
      <c r="H195">
        <v>-0.05</v>
      </c>
      <c r="I195">
        <v>368.58089999999999</v>
      </c>
      <c r="J195">
        <v>-452.76029999999997</v>
      </c>
      <c r="K195">
        <v>1.109145</v>
      </c>
      <c r="L195">
        <v>367.8451</v>
      </c>
      <c r="M195">
        <v>0.99996969999999996</v>
      </c>
      <c r="N195">
        <v>0</v>
      </c>
      <c r="O195">
        <v>7.1915549999999996E-3</v>
      </c>
      <c r="P195">
        <v>0.98724089999999998</v>
      </c>
      <c r="Q195">
        <v>0.156502799999999</v>
      </c>
      <c r="R195">
        <v>-2.9366860000000002E-2</v>
      </c>
      <c r="S195">
        <v>3.0729980000000001</v>
      </c>
      <c r="T195">
        <v>-0.18518319999999999</v>
      </c>
      <c r="U195">
        <v>0.1178284</v>
      </c>
      <c r="V195">
        <v>3.6487829999999999E-2</v>
      </c>
      <c r="W195">
        <v>0.15942619999999999</v>
      </c>
      <c r="X195">
        <v>0.9865353</v>
      </c>
      <c r="Y195">
        <v>-3.108441E-2</v>
      </c>
      <c r="Z195">
        <v>5.0259739999999995E-4</v>
      </c>
      <c r="AA195">
        <v>0.99951670000000004</v>
      </c>
      <c r="AB195">
        <v>25</v>
      </c>
      <c r="AC195">
        <v>18.993599999999901</v>
      </c>
      <c r="AD195">
        <v>-1.1591450000000001</v>
      </c>
      <c r="AE195">
        <v>0.73579999999998302</v>
      </c>
      <c r="AF195">
        <v>-0.59696681154196896</v>
      </c>
      <c r="AG195">
        <v>-1.1591450000000001</v>
      </c>
      <c r="AH195">
        <v>18.928009804160801</v>
      </c>
      <c r="AI195">
        <v>93.502660664381196</v>
      </c>
      <c r="AJ195">
        <v>91.8064416265278</v>
      </c>
      <c r="AK195">
        <v>18.972863296074099</v>
      </c>
      <c r="AL195">
        <v>80.826407478512607</v>
      </c>
      <c r="AM195">
        <v>87.881833356786302</v>
      </c>
      <c r="AN195">
        <v>0.99999998656531897</v>
      </c>
    </row>
    <row r="196" spans="1:40" x14ac:dyDescent="0.25">
      <c r="A196" t="str">
        <f>"20190312164221210"</f>
        <v>20190312164221210</v>
      </c>
      <c r="B196" t="str">
        <f>"1552380141203544"</f>
        <v>1552380141203544</v>
      </c>
      <c r="C196" t="s">
        <v>40</v>
      </c>
      <c r="D196">
        <v>4.29176</v>
      </c>
      <c r="E196">
        <v>0.47517769999999998</v>
      </c>
      <c r="F196" t="s">
        <v>43</v>
      </c>
      <c r="G196">
        <v>-434.20830000000001</v>
      </c>
      <c r="H196">
        <v>-0.05</v>
      </c>
      <c r="I196">
        <v>368.66739999999999</v>
      </c>
      <c r="J196">
        <v>-452.49700000000001</v>
      </c>
      <c r="K196">
        <v>1.109132</v>
      </c>
      <c r="L196">
        <v>367.84690000000001</v>
      </c>
      <c r="M196">
        <v>0.99997029999999998</v>
      </c>
      <c r="N196">
        <v>0</v>
      </c>
      <c r="O196">
        <v>7.1049809999999998E-3</v>
      </c>
      <c r="P196">
        <v>0.98742540000000001</v>
      </c>
      <c r="Q196">
        <v>0.155386</v>
      </c>
      <c r="R196">
        <v>-2.9093219999999999E-2</v>
      </c>
      <c r="S196">
        <v>3.0732729999999999</v>
      </c>
      <c r="T196">
        <v>-0.19201969999999999</v>
      </c>
      <c r="U196">
        <v>0.1362305</v>
      </c>
      <c r="V196">
        <v>3.6132259999999999E-2</v>
      </c>
      <c r="W196">
        <v>0.15834999999999999</v>
      </c>
      <c r="X196">
        <v>0.98672170000000003</v>
      </c>
      <c r="Y196">
        <v>-3.7126430000000002E-2</v>
      </c>
      <c r="Z196">
        <v>7.1488729999999998E-4</v>
      </c>
      <c r="AA196">
        <v>0.99931029999999998</v>
      </c>
      <c r="AB196">
        <v>25</v>
      </c>
      <c r="AC196">
        <v>18.288699999999899</v>
      </c>
      <c r="AD196">
        <v>-1.1591320000000001</v>
      </c>
      <c r="AE196">
        <v>0.82049999999998102</v>
      </c>
      <c r="AF196">
        <v>-0.68778059032425998</v>
      </c>
      <c r="AG196">
        <v>-1.1591320000000001</v>
      </c>
      <c r="AH196">
        <v>18.221021509483801</v>
      </c>
      <c r="AI196">
        <v>93.637388129102504</v>
      </c>
      <c r="AJ196">
        <v>92.161691392352495</v>
      </c>
      <c r="AK196">
        <v>18.270803320678699</v>
      </c>
      <c r="AL196">
        <v>80.888862606030003</v>
      </c>
      <c r="AM196">
        <v>87.902852025632598</v>
      </c>
      <c r="AN196">
        <v>0.99999998798179801</v>
      </c>
    </row>
    <row r="197" spans="1:40" x14ac:dyDescent="0.25">
      <c r="A197" t="str">
        <f>"20190312164221232"</f>
        <v>20190312164221232</v>
      </c>
      <c r="B197" t="str">
        <f>"1552380141224041"</f>
        <v>1552380141224041</v>
      </c>
      <c r="C197" t="s">
        <v>40</v>
      </c>
      <c r="D197">
        <v>4.3135770000000004</v>
      </c>
      <c r="E197">
        <v>0.47469879999999998</v>
      </c>
      <c r="F197" t="s">
        <v>43</v>
      </c>
      <c r="G197">
        <v>-433.94170000000003</v>
      </c>
      <c r="H197">
        <v>-0.05</v>
      </c>
      <c r="I197">
        <v>368.67899999999997</v>
      </c>
      <c r="J197">
        <v>-452.22579999999999</v>
      </c>
      <c r="K197">
        <v>1.109127</v>
      </c>
      <c r="L197">
        <v>367.84870000000001</v>
      </c>
      <c r="M197">
        <v>0.99997069999999999</v>
      </c>
      <c r="N197">
        <v>0</v>
      </c>
      <c r="O197">
        <v>7.0125020000000003E-3</v>
      </c>
      <c r="P197">
        <v>0.9874349</v>
      </c>
      <c r="Q197">
        <v>0.155416</v>
      </c>
      <c r="R197">
        <v>-2.8604879999999999E-2</v>
      </c>
      <c r="S197">
        <v>3.0725099999999999</v>
      </c>
      <c r="T197">
        <v>-0.191937</v>
      </c>
      <c r="U197">
        <v>0.13778689999999999</v>
      </c>
      <c r="V197">
        <v>3.5554889999999999E-2</v>
      </c>
      <c r="W197">
        <v>0.15842290000000001</v>
      </c>
      <c r="X197">
        <v>0.98673100000000002</v>
      </c>
      <c r="Y197">
        <v>-3.7733679999999999E-2</v>
      </c>
      <c r="Z197">
        <v>7.3945629999999998E-4</v>
      </c>
      <c r="AA197">
        <v>0.9992875</v>
      </c>
      <c r="AB197">
        <v>25</v>
      </c>
      <c r="AC197">
        <v>18.284099999999899</v>
      </c>
      <c r="AD197">
        <v>-1.159127</v>
      </c>
      <c r="AE197">
        <v>0.83030000000002202</v>
      </c>
      <c r="AF197">
        <v>-0.69925718154795902</v>
      </c>
      <c r="AG197">
        <v>-1.159127</v>
      </c>
      <c r="AH197">
        <v>18.216412366495899</v>
      </c>
      <c r="AI197">
        <v>93.638202132085297</v>
      </c>
      <c r="AJ197">
        <v>92.198282714502795</v>
      </c>
      <c r="AK197">
        <v>18.2666421521389</v>
      </c>
      <c r="AL197">
        <v>80.884632602609997</v>
      </c>
      <c r="AM197">
        <v>87.936353309254102</v>
      </c>
      <c r="AN197">
        <v>1.00000001590416</v>
      </c>
    </row>
    <row r="198" spans="1:40" x14ac:dyDescent="0.25">
      <c r="A198" t="str">
        <f>"20190312164221258"</f>
        <v>20190312164221258</v>
      </c>
      <c r="B198" t="str">
        <f>"1552380141254297"</f>
        <v>1552380141254297</v>
      </c>
      <c r="C198" t="s">
        <v>40</v>
      </c>
      <c r="D198">
        <v>4.3387270000000004</v>
      </c>
      <c r="E198">
        <v>0.4748116</v>
      </c>
      <c r="F198" t="s">
        <v>43</v>
      </c>
      <c r="G198">
        <v>-433.54289999999997</v>
      </c>
      <c r="H198">
        <v>-0.05</v>
      </c>
      <c r="I198">
        <v>368.71699999999998</v>
      </c>
      <c r="J198">
        <v>-451.94400000000002</v>
      </c>
      <c r="K198">
        <v>1.1091230000000001</v>
      </c>
      <c r="L198">
        <v>367.85059999999999</v>
      </c>
      <c r="M198">
        <v>0.99997139999999995</v>
      </c>
      <c r="N198">
        <v>0</v>
      </c>
      <c r="O198">
        <v>6.9127470000000003E-3</v>
      </c>
      <c r="P198">
        <v>0.98741849999999998</v>
      </c>
      <c r="Q198">
        <v>0.1555233</v>
      </c>
      <c r="R198">
        <v>-2.8591120000000001E-2</v>
      </c>
      <c r="S198">
        <v>3.0723569999999998</v>
      </c>
      <c r="T198">
        <v>-0.19061549999999999</v>
      </c>
      <c r="U198">
        <v>0.14279169999999999</v>
      </c>
      <c r="V198">
        <v>3.5444870000000003E-2</v>
      </c>
      <c r="W198">
        <v>0.15857399999999999</v>
      </c>
      <c r="X198">
        <v>0.98671070000000005</v>
      </c>
      <c r="Y198">
        <v>-3.9457300000000001E-2</v>
      </c>
      <c r="Z198">
        <v>7.9395240000000003E-4</v>
      </c>
      <c r="AA198">
        <v>0.99922100000000003</v>
      </c>
      <c r="AB198">
        <v>26</v>
      </c>
      <c r="AC198">
        <v>18.4011</v>
      </c>
      <c r="AD198">
        <v>-1.1591229999999999</v>
      </c>
      <c r="AE198">
        <v>0.86639999999999795</v>
      </c>
      <c r="AF198">
        <v>-0.73626152899707198</v>
      </c>
      <c r="AG198">
        <v>-1.1591229999999999</v>
      </c>
      <c r="AH198">
        <v>18.3340609650317</v>
      </c>
      <c r="AI198">
        <v>93.614655162314605</v>
      </c>
      <c r="AJ198">
        <v>92.299655460961404</v>
      </c>
      <c r="AK198">
        <v>18.385413746709901</v>
      </c>
      <c r="AL198">
        <v>80.875864492748306</v>
      </c>
      <c r="AM198">
        <v>87.942691212356706</v>
      </c>
      <c r="AN198">
        <v>1.0000000288899</v>
      </c>
    </row>
    <row r="199" spans="1:40" x14ac:dyDescent="0.25">
      <c r="A199" t="str">
        <f>"20190312164221278"</f>
        <v>20190312164221278</v>
      </c>
      <c r="B199" t="str">
        <f>"1552380141273817"</f>
        <v>1552380141273817</v>
      </c>
      <c r="C199" t="s">
        <v>40</v>
      </c>
      <c r="D199">
        <v>4.3182400000000003</v>
      </c>
      <c r="E199">
        <v>0.47494570000000003</v>
      </c>
      <c r="F199" t="s">
        <v>43</v>
      </c>
      <c r="G199">
        <v>-432.61939999999998</v>
      </c>
      <c r="H199">
        <v>-0.05</v>
      </c>
      <c r="I199">
        <v>368.73919999999998</v>
      </c>
      <c r="J199">
        <v>-451.7088</v>
      </c>
      <c r="K199">
        <v>1.1091150000000001</v>
      </c>
      <c r="L199">
        <v>367.85210000000001</v>
      </c>
      <c r="M199">
        <v>0.99997190000000002</v>
      </c>
      <c r="N199">
        <v>0</v>
      </c>
      <c r="O199">
        <v>6.82666E-3</v>
      </c>
      <c r="P199">
        <v>0.98758999999999997</v>
      </c>
      <c r="Q199">
        <v>0.15449939999999901</v>
      </c>
      <c r="R199">
        <v>-2.8219129999999999E-2</v>
      </c>
      <c r="S199">
        <v>3.0713499999999998</v>
      </c>
      <c r="T199">
        <v>-0.18422530000000001</v>
      </c>
      <c r="U199">
        <v>0.14123540000000001</v>
      </c>
      <c r="V199">
        <v>3.4990109999999998E-2</v>
      </c>
      <c r="W199">
        <v>0.1575886</v>
      </c>
      <c r="X199">
        <v>0.98688480000000001</v>
      </c>
      <c r="Y199">
        <v>-3.9057870000000001E-2</v>
      </c>
      <c r="Z199">
        <v>7.6083789999999997E-4</v>
      </c>
      <c r="AA199">
        <v>0.99923660000000003</v>
      </c>
      <c r="AB199">
        <v>26</v>
      </c>
      <c r="AC199">
        <v>19.089400000000001</v>
      </c>
      <c r="AD199">
        <v>-1.1591149999999999</v>
      </c>
      <c r="AE199">
        <v>0.88709999999997502</v>
      </c>
      <c r="AF199">
        <v>-0.75398792664895797</v>
      </c>
      <c r="AG199">
        <v>-1.1591149999999999</v>
      </c>
      <c r="AH199">
        <v>19.025017797631499</v>
      </c>
      <c r="AI199">
        <v>93.483755233744802</v>
      </c>
      <c r="AJ199">
        <v>92.269523753435195</v>
      </c>
      <c r="AK199">
        <v>19.075202425582599</v>
      </c>
      <c r="AL199">
        <v>80.933042823743193</v>
      </c>
      <c r="AM199">
        <v>87.969422355893897</v>
      </c>
      <c r="AN199">
        <v>1.0000000415593999</v>
      </c>
    </row>
    <row r="200" spans="1:40" x14ac:dyDescent="0.25">
      <c r="A200" t="str">
        <f>"20190312164221300"</f>
        <v>20190312164221300</v>
      </c>
      <c r="B200" t="str">
        <f>"1552380141294313"</f>
        <v>1552380141294313</v>
      </c>
      <c r="C200" t="s">
        <v>40</v>
      </c>
      <c r="D200">
        <v>4.4658740000000003</v>
      </c>
      <c r="E200">
        <v>0.47503040000000002</v>
      </c>
      <c r="F200" t="s">
        <v>43</v>
      </c>
      <c r="G200">
        <v>-432.5609</v>
      </c>
      <c r="H200">
        <v>-0.05</v>
      </c>
      <c r="I200">
        <v>368.72710000000001</v>
      </c>
      <c r="J200">
        <v>-451.45209999999997</v>
      </c>
      <c r="K200">
        <v>1.109116</v>
      </c>
      <c r="L200">
        <v>367.85379999999998</v>
      </c>
      <c r="M200">
        <v>0.99997230000000004</v>
      </c>
      <c r="N200">
        <v>0</v>
      </c>
      <c r="O200">
        <v>6.7309709999999997E-3</v>
      </c>
      <c r="P200">
        <v>0.9877338</v>
      </c>
      <c r="Q200">
        <v>0.1535705</v>
      </c>
      <c r="R200">
        <v>-2.8251800000000001E-2</v>
      </c>
      <c r="S200">
        <v>3.0708009999999999</v>
      </c>
      <c r="T200">
        <v>-0.18589079999999999</v>
      </c>
      <c r="U200">
        <v>0.14031979999999999</v>
      </c>
      <c r="V200">
        <v>3.4930170000000003E-2</v>
      </c>
      <c r="W200">
        <v>0.15670229999999999</v>
      </c>
      <c r="X200">
        <v>0.98702800000000002</v>
      </c>
      <c r="Y200">
        <v>-3.8863509999999997E-2</v>
      </c>
      <c r="Z200">
        <v>7.6775469999999996E-4</v>
      </c>
      <c r="AA200">
        <v>0.99924420000000003</v>
      </c>
      <c r="AB200">
        <v>26</v>
      </c>
      <c r="AC200">
        <v>18.891199999999898</v>
      </c>
      <c r="AD200">
        <v>-1.159116</v>
      </c>
      <c r="AE200">
        <v>0.87330000000002805</v>
      </c>
      <c r="AF200">
        <v>-0.74333097715936802</v>
      </c>
      <c r="AG200">
        <v>-1.159116</v>
      </c>
      <c r="AH200">
        <v>18.825926698955801</v>
      </c>
      <c r="AI200">
        <v>93.520528463054205</v>
      </c>
      <c r="AJ200">
        <v>92.261116617796603</v>
      </c>
      <c r="AK200">
        <v>18.876218024739899</v>
      </c>
      <c r="AL200">
        <v>80.984462567603103</v>
      </c>
      <c r="AM200">
        <v>87.973191794315596</v>
      </c>
      <c r="AN200">
        <v>1.00000000019275</v>
      </c>
    </row>
    <row r="201" spans="1:40" x14ac:dyDescent="0.25">
      <c r="A201" t="str">
        <f>"20190312164221322"</f>
        <v>20190312164221322</v>
      </c>
      <c r="B201" t="str">
        <f>"1552380141313832"</f>
        <v>1552380141313832</v>
      </c>
      <c r="C201" t="s">
        <v>40</v>
      </c>
      <c r="D201">
        <v>4.5696440000000003</v>
      </c>
      <c r="E201">
        <v>0.47519359999999999</v>
      </c>
      <c r="F201" t="s">
        <v>43</v>
      </c>
      <c r="G201">
        <v>-432.6422</v>
      </c>
      <c r="H201">
        <v>-0.05</v>
      </c>
      <c r="I201">
        <v>368.70510000000002</v>
      </c>
      <c r="J201">
        <v>-451.18680000000001</v>
      </c>
      <c r="K201">
        <v>1.1091150000000001</v>
      </c>
      <c r="L201">
        <v>367.85550000000001</v>
      </c>
      <c r="M201">
        <v>0.99997290000000005</v>
      </c>
      <c r="N201">
        <v>0</v>
      </c>
      <c r="O201">
        <v>6.6311080000000001E-3</v>
      </c>
      <c r="P201">
        <v>0.98780250000000003</v>
      </c>
      <c r="Q201">
        <v>0.1531565</v>
      </c>
      <c r="R201">
        <v>-2.8097440000000001E-2</v>
      </c>
      <c r="S201">
        <v>3.0706479999999998</v>
      </c>
      <c r="T201">
        <v>-0.18922130000000001</v>
      </c>
      <c r="U201">
        <v>0.13897709999999999</v>
      </c>
      <c r="V201">
        <v>3.467837E-2</v>
      </c>
      <c r="W201">
        <v>0.1563322</v>
      </c>
      <c r="X201">
        <v>0.98709559999999996</v>
      </c>
      <c r="Y201">
        <v>-3.8527829999999999E-2</v>
      </c>
      <c r="Z201">
        <v>7.7734720000000002E-4</v>
      </c>
      <c r="AA201">
        <v>0.99925719999999996</v>
      </c>
      <c r="AB201">
        <v>26</v>
      </c>
      <c r="AC201">
        <v>18.544599999999999</v>
      </c>
      <c r="AD201">
        <v>-1.1591149999999999</v>
      </c>
      <c r="AE201">
        <v>0.84960000000000901</v>
      </c>
      <c r="AF201">
        <v>-0.723787695004386</v>
      </c>
      <c r="AG201">
        <v>-1.1591149999999999</v>
      </c>
      <c r="AH201">
        <v>18.477788776310501</v>
      </c>
      <c r="AI201">
        <v>93.586727771610299</v>
      </c>
      <c r="AJ201">
        <v>92.243168296372701</v>
      </c>
      <c r="AK201">
        <v>18.5282512470177</v>
      </c>
      <c r="AL201">
        <v>81.005932659945699</v>
      </c>
      <c r="AM201">
        <v>87.987928017913603</v>
      </c>
      <c r="AN201">
        <v>1.0000000348210201</v>
      </c>
    </row>
    <row r="202" spans="1:40" x14ac:dyDescent="0.25">
      <c r="A202" t="str">
        <f>"20190312164221345"</f>
        <v>20190312164221345</v>
      </c>
      <c r="B202" t="str">
        <f>"1552380141334329"</f>
        <v>1552380141334329</v>
      </c>
      <c r="C202" t="s">
        <v>40</v>
      </c>
      <c r="D202">
        <v>4.3961519999999998</v>
      </c>
      <c r="E202">
        <v>0.47520430000000002</v>
      </c>
      <c r="F202" t="s">
        <v>43</v>
      </c>
      <c r="G202">
        <v>-432.3306</v>
      </c>
      <c r="H202">
        <v>-0.05</v>
      </c>
      <c r="I202">
        <v>368.70639999999997</v>
      </c>
      <c r="J202">
        <v>-450.9203</v>
      </c>
      <c r="K202">
        <v>1.109113</v>
      </c>
      <c r="L202">
        <v>367.8571</v>
      </c>
      <c r="M202">
        <v>0.99997340000000001</v>
      </c>
      <c r="N202">
        <v>0</v>
      </c>
      <c r="O202">
        <v>6.5303509999999898E-3</v>
      </c>
      <c r="P202">
        <v>0.98787049999999998</v>
      </c>
      <c r="Q202">
        <v>0.15268399999999999</v>
      </c>
      <c r="R202">
        <v>-2.828079E-2</v>
      </c>
      <c r="S202">
        <v>3.0702820000000002</v>
      </c>
      <c r="T202">
        <v>-0.18873390000000001</v>
      </c>
      <c r="U202">
        <v>0.138549799999999</v>
      </c>
      <c r="V202">
        <v>3.476332E-2</v>
      </c>
      <c r="W202">
        <v>0.1559035</v>
      </c>
      <c r="X202">
        <v>0.98716040000000005</v>
      </c>
      <c r="Y202">
        <v>-3.8495290000000001E-2</v>
      </c>
      <c r="Z202">
        <v>7.8062929999999904E-4</v>
      </c>
      <c r="AA202">
        <v>0.99925850000000005</v>
      </c>
      <c r="AB202">
        <v>26</v>
      </c>
      <c r="AC202">
        <v>18.589700000000001</v>
      </c>
      <c r="AD202">
        <v>-1.1591129999999901</v>
      </c>
      <c r="AE202">
        <v>0.84929999999997097</v>
      </c>
      <c r="AF202">
        <v>-0.72507090592394396</v>
      </c>
      <c r="AG202">
        <v>-1.1591129999999901</v>
      </c>
      <c r="AH202">
        <v>18.5229857233441</v>
      </c>
      <c r="AI202">
        <v>93.577996264162806</v>
      </c>
      <c r="AJ202">
        <v>92.241663631521007</v>
      </c>
      <c r="AK202">
        <v>18.573375322557698</v>
      </c>
      <c r="AL202">
        <v>81.030800164670396</v>
      </c>
      <c r="AM202">
        <v>87.983135496367296</v>
      </c>
      <c r="AN202">
        <v>1.0000000225289101</v>
      </c>
    </row>
    <row r="203" spans="1:40" x14ac:dyDescent="0.25">
      <c r="A203" t="str">
        <f>"20190312164221366"</f>
        <v>20190312164221366</v>
      </c>
      <c r="B203" t="str">
        <f>"1552380141353848"</f>
        <v>1552380141353848</v>
      </c>
      <c r="C203" t="s">
        <v>40</v>
      </c>
      <c r="D203">
        <v>4.3867379999999896</v>
      </c>
      <c r="E203">
        <v>0.47512510000000002</v>
      </c>
      <c r="F203" t="s">
        <v>43</v>
      </c>
      <c r="G203">
        <v>-432.24639999999999</v>
      </c>
      <c r="H203">
        <v>-0.05</v>
      </c>
      <c r="I203">
        <v>368.69940000000003</v>
      </c>
      <c r="J203">
        <v>-450.661</v>
      </c>
      <c r="K203">
        <v>1.1091040000000001</v>
      </c>
      <c r="L203">
        <v>367.8587</v>
      </c>
      <c r="M203">
        <v>0.99997400000000003</v>
      </c>
      <c r="N203">
        <v>0</v>
      </c>
      <c r="O203">
        <v>6.4328129999999999E-3</v>
      </c>
      <c r="P203">
        <v>0.98799170000000003</v>
      </c>
      <c r="Q203">
        <v>0.15196970000000001</v>
      </c>
      <c r="R203">
        <v>-2.789637E-2</v>
      </c>
      <c r="S203">
        <v>3.0702210000000001</v>
      </c>
      <c r="T203">
        <v>-0.1905731</v>
      </c>
      <c r="U203">
        <v>0.1384888</v>
      </c>
      <c r="V203">
        <v>3.428382E-2</v>
      </c>
      <c r="W203">
        <v>0.1552328</v>
      </c>
      <c r="X203">
        <v>0.98728280000000002</v>
      </c>
      <c r="Y203">
        <v>-3.857232E-2</v>
      </c>
      <c r="Z203">
        <v>7.9666950000000002E-4</v>
      </c>
      <c r="AA203">
        <v>0.99925549999999996</v>
      </c>
      <c r="AB203">
        <v>26</v>
      </c>
      <c r="AC203">
        <v>18.4146</v>
      </c>
      <c r="AD203">
        <v>-1.1591039999999999</v>
      </c>
      <c r="AE203">
        <v>0.84070000000002598</v>
      </c>
      <c r="AF203">
        <v>-0.71938000486634901</v>
      </c>
      <c r="AG203">
        <v>-1.1591039999999999</v>
      </c>
      <c r="AH203">
        <v>18.3470861554339</v>
      </c>
      <c r="AI203">
        <v>93.612172151551405</v>
      </c>
      <c r="AJ203">
        <v>92.245388445174598</v>
      </c>
      <c r="AK203">
        <v>18.3977335579449</v>
      </c>
      <c r="AL203">
        <v>81.069701548902003</v>
      </c>
      <c r="AM203">
        <v>88.011178558918601</v>
      </c>
      <c r="AN203">
        <v>0.99999996484273501</v>
      </c>
    </row>
    <row r="204" spans="1:40" x14ac:dyDescent="0.25">
      <c r="A204" t="str">
        <f>"20190312164221388"</f>
        <v>20190312164221388</v>
      </c>
      <c r="B204" t="str">
        <f>"1552380141384105"</f>
        <v>1552380141384105</v>
      </c>
      <c r="C204" t="s">
        <v>40</v>
      </c>
      <c r="D204">
        <v>4.4106350000000001</v>
      </c>
      <c r="E204">
        <v>0.47536669999999998</v>
      </c>
      <c r="F204" t="s">
        <v>43</v>
      </c>
      <c r="G204">
        <v>-432.38339999999999</v>
      </c>
      <c r="H204">
        <v>-0.05</v>
      </c>
      <c r="I204">
        <v>368.69450000000001</v>
      </c>
      <c r="J204">
        <v>-450.40039999999999</v>
      </c>
      <c r="K204">
        <v>1.1091</v>
      </c>
      <c r="L204">
        <v>367.86040000000003</v>
      </c>
      <c r="M204">
        <v>0.99997440000000004</v>
      </c>
      <c r="N204">
        <v>0</v>
      </c>
      <c r="O204">
        <v>6.3347380000000003E-3</v>
      </c>
      <c r="P204">
        <v>0.98821570000000003</v>
      </c>
      <c r="Q204">
        <v>0.1505087</v>
      </c>
      <c r="R204">
        <v>-2.787504E-2</v>
      </c>
      <c r="S204">
        <v>3.0704039999999999</v>
      </c>
      <c r="T204">
        <v>-0.19471450000000001</v>
      </c>
      <c r="U204">
        <v>0.14041139999999999</v>
      </c>
      <c r="V204">
        <v>3.4167349999999999E-2</v>
      </c>
      <c r="W204">
        <v>0.15381619999999999</v>
      </c>
      <c r="X204">
        <v>0.98750859999999996</v>
      </c>
      <c r="Y204">
        <v>-3.9287710000000003E-2</v>
      </c>
      <c r="Z204">
        <v>8.4274729999999905E-4</v>
      </c>
      <c r="AA204">
        <v>0.99922759999999999</v>
      </c>
      <c r="AB204">
        <v>27</v>
      </c>
      <c r="AC204">
        <v>18.016999999999999</v>
      </c>
      <c r="AD204">
        <v>-1.1591</v>
      </c>
      <c r="AE204">
        <v>0.83409999999997797</v>
      </c>
      <c r="AF204">
        <v>-0.71698851546625098</v>
      </c>
      <c r="AG204">
        <v>-1.1591</v>
      </c>
      <c r="AH204">
        <v>17.9477984297497</v>
      </c>
      <c r="AI204">
        <v>93.692192625355403</v>
      </c>
      <c r="AJ204">
        <v>92.287666853904796</v>
      </c>
      <c r="AK204">
        <v>17.9994737094238</v>
      </c>
      <c r="AL204">
        <v>81.151854100142899</v>
      </c>
      <c r="AM204">
        <v>88.018382494597105</v>
      </c>
      <c r="AN204">
        <v>1.00000003313121</v>
      </c>
    </row>
    <row r="205" spans="1:40" x14ac:dyDescent="0.25">
      <c r="A205" t="str">
        <f>"20190312164221412"</f>
        <v>20190312164221412</v>
      </c>
      <c r="B205" t="str">
        <f>"1552380141403624"</f>
        <v>1552380141403624</v>
      </c>
      <c r="C205" t="s">
        <v>40</v>
      </c>
      <c r="D205">
        <v>4.3747769999999999</v>
      </c>
      <c r="E205">
        <v>0.47553250000000002</v>
      </c>
      <c r="F205" t="s">
        <v>43</v>
      </c>
      <c r="G205">
        <v>-432.44920000000002</v>
      </c>
      <c r="H205">
        <v>-0.05</v>
      </c>
      <c r="I205">
        <v>368.67070000000001</v>
      </c>
      <c r="J205">
        <v>-450.11270000000002</v>
      </c>
      <c r="K205">
        <v>1.1090960000000001</v>
      </c>
      <c r="L205">
        <v>367.86200000000002</v>
      </c>
      <c r="M205">
        <v>0.9999749</v>
      </c>
      <c r="N205">
        <v>0</v>
      </c>
      <c r="O205">
        <v>6.2265810000000001E-3</v>
      </c>
      <c r="P205">
        <v>0.98844810000000005</v>
      </c>
      <c r="Q205">
        <v>0.14905969999999999</v>
      </c>
      <c r="R205">
        <v>-2.7419530000000001E-2</v>
      </c>
      <c r="S205">
        <v>3.0699160000000001</v>
      </c>
      <c r="T205">
        <v>-0.1982226</v>
      </c>
      <c r="U205">
        <v>0.13858029999999999</v>
      </c>
      <c r="V205">
        <v>3.3606659999999997E-2</v>
      </c>
      <c r="W205">
        <v>0.15241669999999999</v>
      </c>
      <c r="X205">
        <v>0.98774470000000003</v>
      </c>
      <c r="Y205">
        <v>-3.8806630000000002E-2</v>
      </c>
      <c r="Z205">
        <v>8.4951160000000005E-4</v>
      </c>
      <c r="AA205">
        <v>0.99924639999999998</v>
      </c>
      <c r="AB205">
        <v>27</v>
      </c>
      <c r="AC205">
        <v>17.663499999999999</v>
      </c>
      <c r="AD205">
        <v>-1.1590959999999999</v>
      </c>
      <c r="AE205">
        <v>0.80870000000004405</v>
      </c>
      <c r="AF205">
        <v>-0.69571093841183496</v>
      </c>
      <c r="AG205">
        <v>-1.1590959999999999</v>
      </c>
      <c r="AH205">
        <v>17.592595828326498</v>
      </c>
      <c r="AI205">
        <v>93.766574306802497</v>
      </c>
      <c r="AJ205">
        <v>92.264619799991806</v>
      </c>
      <c r="AK205">
        <v>17.644459335040299</v>
      </c>
      <c r="AL205">
        <v>81.232995411618504</v>
      </c>
      <c r="AM205">
        <v>88.051341304563707</v>
      </c>
      <c r="AN205">
        <v>0.99999992520666503</v>
      </c>
    </row>
    <row r="206" spans="1:40" x14ac:dyDescent="0.25">
      <c r="A206" t="str">
        <f>"20190312164221433"</f>
        <v>20190312164221433</v>
      </c>
      <c r="B206" t="str">
        <f>"1552380141424122"</f>
        <v>1552380141424122</v>
      </c>
      <c r="C206" t="s">
        <v>40</v>
      </c>
      <c r="D206">
        <v>4.3943849999999998</v>
      </c>
      <c r="E206">
        <v>0.47565499999999999</v>
      </c>
      <c r="F206" t="s">
        <v>43</v>
      </c>
      <c r="G206">
        <v>-432.45620000000002</v>
      </c>
      <c r="H206">
        <v>-0.05</v>
      </c>
      <c r="I206">
        <v>368.65910000000002</v>
      </c>
      <c r="J206">
        <v>-449.8449</v>
      </c>
      <c r="K206">
        <v>1.109097</v>
      </c>
      <c r="L206">
        <v>367.86360000000002</v>
      </c>
      <c r="M206">
        <v>0.99997519999999995</v>
      </c>
      <c r="N206">
        <v>0</v>
      </c>
      <c r="O206">
        <v>6.125821E-3</v>
      </c>
      <c r="P206">
        <v>0.98857819999999996</v>
      </c>
      <c r="Q206">
        <v>0.14823349999999999</v>
      </c>
      <c r="R206">
        <v>-2.7199580000000001E-2</v>
      </c>
      <c r="S206">
        <v>3.0692439999999999</v>
      </c>
      <c r="T206">
        <v>-0.20148720000000001</v>
      </c>
      <c r="U206">
        <v>0.138549799999999</v>
      </c>
      <c r="V206">
        <v>3.3288150000000002E-2</v>
      </c>
      <c r="W206">
        <v>0.15163570000000001</v>
      </c>
      <c r="X206">
        <v>0.98787579999999997</v>
      </c>
      <c r="Y206">
        <v>-3.8904540000000001E-2</v>
      </c>
      <c r="Z206">
        <v>8.7347289999999903E-4</v>
      </c>
      <c r="AA206">
        <v>0.99924250000000003</v>
      </c>
      <c r="AB206">
        <v>27</v>
      </c>
      <c r="AC206">
        <v>17.388699999999901</v>
      </c>
      <c r="AD206">
        <v>-1.159097</v>
      </c>
      <c r="AE206">
        <v>0.79550000000000398</v>
      </c>
      <c r="AF206">
        <v>-0.68592297304327499</v>
      </c>
      <c r="AG206">
        <v>-1.159097</v>
      </c>
      <c r="AH206">
        <v>17.316465349894798</v>
      </c>
      <c r="AI206">
        <v>93.826452962241106</v>
      </c>
      <c r="AJ206">
        <v>92.268358776832699</v>
      </c>
      <c r="AK206">
        <v>17.368764158525099</v>
      </c>
      <c r="AL206">
        <v>81.278270687769094</v>
      </c>
      <c r="AM206">
        <v>88.070051809026793</v>
      </c>
      <c r="AN206">
        <v>1.0000000413352701</v>
      </c>
    </row>
    <row r="207" spans="1:40" x14ac:dyDescent="0.25">
      <c r="A207" t="str">
        <f>"20190312164221458"</f>
        <v>20190312164221458</v>
      </c>
      <c r="B207" t="str">
        <f>"1552380141454377"</f>
        <v>1552380141454377</v>
      </c>
      <c r="C207" t="s">
        <v>40</v>
      </c>
      <c r="D207">
        <v>4.3295960000000004</v>
      </c>
      <c r="E207">
        <v>0.4756804</v>
      </c>
      <c r="F207" t="s">
        <v>43</v>
      </c>
      <c r="G207">
        <v>-432.29230000000001</v>
      </c>
      <c r="H207">
        <v>-0.05</v>
      </c>
      <c r="I207">
        <v>368.65460000000002</v>
      </c>
      <c r="J207">
        <v>-449.5575</v>
      </c>
      <c r="K207">
        <v>1.109091</v>
      </c>
      <c r="L207">
        <v>367.86520000000002</v>
      </c>
      <c r="M207">
        <v>0.99997579999999997</v>
      </c>
      <c r="N207">
        <v>0</v>
      </c>
      <c r="O207">
        <v>6.0174829999999997E-3</v>
      </c>
      <c r="P207">
        <v>0.98858900000000005</v>
      </c>
      <c r="Q207">
        <v>0.14818729999999999</v>
      </c>
      <c r="R207">
        <v>-2.7061290000000002E-2</v>
      </c>
      <c r="S207">
        <v>3.068848</v>
      </c>
      <c r="T207">
        <v>-0.20265320000000001</v>
      </c>
      <c r="U207">
        <v>0.1383057</v>
      </c>
      <c r="V207">
        <v>3.3043120000000002E-2</v>
      </c>
      <c r="W207">
        <v>0.15163859999999901</v>
      </c>
      <c r="X207">
        <v>0.98788359999999997</v>
      </c>
      <c r="Y207">
        <v>-3.8938140000000003E-2</v>
      </c>
      <c r="Z207">
        <v>8.8688129999999995E-4</v>
      </c>
      <c r="AA207">
        <v>0.99924120000000005</v>
      </c>
      <c r="AB207">
        <v>27</v>
      </c>
      <c r="AC207">
        <v>17.265199999999901</v>
      </c>
      <c r="AD207">
        <v>-1.1590910000000001</v>
      </c>
      <c r="AE207">
        <v>0.78939999999999999</v>
      </c>
      <c r="AF207">
        <v>-0.68242273366264505</v>
      </c>
      <c r="AG207">
        <v>-1.1590910000000001</v>
      </c>
      <c r="AH207">
        <v>17.192312766375601</v>
      </c>
      <c r="AI207">
        <v>93.853969903095305</v>
      </c>
      <c r="AJ207">
        <v>92.273075616661401</v>
      </c>
      <c r="AK207">
        <v>17.244848824810902</v>
      </c>
      <c r="AL207">
        <v>81.278102749915902</v>
      </c>
      <c r="AM207">
        <v>88.084262411519106</v>
      </c>
      <c r="AN207">
        <v>1.0000000599691199</v>
      </c>
    </row>
    <row r="208" spans="1:40" x14ac:dyDescent="0.25">
      <c r="A208" t="str">
        <f>"20190312164221476"</f>
        <v>20190312164221476</v>
      </c>
      <c r="B208" t="str">
        <f>"1552380141464140"</f>
        <v>1552380141464140</v>
      </c>
      <c r="C208" t="s">
        <v>40</v>
      </c>
      <c r="D208">
        <v>4.4135269999999904</v>
      </c>
      <c r="E208">
        <v>0.4757345</v>
      </c>
      <c r="F208" t="s">
        <v>43</v>
      </c>
      <c r="G208">
        <v>-431.98439999999999</v>
      </c>
      <c r="H208">
        <v>-0.05</v>
      </c>
      <c r="I208">
        <v>368.65940000000001</v>
      </c>
      <c r="J208">
        <v>-449.32749999999999</v>
      </c>
      <c r="K208">
        <v>1.109084</v>
      </c>
      <c r="L208">
        <v>367.86649999999997</v>
      </c>
      <c r="M208">
        <v>0.99997619999999998</v>
      </c>
      <c r="N208">
        <v>0</v>
      </c>
      <c r="O208">
        <v>5.9310379999999996E-3</v>
      </c>
      <c r="P208">
        <v>0.98873509999999998</v>
      </c>
      <c r="Q208">
        <v>0.14717769999999999</v>
      </c>
      <c r="R208">
        <v>-2.723223E-2</v>
      </c>
      <c r="S208">
        <v>3.0687259999999998</v>
      </c>
      <c r="T208">
        <v>-0.20240720000000001</v>
      </c>
      <c r="U208">
        <v>0.13867189999999999</v>
      </c>
      <c r="V208">
        <v>3.3129649999999997E-2</v>
      </c>
      <c r="W208">
        <v>0.15066849999999901</v>
      </c>
      <c r="X208">
        <v>0.98802909999999999</v>
      </c>
      <c r="Y208">
        <v>-3.9144850000000002E-2</v>
      </c>
      <c r="Z208">
        <v>8.9833879999999999E-4</v>
      </c>
      <c r="AA208">
        <v>0.99923309999999999</v>
      </c>
      <c r="AB208">
        <v>27</v>
      </c>
      <c r="AC208">
        <v>17.3430999999999</v>
      </c>
      <c r="AD208">
        <v>-1.159084</v>
      </c>
      <c r="AE208">
        <v>0.79290000000003102</v>
      </c>
      <c r="AF208">
        <v>-0.68696085530027895</v>
      </c>
      <c r="AG208">
        <v>-1.159084</v>
      </c>
      <c r="AH208">
        <v>17.2705182296143</v>
      </c>
      <c r="AI208">
        <v>93.836534648386902</v>
      </c>
      <c r="AJ208">
        <v>92.277825066224693</v>
      </c>
      <c r="AK208">
        <v>17.322996012676601</v>
      </c>
      <c r="AL208">
        <v>81.334331230849301</v>
      </c>
      <c r="AM208">
        <v>88.079532066838198</v>
      </c>
      <c r="AN208">
        <v>1.00000003652409</v>
      </c>
    </row>
    <row r="209" spans="1:40" x14ac:dyDescent="0.25">
      <c r="A209" t="str">
        <f>"20190312164221500"</f>
        <v>20190312164221500</v>
      </c>
      <c r="B209" t="str">
        <f>"1552380141494393"</f>
        <v>1552380141494393</v>
      </c>
      <c r="C209" t="s">
        <v>40</v>
      </c>
      <c r="D209">
        <v>4.4863109999999997</v>
      </c>
      <c r="E209">
        <v>0.47592679999999998</v>
      </c>
      <c r="F209" t="s">
        <v>43</v>
      </c>
      <c r="G209">
        <v>-432.03629999999998</v>
      </c>
      <c r="H209">
        <v>-0.05</v>
      </c>
      <c r="I209">
        <v>368.64069999999998</v>
      </c>
      <c r="J209">
        <v>-449.04759999999999</v>
      </c>
      <c r="K209">
        <v>1.109073</v>
      </c>
      <c r="L209">
        <v>367.86810000000003</v>
      </c>
      <c r="M209">
        <v>0.99997650000000005</v>
      </c>
      <c r="N209">
        <v>0</v>
      </c>
      <c r="O209">
        <v>5.8258590000000001E-3</v>
      </c>
      <c r="P209">
        <v>0.98895940000000004</v>
      </c>
      <c r="Q209">
        <v>0.14573610000000001</v>
      </c>
      <c r="R209">
        <v>-2.6842000000000001E-2</v>
      </c>
      <c r="S209">
        <v>3.0685419999999999</v>
      </c>
      <c r="T209">
        <v>-0.20569480000000001</v>
      </c>
      <c r="U209">
        <v>0.13739009999999999</v>
      </c>
      <c r="V209">
        <v>3.2636680000000001E-2</v>
      </c>
      <c r="W209">
        <v>0.1492754</v>
      </c>
      <c r="X209">
        <v>0.98825689999999999</v>
      </c>
      <c r="Y209">
        <v>-3.8834189999999998E-2</v>
      </c>
      <c r="Z209">
        <v>9.096032E-4</v>
      </c>
      <c r="AA209">
        <v>0.99924519999999994</v>
      </c>
      <c r="AB209">
        <v>27</v>
      </c>
      <c r="AC209">
        <v>17.011299999999999</v>
      </c>
      <c r="AD209">
        <v>-1.159073</v>
      </c>
      <c r="AE209">
        <v>0.77259999999995399</v>
      </c>
      <c r="AF209">
        <v>-0.67037503456464997</v>
      </c>
      <c r="AG209">
        <v>-1.159073</v>
      </c>
      <c r="AH209">
        <v>16.9370449844482</v>
      </c>
      <c r="AI209">
        <v>93.911833144492704</v>
      </c>
      <c r="AJ209">
        <v>92.266606802437806</v>
      </c>
      <c r="AK209">
        <v>16.989889514400002</v>
      </c>
      <c r="AL209">
        <v>81.415062718637998</v>
      </c>
      <c r="AM209">
        <v>88.108523534442597</v>
      </c>
      <c r="AN209">
        <v>0.99999999916209603</v>
      </c>
    </row>
    <row r="210" spans="1:40" x14ac:dyDescent="0.25">
      <c r="A210" t="str">
        <f>"20190312164221522"</f>
        <v>20190312164221522</v>
      </c>
      <c r="B210" t="str">
        <f>"1552380141513913"</f>
        <v>1552380141513913</v>
      </c>
      <c r="C210" t="s">
        <v>40</v>
      </c>
      <c r="D210">
        <v>4.4685230000000002</v>
      </c>
      <c r="E210">
        <v>0.47606209999999999</v>
      </c>
      <c r="F210" t="s">
        <v>43</v>
      </c>
      <c r="G210">
        <v>-432.00970000000001</v>
      </c>
      <c r="H210">
        <v>-0.05</v>
      </c>
      <c r="I210">
        <v>368.62599999999998</v>
      </c>
      <c r="J210">
        <v>-448.76620000000003</v>
      </c>
      <c r="K210">
        <v>1.1090690000000001</v>
      </c>
      <c r="L210">
        <v>367.86959999999999</v>
      </c>
      <c r="M210">
        <v>0.99997709999999995</v>
      </c>
      <c r="N210">
        <v>0</v>
      </c>
      <c r="O210">
        <v>5.7197250000000002E-3</v>
      </c>
      <c r="P210">
        <v>0.98908450000000003</v>
      </c>
      <c r="Q210">
        <v>0.14499310000000001</v>
      </c>
      <c r="R210">
        <v>-2.625104E-2</v>
      </c>
      <c r="S210">
        <v>3.0680239999999999</v>
      </c>
      <c r="T210">
        <v>-0.2087146</v>
      </c>
      <c r="U210">
        <v>0.1364746</v>
      </c>
      <c r="V210">
        <v>3.1941789999999998E-2</v>
      </c>
      <c r="W210">
        <v>0.1485813</v>
      </c>
      <c r="X210">
        <v>0.98838419999999905</v>
      </c>
      <c r="Y210">
        <v>-3.8648179999999997E-2</v>
      </c>
      <c r="Z210">
        <v>9.2397900000000001E-4</v>
      </c>
      <c r="AA210">
        <v>0.99925240000000004</v>
      </c>
      <c r="AB210">
        <v>27</v>
      </c>
      <c r="AC210">
        <v>16.756499999999999</v>
      </c>
      <c r="AD210">
        <v>-1.1590689999999999</v>
      </c>
      <c r="AE210">
        <v>0.75639999999998497</v>
      </c>
      <c r="AF210">
        <v>-0.65740535680702605</v>
      </c>
      <c r="AG210">
        <v>-1.1590689999999999</v>
      </c>
      <c r="AH210">
        <v>16.680902021998701</v>
      </c>
      <c r="AI210">
        <v>93.971723194184804</v>
      </c>
      <c r="AJ210">
        <v>92.256896494384307</v>
      </c>
      <c r="AK210">
        <v>16.7340406064238</v>
      </c>
      <c r="AL210">
        <v>81.455280265522404</v>
      </c>
      <c r="AM210">
        <v>88.149006199408603</v>
      </c>
      <c r="AN210">
        <v>1.0000000037338601</v>
      </c>
    </row>
    <row r="211" spans="1:40" x14ac:dyDescent="0.25">
      <c r="A211" t="str">
        <f>"20190312164221545"</f>
        <v>20190312164221545</v>
      </c>
      <c r="B211" t="str">
        <f>"1552380141534412"</f>
        <v>1552380141534412</v>
      </c>
      <c r="C211" t="s">
        <v>40</v>
      </c>
      <c r="D211">
        <v>4.2761469999999999</v>
      </c>
      <c r="E211">
        <v>0.47618850000000001</v>
      </c>
      <c r="F211" t="s">
        <v>43</v>
      </c>
      <c r="G211">
        <v>-431.84820000000002</v>
      </c>
      <c r="H211">
        <v>-0.05</v>
      </c>
      <c r="I211">
        <v>368.62650000000002</v>
      </c>
      <c r="J211">
        <v>-448.47800000000001</v>
      </c>
      <c r="K211">
        <v>1.109065</v>
      </c>
      <c r="L211">
        <v>367.87119999999999</v>
      </c>
      <c r="M211">
        <v>0.99997749999999996</v>
      </c>
      <c r="N211">
        <v>0</v>
      </c>
      <c r="O211">
        <v>5.6116789999999996E-3</v>
      </c>
      <c r="P211">
        <v>0.989178</v>
      </c>
      <c r="Q211">
        <v>0.1444983</v>
      </c>
      <c r="R211">
        <v>-2.5439429999999999E-2</v>
      </c>
      <c r="S211">
        <v>3.067596</v>
      </c>
      <c r="T211">
        <v>-0.21016380000000001</v>
      </c>
      <c r="U211">
        <v>0.13723750000000001</v>
      </c>
      <c r="V211">
        <v>3.102398E-2</v>
      </c>
      <c r="W211">
        <v>0.1481362</v>
      </c>
      <c r="X211">
        <v>0.98848029999999998</v>
      </c>
      <c r="Y211">
        <v>-3.9008170000000002E-2</v>
      </c>
      <c r="Z211">
        <v>9.5020439999999999E-4</v>
      </c>
      <c r="AA211">
        <v>0.99923839999999997</v>
      </c>
      <c r="AB211">
        <v>28</v>
      </c>
      <c r="AC211">
        <v>16.6297999999999</v>
      </c>
      <c r="AD211">
        <v>-1.159065</v>
      </c>
      <c r="AE211">
        <v>0.75530000000003295</v>
      </c>
      <c r="AF211">
        <v>-0.658772764993797</v>
      </c>
      <c r="AG211">
        <v>-1.159065</v>
      </c>
      <c r="AH211">
        <v>16.553528138901601</v>
      </c>
      <c r="AI211">
        <v>94.002110715003596</v>
      </c>
      <c r="AJ211">
        <v>92.278969858722505</v>
      </c>
      <c r="AK211">
        <v>16.607128200731498</v>
      </c>
      <c r="AL211">
        <v>81.481068496744101</v>
      </c>
      <c r="AM211">
        <v>88.202331594087795</v>
      </c>
      <c r="AN211">
        <v>1.00000006228678</v>
      </c>
    </row>
    <row r="212" spans="1:40" x14ac:dyDescent="0.25">
      <c r="A212" t="str">
        <f>"20190312164221566"</f>
        <v>20190312164221566</v>
      </c>
      <c r="B212" t="str">
        <f>"1552380141563689"</f>
        <v>1552380141563689</v>
      </c>
      <c r="C212" t="s">
        <v>40</v>
      </c>
      <c r="D212">
        <v>4.2982860000000001</v>
      </c>
      <c r="E212">
        <v>0.47634389999999999</v>
      </c>
      <c r="F212" t="s">
        <v>43</v>
      </c>
      <c r="G212">
        <v>-431.61130000000003</v>
      </c>
      <c r="H212">
        <v>-0.05</v>
      </c>
      <c r="I212">
        <v>368.63130000000001</v>
      </c>
      <c r="J212">
        <v>-448.20760000000001</v>
      </c>
      <c r="K212">
        <v>1.1090719999999901</v>
      </c>
      <c r="L212">
        <v>367.87259999999998</v>
      </c>
      <c r="M212">
        <v>0.99997789999999998</v>
      </c>
      <c r="N212">
        <v>0</v>
      </c>
      <c r="O212">
        <v>5.5112080000000001E-3</v>
      </c>
      <c r="P212">
        <v>0.98928769999999999</v>
      </c>
      <c r="Q212">
        <v>0.14388219999999999</v>
      </c>
      <c r="R212">
        <v>-2.4666460000000001E-2</v>
      </c>
      <c r="S212">
        <v>3.0671689999999998</v>
      </c>
      <c r="T212">
        <v>-0.21077319999999999</v>
      </c>
      <c r="U212">
        <v>0.1382446</v>
      </c>
      <c r="V212">
        <v>3.0152350000000001E-2</v>
      </c>
      <c r="W212">
        <v>0.147567</v>
      </c>
      <c r="X212">
        <v>0.98859229999999998</v>
      </c>
      <c r="Y212">
        <v>-3.9440490000000002E-2</v>
      </c>
      <c r="Z212">
        <v>9.7480009999999998E-4</v>
      </c>
      <c r="AA212">
        <v>0.99922140000000004</v>
      </c>
      <c r="AB212">
        <v>28</v>
      </c>
      <c r="AC212">
        <v>16.5962999999999</v>
      </c>
      <c r="AD212">
        <v>-1.1590720000000001</v>
      </c>
      <c r="AE212">
        <v>0.75870000000003202</v>
      </c>
      <c r="AF212">
        <v>-0.66399031789326701</v>
      </c>
      <c r="AG212">
        <v>-1.1590720000000001</v>
      </c>
      <c r="AH212">
        <v>16.519821758864701</v>
      </c>
      <c r="AI212">
        <v>94.010210614207196</v>
      </c>
      <c r="AJ212">
        <v>92.301681964818101</v>
      </c>
      <c r="AK212">
        <v>16.573739529391101</v>
      </c>
      <c r="AL212">
        <v>81.514042787223701</v>
      </c>
      <c r="AM212">
        <v>88.253003806135595</v>
      </c>
      <c r="AN212">
        <v>0.99999995965940502</v>
      </c>
    </row>
    <row r="213" spans="1:40" x14ac:dyDescent="0.25">
      <c r="A213" t="str">
        <f>"20190312164221589"</f>
        <v>20190312164221589</v>
      </c>
      <c r="B213" t="str">
        <f>"1552380141584185"</f>
        <v>1552380141584185</v>
      </c>
      <c r="C213" t="s">
        <v>40</v>
      </c>
      <c r="D213">
        <v>4.2707889999999997</v>
      </c>
      <c r="E213">
        <v>0.47647990000000001</v>
      </c>
      <c r="F213" t="s">
        <v>43</v>
      </c>
      <c r="G213">
        <v>-431.36070000000001</v>
      </c>
      <c r="H213">
        <v>-0.05</v>
      </c>
      <c r="I213">
        <v>368.64089999999999</v>
      </c>
      <c r="J213">
        <v>-447.93270000000001</v>
      </c>
      <c r="K213">
        <v>1.1090719999999901</v>
      </c>
      <c r="L213">
        <v>367.87400000000002</v>
      </c>
      <c r="M213">
        <v>0.99997809999999998</v>
      </c>
      <c r="N213">
        <v>0</v>
      </c>
      <c r="O213">
        <v>5.4113980000000004E-3</v>
      </c>
      <c r="P213">
        <v>0.98948480000000005</v>
      </c>
      <c r="Q213">
        <v>0.14259179999999999</v>
      </c>
      <c r="R213">
        <v>-2.42414E-2</v>
      </c>
      <c r="S213">
        <v>3.0666500000000001</v>
      </c>
      <c r="T213">
        <v>-0.2109859</v>
      </c>
      <c r="U213">
        <v>0.13986209999999999</v>
      </c>
      <c r="V213">
        <v>2.9629180000000001E-2</v>
      </c>
      <c r="W213">
        <v>0.1463246</v>
      </c>
      <c r="X213">
        <v>0.98879280000000003</v>
      </c>
      <c r="Y213">
        <v>-4.0071830000000003E-2</v>
      </c>
      <c r="Z213">
        <v>1.0044710000000001E-3</v>
      </c>
      <c r="AA213">
        <v>0.99919630000000004</v>
      </c>
      <c r="AB213">
        <v>28</v>
      </c>
      <c r="AC213">
        <v>16.571999999999999</v>
      </c>
      <c r="AD213">
        <v>-1.1590720000000001</v>
      </c>
      <c r="AE213">
        <v>0.76689999999996405</v>
      </c>
      <c r="AF213">
        <v>-0.67392077449478704</v>
      </c>
      <c r="AG213">
        <v>-1.1590720000000001</v>
      </c>
      <c r="AH213">
        <v>16.495387262374098</v>
      </c>
      <c r="AI213">
        <v>94.016024347091204</v>
      </c>
      <c r="AJ213">
        <v>92.339523988572495</v>
      </c>
      <c r="AK213">
        <v>16.549786042338201</v>
      </c>
      <c r="AL213">
        <v>81.5860085393833</v>
      </c>
      <c r="AM213">
        <v>88.283645332550606</v>
      </c>
      <c r="AN213">
        <v>0.99999998910223598</v>
      </c>
    </row>
    <row r="214" spans="1:40" x14ac:dyDescent="0.25">
      <c r="A214" t="str">
        <f>"20190312164221612"</f>
        <v>20190312164221612</v>
      </c>
      <c r="B214" t="str">
        <f>"1552380141603704"</f>
        <v>1552380141603704</v>
      </c>
      <c r="C214" t="s">
        <v>40</v>
      </c>
      <c r="D214">
        <v>4.3684820000000002</v>
      </c>
      <c r="E214">
        <v>0.47657699999999997</v>
      </c>
      <c r="F214" t="s">
        <v>43</v>
      </c>
      <c r="G214">
        <v>-431.36529999999999</v>
      </c>
      <c r="H214">
        <v>-0.05</v>
      </c>
      <c r="I214">
        <v>368.63200000000001</v>
      </c>
      <c r="J214">
        <v>-447.63170000000002</v>
      </c>
      <c r="K214">
        <v>1.109075</v>
      </c>
      <c r="L214">
        <v>367.87549999999999</v>
      </c>
      <c r="M214">
        <v>0.99997860000000005</v>
      </c>
      <c r="N214">
        <v>0</v>
      </c>
      <c r="O214">
        <v>5.3104600000000004E-3</v>
      </c>
      <c r="P214">
        <v>0.98966509999999996</v>
      </c>
      <c r="Q214">
        <v>0.14144689999999999</v>
      </c>
      <c r="R214">
        <v>-2.357857E-2</v>
      </c>
      <c r="S214">
        <v>3.0662539999999998</v>
      </c>
      <c r="T214">
        <v>-0.21451809999999999</v>
      </c>
      <c r="U214">
        <v>0.14028929999999901</v>
      </c>
      <c r="V214">
        <v>2.8865809999999999E-2</v>
      </c>
      <c r="W214">
        <v>0.145233</v>
      </c>
      <c r="X214">
        <v>0.98897630000000003</v>
      </c>
      <c r="Y214">
        <v>-4.03139E-2</v>
      </c>
      <c r="Z214">
        <v>1.0368759999999999E-3</v>
      </c>
      <c r="AA214">
        <v>0.99918649999999998</v>
      </c>
      <c r="AB214">
        <v>28</v>
      </c>
      <c r="AC214">
        <v>16.266400000000001</v>
      </c>
      <c r="AD214">
        <v>-1.1590750000000001</v>
      </c>
      <c r="AE214">
        <v>0.75649999999995898</v>
      </c>
      <c r="AF214">
        <v>-0.66672870278692298</v>
      </c>
      <c r="AG214">
        <v>-1.1590750000000001</v>
      </c>
      <c r="AH214">
        <v>16.188171818225101</v>
      </c>
      <c r="AI214">
        <v>94.091938310540996</v>
      </c>
      <c r="AJ214">
        <v>92.358460434094397</v>
      </c>
      <c r="AK214">
        <v>16.243302891811201</v>
      </c>
      <c r="AL214">
        <v>81.649227989116895</v>
      </c>
      <c r="AM214">
        <v>88.328150363072595</v>
      </c>
      <c r="AN214">
        <v>0.99999999061882305</v>
      </c>
    </row>
    <row r="215" spans="1:40" x14ac:dyDescent="0.25">
      <c r="A215" t="str">
        <f>"20190312164221634"</f>
        <v>20190312164221634</v>
      </c>
      <c r="B215" t="str">
        <f>"1552380141624200"</f>
        <v>1552380141624200</v>
      </c>
      <c r="C215" t="s">
        <v>40</v>
      </c>
      <c r="D215">
        <v>4.3005139999999997</v>
      </c>
      <c r="E215">
        <v>0.47662860000000001</v>
      </c>
      <c r="F215" t="s">
        <v>43</v>
      </c>
      <c r="G215">
        <v>-431.27019999999999</v>
      </c>
      <c r="H215">
        <v>-0.05</v>
      </c>
      <c r="I215">
        <v>368.63380000000001</v>
      </c>
      <c r="J215">
        <v>-447.34699999999998</v>
      </c>
      <c r="K215">
        <v>1.109083</v>
      </c>
      <c r="L215">
        <v>367.87700000000001</v>
      </c>
      <c r="M215">
        <v>0.99997879999999995</v>
      </c>
      <c r="N215">
        <v>0</v>
      </c>
      <c r="O215">
        <v>5.2288630000000003E-3</v>
      </c>
      <c r="P215">
        <v>0.98982110000000001</v>
      </c>
      <c r="Q215">
        <v>0.1403092</v>
      </c>
      <c r="R215">
        <v>-2.382515E-2</v>
      </c>
      <c r="S215">
        <v>3.0657350000000001</v>
      </c>
      <c r="T215">
        <v>-0.21718180000000001</v>
      </c>
      <c r="U215">
        <v>0.14208979999999999</v>
      </c>
      <c r="V215">
        <v>2.9029340000000001E-2</v>
      </c>
      <c r="W215">
        <v>0.14414549999999901</v>
      </c>
      <c r="X215">
        <v>0.98913059999999997</v>
      </c>
      <c r="Y215">
        <v>-4.0984689999999997E-2</v>
      </c>
      <c r="Z215">
        <v>1.0793700000000001E-3</v>
      </c>
      <c r="AA215">
        <v>0.99915920000000003</v>
      </c>
      <c r="AB215">
        <v>28</v>
      </c>
      <c r="AC215">
        <v>16.076799999999899</v>
      </c>
      <c r="AD215">
        <v>-1.1590830000000001</v>
      </c>
      <c r="AE215">
        <v>0.75680000000005498</v>
      </c>
      <c r="AF215">
        <v>-0.669254594077207</v>
      </c>
      <c r="AG215">
        <v>-1.1590830000000001</v>
      </c>
      <c r="AH215">
        <v>15.997567184989199</v>
      </c>
      <c r="AI215">
        <v>94.140441132809002</v>
      </c>
      <c r="AJ215">
        <v>92.395559061980805</v>
      </c>
      <c r="AK215">
        <v>16.053458535494102</v>
      </c>
      <c r="AL215">
        <v>81.712199756267495</v>
      </c>
      <c r="AM215">
        <v>88.318946582718397</v>
      </c>
      <c r="AN215">
        <v>0.99999998580372196</v>
      </c>
    </row>
    <row r="216" spans="1:40" x14ac:dyDescent="0.25">
      <c r="A216" t="str">
        <f>"20190312164221658"</f>
        <v>20190312164221658</v>
      </c>
      <c r="B216" t="str">
        <f>"1552380141654457"</f>
        <v>1552380141654457</v>
      </c>
      <c r="C216" t="s">
        <v>40</v>
      </c>
      <c r="D216">
        <v>4.437303</v>
      </c>
      <c r="E216">
        <v>0.4767748</v>
      </c>
      <c r="F216" t="s">
        <v>43</v>
      </c>
      <c r="G216">
        <v>-431.21870000000001</v>
      </c>
      <c r="H216">
        <v>-0.05</v>
      </c>
      <c r="I216">
        <v>368.62079999999997</v>
      </c>
      <c r="J216">
        <v>-447.05790000000002</v>
      </c>
      <c r="K216">
        <v>1.1090979999999999</v>
      </c>
      <c r="L216">
        <v>367.8784</v>
      </c>
      <c r="M216">
        <v>0.99997910000000001</v>
      </c>
      <c r="N216">
        <v>0</v>
      </c>
      <c r="O216">
        <v>5.166421E-3</v>
      </c>
      <c r="P216">
        <v>0.98988750000000003</v>
      </c>
      <c r="Q216">
        <v>0.1398471</v>
      </c>
      <c r="R216">
        <v>-2.379641E-2</v>
      </c>
      <c r="S216">
        <v>3.0654910000000002</v>
      </c>
      <c r="T216">
        <v>-0.22030640000000001</v>
      </c>
      <c r="U216">
        <v>0.14138789999999901</v>
      </c>
      <c r="V216">
        <v>2.893416E-2</v>
      </c>
      <c r="W216">
        <v>0.14373349999999999</v>
      </c>
      <c r="X216">
        <v>0.9891934</v>
      </c>
      <c r="Y216">
        <v>-4.0820130000000003E-2</v>
      </c>
      <c r="Z216">
        <v>1.093529E-3</v>
      </c>
      <c r="AA216">
        <v>0.99916590000000005</v>
      </c>
      <c r="AB216">
        <v>28</v>
      </c>
      <c r="AC216">
        <v>15.8392</v>
      </c>
      <c r="AD216">
        <v>-1.159098</v>
      </c>
      <c r="AE216">
        <v>0.74239999999997497</v>
      </c>
      <c r="AF216">
        <v>-0.65704661026996003</v>
      </c>
      <c r="AG216">
        <v>-1.159098</v>
      </c>
      <c r="AH216">
        <v>15.7586189826328</v>
      </c>
      <c r="AI216">
        <v>94.203078102111206</v>
      </c>
      <c r="AJ216">
        <v>92.387531899861301</v>
      </c>
      <c r="AK216">
        <v>15.814843997380001</v>
      </c>
      <c r="AL216">
        <v>81.736054505757295</v>
      </c>
      <c r="AM216">
        <v>88.324561505657101</v>
      </c>
      <c r="AN216">
        <v>1.00000004362035</v>
      </c>
    </row>
    <row r="217" spans="1:40" x14ac:dyDescent="0.25">
      <c r="A217" t="str">
        <f>"20190312164221678"</f>
        <v>20190312164221678</v>
      </c>
      <c r="B217" t="str">
        <f>"1552380141673977"</f>
        <v>1552380141673977</v>
      </c>
      <c r="C217" t="s">
        <v>40</v>
      </c>
      <c r="D217">
        <v>4.3578830000000002</v>
      </c>
      <c r="E217">
        <v>0.47685539999999998</v>
      </c>
      <c r="F217" t="s">
        <v>43</v>
      </c>
      <c r="G217">
        <v>-430.92630000000003</v>
      </c>
      <c r="H217">
        <v>-0.05</v>
      </c>
      <c r="I217">
        <v>368.61829999999998</v>
      </c>
      <c r="J217">
        <v>-446.79059999999998</v>
      </c>
      <c r="K217">
        <v>1.1091150000000001</v>
      </c>
      <c r="L217">
        <v>367.87970000000001</v>
      </c>
      <c r="M217">
        <v>0.99997899999999995</v>
      </c>
      <c r="N217">
        <v>0</v>
      </c>
      <c r="O217">
        <v>5.1274170000000004E-3</v>
      </c>
      <c r="P217">
        <v>0.98990919999999905</v>
      </c>
      <c r="Q217">
        <v>0.1396693</v>
      </c>
      <c r="R217">
        <v>-2.3916750000000001E-2</v>
      </c>
      <c r="S217">
        <v>3.0651250000000001</v>
      </c>
      <c r="T217">
        <v>-0.2202375</v>
      </c>
      <c r="U217">
        <v>0.14059449999999901</v>
      </c>
      <c r="V217">
        <v>2.9011149999999999E-2</v>
      </c>
      <c r="W217">
        <v>0.14360329999999999</v>
      </c>
      <c r="X217">
        <v>0.98921000000000003</v>
      </c>
      <c r="Y217">
        <v>-4.0606969999999999E-2</v>
      </c>
      <c r="Z217">
        <v>1.088477E-3</v>
      </c>
      <c r="AA217">
        <v>0.99917460000000002</v>
      </c>
      <c r="AB217">
        <v>28</v>
      </c>
      <c r="AC217">
        <v>15.864299999999901</v>
      </c>
      <c r="AD217">
        <v>-1.1591149999999999</v>
      </c>
      <c r="AE217">
        <v>0.73859999999996195</v>
      </c>
      <c r="AF217">
        <v>-0.65376426290075695</v>
      </c>
      <c r="AG217">
        <v>-1.1591149999999999</v>
      </c>
      <c r="AH217">
        <v>15.7838005795698</v>
      </c>
      <c r="AI217">
        <v>94.1965053933165</v>
      </c>
      <c r="AJ217">
        <v>92.371832677224205</v>
      </c>
      <c r="AK217">
        <v>15.839801641128499</v>
      </c>
      <c r="AL217">
        <v>81.743592165937798</v>
      </c>
      <c r="AM217">
        <v>88.320134109218401</v>
      </c>
      <c r="AN217">
        <v>0.99999998934760603</v>
      </c>
    </row>
    <row r="218" spans="1:40" x14ac:dyDescent="0.25">
      <c r="A218" t="str">
        <f>"20190312164221701"</f>
        <v>20190312164221701</v>
      </c>
      <c r="B218" t="str">
        <f>"1552380141694473"</f>
        <v>1552380141694473</v>
      </c>
      <c r="C218" t="s">
        <v>40</v>
      </c>
      <c r="D218">
        <v>4.4730600000000003</v>
      </c>
      <c r="E218">
        <v>0.47693920000000001</v>
      </c>
      <c r="F218" t="s">
        <v>43</v>
      </c>
      <c r="G218">
        <v>-430.65899999999999</v>
      </c>
      <c r="H218">
        <v>-0.05</v>
      </c>
      <c r="I218">
        <v>368.61419999999998</v>
      </c>
      <c r="J218">
        <v>-446.49340000000001</v>
      </c>
      <c r="K218">
        <v>1.109132</v>
      </c>
      <c r="L218">
        <v>367.88119999999998</v>
      </c>
      <c r="M218">
        <v>0.9999789</v>
      </c>
      <c r="N218">
        <v>0</v>
      </c>
      <c r="O218">
        <v>5.0997890000000004E-3</v>
      </c>
      <c r="P218">
        <v>0.98998699999999995</v>
      </c>
      <c r="Q218">
        <v>0.13908999999999999</v>
      </c>
      <c r="R218">
        <v>-2.4069839999999999E-2</v>
      </c>
      <c r="S218">
        <v>3.0650330000000001</v>
      </c>
      <c r="T218">
        <v>-0.2202344</v>
      </c>
      <c r="U218">
        <v>0.13955689999999901</v>
      </c>
      <c r="V218">
        <v>2.9131850000000001E-2</v>
      </c>
      <c r="W218">
        <v>0.1430766</v>
      </c>
      <c r="X218">
        <v>0.98928280000000002</v>
      </c>
      <c r="Y218">
        <v>-4.0299109999999999E-2</v>
      </c>
      <c r="Z218">
        <v>1.079443E-3</v>
      </c>
      <c r="AA218">
        <v>0.99918709999999999</v>
      </c>
      <c r="AB218">
        <v>29</v>
      </c>
      <c r="AC218">
        <v>15.8344</v>
      </c>
      <c r="AD218">
        <v>-1.1591320000000001</v>
      </c>
      <c r="AE218">
        <v>0.73300000000000398</v>
      </c>
      <c r="AF218">
        <v>-0.64876856815494899</v>
      </c>
      <c r="AG218">
        <v>-1.1591320000000001</v>
      </c>
      <c r="AH218">
        <v>15.7536928583277</v>
      </c>
      <c r="AI218">
        <v>94.204599370775</v>
      </c>
      <c r="AJ218">
        <v>92.358222205920896</v>
      </c>
      <c r="AK218">
        <v>15.809596020233201</v>
      </c>
      <c r="AL218">
        <v>81.774084974397297</v>
      </c>
      <c r="AM218">
        <v>88.313273169653996</v>
      </c>
      <c r="AN218">
        <v>1.0000000182639099</v>
      </c>
    </row>
    <row r="219" spans="1:40" x14ac:dyDescent="0.25">
      <c r="A219" t="str">
        <f>"20190312164221723"</f>
        <v>20190312164221723</v>
      </c>
      <c r="B219" t="str">
        <f>"1552380141713993"</f>
        <v>1552380141713993</v>
      </c>
      <c r="C219" t="s">
        <v>40</v>
      </c>
      <c r="D219">
        <v>4.3439160000000001</v>
      </c>
      <c r="E219">
        <v>0.47699219999999998</v>
      </c>
      <c r="F219" t="s">
        <v>43</v>
      </c>
      <c r="G219">
        <v>-430.44369999999998</v>
      </c>
      <c r="H219">
        <v>-0.05</v>
      </c>
      <c r="I219">
        <v>368.60629999999998</v>
      </c>
      <c r="J219">
        <v>-446.20920000000001</v>
      </c>
      <c r="K219">
        <v>1.1091439999999999</v>
      </c>
      <c r="L219">
        <v>367.88260000000002</v>
      </c>
      <c r="M219">
        <v>0.9999789</v>
      </c>
      <c r="N219">
        <v>0</v>
      </c>
      <c r="O219">
        <v>5.086981E-3</v>
      </c>
      <c r="P219">
        <v>0.99006939999999999</v>
      </c>
      <c r="Q219">
        <v>0.1385362</v>
      </c>
      <c r="R219">
        <v>-2.3889850000000001E-2</v>
      </c>
      <c r="S219">
        <v>3.0647890000000002</v>
      </c>
      <c r="T219">
        <v>-0.22134319999999999</v>
      </c>
      <c r="U219">
        <v>0.13845829999999901</v>
      </c>
      <c r="V219">
        <v>2.893577E-2</v>
      </c>
      <c r="W219">
        <v>0.14257249999999999</v>
      </c>
      <c r="X219">
        <v>0.9893613</v>
      </c>
      <c r="Y219">
        <v>-3.9958010000000002E-2</v>
      </c>
      <c r="Z219">
        <v>1.0735860000000001E-3</v>
      </c>
      <c r="AA219">
        <v>0.9992008</v>
      </c>
      <c r="AB219">
        <v>29</v>
      </c>
      <c r="AC219">
        <v>15.765499999999999</v>
      </c>
      <c r="AD219">
        <v>-1.159144</v>
      </c>
      <c r="AE219">
        <v>0.72369999999995105</v>
      </c>
      <c r="AF219">
        <v>-0.64003854304805397</v>
      </c>
      <c r="AG219">
        <v>-1.159144</v>
      </c>
      <c r="AH219">
        <v>15.684369343890801</v>
      </c>
      <c r="AI219">
        <v>94.223224307636102</v>
      </c>
      <c r="AJ219">
        <v>92.336796021040797</v>
      </c>
      <c r="AK219">
        <v>15.740162193093999</v>
      </c>
      <c r="AL219">
        <v>81.803266710058097</v>
      </c>
      <c r="AM219">
        <v>88.324752516220201</v>
      </c>
      <c r="AN219">
        <v>0.999999989239716</v>
      </c>
    </row>
    <row r="220" spans="1:40" x14ac:dyDescent="0.25">
      <c r="A220" t="str">
        <f>"20190312164221746"</f>
        <v>20190312164221746</v>
      </c>
      <c r="B220" t="str">
        <f>"1552380141734495"</f>
        <v>1552380141734495</v>
      </c>
      <c r="C220" t="s">
        <v>40</v>
      </c>
      <c r="D220">
        <v>4.3481030000000001</v>
      </c>
      <c r="E220">
        <v>0.47703649999999997</v>
      </c>
      <c r="F220" t="s">
        <v>43</v>
      </c>
      <c r="G220">
        <v>-430.25479999999999</v>
      </c>
      <c r="H220">
        <v>-0.05</v>
      </c>
      <c r="I220">
        <v>368.59690000000001</v>
      </c>
      <c r="J220">
        <v>-445.90989999999999</v>
      </c>
      <c r="K220">
        <v>1.1091549999999999</v>
      </c>
      <c r="L220">
        <v>367.88420000000002</v>
      </c>
      <c r="M220">
        <v>0.99997860000000005</v>
      </c>
      <c r="N220">
        <v>0</v>
      </c>
      <c r="O220">
        <v>5.0820179999999998E-3</v>
      </c>
      <c r="P220">
        <v>0.99007319999999999</v>
      </c>
      <c r="Q220">
        <v>0.1385004</v>
      </c>
      <c r="R220">
        <v>-2.394046E-2</v>
      </c>
      <c r="S220">
        <v>3.0645449999999999</v>
      </c>
      <c r="T220">
        <v>-0.2226505</v>
      </c>
      <c r="U220">
        <v>0.137207</v>
      </c>
      <c r="V220">
        <v>2.8979370000000001E-2</v>
      </c>
      <c r="W220">
        <v>0.14258860000000001</v>
      </c>
      <c r="X220">
        <v>0.98935770000000001</v>
      </c>
      <c r="Y220">
        <v>-3.9559360000000002E-2</v>
      </c>
      <c r="Z220">
        <v>1.0659109999999999E-3</v>
      </c>
      <c r="AA220">
        <v>0.99921669999999996</v>
      </c>
      <c r="AB220">
        <v>29</v>
      </c>
      <c r="AC220">
        <v>15.655099999999999</v>
      </c>
      <c r="AD220">
        <v>-1.1591549999999999</v>
      </c>
      <c r="AE220">
        <v>0.71269999999998301</v>
      </c>
      <c r="AF220">
        <v>-0.62968556814535903</v>
      </c>
      <c r="AG220">
        <v>-1.1591549999999999</v>
      </c>
      <c r="AH220">
        <v>15.573317129674001</v>
      </c>
      <c r="AI220">
        <v>94.253334147223498</v>
      </c>
      <c r="AJ220">
        <v>92.315414450496405</v>
      </c>
      <c r="AK220">
        <v>15.6290866863728</v>
      </c>
      <c r="AL220">
        <v>81.802334696413695</v>
      </c>
      <c r="AM220">
        <v>88.322223617714698</v>
      </c>
      <c r="AN220">
        <v>0.99999998564242298</v>
      </c>
    </row>
    <row r="221" spans="1:40" x14ac:dyDescent="0.25">
      <c r="A221" t="str">
        <f>"20190312164221767"</f>
        <v>20190312164221767</v>
      </c>
      <c r="B221" t="str">
        <f>"1552380141763769"</f>
        <v>1552380141763769</v>
      </c>
      <c r="C221" t="s">
        <v>40</v>
      </c>
      <c r="D221">
        <v>4.3963279999999996</v>
      </c>
      <c r="E221">
        <v>0.47706100000000001</v>
      </c>
      <c r="F221" t="s">
        <v>43</v>
      </c>
      <c r="G221">
        <v>-429.93939999999998</v>
      </c>
      <c r="H221">
        <v>-0.05</v>
      </c>
      <c r="I221">
        <v>368.5949</v>
      </c>
      <c r="J221">
        <v>-445.6327</v>
      </c>
      <c r="K221">
        <v>1.1091549999999999</v>
      </c>
      <c r="L221">
        <v>367.88560000000001</v>
      </c>
      <c r="M221">
        <v>0.99997840000000005</v>
      </c>
      <c r="N221">
        <v>0</v>
      </c>
      <c r="O221">
        <v>5.0822300000000001E-3</v>
      </c>
      <c r="P221">
        <v>0.99025229999999997</v>
      </c>
      <c r="Q221">
        <v>0.13722290000000001</v>
      </c>
      <c r="R221">
        <v>-2.387941E-2</v>
      </c>
      <c r="S221">
        <v>3.0644840000000002</v>
      </c>
      <c r="T221">
        <v>-0.22242329999999999</v>
      </c>
      <c r="U221">
        <v>0.13638310000000001</v>
      </c>
      <c r="V221">
        <v>2.8918590000000001E-2</v>
      </c>
      <c r="W221">
        <v>0.1413595</v>
      </c>
      <c r="X221">
        <v>0.98953590000000002</v>
      </c>
      <c r="Y221">
        <v>-3.9292779999999999E-2</v>
      </c>
      <c r="Z221">
        <v>1.0551810000000001E-3</v>
      </c>
      <c r="AA221">
        <v>0.99922719999999998</v>
      </c>
      <c r="AB221">
        <v>29</v>
      </c>
      <c r="AC221">
        <v>15.693300000000001</v>
      </c>
      <c r="AD221">
        <v>-1.1591549999999999</v>
      </c>
      <c r="AE221">
        <v>0.70929999999998405</v>
      </c>
      <c r="AF221">
        <v>-0.62612417370636198</v>
      </c>
      <c r="AG221">
        <v>-1.1591549999999999</v>
      </c>
      <c r="AH221">
        <v>15.611702273897899</v>
      </c>
      <c r="AI221">
        <v>94.2429702040629</v>
      </c>
      <c r="AJ221">
        <v>92.296678219754099</v>
      </c>
      <c r="AK221">
        <v>15.667192463353301</v>
      </c>
      <c r="AL221">
        <v>81.873478082964496</v>
      </c>
      <c r="AM221">
        <v>88.326041840436204</v>
      </c>
      <c r="AN221">
        <v>1.00000004523832</v>
      </c>
    </row>
    <row r="222" spans="1:40" x14ac:dyDescent="0.25">
      <c r="A222" t="str">
        <f>"20190312164221790"</f>
        <v>20190312164221790</v>
      </c>
      <c r="B222" t="str">
        <f>"1552380141784265"</f>
        <v>1552380141784265</v>
      </c>
      <c r="C222" t="s">
        <v>40</v>
      </c>
      <c r="D222">
        <v>4.4213559999999896</v>
      </c>
      <c r="E222">
        <v>0.47708349999999999</v>
      </c>
      <c r="F222" t="s">
        <v>43</v>
      </c>
      <c r="G222">
        <v>-429.9006</v>
      </c>
      <c r="H222">
        <v>-0.05</v>
      </c>
      <c r="I222">
        <v>368.58859999999999</v>
      </c>
      <c r="J222">
        <v>-445.33800000000002</v>
      </c>
      <c r="K222">
        <v>1.109151</v>
      </c>
      <c r="L222">
        <v>367.88709999999998</v>
      </c>
      <c r="M222">
        <v>0.99997809999999998</v>
      </c>
      <c r="N222">
        <v>0</v>
      </c>
      <c r="O222">
        <v>5.084987E-3</v>
      </c>
      <c r="P222">
        <v>0.99052850000000003</v>
      </c>
      <c r="Q222">
        <v>0.13517409999999999</v>
      </c>
      <c r="R222">
        <v>-2.4106229999999999E-2</v>
      </c>
      <c r="S222">
        <v>3.064117</v>
      </c>
      <c r="T222">
        <v>-0.225767</v>
      </c>
      <c r="U222">
        <v>0.13693239999999901</v>
      </c>
      <c r="V222">
        <v>2.914901E-2</v>
      </c>
      <c r="W222">
        <v>0.13936200000000001</v>
      </c>
      <c r="X222">
        <v>0.98981240000000004</v>
      </c>
      <c r="Y222">
        <v>-3.947088E-2</v>
      </c>
      <c r="Z222">
        <v>1.077471E-3</v>
      </c>
      <c r="AA222">
        <v>0.99922010000000006</v>
      </c>
      <c r="AB222">
        <v>29</v>
      </c>
      <c r="AC222">
        <v>15.4374</v>
      </c>
      <c r="AD222">
        <v>-1.159151</v>
      </c>
      <c r="AE222">
        <v>0.70150000000001</v>
      </c>
      <c r="AF222">
        <v>-0.61950561935445203</v>
      </c>
      <c r="AG222">
        <v>-1.159151</v>
      </c>
      <c r="AH222">
        <v>15.3543766546663</v>
      </c>
      <c r="AI222">
        <v>94.313755928511299</v>
      </c>
      <c r="AJ222">
        <v>92.310469270888007</v>
      </c>
      <c r="AK222">
        <v>15.4105256466667</v>
      </c>
      <c r="AL222">
        <v>81.989070447400394</v>
      </c>
      <c r="AM222">
        <v>88.3131826785405</v>
      </c>
      <c r="AN222">
        <v>1.0000000095108701</v>
      </c>
    </row>
    <row r="223" spans="1:40" x14ac:dyDescent="0.25">
      <c r="A223" t="str">
        <f>"20190312164221812"</f>
        <v>20190312164221812</v>
      </c>
      <c r="B223" t="str">
        <f>"1552380141803785"</f>
        <v>1552380141803785</v>
      </c>
      <c r="C223" t="s">
        <v>40</v>
      </c>
      <c r="D223">
        <v>4.409834</v>
      </c>
      <c r="E223">
        <v>0.47700130000000002</v>
      </c>
      <c r="F223" t="s">
        <v>43</v>
      </c>
      <c r="G223">
        <v>-430.01479999999998</v>
      </c>
      <c r="H223">
        <v>-0.05</v>
      </c>
      <c r="I223">
        <v>368.565</v>
      </c>
      <c r="J223">
        <v>-445.03269999999998</v>
      </c>
      <c r="K223">
        <v>1.1091519999999999</v>
      </c>
      <c r="L223">
        <v>367.8886</v>
      </c>
      <c r="M223">
        <v>0.99997789999999998</v>
      </c>
      <c r="N223">
        <v>0</v>
      </c>
      <c r="O223">
        <v>5.0880939999999996E-3</v>
      </c>
      <c r="P223">
        <v>0.99069059999999998</v>
      </c>
      <c r="Q223">
        <v>0.13402629999999999</v>
      </c>
      <c r="R223">
        <v>-2.3858480000000001E-2</v>
      </c>
      <c r="S223">
        <v>3.0636290000000002</v>
      </c>
      <c r="T223">
        <v>-0.23175480000000001</v>
      </c>
      <c r="U223">
        <v>0.1355286</v>
      </c>
      <c r="V223">
        <v>2.890508E-2</v>
      </c>
      <c r="W223">
        <v>0.1382669</v>
      </c>
      <c r="X223">
        <v>0.98997310000000005</v>
      </c>
      <c r="Y223">
        <v>-3.9014210000000001E-2</v>
      </c>
      <c r="Z223">
        <v>1.0886789999999999E-3</v>
      </c>
      <c r="AA223">
        <v>0.99923810000000002</v>
      </c>
      <c r="AB223">
        <v>29</v>
      </c>
      <c r="AC223">
        <v>15.0178999999999</v>
      </c>
      <c r="AD223">
        <v>-1.159152</v>
      </c>
      <c r="AE223">
        <v>0.676400000000001</v>
      </c>
      <c r="AF223">
        <v>-0.59643202116553995</v>
      </c>
      <c r="AG223">
        <v>-1.159152</v>
      </c>
      <c r="AH223">
        <v>14.932368073999699</v>
      </c>
      <c r="AI223">
        <v>94.435264134802793</v>
      </c>
      <c r="AJ223">
        <v>92.287305119733702</v>
      </c>
      <c r="AK223">
        <v>14.989162111752</v>
      </c>
      <c r="AL223">
        <v>82.052428300791505</v>
      </c>
      <c r="AM223">
        <v>88.327561926914598</v>
      </c>
      <c r="AN223">
        <v>0.99999998900451303</v>
      </c>
    </row>
    <row r="224" spans="1:40" x14ac:dyDescent="0.25">
      <c r="A224" t="str">
        <f>"20190312164221836"</f>
        <v>20190312164221836</v>
      </c>
      <c r="B224" t="str">
        <f>"1552380141824281"</f>
        <v>1552380141824281</v>
      </c>
      <c r="C224" t="s">
        <v>40</v>
      </c>
      <c r="D224">
        <v>4.419638</v>
      </c>
      <c r="E224">
        <v>0.47692519999999999</v>
      </c>
      <c r="F224" t="s">
        <v>43</v>
      </c>
      <c r="G224">
        <v>-429.98180000000002</v>
      </c>
      <c r="H224">
        <v>-0.05</v>
      </c>
      <c r="I224">
        <v>368.56229999999999</v>
      </c>
      <c r="J224">
        <v>-444.72329999999999</v>
      </c>
      <c r="K224">
        <v>1.1091530000000001</v>
      </c>
      <c r="L224">
        <v>367.89019999999999</v>
      </c>
      <c r="M224">
        <v>0.99997769999999997</v>
      </c>
      <c r="N224">
        <v>0</v>
      </c>
      <c r="O224">
        <v>5.0904820000000003E-3</v>
      </c>
      <c r="P224">
        <v>0.99086399999999997</v>
      </c>
      <c r="Q224">
        <v>0.13270119999999999</v>
      </c>
      <c r="R224">
        <v>-2.4074189999999999E-2</v>
      </c>
      <c r="S224">
        <v>3.0634160000000001</v>
      </c>
      <c r="T224">
        <v>-0.23593130000000001</v>
      </c>
      <c r="U224">
        <v>0.1371155</v>
      </c>
      <c r="V224">
        <v>2.912383E-2</v>
      </c>
      <c r="W224">
        <v>0.13699549999999999</v>
      </c>
      <c r="X224">
        <v>0.99014349999999995</v>
      </c>
      <c r="Y224">
        <v>-3.9526470000000001E-2</v>
      </c>
      <c r="Z224">
        <v>1.127809E-3</v>
      </c>
      <c r="AA224">
        <v>0.99921789999999999</v>
      </c>
      <c r="AB224">
        <v>29</v>
      </c>
      <c r="AC224">
        <v>14.741499999999901</v>
      </c>
      <c r="AD224">
        <v>-1.1591530000000001</v>
      </c>
      <c r="AE224">
        <v>0.67210000000000003</v>
      </c>
      <c r="AF224">
        <v>-0.59338795213936502</v>
      </c>
      <c r="AG224">
        <v>-1.1591530000000001</v>
      </c>
      <c r="AH224">
        <v>14.6543109129674</v>
      </c>
      <c r="AI224">
        <v>94.518979841268006</v>
      </c>
      <c r="AJ224">
        <v>92.318775818017102</v>
      </c>
      <c r="AK224">
        <v>14.712055372145301</v>
      </c>
      <c r="AL224">
        <v>82.125974598943401</v>
      </c>
      <c r="AM224">
        <v>88.315202226471001</v>
      </c>
      <c r="AN224">
        <v>1.00000005754318</v>
      </c>
    </row>
    <row r="225" spans="1:40" x14ac:dyDescent="0.25">
      <c r="A225" t="str">
        <f>"20190312164221858"</f>
        <v>20190312164221858</v>
      </c>
      <c r="B225" t="str">
        <f>"1552380141853562"</f>
        <v>1552380141853562</v>
      </c>
      <c r="C225" t="s">
        <v>40</v>
      </c>
      <c r="D225">
        <v>4.5685840000000004</v>
      </c>
      <c r="E225">
        <v>0.47680670000000003</v>
      </c>
      <c r="F225" t="s">
        <v>43</v>
      </c>
      <c r="G225">
        <v>-429.93830000000003</v>
      </c>
      <c r="H225">
        <v>-0.05</v>
      </c>
      <c r="I225">
        <v>368.55450000000002</v>
      </c>
      <c r="J225">
        <v>-444.43680000000001</v>
      </c>
      <c r="K225">
        <v>1.109151</v>
      </c>
      <c r="L225">
        <v>367.89170000000001</v>
      </c>
      <c r="M225">
        <v>0.99997749999999996</v>
      </c>
      <c r="N225">
        <v>0</v>
      </c>
      <c r="O225">
        <v>5.0919240000000003E-3</v>
      </c>
      <c r="P225">
        <v>0.99095650000000002</v>
      </c>
      <c r="Q225">
        <v>0.13203119999999999</v>
      </c>
      <c r="R225">
        <v>-2.3938810000000001E-2</v>
      </c>
      <c r="S225">
        <v>3.0631710000000001</v>
      </c>
      <c r="T225">
        <v>-0.24015510000000001</v>
      </c>
      <c r="U225">
        <v>0.13763429999999999</v>
      </c>
      <c r="V225">
        <v>2.8990180000000001E-2</v>
      </c>
      <c r="W225">
        <v>0.1363743</v>
      </c>
      <c r="X225">
        <v>0.99023309999999998</v>
      </c>
      <c r="Y225">
        <v>-3.9693300000000001E-2</v>
      </c>
      <c r="Z225">
        <v>1.1544389999999999E-3</v>
      </c>
      <c r="AA225">
        <v>0.99921130000000002</v>
      </c>
      <c r="AB225">
        <v>30</v>
      </c>
      <c r="AC225">
        <v>14.4984999999999</v>
      </c>
      <c r="AD225">
        <v>-1.159151</v>
      </c>
      <c r="AE225">
        <v>0.66280000000000405</v>
      </c>
      <c r="AF225">
        <v>-0.58523246359521597</v>
      </c>
      <c r="AG225">
        <v>-1.159151</v>
      </c>
      <c r="AH225">
        <v>14.409772433789101</v>
      </c>
      <c r="AI225">
        <v>94.595312308098798</v>
      </c>
      <c r="AJ225">
        <v>92.325708635317099</v>
      </c>
      <c r="AK225">
        <v>14.4681605489722</v>
      </c>
      <c r="AL225">
        <v>82.161903385852497</v>
      </c>
      <c r="AM225">
        <v>88.323081042019098</v>
      </c>
      <c r="AN225">
        <v>0.99999998628626596</v>
      </c>
    </row>
    <row r="226" spans="1:40" x14ac:dyDescent="0.25">
      <c r="A226" t="str">
        <f>"20190312164221879"</f>
        <v>20190312164221879</v>
      </c>
      <c r="B226" t="str">
        <f>"1552380141874057"</f>
        <v>1552380141874057</v>
      </c>
      <c r="C226" t="s">
        <v>40</v>
      </c>
      <c r="D226">
        <v>4.4527700000000001</v>
      </c>
      <c r="E226">
        <v>0.47675059999999903</v>
      </c>
      <c r="F226" t="s">
        <v>43</v>
      </c>
      <c r="G226">
        <v>-429.7697</v>
      </c>
      <c r="H226">
        <v>-0.05</v>
      </c>
      <c r="I226">
        <v>368.55700000000002</v>
      </c>
      <c r="J226">
        <v>-444.14089999999999</v>
      </c>
      <c r="K226">
        <v>1.109145</v>
      </c>
      <c r="L226">
        <v>367.89319999999998</v>
      </c>
      <c r="M226">
        <v>0.99997720000000001</v>
      </c>
      <c r="N226">
        <v>0</v>
      </c>
      <c r="O226">
        <v>5.0924689999999996E-3</v>
      </c>
      <c r="P226">
        <v>0.99103249999999998</v>
      </c>
      <c r="Q226">
        <v>0.13145309999999999</v>
      </c>
      <c r="R226">
        <v>-2.3974720000000001E-2</v>
      </c>
      <c r="S226">
        <v>3.0629580000000001</v>
      </c>
      <c r="T226">
        <v>-0.2420659</v>
      </c>
      <c r="U226">
        <v>0.1389465</v>
      </c>
      <c r="V226">
        <v>2.902681E-2</v>
      </c>
      <c r="W226">
        <v>0.13584660000000001</v>
      </c>
      <c r="X226">
        <v>0.99030459999999998</v>
      </c>
      <c r="Y226">
        <v>-4.0120049999999997E-2</v>
      </c>
      <c r="Z226">
        <v>1.180452E-3</v>
      </c>
      <c r="AA226">
        <v>0.99919409999999997</v>
      </c>
      <c r="AB226">
        <v>30</v>
      </c>
      <c r="AC226">
        <v>14.3711999999999</v>
      </c>
      <c r="AD226">
        <v>-1.1591450000000001</v>
      </c>
      <c r="AE226">
        <v>0.66379999999997996</v>
      </c>
      <c r="AF226">
        <v>-0.58679642819252398</v>
      </c>
      <c r="AG226">
        <v>-1.1591450000000001</v>
      </c>
      <c r="AH226">
        <v>14.281680513953701</v>
      </c>
      <c r="AI226">
        <v>94.636235539904604</v>
      </c>
      <c r="AJ226">
        <v>92.352808450878996</v>
      </c>
      <c r="AK226">
        <v>14.3406535932575</v>
      </c>
      <c r="AL226">
        <v>82.192422714073999</v>
      </c>
      <c r="AM226">
        <v>88.321084571574602</v>
      </c>
      <c r="AN226">
        <v>1.0000000276057399</v>
      </c>
    </row>
    <row r="227" spans="1:40" x14ac:dyDescent="0.25">
      <c r="A227" t="str">
        <f>"20190312164221902"</f>
        <v>20190312164221902</v>
      </c>
      <c r="B227" t="str">
        <f>"1552380141893577"</f>
        <v>1552380141893577</v>
      </c>
      <c r="C227" t="s">
        <v>40</v>
      </c>
      <c r="D227">
        <v>4.5501579999999997</v>
      </c>
      <c r="E227">
        <v>0.47673680000000002</v>
      </c>
      <c r="F227" t="s">
        <v>43</v>
      </c>
      <c r="G227">
        <v>-429.51609999999999</v>
      </c>
      <c r="H227">
        <v>-0.05</v>
      </c>
      <c r="I227">
        <v>368.5573</v>
      </c>
      <c r="J227">
        <v>-443.84559999999999</v>
      </c>
      <c r="K227">
        <v>1.1091519999999999</v>
      </c>
      <c r="L227">
        <v>367.8947</v>
      </c>
      <c r="M227">
        <v>0.999977</v>
      </c>
      <c r="N227">
        <v>0</v>
      </c>
      <c r="O227">
        <v>5.0925359999999999E-3</v>
      </c>
      <c r="P227">
        <v>0.99105600000000005</v>
      </c>
      <c r="Q227">
        <v>0.13130539999999999</v>
      </c>
      <c r="R227">
        <v>-2.3811499999999999E-2</v>
      </c>
      <c r="S227">
        <v>3.0627140000000002</v>
      </c>
      <c r="T227">
        <v>-0.2427474</v>
      </c>
      <c r="U227">
        <v>0.13906859999999999</v>
      </c>
      <c r="V227">
        <v>2.886362E-2</v>
      </c>
      <c r="W227">
        <v>0.13574929999999999</v>
      </c>
      <c r="X227">
        <v>0.9903227</v>
      </c>
      <c r="Y227">
        <v>-4.0162570000000002E-2</v>
      </c>
      <c r="Z227">
        <v>1.185534E-3</v>
      </c>
      <c r="AA227">
        <v>0.99919250000000004</v>
      </c>
      <c r="AB227">
        <v>30</v>
      </c>
      <c r="AC227">
        <v>14.3294999999999</v>
      </c>
      <c r="AD227">
        <v>-1.159152</v>
      </c>
      <c r="AE227">
        <v>0.66259999999999697</v>
      </c>
      <c r="AF227">
        <v>-0.58579215281282404</v>
      </c>
      <c r="AG227">
        <v>-1.159152</v>
      </c>
      <c r="AH227">
        <v>14.239707967127901</v>
      </c>
      <c r="AI227">
        <v>94.649859682153405</v>
      </c>
      <c r="AJ227">
        <v>92.355701665563302</v>
      </c>
      <c r="AK227">
        <v>14.298813544993401</v>
      </c>
      <c r="AL227">
        <v>82.198049624261202</v>
      </c>
      <c r="AM227">
        <v>88.330548646702695</v>
      </c>
      <c r="AN227">
        <v>1.0000000155726401</v>
      </c>
    </row>
    <row r="228" spans="1:40" x14ac:dyDescent="0.25">
      <c r="A228" t="str">
        <f>"20190312164221923"</f>
        <v>20190312164221923</v>
      </c>
      <c r="B228" t="str">
        <f>"1552380141914076"</f>
        <v>1552380141914076</v>
      </c>
      <c r="C228" t="s">
        <v>40</v>
      </c>
      <c r="D228">
        <v>4.44733</v>
      </c>
      <c r="E228">
        <v>0.47665619999999997</v>
      </c>
      <c r="F228" t="s">
        <v>43</v>
      </c>
      <c r="G228">
        <v>-429.24029999999999</v>
      </c>
      <c r="H228">
        <v>-0.05</v>
      </c>
      <c r="I228">
        <v>368.55799999999999</v>
      </c>
      <c r="J228">
        <v>-443.54419999999999</v>
      </c>
      <c r="K228">
        <v>1.1091569999999999</v>
      </c>
      <c r="L228">
        <v>367.89620000000002</v>
      </c>
      <c r="M228">
        <v>0.99997689999999995</v>
      </c>
      <c r="N228">
        <v>0</v>
      </c>
      <c r="O228">
        <v>5.0925989999999997E-3</v>
      </c>
      <c r="P228">
        <v>0.99110279999999995</v>
      </c>
      <c r="Q228">
        <v>0.13097149999999999</v>
      </c>
      <c r="R228">
        <v>-2.3710809999999999E-2</v>
      </c>
      <c r="S228">
        <v>3.0626220000000002</v>
      </c>
      <c r="T228">
        <v>-0.24306549999999999</v>
      </c>
      <c r="U228">
        <v>0.1390991</v>
      </c>
      <c r="V228">
        <v>2.876308E-2</v>
      </c>
      <c r="W228">
        <v>0.13546639999999999</v>
      </c>
      <c r="X228">
        <v>0.99036440000000003</v>
      </c>
      <c r="Y228">
        <v>-4.0173479999999998E-2</v>
      </c>
      <c r="Z228">
        <v>1.187544E-3</v>
      </c>
      <c r="AA228">
        <v>0.99919199999999997</v>
      </c>
      <c r="AB228">
        <v>30</v>
      </c>
      <c r="AC228">
        <v>14.303900000000001</v>
      </c>
      <c r="AD228">
        <v>-1.159157</v>
      </c>
      <c r="AE228">
        <v>0.66180000000002703</v>
      </c>
      <c r="AF228">
        <v>-0.58511235225455305</v>
      </c>
      <c r="AG228">
        <v>-1.159157</v>
      </c>
      <c r="AH228">
        <v>14.213939435814799</v>
      </c>
      <c r="AI228">
        <v>94.658267282222994</v>
      </c>
      <c r="AJ228">
        <v>92.357231900288397</v>
      </c>
      <c r="AK228">
        <v>14.2731242445521</v>
      </c>
      <c r="AL228">
        <v>82.2144100146607</v>
      </c>
      <c r="AM228">
        <v>88.336430544893204</v>
      </c>
      <c r="AN228">
        <v>1.0000000525437001</v>
      </c>
    </row>
    <row r="229" spans="1:40" x14ac:dyDescent="0.25">
      <c r="A229" t="str">
        <f>"20190312164221946"</f>
        <v>20190312164221946</v>
      </c>
      <c r="B229" t="str">
        <f>"1552380141934572"</f>
        <v>1552380141934572</v>
      </c>
      <c r="C229" t="s">
        <v>40</v>
      </c>
      <c r="D229">
        <v>4.4865300000000001</v>
      </c>
      <c r="E229">
        <v>0.47653299999999998</v>
      </c>
      <c r="F229" t="s">
        <v>43</v>
      </c>
      <c r="G229">
        <v>-428.94209999999998</v>
      </c>
      <c r="H229">
        <v>-0.05</v>
      </c>
      <c r="I229">
        <v>368.56700000000001</v>
      </c>
      <c r="J229">
        <v>-443.24610000000001</v>
      </c>
      <c r="K229">
        <v>1.109159</v>
      </c>
      <c r="L229">
        <v>367.89769999999999</v>
      </c>
      <c r="M229">
        <v>0.99997659999999999</v>
      </c>
      <c r="N229">
        <v>0</v>
      </c>
      <c r="O229">
        <v>5.0929599999999997E-3</v>
      </c>
      <c r="P229">
        <v>0.99110290000000001</v>
      </c>
      <c r="Q229">
        <v>0.13098959999999901</v>
      </c>
      <c r="R229">
        <v>-2.3601569999999999E-2</v>
      </c>
      <c r="S229">
        <v>3.0624690000000001</v>
      </c>
      <c r="T229">
        <v>-0.2431073</v>
      </c>
      <c r="U229">
        <v>0.14068599999999901</v>
      </c>
      <c r="V229">
        <v>2.8654200000000001E-2</v>
      </c>
      <c r="W229">
        <v>0.1355344</v>
      </c>
      <c r="X229">
        <v>0.99035819999999997</v>
      </c>
      <c r="Y229">
        <v>-4.0690379999999998E-2</v>
      </c>
      <c r="Z229">
        <v>1.2082379999999999E-3</v>
      </c>
      <c r="AA229">
        <v>0.99917109999999998</v>
      </c>
      <c r="AB229">
        <v>30</v>
      </c>
      <c r="AC229">
        <v>14.304</v>
      </c>
      <c r="AD229">
        <v>-1.1591590000000001</v>
      </c>
      <c r="AE229">
        <v>0.66929999999996403</v>
      </c>
      <c r="AF229">
        <v>-0.59255799674213405</v>
      </c>
      <c r="AG229">
        <v>-1.1591590000000001</v>
      </c>
      <c r="AH229">
        <v>14.2140824217011</v>
      </c>
      <c r="AI229">
        <v>94.658128244722207</v>
      </c>
      <c r="AJ229">
        <v>92.3871695676537</v>
      </c>
      <c r="AK229">
        <v>14.2735739623157</v>
      </c>
      <c r="AL229">
        <v>82.210477227023205</v>
      </c>
      <c r="AM229">
        <v>88.342713946555705</v>
      </c>
      <c r="AN229">
        <v>1.0000000005341101</v>
      </c>
    </row>
    <row r="230" spans="1:40" x14ac:dyDescent="0.25">
      <c r="A230" t="str">
        <f>"20190312164221968"</f>
        <v>20190312164221968</v>
      </c>
      <c r="B230" t="str">
        <f>"1552380141963849"</f>
        <v>1552380141963849</v>
      </c>
      <c r="C230" t="s">
        <v>40</v>
      </c>
      <c r="D230">
        <v>4.5129859999999997</v>
      </c>
      <c r="E230">
        <v>0.4764176</v>
      </c>
      <c r="F230" t="s">
        <v>43</v>
      </c>
      <c r="G230">
        <v>-428.65899999999999</v>
      </c>
      <c r="H230">
        <v>-0.05</v>
      </c>
      <c r="I230">
        <v>368.57479999999998</v>
      </c>
      <c r="J230">
        <v>-442.94720000000001</v>
      </c>
      <c r="K230">
        <v>1.109156</v>
      </c>
      <c r="L230">
        <v>367.89929999999998</v>
      </c>
      <c r="M230">
        <v>0.99997639999999999</v>
      </c>
      <c r="N230">
        <v>0</v>
      </c>
      <c r="O230">
        <v>5.0933790000000003E-3</v>
      </c>
      <c r="P230">
        <v>0.99101950000000005</v>
      </c>
      <c r="Q230">
        <v>0.131575</v>
      </c>
      <c r="R230">
        <v>-2.3848890000000001E-2</v>
      </c>
      <c r="S230">
        <v>3.0624690000000001</v>
      </c>
      <c r="T230">
        <v>-0.24335780000000001</v>
      </c>
      <c r="U230">
        <v>0.1421509</v>
      </c>
      <c r="V230">
        <v>2.8901449999999999E-2</v>
      </c>
      <c r="W230">
        <v>0.13616929999999999</v>
      </c>
      <c r="X230">
        <v>0.99026389999999997</v>
      </c>
      <c r="Y230">
        <v>-4.1165140000000003E-2</v>
      </c>
      <c r="Z230">
        <v>1.2282549999999999E-3</v>
      </c>
      <c r="AA230">
        <v>0.99915160000000003</v>
      </c>
      <c r="AB230">
        <v>30</v>
      </c>
      <c r="AC230">
        <v>14.2882</v>
      </c>
      <c r="AD230">
        <v>-1.1591559999999901</v>
      </c>
      <c r="AE230">
        <v>0.67549999999999899</v>
      </c>
      <c r="AF230">
        <v>-0.59878310908735699</v>
      </c>
      <c r="AG230">
        <v>-1.1591559999999901</v>
      </c>
      <c r="AH230">
        <v>14.198217273707201</v>
      </c>
      <c r="AI230">
        <v>94.663204043190007</v>
      </c>
      <c r="AJ230">
        <v>92.414910718239298</v>
      </c>
      <c r="AK230">
        <v>14.258034843394899</v>
      </c>
      <c r="AL230">
        <v>82.173759587015994</v>
      </c>
      <c r="AM230">
        <v>88.328262624531206</v>
      </c>
      <c r="AN230">
        <v>0.99999998185890104</v>
      </c>
    </row>
    <row r="231" spans="1:40" x14ac:dyDescent="0.25">
      <c r="A231" t="str">
        <f>"20190312164221993"</f>
        <v>20190312164221993</v>
      </c>
      <c r="B231" t="str">
        <f>"1552380141984345"</f>
        <v>1552380141984345</v>
      </c>
      <c r="C231" t="s">
        <v>40</v>
      </c>
      <c r="D231">
        <v>4.6507129999999997</v>
      </c>
      <c r="E231">
        <v>0.47636109999999998</v>
      </c>
      <c r="F231" t="s">
        <v>43</v>
      </c>
      <c r="G231">
        <v>-428.16160000000002</v>
      </c>
      <c r="H231">
        <v>-0.05</v>
      </c>
      <c r="I231">
        <v>368.58609999999999</v>
      </c>
      <c r="J231">
        <v>-442.61360000000002</v>
      </c>
      <c r="K231">
        <v>1.1091629999999999</v>
      </c>
      <c r="L231">
        <v>367.90089999999998</v>
      </c>
      <c r="M231">
        <v>0.99997599999999998</v>
      </c>
      <c r="N231">
        <v>0</v>
      </c>
      <c r="O231">
        <v>5.0940810000000003E-3</v>
      </c>
      <c r="P231">
        <v>0.99093439999999999</v>
      </c>
      <c r="Q231">
        <v>0.13215789999999999</v>
      </c>
      <c r="R231">
        <v>-2.4148889999999999E-2</v>
      </c>
      <c r="S231">
        <v>3.0625309999999999</v>
      </c>
      <c r="T231">
        <v>-0.24009620000000001</v>
      </c>
      <c r="U231">
        <v>0.14227290000000001</v>
      </c>
      <c r="V231">
        <v>2.9201749999999999E-2</v>
      </c>
      <c r="W231">
        <v>0.1368075</v>
      </c>
      <c r="X231">
        <v>0.99016709999999997</v>
      </c>
      <c r="Y231">
        <v>-4.1206149999999997E-2</v>
      </c>
      <c r="Z231">
        <v>1.2133689999999999E-3</v>
      </c>
      <c r="AA231">
        <v>0.99914990000000004</v>
      </c>
      <c r="AB231">
        <v>30</v>
      </c>
      <c r="AC231">
        <v>14.4519999999999</v>
      </c>
      <c r="AD231">
        <v>-1.1591629999999999</v>
      </c>
      <c r="AE231">
        <v>0.68520000000000802</v>
      </c>
      <c r="AF231">
        <v>-0.60767008942129497</v>
      </c>
      <c r="AG231">
        <v>-1.1591629999999999</v>
      </c>
      <c r="AH231">
        <v>14.363108193472801</v>
      </c>
      <c r="AI231">
        <v>94.609903408449696</v>
      </c>
      <c r="AJ231">
        <v>92.422607965385396</v>
      </c>
      <c r="AK231">
        <v>14.422614144999899</v>
      </c>
      <c r="AL231">
        <v>82.136847815984893</v>
      </c>
      <c r="AM231">
        <v>88.310737445231794</v>
      </c>
      <c r="AN231">
        <v>0.99999996009086001</v>
      </c>
    </row>
    <row r="232" spans="1:40" x14ac:dyDescent="0.25">
      <c r="A232" t="str">
        <f>"20190312164222014"</f>
        <v>20190312164222014</v>
      </c>
      <c r="B232" t="str">
        <f>"1552380142004842"</f>
        <v>1552380142004842</v>
      </c>
      <c r="C232" t="s">
        <v>40</v>
      </c>
      <c r="D232">
        <v>4.7118419999999999</v>
      </c>
      <c r="E232">
        <v>0.47631309999999899</v>
      </c>
      <c r="F232" t="s">
        <v>43</v>
      </c>
      <c r="G232">
        <v>-427.71429999999998</v>
      </c>
      <c r="H232">
        <v>-0.05</v>
      </c>
      <c r="I232">
        <v>368.59219999999999</v>
      </c>
      <c r="J232">
        <v>-442.31670000000003</v>
      </c>
      <c r="K232">
        <v>1.109175</v>
      </c>
      <c r="L232">
        <v>367.9024</v>
      </c>
      <c r="M232">
        <v>0.99997590000000003</v>
      </c>
      <c r="N232">
        <v>0</v>
      </c>
      <c r="O232">
        <v>5.0947960000000004E-3</v>
      </c>
      <c r="P232">
        <v>0.99082499999999996</v>
      </c>
      <c r="Q232">
        <v>0.13286999999999999</v>
      </c>
      <c r="R232">
        <v>-2.4733769999999999E-2</v>
      </c>
      <c r="S232">
        <v>3.0627140000000002</v>
      </c>
      <c r="T232">
        <v>-0.23827789999999999</v>
      </c>
      <c r="U232">
        <v>0.14208979999999999</v>
      </c>
      <c r="V232">
        <v>2.9786779999999999E-2</v>
      </c>
      <c r="W232">
        <v>0.13756889999999999</v>
      </c>
      <c r="X232">
        <v>0.99004420000000004</v>
      </c>
      <c r="Y232">
        <v>-4.1144930000000003E-2</v>
      </c>
      <c r="Z232">
        <v>1.201705E-3</v>
      </c>
      <c r="AA232">
        <v>0.9991525</v>
      </c>
      <c r="AB232">
        <v>31</v>
      </c>
      <c r="AC232">
        <v>14.602399999999999</v>
      </c>
      <c r="AD232">
        <v>-1.1591750000000001</v>
      </c>
      <c r="AE232">
        <v>0.68979999999999098</v>
      </c>
      <c r="AF232">
        <v>-0.61154882661444399</v>
      </c>
      <c r="AG232">
        <v>-1.1591750000000001</v>
      </c>
      <c r="AH232">
        <v>14.514464479982999</v>
      </c>
      <c r="AI232">
        <v>94.562115823252995</v>
      </c>
      <c r="AJ232">
        <v>92.412659066795399</v>
      </c>
      <c r="AK232">
        <v>14.5735156289979</v>
      </c>
      <c r="AL232">
        <v>82.092806602958007</v>
      </c>
      <c r="AM232">
        <v>88.276701069142305</v>
      </c>
      <c r="AN232">
        <v>0.99999998623180897</v>
      </c>
    </row>
    <row r="233" spans="1:40" x14ac:dyDescent="0.25">
      <c r="A233" t="str">
        <f>"20190312164222037"</f>
        <v>20190312164222037</v>
      </c>
      <c r="B233" t="str">
        <f>"1552380142034121"</f>
        <v>1552380142034121</v>
      </c>
      <c r="C233" t="s">
        <v>40</v>
      </c>
      <c r="D233">
        <v>4.6683479999999999</v>
      </c>
      <c r="E233">
        <v>0.47625420000000002</v>
      </c>
      <c r="F233" t="s">
        <v>43</v>
      </c>
      <c r="G233">
        <v>-427.24540000000002</v>
      </c>
      <c r="H233">
        <v>-0.05</v>
      </c>
      <c r="I233">
        <v>368.59859999999998</v>
      </c>
      <c r="J233">
        <v>-442.00310000000002</v>
      </c>
      <c r="K233">
        <v>1.109173</v>
      </c>
      <c r="L233">
        <v>367.904</v>
      </c>
      <c r="M233">
        <v>0.99997559999999996</v>
      </c>
      <c r="N233">
        <v>0</v>
      </c>
      <c r="O233">
        <v>5.0956830000000002E-3</v>
      </c>
      <c r="P233">
        <v>0.99075559999999996</v>
      </c>
      <c r="Q233">
        <v>0.1332797</v>
      </c>
      <c r="R233">
        <v>-2.5298620000000001E-2</v>
      </c>
      <c r="S233">
        <v>3.062897</v>
      </c>
      <c r="T233">
        <v>-0.2355757</v>
      </c>
      <c r="U233">
        <v>0.14147950000000001</v>
      </c>
      <c r="V233">
        <v>3.0352380000000002E-2</v>
      </c>
      <c r="W233">
        <v>0.13803029999999999</v>
      </c>
      <c r="X233">
        <v>0.98996280000000003</v>
      </c>
      <c r="Y233">
        <v>-4.094565E-2</v>
      </c>
      <c r="Z233">
        <v>1.1803359999999999E-3</v>
      </c>
      <c r="AA233">
        <v>0.99916070000000001</v>
      </c>
      <c r="AB233">
        <v>31</v>
      </c>
      <c r="AC233">
        <v>14.7577</v>
      </c>
      <c r="AD233">
        <v>-1.159173</v>
      </c>
      <c r="AE233">
        <v>0.69459999999997901</v>
      </c>
      <c r="AF233">
        <v>-0.61559993318610695</v>
      </c>
      <c r="AG233">
        <v>-1.159173</v>
      </c>
      <c r="AH233">
        <v>14.6707349526435</v>
      </c>
      <c r="AI233">
        <v>94.513747554264995</v>
      </c>
      <c r="AJ233">
        <v>92.402783425672297</v>
      </c>
      <c r="AK233">
        <v>14.7293282050603</v>
      </c>
      <c r="AL233">
        <v>82.066115716368898</v>
      </c>
      <c r="AM233">
        <v>88.243854569213099</v>
      </c>
      <c r="AN233">
        <v>0.99999998803679702</v>
      </c>
    </row>
    <row r="234" spans="1:40" x14ac:dyDescent="0.25">
      <c r="A234" t="str">
        <f>"20190312164222060"</f>
        <v>20190312164222060</v>
      </c>
      <c r="B234" t="str">
        <f>"1552380142054616"</f>
        <v>1552380142054616</v>
      </c>
      <c r="C234" t="s">
        <v>40</v>
      </c>
      <c r="D234">
        <v>4.4750379999999996</v>
      </c>
      <c r="E234">
        <v>0.476298</v>
      </c>
      <c r="F234" t="s">
        <v>43</v>
      </c>
      <c r="G234">
        <v>-426.82440000000003</v>
      </c>
      <c r="H234">
        <v>-0.05</v>
      </c>
      <c r="I234">
        <v>368.601</v>
      </c>
      <c r="J234">
        <v>-441.6893</v>
      </c>
      <c r="K234">
        <v>1.1091759999999999</v>
      </c>
      <c r="L234">
        <v>367.90559999999999</v>
      </c>
      <c r="M234">
        <v>0.99997530000000001</v>
      </c>
      <c r="N234">
        <v>0</v>
      </c>
      <c r="O234">
        <v>5.0963900000000001E-3</v>
      </c>
      <c r="P234">
        <v>0.99078200000000005</v>
      </c>
      <c r="Q234">
        <v>0.13295190000000001</v>
      </c>
      <c r="R234">
        <v>-2.5987619999999999E-2</v>
      </c>
      <c r="S234">
        <v>3.0630799999999998</v>
      </c>
      <c r="T234">
        <v>-0.23392160000000001</v>
      </c>
      <c r="U234">
        <v>0.14065549999999999</v>
      </c>
      <c r="V234">
        <v>3.1041800000000001E-2</v>
      </c>
      <c r="W234">
        <v>0.13775399999999999</v>
      </c>
      <c r="X234">
        <v>0.98997990000000002</v>
      </c>
      <c r="Y234">
        <v>-4.0676240000000002E-2</v>
      </c>
      <c r="Z234">
        <v>1.161689E-3</v>
      </c>
      <c r="AA234">
        <v>0.9991717</v>
      </c>
      <c r="AB234">
        <v>31</v>
      </c>
      <c r="AC234">
        <v>14.864899999999899</v>
      </c>
      <c r="AD234">
        <v>-1.159176</v>
      </c>
      <c r="AE234">
        <v>0.69540000000000601</v>
      </c>
      <c r="AF234">
        <v>-0.61589567271273704</v>
      </c>
      <c r="AG234">
        <v>-1.159176</v>
      </c>
      <c r="AH234">
        <v>14.778578777251001</v>
      </c>
      <c r="AI234">
        <v>94.481008853169797</v>
      </c>
      <c r="AJ234">
        <v>92.386414483597207</v>
      </c>
      <c r="AK234">
        <v>14.8367586471593</v>
      </c>
      <c r="AL234">
        <v>82.082099163999203</v>
      </c>
      <c r="AM234">
        <v>88.204022547858997</v>
      </c>
      <c r="AN234">
        <v>0.99999998013362401</v>
      </c>
    </row>
    <row r="235" spans="1:40" x14ac:dyDescent="0.25">
      <c r="A235" t="str">
        <f>"20190312164222080"</f>
        <v>20190312164222080</v>
      </c>
      <c r="B235" t="str">
        <f>"1552380142074137"</f>
        <v>1552380142074137</v>
      </c>
      <c r="C235" t="s">
        <v>40</v>
      </c>
      <c r="D235">
        <v>4.4578980000000001</v>
      </c>
      <c r="E235">
        <v>0.49491469999999999</v>
      </c>
      <c r="F235" t="s">
        <v>43</v>
      </c>
      <c r="G235">
        <v>-426.57859999999999</v>
      </c>
      <c r="H235">
        <v>-0.05</v>
      </c>
      <c r="I235">
        <v>368.58629999999999</v>
      </c>
      <c r="J235">
        <v>-441.3956</v>
      </c>
      <c r="K235">
        <v>1.1091839999999999</v>
      </c>
      <c r="L235">
        <v>367.90710000000001</v>
      </c>
      <c r="M235">
        <v>0.99997510000000001</v>
      </c>
      <c r="N235">
        <v>0</v>
      </c>
      <c r="O235">
        <v>5.0971050000000002E-3</v>
      </c>
      <c r="P235">
        <v>0.99082139999999996</v>
      </c>
      <c r="Q235">
        <v>0.13251540000000001</v>
      </c>
      <c r="R235">
        <v>-2.6701030000000001E-2</v>
      </c>
      <c r="S235">
        <v>3.0630799999999998</v>
      </c>
      <c r="T235">
        <v>-0.2349752</v>
      </c>
      <c r="U235">
        <v>0.13797000000000001</v>
      </c>
      <c r="V235">
        <v>3.1756119999999999E-2</v>
      </c>
      <c r="W235">
        <v>0.13736619999999999</v>
      </c>
      <c r="X235">
        <v>0.99001119999999998</v>
      </c>
      <c r="Y235">
        <v>-3.980293E-2</v>
      </c>
      <c r="Z235">
        <v>1.133443E-3</v>
      </c>
      <c r="AA235">
        <v>0.99920690000000001</v>
      </c>
      <c r="AB235">
        <v>31</v>
      </c>
      <c r="AC235">
        <v>14.817</v>
      </c>
      <c r="AD235">
        <v>-1.159184</v>
      </c>
      <c r="AE235">
        <v>0.67919999999998004</v>
      </c>
      <c r="AF235">
        <v>-0.60000188404507904</v>
      </c>
      <c r="AG235">
        <v>-1.159184</v>
      </c>
      <c r="AH235">
        <v>14.730302301976799</v>
      </c>
      <c r="AI235">
        <v>94.495839080472905</v>
      </c>
      <c r="AJ235">
        <v>92.332510324702696</v>
      </c>
      <c r="AK235">
        <v>14.788019330334199</v>
      </c>
      <c r="AL235">
        <v>82.1045322806673</v>
      </c>
      <c r="AM235">
        <v>88.162780373045194</v>
      </c>
      <c r="AN235">
        <v>1.00000005009266</v>
      </c>
    </row>
    <row r="236" spans="1:40" x14ac:dyDescent="0.25">
      <c r="A236" t="str">
        <f>"20190312164222103"</f>
        <v>20190312164222103</v>
      </c>
      <c r="B236" t="str">
        <f>"1552380142094633"</f>
        <v>1552380142094633</v>
      </c>
      <c r="C236" t="s">
        <v>40</v>
      </c>
      <c r="D236">
        <v>4.4385329999999996</v>
      </c>
      <c r="E236">
        <v>0.49620570000000003</v>
      </c>
      <c r="F236" t="s">
        <v>41</v>
      </c>
      <c r="G236">
        <v>-440.65750000000003</v>
      </c>
      <c r="H236">
        <v>1.045863</v>
      </c>
      <c r="I236">
        <v>367.9042</v>
      </c>
      <c r="J236">
        <v>-441.08249999999998</v>
      </c>
      <c r="K236">
        <v>1.1091719999999901</v>
      </c>
      <c r="L236">
        <v>367.90870000000001</v>
      </c>
      <c r="M236">
        <v>0.99997510000000001</v>
      </c>
      <c r="N236">
        <v>0</v>
      </c>
      <c r="O236">
        <v>5.0975739999999997E-3</v>
      </c>
      <c r="P236">
        <v>0.99081810000000003</v>
      </c>
      <c r="Q236">
        <v>0.13239989999999999</v>
      </c>
      <c r="R236">
        <v>-2.7386669999999998E-2</v>
      </c>
      <c r="S236">
        <v>3.0626829999999998</v>
      </c>
      <c r="T236">
        <v>-0.26301400000000003</v>
      </c>
      <c r="U236">
        <v>-1.1291499999999999E-2</v>
      </c>
      <c r="V236">
        <v>3.2442289999999999E-2</v>
      </c>
      <c r="W236">
        <v>0.13725390000000001</v>
      </c>
      <c r="X236">
        <v>0.99000449999999995</v>
      </c>
      <c r="Y236">
        <v>8.7334219999999994E-3</v>
      </c>
      <c r="Z236">
        <v>-8.1127320000000001E-4</v>
      </c>
      <c r="AA236">
        <v>0.99996160000000001</v>
      </c>
      <c r="AB236">
        <v>31</v>
      </c>
      <c r="AC236">
        <v>0.42499999999995403</v>
      </c>
      <c r="AD236">
        <v>-6.3308999999999796E-2</v>
      </c>
      <c r="AE236">
        <v>-4.5000000000072699E-3</v>
      </c>
      <c r="AF236">
        <v>6.5217365835980399E-3</v>
      </c>
      <c r="AG236">
        <v>-6.3308999999999796E-2</v>
      </c>
      <c r="AH236">
        <v>0.41574723205890002</v>
      </c>
      <c r="AI236">
        <v>98.657300353846793</v>
      </c>
      <c r="AJ236">
        <v>89.101287256022104</v>
      </c>
      <c r="AK236">
        <v>0.42059044627012399</v>
      </c>
      <c r="AL236">
        <v>82.111027906245198</v>
      </c>
      <c r="AM236">
        <v>88.123098071093906</v>
      </c>
      <c r="AN236">
        <v>1.00000002263295</v>
      </c>
    </row>
    <row r="237" spans="1:40" x14ac:dyDescent="0.25">
      <c r="A237" t="str">
        <f>"20190312164222125"</f>
        <v>20190312164222125</v>
      </c>
      <c r="B237" t="str">
        <f>"1552380142114153"</f>
        <v>1552380142114153</v>
      </c>
      <c r="C237" t="s">
        <v>40</v>
      </c>
      <c r="D237">
        <v>4.6824700000000004</v>
      </c>
      <c r="E237">
        <v>0.49715819999999999</v>
      </c>
      <c r="F237" t="s">
        <v>41</v>
      </c>
      <c r="G237">
        <v>-440.10730000000001</v>
      </c>
      <c r="H237">
        <v>1.0300769999999999</v>
      </c>
      <c r="I237">
        <v>367.9008</v>
      </c>
      <c r="J237">
        <v>-440.77030000000002</v>
      </c>
      <c r="K237">
        <v>1.1090100000000001</v>
      </c>
      <c r="L237">
        <v>367.91030000000001</v>
      </c>
      <c r="M237">
        <v>0.99997720000000001</v>
      </c>
      <c r="N237">
        <v>0</v>
      </c>
      <c r="O237">
        <v>5.0928019999999996E-3</v>
      </c>
      <c r="P237">
        <v>0.99082559999999997</v>
      </c>
      <c r="Q237">
        <v>0.13235089999999999</v>
      </c>
      <c r="R237">
        <v>-2.735334E-2</v>
      </c>
      <c r="S237">
        <v>3.0603639999999999</v>
      </c>
      <c r="T237">
        <v>-0.2483166</v>
      </c>
      <c r="U237">
        <v>-2.4291989999999999E-2</v>
      </c>
      <c r="V237">
        <v>3.2404809999999999E-2</v>
      </c>
      <c r="W237">
        <v>0.13675309999999999</v>
      </c>
      <c r="X237">
        <v>0.99007500000000004</v>
      </c>
      <c r="Y237">
        <v>1.2970590000000001E-2</v>
      </c>
      <c r="Z237">
        <v>-9.3789109999999998E-4</v>
      </c>
      <c r="AA237">
        <v>0.99991540000000001</v>
      </c>
      <c r="AB237">
        <v>31</v>
      </c>
      <c r="AC237">
        <v>0.66300000000001003</v>
      </c>
      <c r="AD237">
        <v>-7.8932999999999906E-2</v>
      </c>
      <c r="AE237">
        <v>-9.5000000000027198E-3</v>
      </c>
      <c r="AF237">
        <v>1.2696515193954599E-2</v>
      </c>
      <c r="AG237">
        <v>-7.8932999999999906E-2</v>
      </c>
      <c r="AH237">
        <v>0.65367971367448097</v>
      </c>
      <c r="AI237">
        <v>96.883947015650705</v>
      </c>
      <c r="AJ237">
        <v>88.887275739369201</v>
      </c>
      <c r="AK237">
        <v>0.65855052050440399</v>
      </c>
      <c r="AL237">
        <v>82.139994545845497</v>
      </c>
      <c r="AM237">
        <v>88.125398272762595</v>
      </c>
      <c r="AN237">
        <v>0.99999999384787297</v>
      </c>
    </row>
    <row r="238" spans="1:40" x14ac:dyDescent="0.25">
      <c r="A238" t="str">
        <f>"20190312164222147"</f>
        <v>20190312164222147</v>
      </c>
      <c r="B238" t="str">
        <f>"1552380142144409"</f>
        <v>1552380142144409</v>
      </c>
      <c r="C238" t="s">
        <v>40</v>
      </c>
      <c r="D238">
        <v>4.613327</v>
      </c>
      <c r="E238">
        <v>0.49848969999999998</v>
      </c>
      <c r="F238" t="s">
        <v>41</v>
      </c>
      <c r="G238">
        <v>-439.82080000000002</v>
      </c>
      <c r="H238">
        <v>1.0359020000000001</v>
      </c>
      <c r="I238">
        <v>367.9</v>
      </c>
      <c r="J238">
        <v>-440.46199999999999</v>
      </c>
      <c r="K238">
        <v>1.108746</v>
      </c>
      <c r="L238">
        <v>367.91180000000003</v>
      </c>
      <c r="M238">
        <v>0.9999787</v>
      </c>
      <c r="N238">
        <v>0</v>
      </c>
      <c r="O238">
        <v>5.0818929999999997E-3</v>
      </c>
      <c r="P238">
        <v>0.99087199999999998</v>
      </c>
      <c r="Q238">
        <v>0.13189670000000001</v>
      </c>
      <c r="R238">
        <v>-2.785982E-2</v>
      </c>
      <c r="S238">
        <v>3.0583499999999999</v>
      </c>
      <c r="T238">
        <v>-0.2356019</v>
      </c>
      <c r="U238">
        <v>-3.2562260000000003E-2</v>
      </c>
      <c r="V238">
        <v>3.2902059999999997E-2</v>
      </c>
      <c r="W238">
        <v>0.13596520000000001</v>
      </c>
      <c r="X238">
        <v>0.99016709999999997</v>
      </c>
      <c r="Y238">
        <v>1.566644E-2</v>
      </c>
      <c r="Z238">
        <v>-9.9342859999999996E-4</v>
      </c>
      <c r="AA238">
        <v>0.99987680000000001</v>
      </c>
      <c r="AB238">
        <v>32</v>
      </c>
      <c r="AC238">
        <v>0.64119999999996902</v>
      </c>
      <c r="AD238">
        <v>-7.2843999999999895E-2</v>
      </c>
      <c r="AE238">
        <v>-1.18000000000506E-2</v>
      </c>
      <c r="AF238">
        <v>1.4866577728730099E-2</v>
      </c>
      <c r="AG238">
        <v>-7.2843999999999895E-2</v>
      </c>
      <c r="AH238">
        <v>0.63296530172273702</v>
      </c>
      <c r="AI238">
        <v>96.563136186453804</v>
      </c>
      <c r="AJ238">
        <v>88.654530383745495</v>
      </c>
      <c r="AK238">
        <v>0.63731651214629503</v>
      </c>
      <c r="AL238">
        <v>82.185563449578098</v>
      </c>
      <c r="AM238">
        <v>88.096830521192402</v>
      </c>
      <c r="AN238">
        <v>0.99999998354284603</v>
      </c>
    </row>
    <row r="239" spans="1:40" x14ac:dyDescent="0.25">
      <c r="A239" t="str">
        <f>"20190312164222169"</f>
        <v>20190312164222169</v>
      </c>
      <c r="B239" t="str">
        <f>"1552380142163929"</f>
        <v>1552380142163929</v>
      </c>
      <c r="C239" t="s">
        <v>40</v>
      </c>
      <c r="D239">
        <v>4.3432050000000002</v>
      </c>
      <c r="E239">
        <v>0.49904539999999997</v>
      </c>
      <c r="F239" t="s">
        <v>41</v>
      </c>
      <c r="G239">
        <v>-439.5326</v>
      </c>
      <c r="H239">
        <v>1.041507</v>
      </c>
      <c r="I239">
        <v>367.89780000000002</v>
      </c>
      <c r="J239">
        <v>-440.14519999999999</v>
      </c>
      <c r="K239">
        <v>1.108349</v>
      </c>
      <c r="L239">
        <v>367.9135</v>
      </c>
      <c r="M239">
        <v>0.99997879999999995</v>
      </c>
      <c r="N239">
        <v>0</v>
      </c>
      <c r="O239">
        <v>5.058005E-3</v>
      </c>
      <c r="P239">
        <v>0.99093560000000003</v>
      </c>
      <c r="Q239">
        <v>0.13144690000000001</v>
      </c>
      <c r="R239">
        <v>-2.7718679999999999E-2</v>
      </c>
      <c r="S239">
        <v>3.0558779999999999</v>
      </c>
      <c r="T239">
        <v>-0.22136259999999999</v>
      </c>
      <c r="U239">
        <v>-4.5104980000000003E-2</v>
      </c>
      <c r="V239">
        <v>3.2740310000000002E-2</v>
      </c>
      <c r="W239">
        <v>0.13548859999999999</v>
      </c>
      <c r="X239">
        <v>0.99023779999999995</v>
      </c>
      <c r="Y239">
        <v>1.9750779999999999E-2</v>
      </c>
      <c r="Z239">
        <v>-1.080281E-3</v>
      </c>
      <c r="AA239">
        <v>0.99980440000000004</v>
      </c>
      <c r="AB239">
        <v>32</v>
      </c>
      <c r="AC239">
        <v>0.61259999999998604</v>
      </c>
      <c r="AD239">
        <v>-6.6841999999999999E-2</v>
      </c>
      <c r="AE239">
        <v>-1.5699999999981101E-2</v>
      </c>
      <c r="AF239">
        <v>1.85773332163582E-2</v>
      </c>
      <c r="AG239">
        <v>-6.6841999999999999E-2</v>
      </c>
      <c r="AH239">
        <v>0.60531099809704503</v>
      </c>
      <c r="AI239">
        <v>96.298465062629603</v>
      </c>
      <c r="AJ239">
        <v>88.242112254213794</v>
      </c>
      <c r="AK239">
        <v>0.60927364516338001</v>
      </c>
      <c r="AL239">
        <v>82.213125758222802</v>
      </c>
      <c r="AM239">
        <v>88.106314987943307</v>
      </c>
      <c r="AN239">
        <v>0.99999999458884703</v>
      </c>
    </row>
    <row r="240" spans="1:40" x14ac:dyDescent="0.25">
      <c r="A240" t="str">
        <f>"20190312164222192"</f>
        <v>20190312164222192</v>
      </c>
      <c r="B240" t="str">
        <f>"1552380142184426"</f>
        <v>1552380142184426</v>
      </c>
      <c r="C240" t="s">
        <v>40</v>
      </c>
      <c r="D240">
        <v>4.3414210000000004</v>
      </c>
      <c r="E240">
        <v>0.49936829999999999</v>
      </c>
      <c r="F240" t="s">
        <v>41</v>
      </c>
      <c r="G240">
        <v>-439.24259999999998</v>
      </c>
      <c r="H240">
        <v>1.0446930000000001</v>
      </c>
      <c r="I240">
        <v>367.899</v>
      </c>
      <c r="J240">
        <v>-439.8202</v>
      </c>
      <c r="K240">
        <v>1.1077520000000001</v>
      </c>
      <c r="L240">
        <v>367.91500000000002</v>
      </c>
      <c r="M240">
        <v>0.99997789999999998</v>
      </c>
      <c r="N240">
        <v>0</v>
      </c>
      <c r="O240">
        <v>5.0123370000000004E-3</v>
      </c>
      <c r="P240">
        <v>0.99110980000000004</v>
      </c>
      <c r="Q240">
        <v>0.1301657</v>
      </c>
      <c r="R240">
        <v>-2.7538719999999999E-2</v>
      </c>
      <c r="S240">
        <v>3.0546570000000002</v>
      </c>
      <c r="T240">
        <v>-0.21547520000000001</v>
      </c>
      <c r="U240">
        <v>-4.8950199999999902E-2</v>
      </c>
      <c r="V240">
        <v>3.2520559999999997E-2</v>
      </c>
      <c r="W240">
        <v>0.13452990000000001</v>
      </c>
      <c r="X240">
        <v>0.99037580000000003</v>
      </c>
      <c r="Y240">
        <v>2.0969709999999999E-2</v>
      </c>
      <c r="Z240">
        <v>-1.0917500000000001E-3</v>
      </c>
      <c r="AA240">
        <v>0.99977950000000004</v>
      </c>
      <c r="AB240">
        <v>32</v>
      </c>
      <c r="AC240">
        <v>0.57760000000001799</v>
      </c>
      <c r="AD240">
        <v>-6.3058999999999907E-2</v>
      </c>
      <c r="AE240">
        <v>-1.6000000000019499E-2</v>
      </c>
      <c r="AF240">
        <v>1.86725648333094E-2</v>
      </c>
      <c r="AG240">
        <v>-6.3058999999999907E-2</v>
      </c>
      <c r="AH240">
        <v>0.57071540523485298</v>
      </c>
      <c r="AI240">
        <v>96.301756424588703</v>
      </c>
      <c r="AJ240">
        <v>88.126075365838105</v>
      </c>
      <c r="AK240">
        <v>0.57449210258352201</v>
      </c>
      <c r="AL240">
        <v>82.268563241827806</v>
      </c>
      <c r="AM240">
        <v>88.119277979226993</v>
      </c>
      <c r="AN240">
        <v>1.0000000530211799</v>
      </c>
    </row>
    <row r="241" spans="1:40" x14ac:dyDescent="0.25">
      <c r="A241" t="str">
        <f>"20190312164222214"</f>
        <v>20190312164222214</v>
      </c>
      <c r="B241" t="str">
        <f>"1552380142203945"</f>
        <v>1552380142203945</v>
      </c>
      <c r="C241" t="s">
        <v>40</v>
      </c>
      <c r="D241">
        <v>4.3071809999999999</v>
      </c>
      <c r="E241">
        <v>0.49959029999999999</v>
      </c>
      <c r="F241" t="s">
        <v>41</v>
      </c>
      <c r="G241">
        <v>-438.95170000000002</v>
      </c>
      <c r="H241">
        <v>1.046878</v>
      </c>
      <c r="I241">
        <v>367.90030000000002</v>
      </c>
      <c r="J241">
        <v>-439.48630000000003</v>
      </c>
      <c r="K241">
        <v>1.106911</v>
      </c>
      <c r="L241">
        <v>367.91660000000002</v>
      </c>
      <c r="M241">
        <v>0.9999749</v>
      </c>
      <c r="N241">
        <v>0</v>
      </c>
      <c r="O241">
        <v>4.9384169999999996E-3</v>
      </c>
      <c r="P241">
        <v>0.99130739999999995</v>
      </c>
      <c r="Q241">
        <v>0.12862660000000001</v>
      </c>
      <c r="R241">
        <v>-2.766159E-2</v>
      </c>
      <c r="S241">
        <v>3.0536500000000002</v>
      </c>
      <c r="T241">
        <v>-0.2142799</v>
      </c>
      <c r="U241">
        <v>-5.0689699999999997E-2</v>
      </c>
      <c r="V241">
        <v>3.2577630000000003E-2</v>
      </c>
      <c r="W241">
        <v>0.1336666</v>
      </c>
      <c r="X241">
        <v>0.99049069999999995</v>
      </c>
      <c r="Y241">
        <v>2.1470099999999999E-2</v>
      </c>
      <c r="Z241">
        <v>-1.0984149999999999E-3</v>
      </c>
      <c r="AA241">
        <v>0.99976889999999996</v>
      </c>
      <c r="AB241">
        <v>32</v>
      </c>
      <c r="AC241">
        <v>0.53460000000001096</v>
      </c>
      <c r="AD241">
        <v>-6.0033000000000003E-2</v>
      </c>
      <c r="AE241">
        <v>-1.6300000000001001E-2</v>
      </c>
      <c r="AF241">
        <v>1.8704267432341201E-2</v>
      </c>
      <c r="AG241">
        <v>-6.0033000000000003E-2</v>
      </c>
      <c r="AH241">
        <v>0.52786270850679795</v>
      </c>
      <c r="AI241">
        <v>96.484246983674097</v>
      </c>
      <c r="AJ241">
        <v>87.970632546347005</v>
      </c>
      <c r="AK241">
        <v>0.53159462915017597</v>
      </c>
      <c r="AL241">
        <v>82.318476671139095</v>
      </c>
      <c r="AM241">
        <v>88.116198290474799</v>
      </c>
      <c r="AN241">
        <v>0.99999994435923101</v>
      </c>
    </row>
    <row r="242" spans="1:40" x14ac:dyDescent="0.25">
      <c r="A242" t="str">
        <f>"20190312164222239"</f>
        <v>20190312164222239</v>
      </c>
      <c r="B242" t="str">
        <f>"1552380142234202"</f>
        <v>1552380142234202</v>
      </c>
      <c r="C242" t="s">
        <v>40</v>
      </c>
      <c r="D242">
        <v>4.291461</v>
      </c>
      <c r="E242">
        <v>0.49927690000000002</v>
      </c>
      <c r="F242" t="s">
        <v>41</v>
      </c>
      <c r="G242">
        <v>-438.6592</v>
      </c>
      <c r="H242">
        <v>1.0488470000000001</v>
      </c>
      <c r="I242">
        <v>367.90199999999999</v>
      </c>
      <c r="J242">
        <v>-439.14120000000003</v>
      </c>
      <c r="K242">
        <v>1.105823</v>
      </c>
      <c r="L242">
        <v>367.91829999999999</v>
      </c>
      <c r="M242">
        <v>0.99996830000000003</v>
      </c>
      <c r="N242">
        <v>0</v>
      </c>
      <c r="O242">
        <v>4.8425639999999997E-3</v>
      </c>
      <c r="P242">
        <v>0.99156900000000003</v>
      </c>
      <c r="Q242">
        <v>0.1266197</v>
      </c>
      <c r="R242">
        <v>-2.7533700000000001E-2</v>
      </c>
      <c r="S242">
        <v>3.052673</v>
      </c>
      <c r="T242">
        <v>-0.2144508</v>
      </c>
      <c r="U242">
        <v>-5.316162E-2</v>
      </c>
      <c r="V242">
        <v>3.2364959999999998E-2</v>
      </c>
      <c r="W242">
        <v>0.13287260000000001</v>
      </c>
      <c r="X242">
        <v>0.99060459999999995</v>
      </c>
      <c r="Y242">
        <v>2.218726E-2</v>
      </c>
      <c r="Z242">
        <v>-1.1180680000000001E-3</v>
      </c>
      <c r="AA242">
        <v>0.99975320000000001</v>
      </c>
      <c r="AB242">
        <v>32</v>
      </c>
      <c r="AC242">
        <v>0.48200000000002702</v>
      </c>
      <c r="AD242">
        <v>-5.6976000000000103E-2</v>
      </c>
      <c r="AE242">
        <v>-1.6300000000001001E-2</v>
      </c>
      <c r="AF242">
        <v>1.8377476096417301E-2</v>
      </c>
      <c r="AG242">
        <v>-5.6976000000000103E-2</v>
      </c>
      <c r="AH242">
        <v>0.47528188259166598</v>
      </c>
      <c r="AI242">
        <v>96.830845096394896</v>
      </c>
      <c r="AJ242">
        <v>87.785677147894603</v>
      </c>
      <c r="AK242">
        <v>0.47903743499183099</v>
      </c>
      <c r="AL242">
        <v>82.364379761448106</v>
      </c>
      <c r="AM242">
        <v>88.128702194893506</v>
      </c>
      <c r="AN242">
        <v>1.0000000460038501</v>
      </c>
    </row>
    <row r="243" spans="1:40" x14ac:dyDescent="0.25">
      <c r="A243" t="str">
        <f>"20190312164222261"</f>
        <v>20190312164222261</v>
      </c>
      <c r="B243" t="str">
        <f>"1552380142253721"</f>
        <v>1552380142253721</v>
      </c>
      <c r="C243" t="s">
        <v>40</v>
      </c>
      <c r="D243">
        <v>4.2690429999999999</v>
      </c>
      <c r="E243">
        <v>0.49895400000000001</v>
      </c>
      <c r="F243" t="s">
        <v>43</v>
      </c>
      <c r="G243">
        <v>-422.99439999999998</v>
      </c>
      <c r="H243">
        <v>-0.05</v>
      </c>
      <c r="I243">
        <v>367.65370000000001</v>
      </c>
      <c r="J243">
        <v>-438.8218</v>
      </c>
      <c r="K243">
        <v>1.104673</v>
      </c>
      <c r="L243">
        <v>367.91969999999998</v>
      </c>
      <c r="M243">
        <v>0.99995679999999998</v>
      </c>
      <c r="N243">
        <v>0</v>
      </c>
      <c r="O243">
        <v>4.7377859999999999E-3</v>
      </c>
      <c r="P243">
        <v>0.9918342</v>
      </c>
      <c r="Q243">
        <v>0.1244519</v>
      </c>
      <c r="R243">
        <v>-2.787413E-2</v>
      </c>
      <c r="S243">
        <v>3.052063</v>
      </c>
      <c r="T243">
        <v>-0.21847359999999999</v>
      </c>
      <c r="U243">
        <v>-5.0018310000000003E-2</v>
      </c>
      <c r="V243">
        <v>3.261178E-2</v>
      </c>
      <c r="W243">
        <v>0.13237779999999999</v>
      </c>
      <c r="X243">
        <v>0.99066270000000001</v>
      </c>
      <c r="Y243">
        <v>2.1057289999999999E-2</v>
      </c>
      <c r="Z243">
        <v>-1.09135E-3</v>
      </c>
      <c r="AA243">
        <v>0.99977769999999999</v>
      </c>
      <c r="AB243">
        <v>32</v>
      </c>
      <c r="AC243">
        <v>15.827400000000001</v>
      </c>
      <c r="AD243">
        <v>-1.1546730000000001</v>
      </c>
      <c r="AE243">
        <v>-0.26599999999996199</v>
      </c>
      <c r="AF243">
        <v>0.33918153229866499</v>
      </c>
      <c r="AG243">
        <v>-1.1546730000000001</v>
      </c>
      <c r="AH243">
        <v>15.742201095712501</v>
      </c>
      <c r="AI243">
        <v>94.194099509584206</v>
      </c>
      <c r="AJ243">
        <v>88.765695865791599</v>
      </c>
      <c r="AK243">
        <v>15.7881350762728</v>
      </c>
      <c r="AL243">
        <v>82.392982010202203</v>
      </c>
      <c r="AM243">
        <v>88.114552165597601</v>
      </c>
      <c r="AN243">
        <v>0.99999999764944902</v>
      </c>
    </row>
    <row r="244" spans="1:40" x14ac:dyDescent="0.25">
      <c r="A244" t="str">
        <f>"20190312164222283"</f>
        <v>20190312164222283</v>
      </c>
      <c r="B244" t="str">
        <f>"1552380142274218"</f>
        <v>1552380142274218</v>
      </c>
      <c r="C244" t="s">
        <v>40</v>
      </c>
      <c r="D244">
        <v>4.4518570000000004</v>
      </c>
      <c r="E244">
        <v>0.49912459999999997</v>
      </c>
      <c r="F244" t="s">
        <v>43</v>
      </c>
      <c r="G244">
        <v>-423.18110000000001</v>
      </c>
      <c r="H244">
        <v>-0.05</v>
      </c>
      <c r="I244">
        <v>367.67399999999998</v>
      </c>
      <c r="J244">
        <v>-438.50139999999999</v>
      </c>
      <c r="K244">
        <v>1.1032789999999999</v>
      </c>
      <c r="L244">
        <v>367.92099999999999</v>
      </c>
      <c r="M244">
        <v>0.99993929999999998</v>
      </c>
      <c r="N244">
        <v>0</v>
      </c>
      <c r="O244">
        <v>5.1621660000000002E-3</v>
      </c>
      <c r="P244">
        <v>0.99200359999999999</v>
      </c>
      <c r="Q244">
        <v>0.12313159999999999</v>
      </c>
      <c r="R244">
        <v>-2.770452E-2</v>
      </c>
      <c r="S244">
        <v>3.0516359999999998</v>
      </c>
      <c r="T244">
        <v>-0.22528719999999999</v>
      </c>
      <c r="U244">
        <v>-4.7943119999999999E-2</v>
      </c>
      <c r="V244">
        <v>3.2880300000000001E-2</v>
      </c>
      <c r="W244">
        <v>0.13275680000000001</v>
      </c>
      <c r="X244">
        <v>0.99060309999999996</v>
      </c>
      <c r="Y244">
        <v>2.0799620000000001E-2</v>
      </c>
      <c r="Z244">
        <v>-1.147253E-3</v>
      </c>
      <c r="AA244">
        <v>0.99978299999999998</v>
      </c>
      <c r="AB244">
        <v>32</v>
      </c>
      <c r="AC244">
        <v>15.3202999999999</v>
      </c>
      <c r="AD244">
        <v>-1.1532789999999999</v>
      </c>
      <c r="AE244">
        <v>-0.246999999999957</v>
      </c>
      <c r="AF244">
        <v>0.32424942363202403</v>
      </c>
      <c r="AG244">
        <v>-1.1532789999999999</v>
      </c>
      <c r="AH244">
        <v>15.2325242262038</v>
      </c>
      <c r="AI244">
        <v>94.328718729346605</v>
      </c>
      <c r="AJ244">
        <v>88.780548914848595</v>
      </c>
      <c r="AK244">
        <v>15.279561002936299</v>
      </c>
      <c r="AL244">
        <v>82.371073501499097</v>
      </c>
      <c r="AM244">
        <v>88.098924755767797</v>
      </c>
      <c r="AN244">
        <v>0.99999999190196998</v>
      </c>
    </row>
    <row r="245" spans="1:40" x14ac:dyDescent="0.25">
      <c r="A245" t="str">
        <f>"20190312164222306"</f>
        <v>20190312164222306</v>
      </c>
      <c r="B245" t="str">
        <f>"1552380142293738"</f>
        <v>1552380142293738</v>
      </c>
      <c r="C245" t="s">
        <v>40</v>
      </c>
      <c r="D245">
        <v>4.3081870000000002</v>
      </c>
      <c r="E245">
        <v>0.4989093</v>
      </c>
      <c r="F245" t="s">
        <v>41</v>
      </c>
      <c r="G245">
        <v>-437.50400000000002</v>
      </c>
      <c r="H245">
        <v>1.029444</v>
      </c>
      <c r="I245">
        <v>367.90499999999997</v>
      </c>
      <c r="J245">
        <v>-438.16739999999999</v>
      </c>
      <c r="K245">
        <v>1.101688</v>
      </c>
      <c r="L245">
        <v>367.92219999999998</v>
      </c>
      <c r="M245">
        <v>0.99992440000000005</v>
      </c>
      <c r="N245">
        <v>0</v>
      </c>
      <c r="O245">
        <v>5.1721909999999996E-3</v>
      </c>
      <c r="P245">
        <v>0.99216150000000003</v>
      </c>
      <c r="Q245">
        <v>0.1217765</v>
      </c>
      <c r="R245">
        <v>-2.804222E-2</v>
      </c>
      <c r="S245">
        <v>3.0508419999999998</v>
      </c>
      <c r="T245">
        <v>-0.2259361</v>
      </c>
      <c r="U245">
        <v>-4.8187260000000003E-2</v>
      </c>
      <c r="V245">
        <v>3.3199880000000001E-2</v>
      </c>
      <c r="W245">
        <v>0.13283719999999999</v>
      </c>
      <c r="X245">
        <v>0.99058170000000001</v>
      </c>
      <c r="Y245">
        <v>2.089307E-2</v>
      </c>
      <c r="Z245">
        <v>-1.1550480000000001E-3</v>
      </c>
      <c r="AA245">
        <v>0.99978109999999998</v>
      </c>
      <c r="AB245">
        <v>32</v>
      </c>
      <c r="AC245">
        <v>0.66339999999996702</v>
      </c>
      <c r="AD245">
        <v>-7.2243999999999906E-2</v>
      </c>
      <c r="AE245">
        <v>-1.7200000000002501E-2</v>
      </c>
      <c r="AF245">
        <v>2.0389574855326199E-2</v>
      </c>
      <c r="AG245">
        <v>-7.2243999999999906E-2</v>
      </c>
      <c r="AH245">
        <v>0.65553332896558203</v>
      </c>
      <c r="AI245">
        <v>96.285969853323707</v>
      </c>
      <c r="AJ245">
        <v>88.218458136469806</v>
      </c>
      <c r="AK245">
        <v>0.659817304777223</v>
      </c>
      <c r="AL245">
        <v>82.366426042213007</v>
      </c>
      <c r="AM245">
        <v>88.080419578212499</v>
      </c>
      <c r="AN245">
        <v>1.0000000290553701</v>
      </c>
    </row>
    <row r="246" spans="1:40" x14ac:dyDescent="0.25">
      <c r="A246" t="str">
        <f>"20190312164222327"</f>
        <v>20190312164222327</v>
      </c>
      <c r="B246" t="str">
        <f>"1552380142323993"</f>
        <v>1552380142323993</v>
      </c>
      <c r="C246" t="s">
        <v>40</v>
      </c>
      <c r="D246">
        <v>4.23001</v>
      </c>
      <c r="E246">
        <v>0.47249479999999999</v>
      </c>
      <c r="F246" t="s">
        <v>41</v>
      </c>
      <c r="G246">
        <v>-437.20859999999999</v>
      </c>
      <c r="H246">
        <v>1.029493</v>
      </c>
      <c r="I246">
        <v>367.90690000000001</v>
      </c>
      <c r="J246">
        <v>-437.84410000000003</v>
      </c>
      <c r="K246">
        <v>1.1000179999999999</v>
      </c>
      <c r="L246">
        <v>367.92340000000002</v>
      </c>
      <c r="M246">
        <v>0.99991220000000003</v>
      </c>
      <c r="N246">
        <v>0</v>
      </c>
      <c r="O246">
        <v>4.7669740000000002E-3</v>
      </c>
      <c r="P246">
        <v>0.99231449999999999</v>
      </c>
      <c r="Q246">
        <v>0.12034400000000001</v>
      </c>
      <c r="R246">
        <v>-2.8802370000000001E-2</v>
      </c>
      <c r="S246">
        <v>3.0506289999999998</v>
      </c>
      <c r="T246">
        <v>-0.22993330000000001</v>
      </c>
      <c r="U246">
        <v>-4.7271729999999998E-2</v>
      </c>
      <c r="V246">
        <v>3.3499580000000001E-2</v>
      </c>
      <c r="W246">
        <v>0.1326184</v>
      </c>
      <c r="X246">
        <v>0.99060090000000001</v>
      </c>
      <c r="Y246">
        <v>2.018969E-2</v>
      </c>
      <c r="Z246">
        <v>-1.118548E-3</v>
      </c>
      <c r="AA246">
        <v>0.99979560000000001</v>
      </c>
      <c r="AB246">
        <v>33</v>
      </c>
      <c r="AC246">
        <v>0.63550000000003504</v>
      </c>
      <c r="AD246">
        <v>-7.0524999999999893E-2</v>
      </c>
      <c r="AE246">
        <v>-1.6500000000007699E-2</v>
      </c>
      <c r="AF246">
        <v>1.9292023534596199E-2</v>
      </c>
      <c r="AG246">
        <v>-7.0524999999999893E-2</v>
      </c>
      <c r="AH246">
        <v>0.62768896744493896</v>
      </c>
      <c r="AI246">
        <v>96.4076726560493</v>
      </c>
      <c r="AJ246">
        <v>88.239568117388899</v>
      </c>
      <c r="AK246">
        <v>0.63193306421578599</v>
      </c>
      <c r="AL246">
        <v>82.379074059491103</v>
      </c>
      <c r="AM246">
        <v>88.063141907413197</v>
      </c>
      <c r="AN246">
        <v>1.0000000024797699</v>
      </c>
    </row>
    <row r="247" spans="1:40" x14ac:dyDescent="0.25">
      <c r="A247" t="str">
        <f>"20190312164222360"</f>
        <v>20190312164222360</v>
      </c>
      <c r="B247" t="str">
        <f>"1552380142354250"</f>
        <v>1552380142354250</v>
      </c>
      <c r="C247" t="s">
        <v>40</v>
      </c>
      <c r="D247">
        <v>4.1985429999999999</v>
      </c>
      <c r="E247">
        <v>0.4708599</v>
      </c>
      <c r="F247" t="s">
        <v>43</v>
      </c>
      <c r="G247">
        <v>-421.2</v>
      </c>
      <c r="H247">
        <v>-0.05</v>
      </c>
      <c r="I247">
        <v>368.80020000000002</v>
      </c>
      <c r="J247">
        <v>-437.37380000000002</v>
      </c>
      <c r="K247">
        <v>1.097154</v>
      </c>
      <c r="L247">
        <v>367.92520000000002</v>
      </c>
      <c r="M247">
        <v>0.99989609999999995</v>
      </c>
      <c r="N247">
        <v>0</v>
      </c>
      <c r="O247">
        <v>4.079409E-3</v>
      </c>
      <c r="P247">
        <v>0.99249909999999997</v>
      </c>
      <c r="Q247">
        <v>0.118251</v>
      </c>
      <c r="R247">
        <v>-3.1024670000000001E-2</v>
      </c>
      <c r="S247">
        <v>3.0534970000000001</v>
      </c>
      <c r="T247">
        <v>-0.2109808</v>
      </c>
      <c r="U247">
        <v>0.16085820000000001</v>
      </c>
      <c r="V247">
        <v>3.497658E-2</v>
      </c>
      <c r="W247">
        <v>0.13198409999999999</v>
      </c>
      <c r="X247">
        <v>0.99063460000000003</v>
      </c>
      <c r="Y247">
        <v>-4.842701E-2</v>
      </c>
      <c r="Z247">
        <v>1.3885270000000001E-3</v>
      </c>
      <c r="AA247">
        <v>0.99882579999999999</v>
      </c>
      <c r="AB247">
        <v>33</v>
      </c>
      <c r="AC247">
        <v>16.1738</v>
      </c>
      <c r="AD247">
        <v>-1.147154</v>
      </c>
      <c r="AE247">
        <v>0.875</v>
      </c>
      <c r="AF247">
        <v>-0.80496920949673201</v>
      </c>
      <c r="AG247">
        <v>-1.147154</v>
      </c>
      <c r="AH247">
        <v>16.096496577312401</v>
      </c>
      <c r="AI247">
        <v>94.071353239073005</v>
      </c>
      <c r="AJ247">
        <v>92.862917869819398</v>
      </c>
      <c r="AK247">
        <v>16.157386539641301</v>
      </c>
      <c r="AL247">
        <v>82.415739340176202</v>
      </c>
      <c r="AM247">
        <v>87.977883768781098</v>
      </c>
      <c r="AN247">
        <v>1.0000000372592299</v>
      </c>
    </row>
    <row r="248" spans="1:40" x14ac:dyDescent="0.25">
      <c r="A248" t="str">
        <f>"20190312164222382"</f>
        <v>20190312164222382</v>
      </c>
      <c r="B248" t="str">
        <f>"1552380142373770"</f>
        <v>1552380142373770</v>
      </c>
      <c r="C248" t="s">
        <v>40</v>
      </c>
      <c r="D248">
        <v>4.3978650000000004</v>
      </c>
      <c r="E248">
        <v>0.47051670000000001</v>
      </c>
      <c r="F248" t="s">
        <v>43</v>
      </c>
      <c r="G248">
        <v>-420.68599999999998</v>
      </c>
      <c r="H248">
        <v>-0.05</v>
      </c>
      <c r="I248">
        <v>368.84219999999999</v>
      </c>
      <c r="J248">
        <v>-437.03879999999998</v>
      </c>
      <c r="K248">
        <v>1.0946979999999999</v>
      </c>
      <c r="L248">
        <v>367.92649999999998</v>
      </c>
      <c r="M248">
        <v>0.99988849999999996</v>
      </c>
      <c r="N248">
        <v>0</v>
      </c>
      <c r="O248">
        <v>3.7783109999999999E-3</v>
      </c>
      <c r="P248">
        <v>0.99259660000000005</v>
      </c>
      <c r="Q248">
        <v>0.117068699999999</v>
      </c>
      <c r="R248">
        <v>-3.2352409999999998E-2</v>
      </c>
      <c r="S248">
        <v>3.0529480000000002</v>
      </c>
      <c r="T248">
        <v>-0.20986560000000001</v>
      </c>
      <c r="U248">
        <v>0.16775509999999999</v>
      </c>
      <c r="V248">
        <v>3.5993049999999999E-2</v>
      </c>
      <c r="W248">
        <v>0.1314254</v>
      </c>
      <c r="X248">
        <v>0.99067240000000001</v>
      </c>
      <c r="Y248">
        <v>-5.0981350000000002E-2</v>
      </c>
      <c r="Z248">
        <v>1.489651E-3</v>
      </c>
      <c r="AA248">
        <v>0.99869850000000004</v>
      </c>
      <c r="AB248">
        <v>33</v>
      </c>
      <c r="AC248">
        <v>16.352799999999998</v>
      </c>
      <c r="AD248">
        <v>-1.144698</v>
      </c>
      <c r="AE248">
        <v>0.91570000000001495</v>
      </c>
      <c r="AF248">
        <v>-0.84975027397443703</v>
      </c>
      <c r="AG248">
        <v>-1.144698</v>
      </c>
      <c r="AH248">
        <v>16.276636914285699</v>
      </c>
      <c r="AI248">
        <v>94.017402125663295</v>
      </c>
      <c r="AJ248">
        <v>92.988513157448196</v>
      </c>
      <c r="AK248">
        <v>16.338950954048801</v>
      </c>
      <c r="AL248">
        <v>82.448031278667301</v>
      </c>
      <c r="AM248">
        <v>87.919248403324701</v>
      </c>
      <c r="AN248">
        <v>0.99999996976760996</v>
      </c>
    </row>
    <row r="249" spans="1:40" x14ac:dyDescent="0.25">
      <c r="A249" t="str">
        <f>"20190312164222405"</f>
        <v>20190312164222405</v>
      </c>
      <c r="B249" t="str">
        <f>"1552380142394265"</f>
        <v>1552380142394265</v>
      </c>
      <c r="C249" t="s">
        <v>40</v>
      </c>
      <c r="D249">
        <v>4.1440210000000004</v>
      </c>
      <c r="E249">
        <v>0.46981099999999998</v>
      </c>
      <c r="F249" t="s">
        <v>43</v>
      </c>
      <c r="G249">
        <v>-420.25619999999998</v>
      </c>
      <c r="H249">
        <v>-0.05</v>
      </c>
      <c r="I249">
        <v>368.84179999999998</v>
      </c>
      <c r="J249">
        <v>-436.70580000000001</v>
      </c>
      <c r="K249">
        <v>1.0920240000000001</v>
      </c>
      <c r="L249">
        <v>367.92750000000001</v>
      </c>
      <c r="M249">
        <v>0.99988449999999995</v>
      </c>
      <c r="N249">
        <v>0</v>
      </c>
      <c r="O249">
        <v>3.5661429999999999E-3</v>
      </c>
      <c r="P249">
        <v>0.99262340000000004</v>
      </c>
      <c r="Q249">
        <v>0.116645</v>
      </c>
      <c r="R249">
        <v>-3.3063870000000002E-2</v>
      </c>
      <c r="S249">
        <v>3.052368</v>
      </c>
      <c r="T249">
        <v>-0.2081943</v>
      </c>
      <c r="U249">
        <v>0.16647339999999999</v>
      </c>
      <c r="V249">
        <v>3.6493869999999998E-2</v>
      </c>
      <c r="W249">
        <v>0.1313346</v>
      </c>
      <c r="X249">
        <v>0.99066620000000005</v>
      </c>
      <c r="Y249">
        <v>-5.0787190000000003E-2</v>
      </c>
      <c r="Z249">
        <v>1.485947E-3</v>
      </c>
      <c r="AA249">
        <v>0.99870840000000005</v>
      </c>
      <c r="AB249">
        <v>33</v>
      </c>
      <c r="AC249">
        <v>16.4496</v>
      </c>
      <c r="AD249">
        <v>-1.1420239999999999</v>
      </c>
      <c r="AE249">
        <v>0.91429999999996803</v>
      </c>
      <c r="AF249">
        <v>-0.85153446912180897</v>
      </c>
      <c r="AG249">
        <v>-1.1420239999999999</v>
      </c>
      <c r="AH249">
        <v>16.374077590514201</v>
      </c>
      <c r="AI249">
        <v>93.984315284137196</v>
      </c>
      <c r="AJ249">
        <v>92.976987142692096</v>
      </c>
      <c r="AK249">
        <v>16.435928531995302</v>
      </c>
      <c r="AL249">
        <v>82.453279831598195</v>
      </c>
      <c r="AM249">
        <v>87.890308882144296</v>
      </c>
      <c r="AN249">
        <v>1.0000000497635799</v>
      </c>
    </row>
    <row r="250" spans="1:40" x14ac:dyDescent="0.25">
      <c r="A250" t="str">
        <f>"20190312164222426"</f>
        <v>20190312164222426</v>
      </c>
      <c r="B250" t="str">
        <f>"1552380142413785"</f>
        <v>1552380142413785</v>
      </c>
      <c r="C250" t="s">
        <v>40</v>
      </c>
      <c r="D250">
        <v>4.3479080000000003</v>
      </c>
      <c r="E250">
        <v>0.4695645</v>
      </c>
      <c r="F250" t="s">
        <v>43</v>
      </c>
      <c r="G250">
        <v>-420.23970000000003</v>
      </c>
      <c r="H250">
        <v>-0.05</v>
      </c>
      <c r="I250">
        <v>368.84829999999999</v>
      </c>
      <c r="J250">
        <v>-436.38819999999998</v>
      </c>
      <c r="K250">
        <v>1.0893919999999999</v>
      </c>
      <c r="L250">
        <v>367.92849999999999</v>
      </c>
      <c r="M250">
        <v>0.9998804</v>
      </c>
      <c r="N250">
        <v>0</v>
      </c>
      <c r="O250">
        <v>3.2860509999999999E-3</v>
      </c>
      <c r="P250">
        <v>0.99264249999999998</v>
      </c>
      <c r="Q250">
        <v>0.1161879</v>
      </c>
      <c r="R250">
        <v>-3.4084719999999999E-2</v>
      </c>
      <c r="S250">
        <v>3.052826</v>
      </c>
      <c r="T250">
        <v>-0.21173139999999999</v>
      </c>
      <c r="U250">
        <v>0.17071529999999999</v>
      </c>
      <c r="V250">
        <v>3.723866E-2</v>
      </c>
      <c r="W250">
        <v>0.131210299999999</v>
      </c>
      <c r="X250">
        <v>0.9906549</v>
      </c>
      <c r="Y250">
        <v>-5.243391E-2</v>
      </c>
      <c r="Z250">
        <v>1.5872289999999999E-3</v>
      </c>
      <c r="AA250">
        <v>0.99862309999999999</v>
      </c>
      <c r="AB250">
        <v>33</v>
      </c>
      <c r="AC250">
        <v>16.148499999999899</v>
      </c>
      <c r="AD250">
        <v>-1.139392</v>
      </c>
      <c r="AE250">
        <v>0.91980000000000905</v>
      </c>
      <c r="AF250">
        <v>-0.86244454547056504</v>
      </c>
      <c r="AG250">
        <v>-1.139392</v>
      </c>
      <c r="AH250">
        <v>16.071684553801902</v>
      </c>
      <c r="AI250">
        <v>94.049356931237597</v>
      </c>
      <c r="AJ250">
        <v>93.071680635866898</v>
      </c>
      <c r="AK250">
        <v>16.135088134887599</v>
      </c>
      <c r="AL250">
        <v>82.460463455363694</v>
      </c>
      <c r="AM250">
        <v>87.847268542151795</v>
      </c>
      <c r="AN250">
        <v>0.99999999575934695</v>
      </c>
    </row>
    <row r="251" spans="1:40" x14ac:dyDescent="0.25">
      <c r="A251" t="str">
        <f>"20190312164222448"</f>
        <v>20190312164222448</v>
      </c>
      <c r="B251" t="str">
        <f>"1552380142444041"</f>
        <v>1552380142444041</v>
      </c>
      <c r="C251" t="s">
        <v>40</v>
      </c>
      <c r="D251">
        <v>4.1673260000000001</v>
      </c>
      <c r="E251">
        <v>0.4695184</v>
      </c>
      <c r="F251" t="s">
        <v>43</v>
      </c>
      <c r="G251">
        <v>-420.06549999999999</v>
      </c>
      <c r="H251">
        <v>-0.05</v>
      </c>
      <c r="I251">
        <v>368.83390000000003</v>
      </c>
      <c r="J251">
        <v>-436.05200000000002</v>
      </c>
      <c r="K251">
        <v>1.0865530000000001</v>
      </c>
      <c r="L251">
        <v>367.92950000000002</v>
      </c>
      <c r="M251">
        <v>0.99987420000000005</v>
      </c>
      <c r="N251">
        <v>0</v>
      </c>
      <c r="O251">
        <v>3.038055E-3</v>
      </c>
      <c r="P251">
        <v>0.99264770000000002</v>
      </c>
      <c r="Q251">
        <v>0.1157755</v>
      </c>
      <c r="R251">
        <v>-3.5316399999999998E-2</v>
      </c>
      <c r="S251">
        <v>3.0530089999999999</v>
      </c>
      <c r="T251">
        <v>-0.213112</v>
      </c>
      <c r="U251">
        <v>0.16934199999999999</v>
      </c>
      <c r="V251">
        <v>3.8237989999999999E-2</v>
      </c>
      <c r="W251">
        <v>0.13124669999999999</v>
      </c>
      <c r="X251">
        <v>0.99061200000000005</v>
      </c>
      <c r="Y251">
        <v>-5.2228789999999997E-2</v>
      </c>
      <c r="Z251">
        <v>1.60761E-3</v>
      </c>
      <c r="AA251">
        <v>0.99863389999999996</v>
      </c>
      <c r="AB251">
        <v>33</v>
      </c>
      <c r="AC251">
        <v>15.9864999999999</v>
      </c>
      <c r="AD251">
        <v>-1.1365529999999999</v>
      </c>
      <c r="AE251">
        <v>0.90440000000000897</v>
      </c>
      <c r="AF251">
        <v>-0.85153179161456105</v>
      </c>
      <c r="AG251">
        <v>-1.1365529999999999</v>
      </c>
      <c r="AH251">
        <v>15.9090195858948</v>
      </c>
      <c r="AI251">
        <v>94.080492337338995</v>
      </c>
      <c r="AJ251">
        <v>93.063838398311404</v>
      </c>
      <c r="AK251">
        <v>15.9722810925154</v>
      </c>
      <c r="AL251">
        <v>82.458359632130595</v>
      </c>
      <c r="AM251">
        <v>87.789459153191103</v>
      </c>
      <c r="AN251">
        <v>0.99999998734206497</v>
      </c>
    </row>
    <row r="252" spans="1:40" x14ac:dyDescent="0.25">
      <c r="A252" t="str">
        <f>"20190312164222473"</f>
        <v>20190312164222473</v>
      </c>
      <c r="B252" t="str">
        <f>"1552380142464538"</f>
        <v>1552380142464538</v>
      </c>
      <c r="C252" t="s">
        <v>40</v>
      </c>
      <c r="D252">
        <v>4.1804100000000002</v>
      </c>
      <c r="E252">
        <v>0.46914850000000002</v>
      </c>
      <c r="F252" t="s">
        <v>43</v>
      </c>
      <c r="G252">
        <v>-419.75880000000001</v>
      </c>
      <c r="H252">
        <v>-0.05</v>
      </c>
      <c r="I252">
        <v>368.81650000000002</v>
      </c>
      <c r="J252">
        <v>-435.70190000000002</v>
      </c>
      <c r="K252">
        <v>1.083572</v>
      </c>
      <c r="L252">
        <v>367.93040000000002</v>
      </c>
      <c r="M252">
        <v>0.99986799999999998</v>
      </c>
      <c r="N252">
        <v>0</v>
      </c>
      <c r="O252">
        <v>2.8963249999999999E-3</v>
      </c>
      <c r="P252">
        <v>0.99270250000000004</v>
      </c>
      <c r="Q252">
        <v>0.1151621</v>
      </c>
      <c r="R252">
        <v>-3.5771089999999998E-2</v>
      </c>
      <c r="S252">
        <v>3.0530089999999999</v>
      </c>
      <c r="T252">
        <v>-0.2129675</v>
      </c>
      <c r="U252">
        <v>0.1661987</v>
      </c>
      <c r="V252">
        <v>3.8579530000000001E-2</v>
      </c>
      <c r="W252">
        <v>0.13103580000000001</v>
      </c>
      <c r="X252">
        <v>0.99062669999999997</v>
      </c>
      <c r="Y252">
        <v>-5.1347169999999998E-2</v>
      </c>
      <c r="Z252">
        <v>1.5857449999999999E-3</v>
      </c>
      <c r="AA252">
        <v>0.9986796</v>
      </c>
      <c r="AB252">
        <v>33</v>
      </c>
      <c r="AC252">
        <v>15.943099999999999</v>
      </c>
      <c r="AD252">
        <v>-1.133572</v>
      </c>
      <c r="AE252">
        <v>0.886099999999999</v>
      </c>
      <c r="AF252">
        <v>-0.83570220992697697</v>
      </c>
      <c r="AG252">
        <v>-1.133572</v>
      </c>
      <c r="AH252">
        <v>15.8656402375782</v>
      </c>
      <c r="AI252">
        <v>94.081099258964102</v>
      </c>
      <c r="AJ252">
        <v>93.015195039662103</v>
      </c>
      <c r="AK252">
        <v>15.9280232235868</v>
      </c>
      <c r="AL252">
        <v>82.470548750416199</v>
      </c>
      <c r="AM252">
        <v>87.769767614133102</v>
      </c>
      <c r="AN252">
        <v>1.0000000098847699</v>
      </c>
    </row>
    <row r="253" spans="1:40" x14ac:dyDescent="0.25">
      <c r="A253" t="str">
        <f>"20190312164222494"</f>
        <v>20190312164222494</v>
      </c>
      <c r="B253" t="str">
        <f>"1552380142483753"</f>
        <v>1552380142483753</v>
      </c>
      <c r="C253" t="s">
        <v>40</v>
      </c>
      <c r="D253">
        <v>4.1846819999999996</v>
      </c>
      <c r="E253">
        <v>0.4688869</v>
      </c>
      <c r="F253" t="s">
        <v>43</v>
      </c>
      <c r="G253">
        <v>-419.72570000000002</v>
      </c>
      <c r="H253">
        <v>-0.05</v>
      </c>
      <c r="I253">
        <v>368.80709999999999</v>
      </c>
      <c r="J253">
        <v>-435.3965</v>
      </c>
      <c r="K253">
        <v>1.0810169999999999</v>
      </c>
      <c r="L253">
        <v>367.93119999999999</v>
      </c>
      <c r="M253">
        <v>0.99986580000000003</v>
      </c>
      <c r="N253">
        <v>0</v>
      </c>
      <c r="O253">
        <v>2.8330809999999999E-3</v>
      </c>
      <c r="P253">
        <v>0.9926701</v>
      </c>
      <c r="Q253">
        <v>0.11542429999999999</v>
      </c>
      <c r="R253">
        <v>-3.5828359999999997E-2</v>
      </c>
      <c r="S253">
        <v>3.053223</v>
      </c>
      <c r="T253">
        <v>-0.2166381</v>
      </c>
      <c r="U253">
        <v>0.16754150000000001</v>
      </c>
      <c r="V253">
        <v>3.8597279999999998E-2</v>
      </c>
      <c r="W253">
        <v>0.1314438</v>
      </c>
      <c r="X253">
        <v>0.99057189999999995</v>
      </c>
      <c r="Y253">
        <v>-5.1838990000000001E-2</v>
      </c>
      <c r="Z253">
        <v>1.634768E-3</v>
      </c>
      <c r="AA253">
        <v>0.99865409999999999</v>
      </c>
      <c r="AB253">
        <v>33</v>
      </c>
      <c r="AC253">
        <v>15.6707999999999</v>
      </c>
      <c r="AD253">
        <v>-1.1310169999999999</v>
      </c>
      <c r="AE253">
        <v>0.87590000000000101</v>
      </c>
      <c r="AF253">
        <v>-0.82719858413693204</v>
      </c>
      <c r="AG253">
        <v>-1.1310169999999999</v>
      </c>
      <c r="AH253">
        <v>15.592251531581001</v>
      </c>
      <c r="AI253">
        <v>94.142998627153503</v>
      </c>
      <c r="AJ253">
        <v>93.036803124106399</v>
      </c>
      <c r="AK253">
        <v>15.6550875045774</v>
      </c>
      <c r="AL253">
        <v>82.446967704621898</v>
      </c>
      <c r="AM253">
        <v>87.768619234704801</v>
      </c>
      <c r="AN253">
        <v>0.99999995582572299</v>
      </c>
    </row>
    <row r="254" spans="1:40" x14ac:dyDescent="0.25">
      <c r="A254" t="str">
        <f>"20190312164222516"</f>
        <v>20190312164222516</v>
      </c>
      <c r="B254" t="str">
        <f>"1552380142504253"</f>
        <v>1552380142504253</v>
      </c>
      <c r="C254" t="s">
        <v>40</v>
      </c>
      <c r="D254">
        <v>4.1874399999999996</v>
      </c>
      <c r="E254">
        <v>0.46852959999999999</v>
      </c>
      <c r="F254" t="s">
        <v>43</v>
      </c>
      <c r="G254">
        <v>-419.4316</v>
      </c>
      <c r="H254">
        <v>-0.05</v>
      </c>
      <c r="I254">
        <v>368.81689999999998</v>
      </c>
      <c r="J254">
        <v>-435.06729999999999</v>
      </c>
      <c r="K254">
        <v>1.0783929999999999</v>
      </c>
      <c r="L254">
        <v>367.93200000000002</v>
      </c>
      <c r="M254">
        <v>0.99986629999999999</v>
      </c>
      <c r="N254">
        <v>0</v>
      </c>
      <c r="O254">
        <v>2.7565599999999999E-3</v>
      </c>
      <c r="P254">
        <v>0.99263760000000001</v>
      </c>
      <c r="Q254">
        <v>0.1155563</v>
      </c>
      <c r="R254">
        <v>-3.629889E-2</v>
      </c>
      <c r="S254">
        <v>3.053375</v>
      </c>
      <c r="T254">
        <v>-0.2163128</v>
      </c>
      <c r="U254">
        <v>0.1694031</v>
      </c>
      <c r="V254">
        <v>3.900969E-2</v>
      </c>
      <c r="W254">
        <v>0.1315549</v>
      </c>
      <c r="X254">
        <v>0.990541</v>
      </c>
      <c r="Y254">
        <v>-5.2518179999999998E-2</v>
      </c>
      <c r="Z254">
        <v>1.661631E-3</v>
      </c>
      <c r="AA254">
        <v>0.99861860000000002</v>
      </c>
      <c r="AB254">
        <v>33</v>
      </c>
      <c r="AC254">
        <v>15.6356999999999</v>
      </c>
      <c r="AD254">
        <v>-1.128393</v>
      </c>
      <c r="AE254">
        <v>0.88490000000001501</v>
      </c>
      <c r="AF254">
        <v>-0.83744266437352499</v>
      </c>
      <c r="AG254">
        <v>-1.128393</v>
      </c>
      <c r="AH254">
        <v>15.557313557697199</v>
      </c>
      <c r="AI254">
        <v>94.142499395269297</v>
      </c>
      <c r="AJ254">
        <v>93.081230320738698</v>
      </c>
      <c r="AK254">
        <v>15.620646148961701</v>
      </c>
      <c r="AL254">
        <v>82.440546415026503</v>
      </c>
      <c r="AM254">
        <v>87.744731252378799</v>
      </c>
      <c r="AN254">
        <v>0.99999996015445203</v>
      </c>
    </row>
    <row r="255" spans="1:40" x14ac:dyDescent="0.25">
      <c r="A255" t="str">
        <f>"20190312164222537"</f>
        <v>20190312164222537</v>
      </c>
      <c r="B255" t="str">
        <f>"1552380142534506"</f>
        <v>1552380142534506</v>
      </c>
      <c r="C255" t="s">
        <v>40</v>
      </c>
      <c r="D255">
        <v>4.3781179999999997</v>
      </c>
      <c r="E255">
        <v>0.46836100000000003</v>
      </c>
      <c r="F255" t="s">
        <v>43</v>
      </c>
      <c r="G255">
        <v>-419.16219999999998</v>
      </c>
      <c r="H255">
        <v>-0.05</v>
      </c>
      <c r="I255">
        <v>368.82839999999999</v>
      </c>
      <c r="J255">
        <v>-434.7638</v>
      </c>
      <c r="K255">
        <v>1.0761499999999999</v>
      </c>
      <c r="L255">
        <v>367.93270000000001</v>
      </c>
      <c r="M255">
        <v>0.99986839999999999</v>
      </c>
      <c r="N255">
        <v>0</v>
      </c>
      <c r="O255">
        <v>2.6398929999999999E-3</v>
      </c>
      <c r="P255">
        <v>0.99259850000000005</v>
      </c>
      <c r="Q255">
        <v>0.11570709999999999</v>
      </c>
      <c r="R255">
        <v>-3.6881610000000002E-2</v>
      </c>
      <c r="S255">
        <v>3.0538020000000001</v>
      </c>
      <c r="T255">
        <v>-0.21665319999999999</v>
      </c>
      <c r="U255">
        <v>0.1721191</v>
      </c>
      <c r="V255">
        <v>3.9486840000000002E-2</v>
      </c>
      <c r="W255">
        <v>0.13158320000000001</v>
      </c>
      <c r="X255">
        <v>0.99051840000000002</v>
      </c>
      <c r="Y255">
        <v>-5.350924E-2</v>
      </c>
      <c r="Z255">
        <v>1.707311E-3</v>
      </c>
      <c r="AA255">
        <v>0.99856590000000001</v>
      </c>
      <c r="AB255">
        <v>33</v>
      </c>
      <c r="AC255">
        <v>15.601599999999999</v>
      </c>
      <c r="AD255">
        <v>-1.12615</v>
      </c>
      <c r="AE255">
        <v>0.89569999999997596</v>
      </c>
      <c r="AF255">
        <v>-0.85009045730576505</v>
      </c>
      <c r="AG255">
        <v>-1.12615</v>
      </c>
      <c r="AH255">
        <v>15.5232967345629</v>
      </c>
      <c r="AI255">
        <v>94.143113235053704</v>
      </c>
      <c r="AJ255">
        <v>93.134514200279597</v>
      </c>
      <c r="AK255">
        <v>15.587289986312401</v>
      </c>
      <c r="AL255">
        <v>82.438911217749904</v>
      </c>
      <c r="AM255">
        <v>87.717122738421907</v>
      </c>
      <c r="AN255">
        <v>1.00000002489699</v>
      </c>
    </row>
    <row r="256" spans="1:40" x14ac:dyDescent="0.25">
      <c r="A256" t="str">
        <f>"20190312164222561"</f>
        <v>20190312164222561</v>
      </c>
      <c r="B256" t="str">
        <f>"1552380142554026"</f>
        <v>1552380142554026</v>
      </c>
      <c r="C256" t="s">
        <v>40</v>
      </c>
      <c r="D256">
        <v>4.2206669999999997</v>
      </c>
      <c r="E256">
        <v>0.4681495</v>
      </c>
      <c r="F256" t="s">
        <v>43</v>
      </c>
      <c r="G256">
        <v>-418.67540000000002</v>
      </c>
      <c r="H256">
        <v>-0.05</v>
      </c>
      <c r="I256">
        <v>368.83479999999997</v>
      </c>
      <c r="J256">
        <v>-434.4049</v>
      </c>
      <c r="K256">
        <v>1.073715</v>
      </c>
      <c r="L256">
        <v>367.93349999999998</v>
      </c>
      <c r="M256">
        <v>0.99987230000000005</v>
      </c>
      <c r="N256">
        <v>0</v>
      </c>
      <c r="O256">
        <v>2.4570170000000001E-3</v>
      </c>
      <c r="P256">
        <v>0.99260300000000001</v>
      </c>
      <c r="Q256">
        <v>0.1156322</v>
      </c>
      <c r="R256">
        <v>-3.6996029999999999E-2</v>
      </c>
      <c r="S256">
        <v>3.0536799999999999</v>
      </c>
      <c r="T256">
        <v>-0.2137502</v>
      </c>
      <c r="U256">
        <v>0.1712341</v>
      </c>
      <c r="V256">
        <v>3.9429930000000002E-2</v>
      </c>
      <c r="W256">
        <v>0.13128970000000001</v>
      </c>
      <c r="X256">
        <v>0.99055959999999998</v>
      </c>
      <c r="Y256">
        <v>-5.3408810000000001E-2</v>
      </c>
      <c r="Z256">
        <v>1.6938400000000001E-3</v>
      </c>
      <c r="AA256">
        <v>0.99857130000000005</v>
      </c>
      <c r="AB256">
        <v>33</v>
      </c>
      <c r="AC256">
        <v>15.7294999999999</v>
      </c>
      <c r="AD256">
        <v>-1.123715</v>
      </c>
      <c r="AE256">
        <v>0.901299999999992</v>
      </c>
      <c r="AF256">
        <v>-0.85827877460801005</v>
      </c>
      <c r="AG256">
        <v>-1.123715</v>
      </c>
      <c r="AH256">
        <v>15.652045849831</v>
      </c>
      <c r="AI256">
        <v>94.100279592106006</v>
      </c>
      <c r="AJ256">
        <v>93.138666490279107</v>
      </c>
      <c r="AK256">
        <v>15.7157856036973</v>
      </c>
      <c r="AL256">
        <v>82.455874602826398</v>
      </c>
      <c r="AM256">
        <v>87.720504152342599</v>
      </c>
      <c r="AN256">
        <v>1.0000000129290201</v>
      </c>
    </row>
    <row r="257" spans="1:40" x14ac:dyDescent="0.25">
      <c r="A257" t="str">
        <f>"20190312164222582"</f>
        <v>20190312164222582</v>
      </c>
      <c r="B257" t="str">
        <f>"1552380142574522"</f>
        <v>1552380142574522</v>
      </c>
      <c r="C257" t="s">
        <v>40</v>
      </c>
      <c r="D257">
        <v>4.4534279999999997</v>
      </c>
      <c r="E257">
        <v>0.46795870000000001</v>
      </c>
      <c r="F257" t="s">
        <v>43</v>
      </c>
      <c r="G257">
        <v>-418.327</v>
      </c>
      <c r="H257">
        <v>-0.05</v>
      </c>
      <c r="I257">
        <v>368.8415</v>
      </c>
      <c r="J257">
        <v>-434.09339999999997</v>
      </c>
      <c r="K257">
        <v>1.071828</v>
      </c>
      <c r="L257">
        <v>367.9341</v>
      </c>
      <c r="M257">
        <v>0.9998764</v>
      </c>
      <c r="N257">
        <v>0</v>
      </c>
      <c r="O257">
        <v>2.2842990000000001E-3</v>
      </c>
      <c r="P257">
        <v>0.99253400000000003</v>
      </c>
      <c r="Q257">
        <v>0.1160274</v>
      </c>
      <c r="R257">
        <v>-3.7603999999999999E-2</v>
      </c>
      <c r="S257">
        <v>3.0536500000000002</v>
      </c>
      <c r="T257">
        <v>-0.2134259</v>
      </c>
      <c r="U257">
        <v>0.17245479999999899</v>
      </c>
      <c r="V257">
        <v>3.9876250000000002E-2</v>
      </c>
      <c r="W257">
        <v>0.1314476</v>
      </c>
      <c r="X257">
        <v>0.99052079999999998</v>
      </c>
      <c r="Y257">
        <v>-5.3978350000000001E-2</v>
      </c>
      <c r="Z257">
        <v>1.723186E-3</v>
      </c>
      <c r="AA257">
        <v>0.9985406</v>
      </c>
      <c r="AB257">
        <v>33</v>
      </c>
      <c r="AC257">
        <v>15.7663999999999</v>
      </c>
      <c r="AD257">
        <v>-1.121828</v>
      </c>
      <c r="AE257">
        <v>0.90739999999999499</v>
      </c>
      <c r="AF257">
        <v>-0.86700316318645099</v>
      </c>
      <c r="AG257">
        <v>-1.121828</v>
      </c>
      <c r="AH257">
        <v>15.6892631139745</v>
      </c>
      <c r="AI257">
        <v>94.083645161899895</v>
      </c>
      <c r="AJ257">
        <v>93.163000594381998</v>
      </c>
      <c r="AK257">
        <v>15.7531955363373</v>
      </c>
      <c r="AL257">
        <v>82.446748570506202</v>
      </c>
      <c r="AM257">
        <v>87.694639287781499</v>
      </c>
      <c r="AN257">
        <v>1.0000000210462301</v>
      </c>
    </row>
    <row r="258" spans="1:40" x14ac:dyDescent="0.25">
      <c r="A258" t="str">
        <f>"20190312164222605"</f>
        <v>20190312164222605</v>
      </c>
      <c r="B258" t="str">
        <f>"1552380142593688"</f>
        <v>1552380142593688</v>
      </c>
      <c r="C258" t="s">
        <v>40</v>
      </c>
      <c r="D258">
        <v>4.2805049999999998</v>
      </c>
      <c r="E258">
        <v>0.46775359999999999</v>
      </c>
      <c r="F258" t="s">
        <v>43</v>
      </c>
      <c r="G258">
        <v>-417.96780000000001</v>
      </c>
      <c r="H258">
        <v>-0.05</v>
      </c>
      <c r="I258">
        <v>368.84309999999999</v>
      </c>
      <c r="J258">
        <v>-433.76949999999999</v>
      </c>
      <c r="K258">
        <v>1.070074</v>
      </c>
      <c r="L258">
        <v>367.93470000000002</v>
      </c>
      <c r="M258">
        <v>0.99988089999999996</v>
      </c>
      <c r="N258">
        <v>0</v>
      </c>
      <c r="O258">
        <v>2.1077259999999999E-3</v>
      </c>
      <c r="P258">
        <v>0.99255210000000005</v>
      </c>
      <c r="Q258">
        <v>0.1157651</v>
      </c>
      <c r="R258">
        <v>-3.7933920000000003E-2</v>
      </c>
      <c r="S258">
        <v>3.0538940000000001</v>
      </c>
      <c r="T258">
        <v>-0.212454</v>
      </c>
      <c r="U258">
        <v>0.17214969999999999</v>
      </c>
      <c r="V258">
        <v>4.004212E-2</v>
      </c>
      <c r="W258">
        <v>0.1309196</v>
      </c>
      <c r="X258">
        <v>0.99058400000000002</v>
      </c>
      <c r="Y258">
        <v>-5.4051290000000002E-2</v>
      </c>
      <c r="Z258">
        <v>1.7300200000000001E-3</v>
      </c>
      <c r="AA258">
        <v>0.9985366</v>
      </c>
      <c r="AB258">
        <v>33</v>
      </c>
      <c r="AC258">
        <v>15.801699999999901</v>
      </c>
      <c r="AD258">
        <v>-1.120074</v>
      </c>
      <c r="AE258">
        <v>0.90839999999997201</v>
      </c>
      <c r="AF258">
        <v>-0.87072794362813799</v>
      </c>
      <c r="AG258">
        <v>-1.120074</v>
      </c>
      <c r="AH258">
        <v>15.7248318846204</v>
      </c>
      <c r="AI258">
        <v>94.068065233473504</v>
      </c>
      <c r="AJ258">
        <v>93.169391011780206</v>
      </c>
      <c r="AK258">
        <v>15.7887007292198</v>
      </c>
      <c r="AL258">
        <v>82.477264200111705</v>
      </c>
      <c r="AM258">
        <v>87.685207811245206</v>
      </c>
      <c r="AN258">
        <v>0.999999987047127</v>
      </c>
    </row>
    <row r="259" spans="1:40" x14ac:dyDescent="0.25">
      <c r="A259" t="str">
        <f>"20190312164222627"</f>
        <v>20190312164222627</v>
      </c>
      <c r="B259" t="str">
        <f>"1552380142623941"</f>
        <v>1552380142623941</v>
      </c>
      <c r="C259" t="s">
        <v>40</v>
      </c>
      <c r="D259">
        <v>4.3522829999999999</v>
      </c>
      <c r="E259">
        <v>0.4677384</v>
      </c>
      <c r="F259" t="s">
        <v>43</v>
      </c>
      <c r="G259">
        <v>-417.80380000000002</v>
      </c>
      <c r="H259">
        <v>-0.05</v>
      </c>
      <c r="I259">
        <v>368.83730000000003</v>
      </c>
      <c r="J259">
        <v>-433.45499999999998</v>
      </c>
      <c r="K259">
        <v>1.068568</v>
      </c>
      <c r="L259">
        <v>367.93529999999998</v>
      </c>
      <c r="M259">
        <v>0.99988529999999998</v>
      </c>
      <c r="N259">
        <v>0</v>
      </c>
      <c r="O259">
        <v>1.941225E-3</v>
      </c>
      <c r="P259">
        <v>0.99252130000000005</v>
      </c>
      <c r="Q259">
        <v>0.1160202</v>
      </c>
      <c r="R259">
        <v>-3.7960130000000002E-2</v>
      </c>
      <c r="S259">
        <v>3.054138</v>
      </c>
      <c r="T259">
        <v>-0.2142638</v>
      </c>
      <c r="U259">
        <v>0.1726685</v>
      </c>
      <c r="V259">
        <v>3.9913560000000001E-2</v>
      </c>
      <c r="W259">
        <v>0.1309111</v>
      </c>
      <c r="X259">
        <v>0.99059030000000003</v>
      </c>
      <c r="Y259">
        <v>-5.4378839999999998E-2</v>
      </c>
      <c r="Z259">
        <v>1.7677000000000001E-3</v>
      </c>
      <c r="AA259">
        <v>0.99851880000000004</v>
      </c>
      <c r="AB259">
        <v>33</v>
      </c>
      <c r="AC259">
        <v>15.6511999999999</v>
      </c>
      <c r="AD259">
        <v>-1.118568</v>
      </c>
      <c r="AE259">
        <v>0.90200000000004299</v>
      </c>
      <c r="AF259">
        <v>-0.86719760722148698</v>
      </c>
      <c r="AG259">
        <v>-1.118568</v>
      </c>
      <c r="AH259">
        <v>15.573638785222601</v>
      </c>
      <c r="AI259">
        <v>94.101850443358799</v>
      </c>
      <c r="AJ259">
        <v>93.187148795359306</v>
      </c>
      <c r="AK259">
        <v>15.637821174101701</v>
      </c>
      <c r="AL259">
        <v>82.477755354084394</v>
      </c>
      <c r="AM259">
        <v>87.692646340639897</v>
      </c>
      <c r="AN259">
        <v>0.99999997541458596</v>
      </c>
    </row>
    <row r="260" spans="1:40" x14ac:dyDescent="0.25">
      <c r="A260" t="str">
        <f>"20190312164222652"</f>
        <v>20190312164222652</v>
      </c>
      <c r="B260" t="str">
        <f>"1552380142644437"</f>
        <v>1552380142644437</v>
      </c>
      <c r="C260" t="s">
        <v>40</v>
      </c>
      <c r="D260">
        <v>4.5551399999999997</v>
      </c>
      <c r="E260">
        <v>0.48651519999999998</v>
      </c>
      <c r="F260" t="s">
        <v>43</v>
      </c>
      <c r="G260">
        <v>-417.53800000000001</v>
      </c>
      <c r="H260">
        <v>-0.05</v>
      </c>
      <c r="I260">
        <v>368.8338</v>
      </c>
      <c r="J260">
        <v>-433.08510000000001</v>
      </c>
      <c r="K260">
        <v>1.067035</v>
      </c>
      <c r="L260">
        <v>367.93579999999997</v>
      </c>
      <c r="M260">
        <v>0.9998901</v>
      </c>
      <c r="N260">
        <v>0</v>
      </c>
      <c r="O260">
        <v>1.7470729999999901E-3</v>
      </c>
      <c r="P260">
        <v>0.99247339999999995</v>
      </c>
      <c r="Q260">
        <v>0.1164361</v>
      </c>
      <c r="R260">
        <v>-3.7943640000000001E-2</v>
      </c>
      <c r="S260">
        <v>3.0542910000000001</v>
      </c>
      <c r="T260">
        <v>-0.21463969999999999</v>
      </c>
      <c r="U260">
        <v>0.1724243</v>
      </c>
      <c r="V260">
        <v>3.971446E-2</v>
      </c>
      <c r="W260">
        <v>0.13102359999999999</v>
      </c>
      <c r="X260">
        <v>0.99058349999999995</v>
      </c>
      <c r="Y260">
        <v>-5.4489179999999998E-2</v>
      </c>
      <c r="Z260">
        <v>1.7881959999999999E-3</v>
      </c>
      <c r="AA260">
        <v>0.99851270000000003</v>
      </c>
      <c r="AB260">
        <v>33</v>
      </c>
      <c r="AC260">
        <v>15.5471</v>
      </c>
      <c r="AD260">
        <v>-1.117035</v>
      </c>
      <c r="AE260">
        <v>0.898000000000024</v>
      </c>
      <c r="AF260">
        <v>-0.86637623105040196</v>
      </c>
      <c r="AG260">
        <v>-1.117035</v>
      </c>
      <c r="AH260">
        <v>15.4690564803913</v>
      </c>
      <c r="AI260">
        <v>94.123772468301794</v>
      </c>
      <c r="AJ260">
        <v>93.205618645043998</v>
      </c>
      <c r="AK260">
        <v>15.533514842381599</v>
      </c>
      <c r="AL260">
        <v>82.471254113477897</v>
      </c>
      <c r="AM260">
        <v>87.704127975565896</v>
      </c>
      <c r="AN260">
        <v>1.00000004628114</v>
      </c>
    </row>
    <row r="261" spans="1:40" x14ac:dyDescent="0.25">
      <c r="A261" t="str">
        <f>"20190312164222673"</f>
        <v>20190312164222673</v>
      </c>
      <c r="B261" t="str">
        <f>"1552380142663956"</f>
        <v>1552380142663956</v>
      </c>
      <c r="C261" t="s">
        <v>40</v>
      </c>
      <c r="D261">
        <v>4.3288060000000002</v>
      </c>
      <c r="E261">
        <v>0.48980879999999999</v>
      </c>
      <c r="F261" t="s">
        <v>43</v>
      </c>
      <c r="G261">
        <v>-418.03190000000001</v>
      </c>
      <c r="H261">
        <v>-0.05</v>
      </c>
      <c r="I261">
        <v>368.04770000000002</v>
      </c>
      <c r="J261">
        <v>-432.774</v>
      </c>
      <c r="K261">
        <v>1.0659320000000001</v>
      </c>
      <c r="L261">
        <v>367.93619999999999</v>
      </c>
      <c r="M261">
        <v>0.99989380000000005</v>
      </c>
      <c r="N261">
        <v>0</v>
      </c>
      <c r="O261">
        <v>1.5815919999999999E-3</v>
      </c>
      <c r="P261">
        <v>0.99249319999999996</v>
      </c>
      <c r="Q261">
        <v>0.11627990000000001</v>
      </c>
      <c r="R261">
        <v>-3.7895110000000003E-2</v>
      </c>
      <c r="S261">
        <v>3.0501710000000002</v>
      </c>
      <c r="T261">
        <v>-0.22634099999999999</v>
      </c>
      <c r="U261">
        <v>2.267456E-2</v>
      </c>
      <c r="V261">
        <v>3.9508019999999998E-2</v>
      </c>
      <c r="W261">
        <v>0.13062509999999999</v>
      </c>
      <c r="X261">
        <v>0.99064430000000003</v>
      </c>
      <c r="Y261">
        <v>-5.8402289999999997E-3</v>
      </c>
      <c r="Z261" s="1">
        <v>9.9176650000000005E-5</v>
      </c>
      <c r="AA261">
        <v>0.99998299999999996</v>
      </c>
      <c r="AB261">
        <v>33</v>
      </c>
      <c r="AC261">
        <v>14.742099999999899</v>
      </c>
      <c r="AD261">
        <v>-1.1159319999999999</v>
      </c>
      <c r="AE261">
        <v>0.111500000000035</v>
      </c>
      <c r="AF261">
        <v>-8.7679051147654397E-2</v>
      </c>
      <c r="AG261">
        <v>-1.1159319999999999</v>
      </c>
      <c r="AH261">
        <v>14.6582704259305</v>
      </c>
      <c r="AI261">
        <v>94.353444109400399</v>
      </c>
      <c r="AJ261">
        <v>90.342712988944697</v>
      </c>
      <c r="AK261">
        <v>14.7009483954043</v>
      </c>
      <c r="AL261">
        <v>82.494283797759806</v>
      </c>
      <c r="AM261">
        <v>87.716189519130097</v>
      </c>
      <c r="AN261">
        <v>0.99999996475840902</v>
      </c>
    </row>
    <row r="262" spans="1:40" x14ac:dyDescent="0.25">
      <c r="A262" t="str">
        <f>"20190312164222695"</f>
        <v>20190312164222695</v>
      </c>
      <c r="B262" t="str">
        <f>"1552380142684456"</f>
        <v>1552380142684456</v>
      </c>
      <c r="C262" t="s">
        <v>40</v>
      </c>
      <c r="D262">
        <v>4.5642969999999998</v>
      </c>
      <c r="E262">
        <v>0.49070000000000003</v>
      </c>
      <c r="F262" t="s">
        <v>43</v>
      </c>
      <c r="G262">
        <v>-416.46069999999997</v>
      </c>
      <c r="H262">
        <v>-0.05</v>
      </c>
      <c r="I262">
        <v>367.911</v>
      </c>
      <c r="J262">
        <v>-432.45370000000003</v>
      </c>
      <c r="K262">
        <v>1.0649580000000001</v>
      </c>
      <c r="L262">
        <v>367.93650000000002</v>
      </c>
      <c r="M262">
        <v>0.99989749999999999</v>
      </c>
      <c r="N262">
        <v>0</v>
      </c>
      <c r="O262">
        <v>1.408936E-3</v>
      </c>
      <c r="P262">
        <v>0.9924518</v>
      </c>
      <c r="Q262">
        <v>0.11666700000000001</v>
      </c>
      <c r="R262">
        <v>-3.7792270000000003E-2</v>
      </c>
      <c r="S262">
        <v>3.0469360000000001</v>
      </c>
      <c r="T262">
        <v>-0.2084299</v>
      </c>
      <c r="U262">
        <v>-4.699707E-3</v>
      </c>
      <c r="V262">
        <v>3.923799E-2</v>
      </c>
      <c r="W262">
        <v>0.13077629999999901</v>
      </c>
      <c r="X262">
        <v>0.99063509999999999</v>
      </c>
      <c r="Y262">
        <v>2.9413439999999998E-3</v>
      </c>
      <c r="Z262">
        <v>-1.967634E-4</v>
      </c>
      <c r="AA262">
        <v>0.99999559999999998</v>
      </c>
      <c r="AB262">
        <v>33</v>
      </c>
      <c r="AC262">
        <v>15.993</v>
      </c>
      <c r="AD262">
        <v>-1.1149579999999999</v>
      </c>
      <c r="AE262">
        <v>-2.5500000000022199E-2</v>
      </c>
      <c r="AF262">
        <v>4.7803042281067902E-2</v>
      </c>
      <c r="AG262">
        <v>-1.1149579999999999</v>
      </c>
      <c r="AH262">
        <v>15.9155948794042</v>
      </c>
      <c r="AI262">
        <v>94.007258575417296</v>
      </c>
      <c r="AJ262">
        <v>89.827910652710301</v>
      </c>
      <c r="AK262">
        <v>15.9546725706901</v>
      </c>
      <c r="AL262">
        <v>82.485545841411806</v>
      </c>
      <c r="AM262">
        <v>87.731761538341601</v>
      </c>
      <c r="AN262">
        <v>0.99999998092646902</v>
      </c>
    </row>
    <row r="263" spans="1:40" x14ac:dyDescent="0.25">
      <c r="A263" t="str">
        <f>"20190312164222715"</f>
        <v>20190312164222715</v>
      </c>
      <c r="B263" t="str">
        <f>"1552380142703972"</f>
        <v>1552380142703972</v>
      </c>
      <c r="C263" t="s">
        <v>40</v>
      </c>
      <c r="D263">
        <v>4.5114609999999997</v>
      </c>
      <c r="E263">
        <v>0.49131439999999998</v>
      </c>
      <c r="F263" t="s">
        <v>43</v>
      </c>
      <c r="G263">
        <v>-415.6465</v>
      </c>
      <c r="H263">
        <v>-0.05</v>
      </c>
      <c r="I263">
        <v>367.86959999999999</v>
      </c>
      <c r="J263">
        <v>-432.15469999999999</v>
      </c>
      <c r="K263">
        <v>1.0641750000000001</v>
      </c>
      <c r="L263">
        <v>367.93669999999997</v>
      </c>
      <c r="M263">
        <v>0.99990069999999998</v>
      </c>
      <c r="N263">
        <v>0</v>
      </c>
      <c r="O263">
        <v>1.24704E-3</v>
      </c>
      <c r="P263">
        <v>0.99243490000000001</v>
      </c>
      <c r="Q263">
        <v>0.11698749999999999</v>
      </c>
      <c r="R263">
        <v>-3.724235E-2</v>
      </c>
      <c r="S263">
        <v>3.0460820000000002</v>
      </c>
      <c r="T263">
        <v>-0.20207169999999999</v>
      </c>
      <c r="U263">
        <v>-1.211548E-2</v>
      </c>
      <c r="V263">
        <v>3.8529979999999998E-2</v>
      </c>
      <c r="W263">
        <v>0.13089210000000001</v>
      </c>
      <c r="X263">
        <v>0.99064759999999996</v>
      </c>
      <c r="Y263">
        <v>5.2103239999999997E-3</v>
      </c>
      <c r="Z263">
        <v>-2.5527500000000001E-4</v>
      </c>
      <c r="AA263">
        <v>0.99998640000000005</v>
      </c>
      <c r="AB263">
        <v>33</v>
      </c>
      <c r="AC263">
        <v>16.508199999999899</v>
      </c>
      <c r="AD263">
        <v>-1.1141749999999999</v>
      </c>
      <c r="AE263">
        <v>-6.7099999999982105E-2</v>
      </c>
      <c r="AF263">
        <v>8.7290741813382103E-2</v>
      </c>
      <c r="AG263">
        <v>-1.1141749999999999</v>
      </c>
      <c r="AH263">
        <v>16.433247995091101</v>
      </c>
      <c r="AI263">
        <v>93.878666012755602</v>
      </c>
      <c r="AJ263">
        <v>89.695656996130495</v>
      </c>
      <c r="AK263">
        <v>16.471206551810202</v>
      </c>
      <c r="AL263">
        <v>82.4788534895645</v>
      </c>
      <c r="AM263">
        <v>87.772676092401099</v>
      </c>
      <c r="AN263">
        <v>0.99999998429348502</v>
      </c>
    </row>
    <row r="264" spans="1:40" x14ac:dyDescent="0.25">
      <c r="A264" t="str">
        <f>"20190312164222739"</f>
        <v>20190312164222739</v>
      </c>
      <c r="B264" t="str">
        <f>"1552380142734229"</f>
        <v>1552380142734229</v>
      </c>
      <c r="C264" t="s">
        <v>40</v>
      </c>
      <c r="D264">
        <v>4.3647410000000004</v>
      </c>
      <c r="E264">
        <v>0.4918959</v>
      </c>
      <c r="F264" t="s">
        <v>43</v>
      </c>
      <c r="G264">
        <v>-414.89600000000002</v>
      </c>
      <c r="H264">
        <v>-0.05</v>
      </c>
      <c r="I264">
        <v>367.84780000000001</v>
      </c>
      <c r="J264">
        <v>-431.82170000000002</v>
      </c>
      <c r="K264">
        <v>1.0634429999999999</v>
      </c>
      <c r="L264">
        <v>367.93700000000001</v>
      </c>
      <c r="M264">
        <v>0.99990369999999995</v>
      </c>
      <c r="N264">
        <v>0</v>
      </c>
      <c r="O264">
        <v>1.067939E-3</v>
      </c>
      <c r="P264">
        <v>0.9924636</v>
      </c>
      <c r="Q264">
        <v>0.1169678</v>
      </c>
      <c r="R264">
        <v>-3.6533549999999998E-2</v>
      </c>
      <c r="S264">
        <v>3.0455019999999999</v>
      </c>
      <c r="T264">
        <v>-0.19660949999999999</v>
      </c>
      <c r="U264">
        <v>-1.5686039999999998E-2</v>
      </c>
      <c r="V264">
        <v>3.7645119999999997E-2</v>
      </c>
      <c r="W264">
        <v>0.13067799999999999</v>
      </c>
      <c r="X264">
        <v>0.99070990000000003</v>
      </c>
      <c r="Y264">
        <v>6.2033790000000002E-3</v>
      </c>
      <c r="Z264">
        <v>-2.6890509999999998E-4</v>
      </c>
      <c r="AA264">
        <v>0.99998069999999895</v>
      </c>
      <c r="AB264">
        <v>33</v>
      </c>
      <c r="AC264">
        <v>16.925699999999999</v>
      </c>
      <c r="AD264">
        <v>-1.113443</v>
      </c>
      <c r="AE264">
        <v>-8.9199999999948404E-2</v>
      </c>
      <c r="AF264">
        <v>0.106815059477386</v>
      </c>
      <c r="AG264">
        <v>-1.113443</v>
      </c>
      <c r="AH264">
        <v>16.852666244929701</v>
      </c>
      <c r="AI264">
        <v>93.779919722475</v>
      </c>
      <c r="AJ264">
        <v>89.636854485982298</v>
      </c>
      <c r="AK264">
        <v>16.8897461299503</v>
      </c>
      <c r="AL264">
        <v>82.491226914875895</v>
      </c>
      <c r="AM264">
        <v>87.823914644408305</v>
      </c>
      <c r="AN264">
        <v>1.00000000035091</v>
      </c>
    </row>
    <row r="265" spans="1:40" x14ac:dyDescent="0.25">
      <c r="A265" t="str">
        <f>"20190312164222761"</f>
        <v>20190312164222761</v>
      </c>
      <c r="B265" t="str">
        <f>"1552380142753749"</f>
        <v>1552380142753749</v>
      </c>
      <c r="C265" t="s">
        <v>40</v>
      </c>
      <c r="D265">
        <v>4.4028150000000004</v>
      </c>
      <c r="E265">
        <v>0.4914539</v>
      </c>
      <c r="F265" t="s">
        <v>43</v>
      </c>
      <c r="G265">
        <v>-414.2792</v>
      </c>
      <c r="H265">
        <v>-0.05</v>
      </c>
      <c r="I265">
        <v>367.83150000000001</v>
      </c>
      <c r="J265">
        <v>-431.49160000000001</v>
      </c>
      <c r="K265">
        <v>1.062584</v>
      </c>
      <c r="L265">
        <v>367.93709999999999</v>
      </c>
      <c r="M265">
        <v>0.99991890000000005</v>
      </c>
      <c r="N265">
        <v>0</v>
      </c>
      <c r="O265">
        <v>8.9811209999999999E-4</v>
      </c>
      <c r="P265">
        <v>0.99232819999999999</v>
      </c>
      <c r="Q265">
        <v>0.1183049</v>
      </c>
      <c r="R265">
        <v>-3.5903440000000002E-2</v>
      </c>
      <c r="S265">
        <v>3.0448909999999998</v>
      </c>
      <c r="T265">
        <v>-0.19326360000000001</v>
      </c>
      <c r="U265">
        <v>-1.8310549999999998E-2</v>
      </c>
      <c r="V265">
        <v>3.6845570000000001E-2</v>
      </c>
      <c r="W265">
        <v>0.1308917</v>
      </c>
      <c r="X265">
        <v>0.99071169999999997</v>
      </c>
      <c r="Y265">
        <v>6.8959039999999996E-3</v>
      </c>
      <c r="Z265">
        <v>-2.7557580000000002E-4</v>
      </c>
      <c r="AA265">
        <v>0.99997619999999998</v>
      </c>
      <c r="AB265">
        <v>33</v>
      </c>
      <c r="AC265">
        <v>17.212399999999999</v>
      </c>
      <c r="AD265">
        <v>-1.112584</v>
      </c>
      <c r="AE265">
        <v>-0.105599999999981</v>
      </c>
      <c r="AF265">
        <v>0.12055618826829601</v>
      </c>
      <c r="AG265">
        <v>-1.112584</v>
      </c>
      <c r="AH265">
        <v>17.140684761279999</v>
      </c>
      <c r="AI265">
        <v>93.713708012536301</v>
      </c>
      <c r="AJ265">
        <v>89.5970261991163</v>
      </c>
      <c r="AK265">
        <v>17.1771782035689</v>
      </c>
      <c r="AL265">
        <v>82.478876368807093</v>
      </c>
      <c r="AM265">
        <v>87.870093664911096</v>
      </c>
      <c r="AN265">
        <v>0.999999952837201</v>
      </c>
    </row>
    <row r="266" spans="1:40" x14ac:dyDescent="0.25">
      <c r="A266" t="str">
        <f>"20190312164222784"</f>
        <v>20190312164222784</v>
      </c>
      <c r="B266" t="str">
        <f>"1552380142774248"</f>
        <v>1552380142774248</v>
      </c>
      <c r="C266" t="s">
        <v>40</v>
      </c>
      <c r="D266">
        <v>4.5947839999999998</v>
      </c>
      <c r="E266">
        <v>0.49149409999999999</v>
      </c>
      <c r="F266" t="s">
        <v>43</v>
      </c>
      <c r="G266">
        <v>-413.75069999999999</v>
      </c>
      <c r="H266">
        <v>-0.05</v>
      </c>
      <c r="I266">
        <v>367.8612</v>
      </c>
      <c r="J266">
        <v>-431.14440000000002</v>
      </c>
      <c r="K266">
        <v>1.0617449999999999</v>
      </c>
      <c r="L266">
        <v>367.93729999999999</v>
      </c>
      <c r="M266">
        <v>0.99993790000000005</v>
      </c>
      <c r="N266">
        <v>0</v>
      </c>
      <c r="O266">
        <v>7.226089E-4</v>
      </c>
      <c r="P266">
        <v>0.99217429999999995</v>
      </c>
      <c r="Q266">
        <v>0.1197447</v>
      </c>
      <c r="R266">
        <v>-3.5377810000000003E-2</v>
      </c>
      <c r="S266">
        <v>3.045471</v>
      </c>
      <c r="T266">
        <v>-0.1909904</v>
      </c>
      <c r="U266">
        <v>-1.3031010000000001E-2</v>
      </c>
      <c r="V266">
        <v>3.6142029999999999E-2</v>
      </c>
      <c r="W266">
        <v>0.1307702</v>
      </c>
      <c r="X266">
        <v>0.99075369999999996</v>
      </c>
      <c r="Y266">
        <v>4.9901980000000004E-3</v>
      </c>
      <c r="Z266">
        <v>-2.015958E-4</v>
      </c>
      <c r="AA266">
        <v>0.99998750000000003</v>
      </c>
      <c r="AB266">
        <v>33</v>
      </c>
      <c r="AC266">
        <v>17.393699999999999</v>
      </c>
      <c r="AD266">
        <v>-1.111745</v>
      </c>
      <c r="AE266">
        <v>-7.6099999999996698E-2</v>
      </c>
      <c r="AF266">
        <v>8.8308836612189703E-2</v>
      </c>
      <c r="AG266">
        <v>-1.111745</v>
      </c>
      <c r="AH266">
        <v>17.322872287079999</v>
      </c>
      <c r="AI266">
        <v>93.672037354231506</v>
      </c>
      <c r="AJ266">
        <v>89.707919118829693</v>
      </c>
      <c r="AK266">
        <v>17.3587349674489</v>
      </c>
      <c r="AL266">
        <v>82.4858984628586</v>
      </c>
      <c r="AM266">
        <v>87.910814812386306</v>
      </c>
      <c r="AN266">
        <v>0.99999999280212504</v>
      </c>
    </row>
    <row r="267" spans="1:40" x14ac:dyDescent="0.25">
      <c r="A267" t="str">
        <f>"20190312164222806"</f>
        <v>20190312164222806</v>
      </c>
      <c r="B267" t="str">
        <f>"1552380142793764"</f>
        <v>1552380142793764</v>
      </c>
      <c r="C267" t="s">
        <v>40</v>
      </c>
      <c r="D267">
        <v>4.375413</v>
      </c>
      <c r="E267">
        <v>0.49137589999999998</v>
      </c>
      <c r="F267" t="s">
        <v>43</v>
      </c>
      <c r="G267">
        <v>-413.01569999999998</v>
      </c>
      <c r="H267">
        <v>-0.05</v>
      </c>
      <c r="I267">
        <v>367.86829999999998</v>
      </c>
      <c r="J267">
        <v>-430.81849999999997</v>
      </c>
      <c r="K267">
        <v>1.0610809999999999</v>
      </c>
      <c r="L267">
        <v>367.93740000000003</v>
      </c>
      <c r="M267">
        <v>0.99995310000000004</v>
      </c>
      <c r="N267">
        <v>0</v>
      </c>
      <c r="O267">
        <v>5.6005639999999999E-4</v>
      </c>
      <c r="P267">
        <v>0.99207979999999996</v>
      </c>
      <c r="Q267">
        <v>0.1206726</v>
      </c>
      <c r="R267">
        <v>-3.4871539999999999E-2</v>
      </c>
      <c r="S267">
        <v>3.0458069999999999</v>
      </c>
      <c r="T267">
        <v>-0.1867849</v>
      </c>
      <c r="U267">
        <v>-1.159668E-2</v>
      </c>
      <c r="V267">
        <v>3.5470809999999998E-2</v>
      </c>
      <c r="W267">
        <v>0.1302558</v>
      </c>
      <c r="X267">
        <v>0.99084570000000005</v>
      </c>
      <c r="Y267">
        <v>4.3582359999999997E-3</v>
      </c>
      <c r="Z267">
        <v>-1.678239E-4</v>
      </c>
      <c r="AA267">
        <v>0.9999905</v>
      </c>
      <c r="AB267">
        <v>33</v>
      </c>
      <c r="AC267">
        <v>17.802799999999898</v>
      </c>
      <c r="AD267">
        <v>-1.111081</v>
      </c>
      <c r="AE267">
        <v>-6.9100000000048498E-2</v>
      </c>
      <c r="AF267">
        <v>7.8764240029618404E-2</v>
      </c>
      <c r="AG267">
        <v>-1.111081</v>
      </c>
      <c r="AH267">
        <v>17.733685671246</v>
      </c>
      <c r="AI267">
        <v>93.585071046817404</v>
      </c>
      <c r="AJ267">
        <v>89.745522225933598</v>
      </c>
      <c r="AK267">
        <v>17.768632819680398</v>
      </c>
      <c r="AL267">
        <v>82.515625558556593</v>
      </c>
      <c r="AM267">
        <v>87.949771382040595</v>
      </c>
      <c r="AN267">
        <v>0.99999997650209205</v>
      </c>
    </row>
    <row r="268" spans="1:40" x14ac:dyDescent="0.25">
      <c r="A268" t="str">
        <f>"20190312164222828"</f>
        <v>20190312164222828</v>
      </c>
      <c r="B268" t="str">
        <f>"1552380142824021"</f>
        <v>1552380142824021</v>
      </c>
      <c r="C268" t="s">
        <v>40</v>
      </c>
      <c r="D268">
        <v>4.3435480000000002</v>
      </c>
      <c r="E268">
        <v>0.49112909999999999</v>
      </c>
      <c r="F268" t="s">
        <v>43</v>
      </c>
      <c r="G268">
        <v>-412.53559999999999</v>
      </c>
      <c r="H268">
        <v>-0.05</v>
      </c>
      <c r="I268">
        <v>367.88319999999999</v>
      </c>
      <c r="J268">
        <v>-430.47660000000002</v>
      </c>
      <c r="K268">
        <v>1.0605070000000001</v>
      </c>
      <c r="L268">
        <v>367.93740000000003</v>
      </c>
      <c r="M268">
        <v>0.99996620000000003</v>
      </c>
      <c r="N268">
        <v>0</v>
      </c>
      <c r="O268">
        <v>3.9487769999999999E-4</v>
      </c>
      <c r="P268">
        <v>0.99199870000000001</v>
      </c>
      <c r="Q268">
        <v>0.1213051</v>
      </c>
      <c r="R268">
        <v>-3.4981400000000003E-2</v>
      </c>
      <c r="S268">
        <v>3.0461429999999998</v>
      </c>
      <c r="T268">
        <v>-0.18511920000000001</v>
      </c>
      <c r="U268">
        <v>-9.0332030000000001E-3</v>
      </c>
      <c r="V268">
        <v>3.5414149999999998E-2</v>
      </c>
      <c r="W268">
        <v>0.1294312</v>
      </c>
      <c r="X268">
        <v>0.99095580000000005</v>
      </c>
      <c r="Y268">
        <v>3.3534179999999999E-3</v>
      </c>
      <c r="Z268">
        <v>-1.2577829999999999E-4</v>
      </c>
      <c r="AA268">
        <v>0.99999439999999995</v>
      </c>
      <c r="AB268">
        <v>34</v>
      </c>
      <c r="AC268">
        <v>17.940999999999999</v>
      </c>
      <c r="AD268">
        <v>-1.1105069999999999</v>
      </c>
      <c r="AE268">
        <v>-5.42000000000371E-2</v>
      </c>
      <c r="AF268">
        <v>6.1050831888201797E-2</v>
      </c>
      <c r="AG268">
        <v>-1.1105069999999999</v>
      </c>
      <c r="AH268">
        <v>17.8725024080371</v>
      </c>
      <c r="AI268">
        <v>93.555478633556802</v>
      </c>
      <c r="AJ268">
        <v>89.8042836241967</v>
      </c>
      <c r="AK268">
        <v>17.9070738906839</v>
      </c>
      <c r="AL268">
        <v>82.563275194988407</v>
      </c>
      <c r="AM268">
        <v>87.953270800435902</v>
      </c>
      <c r="AN268">
        <v>0.99999999755365099</v>
      </c>
    </row>
    <row r="269" spans="1:40" x14ac:dyDescent="0.25">
      <c r="A269" t="str">
        <f>"20190312164222852"</f>
        <v>20190312164222852</v>
      </c>
      <c r="B269" t="str">
        <f>"1552380142844517"</f>
        <v>1552380142844517</v>
      </c>
      <c r="C269" t="s">
        <v>40</v>
      </c>
      <c r="D269">
        <v>4.3540869999999998</v>
      </c>
      <c r="E269">
        <v>0.49109900000000001</v>
      </c>
      <c r="F269" t="s">
        <v>43</v>
      </c>
      <c r="G269">
        <v>-412.29039999999998</v>
      </c>
      <c r="H269">
        <v>-0.05</v>
      </c>
      <c r="I269">
        <v>367.89010000000002</v>
      </c>
      <c r="J269">
        <v>-430.12479999999999</v>
      </c>
      <c r="K269">
        <v>1.0600179999999999</v>
      </c>
      <c r="L269">
        <v>367.9375</v>
      </c>
      <c r="M269">
        <v>0.99997709999999995</v>
      </c>
      <c r="N269">
        <v>0</v>
      </c>
      <c r="O269">
        <v>2.340617E-4</v>
      </c>
      <c r="P269">
        <v>0.99182650000000006</v>
      </c>
      <c r="Q269">
        <v>0.1226468</v>
      </c>
      <c r="R269">
        <v>-3.5187969999999999E-2</v>
      </c>
      <c r="S269">
        <v>3.0466920000000002</v>
      </c>
      <c r="T269">
        <v>-0.18604109999999999</v>
      </c>
      <c r="U269">
        <v>-7.9345700000000002E-3</v>
      </c>
      <c r="V269">
        <v>3.5461140000000002E-2</v>
      </c>
      <c r="W269">
        <v>0.1293542</v>
      </c>
      <c r="X269">
        <v>0.99096419999999996</v>
      </c>
      <c r="Y269">
        <v>2.8326689999999999E-3</v>
      </c>
      <c r="Z269">
        <v>-1.00685E-4</v>
      </c>
      <c r="AA269">
        <v>0.999996</v>
      </c>
      <c r="AB269">
        <v>34</v>
      </c>
      <c r="AC269">
        <v>17.834399999999999</v>
      </c>
      <c r="AD269">
        <v>-1.1100179999999999</v>
      </c>
      <c r="AE269">
        <v>-4.7399999999981901E-2</v>
      </c>
      <c r="AF269">
        <v>5.1375424772730202E-2</v>
      </c>
      <c r="AG269">
        <v>-1.1100179999999999</v>
      </c>
      <c r="AH269">
        <v>17.765567720842402</v>
      </c>
      <c r="AI269">
        <v>93.575259376315898</v>
      </c>
      <c r="AJ269">
        <v>89.834309443363594</v>
      </c>
      <c r="AK269">
        <v>17.8002858358632</v>
      </c>
      <c r="AL269">
        <v>82.567724566983799</v>
      </c>
      <c r="AM269">
        <v>87.950574727122003</v>
      </c>
      <c r="AN269">
        <v>1.00000002359468</v>
      </c>
    </row>
    <row r="270" spans="1:40" x14ac:dyDescent="0.25">
      <c r="A270" t="str">
        <f>"20190312164222874"</f>
        <v>20190312164222874</v>
      </c>
      <c r="B270" t="str">
        <f>"1552380142865013"</f>
        <v>1552380142865013</v>
      </c>
      <c r="C270" t="s">
        <v>40</v>
      </c>
      <c r="D270">
        <v>4.3708640000000001</v>
      </c>
      <c r="E270">
        <v>0.491122</v>
      </c>
      <c r="F270" t="s">
        <v>43</v>
      </c>
      <c r="G270">
        <v>-411.59269999999998</v>
      </c>
      <c r="H270">
        <v>-0.05</v>
      </c>
      <c r="I270">
        <v>367.88549999999998</v>
      </c>
      <c r="J270">
        <v>-429.78390000000002</v>
      </c>
      <c r="K270">
        <v>1.0596380000000001</v>
      </c>
      <c r="L270">
        <v>367.9375</v>
      </c>
      <c r="M270">
        <v>0.99998489999999995</v>
      </c>
      <c r="N270">
        <v>0</v>
      </c>
      <c r="O270" s="1">
        <v>8.7079909999999993E-5</v>
      </c>
      <c r="P270">
        <v>0.99164459999999999</v>
      </c>
      <c r="Q270">
        <v>0.1241408</v>
      </c>
      <c r="R270">
        <v>-3.5075389999999998E-2</v>
      </c>
      <c r="S270">
        <v>3.0470280000000001</v>
      </c>
      <c r="T270">
        <v>-0.1825079</v>
      </c>
      <c r="U270">
        <v>-8.5449219999999999E-3</v>
      </c>
      <c r="V270">
        <v>3.5204230000000003E-2</v>
      </c>
      <c r="W270">
        <v>0.1295934</v>
      </c>
      <c r="X270">
        <v>0.99094210000000005</v>
      </c>
      <c r="Y270">
        <v>2.8860890000000001E-3</v>
      </c>
      <c r="Z270" s="1">
        <v>-9.1567719999999995E-5</v>
      </c>
      <c r="AA270">
        <v>0.99999579999999999</v>
      </c>
      <c r="AB270">
        <v>34</v>
      </c>
      <c r="AC270">
        <v>18.191199999999998</v>
      </c>
      <c r="AD270">
        <v>-1.1096379999999999</v>
      </c>
      <c r="AE270">
        <v>-5.2000000000020898E-2</v>
      </c>
      <c r="AF270">
        <v>5.33854750683984E-2</v>
      </c>
      <c r="AG270">
        <v>-1.1096379999999999</v>
      </c>
      <c r="AH270">
        <v>18.1237605039572</v>
      </c>
      <c r="AI270">
        <v>93.503579505604804</v>
      </c>
      <c r="AJ270">
        <v>89.831229641246594</v>
      </c>
      <c r="AK270">
        <v>18.157776331500301</v>
      </c>
      <c r="AL270">
        <v>82.553903024886196</v>
      </c>
      <c r="AM270">
        <v>87.965364607367206</v>
      </c>
      <c r="AN270">
        <v>1.0000000163429299</v>
      </c>
    </row>
    <row r="271" spans="1:40" x14ac:dyDescent="0.25">
      <c r="A271" t="str">
        <f>"20190312164222897"</f>
        <v>20190312164222897</v>
      </c>
      <c r="B271" t="str">
        <f>"1552380142894293"</f>
        <v>1552380142894293</v>
      </c>
      <c r="C271" t="s">
        <v>40</v>
      </c>
      <c r="D271">
        <v>4.489789</v>
      </c>
      <c r="E271">
        <v>0.4915371</v>
      </c>
      <c r="F271" t="s">
        <v>43</v>
      </c>
      <c r="G271">
        <v>-410.8657</v>
      </c>
      <c r="H271">
        <v>-0.05</v>
      </c>
      <c r="I271">
        <v>367.88780000000003</v>
      </c>
      <c r="J271">
        <v>-429.42500000000001</v>
      </c>
      <c r="K271">
        <v>1.0593250000000001</v>
      </c>
      <c r="L271">
        <v>367.93740000000003</v>
      </c>
      <c r="M271">
        <v>0.99999059999999995</v>
      </c>
      <c r="N271">
        <v>0</v>
      </c>
      <c r="O271" s="1">
        <v>-6.098743E-5</v>
      </c>
      <c r="P271">
        <v>0.99151279999999997</v>
      </c>
      <c r="Q271">
        <v>0.12520590000000001</v>
      </c>
      <c r="R271">
        <v>-3.5018590000000002E-2</v>
      </c>
      <c r="S271">
        <v>3.0473629999999998</v>
      </c>
      <c r="T271">
        <v>-0.1787417</v>
      </c>
      <c r="U271">
        <v>-7.9956049999999994E-3</v>
      </c>
      <c r="V271">
        <v>3.5002770000000002E-2</v>
      </c>
      <c r="W271">
        <v>0.12952350000000001</v>
      </c>
      <c r="X271">
        <v>0.99095840000000002</v>
      </c>
      <c r="Y271">
        <v>2.5584890000000002E-3</v>
      </c>
      <c r="Z271" s="1">
        <v>-7.1394820000000004E-5</v>
      </c>
      <c r="AA271">
        <v>0.99999669999999896</v>
      </c>
      <c r="AB271">
        <v>34</v>
      </c>
      <c r="AC271">
        <v>18.5593</v>
      </c>
      <c r="AD271">
        <v>-1.1093249999999999</v>
      </c>
      <c r="AE271">
        <v>-4.9599999999998E-2</v>
      </c>
      <c r="AF271">
        <v>4.8295561786630199E-2</v>
      </c>
      <c r="AG271">
        <v>-1.1093249999999999</v>
      </c>
      <c r="AH271">
        <v>18.493233013285501</v>
      </c>
      <c r="AI271">
        <v>93.432788316178701</v>
      </c>
      <c r="AJ271">
        <v>89.850370913136203</v>
      </c>
      <c r="AK271">
        <v>18.5265377688489</v>
      </c>
      <c r="AL271">
        <v>82.557942224133896</v>
      </c>
      <c r="AM271">
        <v>87.977031573514395</v>
      </c>
      <c r="AN271">
        <v>1.0000000407452401</v>
      </c>
    </row>
    <row r="272" spans="1:40" x14ac:dyDescent="0.25">
      <c r="A272" t="str">
        <f>"20190312164222917"</f>
        <v>20190312164222917</v>
      </c>
      <c r="B272" t="str">
        <f>"1552380142913813"</f>
        <v>1552380142913813</v>
      </c>
      <c r="C272" t="s">
        <v>40</v>
      </c>
      <c r="D272">
        <v>4.6319039999999996</v>
      </c>
      <c r="E272">
        <v>0.49186160000000001</v>
      </c>
      <c r="F272" t="s">
        <v>43</v>
      </c>
      <c r="G272">
        <v>-410.15170000000001</v>
      </c>
      <c r="H272">
        <v>-0.05</v>
      </c>
      <c r="I272">
        <v>367.86599999999999</v>
      </c>
      <c r="J272">
        <v>-429.1053</v>
      </c>
      <c r="K272">
        <v>1.0591280000000001</v>
      </c>
      <c r="L272">
        <v>367.93729999999999</v>
      </c>
      <c r="M272">
        <v>0.99999369999999999</v>
      </c>
      <c r="N272">
        <v>0</v>
      </c>
      <c r="O272">
        <v>-1.8913790000000001E-4</v>
      </c>
      <c r="P272">
        <v>0.99143959999999998</v>
      </c>
      <c r="Q272">
        <v>0.12576289999999901</v>
      </c>
      <c r="R272">
        <v>-3.5092470000000001E-2</v>
      </c>
      <c r="S272">
        <v>3.0474549999999998</v>
      </c>
      <c r="T272">
        <v>-0.1754047</v>
      </c>
      <c r="U272">
        <v>-1.1291499999999999E-2</v>
      </c>
      <c r="V272">
        <v>3.4952200000000003E-2</v>
      </c>
      <c r="W272">
        <v>0.12929649999999901</v>
      </c>
      <c r="X272">
        <v>0.99098980000000003</v>
      </c>
      <c r="Y272">
        <v>3.5105639999999999E-3</v>
      </c>
      <c r="Z272" s="1">
        <v>-9.0068839999999997E-5</v>
      </c>
      <c r="AA272">
        <v>0.99999389999999999</v>
      </c>
      <c r="AB272">
        <v>35</v>
      </c>
      <c r="AC272">
        <v>18.953599999999899</v>
      </c>
      <c r="AD272">
        <v>-1.1091279999999999</v>
      </c>
      <c r="AE272">
        <v>-7.1300000000007899E-2</v>
      </c>
      <c r="AF272">
        <v>6.7484045440384902E-2</v>
      </c>
      <c r="AG272">
        <v>-1.1091279999999999</v>
      </c>
      <c r="AH272">
        <v>18.888931485868898</v>
      </c>
      <c r="AI272">
        <v>93.360437028434802</v>
      </c>
      <c r="AJ272">
        <v>89.795301574347306</v>
      </c>
      <c r="AK272">
        <v>18.9215869232637</v>
      </c>
      <c r="AL272">
        <v>82.571058448040503</v>
      </c>
      <c r="AM272">
        <v>87.980015772678499</v>
      </c>
      <c r="AN272">
        <v>1.0000000124505599</v>
      </c>
    </row>
    <row r="273" spans="1:40" x14ac:dyDescent="0.25">
      <c r="A273" t="str">
        <f>"20190312164222939"</f>
        <v>20190312164222939</v>
      </c>
      <c r="B273" t="str">
        <f>"1552380142934309"</f>
        <v>1552380142934309</v>
      </c>
      <c r="C273" t="s">
        <v>40</v>
      </c>
      <c r="D273">
        <v>4.3114299999999997</v>
      </c>
      <c r="E273">
        <v>0.49205179999999998</v>
      </c>
      <c r="F273" t="s">
        <v>43</v>
      </c>
      <c r="G273">
        <v>-409.51819999999998</v>
      </c>
      <c r="H273">
        <v>-0.05</v>
      </c>
      <c r="I273">
        <v>367.84640000000002</v>
      </c>
      <c r="J273">
        <v>-428.75709999999998</v>
      </c>
      <c r="K273">
        <v>1.059007</v>
      </c>
      <c r="L273">
        <v>367.93709999999999</v>
      </c>
      <c r="M273">
        <v>0.99999550000000004</v>
      </c>
      <c r="N273">
        <v>0</v>
      </c>
      <c r="O273">
        <v>-3.2592599999999998E-4</v>
      </c>
      <c r="P273">
        <v>0.9913862</v>
      </c>
      <c r="Q273">
        <v>0.1262141</v>
      </c>
      <c r="R273">
        <v>-3.4979330000000003E-2</v>
      </c>
      <c r="S273">
        <v>3.0473020000000002</v>
      </c>
      <c r="T273">
        <v>-0.17255490000000001</v>
      </c>
      <c r="U273">
        <v>-1.4129640000000001E-2</v>
      </c>
      <c r="V273">
        <v>3.4706349999999997E-2</v>
      </c>
      <c r="W273">
        <v>0.12917400000000001</v>
      </c>
      <c r="X273">
        <v>0.99101439999999996</v>
      </c>
      <c r="Y273">
        <v>4.3044219999999996E-3</v>
      </c>
      <c r="Z273">
        <v>-1.033308E-4</v>
      </c>
      <c r="AA273">
        <v>0.99999070000000001</v>
      </c>
      <c r="AB273">
        <v>35</v>
      </c>
      <c r="AC273">
        <v>19.238900000000001</v>
      </c>
      <c r="AD273">
        <v>-1.1090070000000001</v>
      </c>
      <c r="AE273">
        <v>-9.0699999999969805E-2</v>
      </c>
      <c r="AF273">
        <v>8.4149899993779198E-2</v>
      </c>
      <c r="AG273">
        <v>-1.1090070000000001</v>
      </c>
      <c r="AH273">
        <v>19.175213982882202</v>
      </c>
      <c r="AI273">
        <v>93.310007662050495</v>
      </c>
      <c r="AJ273">
        <v>89.748560659127406</v>
      </c>
      <c r="AK273">
        <v>19.2074415011745</v>
      </c>
      <c r="AL273">
        <v>82.578136422810104</v>
      </c>
      <c r="AM273">
        <v>87.994262225942904</v>
      </c>
      <c r="AN273">
        <v>0.99999999700684095</v>
      </c>
    </row>
    <row r="274" spans="1:40" x14ac:dyDescent="0.25">
      <c r="A274" t="str">
        <f>"20190312164222962"</f>
        <v>20190312164222962</v>
      </c>
      <c r="B274" t="str">
        <f>"1552380142953829"</f>
        <v>1552380142953829</v>
      </c>
      <c r="C274" t="s">
        <v>40</v>
      </c>
      <c r="D274">
        <v>4.2837440000000004</v>
      </c>
      <c r="E274">
        <v>0.49238460000000001</v>
      </c>
      <c r="F274" t="s">
        <v>43</v>
      </c>
      <c r="G274">
        <v>-409.0591</v>
      </c>
      <c r="H274">
        <v>-0.05</v>
      </c>
      <c r="I274">
        <v>367.83629999999999</v>
      </c>
      <c r="J274">
        <v>-428.39659999999998</v>
      </c>
      <c r="K274">
        <v>1.058967</v>
      </c>
      <c r="L274">
        <v>367.93689999999998</v>
      </c>
      <c r="M274">
        <v>0.9999962</v>
      </c>
      <c r="N274">
        <v>0</v>
      </c>
      <c r="O274">
        <v>-4.6772140000000002E-4</v>
      </c>
      <c r="P274">
        <v>0.99142569999999997</v>
      </c>
      <c r="Q274">
        <v>0.12591279999999999</v>
      </c>
      <c r="R274">
        <v>-3.494945E-2</v>
      </c>
      <c r="S274">
        <v>3.0473629999999998</v>
      </c>
      <c r="T274">
        <v>-0.17156840000000001</v>
      </c>
      <c r="U274">
        <v>-1.5594480000000001E-2</v>
      </c>
      <c r="V274">
        <v>3.4538010000000001E-2</v>
      </c>
      <c r="W274">
        <v>0.12859709999999999</v>
      </c>
      <c r="X274">
        <v>0.99109530000000001</v>
      </c>
      <c r="Y274">
        <v>4.6429729999999999E-3</v>
      </c>
      <c r="Z274">
        <v>-1.0428479999999999E-4</v>
      </c>
      <c r="AA274">
        <v>0.99998920000000002</v>
      </c>
      <c r="AB274">
        <v>35</v>
      </c>
      <c r="AC274">
        <v>19.337499999999899</v>
      </c>
      <c r="AD274">
        <v>-1.108967</v>
      </c>
      <c r="AE274">
        <v>-0.10059999999998499</v>
      </c>
      <c r="AF274">
        <v>9.1255281398515201E-2</v>
      </c>
      <c r="AG274">
        <v>-1.108967</v>
      </c>
      <c r="AH274">
        <v>19.2741579298809</v>
      </c>
      <c r="AI274">
        <v>93.292929518395795</v>
      </c>
      <c r="AJ274">
        <v>89.728729865467798</v>
      </c>
      <c r="AK274">
        <v>19.306250263566501</v>
      </c>
      <c r="AL274">
        <v>82.611468319650797</v>
      </c>
      <c r="AM274">
        <v>88.004145783259005</v>
      </c>
      <c r="AN274">
        <v>0.99999999097263004</v>
      </c>
    </row>
    <row r="275" spans="1:40" x14ac:dyDescent="0.25">
      <c r="A275" t="str">
        <f>"20190312164222988"</f>
        <v>20190312164222988</v>
      </c>
      <c r="B275" t="str">
        <f>"1552380142984086"</f>
        <v>1552380142984086</v>
      </c>
      <c r="C275" t="s">
        <v>40</v>
      </c>
      <c r="D275">
        <v>4.2587760000000001</v>
      </c>
      <c r="E275">
        <v>0.49290060000000002</v>
      </c>
      <c r="F275" t="s">
        <v>43</v>
      </c>
      <c r="G275">
        <v>-408.73309999999998</v>
      </c>
      <c r="H275">
        <v>-0.05</v>
      </c>
      <c r="I275">
        <v>367.81790000000001</v>
      </c>
      <c r="J275">
        <v>-427.9862</v>
      </c>
      <c r="K275">
        <v>1.0589759999999999</v>
      </c>
      <c r="L275">
        <v>367.93650000000002</v>
      </c>
      <c r="M275">
        <v>0.99999629999999995</v>
      </c>
      <c r="N275">
        <v>0</v>
      </c>
      <c r="O275">
        <v>-6.392231E-4</v>
      </c>
      <c r="P275">
        <v>0.99143680000000001</v>
      </c>
      <c r="Q275">
        <v>0.12585150000000001</v>
      </c>
      <c r="R275">
        <v>-3.4854540000000003E-2</v>
      </c>
      <c r="S275">
        <v>3.0471499999999998</v>
      </c>
      <c r="T275">
        <v>-0.1718507</v>
      </c>
      <c r="U275">
        <v>-1.843262E-2</v>
      </c>
      <c r="V275">
        <v>3.4274539999999999E-2</v>
      </c>
      <c r="W275">
        <v>0.12849929999999901</v>
      </c>
      <c r="X275">
        <v>0.99111709999999997</v>
      </c>
      <c r="Y275">
        <v>5.4022410000000003E-3</v>
      </c>
      <c r="Z275">
        <v>-1.1619169999999999E-4</v>
      </c>
      <c r="AA275">
        <v>0.99998540000000002</v>
      </c>
      <c r="AB275">
        <v>35</v>
      </c>
      <c r="AC275">
        <v>19.2531</v>
      </c>
      <c r="AD275">
        <v>-1.108976</v>
      </c>
      <c r="AE275">
        <v>-0.118600000000014</v>
      </c>
      <c r="AF275">
        <v>0.105941433191565</v>
      </c>
      <c r="AG275">
        <v>-1.108976</v>
      </c>
      <c r="AH275">
        <v>19.189508404946501</v>
      </c>
      <c r="AI275">
        <v>93.307436722009598</v>
      </c>
      <c r="AJ275">
        <v>89.683684688483396</v>
      </c>
      <c r="AK275">
        <v>19.221817920773201</v>
      </c>
      <c r="AL275">
        <v>82.617118497337103</v>
      </c>
      <c r="AM275">
        <v>88.019402328953404</v>
      </c>
      <c r="AN275">
        <v>0.99999996005255498</v>
      </c>
    </row>
    <row r="276" spans="1:40" x14ac:dyDescent="0.25">
      <c r="A276" t="str">
        <f>"20190312164223006"</f>
        <v>20190312164223006</v>
      </c>
      <c r="B276" t="str">
        <f>"1552380143003605"</f>
        <v>1552380143003605</v>
      </c>
      <c r="C276" t="s">
        <v>40</v>
      </c>
      <c r="D276">
        <v>4.2665459999999999</v>
      </c>
      <c r="E276">
        <v>0.49305779999999999</v>
      </c>
      <c r="F276" t="s">
        <v>43</v>
      </c>
      <c r="G276">
        <v>-408.23840000000001</v>
      </c>
      <c r="H276">
        <v>-0.05</v>
      </c>
      <c r="I276">
        <v>367.79109999999997</v>
      </c>
      <c r="J276">
        <v>-427.69709999999998</v>
      </c>
      <c r="K276">
        <v>1.0589949999999999</v>
      </c>
      <c r="L276">
        <v>367.93610000000001</v>
      </c>
      <c r="M276">
        <v>0.999996</v>
      </c>
      <c r="N276">
        <v>0</v>
      </c>
      <c r="O276">
        <v>-7.6711580000000002E-4</v>
      </c>
      <c r="P276">
        <v>0.99144339999999997</v>
      </c>
      <c r="Q276">
        <v>0.1259159</v>
      </c>
      <c r="R276">
        <v>-3.4430500000000003E-2</v>
      </c>
      <c r="S276">
        <v>3.046875</v>
      </c>
      <c r="T276">
        <v>-0.17110339999999999</v>
      </c>
      <c r="U276">
        <v>-2.243042E-2</v>
      </c>
      <c r="V276">
        <v>3.3723940000000001E-2</v>
      </c>
      <c r="W276">
        <v>0.12862499999999999</v>
      </c>
      <c r="X276">
        <v>0.99111970000000005</v>
      </c>
      <c r="Y276">
        <v>6.5853129999999998E-3</v>
      </c>
      <c r="Z276">
        <v>-1.417131E-4</v>
      </c>
      <c r="AA276">
        <v>0.99997829999999999</v>
      </c>
      <c r="AB276">
        <v>36</v>
      </c>
      <c r="AC276">
        <v>19.458699999999901</v>
      </c>
      <c r="AD276">
        <v>-1.108995</v>
      </c>
      <c r="AE276">
        <v>-0.14500000000003799</v>
      </c>
      <c r="AF276">
        <v>0.129651725340729</v>
      </c>
      <c r="AG276">
        <v>-1.108995</v>
      </c>
      <c r="AH276">
        <v>19.395809166645101</v>
      </c>
      <c r="AI276">
        <v>93.272367256721907</v>
      </c>
      <c r="AJ276">
        <v>89.617010769406903</v>
      </c>
      <c r="AK276">
        <v>19.427920442209501</v>
      </c>
      <c r="AL276">
        <v>82.6098562783706</v>
      </c>
      <c r="AM276">
        <v>88.051199821538404</v>
      </c>
      <c r="AN276">
        <v>0.99999997724110601</v>
      </c>
    </row>
    <row r="277" spans="1:40" x14ac:dyDescent="0.25">
      <c r="A277" t="str">
        <f>"20190312164223029"</f>
        <v>20190312164223029</v>
      </c>
      <c r="B277" t="str">
        <f>"1552380143024101"</f>
        <v>1552380143024101</v>
      </c>
      <c r="C277" t="s">
        <v>40</v>
      </c>
      <c r="D277">
        <v>4.2477269999999896</v>
      </c>
      <c r="E277">
        <v>0.49328699999999998</v>
      </c>
      <c r="F277" t="s">
        <v>43</v>
      </c>
      <c r="G277">
        <v>-407.93079999999998</v>
      </c>
      <c r="H277">
        <v>-0.05</v>
      </c>
      <c r="I277">
        <v>367.79140000000001</v>
      </c>
      <c r="J277">
        <v>-427.3193</v>
      </c>
      <c r="K277">
        <v>1.059021</v>
      </c>
      <c r="L277">
        <v>367.9357</v>
      </c>
      <c r="M277">
        <v>0.99999550000000004</v>
      </c>
      <c r="N277">
        <v>0</v>
      </c>
      <c r="O277">
        <v>-9.4366269999999997E-4</v>
      </c>
      <c r="P277">
        <v>0.99145059999999996</v>
      </c>
      <c r="Q277">
        <v>0.12595919999999999</v>
      </c>
      <c r="R277">
        <v>-3.4064999999999998E-2</v>
      </c>
      <c r="S277">
        <v>3.0468440000000001</v>
      </c>
      <c r="T277">
        <v>-0.17094409999999999</v>
      </c>
      <c r="U277">
        <v>-2.2308350000000001E-2</v>
      </c>
      <c r="V277">
        <v>3.3183450000000003E-2</v>
      </c>
      <c r="W277">
        <v>0.1288147</v>
      </c>
      <c r="X277">
        <v>0.99111329999999997</v>
      </c>
      <c r="Y277">
        <v>6.3694149999999998E-3</v>
      </c>
      <c r="Z277">
        <v>-1.256338E-4</v>
      </c>
      <c r="AA277">
        <v>0.99997970000000003</v>
      </c>
      <c r="AB277">
        <v>36</v>
      </c>
      <c r="AC277">
        <v>19.388500000000001</v>
      </c>
      <c r="AD277">
        <v>-1.10902099999999</v>
      </c>
      <c r="AE277">
        <v>-0.14429999999998699</v>
      </c>
      <c r="AF277">
        <v>0.125592761532726</v>
      </c>
      <c r="AG277">
        <v>-1.10902099999999</v>
      </c>
      <c r="AH277">
        <v>19.3254015554839</v>
      </c>
      <c r="AI277">
        <v>93.284344156541707</v>
      </c>
      <c r="AJ277">
        <v>89.627648934050299</v>
      </c>
      <c r="AK277">
        <v>19.357604355934399</v>
      </c>
      <c r="AL277">
        <v>82.598896043431694</v>
      </c>
      <c r="AM277">
        <v>88.082397153530096</v>
      </c>
      <c r="AN277">
        <v>0.99999997086343995</v>
      </c>
    </row>
    <row r="278" spans="1:40" x14ac:dyDescent="0.25">
      <c r="A278" t="str">
        <f>"20190312164223053"</f>
        <v>20190312164223053</v>
      </c>
      <c r="B278" t="str">
        <f>"1552380143043621"</f>
        <v>1552380143043621</v>
      </c>
      <c r="C278" t="s">
        <v>40</v>
      </c>
      <c r="D278">
        <v>4.2912939999999997</v>
      </c>
      <c r="E278">
        <v>0.49347410000000003</v>
      </c>
      <c r="F278" t="s">
        <v>43</v>
      </c>
      <c r="G278">
        <v>-407.58949999999999</v>
      </c>
      <c r="H278">
        <v>-0.05</v>
      </c>
      <c r="I278">
        <v>367.78750000000002</v>
      </c>
      <c r="J278">
        <v>-426.94639999999998</v>
      </c>
      <c r="K278">
        <v>1.059037</v>
      </c>
      <c r="L278">
        <v>367.93520000000001</v>
      </c>
      <c r="M278">
        <v>0.99999459999999996</v>
      </c>
      <c r="N278">
        <v>0</v>
      </c>
      <c r="O278">
        <v>-1.123378E-3</v>
      </c>
      <c r="P278">
        <v>0.99144350000000003</v>
      </c>
      <c r="Q278">
        <v>0.12618850000000001</v>
      </c>
      <c r="R278">
        <v>-3.3405619999999997E-2</v>
      </c>
      <c r="S278">
        <v>3.0468440000000001</v>
      </c>
      <c r="T278">
        <v>-0.171265</v>
      </c>
      <c r="U278">
        <v>-2.2888180000000001E-2</v>
      </c>
      <c r="V278">
        <v>3.2346189999999997E-2</v>
      </c>
      <c r="W278">
        <v>0.12922320000000001</v>
      </c>
      <c r="X278">
        <v>0.99108790000000002</v>
      </c>
      <c r="Y278">
        <v>6.3802279999999999E-3</v>
      </c>
      <c r="Z278">
        <v>-1.16079E-4</v>
      </c>
      <c r="AA278">
        <v>0.99997959999999997</v>
      </c>
      <c r="AB278">
        <v>36</v>
      </c>
      <c r="AC278">
        <v>19.3569</v>
      </c>
      <c r="AD278">
        <v>-1.1090370000000001</v>
      </c>
      <c r="AE278">
        <v>-0.14769999999998601</v>
      </c>
      <c r="AF278">
        <v>0.12554260296919101</v>
      </c>
      <c r="AG278">
        <v>-1.1090370000000001</v>
      </c>
      <c r="AH278">
        <v>19.293723456690898</v>
      </c>
      <c r="AI278">
        <v>93.289772026736998</v>
      </c>
      <c r="AJ278">
        <v>89.627186540740198</v>
      </c>
      <c r="AK278">
        <v>19.3259796345694</v>
      </c>
      <c r="AL278">
        <v>82.575294178006999</v>
      </c>
      <c r="AM278">
        <v>88.130698034507503</v>
      </c>
      <c r="AN278">
        <v>1.0000000684760799</v>
      </c>
    </row>
    <row r="279" spans="1:40" x14ac:dyDescent="0.25">
      <c r="A279" t="str">
        <f>"20190312164223076"</f>
        <v>20190312164223076</v>
      </c>
      <c r="B279" t="str">
        <f>"1552380143064117"</f>
        <v>1552380143064117</v>
      </c>
      <c r="C279" t="s">
        <v>40</v>
      </c>
      <c r="D279">
        <v>4.4063119999999998</v>
      </c>
      <c r="E279">
        <v>0.48228159999999998</v>
      </c>
      <c r="F279" t="s">
        <v>43</v>
      </c>
      <c r="G279">
        <v>-407.11349999999999</v>
      </c>
      <c r="H279">
        <v>-0.05</v>
      </c>
      <c r="I279">
        <v>367.79070000000002</v>
      </c>
      <c r="J279">
        <v>-426.57389999999998</v>
      </c>
      <c r="K279">
        <v>1.059042</v>
      </c>
      <c r="L279">
        <v>367.93459999999999</v>
      </c>
      <c r="M279">
        <v>0.99999389999999999</v>
      </c>
      <c r="N279">
        <v>0</v>
      </c>
      <c r="O279">
        <v>-1.3061220000000001E-3</v>
      </c>
      <c r="P279">
        <v>0.99151120000000004</v>
      </c>
      <c r="Q279">
        <v>0.1257711</v>
      </c>
      <c r="R279">
        <v>-3.2977329999999999E-2</v>
      </c>
      <c r="S279">
        <v>3.0468440000000001</v>
      </c>
      <c r="T279">
        <v>-0.17037669999999999</v>
      </c>
      <c r="U279">
        <v>-2.2186279999999999E-2</v>
      </c>
      <c r="V279">
        <v>3.1736430000000003E-2</v>
      </c>
      <c r="W279">
        <v>0.12900049999999999</v>
      </c>
      <c r="X279">
        <v>0.99113660000000003</v>
      </c>
      <c r="Y279">
        <v>5.9681459999999997E-3</v>
      </c>
      <c r="Z279" s="1">
        <v>-9.3754630000000001E-5</v>
      </c>
      <c r="AA279">
        <v>0.99998220000000004</v>
      </c>
      <c r="AB279">
        <v>36</v>
      </c>
      <c r="AC279">
        <v>19.4604</v>
      </c>
      <c r="AD279">
        <v>-1.1090420000000001</v>
      </c>
      <c r="AE279">
        <v>-0.14389999999997299</v>
      </c>
      <c r="AF279">
        <v>0.118098545023931</v>
      </c>
      <c r="AG279">
        <v>-1.1090420000000001</v>
      </c>
      <c r="AH279">
        <v>19.397574891455601</v>
      </c>
      <c r="AI279">
        <v>93.272220829682098</v>
      </c>
      <c r="AJ279">
        <v>89.651169559611901</v>
      </c>
      <c r="AK279">
        <v>19.429612273376101</v>
      </c>
      <c r="AL279">
        <v>82.588161471947302</v>
      </c>
      <c r="AM279">
        <v>88.166002118738504</v>
      </c>
      <c r="AN279">
        <v>1.0000000449244699</v>
      </c>
    </row>
    <row r="280" spans="1:40" x14ac:dyDescent="0.25">
      <c r="A280" t="str">
        <f>"20190312164223098"</f>
        <v>20190312164223098</v>
      </c>
      <c r="B280" t="str">
        <f>"1552380143094373"</f>
        <v>1552380143094373</v>
      </c>
      <c r="C280" t="s">
        <v>40</v>
      </c>
      <c r="D280">
        <v>4.4154730000000004</v>
      </c>
      <c r="E280">
        <v>0.48006989999999999</v>
      </c>
      <c r="F280" t="s">
        <v>43</v>
      </c>
      <c r="G280">
        <v>-409.71300000000002</v>
      </c>
      <c r="H280">
        <v>-0.05</v>
      </c>
      <c r="I280">
        <v>368.32130000000001</v>
      </c>
      <c r="J280">
        <v>-426.22039999999998</v>
      </c>
      <c r="K280">
        <v>1.059034</v>
      </c>
      <c r="L280">
        <v>367.93400000000003</v>
      </c>
      <c r="M280">
        <v>0.99999300000000002</v>
      </c>
      <c r="N280">
        <v>0</v>
      </c>
      <c r="O280">
        <v>-1.479459E-3</v>
      </c>
      <c r="P280">
        <v>0.99161549999999998</v>
      </c>
      <c r="Q280">
        <v>0.1250019</v>
      </c>
      <c r="R280">
        <v>-3.2763050000000002E-2</v>
      </c>
      <c r="S280">
        <v>3.0534970000000001</v>
      </c>
      <c r="T280">
        <v>-0.20084740000000001</v>
      </c>
      <c r="U280">
        <v>7.0037840000000004E-2</v>
      </c>
      <c r="V280">
        <v>3.1350410000000002E-2</v>
      </c>
      <c r="W280">
        <v>0.12841839999999999</v>
      </c>
      <c r="X280">
        <v>0.99122440000000001</v>
      </c>
      <c r="Y280">
        <v>-2.435416E-2</v>
      </c>
      <c r="Z280">
        <v>8.9718879999999999E-4</v>
      </c>
      <c r="AA280">
        <v>0.99970300000000001</v>
      </c>
      <c r="AB280">
        <v>36</v>
      </c>
      <c r="AC280">
        <v>16.507399999999901</v>
      </c>
      <c r="AD280">
        <v>-1.1090340000000001</v>
      </c>
      <c r="AE280">
        <v>0.38729999999998199</v>
      </c>
      <c r="AF280">
        <v>-0.40987271856978802</v>
      </c>
      <c r="AG280">
        <v>-1.1090340000000001</v>
      </c>
      <c r="AH280">
        <v>16.432677621241901</v>
      </c>
      <c r="AI280">
        <v>93.859814484996605</v>
      </c>
      <c r="AJ280">
        <v>91.428806019240199</v>
      </c>
      <c r="AK280">
        <v>16.475158447257702</v>
      </c>
      <c r="AL280">
        <v>82.6217925422267</v>
      </c>
      <c r="AM280">
        <v>88.188455012770604</v>
      </c>
      <c r="AN280">
        <v>0.99999997241054295</v>
      </c>
    </row>
    <row r="281" spans="1:40" x14ac:dyDescent="0.25">
      <c r="A281" t="str">
        <f>"20190312164223119"</f>
        <v>20190312164223119</v>
      </c>
      <c r="B281" t="str">
        <f>"1552380143113894"</f>
        <v>1552380143113894</v>
      </c>
      <c r="C281" t="s">
        <v>40</v>
      </c>
      <c r="D281">
        <v>4.385859</v>
      </c>
      <c r="E281">
        <v>0.47982770000000002</v>
      </c>
      <c r="F281" t="s">
        <v>43</v>
      </c>
      <c r="G281">
        <v>-408.91289999999998</v>
      </c>
      <c r="H281">
        <v>-0.05</v>
      </c>
      <c r="I281">
        <v>368.43450000000001</v>
      </c>
      <c r="J281">
        <v>-425.86829999999998</v>
      </c>
      <c r="K281">
        <v>1.059013</v>
      </c>
      <c r="L281">
        <v>367.93329999999997</v>
      </c>
      <c r="M281">
        <v>0.99999210000000005</v>
      </c>
      <c r="N281">
        <v>0</v>
      </c>
      <c r="O281">
        <v>-1.65053799999999E-3</v>
      </c>
      <c r="P281">
        <v>0.99168900000000004</v>
      </c>
      <c r="Q281">
        <v>0.1244316</v>
      </c>
      <c r="R281">
        <v>-3.2712850000000002E-2</v>
      </c>
      <c r="S281">
        <v>3.0529480000000002</v>
      </c>
      <c r="T281">
        <v>-0.19562760000000001</v>
      </c>
      <c r="U281">
        <v>8.8287350000000001E-2</v>
      </c>
      <c r="V281">
        <v>3.113086E-2</v>
      </c>
      <c r="W281">
        <v>0.1280287</v>
      </c>
      <c r="X281">
        <v>0.99128170000000004</v>
      </c>
      <c r="Y281">
        <v>-3.0490590000000001E-2</v>
      </c>
      <c r="Z281">
        <v>1.081322E-3</v>
      </c>
      <c r="AA281">
        <v>0.99953449999999999</v>
      </c>
      <c r="AB281">
        <v>36</v>
      </c>
      <c r="AC281">
        <v>16.955399999999901</v>
      </c>
      <c r="AD281">
        <v>-1.109013</v>
      </c>
      <c r="AE281">
        <v>0.50120000000003895</v>
      </c>
      <c r="AF281">
        <v>-0.52693269704410794</v>
      </c>
      <c r="AG281">
        <v>-1.109013</v>
      </c>
      <c r="AH281">
        <v>16.882387121949399</v>
      </c>
      <c r="AI281">
        <v>93.756566234333405</v>
      </c>
      <c r="AJ281">
        <v>91.787734236347305</v>
      </c>
      <c r="AK281">
        <v>16.926977368589601</v>
      </c>
      <c r="AL281">
        <v>82.644306341905803</v>
      </c>
      <c r="AM281">
        <v>88.201236988978806</v>
      </c>
      <c r="AN281">
        <v>0.99999994361145805</v>
      </c>
    </row>
    <row r="282" spans="1:40" x14ac:dyDescent="0.25">
      <c r="A282" t="str">
        <f>"20190312164223142"</f>
        <v>20190312164223142</v>
      </c>
      <c r="B282" t="str">
        <f>"1552380143134390"</f>
        <v>1552380143134390</v>
      </c>
      <c r="C282" t="s">
        <v>40</v>
      </c>
      <c r="D282">
        <v>4.4566970000000001</v>
      </c>
      <c r="E282">
        <v>0.47951080000000001</v>
      </c>
      <c r="F282" t="s">
        <v>43</v>
      </c>
      <c r="G282">
        <v>-408.93459999999999</v>
      </c>
      <c r="H282">
        <v>-0.05</v>
      </c>
      <c r="I282">
        <v>368.4341</v>
      </c>
      <c r="J282">
        <v>-425.51560000000001</v>
      </c>
      <c r="K282">
        <v>1.0589949999999999</v>
      </c>
      <c r="L282">
        <v>367.93259999999998</v>
      </c>
      <c r="M282">
        <v>0.99999110000000002</v>
      </c>
      <c r="N282">
        <v>0</v>
      </c>
      <c r="O282">
        <v>-1.8207779999999999E-3</v>
      </c>
      <c r="P282">
        <v>0.99184459999999997</v>
      </c>
      <c r="Q282">
        <v>0.12308139999999899</v>
      </c>
      <c r="R282">
        <v>-3.3099759999999999E-2</v>
      </c>
      <c r="S282">
        <v>3.0531920000000001</v>
      </c>
      <c r="T282">
        <v>-0.1999581</v>
      </c>
      <c r="U282">
        <v>9.0301510000000001E-2</v>
      </c>
      <c r="V282">
        <v>3.1348840000000003E-2</v>
      </c>
      <c r="W282">
        <v>0.12684970000000001</v>
      </c>
      <c r="X282">
        <v>0.99142649999999999</v>
      </c>
      <c r="Y282">
        <v>-3.131221E-2</v>
      </c>
      <c r="Z282">
        <v>1.1431150000000001E-3</v>
      </c>
      <c r="AA282">
        <v>0.99950899999999998</v>
      </c>
      <c r="AB282">
        <v>36</v>
      </c>
      <c r="AC282">
        <v>16.581</v>
      </c>
      <c r="AD282">
        <v>-1.108995</v>
      </c>
      <c r="AE282">
        <v>0.50150000000002104</v>
      </c>
      <c r="AF282">
        <v>-0.52932399351293302</v>
      </c>
      <c r="AG282">
        <v>-1.108995</v>
      </c>
      <c r="AH282">
        <v>16.506287645499999</v>
      </c>
      <c r="AI282">
        <v>93.841741135629405</v>
      </c>
      <c r="AJ282">
        <v>91.836732877771198</v>
      </c>
      <c r="AK282">
        <v>16.5519662166197</v>
      </c>
      <c r="AL282">
        <v>82.7124141761212</v>
      </c>
      <c r="AM282">
        <v>88.188914687686804</v>
      </c>
      <c r="AN282">
        <v>1.00000005053084</v>
      </c>
    </row>
    <row r="283" spans="1:40" x14ac:dyDescent="0.25">
      <c r="A283" t="str">
        <f>"20190312164223163"</f>
        <v>20190312164223163</v>
      </c>
      <c r="B283" t="str">
        <f>"1552380143153909"</f>
        <v>1552380143153909</v>
      </c>
      <c r="C283" t="s">
        <v>40</v>
      </c>
      <c r="D283">
        <v>4.359648</v>
      </c>
      <c r="E283">
        <v>0.47951129999999997</v>
      </c>
      <c r="F283" t="s">
        <v>43</v>
      </c>
      <c r="G283">
        <v>-409.06849999999997</v>
      </c>
      <c r="H283">
        <v>-0.05</v>
      </c>
      <c r="I283">
        <v>368.42680000000001</v>
      </c>
      <c r="J283">
        <v>-425.15219999999999</v>
      </c>
      <c r="K283">
        <v>1.05897</v>
      </c>
      <c r="L283">
        <v>367.93180000000001</v>
      </c>
      <c r="M283">
        <v>0.99999020000000005</v>
      </c>
      <c r="N283">
        <v>0</v>
      </c>
      <c r="O283">
        <v>-1.9936400000000001E-3</v>
      </c>
      <c r="P283">
        <v>0.9919751</v>
      </c>
      <c r="Q283">
        <v>0.121864899999999</v>
      </c>
      <c r="R283">
        <v>-3.3681000000000003E-2</v>
      </c>
      <c r="S283">
        <v>3.0532840000000001</v>
      </c>
      <c r="T283">
        <v>-0.2058767</v>
      </c>
      <c r="U283">
        <v>9.1735839999999999E-2</v>
      </c>
      <c r="V283">
        <v>3.1758599999999998E-2</v>
      </c>
      <c r="W283">
        <v>0.12579580000000001</v>
      </c>
      <c r="X283">
        <v>0.99154770000000003</v>
      </c>
      <c r="Y283">
        <v>-3.1947120000000002E-2</v>
      </c>
      <c r="Z283">
        <v>1.2098479999999999E-3</v>
      </c>
      <c r="AA283">
        <v>0.99948879999999996</v>
      </c>
      <c r="AB283">
        <v>36</v>
      </c>
      <c r="AC283">
        <v>16.0837</v>
      </c>
      <c r="AD283">
        <v>-1.10897</v>
      </c>
      <c r="AE283">
        <v>0.49500000000000399</v>
      </c>
      <c r="AF283">
        <v>-0.52457286623365895</v>
      </c>
      <c r="AG283">
        <v>-1.10897</v>
      </c>
      <c r="AH283">
        <v>16.006656056724101</v>
      </c>
      <c r="AI283">
        <v>93.961102125941196</v>
      </c>
      <c r="AJ283">
        <v>91.877035276568506</v>
      </c>
      <c r="AK283">
        <v>16.053598639281802</v>
      </c>
      <c r="AL283">
        <v>82.773285582989899</v>
      </c>
      <c r="AM283">
        <v>88.1654822197941</v>
      </c>
      <c r="AN283">
        <v>1.00000001667344</v>
      </c>
    </row>
    <row r="284" spans="1:40" x14ac:dyDescent="0.25">
      <c r="A284" t="str">
        <f>"20190312164223186"</f>
        <v>20190312164223186</v>
      </c>
      <c r="B284" t="str">
        <f>"1552380143174408"</f>
        <v>1552380143174408</v>
      </c>
      <c r="C284" t="s">
        <v>40</v>
      </c>
      <c r="D284">
        <v>4.2385950000000001</v>
      </c>
      <c r="E284">
        <v>0.4795161</v>
      </c>
      <c r="F284" t="s">
        <v>43</v>
      </c>
      <c r="G284">
        <v>-409.30180000000001</v>
      </c>
      <c r="H284">
        <v>-0.05</v>
      </c>
      <c r="I284">
        <v>368.40050000000002</v>
      </c>
      <c r="J284">
        <v>-424.78899999999999</v>
      </c>
      <c r="K284">
        <v>1.058945</v>
      </c>
      <c r="L284">
        <v>367.93090000000001</v>
      </c>
      <c r="M284">
        <v>0.99998920000000002</v>
      </c>
      <c r="N284">
        <v>0</v>
      </c>
      <c r="O284">
        <v>-2.1661250000000001E-3</v>
      </c>
      <c r="P284">
        <v>0.99212180000000005</v>
      </c>
      <c r="Q284">
        <v>0.12058430000000001</v>
      </c>
      <c r="R284">
        <v>-3.3968110000000003E-2</v>
      </c>
      <c r="S284">
        <v>3.0536189999999999</v>
      </c>
      <c r="T284">
        <v>-0.21364669999999999</v>
      </c>
      <c r="U284">
        <v>9.0301510000000001E-2</v>
      </c>
      <c r="V284">
        <v>3.1874420000000001E-2</v>
      </c>
      <c r="W284">
        <v>0.1246656</v>
      </c>
      <c r="X284">
        <v>0.99168670000000003</v>
      </c>
      <c r="Y284">
        <v>-3.1641599999999999E-2</v>
      </c>
      <c r="Z284">
        <v>1.2566490000000001E-3</v>
      </c>
      <c r="AA284">
        <v>0.99949849999999996</v>
      </c>
      <c r="AB284">
        <v>37</v>
      </c>
      <c r="AC284">
        <v>15.4871999999999</v>
      </c>
      <c r="AD284">
        <v>-1.1089450000000001</v>
      </c>
      <c r="AE284">
        <v>0.46960000000001401</v>
      </c>
      <c r="AF284">
        <v>-0.50058220127215203</v>
      </c>
      <c r="AG284">
        <v>-1.1089450000000001</v>
      </c>
      <c r="AH284">
        <v>15.407224188865801</v>
      </c>
      <c r="AI284">
        <v>94.114638151079802</v>
      </c>
      <c r="AJ284">
        <v>91.860890802396298</v>
      </c>
      <c r="AK284">
        <v>15.4551900266295</v>
      </c>
      <c r="AL284">
        <v>82.838554985237906</v>
      </c>
      <c r="AM284">
        <v>88.159054433901403</v>
      </c>
      <c r="AN284">
        <v>1.00000000071529</v>
      </c>
    </row>
    <row r="285" spans="1:40" x14ac:dyDescent="0.25">
      <c r="A285" t="str">
        <f>"20190312164223207"</f>
        <v>20190312164223207</v>
      </c>
      <c r="B285" t="str">
        <f>"1552380143203686"</f>
        <v>1552380143203686</v>
      </c>
      <c r="C285" t="s">
        <v>40</v>
      </c>
      <c r="D285">
        <v>4.4515169999999999</v>
      </c>
      <c r="E285">
        <v>0.47953089999999998</v>
      </c>
      <c r="F285" t="s">
        <v>43</v>
      </c>
      <c r="G285">
        <v>-409.13279999999997</v>
      </c>
      <c r="H285">
        <v>-0.05</v>
      </c>
      <c r="I285">
        <v>368.3886</v>
      </c>
      <c r="J285">
        <v>-424.4359</v>
      </c>
      <c r="K285">
        <v>1.0589139999999999</v>
      </c>
      <c r="L285">
        <v>367.93</v>
      </c>
      <c r="M285">
        <v>0.99998830000000005</v>
      </c>
      <c r="N285">
        <v>0</v>
      </c>
      <c r="O285">
        <v>-2.3333360000000001E-3</v>
      </c>
      <c r="P285">
        <v>0.99231380000000002</v>
      </c>
      <c r="Q285">
        <v>0.1188293</v>
      </c>
      <c r="R285">
        <v>-3.454575E-2</v>
      </c>
      <c r="S285">
        <v>3.0531920000000001</v>
      </c>
      <c r="T285">
        <v>-0.21626090000000001</v>
      </c>
      <c r="U285">
        <v>8.9263919999999997E-2</v>
      </c>
      <c r="V285">
        <v>3.2285139999999997E-2</v>
      </c>
      <c r="W285">
        <v>0.123044</v>
      </c>
      <c r="X285">
        <v>0.99187590000000003</v>
      </c>
      <c r="Y285">
        <v>-3.1471430000000002E-2</v>
      </c>
      <c r="Z285">
        <v>1.27798E-3</v>
      </c>
      <c r="AA285">
        <v>0.9995039</v>
      </c>
      <c r="AB285">
        <v>37</v>
      </c>
      <c r="AC285">
        <v>15.303100000000001</v>
      </c>
      <c r="AD285">
        <v>-1.108914</v>
      </c>
      <c r="AE285">
        <v>0.45859999999998902</v>
      </c>
      <c r="AF285">
        <v>-0.49172663688866303</v>
      </c>
      <c r="AG285">
        <v>-1.108914</v>
      </c>
      <c r="AH285">
        <v>15.222129521552199</v>
      </c>
      <c r="AI285">
        <v>94.164404503084796</v>
      </c>
      <c r="AJ285">
        <v>91.850205462822402</v>
      </c>
      <c r="AK285">
        <v>15.2703867834359</v>
      </c>
      <c r="AL285">
        <v>82.932186606691204</v>
      </c>
      <c r="AM285">
        <v>88.135704875046102</v>
      </c>
      <c r="AN285">
        <v>0.99999997860081402</v>
      </c>
    </row>
    <row r="286" spans="1:40" x14ac:dyDescent="0.25">
      <c r="A286" t="str">
        <f>"20190312164223231"</f>
        <v>20190312164223231</v>
      </c>
      <c r="B286" t="str">
        <f>"1552380143224182"</f>
        <v>1552380143224182</v>
      </c>
      <c r="C286" t="s">
        <v>40</v>
      </c>
      <c r="D286">
        <v>4.3811309999999999</v>
      </c>
      <c r="E286">
        <v>0.47943819999999998</v>
      </c>
      <c r="F286" t="s">
        <v>43</v>
      </c>
      <c r="G286">
        <v>-409.13330000000002</v>
      </c>
      <c r="H286">
        <v>-0.05</v>
      </c>
      <c r="I286">
        <v>368.36840000000001</v>
      </c>
      <c r="J286">
        <v>-424.05360000000002</v>
      </c>
      <c r="K286">
        <v>1.0588850000000001</v>
      </c>
      <c r="L286">
        <v>367.92899999999997</v>
      </c>
      <c r="M286">
        <v>0.99998719999999996</v>
      </c>
      <c r="N286">
        <v>0</v>
      </c>
      <c r="O286">
        <v>-2.5139020000000002E-3</v>
      </c>
      <c r="P286">
        <v>0.99257919999999999</v>
      </c>
      <c r="Q286">
        <v>0.11646090000000001</v>
      </c>
      <c r="R286">
        <v>-3.498035E-2</v>
      </c>
      <c r="S286">
        <v>3.052765</v>
      </c>
      <c r="T286">
        <v>-0.2212201</v>
      </c>
      <c r="U286">
        <v>8.7463379999999993E-2</v>
      </c>
      <c r="V286">
        <v>3.2539289999999998E-2</v>
      </c>
      <c r="W286">
        <v>0.12080780000000001</v>
      </c>
      <c r="X286">
        <v>0.99214239999999998</v>
      </c>
      <c r="Y286">
        <v>-3.106362E-2</v>
      </c>
      <c r="Z286">
        <v>1.305716E-3</v>
      </c>
      <c r="AA286">
        <v>0.99951650000000003</v>
      </c>
      <c r="AB286">
        <v>37</v>
      </c>
      <c r="AC286">
        <v>14.9202999999999</v>
      </c>
      <c r="AD286">
        <v>-1.1088849999999999</v>
      </c>
      <c r="AE286">
        <v>0.43939999999997698</v>
      </c>
      <c r="AF286">
        <v>-0.47428965494345898</v>
      </c>
      <c r="AG286">
        <v>-1.1088849999999999</v>
      </c>
      <c r="AH286">
        <v>14.837264948055401</v>
      </c>
      <c r="AI286">
        <v>94.271965102958603</v>
      </c>
      <c r="AJ286">
        <v>91.830899780615894</v>
      </c>
      <c r="AK286">
        <v>14.8862019252328</v>
      </c>
      <c r="AL286">
        <v>83.061274260895701</v>
      </c>
      <c r="AM286">
        <v>88.121543890143698</v>
      </c>
      <c r="AN286">
        <v>0.99999993590614999</v>
      </c>
    </row>
    <row r="287" spans="1:40" x14ac:dyDescent="0.25">
      <c r="A287" t="str">
        <f>"20190312164223255"</f>
        <v>20190312164223255</v>
      </c>
      <c r="B287" t="str">
        <f>"1552380143244677"</f>
        <v>1552380143244677</v>
      </c>
      <c r="C287" t="s">
        <v>40</v>
      </c>
      <c r="D287">
        <v>4.4935409999999996</v>
      </c>
      <c r="E287">
        <v>0.47940149999999998</v>
      </c>
      <c r="F287" t="s">
        <v>43</v>
      </c>
      <c r="G287">
        <v>-409.28500000000003</v>
      </c>
      <c r="H287">
        <v>-0.05</v>
      </c>
      <c r="I287">
        <v>368.34809999999999</v>
      </c>
      <c r="J287">
        <v>-423.64870000000002</v>
      </c>
      <c r="K287">
        <v>1.058853</v>
      </c>
      <c r="L287">
        <v>367.92779999999999</v>
      </c>
      <c r="M287">
        <v>0.99998620000000005</v>
      </c>
      <c r="N287">
        <v>0</v>
      </c>
      <c r="O287">
        <v>-2.7044780000000002E-3</v>
      </c>
      <c r="P287">
        <v>0.99286989999999997</v>
      </c>
      <c r="Q287">
        <v>0.1140008</v>
      </c>
      <c r="R287">
        <v>-3.4838969999999997E-2</v>
      </c>
      <c r="S287">
        <v>3.0523380000000002</v>
      </c>
      <c r="T287">
        <v>-0.22918240000000001</v>
      </c>
      <c r="U287">
        <v>8.6608889999999994E-2</v>
      </c>
      <c r="V287">
        <v>3.2207300000000001E-2</v>
      </c>
      <c r="W287">
        <v>0.11847340000000001</v>
      </c>
      <c r="X287">
        <v>0.9924347</v>
      </c>
      <c r="Y287">
        <v>-3.0971789999999999E-2</v>
      </c>
      <c r="Z287">
        <v>1.363621E-3</v>
      </c>
      <c r="AA287">
        <v>0.9995193</v>
      </c>
      <c r="AB287">
        <v>37</v>
      </c>
      <c r="AC287">
        <v>14.3636999999999</v>
      </c>
      <c r="AD287">
        <v>-1.1088530000000001</v>
      </c>
      <c r="AE287">
        <v>0.42029999999999701</v>
      </c>
      <c r="AF287">
        <v>-0.45642738130403898</v>
      </c>
      <c r="AG287">
        <v>-1.1088530000000001</v>
      </c>
      <c r="AH287">
        <v>14.277495748673401</v>
      </c>
      <c r="AI287">
        <v>94.4386687729166</v>
      </c>
      <c r="AJ287">
        <v>91.831025542720695</v>
      </c>
      <c r="AK287">
        <v>14.327762064725899</v>
      </c>
      <c r="AL287">
        <v>83.195993283359897</v>
      </c>
      <c r="AM287">
        <v>88.141243006240202</v>
      </c>
      <c r="AN287">
        <v>0.99999994522246805</v>
      </c>
    </row>
    <row r="288" spans="1:40" x14ac:dyDescent="0.25">
      <c r="A288" t="str">
        <f>"20190312164223279"</f>
        <v>20190312164223279</v>
      </c>
      <c r="B288" t="str">
        <f>"1552380143273957"</f>
        <v>1552380143273957</v>
      </c>
      <c r="C288" t="s">
        <v>40</v>
      </c>
      <c r="D288">
        <v>4.2765019999999998</v>
      </c>
      <c r="E288">
        <v>0.47915629999999998</v>
      </c>
      <c r="F288" t="s">
        <v>43</v>
      </c>
      <c r="G288">
        <v>-409.30650000000003</v>
      </c>
      <c r="H288">
        <v>-0.05</v>
      </c>
      <c r="I288">
        <v>368.33890000000002</v>
      </c>
      <c r="J288">
        <v>-423.24779999999998</v>
      </c>
      <c r="K288">
        <v>1.0588329999999999</v>
      </c>
      <c r="L288">
        <v>367.92649999999998</v>
      </c>
      <c r="M288">
        <v>0.99998520000000002</v>
      </c>
      <c r="N288">
        <v>0</v>
      </c>
      <c r="O288">
        <v>-2.892997E-3</v>
      </c>
      <c r="P288">
        <v>0.99304269999999994</v>
      </c>
      <c r="Q288">
        <v>0.112432199999999</v>
      </c>
      <c r="R288">
        <v>-3.5005269999999998E-2</v>
      </c>
      <c r="S288">
        <v>3.0516969999999999</v>
      </c>
      <c r="T288">
        <v>-0.23593720000000001</v>
      </c>
      <c r="U288">
        <v>8.7463379999999993E-2</v>
      </c>
      <c r="V288">
        <v>3.2185869999999998E-2</v>
      </c>
      <c r="W288">
        <v>0.1170168</v>
      </c>
      <c r="X288">
        <v>0.99260820000000005</v>
      </c>
      <c r="Y288">
        <v>-3.143816E-2</v>
      </c>
      <c r="Z288">
        <v>1.436531E-3</v>
      </c>
      <c r="AA288">
        <v>0.99950470000000002</v>
      </c>
      <c r="AB288">
        <v>37</v>
      </c>
      <c r="AC288">
        <v>13.941299999999901</v>
      </c>
      <c r="AD288">
        <v>-1.108833</v>
      </c>
      <c r="AE288">
        <v>0.41240000000004701</v>
      </c>
      <c r="AF288">
        <v>-0.44988736469788598</v>
      </c>
      <c r="AG288">
        <v>-1.108833</v>
      </c>
      <c r="AH288">
        <v>13.8524949994084</v>
      </c>
      <c r="AI288">
        <v>94.574123005987204</v>
      </c>
      <c r="AJ288">
        <v>91.860140740217503</v>
      </c>
      <c r="AK288">
        <v>13.9040831043057</v>
      </c>
      <c r="AL288">
        <v>83.280034968079505</v>
      </c>
      <c r="AM288">
        <v>88.142803366356105</v>
      </c>
      <c r="AN288">
        <v>0.99999995020856702</v>
      </c>
    </row>
    <row r="289" spans="1:40" x14ac:dyDescent="0.25">
      <c r="A289" t="str">
        <f>"20190312164223300"</f>
        <v>20190312164223300</v>
      </c>
      <c r="B289" t="str">
        <f>"1552380143294453"</f>
        <v>1552380143294453</v>
      </c>
      <c r="C289" t="s">
        <v>40</v>
      </c>
      <c r="D289">
        <v>4.3098859999999997</v>
      </c>
      <c r="E289">
        <v>0.47887220000000003</v>
      </c>
      <c r="F289" t="s">
        <v>43</v>
      </c>
      <c r="G289">
        <v>-409.14980000000003</v>
      </c>
      <c r="H289">
        <v>-0.05</v>
      </c>
      <c r="I289">
        <v>368.33569999999997</v>
      </c>
      <c r="J289">
        <v>-422.89679999999998</v>
      </c>
      <c r="K289">
        <v>1.0588169999999999</v>
      </c>
      <c r="L289">
        <v>367.92540000000002</v>
      </c>
      <c r="M289">
        <v>0.99998430000000005</v>
      </c>
      <c r="N289">
        <v>0</v>
      </c>
      <c r="O289">
        <v>-3.057737E-3</v>
      </c>
      <c r="P289">
        <v>0.99313119999999999</v>
      </c>
      <c r="Q289">
        <v>0.11149100000000001</v>
      </c>
      <c r="R289">
        <v>-3.5504050000000002E-2</v>
      </c>
      <c r="S289">
        <v>3.0512700000000001</v>
      </c>
      <c r="T289">
        <v>-0.23998710000000001</v>
      </c>
      <c r="U289">
        <v>8.8562009999999997E-2</v>
      </c>
      <c r="V289">
        <v>3.2520689999999998E-2</v>
      </c>
      <c r="W289">
        <v>0.116163</v>
      </c>
      <c r="X289">
        <v>0.99269759999999996</v>
      </c>
      <c r="Y289">
        <v>-3.1960719999999998E-2</v>
      </c>
      <c r="Z289">
        <v>1.4947599999999999E-3</v>
      </c>
      <c r="AA289">
        <v>0.99948800000000004</v>
      </c>
      <c r="AB289">
        <v>37</v>
      </c>
      <c r="AC289">
        <v>13.7469999999999</v>
      </c>
      <c r="AD289">
        <v>-1.1088169999999999</v>
      </c>
      <c r="AE289">
        <v>0.41029999999994898</v>
      </c>
      <c r="AF289">
        <v>-0.44941205175853</v>
      </c>
      <c r="AG289">
        <v>-1.1088169999999999</v>
      </c>
      <c r="AH289">
        <v>13.656910429721099</v>
      </c>
      <c r="AI289">
        <v>94.639214835319905</v>
      </c>
      <c r="AJ289">
        <v>91.884769281978905</v>
      </c>
      <c r="AK289">
        <v>13.7092176588302</v>
      </c>
      <c r="AL289">
        <v>83.329290230439796</v>
      </c>
      <c r="AM289">
        <v>88.123666118132505</v>
      </c>
      <c r="AN289">
        <v>0.999999981446417</v>
      </c>
    </row>
    <row r="290" spans="1:40" x14ac:dyDescent="0.25">
      <c r="A290" t="str">
        <f>"20190312164223320"</f>
        <v>20190312164223320</v>
      </c>
      <c r="B290" t="str">
        <f>"1552380143313974"</f>
        <v>1552380143313974</v>
      </c>
      <c r="C290" t="s">
        <v>40</v>
      </c>
      <c r="D290">
        <v>4.4382970000000004</v>
      </c>
      <c r="E290">
        <v>0.47869489999999998</v>
      </c>
      <c r="F290" t="s">
        <v>43</v>
      </c>
      <c r="G290">
        <v>-409.0136</v>
      </c>
      <c r="H290">
        <v>-0.05</v>
      </c>
      <c r="I290">
        <v>368.33030000000002</v>
      </c>
      <c r="J290">
        <v>-422.55459999999999</v>
      </c>
      <c r="K290">
        <v>1.058805</v>
      </c>
      <c r="L290">
        <v>367.92419999999998</v>
      </c>
      <c r="M290">
        <v>0.99998330000000002</v>
      </c>
      <c r="N290">
        <v>0</v>
      </c>
      <c r="O290">
        <v>-3.2186390000000001E-3</v>
      </c>
      <c r="P290">
        <v>0.99331029999999998</v>
      </c>
      <c r="Q290">
        <v>0.1099357</v>
      </c>
      <c r="R290">
        <v>-3.5339669999999997E-2</v>
      </c>
      <c r="S290">
        <v>3.0512700000000001</v>
      </c>
      <c r="T290">
        <v>-0.24369660000000001</v>
      </c>
      <c r="U290">
        <v>8.8989260000000001E-2</v>
      </c>
      <c r="V290">
        <v>3.2195330000000001E-2</v>
      </c>
      <c r="W290">
        <v>0.1146866</v>
      </c>
      <c r="X290">
        <v>0.99287990000000004</v>
      </c>
      <c r="Y290">
        <v>-3.2256550000000002E-2</v>
      </c>
      <c r="Z290">
        <v>1.5424080000000001E-3</v>
      </c>
      <c r="AA290">
        <v>0.99947850000000005</v>
      </c>
      <c r="AB290">
        <v>37</v>
      </c>
      <c r="AC290">
        <v>13.540999999999899</v>
      </c>
      <c r="AD290">
        <v>-1.10880499999999</v>
      </c>
      <c r="AE290">
        <v>0.40610000000003699</v>
      </c>
      <c r="AF290">
        <v>-0.44668955759014001</v>
      </c>
      <c r="AG290">
        <v>-1.10880499999999</v>
      </c>
      <c r="AH290">
        <v>13.449522647004301</v>
      </c>
      <c r="AI290">
        <v>94.710332748005897</v>
      </c>
      <c r="AJ290">
        <v>91.902225302947201</v>
      </c>
      <c r="AK290">
        <v>13.5025419651696</v>
      </c>
      <c r="AL290">
        <v>83.414451216685904</v>
      </c>
      <c r="AM290">
        <v>88.142765897741199</v>
      </c>
      <c r="AN290">
        <v>1.0000000256586801</v>
      </c>
    </row>
    <row r="291" spans="1:40" x14ac:dyDescent="0.25">
      <c r="A291" t="str">
        <f>"20190312164223343"</f>
        <v>20190312164223343</v>
      </c>
      <c r="B291" t="str">
        <f>"1552380143334469"</f>
        <v>1552380143334469</v>
      </c>
      <c r="C291" t="s">
        <v>40</v>
      </c>
      <c r="D291">
        <v>4.2782099999999996</v>
      </c>
      <c r="E291">
        <v>0.47861730000000002</v>
      </c>
      <c r="F291" t="s">
        <v>43</v>
      </c>
      <c r="G291">
        <v>-408.92779999999999</v>
      </c>
      <c r="H291">
        <v>-0.05</v>
      </c>
      <c r="I291">
        <v>368.33199999999999</v>
      </c>
      <c r="J291">
        <v>-422.1764</v>
      </c>
      <c r="K291">
        <v>1.058789</v>
      </c>
      <c r="L291">
        <v>367.92290000000003</v>
      </c>
      <c r="M291">
        <v>0.99998240000000005</v>
      </c>
      <c r="N291">
        <v>0</v>
      </c>
      <c r="O291">
        <v>-3.3958790000000001E-3</v>
      </c>
      <c r="P291">
        <v>0.99347589999999997</v>
      </c>
      <c r="Q291">
        <v>0.1084377</v>
      </c>
      <c r="R291">
        <v>-3.5318699999999897E-2</v>
      </c>
      <c r="S291">
        <v>3.050964</v>
      </c>
      <c r="T291">
        <v>-0.24825449999999999</v>
      </c>
      <c r="U291">
        <v>9.1308589999999995E-2</v>
      </c>
      <c r="V291">
        <v>3.1997459999999998E-2</v>
      </c>
      <c r="W291">
        <v>0.1132673</v>
      </c>
      <c r="X291">
        <v>0.99304919999999997</v>
      </c>
      <c r="Y291">
        <v>-3.3187809999999998E-2</v>
      </c>
      <c r="Z291">
        <v>1.6235139999999999E-3</v>
      </c>
      <c r="AA291">
        <v>0.9994478</v>
      </c>
      <c r="AB291">
        <v>37</v>
      </c>
      <c r="AC291">
        <v>13.2486</v>
      </c>
      <c r="AD291">
        <v>-1.108789</v>
      </c>
      <c r="AE291">
        <v>0.40909999999996599</v>
      </c>
      <c r="AF291">
        <v>-0.45093340202113802</v>
      </c>
      <c r="AG291">
        <v>-1.108789</v>
      </c>
      <c r="AH291">
        <v>13.155081434689899</v>
      </c>
      <c r="AI291">
        <v>94.815029211934799</v>
      </c>
      <c r="AJ291">
        <v>91.963231372557402</v>
      </c>
      <c r="AK291">
        <v>13.209425480803599</v>
      </c>
      <c r="AL291">
        <v>83.496304465314196</v>
      </c>
      <c r="AM291">
        <v>88.154486862296807</v>
      </c>
      <c r="AN291">
        <v>1.0000000161581899</v>
      </c>
    </row>
    <row r="292" spans="1:40" x14ac:dyDescent="0.25">
      <c r="A292" t="str">
        <f>"20190312164223365"</f>
        <v>20190312164223365</v>
      </c>
      <c r="B292" t="str">
        <f>"1552380143353989"</f>
        <v>1552380143353989</v>
      </c>
      <c r="C292" t="s">
        <v>40</v>
      </c>
      <c r="D292">
        <v>4.2658820000000004</v>
      </c>
      <c r="E292">
        <v>0.478578</v>
      </c>
      <c r="F292" t="s">
        <v>41</v>
      </c>
      <c r="G292">
        <v>-421.14229999999998</v>
      </c>
      <c r="H292">
        <v>0.97321860000000004</v>
      </c>
      <c r="I292">
        <v>367.95389999999998</v>
      </c>
      <c r="J292">
        <v>-421.78719999999998</v>
      </c>
      <c r="K292">
        <v>1.0587690000000001</v>
      </c>
      <c r="L292">
        <v>367.92140000000001</v>
      </c>
      <c r="M292">
        <v>0.99998140000000002</v>
      </c>
      <c r="N292">
        <v>0</v>
      </c>
      <c r="O292">
        <v>-3.578113E-3</v>
      </c>
      <c r="P292">
        <v>0.99365619999999999</v>
      </c>
      <c r="Q292">
        <v>0.106919899999999</v>
      </c>
      <c r="R292">
        <v>-3.4866359999999999E-2</v>
      </c>
      <c r="S292">
        <v>3.0505369999999998</v>
      </c>
      <c r="T292">
        <v>-0.25248340000000002</v>
      </c>
      <c r="U292">
        <v>9.2041020000000001E-2</v>
      </c>
      <c r="V292">
        <v>3.1363009999999997E-2</v>
      </c>
      <c r="W292">
        <v>0.1118232</v>
      </c>
      <c r="X292">
        <v>0.99323309999999998</v>
      </c>
      <c r="Y292">
        <v>-3.3607650000000003E-2</v>
      </c>
      <c r="Z292">
        <v>1.6836959999999999E-3</v>
      </c>
      <c r="AA292">
        <v>0.99943369999999998</v>
      </c>
      <c r="AB292">
        <v>38</v>
      </c>
      <c r="AC292">
        <v>0.64490000000000602</v>
      </c>
      <c r="AD292">
        <v>-8.5550400000000096E-2</v>
      </c>
      <c r="AE292">
        <v>3.24999999999704E-2</v>
      </c>
      <c r="AF292">
        <v>-3.4206902555133402E-2</v>
      </c>
      <c r="AG292">
        <v>-8.5550400000000096E-2</v>
      </c>
      <c r="AH292">
        <v>0.63365683899701497</v>
      </c>
      <c r="AI292">
        <v>97.677999294014796</v>
      </c>
      <c r="AJ292">
        <v>93.0900173262838</v>
      </c>
      <c r="AK292">
        <v>0.64032021108993997</v>
      </c>
      <c r="AL292">
        <v>83.579574434413402</v>
      </c>
      <c r="AM292">
        <v>88.191390099370395</v>
      </c>
      <c r="AN292">
        <v>1.0000000286950499</v>
      </c>
    </row>
    <row r="293" spans="1:40" x14ac:dyDescent="0.25">
      <c r="A293" t="str">
        <f>"20190312164223396"</f>
        <v>20190312164223396</v>
      </c>
      <c r="B293" t="str">
        <f>"1552380143394005"</f>
        <v>1552380143394005</v>
      </c>
      <c r="C293" t="s">
        <v>40</v>
      </c>
      <c r="D293">
        <v>4.2226109999999997</v>
      </c>
      <c r="E293">
        <v>0.4781186</v>
      </c>
      <c r="F293" t="s">
        <v>41</v>
      </c>
      <c r="G293">
        <v>-420.80149999999998</v>
      </c>
      <c r="H293">
        <v>0.97636389999999995</v>
      </c>
      <c r="I293">
        <v>367.95179999999999</v>
      </c>
      <c r="J293">
        <v>-421.255</v>
      </c>
      <c r="K293">
        <v>1.0587500000000001</v>
      </c>
      <c r="L293">
        <v>367.91930000000002</v>
      </c>
      <c r="M293">
        <v>0.99997999999999998</v>
      </c>
      <c r="N293">
        <v>0</v>
      </c>
      <c r="O293">
        <v>-3.8270349999999999E-3</v>
      </c>
      <c r="P293">
        <v>0.99382499999999996</v>
      </c>
      <c r="Q293">
        <v>0.10534350000000001</v>
      </c>
      <c r="R293">
        <v>-3.4858519999999997E-2</v>
      </c>
      <c r="S293">
        <v>3.0498959999999999</v>
      </c>
      <c r="T293">
        <v>-0.2550306</v>
      </c>
      <c r="U293">
        <v>9.4055180000000002E-2</v>
      </c>
      <c r="V293">
        <v>3.1106729999999999E-2</v>
      </c>
      <c r="W293">
        <v>0.11033610000000001</v>
      </c>
      <c r="X293">
        <v>0.99340740000000005</v>
      </c>
      <c r="Y293">
        <v>-3.4515509999999999E-2</v>
      </c>
      <c r="Z293">
        <v>1.7596199999999999E-3</v>
      </c>
      <c r="AA293">
        <v>0.99940260000000003</v>
      </c>
      <c r="AB293">
        <v>38</v>
      </c>
      <c r="AC293">
        <v>0.453500000000019</v>
      </c>
      <c r="AD293">
        <v>-8.2386100000000004E-2</v>
      </c>
      <c r="AE293">
        <v>3.24999999999704E-2</v>
      </c>
      <c r="AF293">
        <v>-3.3146984376504797E-2</v>
      </c>
      <c r="AG293">
        <v>-8.2386100000000004E-2</v>
      </c>
      <c r="AH293">
        <v>0.43895934972061801</v>
      </c>
      <c r="AI293">
        <v>100.600403675224</v>
      </c>
      <c r="AJ293">
        <v>94.318360676444897</v>
      </c>
      <c r="AK293">
        <v>0.44785209919527402</v>
      </c>
      <c r="AL293">
        <v>83.665309210869495</v>
      </c>
      <c r="AM293">
        <v>88.206473831906706</v>
      </c>
      <c r="AN293">
        <v>0.99999997299463095</v>
      </c>
    </row>
    <row r="294" spans="1:40" x14ac:dyDescent="0.25">
      <c r="A294" t="str">
        <f>"20190312164223419"</f>
        <v>20190312164223419</v>
      </c>
      <c r="B294" t="str">
        <f>"1552380143414501"</f>
        <v>1552380143414501</v>
      </c>
      <c r="C294" t="s">
        <v>40</v>
      </c>
      <c r="D294">
        <v>4.4902629999999997</v>
      </c>
      <c r="E294">
        <v>0.4779929</v>
      </c>
      <c r="F294" t="s">
        <v>43</v>
      </c>
      <c r="G294">
        <v>-408.12959999999998</v>
      </c>
      <c r="H294">
        <v>-0.05</v>
      </c>
      <c r="I294">
        <v>368.34120000000001</v>
      </c>
      <c r="J294">
        <v>-420.87079999999997</v>
      </c>
      <c r="K294">
        <v>1.058737</v>
      </c>
      <c r="L294">
        <v>367.91759999999999</v>
      </c>
      <c r="M294">
        <v>0.99997910000000001</v>
      </c>
      <c r="N294">
        <v>0</v>
      </c>
      <c r="O294">
        <v>-4.0068480000000004E-3</v>
      </c>
      <c r="P294">
        <v>0.99393370000000003</v>
      </c>
      <c r="Q294">
        <v>0.1043374</v>
      </c>
      <c r="R294">
        <v>-3.4781230000000003E-2</v>
      </c>
      <c r="S294">
        <v>3.049347</v>
      </c>
      <c r="T294">
        <v>-0.25758979999999998</v>
      </c>
      <c r="U294">
        <v>9.8022460000000006E-2</v>
      </c>
      <c r="V294">
        <v>3.085011E-2</v>
      </c>
      <c r="W294">
        <v>0.10938870000000001</v>
      </c>
      <c r="X294">
        <v>0.99352019999999996</v>
      </c>
      <c r="Y294">
        <v>-3.5991059999999998E-2</v>
      </c>
      <c r="Z294">
        <v>1.8548519999999999E-3</v>
      </c>
      <c r="AA294">
        <v>0.99935039999999997</v>
      </c>
      <c r="AB294">
        <v>38</v>
      </c>
      <c r="AC294">
        <v>12.7411999999999</v>
      </c>
      <c r="AD294">
        <v>-1.1087370000000001</v>
      </c>
      <c r="AE294">
        <v>0.42360000000002102</v>
      </c>
      <c r="AF294">
        <v>-0.471085972073506</v>
      </c>
      <c r="AG294">
        <v>-1.1087370000000001</v>
      </c>
      <c r="AH294">
        <v>12.643761852657001</v>
      </c>
      <c r="AI294">
        <v>95.008015606270604</v>
      </c>
      <c r="AJ294">
        <v>92.133760432449407</v>
      </c>
      <c r="AK294">
        <v>12.701020963487901</v>
      </c>
      <c r="AL294">
        <v>83.719922002051405</v>
      </c>
      <c r="AM294">
        <v>88.221462092414498</v>
      </c>
      <c r="AN294">
        <v>1.00000000239137</v>
      </c>
    </row>
    <row r="295" spans="1:40" x14ac:dyDescent="0.25">
      <c r="A295" t="str">
        <f>"20190312164223442"</f>
        <v>20190312164223442</v>
      </c>
      <c r="B295" t="str">
        <f>"1552380143434021"</f>
        <v>1552380143434021</v>
      </c>
      <c r="C295" t="s">
        <v>40</v>
      </c>
      <c r="D295">
        <v>4.2284090000000001</v>
      </c>
      <c r="E295">
        <v>0.47793479999999999</v>
      </c>
      <c r="F295" t="s">
        <v>43</v>
      </c>
      <c r="G295">
        <v>-407.84500000000003</v>
      </c>
      <c r="H295">
        <v>-0.05</v>
      </c>
      <c r="I295">
        <v>368.34140000000002</v>
      </c>
      <c r="J295">
        <v>-420.48039999999997</v>
      </c>
      <c r="K295">
        <v>1.0587249999999999</v>
      </c>
      <c r="L295">
        <v>367.91590000000002</v>
      </c>
      <c r="M295">
        <v>0.99997809999999998</v>
      </c>
      <c r="N295">
        <v>0</v>
      </c>
      <c r="O295">
        <v>-4.1889170000000003E-3</v>
      </c>
      <c r="P295">
        <v>0.99407160000000006</v>
      </c>
      <c r="Q295">
        <v>0.10314130000000001</v>
      </c>
      <c r="R295">
        <v>-3.44053E-2</v>
      </c>
      <c r="S295">
        <v>3.0490110000000001</v>
      </c>
      <c r="T295">
        <v>-0.25952920000000002</v>
      </c>
      <c r="U295">
        <v>9.9182129999999993E-2</v>
      </c>
      <c r="V295">
        <v>3.0292329999999999E-2</v>
      </c>
      <c r="W295">
        <v>0.1082468</v>
      </c>
      <c r="X295">
        <v>0.99366239999999995</v>
      </c>
      <c r="Y295">
        <v>-3.6551380000000001E-2</v>
      </c>
      <c r="Z295">
        <v>1.9082249999999999E-3</v>
      </c>
      <c r="AA295">
        <v>0.99932989999999999</v>
      </c>
      <c r="AB295">
        <v>38</v>
      </c>
      <c r="AC295">
        <v>12.635399999999899</v>
      </c>
      <c r="AD295">
        <v>-1.108725</v>
      </c>
      <c r="AE295">
        <v>0.42549999999999899</v>
      </c>
      <c r="AF295">
        <v>-0.47477416022383101</v>
      </c>
      <c r="AG295">
        <v>-1.108725</v>
      </c>
      <c r="AH295">
        <v>12.5370851957003</v>
      </c>
      <c r="AI295">
        <v>95.050239221069404</v>
      </c>
      <c r="AJ295">
        <v>92.168730815903004</v>
      </c>
      <c r="AK295">
        <v>12.5949667261605</v>
      </c>
      <c r="AL295">
        <v>83.7857387563282</v>
      </c>
      <c r="AM295">
        <v>88.253848306087306</v>
      </c>
      <c r="AN295">
        <v>0.99999998007041402</v>
      </c>
    </row>
    <row r="296" spans="1:40" x14ac:dyDescent="0.25">
      <c r="A296" t="str">
        <f>"20190312164223467"</f>
        <v>20190312164223467</v>
      </c>
      <c r="B296" t="str">
        <f>"1552380143454517"</f>
        <v>1552380143454517</v>
      </c>
      <c r="C296" t="s">
        <v>40</v>
      </c>
      <c r="D296">
        <v>4.216526</v>
      </c>
      <c r="E296">
        <v>0.47843829999999998</v>
      </c>
      <c r="F296" t="s">
        <v>41</v>
      </c>
      <c r="G296">
        <v>-419.44170000000003</v>
      </c>
      <c r="H296">
        <v>0.96927430000000003</v>
      </c>
      <c r="I296">
        <v>367.9504</v>
      </c>
      <c r="J296">
        <v>-420.07010000000002</v>
      </c>
      <c r="K296">
        <v>1.058716</v>
      </c>
      <c r="L296">
        <v>367.91399999999999</v>
      </c>
      <c r="M296">
        <v>0.999977</v>
      </c>
      <c r="N296">
        <v>0</v>
      </c>
      <c r="O296">
        <v>-4.3801589999999998E-3</v>
      </c>
      <c r="P296">
        <v>0.99420350000000002</v>
      </c>
      <c r="Q296">
        <v>0.1017754</v>
      </c>
      <c r="R296">
        <v>-3.4665830000000002E-2</v>
      </c>
      <c r="S296">
        <v>3.048584</v>
      </c>
      <c r="T296">
        <v>-0.26242320000000002</v>
      </c>
      <c r="U296">
        <v>0.1005554</v>
      </c>
      <c r="V296">
        <v>3.0361570000000001E-2</v>
      </c>
      <c r="W296">
        <v>0.1069336</v>
      </c>
      <c r="X296">
        <v>0.99380250000000003</v>
      </c>
      <c r="Y296">
        <v>-3.7190319999999999E-2</v>
      </c>
      <c r="Z296">
        <v>1.9735500000000001E-3</v>
      </c>
      <c r="AA296">
        <v>0.99930629999999998</v>
      </c>
      <c r="AB296">
        <v>38</v>
      </c>
      <c r="AC296">
        <v>0.62839999999999896</v>
      </c>
      <c r="AD296">
        <v>-8.9441699999999902E-2</v>
      </c>
      <c r="AE296">
        <v>3.6400000000014601E-2</v>
      </c>
      <c r="AF296">
        <v>-3.8377311950927397E-2</v>
      </c>
      <c r="AG296">
        <v>-8.9441699999999902E-2</v>
      </c>
      <c r="AH296">
        <v>0.61580103156331401</v>
      </c>
      <c r="AI296">
        <v>98.248324412686401</v>
      </c>
      <c r="AJ296">
        <v>93.566115986028606</v>
      </c>
      <c r="AK296">
        <v>0.62344490233372696</v>
      </c>
      <c r="AL296">
        <v>83.861419090892099</v>
      </c>
      <c r="AM296">
        <v>88.250106129515302</v>
      </c>
      <c r="AN296">
        <v>1.00000001437403</v>
      </c>
    </row>
    <row r="297" spans="1:40" x14ac:dyDescent="0.25">
      <c r="A297" t="str">
        <f>"20190312164223488"</f>
        <v>20190312164223488</v>
      </c>
      <c r="B297" t="str">
        <f>"1552380143483798"</f>
        <v>1552380143483798</v>
      </c>
      <c r="C297" t="s">
        <v>40</v>
      </c>
      <c r="D297">
        <v>4.4261900000000001</v>
      </c>
      <c r="E297">
        <v>0.479904</v>
      </c>
      <c r="F297" t="s">
        <v>41</v>
      </c>
      <c r="G297">
        <v>-419.0958</v>
      </c>
      <c r="H297">
        <v>0.97405589999999997</v>
      </c>
      <c r="I297">
        <v>367.94420000000002</v>
      </c>
      <c r="J297">
        <v>-419.69439999999997</v>
      </c>
      <c r="K297">
        <v>1.058705</v>
      </c>
      <c r="L297">
        <v>367.91230000000002</v>
      </c>
      <c r="M297">
        <v>0.99997599999999998</v>
      </c>
      <c r="N297">
        <v>0</v>
      </c>
      <c r="O297">
        <v>-4.5543340000000002E-3</v>
      </c>
      <c r="P297">
        <v>0.99440649999999997</v>
      </c>
      <c r="Q297">
        <v>9.9856219999999996E-2</v>
      </c>
      <c r="R297">
        <v>-3.4422750000000002E-2</v>
      </c>
      <c r="S297">
        <v>3.0479129999999999</v>
      </c>
      <c r="T297">
        <v>-0.26503539999999998</v>
      </c>
      <c r="U297">
        <v>9.5184329999999998E-2</v>
      </c>
      <c r="V297">
        <v>2.9943600000000001E-2</v>
      </c>
      <c r="W297">
        <v>0.10506020000000001</v>
      </c>
      <c r="X297">
        <v>0.99401499999999998</v>
      </c>
      <c r="Y297">
        <v>-3.5614550000000002E-2</v>
      </c>
      <c r="Z297">
        <v>1.940364E-3</v>
      </c>
      <c r="AA297">
        <v>0.99936369999999997</v>
      </c>
      <c r="AB297">
        <v>38</v>
      </c>
      <c r="AC297">
        <v>0.59859999999997604</v>
      </c>
      <c r="AD297">
        <v>-8.4649099999999894E-2</v>
      </c>
      <c r="AE297">
        <v>3.1900000000007298E-2</v>
      </c>
      <c r="AF297">
        <v>-3.39489656778812E-2</v>
      </c>
      <c r="AG297">
        <v>-8.4649099999999894E-2</v>
      </c>
      <c r="AH297">
        <v>0.58674835389601598</v>
      </c>
      <c r="AI297">
        <v>98.195794078901201</v>
      </c>
      <c r="AJ297">
        <v>93.3114131492339</v>
      </c>
      <c r="AK297">
        <v>0.593794268413811</v>
      </c>
      <c r="AL297">
        <v>83.969365307773302</v>
      </c>
      <c r="AM297">
        <v>88.274549948057995</v>
      </c>
      <c r="AN297">
        <v>1.00000004251499</v>
      </c>
    </row>
    <row r="298" spans="1:40" x14ac:dyDescent="0.25">
      <c r="A298" t="str">
        <f>"20190312164223510"</f>
        <v>20190312164223510</v>
      </c>
      <c r="B298" t="str">
        <f>"1552380143504294"</f>
        <v>1552380143504294</v>
      </c>
      <c r="C298" t="s">
        <v>40</v>
      </c>
      <c r="D298">
        <v>4.2152940000000001</v>
      </c>
      <c r="E298">
        <v>0.48075600000000002</v>
      </c>
      <c r="F298" t="s">
        <v>41</v>
      </c>
      <c r="G298">
        <v>-418.7509</v>
      </c>
      <c r="H298">
        <v>0.97593940000000001</v>
      </c>
      <c r="I298">
        <v>367.93810000000002</v>
      </c>
      <c r="J298">
        <v>-419.32979999999998</v>
      </c>
      <c r="K298">
        <v>1.0587029999999999</v>
      </c>
      <c r="L298">
        <v>367.91050000000001</v>
      </c>
      <c r="M298">
        <v>0.9999749</v>
      </c>
      <c r="N298">
        <v>0</v>
      </c>
      <c r="O298">
        <v>-4.7211060000000001E-3</v>
      </c>
      <c r="P298">
        <v>0.99459889999999995</v>
      </c>
      <c r="Q298">
        <v>9.8002560000000002E-2</v>
      </c>
      <c r="R298">
        <v>-3.4185840000000002E-2</v>
      </c>
      <c r="S298">
        <v>3.0466609999999998</v>
      </c>
      <c r="T298">
        <v>-0.267387599999999</v>
      </c>
      <c r="U298">
        <v>8.4045410000000001E-2</v>
      </c>
      <c r="V298">
        <v>2.9539220000000001E-2</v>
      </c>
      <c r="W298">
        <v>0.1032482</v>
      </c>
      <c r="X298">
        <v>0.99421689999999996</v>
      </c>
      <c r="Y298">
        <v>-3.2153010000000003E-2</v>
      </c>
      <c r="Z298">
        <v>1.8214500000000001E-3</v>
      </c>
      <c r="AA298">
        <v>0.99948130000000002</v>
      </c>
      <c r="AB298">
        <v>38</v>
      </c>
      <c r="AC298">
        <v>0.57889999999997599</v>
      </c>
      <c r="AD298">
        <v>-8.2763600000000104E-2</v>
      </c>
      <c r="AE298">
        <v>2.7600000000006699E-2</v>
      </c>
      <c r="AF298">
        <v>-2.97265588537175E-2</v>
      </c>
      <c r="AG298">
        <v>-8.2763600000000104E-2</v>
      </c>
      <c r="AH298">
        <v>0.567196290914322</v>
      </c>
      <c r="AI298">
        <v>98.290620764620996</v>
      </c>
      <c r="AJ298">
        <v>93.000106866979493</v>
      </c>
      <c r="AK298">
        <v>0.57397309537399699</v>
      </c>
      <c r="AL298">
        <v>84.073752767420601</v>
      </c>
      <c r="AM298">
        <v>88.298183332140695</v>
      </c>
      <c r="AN298">
        <v>1.0000000002835201</v>
      </c>
    </row>
    <row r="299" spans="1:40" x14ac:dyDescent="0.25">
      <c r="A299" t="str">
        <f>"20190312164223532"</f>
        <v>20190312164223532</v>
      </c>
      <c r="B299" t="str">
        <f>"1552380143523814"</f>
        <v>1552380143523814</v>
      </c>
      <c r="C299" t="s">
        <v>40</v>
      </c>
      <c r="D299">
        <v>4.1836349999999998</v>
      </c>
      <c r="E299">
        <v>0.48143079999999999</v>
      </c>
      <c r="F299" t="s">
        <v>41</v>
      </c>
      <c r="G299">
        <v>-418.40519999999998</v>
      </c>
      <c r="H299">
        <v>0.97684340000000003</v>
      </c>
      <c r="I299">
        <v>367.93389999999999</v>
      </c>
      <c r="J299">
        <v>-418.93299999999999</v>
      </c>
      <c r="K299">
        <v>1.058694</v>
      </c>
      <c r="L299">
        <v>367.9085</v>
      </c>
      <c r="M299">
        <v>0.99997400000000003</v>
      </c>
      <c r="N299">
        <v>0</v>
      </c>
      <c r="O299">
        <v>-4.8989619999999998E-3</v>
      </c>
      <c r="P299">
        <v>0.99472419999999995</v>
      </c>
      <c r="Q299">
        <v>9.6719970000000002E-2</v>
      </c>
      <c r="R299">
        <v>-3.4197489999999997E-2</v>
      </c>
      <c r="S299">
        <v>3.0455320000000001</v>
      </c>
      <c r="T299">
        <v>-0.26985700000000001</v>
      </c>
      <c r="U299">
        <v>7.8094479999999994E-2</v>
      </c>
      <c r="V299">
        <v>2.9372579999999999E-2</v>
      </c>
      <c r="W299">
        <v>0.1020078</v>
      </c>
      <c r="X299">
        <v>0.99434990000000001</v>
      </c>
      <c r="Y299">
        <v>-3.0392809999999999E-2</v>
      </c>
      <c r="Z299">
        <v>1.7768409999999999E-3</v>
      </c>
      <c r="AA299">
        <v>0.99953650000000005</v>
      </c>
      <c r="AB299">
        <v>39</v>
      </c>
      <c r="AC299">
        <v>0.52780000000006999</v>
      </c>
      <c r="AD299">
        <v>-8.1850599999999801E-2</v>
      </c>
      <c r="AE299">
        <v>2.53999999999905E-2</v>
      </c>
      <c r="AF299">
        <v>-2.7329659212651399E-2</v>
      </c>
      <c r="AG299">
        <v>-8.1850599999999801E-2</v>
      </c>
      <c r="AH299">
        <v>0.51530506745135995</v>
      </c>
      <c r="AI299">
        <v>99.012952970246801</v>
      </c>
      <c r="AJ299">
        <v>93.035887931119206</v>
      </c>
      <c r="AK299">
        <v>0.52248037621913701</v>
      </c>
      <c r="AL299">
        <v>84.145199895162904</v>
      </c>
      <c r="AM299">
        <v>88.308004428348596</v>
      </c>
      <c r="AN299">
        <v>1.0000000316733499</v>
      </c>
    </row>
    <row r="300" spans="1:40" x14ac:dyDescent="0.25">
      <c r="A300" t="str">
        <f>"20190312164223556"</f>
        <v>20190312164223556</v>
      </c>
      <c r="B300" t="str">
        <f>"1552380143544309"</f>
        <v>1552380143544309</v>
      </c>
      <c r="C300" t="s">
        <v>40</v>
      </c>
      <c r="D300">
        <v>4.2074170000000004</v>
      </c>
      <c r="E300">
        <v>0.48207319999999998</v>
      </c>
      <c r="F300" t="s">
        <v>41</v>
      </c>
      <c r="G300">
        <v>-418.05619999999999</v>
      </c>
      <c r="H300">
        <v>0.98055029999999999</v>
      </c>
      <c r="I300">
        <v>367.92939999999999</v>
      </c>
      <c r="J300">
        <v>-418.5333</v>
      </c>
      <c r="K300">
        <v>1.058692</v>
      </c>
      <c r="L300">
        <v>367.90640000000002</v>
      </c>
      <c r="M300">
        <v>0.99997259999999999</v>
      </c>
      <c r="N300">
        <v>0</v>
      </c>
      <c r="O300">
        <v>-5.0725090000000002E-3</v>
      </c>
      <c r="P300">
        <v>0.99479689999999998</v>
      </c>
      <c r="Q300">
        <v>9.6044450000000003E-2</v>
      </c>
      <c r="R300">
        <v>-3.39765E-2</v>
      </c>
      <c r="S300">
        <v>3.0448300000000001</v>
      </c>
      <c r="T300">
        <v>-0.27131460000000002</v>
      </c>
      <c r="U300">
        <v>7.2418209999999997E-2</v>
      </c>
      <c r="V300">
        <v>2.8977820000000001E-2</v>
      </c>
      <c r="W300">
        <v>0.10137309999999999</v>
      </c>
      <c r="X300">
        <v>0.99442640000000004</v>
      </c>
      <c r="Y300">
        <v>-2.871431E-2</v>
      </c>
      <c r="Z300">
        <v>1.727658E-3</v>
      </c>
      <c r="AA300">
        <v>0.99958619999999998</v>
      </c>
      <c r="AB300">
        <v>39</v>
      </c>
      <c r="AC300">
        <v>0.47710000000000702</v>
      </c>
      <c r="AD300">
        <v>-7.81416999999998E-2</v>
      </c>
      <c r="AE300">
        <v>2.2999999999967699E-2</v>
      </c>
      <c r="AF300">
        <v>-2.4757249024565699E-2</v>
      </c>
      <c r="AG300">
        <v>-7.81416999999998E-2</v>
      </c>
      <c r="AH300">
        <v>0.46454447546759398</v>
      </c>
      <c r="AI300">
        <v>99.535135703572294</v>
      </c>
      <c r="AJ300">
        <v>93.050612607546398</v>
      </c>
      <c r="AK300">
        <v>0.47172090937928102</v>
      </c>
      <c r="AL300">
        <v>84.181755086071902</v>
      </c>
      <c r="AM300">
        <v>88.330859807132299</v>
      </c>
      <c r="AN300">
        <v>1.00000004223626</v>
      </c>
    </row>
    <row r="301" spans="1:40" x14ac:dyDescent="0.25">
      <c r="A301" t="str">
        <f>"20190312164223576"</f>
        <v>20190312164223576</v>
      </c>
      <c r="B301" t="str">
        <f>"1552380143563829"</f>
        <v>1552380143563829</v>
      </c>
      <c r="C301" t="s">
        <v>40</v>
      </c>
      <c r="D301">
        <v>4.4290059999999896</v>
      </c>
      <c r="E301">
        <v>0.48277219999999998</v>
      </c>
      <c r="F301" t="s">
        <v>41</v>
      </c>
      <c r="G301">
        <v>-417.7022</v>
      </c>
      <c r="H301">
        <v>0.98474490000000003</v>
      </c>
      <c r="I301">
        <v>367.92450000000002</v>
      </c>
      <c r="J301">
        <v>-418.16649999999998</v>
      </c>
      <c r="K301">
        <v>1.0586930000000001</v>
      </c>
      <c r="L301">
        <v>367.90440000000001</v>
      </c>
      <c r="M301">
        <v>0.99997179999999997</v>
      </c>
      <c r="N301">
        <v>0</v>
      </c>
      <c r="O301">
        <v>-5.225169E-3</v>
      </c>
      <c r="P301">
        <v>0.99471100000000001</v>
      </c>
      <c r="Q301">
        <v>9.6812800000000004E-2</v>
      </c>
      <c r="R301">
        <v>-3.4316149999999997E-2</v>
      </c>
      <c r="S301">
        <v>3.0441590000000001</v>
      </c>
      <c r="T301">
        <v>-0.27109040000000001</v>
      </c>
      <c r="U301">
        <v>6.7565920000000002E-2</v>
      </c>
      <c r="V301">
        <v>2.9165190000000001E-2</v>
      </c>
      <c r="W301">
        <v>0.1021753</v>
      </c>
      <c r="X301">
        <v>0.99433879999999997</v>
      </c>
      <c r="Y301">
        <v>-2.7284860000000001E-2</v>
      </c>
      <c r="Z301">
        <v>1.6766979999999999E-3</v>
      </c>
      <c r="AA301">
        <v>0.99962629999999997</v>
      </c>
      <c r="AB301">
        <v>39</v>
      </c>
      <c r="AC301">
        <v>0.46429999999998001</v>
      </c>
      <c r="AD301">
        <v>-7.3948100000000003E-2</v>
      </c>
      <c r="AE301">
        <v>2.0100000000013499E-2</v>
      </c>
      <c r="AF301">
        <v>-2.19695633691992E-2</v>
      </c>
      <c r="AG301">
        <v>-7.3948100000000003E-2</v>
      </c>
      <c r="AH301">
        <v>0.45272614090005098</v>
      </c>
      <c r="AI301">
        <v>99.266032701594298</v>
      </c>
      <c r="AJ301">
        <v>92.778228278564001</v>
      </c>
      <c r="AK301">
        <v>0.45925150175312002</v>
      </c>
      <c r="AL301">
        <v>84.135552403562301</v>
      </c>
      <c r="AM301">
        <v>88.319925430218007</v>
      </c>
      <c r="AN301">
        <v>1.0000000247116301</v>
      </c>
    </row>
    <row r="302" spans="1:40" x14ac:dyDescent="0.25">
      <c r="A302" t="str">
        <f>"20190312164223598"</f>
        <v>20190312164223598</v>
      </c>
      <c r="B302" t="str">
        <f>"1552380143594086"</f>
        <v>1552380143594086</v>
      </c>
      <c r="C302" t="s">
        <v>40</v>
      </c>
      <c r="D302">
        <v>4.2179869999999999</v>
      </c>
      <c r="E302">
        <v>0.4835873</v>
      </c>
      <c r="F302" t="s">
        <v>43</v>
      </c>
      <c r="G302">
        <v>-405.47320000000002</v>
      </c>
      <c r="H302">
        <v>-0.05</v>
      </c>
      <c r="I302">
        <v>368.15940000000001</v>
      </c>
      <c r="J302">
        <v>-417.77960000000002</v>
      </c>
      <c r="K302">
        <v>1.0587040000000001</v>
      </c>
      <c r="L302">
        <v>367.90230000000003</v>
      </c>
      <c r="M302">
        <v>0.9999709</v>
      </c>
      <c r="N302">
        <v>0</v>
      </c>
      <c r="O302">
        <v>-5.3773390000000001E-3</v>
      </c>
      <c r="P302">
        <v>0.99467839999999996</v>
      </c>
      <c r="Q302">
        <v>9.7131640000000005E-2</v>
      </c>
      <c r="R302">
        <v>-3.4355810000000001E-2</v>
      </c>
      <c r="S302">
        <v>3.0439150000000001</v>
      </c>
      <c r="T302">
        <v>-0.26587060000000001</v>
      </c>
      <c r="U302">
        <v>6.115723E-2</v>
      </c>
      <c r="V302">
        <v>2.9052459999999999E-2</v>
      </c>
      <c r="W302">
        <v>0.1025291</v>
      </c>
      <c r="X302">
        <v>0.99430569999999896</v>
      </c>
      <c r="Y302">
        <v>-2.5346690000000002E-2</v>
      </c>
      <c r="Z302">
        <v>1.5734939999999999E-3</v>
      </c>
      <c r="AA302">
        <v>0.9996775</v>
      </c>
      <c r="AB302">
        <v>39</v>
      </c>
      <c r="AC302">
        <v>12.306399999999901</v>
      </c>
      <c r="AD302">
        <v>-1.1087039999999999</v>
      </c>
      <c r="AE302">
        <v>0.25709999999997901</v>
      </c>
      <c r="AF302">
        <v>-0.32067134061868302</v>
      </c>
      <c r="AG302">
        <v>-1.1087039999999999</v>
      </c>
      <c r="AH302">
        <v>12.205814177386999</v>
      </c>
      <c r="AI302">
        <v>95.188386280943902</v>
      </c>
      <c r="AJ302">
        <v>91.504929434011899</v>
      </c>
      <c r="AK302">
        <v>12.260259149023399</v>
      </c>
      <c r="AL302">
        <v>84.115174245503297</v>
      </c>
      <c r="AM302">
        <v>88.326359913772194</v>
      </c>
      <c r="AN302">
        <v>1.0000000434156699</v>
      </c>
    </row>
    <row r="303" spans="1:40" x14ac:dyDescent="0.25">
      <c r="A303" t="str">
        <f>"20190312164223621"</f>
        <v>20190312164223621</v>
      </c>
      <c r="B303" t="str">
        <f>"1552380143614581"</f>
        <v>1552380143614581</v>
      </c>
      <c r="C303" t="s">
        <v>40</v>
      </c>
      <c r="D303">
        <v>4.1599110000000001</v>
      </c>
      <c r="E303">
        <v>0.48411949999999998</v>
      </c>
      <c r="F303" t="s">
        <v>43</v>
      </c>
      <c r="G303">
        <v>-404.90730000000002</v>
      </c>
      <c r="H303">
        <v>-0.05</v>
      </c>
      <c r="I303">
        <v>368.13299999999998</v>
      </c>
      <c r="J303">
        <v>-417.38240000000002</v>
      </c>
      <c r="K303">
        <v>1.0587139999999999</v>
      </c>
      <c r="L303">
        <v>367.9</v>
      </c>
      <c r="M303">
        <v>0.99996980000000002</v>
      </c>
      <c r="N303">
        <v>0</v>
      </c>
      <c r="O303">
        <v>-5.5229379999999998E-3</v>
      </c>
      <c r="P303">
        <v>0.99465309999999996</v>
      </c>
      <c r="Q303">
        <v>9.7420220000000002E-2</v>
      </c>
      <c r="R303">
        <v>-3.4274649999999997E-2</v>
      </c>
      <c r="S303">
        <v>3.0435180000000002</v>
      </c>
      <c r="T303">
        <v>-0.26214229999999999</v>
      </c>
      <c r="U303">
        <v>5.4565429999999998E-2</v>
      </c>
      <c r="V303">
        <v>2.8824659999999998E-2</v>
      </c>
      <c r="W303">
        <v>0.1028521</v>
      </c>
      <c r="X303">
        <v>0.99427889999999997</v>
      </c>
      <c r="Y303">
        <v>-2.3340550000000002E-2</v>
      </c>
      <c r="Z303">
        <v>1.4780310000000001E-3</v>
      </c>
      <c r="AA303">
        <v>0.99972649999999996</v>
      </c>
      <c r="AB303">
        <v>39</v>
      </c>
      <c r="AC303">
        <v>12.4750999999999</v>
      </c>
      <c r="AD303">
        <v>-1.108714</v>
      </c>
      <c r="AE303">
        <v>0.23300000000005999</v>
      </c>
      <c r="AF303">
        <v>-0.29953161989146299</v>
      </c>
      <c r="AG303">
        <v>-1.108714</v>
      </c>
      <c r="AH303">
        <v>12.375904439121999</v>
      </c>
      <c r="AI303">
        <v>95.117771666505206</v>
      </c>
      <c r="AJ303">
        <v>91.386447988818304</v>
      </c>
      <c r="AK303">
        <v>12.429077866494801</v>
      </c>
      <c r="AL303">
        <v>84.096568936074306</v>
      </c>
      <c r="AM303">
        <v>88.339430797033501</v>
      </c>
      <c r="AN303">
        <v>0.99999997324186696</v>
      </c>
    </row>
    <row r="304" spans="1:40" x14ac:dyDescent="0.25">
      <c r="A304" t="str">
        <f>"20190312164223643"</f>
        <v>20190312164223643</v>
      </c>
      <c r="B304" t="str">
        <f>"1552380143634111"</f>
        <v>1552380143634111</v>
      </c>
      <c r="C304" t="s">
        <v>40</v>
      </c>
      <c r="D304">
        <v>4.1810470000000004</v>
      </c>
      <c r="E304">
        <v>0.48452640000000002</v>
      </c>
      <c r="F304" t="s">
        <v>41</v>
      </c>
      <c r="G304">
        <v>-416.31819999999999</v>
      </c>
      <c r="H304">
        <v>0.96818329999999997</v>
      </c>
      <c r="I304">
        <v>367.91719999999998</v>
      </c>
      <c r="J304">
        <v>-416.98820000000001</v>
      </c>
      <c r="K304">
        <v>1.0587169999999999</v>
      </c>
      <c r="L304">
        <v>367.89769999999999</v>
      </c>
      <c r="M304">
        <v>0.99996890000000005</v>
      </c>
      <c r="N304">
        <v>0</v>
      </c>
      <c r="O304">
        <v>-5.6536219999999996E-3</v>
      </c>
      <c r="P304">
        <v>0.99462519999999999</v>
      </c>
      <c r="Q304">
        <v>9.7657770000000005E-2</v>
      </c>
      <c r="R304">
        <v>-3.440841E-2</v>
      </c>
      <c r="S304">
        <v>3.0432130000000002</v>
      </c>
      <c r="T304">
        <v>-0.25913000000000003</v>
      </c>
      <c r="U304">
        <v>5.0567630000000002E-2</v>
      </c>
      <c r="V304">
        <v>2.882649E-2</v>
      </c>
      <c r="W304">
        <v>0.1031229</v>
      </c>
      <c r="X304">
        <v>0.99425079999999999</v>
      </c>
      <c r="Y304">
        <v>-2.2166249999999998E-2</v>
      </c>
      <c r="Z304">
        <v>1.422476E-3</v>
      </c>
      <c r="AA304">
        <v>0.99975329999999996</v>
      </c>
      <c r="AB304">
        <v>39</v>
      </c>
      <c r="AC304">
        <v>0.67000000000001503</v>
      </c>
      <c r="AD304">
        <v>-9.05336999999998E-2</v>
      </c>
      <c r="AE304">
        <v>1.9499999999993599E-2</v>
      </c>
      <c r="AF304">
        <v>-2.28704402293552E-2</v>
      </c>
      <c r="AG304">
        <v>-9.05336999999998E-2</v>
      </c>
      <c r="AH304">
        <v>0.65787719864099603</v>
      </c>
      <c r="AI304">
        <v>97.830865352840704</v>
      </c>
      <c r="AJ304">
        <v>91.991028425686807</v>
      </c>
      <c r="AK304">
        <v>0.66447108015601397</v>
      </c>
      <c r="AL304">
        <v>84.080970312450603</v>
      </c>
      <c r="AM304">
        <v>88.339278522491199</v>
      </c>
      <c r="AN304">
        <v>0.99999997616538405</v>
      </c>
    </row>
    <row r="305" spans="1:40" x14ac:dyDescent="0.25">
      <c r="A305" t="str">
        <f>"20190312164223668"</f>
        <v>20190312164223668</v>
      </c>
      <c r="B305" t="str">
        <f>"1552380143664357"</f>
        <v>1552380143664357</v>
      </c>
      <c r="C305" t="s">
        <v>40</v>
      </c>
      <c r="D305">
        <v>4.2139530000000001</v>
      </c>
      <c r="E305">
        <v>0.48513279999999998</v>
      </c>
      <c r="F305" t="s">
        <v>41</v>
      </c>
      <c r="G305">
        <v>-415.96409999999997</v>
      </c>
      <c r="H305">
        <v>0.97227739999999996</v>
      </c>
      <c r="I305">
        <v>367.91309999999999</v>
      </c>
      <c r="J305">
        <v>-416.5634</v>
      </c>
      <c r="K305">
        <v>1.0587299999999999</v>
      </c>
      <c r="L305">
        <v>367.89519999999999</v>
      </c>
      <c r="M305">
        <v>0.99996810000000003</v>
      </c>
      <c r="N305">
        <v>0</v>
      </c>
      <c r="O305">
        <v>-5.7813250000000004E-3</v>
      </c>
      <c r="P305">
        <v>0.9945697</v>
      </c>
      <c r="Q305">
        <v>9.8107650000000005E-2</v>
      </c>
      <c r="R305">
        <v>-3.4734899999999999E-2</v>
      </c>
      <c r="S305">
        <v>3.0430299999999999</v>
      </c>
      <c r="T305">
        <v>-0.25700319999999999</v>
      </c>
      <c r="U305">
        <v>4.6752929999999998E-2</v>
      </c>
      <c r="V305">
        <v>2.9023960000000001E-2</v>
      </c>
      <c r="W305">
        <v>0.1036067</v>
      </c>
      <c r="X305">
        <v>0.99419480000000005</v>
      </c>
      <c r="Y305">
        <v>-2.1047110000000001E-2</v>
      </c>
      <c r="Z305">
        <v>1.374534E-3</v>
      </c>
      <c r="AA305">
        <v>0.99977760000000004</v>
      </c>
      <c r="AB305">
        <v>39</v>
      </c>
      <c r="AC305">
        <v>0.59930000000002703</v>
      </c>
      <c r="AD305">
        <v>-8.6452599999999893E-2</v>
      </c>
      <c r="AE305">
        <v>1.78999999999973E-2</v>
      </c>
      <c r="AF305">
        <v>-2.0929354405015699E-2</v>
      </c>
      <c r="AG305">
        <v>-8.6452599999999893E-2</v>
      </c>
      <c r="AH305">
        <v>0.58698240744276298</v>
      </c>
      <c r="AI305">
        <v>98.3732194792277</v>
      </c>
      <c r="AJ305">
        <v>92.042064406198904</v>
      </c>
      <c r="AK305">
        <v>0.59368378499827001</v>
      </c>
      <c r="AL305">
        <v>84.053101591847295</v>
      </c>
      <c r="AM305">
        <v>88.327814394076597</v>
      </c>
      <c r="AN305">
        <v>1.0000000194430001</v>
      </c>
    </row>
    <row r="306" spans="1:40" x14ac:dyDescent="0.25">
      <c r="A306" t="str">
        <f>"20190312164223689"</f>
        <v>20190312164223689</v>
      </c>
      <c r="B306" t="str">
        <f>"1552380143683877"</f>
        <v>1552380143683877</v>
      </c>
      <c r="C306" t="s">
        <v>40</v>
      </c>
      <c r="D306">
        <v>4.2095229999999999</v>
      </c>
      <c r="E306">
        <v>0.48560819999999999</v>
      </c>
      <c r="F306" t="s">
        <v>41</v>
      </c>
      <c r="G306">
        <v>-415.60669999999999</v>
      </c>
      <c r="H306">
        <v>0.97881830000000003</v>
      </c>
      <c r="I306">
        <v>367.90769999999998</v>
      </c>
      <c r="J306">
        <v>-416.18689999999998</v>
      </c>
      <c r="K306">
        <v>1.058737</v>
      </c>
      <c r="L306">
        <v>367.8929</v>
      </c>
      <c r="M306">
        <v>0.9999673</v>
      </c>
      <c r="N306">
        <v>0</v>
      </c>
      <c r="O306">
        <v>-5.8838659999999997E-3</v>
      </c>
      <c r="P306">
        <v>0.99453429999999998</v>
      </c>
      <c r="Q306">
        <v>9.8597379999999998E-2</v>
      </c>
      <c r="R306">
        <v>-3.435465E-2</v>
      </c>
      <c r="S306">
        <v>3.0428769999999998</v>
      </c>
      <c r="T306">
        <v>-0.25444450000000002</v>
      </c>
      <c r="U306">
        <v>4.0985109999999998E-2</v>
      </c>
      <c r="V306">
        <v>2.854015E-2</v>
      </c>
      <c r="W306">
        <v>0.1041265</v>
      </c>
      <c r="X306">
        <v>0.99415450000000005</v>
      </c>
      <c r="Y306">
        <v>-1.926342E-2</v>
      </c>
      <c r="Z306">
        <v>1.29509999999999E-3</v>
      </c>
      <c r="AA306">
        <v>0.99981359999999997</v>
      </c>
      <c r="AB306">
        <v>39</v>
      </c>
      <c r="AC306">
        <v>0.58019999999998995</v>
      </c>
      <c r="AD306">
        <v>-7.9918699999999898E-2</v>
      </c>
      <c r="AE306">
        <v>1.4799999999979699E-2</v>
      </c>
      <c r="AF306">
        <v>-1.78746951419432E-2</v>
      </c>
      <c r="AG306">
        <v>-7.9918699999999898E-2</v>
      </c>
      <c r="AH306">
        <v>0.56930827823327801</v>
      </c>
      <c r="AI306">
        <v>97.986999630894005</v>
      </c>
      <c r="AJ306">
        <v>91.798337211859106</v>
      </c>
      <c r="AK306">
        <v>0.57516816584460495</v>
      </c>
      <c r="AL306">
        <v>84.023157281685101</v>
      </c>
      <c r="AM306">
        <v>88.355606557854301</v>
      </c>
      <c r="AN306">
        <v>1.00000001901726</v>
      </c>
    </row>
    <row r="307" spans="1:40" x14ac:dyDescent="0.25">
      <c r="A307" t="str">
        <f>"20190312164223711"</f>
        <v>20190312164223711</v>
      </c>
      <c r="B307" t="str">
        <f>"1552380143704374"</f>
        <v>1552380143704374</v>
      </c>
      <c r="C307" t="s">
        <v>40</v>
      </c>
      <c r="D307">
        <v>4.1523649999999996</v>
      </c>
      <c r="E307">
        <v>0.48596319999999998</v>
      </c>
      <c r="F307" t="s">
        <v>41</v>
      </c>
      <c r="G307">
        <v>-415.25060000000002</v>
      </c>
      <c r="H307">
        <v>0.9813269</v>
      </c>
      <c r="I307">
        <v>367.90460000000002</v>
      </c>
      <c r="J307">
        <v>-415.80040000000002</v>
      </c>
      <c r="K307">
        <v>1.0587470000000001</v>
      </c>
      <c r="L307">
        <v>367.89060000000001</v>
      </c>
      <c r="M307">
        <v>0.99996660000000004</v>
      </c>
      <c r="N307">
        <v>0</v>
      </c>
      <c r="O307">
        <v>-5.9766280000000003E-3</v>
      </c>
      <c r="P307">
        <v>0.9944887</v>
      </c>
      <c r="Q307">
        <v>9.908583E-2</v>
      </c>
      <c r="R307">
        <v>-3.4273640000000001E-2</v>
      </c>
      <c r="S307">
        <v>3.0427550000000001</v>
      </c>
      <c r="T307">
        <v>-0.25162030000000002</v>
      </c>
      <c r="U307">
        <v>3.8269039999999997E-2</v>
      </c>
      <c r="V307">
        <v>2.8364609999999998E-2</v>
      </c>
      <c r="W307">
        <v>0.1046444</v>
      </c>
      <c r="X307">
        <v>0.99410509999999996</v>
      </c>
      <c r="Y307">
        <v>-1.8468700000000001E-2</v>
      </c>
      <c r="Z307">
        <v>1.255688E-3</v>
      </c>
      <c r="AA307">
        <v>0.99982859999999996</v>
      </c>
      <c r="AB307">
        <v>40</v>
      </c>
      <c r="AC307">
        <v>0.54980000000000395</v>
      </c>
      <c r="AD307">
        <v>-7.7420099999999797E-2</v>
      </c>
      <c r="AE307">
        <v>1.4000000000009999E-2</v>
      </c>
      <c r="AF307">
        <v>-1.69498720481422E-2</v>
      </c>
      <c r="AG307">
        <v>-7.7420099999999797E-2</v>
      </c>
      <c r="AH307">
        <v>0.53902517137254602</v>
      </c>
      <c r="AI307">
        <v>98.169501069937496</v>
      </c>
      <c r="AJ307">
        <v>91.801096266518798</v>
      </c>
      <c r="AK307">
        <v>0.54482043410619296</v>
      </c>
      <c r="AL307">
        <v>83.9933205373367</v>
      </c>
      <c r="AM307">
        <v>88.365633948802099</v>
      </c>
      <c r="AN307">
        <v>0.99999997569890997</v>
      </c>
    </row>
    <row r="308" spans="1:40" x14ac:dyDescent="0.25">
      <c r="A308" t="str">
        <f>"20190312164223733"</f>
        <v>20190312164223733</v>
      </c>
      <c r="B308" t="str">
        <f>"1552380143724870"</f>
        <v>1552380143724870</v>
      </c>
      <c r="C308" t="s">
        <v>40</v>
      </c>
      <c r="D308">
        <v>4.1744219999999999</v>
      </c>
      <c r="E308">
        <v>0.48648170000000002</v>
      </c>
      <c r="F308" t="s">
        <v>41</v>
      </c>
      <c r="G308">
        <v>-414.8931</v>
      </c>
      <c r="H308">
        <v>0.98449169999999997</v>
      </c>
      <c r="I308">
        <v>367.90089999999998</v>
      </c>
      <c r="J308">
        <v>-415.40859999999998</v>
      </c>
      <c r="K308">
        <v>1.0587599999999999</v>
      </c>
      <c r="L308">
        <v>367.88819999999998</v>
      </c>
      <c r="M308">
        <v>0.99996569999999996</v>
      </c>
      <c r="N308">
        <v>0</v>
      </c>
      <c r="O308">
        <v>-6.0586520000000003E-3</v>
      </c>
      <c r="P308">
        <v>0.99440300000000004</v>
      </c>
      <c r="Q308">
        <v>9.9972530000000004E-2</v>
      </c>
      <c r="R308">
        <v>-3.4179109999999999E-2</v>
      </c>
      <c r="S308">
        <v>3.042694</v>
      </c>
      <c r="T308">
        <v>-0.24930269999999999</v>
      </c>
      <c r="U308">
        <v>3.5949710000000003E-2</v>
      </c>
      <c r="V308">
        <v>2.818669E-2</v>
      </c>
      <c r="W308">
        <v>0.1055605</v>
      </c>
      <c r="X308">
        <v>0.99401329999999999</v>
      </c>
      <c r="Y308">
        <v>-1.779246E-2</v>
      </c>
      <c r="Z308">
        <v>1.2232440000000001E-3</v>
      </c>
      <c r="AA308">
        <v>0.99984099999999998</v>
      </c>
      <c r="AB308">
        <v>40</v>
      </c>
      <c r="AC308">
        <v>0.51549999999997398</v>
      </c>
      <c r="AD308">
        <v>-7.4268300000000106E-2</v>
      </c>
      <c r="AE308">
        <v>1.26999999999952E-2</v>
      </c>
      <c r="AF308">
        <v>-1.5501493558043301E-2</v>
      </c>
      <c r="AG308">
        <v>-7.4268300000000106E-2</v>
      </c>
      <c r="AH308">
        <v>0.50493928578452596</v>
      </c>
      <c r="AI308">
        <v>98.363392559203703</v>
      </c>
      <c r="AJ308">
        <v>91.758411980080297</v>
      </c>
      <c r="AK308">
        <v>0.51060724536184099</v>
      </c>
      <c r="AL308">
        <v>83.940539531051499</v>
      </c>
      <c r="AM308">
        <v>88.375730261963398</v>
      </c>
      <c r="AN308">
        <v>0.999999974615147</v>
      </c>
    </row>
    <row r="309" spans="1:40" x14ac:dyDescent="0.25">
      <c r="A309" t="str">
        <f>"20190312164223755"</f>
        <v>20190312164223755</v>
      </c>
      <c r="B309" t="str">
        <f>"1552380143744389"</f>
        <v>1552380143744389</v>
      </c>
      <c r="C309" t="s">
        <v>40</v>
      </c>
      <c r="D309">
        <v>4.1939679999999999</v>
      </c>
      <c r="E309">
        <v>0.4869617</v>
      </c>
      <c r="F309" t="s">
        <v>41</v>
      </c>
      <c r="G309">
        <v>-414.53410000000002</v>
      </c>
      <c r="H309">
        <v>0.98834560000000005</v>
      </c>
      <c r="I309">
        <v>367.8974</v>
      </c>
      <c r="J309">
        <v>-415.00990000000002</v>
      </c>
      <c r="K309">
        <v>1.0587740000000001</v>
      </c>
      <c r="L309">
        <v>367.88569999999999</v>
      </c>
      <c r="M309">
        <v>0.9999654</v>
      </c>
      <c r="N309">
        <v>0</v>
      </c>
      <c r="O309">
        <v>-6.1289880000000001E-3</v>
      </c>
      <c r="P309">
        <v>0.9943767</v>
      </c>
      <c r="Q309">
        <v>0.1001774</v>
      </c>
      <c r="R309">
        <v>-3.435034E-2</v>
      </c>
      <c r="S309">
        <v>3.042694</v>
      </c>
      <c r="T309">
        <v>-0.24504609999999999</v>
      </c>
      <c r="U309">
        <v>3.225708E-2</v>
      </c>
      <c r="V309">
        <v>2.8285040000000001E-2</v>
      </c>
      <c r="W309">
        <v>0.10579429999999999</v>
      </c>
      <c r="X309">
        <v>0.99398569999999997</v>
      </c>
      <c r="Y309">
        <v>-1.6655670000000001E-2</v>
      </c>
      <c r="Z309">
        <v>1.162389E-3</v>
      </c>
      <c r="AA309">
        <v>0.99986059999999999</v>
      </c>
      <c r="AB309">
        <v>40</v>
      </c>
      <c r="AC309">
        <v>0.47579999999999201</v>
      </c>
      <c r="AD309">
        <v>-7.0428399999999794E-2</v>
      </c>
      <c r="AE309">
        <v>1.17000000000189E-2</v>
      </c>
      <c r="AF309">
        <v>-1.43028104868451E-2</v>
      </c>
      <c r="AG309">
        <v>-7.0428399999999794E-2</v>
      </c>
      <c r="AH309">
        <v>0.46552574438491501</v>
      </c>
      <c r="AI309">
        <v>98.598921048796697</v>
      </c>
      <c r="AJ309">
        <v>91.7598016336905</v>
      </c>
      <c r="AK309">
        <v>0.47104028341481702</v>
      </c>
      <c r="AL309">
        <v>83.927068649774995</v>
      </c>
      <c r="AM309">
        <v>88.370020620205196</v>
      </c>
      <c r="AN309">
        <v>1.0000000246023899</v>
      </c>
    </row>
    <row r="310" spans="1:40" x14ac:dyDescent="0.25">
      <c r="A310" t="str">
        <f>"20190312164223777"</f>
        <v>20190312164223777</v>
      </c>
      <c r="B310" t="str">
        <f>"1552380143774645"</f>
        <v>1552380143774645</v>
      </c>
      <c r="C310" t="s">
        <v>40</v>
      </c>
      <c r="D310">
        <v>4.2037279999999999</v>
      </c>
      <c r="E310">
        <v>0.48747869999999999</v>
      </c>
      <c r="F310" t="s">
        <v>43</v>
      </c>
      <c r="G310">
        <v>-401.09730000000002</v>
      </c>
      <c r="H310">
        <v>-0.05</v>
      </c>
      <c r="I310">
        <v>368.01440000000002</v>
      </c>
      <c r="J310">
        <v>-414.61219999999997</v>
      </c>
      <c r="K310">
        <v>1.0587949999999999</v>
      </c>
      <c r="L310">
        <v>367.88330000000002</v>
      </c>
      <c r="M310">
        <v>0.99996479999999999</v>
      </c>
      <c r="N310">
        <v>0</v>
      </c>
      <c r="O310">
        <v>-6.1846519999999997E-3</v>
      </c>
      <c r="P310">
        <v>0.99434599999999995</v>
      </c>
      <c r="Q310">
        <v>0.1004367</v>
      </c>
      <c r="R310">
        <v>-3.4477130000000002E-2</v>
      </c>
      <c r="S310">
        <v>3.0423580000000001</v>
      </c>
      <c r="T310">
        <v>-0.2424625</v>
      </c>
      <c r="U310">
        <v>2.8137209999999999E-2</v>
      </c>
      <c r="V310">
        <v>2.8353699999999999E-2</v>
      </c>
      <c r="W310">
        <v>0.106083</v>
      </c>
      <c r="X310">
        <v>0.99395290000000003</v>
      </c>
      <c r="Y310">
        <v>-1.536408E-2</v>
      </c>
      <c r="Z310">
        <v>1.1033499999999999E-3</v>
      </c>
      <c r="AA310">
        <v>0.99988129999999997</v>
      </c>
      <c r="AB310">
        <v>40</v>
      </c>
      <c r="AC310">
        <v>13.5148999999999</v>
      </c>
      <c r="AD310">
        <v>-1.108795</v>
      </c>
      <c r="AE310">
        <v>0.13110000000000299</v>
      </c>
      <c r="AF310">
        <v>-0.213248557626639</v>
      </c>
      <c r="AG310">
        <v>-1.108795</v>
      </c>
      <c r="AH310">
        <v>13.423486282728</v>
      </c>
      <c r="AI310">
        <v>94.721382721742202</v>
      </c>
      <c r="AJ310">
        <v>90.910137231804796</v>
      </c>
      <c r="AK310">
        <v>13.4708902928478</v>
      </c>
      <c r="AL310">
        <v>83.910433300430796</v>
      </c>
      <c r="AM310">
        <v>88.366012209115198</v>
      </c>
      <c r="AN310">
        <v>0.99999995130554797</v>
      </c>
    </row>
    <row r="311" spans="1:40" x14ac:dyDescent="0.25">
      <c r="A311" t="str">
        <f>"20190312164223800"</f>
        <v>20190312164223800</v>
      </c>
      <c r="B311" t="str">
        <f>"1552380143794166"</f>
        <v>1552380143794166</v>
      </c>
      <c r="C311" t="s">
        <v>40</v>
      </c>
      <c r="D311">
        <v>4.2234470000000002</v>
      </c>
      <c r="E311">
        <v>0.48775259999999998</v>
      </c>
      <c r="F311" t="s">
        <v>43</v>
      </c>
      <c r="G311">
        <v>-400.57459999999998</v>
      </c>
      <c r="H311">
        <v>-0.05</v>
      </c>
      <c r="I311">
        <v>367.99250000000001</v>
      </c>
      <c r="J311">
        <v>-414.2072</v>
      </c>
      <c r="K311">
        <v>1.0588120000000001</v>
      </c>
      <c r="L311">
        <v>367.88069999999999</v>
      </c>
      <c r="M311">
        <v>0.99996439999999998</v>
      </c>
      <c r="N311">
        <v>0</v>
      </c>
      <c r="O311">
        <v>-6.2269550000000002E-3</v>
      </c>
      <c r="P311">
        <v>0.99430209999999997</v>
      </c>
      <c r="Q311">
        <v>0.1006802</v>
      </c>
      <c r="R311">
        <v>-3.5030369999999998E-2</v>
      </c>
      <c r="S311">
        <v>3.0421140000000002</v>
      </c>
      <c r="T311">
        <v>-0.24029059999999999</v>
      </c>
      <c r="U311">
        <v>2.368164E-2</v>
      </c>
      <c r="V311">
        <v>2.8861729999999999E-2</v>
      </c>
      <c r="W311">
        <v>0.1063552</v>
      </c>
      <c r="X311">
        <v>0.99390919999999905</v>
      </c>
      <c r="Y311">
        <v>-1.3948240000000001E-2</v>
      </c>
      <c r="Z311">
        <v>1.0410980000000001E-3</v>
      </c>
      <c r="AA311">
        <v>0.99990219999999996</v>
      </c>
      <c r="AB311">
        <v>40</v>
      </c>
      <c r="AC311">
        <v>13.6326</v>
      </c>
      <c r="AD311">
        <v>-1.1088119999999999</v>
      </c>
      <c r="AE311">
        <v>0.111800000000016</v>
      </c>
      <c r="AF311">
        <v>-0.195396250976235</v>
      </c>
      <c r="AG311">
        <v>-1.1088119999999999</v>
      </c>
      <c r="AH311">
        <v>13.542058907412301</v>
      </c>
      <c r="AI311">
        <v>94.680401666824807</v>
      </c>
      <c r="AJ311">
        <v>90.826654481374803</v>
      </c>
      <c r="AK311">
        <v>13.588782255892699</v>
      </c>
      <c r="AL311">
        <v>83.894748727735006</v>
      </c>
      <c r="AM311">
        <v>88.336678296236599</v>
      </c>
      <c r="AN311">
        <v>0.99999996293513504</v>
      </c>
    </row>
    <row r="312" spans="1:40" x14ac:dyDescent="0.25">
      <c r="A312" t="str">
        <f>"20190312164223822"</f>
        <v>20190312164223822</v>
      </c>
      <c r="B312" t="str">
        <f>"1552380143813686"</f>
        <v>1552380143813686</v>
      </c>
      <c r="C312" t="s">
        <v>40</v>
      </c>
      <c r="D312">
        <v>4.2476880000000001</v>
      </c>
      <c r="E312">
        <v>0.48804199999999998</v>
      </c>
      <c r="F312" t="s">
        <v>43</v>
      </c>
      <c r="G312">
        <v>-400.12009999999998</v>
      </c>
      <c r="H312">
        <v>-0.05</v>
      </c>
      <c r="I312">
        <v>367.97050000000002</v>
      </c>
      <c r="J312">
        <v>-413.80930000000001</v>
      </c>
      <c r="K312">
        <v>1.058826</v>
      </c>
      <c r="L312">
        <v>367.87819999999999</v>
      </c>
      <c r="M312">
        <v>0.99996410000000002</v>
      </c>
      <c r="N312">
        <v>0</v>
      </c>
      <c r="O312">
        <v>-6.2551909999999898E-3</v>
      </c>
      <c r="P312">
        <v>0.99427980000000005</v>
      </c>
      <c r="Q312">
        <v>0.10065399999999999</v>
      </c>
      <c r="R312">
        <v>-3.572997E-2</v>
      </c>
      <c r="S312">
        <v>3.0421140000000002</v>
      </c>
      <c r="T312">
        <v>-0.23944840000000001</v>
      </c>
      <c r="U312">
        <v>1.9378659999999999E-2</v>
      </c>
      <c r="V312">
        <v>2.9529929999999999E-2</v>
      </c>
      <c r="W312">
        <v>0.1063571</v>
      </c>
      <c r="X312">
        <v>0.99388940000000003</v>
      </c>
      <c r="Y312">
        <v>-1.2566829999999999E-2</v>
      </c>
      <c r="Z312">
        <v>9.8540280000000008E-4</v>
      </c>
      <c r="AA312">
        <v>0.99992049999999999</v>
      </c>
      <c r="AB312">
        <v>40</v>
      </c>
      <c r="AC312">
        <v>13.6892</v>
      </c>
      <c r="AD312">
        <v>-1.1088260000000001</v>
      </c>
      <c r="AE312">
        <v>9.2300000000022905E-2</v>
      </c>
      <c r="AF312">
        <v>-0.17676842706257201</v>
      </c>
      <c r="AG312">
        <v>-1.1088260000000001</v>
      </c>
      <c r="AH312">
        <v>13.5991348173914</v>
      </c>
      <c r="AI312">
        <v>94.660994224409393</v>
      </c>
      <c r="AJ312">
        <v>90.744717557261495</v>
      </c>
      <c r="AK312">
        <v>13.6454098493475</v>
      </c>
      <c r="AL312">
        <v>83.894639437971506</v>
      </c>
      <c r="AM312">
        <v>88.298157968279199</v>
      </c>
      <c r="AN312">
        <v>0.999999994459287</v>
      </c>
    </row>
    <row r="313" spans="1:40" x14ac:dyDescent="0.25">
      <c r="A313" t="str">
        <f>"20190312164223845"</f>
        <v>20190312164223845</v>
      </c>
      <c r="B313" t="str">
        <f>"1552380143834199"</f>
        <v>1552380143834199</v>
      </c>
      <c r="C313" t="s">
        <v>40</v>
      </c>
      <c r="D313">
        <v>4.4888019999999997</v>
      </c>
      <c r="E313">
        <v>0.4883422</v>
      </c>
      <c r="F313" t="s">
        <v>41</v>
      </c>
      <c r="G313">
        <v>-412.74919999999997</v>
      </c>
      <c r="H313">
        <v>0.97543939999999996</v>
      </c>
      <c r="I313">
        <v>367.88279999999997</v>
      </c>
      <c r="J313">
        <v>-413.39710000000002</v>
      </c>
      <c r="K313">
        <v>1.0588340000000001</v>
      </c>
      <c r="L313">
        <v>367.87549999999999</v>
      </c>
      <c r="M313">
        <v>0.99996379999999996</v>
      </c>
      <c r="N313">
        <v>0</v>
      </c>
      <c r="O313">
        <v>-6.2737829999999998E-3</v>
      </c>
      <c r="P313">
        <v>0.99422960000000005</v>
      </c>
      <c r="Q313">
        <v>0.1011341</v>
      </c>
      <c r="R313">
        <v>-3.5771270000000001E-2</v>
      </c>
      <c r="S313">
        <v>3.041992</v>
      </c>
      <c r="T313">
        <v>-0.23948530000000001</v>
      </c>
      <c r="U313">
        <v>1.416016E-2</v>
      </c>
      <c r="V313">
        <v>2.9550010000000002E-2</v>
      </c>
      <c r="W313">
        <v>0.1068653</v>
      </c>
      <c r="X313">
        <v>0.99383429999999995</v>
      </c>
      <c r="Y313">
        <v>-1.087551E-2</v>
      </c>
      <c r="Z313">
        <v>9.2058630000000003E-4</v>
      </c>
      <c r="AA313">
        <v>0.99994050000000001</v>
      </c>
      <c r="AB313">
        <v>40</v>
      </c>
      <c r="AC313">
        <v>0.64790000000004899</v>
      </c>
      <c r="AD313">
        <v>-8.3394599999999902E-2</v>
      </c>
      <c r="AE313">
        <v>7.2999999999865299E-3</v>
      </c>
      <c r="AF313">
        <v>-1.1179513163055399E-2</v>
      </c>
      <c r="AG313">
        <v>-8.3394599999999902E-2</v>
      </c>
      <c r="AH313">
        <v>0.637284507406083</v>
      </c>
      <c r="AI313">
        <v>97.454188455748593</v>
      </c>
      <c r="AJ313">
        <v>91.005003605449701</v>
      </c>
      <c r="AK313">
        <v>0.64281504665302902</v>
      </c>
      <c r="AL313">
        <v>83.865354891918301</v>
      </c>
      <c r="AM313">
        <v>88.296907055460906</v>
      </c>
      <c r="AN313">
        <v>1.0000000056457901</v>
      </c>
    </row>
    <row r="314" spans="1:40" x14ac:dyDescent="0.25">
      <c r="A314" t="str">
        <f>"20190312164223867"</f>
        <v>20190312164223867</v>
      </c>
      <c r="B314" t="str">
        <f>"1552380143864438"</f>
        <v>1552380143864438</v>
      </c>
      <c r="C314" t="s">
        <v>40</v>
      </c>
      <c r="D314">
        <v>4.411397</v>
      </c>
      <c r="E314">
        <v>0.48888389999999998</v>
      </c>
      <c r="F314" t="s">
        <v>41</v>
      </c>
      <c r="G314">
        <v>-412.38529999999997</v>
      </c>
      <c r="H314">
        <v>0.97976359999999996</v>
      </c>
      <c r="I314">
        <v>367.87900000000002</v>
      </c>
      <c r="J314">
        <v>-413.00240000000002</v>
      </c>
      <c r="K314">
        <v>1.0588409999999999</v>
      </c>
      <c r="L314">
        <v>367.87310000000002</v>
      </c>
      <c r="M314">
        <v>0.99996350000000001</v>
      </c>
      <c r="N314">
        <v>0</v>
      </c>
      <c r="O314">
        <v>-6.284881E-3</v>
      </c>
      <c r="P314">
        <v>0.9942183</v>
      </c>
      <c r="Q314">
        <v>0.1012179</v>
      </c>
      <c r="R314">
        <v>-3.5845589999999997E-2</v>
      </c>
      <c r="S314">
        <v>3.041992</v>
      </c>
      <c r="T314">
        <v>-0.23779510000000001</v>
      </c>
      <c r="U314">
        <v>1.095581E-2</v>
      </c>
      <c r="V314">
        <v>2.961097E-2</v>
      </c>
      <c r="W314">
        <v>0.1069768</v>
      </c>
      <c r="X314">
        <v>0.9938205</v>
      </c>
      <c r="Y314">
        <v>-9.8371929999999993E-3</v>
      </c>
      <c r="Z314">
        <v>8.7445610000000005E-4</v>
      </c>
      <c r="AA314">
        <v>0.99995120000000004</v>
      </c>
      <c r="AB314">
        <v>40</v>
      </c>
      <c r="AC314">
        <v>0.61710000000005005</v>
      </c>
      <c r="AD314">
        <v>-7.9077399999999798E-2</v>
      </c>
      <c r="AE314">
        <v>5.8999999999968999E-3</v>
      </c>
      <c r="AF314">
        <v>-9.6203886922689493E-3</v>
      </c>
      <c r="AG314">
        <v>-7.9077399999999798E-2</v>
      </c>
      <c r="AH314">
        <v>0.60708286989788696</v>
      </c>
      <c r="AI314">
        <v>97.420526952666194</v>
      </c>
      <c r="AJ314">
        <v>90.907885171890499</v>
      </c>
      <c r="AK314">
        <v>0.61228702255788903</v>
      </c>
      <c r="AL314">
        <v>83.858929641819302</v>
      </c>
      <c r="AM314">
        <v>88.293372062977099</v>
      </c>
      <c r="AN314">
        <v>1.00000001575141</v>
      </c>
    </row>
    <row r="315" spans="1:40" x14ac:dyDescent="0.25">
      <c r="A315" t="str">
        <f>"20190312164223889"</f>
        <v>20190312164223889</v>
      </c>
      <c r="B315" t="str">
        <f>"1552380143883991"</f>
        <v>1552380143883991</v>
      </c>
      <c r="C315" t="s">
        <v>40</v>
      </c>
      <c r="D315">
        <v>4.2936239999999897</v>
      </c>
      <c r="E315">
        <v>0.48902780000000001</v>
      </c>
      <c r="F315" t="s">
        <v>41</v>
      </c>
      <c r="G315">
        <v>-412.02080000000001</v>
      </c>
      <c r="H315">
        <v>0.98255930000000002</v>
      </c>
      <c r="I315">
        <v>367.87470000000002</v>
      </c>
      <c r="J315">
        <v>-412.58980000000003</v>
      </c>
      <c r="K315">
        <v>1.058848</v>
      </c>
      <c r="L315">
        <v>367.87049999999999</v>
      </c>
      <c r="M315">
        <v>0.9999633</v>
      </c>
      <c r="N315">
        <v>0</v>
      </c>
      <c r="O315">
        <v>-6.2913489999999999E-3</v>
      </c>
      <c r="P315">
        <v>0.9942088</v>
      </c>
      <c r="Q315">
        <v>0.1014806</v>
      </c>
      <c r="R315">
        <v>-3.5367750000000003E-2</v>
      </c>
      <c r="S315">
        <v>3.0417480000000001</v>
      </c>
      <c r="T315">
        <v>-0.23662839999999999</v>
      </c>
      <c r="U315">
        <v>6.1340329999999997E-3</v>
      </c>
      <c r="V315">
        <v>2.9124839999999999E-2</v>
      </c>
      <c r="W315">
        <v>0.1072679</v>
      </c>
      <c r="X315">
        <v>0.99380349999999995</v>
      </c>
      <c r="Y315">
        <v>-8.2640349999999994E-3</v>
      </c>
      <c r="Z315">
        <v>8.0965349999999998E-4</v>
      </c>
      <c r="AA315">
        <v>0.99996549999999995</v>
      </c>
      <c r="AB315">
        <v>40</v>
      </c>
      <c r="AC315">
        <v>0.56900000000001605</v>
      </c>
      <c r="AD315">
        <v>-7.6288699999999904E-2</v>
      </c>
      <c r="AE315">
        <v>4.20000000002573E-3</v>
      </c>
      <c r="AF315">
        <v>-7.6423821149312699E-3</v>
      </c>
      <c r="AG315">
        <v>-7.6288699999999904E-2</v>
      </c>
      <c r="AH315">
        <v>0.55891572723161198</v>
      </c>
      <c r="AI315">
        <v>97.771786909429807</v>
      </c>
      <c r="AJ315">
        <v>90.783389933183997</v>
      </c>
      <c r="AK315">
        <v>0.56414994628992299</v>
      </c>
      <c r="AL315">
        <v>83.842154386294098</v>
      </c>
      <c r="AM315">
        <v>88.321345298420496</v>
      </c>
      <c r="AN315">
        <v>1.0000000276438401</v>
      </c>
    </row>
    <row r="316" spans="1:40" x14ac:dyDescent="0.25">
      <c r="A316" t="str">
        <f>"20190312164223913"</f>
        <v>20190312164223913</v>
      </c>
      <c r="B316" t="str">
        <f>"1552380143904477"</f>
        <v>1552380143904477</v>
      </c>
      <c r="C316" t="s">
        <v>40</v>
      </c>
      <c r="D316">
        <v>4.3112570000000003</v>
      </c>
      <c r="E316">
        <v>0.48912729999999999</v>
      </c>
      <c r="F316" t="s">
        <v>41</v>
      </c>
      <c r="G316">
        <v>-411.65370000000001</v>
      </c>
      <c r="H316">
        <v>0.98670820000000004</v>
      </c>
      <c r="I316">
        <v>367.87270000000001</v>
      </c>
      <c r="J316">
        <v>-412.15809999999999</v>
      </c>
      <c r="K316">
        <v>1.0588580000000001</v>
      </c>
      <c r="L316">
        <v>367.86779999999999</v>
      </c>
      <c r="M316">
        <v>0.99996309999999999</v>
      </c>
      <c r="N316">
        <v>0</v>
      </c>
      <c r="O316">
        <v>-6.2946219999999997E-3</v>
      </c>
      <c r="P316">
        <v>0.99421320000000002</v>
      </c>
      <c r="Q316">
        <v>0.1015088</v>
      </c>
      <c r="R316">
        <v>-3.5162939999999997E-2</v>
      </c>
      <c r="S316">
        <v>3.0417179999999999</v>
      </c>
      <c r="T316">
        <v>-0.23451279999999999</v>
      </c>
      <c r="U316">
        <v>7.6904299999999998E-3</v>
      </c>
      <c r="V316">
        <v>2.8915099999999999E-2</v>
      </c>
      <c r="W316">
        <v>0.10732999999999999</v>
      </c>
      <c r="X316">
        <v>0.99380290000000004</v>
      </c>
      <c r="Y316">
        <v>-8.7782380000000007E-3</v>
      </c>
      <c r="Z316">
        <v>8.2248879999999996E-4</v>
      </c>
      <c r="AA316">
        <v>0.99996110000000005</v>
      </c>
      <c r="AB316">
        <v>41</v>
      </c>
      <c r="AC316">
        <v>0.50439999999997498</v>
      </c>
      <c r="AD316">
        <v>-7.21498E-2</v>
      </c>
      <c r="AE316">
        <v>4.9000000000205502E-3</v>
      </c>
      <c r="AF316">
        <v>-7.91307292313005E-3</v>
      </c>
      <c r="AG316">
        <v>-7.21498E-2</v>
      </c>
      <c r="AH316">
        <v>0.494247476422494</v>
      </c>
      <c r="AI316">
        <v>98.304273080318694</v>
      </c>
      <c r="AJ316">
        <v>90.917246865381401</v>
      </c>
      <c r="AK316">
        <v>0.49954857452817403</v>
      </c>
      <c r="AL316">
        <v>83.838575536142102</v>
      </c>
      <c r="AM316">
        <v>88.333426136432806</v>
      </c>
      <c r="AN316">
        <v>1.0000000079782101</v>
      </c>
    </row>
    <row r="317" spans="1:40" x14ac:dyDescent="0.25">
      <c r="A317" t="str">
        <f>"20190312164223935"</f>
        <v>20190312164223935</v>
      </c>
      <c r="B317" t="str">
        <f>"1552380143923997"</f>
        <v>1552380143923997</v>
      </c>
      <c r="C317" t="s">
        <v>40</v>
      </c>
      <c r="D317">
        <v>4.3319669999999997</v>
      </c>
      <c r="E317">
        <v>0.48911359999999898</v>
      </c>
      <c r="F317" t="s">
        <v>41</v>
      </c>
      <c r="G317">
        <v>-411.28390000000002</v>
      </c>
      <c r="H317">
        <v>0.99205399999999999</v>
      </c>
      <c r="I317">
        <v>367.86989999999997</v>
      </c>
      <c r="J317">
        <v>-411.76440000000002</v>
      </c>
      <c r="K317">
        <v>1.05887</v>
      </c>
      <c r="L317">
        <v>367.86529999999999</v>
      </c>
      <c r="M317">
        <v>0.99996289999999999</v>
      </c>
      <c r="N317">
        <v>0</v>
      </c>
      <c r="O317">
        <v>-6.2957600000000001E-3</v>
      </c>
      <c r="P317">
        <v>0.99417449999999996</v>
      </c>
      <c r="Q317">
        <v>0.10183059999999999</v>
      </c>
      <c r="R317">
        <v>-3.5324040000000001E-2</v>
      </c>
      <c r="S317">
        <v>3.0414729999999999</v>
      </c>
      <c r="T317">
        <v>-0.23247100000000001</v>
      </c>
      <c r="U317">
        <v>7.9956049999999994E-3</v>
      </c>
      <c r="V317">
        <v>2.9074200000000001E-2</v>
      </c>
      <c r="W317">
        <v>0.10768460000000001</v>
      </c>
      <c r="X317">
        <v>0.99375990000000003</v>
      </c>
      <c r="Y317">
        <v>-8.8803819999999992E-3</v>
      </c>
      <c r="Z317">
        <v>8.1939899999999995E-4</v>
      </c>
      <c r="AA317">
        <v>0.99996019999999997</v>
      </c>
      <c r="AB317">
        <v>41</v>
      </c>
      <c r="AC317">
        <v>0.48050000000000598</v>
      </c>
      <c r="AD317">
        <v>-6.6815999999999806E-2</v>
      </c>
      <c r="AE317">
        <v>4.5999999999821696E-3</v>
      </c>
      <c r="AF317">
        <v>-7.48044269956997E-3</v>
      </c>
      <c r="AG317">
        <v>-6.6815999999999806E-2</v>
      </c>
      <c r="AH317">
        <v>0.47134820434150898</v>
      </c>
      <c r="AI317">
        <v>98.067209370411504</v>
      </c>
      <c r="AJ317">
        <v>90.909225523471093</v>
      </c>
      <c r="AK317">
        <v>0.47611917060222098</v>
      </c>
      <c r="AL317">
        <v>83.818140030272801</v>
      </c>
      <c r="AM317">
        <v>88.324188867660496</v>
      </c>
      <c r="AN317">
        <v>1.0000000105154001</v>
      </c>
    </row>
    <row r="318" spans="1:40" x14ac:dyDescent="0.25">
      <c r="A318" t="str">
        <f>"20190312164223957"</f>
        <v>20190312164223957</v>
      </c>
      <c r="B318" t="str">
        <f>"1552380143944497"</f>
        <v>1552380143944497</v>
      </c>
      <c r="C318" t="s">
        <v>40</v>
      </c>
      <c r="D318">
        <v>4.4518639999999996</v>
      </c>
      <c r="E318">
        <v>0.48917820000000001</v>
      </c>
      <c r="F318" t="s">
        <v>42</v>
      </c>
      <c r="G318">
        <v>-397.81540000000001</v>
      </c>
      <c r="H318" s="1">
        <v>-1.2233640000000001E-6</v>
      </c>
      <c r="I318">
        <v>367.90320000000003</v>
      </c>
      <c r="J318">
        <v>-411.37150000000003</v>
      </c>
      <c r="K318">
        <v>1.0588770000000001</v>
      </c>
      <c r="L318">
        <v>367.86279999999999</v>
      </c>
      <c r="M318">
        <v>0.99996269999999998</v>
      </c>
      <c r="N318">
        <v>0</v>
      </c>
      <c r="O318">
        <v>-6.2963069999999897E-3</v>
      </c>
      <c r="P318">
        <v>0.99412020000000001</v>
      </c>
      <c r="Q318">
        <v>0.1022371</v>
      </c>
      <c r="R318">
        <v>-3.5679959999999997E-2</v>
      </c>
      <c r="S318">
        <v>3.041534</v>
      </c>
      <c r="T318">
        <v>-0.23088249999999999</v>
      </c>
      <c r="U318">
        <v>8.2702639999999994E-3</v>
      </c>
      <c r="V318">
        <v>2.942873E-2</v>
      </c>
      <c r="W318">
        <v>0.108124499999999</v>
      </c>
      <c r="X318">
        <v>0.99370170000000002</v>
      </c>
      <c r="Y318">
        <v>-8.9715119999999992E-3</v>
      </c>
      <c r="Z318">
        <v>8.1729489999999997E-4</v>
      </c>
      <c r="AA318">
        <v>0.99995940000000005</v>
      </c>
      <c r="AB318">
        <v>41</v>
      </c>
      <c r="AC318">
        <v>13.556100000000001</v>
      </c>
      <c r="AD318">
        <v>-1.0588782233639999</v>
      </c>
      <c r="AE318">
        <v>4.0400000000033701E-2</v>
      </c>
      <c r="AF318">
        <v>-0.12499145448683401</v>
      </c>
      <c r="AG318">
        <v>-1.0588782233639999</v>
      </c>
      <c r="AH318">
        <v>13.4733725256302</v>
      </c>
      <c r="AI318">
        <v>94.493471290063795</v>
      </c>
      <c r="AJ318">
        <v>90.531513351394196</v>
      </c>
      <c r="AK318">
        <v>13.515495298730899</v>
      </c>
      <c r="AL318">
        <v>83.792787606788494</v>
      </c>
      <c r="AM318">
        <v>88.303666650123105</v>
      </c>
      <c r="AN318">
        <v>1.0000000131162701</v>
      </c>
    </row>
    <row r="319" spans="1:40" x14ac:dyDescent="0.25">
      <c r="A319" t="str">
        <f>"20190312164223979"</f>
        <v>20190312164223979</v>
      </c>
      <c r="B319" t="str">
        <f>"1552380143973774"</f>
        <v>1552380143973774</v>
      </c>
      <c r="C319" t="s">
        <v>40</v>
      </c>
      <c r="D319">
        <v>4.3902590000000004</v>
      </c>
      <c r="E319">
        <v>0.48922719999999997</v>
      </c>
      <c r="F319" t="s">
        <v>42</v>
      </c>
      <c r="G319">
        <v>-397.27809999999999</v>
      </c>
      <c r="H319" s="1">
        <v>-1.455857E-6</v>
      </c>
      <c r="I319">
        <v>367.892</v>
      </c>
      <c r="J319">
        <v>-410.95960000000002</v>
      </c>
      <c r="K319">
        <v>1.058883</v>
      </c>
      <c r="L319">
        <v>367.86020000000002</v>
      </c>
      <c r="M319">
        <v>0.99996240000000003</v>
      </c>
      <c r="N319">
        <v>0</v>
      </c>
      <c r="O319">
        <v>-6.2959130000000002E-3</v>
      </c>
      <c r="P319">
        <v>0.99410050000000005</v>
      </c>
      <c r="Q319">
        <v>0.1021948</v>
      </c>
      <c r="R319">
        <v>-3.6340259999999999E-2</v>
      </c>
      <c r="S319">
        <v>3.0415040000000002</v>
      </c>
      <c r="T319">
        <v>-0.228515</v>
      </c>
      <c r="U319">
        <v>6.3171390000000003E-3</v>
      </c>
      <c r="V319">
        <v>3.0088630000000002E-2</v>
      </c>
      <c r="W319">
        <v>0.1081193</v>
      </c>
      <c r="X319">
        <v>0.99368250000000002</v>
      </c>
      <c r="Y319">
        <v>-8.3317169999999902E-3</v>
      </c>
      <c r="Z319">
        <v>7.8491619999999896E-4</v>
      </c>
      <c r="AA319">
        <v>0.99996499999999999</v>
      </c>
      <c r="AB319">
        <v>41</v>
      </c>
      <c r="AC319">
        <v>13.6815</v>
      </c>
      <c r="AD319">
        <v>-1.0588844558570001</v>
      </c>
      <c r="AE319">
        <v>3.1799999999975598E-2</v>
      </c>
      <c r="AF319">
        <v>-0.117236189337348</v>
      </c>
      <c r="AG319">
        <v>-1.0588844558570001</v>
      </c>
      <c r="AH319">
        <v>13.599567107131399</v>
      </c>
      <c r="AI319">
        <v>94.451995526353002</v>
      </c>
      <c r="AJ319">
        <v>90.493910755854003</v>
      </c>
      <c r="AK319">
        <v>13.6412318401351</v>
      </c>
      <c r="AL319">
        <v>83.793087280761696</v>
      </c>
      <c r="AM319">
        <v>88.265618124478706</v>
      </c>
      <c r="AN319">
        <v>1.0000000097470001</v>
      </c>
    </row>
    <row r="320" spans="1:40" x14ac:dyDescent="0.25">
      <c r="A320" t="str">
        <f>"20190312164224002"</f>
        <v>20190312164224002</v>
      </c>
      <c r="B320" t="str">
        <f>"1552380143994270"</f>
        <v>1552380143994270</v>
      </c>
      <c r="C320" t="s">
        <v>40</v>
      </c>
      <c r="D320">
        <v>4.4029499999999997</v>
      </c>
      <c r="E320">
        <v>0.48921199999999998</v>
      </c>
      <c r="F320" t="s">
        <v>42</v>
      </c>
      <c r="G320">
        <v>-396.78890000000001</v>
      </c>
      <c r="H320" s="1">
        <v>-1.6683E-6</v>
      </c>
      <c r="I320">
        <v>367.87729999999999</v>
      </c>
      <c r="J320">
        <v>-410.53710000000001</v>
      </c>
      <c r="K320">
        <v>1.0588959999999901</v>
      </c>
      <c r="L320">
        <v>367.85750000000002</v>
      </c>
      <c r="M320">
        <v>0.99996220000000002</v>
      </c>
      <c r="N320">
        <v>0</v>
      </c>
      <c r="O320">
        <v>-6.2919450000000002E-3</v>
      </c>
      <c r="P320">
        <v>0.99402820000000003</v>
      </c>
      <c r="Q320">
        <v>0.102599</v>
      </c>
      <c r="R320">
        <v>-3.7172200000000002E-2</v>
      </c>
      <c r="S320">
        <v>3.0412599999999999</v>
      </c>
      <c r="T320">
        <v>-0.2272527</v>
      </c>
      <c r="U320">
        <v>3.692627E-3</v>
      </c>
      <c r="V320">
        <v>3.092346E-2</v>
      </c>
      <c r="W320">
        <v>0.1085639</v>
      </c>
      <c r="X320">
        <v>0.99360839999999995</v>
      </c>
      <c r="Y320">
        <v>-7.4678449999999999E-3</v>
      </c>
      <c r="Z320">
        <v>7.4812860000000002E-4</v>
      </c>
      <c r="AA320">
        <v>0.99997179999999997</v>
      </c>
      <c r="AB320">
        <v>41</v>
      </c>
      <c r="AC320">
        <v>13.748199999999899</v>
      </c>
      <c r="AD320">
        <v>-1.05889766829999</v>
      </c>
      <c r="AE320">
        <v>1.9799999999975101E-2</v>
      </c>
      <c r="AF320">
        <v>-0.10567718618170401</v>
      </c>
      <c r="AG320">
        <v>-1.05889766829999</v>
      </c>
      <c r="AH320">
        <v>13.666729567504399</v>
      </c>
      <c r="AI320">
        <v>94.430291480440303</v>
      </c>
      <c r="AJ320">
        <v>90.443027430874594</v>
      </c>
      <c r="AK320">
        <v>13.7080972060644</v>
      </c>
      <c r="AL320">
        <v>83.767462787377198</v>
      </c>
      <c r="AM320">
        <v>88.217394270530505</v>
      </c>
      <c r="AN320">
        <v>1.0000000166560701</v>
      </c>
    </row>
    <row r="321" spans="1:40" x14ac:dyDescent="0.25">
      <c r="A321" t="str">
        <f>"20190312164224023"</f>
        <v>20190312164224023</v>
      </c>
      <c r="B321" t="str">
        <f>"1552380144013789"</f>
        <v>1552380144013789</v>
      </c>
      <c r="C321" t="s">
        <v>40</v>
      </c>
      <c r="D321">
        <v>4.4324309999999896</v>
      </c>
      <c r="E321">
        <v>0.48919030000000002</v>
      </c>
      <c r="F321" t="s">
        <v>41</v>
      </c>
      <c r="G321">
        <v>-409.45819999999998</v>
      </c>
      <c r="H321">
        <v>0.97886189999999995</v>
      </c>
      <c r="I321">
        <v>367.85789999999997</v>
      </c>
      <c r="J321">
        <v>-410.1422</v>
      </c>
      <c r="K321">
        <v>1.05891</v>
      </c>
      <c r="L321">
        <v>367.85500000000002</v>
      </c>
      <c r="M321">
        <v>0.99996200000000002</v>
      </c>
      <c r="N321">
        <v>0</v>
      </c>
      <c r="O321">
        <v>-6.279611E-3</v>
      </c>
      <c r="P321">
        <v>0.99394079999999996</v>
      </c>
      <c r="Q321">
        <v>0.103197</v>
      </c>
      <c r="R321">
        <v>-3.7844839999999998E-2</v>
      </c>
      <c r="S321">
        <v>3.041382</v>
      </c>
      <c r="T321">
        <v>-0.22572039999999999</v>
      </c>
      <c r="U321">
        <v>1.4648440000000001E-3</v>
      </c>
      <c r="V321">
        <v>3.1607099999999999E-2</v>
      </c>
      <c r="W321">
        <v>0.10920100000000001</v>
      </c>
      <c r="X321">
        <v>0.99351699999999998</v>
      </c>
      <c r="Y321">
        <v>-6.7255860000000004E-3</v>
      </c>
      <c r="Z321">
        <v>7.1464819999999998E-4</v>
      </c>
      <c r="AA321">
        <v>0.99997709999999995</v>
      </c>
      <c r="AB321">
        <v>41</v>
      </c>
      <c r="AC321">
        <v>0.68400000000002503</v>
      </c>
      <c r="AD321">
        <v>-8.00480999999999E-2</v>
      </c>
      <c r="AE321">
        <v>2.8999999999541602E-3</v>
      </c>
      <c r="AF321">
        <v>-7.0980628237357103E-3</v>
      </c>
      <c r="AG321">
        <v>-8.00480999999999E-2</v>
      </c>
      <c r="AH321">
        <v>0.67472748327611998</v>
      </c>
      <c r="AI321">
        <v>96.765442757740601</v>
      </c>
      <c r="AJ321">
        <v>90.602723397340299</v>
      </c>
      <c r="AK321">
        <v>0.67949632633119295</v>
      </c>
      <c r="AL321">
        <v>83.730740892914795</v>
      </c>
      <c r="AM321">
        <v>88.1778441086458</v>
      </c>
      <c r="AN321">
        <v>0.999999948230203</v>
      </c>
    </row>
    <row r="322" spans="1:40" x14ac:dyDescent="0.25">
      <c r="A322" t="str">
        <f>"20190312164224045"</f>
        <v>20190312164224045</v>
      </c>
      <c r="B322" t="str">
        <f>"1552380144034289"</f>
        <v>1552380144034289</v>
      </c>
      <c r="C322" t="s">
        <v>40</v>
      </c>
      <c r="D322">
        <v>4.4315369999999996</v>
      </c>
      <c r="E322">
        <v>0.48915940000000002</v>
      </c>
      <c r="F322" t="s">
        <v>41</v>
      </c>
      <c r="G322">
        <v>-409.08690000000001</v>
      </c>
      <c r="H322">
        <v>0.98141210000000001</v>
      </c>
      <c r="I322">
        <v>367.8546</v>
      </c>
      <c r="J322">
        <v>-409.73050000000001</v>
      </c>
      <c r="K322">
        <v>1.0589189999999999</v>
      </c>
      <c r="L322">
        <v>367.85250000000002</v>
      </c>
      <c r="M322">
        <v>0.99996200000000002</v>
      </c>
      <c r="N322">
        <v>0</v>
      </c>
      <c r="O322">
        <v>-6.2583259999999998E-3</v>
      </c>
      <c r="P322">
        <v>0.99385780000000001</v>
      </c>
      <c r="Q322">
        <v>0.1037893</v>
      </c>
      <c r="R322">
        <v>-3.8400990000000003E-2</v>
      </c>
      <c r="S322">
        <v>3.0415040000000002</v>
      </c>
      <c r="T322">
        <v>-0.2235926</v>
      </c>
      <c r="U322">
        <v>-3.3569339999999902E-4</v>
      </c>
      <c r="V322">
        <v>3.2182460000000003E-2</v>
      </c>
      <c r="W322">
        <v>0.10983370000000001</v>
      </c>
      <c r="X322">
        <v>0.9934288</v>
      </c>
      <c r="Y322">
        <v>-6.1146839999999996E-3</v>
      </c>
      <c r="Z322">
        <v>6.8391389999999995E-4</v>
      </c>
      <c r="AA322">
        <v>0.99998100000000001</v>
      </c>
      <c r="AB322">
        <v>41</v>
      </c>
      <c r="AC322">
        <v>0.64359999999999196</v>
      </c>
      <c r="AD322">
        <v>-7.7506900000000004E-2</v>
      </c>
      <c r="AE322">
        <v>2.0999999999844398E-3</v>
      </c>
      <c r="AF322">
        <v>-6.0402920944538198E-3</v>
      </c>
      <c r="AG322">
        <v>-7.7506900000000004E-2</v>
      </c>
      <c r="AH322">
        <v>0.63437421610442501</v>
      </c>
      <c r="AI322">
        <v>96.965476733591601</v>
      </c>
      <c r="AJ322">
        <v>90.545534129487805</v>
      </c>
      <c r="AK322">
        <v>0.63912005971828101</v>
      </c>
      <c r="AL322">
        <v>83.694270592759594</v>
      </c>
      <c r="AM322">
        <v>88.144532854529501</v>
      </c>
      <c r="AN322">
        <v>0.99999996652838996</v>
      </c>
    </row>
    <row r="323" spans="1:40" x14ac:dyDescent="0.25">
      <c r="A323" t="str">
        <f>"20190312164224067"</f>
        <v>20190312164224067</v>
      </c>
      <c r="B323" t="str">
        <f>"1552380144064541"</f>
        <v>1552380144064541</v>
      </c>
      <c r="C323" t="s">
        <v>40</v>
      </c>
      <c r="D323">
        <v>4.591685</v>
      </c>
      <c r="E323">
        <v>0.48917529999999998</v>
      </c>
      <c r="F323" t="s">
        <v>41</v>
      </c>
      <c r="G323">
        <v>-408.71359999999999</v>
      </c>
      <c r="H323">
        <v>0.98478909999999997</v>
      </c>
      <c r="I323">
        <v>367.85160000000002</v>
      </c>
      <c r="J323">
        <v>-409.32299999999998</v>
      </c>
      <c r="K323">
        <v>1.0589309999999901</v>
      </c>
      <c r="L323">
        <v>367.85</v>
      </c>
      <c r="M323">
        <v>0.99996200000000002</v>
      </c>
      <c r="N323">
        <v>0</v>
      </c>
      <c r="O323">
        <v>-6.2276170000000004E-3</v>
      </c>
      <c r="P323">
        <v>0.99380650000000004</v>
      </c>
      <c r="Q323">
        <v>0.1041405</v>
      </c>
      <c r="R323">
        <v>-3.8781259999999998E-2</v>
      </c>
      <c r="S323">
        <v>3.0416259999999999</v>
      </c>
      <c r="T323">
        <v>-0.22188569999999999</v>
      </c>
      <c r="U323">
        <v>-1.8615719999999999E-3</v>
      </c>
      <c r="V323">
        <v>3.2590800000000003E-2</v>
      </c>
      <c r="W323">
        <v>0.1102257</v>
      </c>
      <c r="X323">
        <v>0.99337209999999998</v>
      </c>
      <c r="Y323">
        <v>-5.5843239999999999E-3</v>
      </c>
      <c r="Z323">
        <v>6.5712300000000002E-4</v>
      </c>
      <c r="AA323">
        <v>0.99998419999999999</v>
      </c>
      <c r="AB323">
        <v>41</v>
      </c>
      <c r="AC323">
        <v>0.60940000000005001</v>
      </c>
      <c r="AD323">
        <v>-7.4141899999999802E-2</v>
      </c>
      <c r="AE323">
        <v>1.59999999999627E-3</v>
      </c>
      <c r="AF323">
        <v>-5.3164553771951799E-3</v>
      </c>
      <c r="AG323">
        <v>-7.4141899999999802E-2</v>
      </c>
      <c r="AH323">
        <v>0.60048978584032897</v>
      </c>
      <c r="AI323">
        <v>97.038359258240504</v>
      </c>
      <c r="AJ323">
        <v>90.507256748863696</v>
      </c>
      <c r="AK323">
        <v>0.60507294513302401</v>
      </c>
      <c r="AL323">
        <v>83.671673637556594</v>
      </c>
      <c r="AM323">
        <v>88.120899769324197</v>
      </c>
      <c r="AN323">
        <v>0.99999999712176901</v>
      </c>
    </row>
    <row r="324" spans="1:40" x14ac:dyDescent="0.25">
      <c r="A324" t="str">
        <f>"20190312164224090"</f>
        <v>20190312164224090</v>
      </c>
      <c r="B324" t="str">
        <f>"1552380144084062"</f>
        <v>1552380144084062</v>
      </c>
      <c r="C324" t="s">
        <v>40</v>
      </c>
      <c r="D324">
        <v>4.4665920000000003</v>
      </c>
      <c r="E324">
        <v>0.48914410000000003</v>
      </c>
      <c r="F324" t="s">
        <v>41</v>
      </c>
      <c r="G324">
        <v>-408.33980000000003</v>
      </c>
      <c r="H324">
        <v>0.98749410000000004</v>
      </c>
      <c r="I324">
        <v>367.84820000000002</v>
      </c>
      <c r="J324">
        <v>-408.89269999999999</v>
      </c>
      <c r="K324">
        <v>1.058945</v>
      </c>
      <c r="L324">
        <v>367.84730000000002</v>
      </c>
      <c r="M324">
        <v>0.99996189999999996</v>
      </c>
      <c r="N324">
        <v>0</v>
      </c>
      <c r="O324">
        <v>-6.1859530000000001E-3</v>
      </c>
      <c r="P324">
        <v>0.99368489999999998</v>
      </c>
      <c r="Q324">
        <v>0.1051615</v>
      </c>
      <c r="R324">
        <v>-3.9135139999999999E-2</v>
      </c>
      <c r="S324">
        <v>3.0417179999999999</v>
      </c>
      <c r="T324">
        <v>-0.22131190000000001</v>
      </c>
      <c r="U324">
        <v>-3.8452149999999999E-3</v>
      </c>
      <c r="V324">
        <v>3.298425E-2</v>
      </c>
      <c r="W324">
        <v>0.1112901</v>
      </c>
      <c r="X324">
        <v>0.99324040000000002</v>
      </c>
      <c r="Y324">
        <v>-4.8926450000000002E-3</v>
      </c>
      <c r="Z324">
        <v>6.272513E-4</v>
      </c>
      <c r="AA324">
        <v>0.99998779999999998</v>
      </c>
      <c r="AB324">
        <v>41</v>
      </c>
      <c r="AC324">
        <v>0.55289999999996498</v>
      </c>
      <c r="AD324">
        <v>-7.1450900000000095E-2</v>
      </c>
      <c r="AE324">
        <v>9.0000000000145497E-4</v>
      </c>
      <c r="AF324">
        <v>-4.2492970504449702E-3</v>
      </c>
      <c r="AG324">
        <v>-7.1450900000000095E-2</v>
      </c>
      <c r="AH324">
        <v>0.54380225936024496</v>
      </c>
      <c r="AI324">
        <v>97.485064501374893</v>
      </c>
      <c r="AJ324">
        <v>90.447702869142205</v>
      </c>
      <c r="AK324">
        <v>0.54849264801047204</v>
      </c>
      <c r="AL324">
        <v>83.610310288332798</v>
      </c>
      <c r="AM324">
        <v>88.097979048703294</v>
      </c>
      <c r="AN324">
        <v>0.99999996964911497</v>
      </c>
    </row>
    <row r="325" spans="1:40" x14ac:dyDescent="0.25">
      <c r="A325" t="str">
        <f>"20190312164224114"</f>
        <v>20190312164224114</v>
      </c>
      <c r="B325" t="str">
        <f>"1552380144104557"</f>
        <v>1552380144104557</v>
      </c>
      <c r="C325" t="s">
        <v>40</v>
      </c>
      <c r="D325">
        <v>4.4961260000000003</v>
      </c>
      <c r="E325">
        <v>0.48919309999999999</v>
      </c>
      <c r="F325" t="s">
        <v>41</v>
      </c>
      <c r="G325">
        <v>-407.96339999999998</v>
      </c>
      <c r="H325">
        <v>0.99222900000000003</v>
      </c>
      <c r="I325">
        <v>367.84570000000002</v>
      </c>
      <c r="J325">
        <v>-408.45089999999999</v>
      </c>
      <c r="K325">
        <v>1.058959</v>
      </c>
      <c r="L325">
        <v>367.84460000000001</v>
      </c>
      <c r="M325">
        <v>0.99996189999999996</v>
      </c>
      <c r="N325">
        <v>0</v>
      </c>
      <c r="O325">
        <v>-6.1348890000000001E-3</v>
      </c>
      <c r="P325">
        <v>0.9935927</v>
      </c>
      <c r="Q325">
        <v>0.10606740000000001</v>
      </c>
      <c r="R325">
        <v>-3.9030280000000001E-2</v>
      </c>
      <c r="S325">
        <v>3.041992</v>
      </c>
      <c r="T325">
        <v>-0.2185472</v>
      </c>
      <c r="U325">
        <v>-4.7607420000000001E-3</v>
      </c>
      <c r="V325">
        <v>3.292813E-2</v>
      </c>
      <c r="W325">
        <v>0.1122425</v>
      </c>
      <c r="X325">
        <v>0.99313510000000005</v>
      </c>
      <c r="Y325">
        <v>-4.5425029999999998E-3</v>
      </c>
      <c r="Z325">
        <v>6.0315430000000005E-4</v>
      </c>
      <c r="AA325">
        <v>0.99998949999999998</v>
      </c>
      <c r="AB325">
        <v>42</v>
      </c>
      <c r="AC325">
        <v>0.48750000000001098</v>
      </c>
      <c r="AD325">
        <v>-6.6729999999999803E-2</v>
      </c>
      <c r="AE325">
        <v>1.1000000000080899E-3</v>
      </c>
      <c r="AF325">
        <v>-4.0155574561370902E-3</v>
      </c>
      <c r="AG325">
        <v>-6.6729999999999803E-2</v>
      </c>
      <c r="AH325">
        <v>0.478518271351764</v>
      </c>
      <c r="AI325">
        <v>97.938498863839001</v>
      </c>
      <c r="AJ325">
        <v>90.480794795168507</v>
      </c>
      <c r="AK325">
        <v>0.483165348115077</v>
      </c>
      <c r="AL325">
        <v>83.555397821437595</v>
      </c>
      <c r="AM325">
        <v>88.101011633694</v>
      </c>
      <c r="AN325">
        <v>0.99999998370177801</v>
      </c>
    </row>
    <row r="326" spans="1:40" x14ac:dyDescent="0.25">
      <c r="A326" t="str">
        <f>"20190312164224135"</f>
        <v>20190312164224135</v>
      </c>
      <c r="B326" t="str">
        <f>"1552380144124078"</f>
        <v>1552380144124078</v>
      </c>
      <c r="C326" t="s">
        <v>40</v>
      </c>
      <c r="D326">
        <v>4.4722619999999997</v>
      </c>
      <c r="E326">
        <v>0.51298900000000003</v>
      </c>
      <c r="F326" t="s">
        <v>42</v>
      </c>
      <c r="G326">
        <v>-393.57600000000002</v>
      </c>
      <c r="H326" s="1">
        <v>-3.0569919999999999E-6</v>
      </c>
      <c r="I326">
        <v>367.81900000000002</v>
      </c>
      <c r="J326">
        <v>-408.0521</v>
      </c>
      <c r="K326">
        <v>1.058972</v>
      </c>
      <c r="L326">
        <v>367.84219999999999</v>
      </c>
      <c r="M326">
        <v>0.99996200000000002</v>
      </c>
      <c r="N326">
        <v>0</v>
      </c>
      <c r="O326">
        <v>-6.0835960000000001E-3</v>
      </c>
      <c r="P326">
        <v>0.99350430000000001</v>
      </c>
      <c r="Q326">
        <v>0.10689319999999999</v>
      </c>
      <c r="R326">
        <v>-3.9028470000000003E-2</v>
      </c>
      <c r="S326">
        <v>3.0422359999999999</v>
      </c>
      <c r="T326">
        <v>-0.21657940000000001</v>
      </c>
      <c r="U326">
        <v>-5.2185060000000004E-3</v>
      </c>
      <c r="V326">
        <v>3.2975890000000001E-2</v>
      </c>
      <c r="W326">
        <v>0.1131119</v>
      </c>
      <c r="X326">
        <v>0.99303490000000005</v>
      </c>
      <c r="Y326">
        <v>-4.3420020000000002E-3</v>
      </c>
      <c r="Z326">
        <v>5.8691470000000003E-4</v>
      </c>
      <c r="AA326">
        <v>0.99999039999999995</v>
      </c>
      <c r="AB326">
        <v>42</v>
      </c>
      <c r="AC326">
        <v>14.476100000000001</v>
      </c>
      <c r="AD326">
        <v>-1.058975056992</v>
      </c>
      <c r="AE326">
        <v>-2.31999999999743E-2</v>
      </c>
      <c r="AF326">
        <v>-6.4523598821409706E-2</v>
      </c>
      <c r="AG326">
        <v>-1.058975056992</v>
      </c>
      <c r="AH326">
        <v>14.398918911852601</v>
      </c>
      <c r="AI326">
        <v>94.206229243022193</v>
      </c>
      <c r="AJ326">
        <v>90.256748799602804</v>
      </c>
      <c r="AK326">
        <v>14.437951977210799</v>
      </c>
      <c r="AL326">
        <v>83.505265792722099</v>
      </c>
      <c r="AM326">
        <v>88.098067551987498</v>
      </c>
      <c r="AN326">
        <v>1.00000001193045</v>
      </c>
    </row>
    <row r="327" spans="1:40" x14ac:dyDescent="0.25">
      <c r="A327" t="str">
        <f>"20190312164224156"</f>
        <v>20190312164224156</v>
      </c>
      <c r="B327" t="str">
        <f>"1552380144144574"</f>
        <v>1552380144144574</v>
      </c>
      <c r="C327" t="s">
        <v>40</v>
      </c>
      <c r="D327">
        <v>4.6275700000000004</v>
      </c>
      <c r="E327">
        <v>0.52464709999999903</v>
      </c>
      <c r="F327" t="s">
        <v>41</v>
      </c>
      <c r="G327">
        <v>-407.21789999999999</v>
      </c>
      <c r="H327">
        <v>0.99601669999999998</v>
      </c>
      <c r="I327">
        <v>367.78870000000001</v>
      </c>
      <c r="J327">
        <v>-407.65949999999998</v>
      </c>
      <c r="K327">
        <v>1.0589839999999999</v>
      </c>
      <c r="L327">
        <v>367.8399</v>
      </c>
      <c r="M327">
        <v>0.99996200000000002</v>
      </c>
      <c r="N327">
        <v>0</v>
      </c>
      <c r="O327">
        <v>-6.0294559999999999E-3</v>
      </c>
      <c r="P327">
        <v>0.99342540000000001</v>
      </c>
      <c r="Q327">
        <v>0.1076413</v>
      </c>
      <c r="R327">
        <v>-3.8978909999999999E-2</v>
      </c>
      <c r="S327">
        <v>3.0366209999999998</v>
      </c>
      <c r="T327">
        <v>-0.2292151</v>
      </c>
      <c r="U327">
        <v>-0.19461059999999999</v>
      </c>
      <c r="V327">
        <v>3.2979439999999999E-2</v>
      </c>
      <c r="W327">
        <v>0.11390450000000001</v>
      </c>
      <c r="X327">
        <v>0.99294420000000005</v>
      </c>
      <c r="Y327">
        <v>5.7791629999999997E-2</v>
      </c>
      <c r="Z327">
        <v>-1.7218400000000001E-3</v>
      </c>
      <c r="AA327">
        <v>0.99832719999999997</v>
      </c>
      <c r="AB327">
        <v>42</v>
      </c>
      <c r="AC327">
        <v>0.441599999999993</v>
      </c>
      <c r="AD327">
        <v>-6.2967299999999907E-2</v>
      </c>
      <c r="AE327">
        <v>-5.1199999999994299E-2</v>
      </c>
      <c r="AF327">
        <v>4.7581825123139798E-2</v>
      </c>
      <c r="AG327">
        <v>-6.2967299999999907E-2</v>
      </c>
      <c r="AH327">
        <v>0.43320966160006902</v>
      </c>
      <c r="AI327">
        <v>98.221302780410795</v>
      </c>
      <c r="AJ327">
        <v>83.732010840576805</v>
      </c>
      <c r="AK327">
        <v>0.44034023419963098</v>
      </c>
      <c r="AL327">
        <v>83.459557877020501</v>
      </c>
      <c r="AM327">
        <v>88.097689328853605</v>
      </c>
      <c r="AN327">
        <v>1.0000000314483</v>
      </c>
    </row>
    <row r="328" spans="1:40" x14ac:dyDescent="0.25">
      <c r="A328" t="str">
        <f>"20190312164224179"</f>
        <v>20190312164224179</v>
      </c>
      <c r="B328" t="str">
        <f>"1552380144173854"</f>
        <v>1552380144173854</v>
      </c>
      <c r="C328" t="s">
        <v>40</v>
      </c>
      <c r="D328">
        <v>4.4619530000000003</v>
      </c>
      <c r="E328">
        <v>0.52946249999999995</v>
      </c>
      <c r="F328" t="s">
        <v>41</v>
      </c>
      <c r="G328">
        <v>-406.84050000000002</v>
      </c>
      <c r="H328">
        <v>0.99992490000000001</v>
      </c>
      <c r="I328">
        <v>367.76190000000003</v>
      </c>
      <c r="J328">
        <v>-407.22129999999999</v>
      </c>
      <c r="K328">
        <v>1.058991</v>
      </c>
      <c r="L328">
        <v>367.8372</v>
      </c>
      <c r="M328">
        <v>0.99996200000000002</v>
      </c>
      <c r="N328">
        <v>0</v>
      </c>
      <c r="O328">
        <v>-5.9660410000000001E-3</v>
      </c>
      <c r="P328">
        <v>0.99339449999999996</v>
      </c>
      <c r="Q328">
        <v>0.1078446</v>
      </c>
      <c r="R328">
        <v>-3.9201979999999997E-2</v>
      </c>
      <c r="S328">
        <v>3.0323180000000001</v>
      </c>
      <c r="T328">
        <v>-0.2189837</v>
      </c>
      <c r="U328">
        <v>-0.28707890000000003</v>
      </c>
      <c r="V328">
        <v>3.3264410000000001E-2</v>
      </c>
      <c r="W328">
        <v>0.11415839999999899</v>
      </c>
      <c r="X328">
        <v>0.9929055</v>
      </c>
      <c r="Y328">
        <v>8.8098380000000004E-2</v>
      </c>
      <c r="Z328">
        <v>-2.740578E-3</v>
      </c>
      <c r="AA328">
        <v>0.99610799999999999</v>
      </c>
      <c r="AB328">
        <v>42</v>
      </c>
      <c r="AC328">
        <v>0.380799999999965</v>
      </c>
      <c r="AD328">
        <v>-5.9066100000000003E-2</v>
      </c>
      <c r="AE328">
        <v>-7.5299999999970099E-2</v>
      </c>
      <c r="AF328">
        <v>7.1374153647401198E-2</v>
      </c>
      <c r="AG328">
        <v>-5.9066100000000003E-2</v>
      </c>
      <c r="AH328">
        <v>0.37261497502844698</v>
      </c>
      <c r="AI328">
        <v>98.849186659261804</v>
      </c>
      <c r="AJ328">
        <v>79.156379468109193</v>
      </c>
      <c r="AK328">
        <v>0.38395962495234198</v>
      </c>
      <c r="AL328">
        <v>83.444914735910004</v>
      </c>
      <c r="AM328">
        <v>88.081189274771504</v>
      </c>
      <c r="AN328">
        <v>0.999999996596729</v>
      </c>
    </row>
    <row r="329" spans="1:40" x14ac:dyDescent="0.25">
      <c r="A329" t="str">
        <f>"20190312164224202"</f>
        <v>20190312164224202</v>
      </c>
      <c r="B329" t="str">
        <f>"1552380144194007"</f>
        <v>1552380144194007</v>
      </c>
      <c r="C329" t="s">
        <v>40</v>
      </c>
      <c r="D329">
        <v>4.5292070000000004</v>
      </c>
      <c r="E329">
        <v>0.53129579999999998</v>
      </c>
      <c r="F329" t="s">
        <v>41</v>
      </c>
      <c r="G329">
        <v>-406.46190000000001</v>
      </c>
      <c r="H329">
        <v>1.002599</v>
      </c>
      <c r="I329">
        <v>367.75560000000002</v>
      </c>
      <c r="J329">
        <v>-406.79509999999999</v>
      </c>
      <c r="K329">
        <v>1.0589949999999999</v>
      </c>
      <c r="L329">
        <v>367.83479999999997</v>
      </c>
      <c r="M329">
        <v>0.99996209999999996</v>
      </c>
      <c r="N329">
        <v>0</v>
      </c>
      <c r="O329">
        <v>-5.9029819999999898E-3</v>
      </c>
      <c r="P329">
        <v>0.99335560000000001</v>
      </c>
      <c r="Q329">
        <v>0.10810549999999999</v>
      </c>
      <c r="R329">
        <v>-3.9472159999999999E-2</v>
      </c>
      <c r="S329">
        <v>3.0315859999999999</v>
      </c>
      <c r="T329">
        <v>-0.22528210000000001</v>
      </c>
      <c r="U329">
        <v>-0.32565309999999997</v>
      </c>
      <c r="V329">
        <v>3.3596229999999998E-2</v>
      </c>
      <c r="W329">
        <v>0.11446679999999999</v>
      </c>
      <c r="X329">
        <v>0.99285880000000004</v>
      </c>
      <c r="Y329">
        <v>0.1006761</v>
      </c>
      <c r="Z329">
        <v>-3.2881049999999999E-3</v>
      </c>
      <c r="AA329">
        <v>0.99491379999999996</v>
      </c>
      <c r="AB329">
        <v>42</v>
      </c>
      <c r="AC329">
        <v>0.33319999999997602</v>
      </c>
      <c r="AD329">
        <v>-5.6396000000000099E-2</v>
      </c>
      <c r="AE329">
        <v>-7.9199999999957499E-2</v>
      </c>
      <c r="AF329">
        <v>7.5192815710772298E-2</v>
      </c>
      <c r="AG329">
        <v>-5.6396000000000099E-2</v>
      </c>
      <c r="AH329">
        <v>0.32485316562924799</v>
      </c>
      <c r="AI329">
        <v>99.599751829211797</v>
      </c>
      <c r="AJ329">
        <v>76.967426514616093</v>
      </c>
      <c r="AK329">
        <v>0.33817753853539401</v>
      </c>
      <c r="AL329">
        <v>83.427127986161494</v>
      </c>
      <c r="AM329">
        <v>88.061972144306395</v>
      </c>
      <c r="AN329">
        <v>0.99999997585494604</v>
      </c>
    </row>
    <row r="330" spans="1:40" x14ac:dyDescent="0.25">
      <c r="A330" t="str">
        <f>"20190312164224225"</f>
        <v>20190312164224225</v>
      </c>
      <c r="B330" t="str">
        <f>"1552380144213527"</f>
        <v>1552380144213527</v>
      </c>
      <c r="C330" t="s">
        <v>40</v>
      </c>
      <c r="D330">
        <v>4.4693259999999997</v>
      </c>
      <c r="E330">
        <v>0.53207769999999899</v>
      </c>
      <c r="F330" t="s">
        <v>41</v>
      </c>
      <c r="G330">
        <v>-405.71980000000002</v>
      </c>
      <c r="H330">
        <v>0.98070279999999999</v>
      </c>
      <c r="I330">
        <v>367.7131</v>
      </c>
      <c r="J330">
        <v>-406.36750000000001</v>
      </c>
      <c r="K330">
        <v>1.0590010000000001</v>
      </c>
      <c r="L330">
        <v>367.83229999999998</v>
      </c>
      <c r="M330">
        <v>0.99996209999999996</v>
      </c>
      <c r="N330">
        <v>0</v>
      </c>
      <c r="O330">
        <v>-5.8390869999999997E-3</v>
      </c>
      <c r="P330">
        <v>0.99330410000000002</v>
      </c>
      <c r="Q330">
        <v>0.10838879999999999</v>
      </c>
      <c r="R330">
        <v>-3.9985619999999999E-2</v>
      </c>
      <c r="S330">
        <v>3.0305179999999998</v>
      </c>
      <c r="T330">
        <v>-0.22085959999999999</v>
      </c>
      <c r="U330">
        <v>-0.34155269999999999</v>
      </c>
      <c r="V330">
        <v>3.4172399999999999E-2</v>
      </c>
      <c r="W330">
        <v>0.114796</v>
      </c>
      <c r="X330">
        <v>0.99280109999999999</v>
      </c>
      <c r="Y330">
        <v>0.10592890000000001</v>
      </c>
      <c r="Z330">
        <v>-3.4191260000000002E-3</v>
      </c>
      <c r="AA330">
        <v>0.99436780000000002</v>
      </c>
      <c r="AB330">
        <v>42</v>
      </c>
      <c r="AC330">
        <v>0.64769999999998595</v>
      </c>
      <c r="AD330">
        <v>-7.8298200000000095E-2</v>
      </c>
      <c r="AE330">
        <v>-0.119199999999978</v>
      </c>
      <c r="AF330">
        <v>0.11380726749405499</v>
      </c>
      <c r="AG330">
        <v>-7.8298200000000095E-2</v>
      </c>
      <c r="AH330">
        <v>0.63934792592891698</v>
      </c>
      <c r="AI330">
        <v>96.874990023823898</v>
      </c>
      <c r="AJ330">
        <v>79.906770331785594</v>
      </c>
      <c r="AK330">
        <v>0.65410127094152004</v>
      </c>
      <c r="AL330">
        <v>83.408140879442101</v>
      </c>
      <c r="AM330">
        <v>88.028646800876402</v>
      </c>
      <c r="AN330">
        <v>0.999999949349483</v>
      </c>
    </row>
    <row r="331" spans="1:40" x14ac:dyDescent="0.25">
      <c r="A331" t="str">
        <f>"20190312164224246"</f>
        <v>20190312164224246</v>
      </c>
      <c r="B331" t="str">
        <f>"1552380144234031"</f>
        <v>1552380144234031</v>
      </c>
      <c r="C331" t="s">
        <v>40</v>
      </c>
      <c r="D331">
        <v>4.7589949999999996</v>
      </c>
      <c r="E331">
        <v>0.53243759999999996</v>
      </c>
      <c r="F331" t="s">
        <v>41</v>
      </c>
      <c r="G331">
        <v>-405.33789999999999</v>
      </c>
      <c r="H331">
        <v>0.98769580000000001</v>
      </c>
      <c r="I331">
        <v>367.71260000000001</v>
      </c>
      <c r="J331">
        <v>-405.96429999999998</v>
      </c>
      <c r="K331">
        <v>1.0590040000000001</v>
      </c>
      <c r="L331">
        <v>367.83</v>
      </c>
      <c r="M331">
        <v>0.99996220000000002</v>
      </c>
      <c r="N331">
        <v>0</v>
      </c>
      <c r="O331">
        <v>-5.7781630000000002E-3</v>
      </c>
      <c r="P331">
        <v>0.99313459999999998</v>
      </c>
      <c r="Q331">
        <v>0.1096959</v>
      </c>
      <c r="R331">
        <v>-4.0630340000000001E-2</v>
      </c>
      <c r="S331">
        <v>3.0290219999999999</v>
      </c>
      <c r="T331">
        <v>-0.2100892</v>
      </c>
      <c r="U331">
        <v>-0.35040280000000001</v>
      </c>
      <c r="V331">
        <v>3.4877720000000001E-2</v>
      </c>
      <c r="W331">
        <v>0.1161436</v>
      </c>
      <c r="X331">
        <v>0.9926199</v>
      </c>
      <c r="Y331">
        <v>0.1089291</v>
      </c>
      <c r="Z331">
        <v>-3.3616319999999998E-3</v>
      </c>
      <c r="AA331">
        <v>0.99404380000000003</v>
      </c>
      <c r="AB331">
        <v>42</v>
      </c>
      <c r="AC331">
        <v>0.62639999999998897</v>
      </c>
      <c r="AD331">
        <v>-7.1308200000000002E-2</v>
      </c>
      <c r="AE331">
        <v>-0.117399999999975</v>
      </c>
      <c r="AF331">
        <v>0.112371700703721</v>
      </c>
      <c r="AG331">
        <v>-7.1308200000000002E-2</v>
      </c>
      <c r="AH331">
        <v>0.61931449273293204</v>
      </c>
      <c r="AI331">
        <v>96.463522180610298</v>
      </c>
      <c r="AJ331">
        <v>79.715836065161099</v>
      </c>
      <c r="AK331">
        <v>0.63345299700556701</v>
      </c>
      <c r="AL331">
        <v>83.3304096589452</v>
      </c>
      <c r="AM331">
        <v>87.9876240944009</v>
      </c>
      <c r="AN331">
        <v>1.00000002852468</v>
      </c>
    </row>
    <row r="332" spans="1:40" x14ac:dyDescent="0.25">
      <c r="A332" t="str">
        <f>"20190312164224270"</f>
        <v>20190312164224270</v>
      </c>
      <c r="B332" t="str">
        <f>"1552380144264279"</f>
        <v>1552380144264279</v>
      </c>
      <c r="C332" t="s">
        <v>40</v>
      </c>
      <c r="D332">
        <v>4.4422860000000002</v>
      </c>
      <c r="E332">
        <v>0.53304169999999995</v>
      </c>
      <c r="F332" t="s">
        <v>41</v>
      </c>
      <c r="G332">
        <v>-404.95580000000001</v>
      </c>
      <c r="H332">
        <v>0.99308680000000005</v>
      </c>
      <c r="I332">
        <v>367.71129999999999</v>
      </c>
      <c r="J332">
        <v>-405.52</v>
      </c>
      <c r="K332">
        <v>1.0590120000000001</v>
      </c>
      <c r="L332">
        <v>367.82740000000001</v>
      </c>
      <c r="M332">
        <v>0.99996240000000003</v>
      </c>
      <c r="N332">
        <v>0</v>
      </c>
      <c r="O332">
        <v>-5.7118809999999898E-3</v>
      </c>
      <c r="P332">
        <v>0.99288200000000004</v>
      </c>
      <c r="Q332">
        <v>0.11166089999999999</v>
      </c>
      <c r="R332">
        <v>-4.1446089999999998E-2</v>
      </c>
      <c r="S332">
        <v>3.0280459999999998</v>
      </c>
      <c r="T332">
        <v>-0.1980884</v>
      </c>
      <c r="U332">
        <v>-0.35543819999999998</v>
      </c>
      <c r="V332">
        <v>3.5759859999999997E-2</v>
      </c>
      <c r="W332">
        <v>0.11815050000000001</v>
      </c>
      <c r="X332">
        <v>0.9923516</v>
      </c>
      <c r="Y332">
        <v>0.1106854</v>
      </c>
      <c r="Z332">
        <v>-3.2322420000000002E-3</v>
      </c>
      <c r="AA332">
        <v>0.99385020000000002</v>
      </c>
      <c r="AB332">
        <v>42</v>
      </c>
      <c r="AC332">
        <v>0.56419999999997095</v>
      </c>
      <c r="AD332">
        <v>-6.5925200000000003E-2</v>
      </c>
      <c r="AE332">
        <v>-0.116100000000017</v>
      </c>
      <c r="AF332">
        <v>0.111415998719759</v>
      </c>
      <c r="AG332">
        <v>-6.5925200000000003E-2</v>
      </c>
      <c r="AH332">
        <v>0.55755081520577099</v>
      </c>
      <c r="AI332">
        <v>96.613815705789406</v>
      </c>
      <c r="AJ332">
        <v>78.699372289084593</v>
      </c>
      <c r="AK332">
        <v>0.57238323551828596</v>
      </c>
      <c r="AL332">
        <v>83.214625346412802</v>
      </c>
      <c r="AM332">
        <v>87.936212448256398</v>
      </c>
      <c r="AN332">
        <v>1.00000000313001</v>
      </c>
    </row>
    <row r="333" spans="1:40" x14ac:dyDescent="0.25">
      <c r="A333" t="str">
        <f>"20190312164224293"</f>
        <v>20190312164224293</v>
      </c>
      <c r="B333" t="str">
        <f>"1552380144283799"</f>
        <v>1552380144283799</v>
      </c>
      <c r="C333" t="s">
        <v>40</v>
      </c>
      <c r="D333">
        <v>4.4774960000000004</v>
      </c>
      <c r="E333">
        <v>0.53341139999999998</v>
      </c>
      <c r="F333" t="s">
        <v>41</v>
      </c>
      <c r="G333">
        <v>-404.56920000000002</v>
      </c>
      <c r="H333">
        <v>1.00098</v>
      </c>
      <c r="I333">
        <v>367.71289999999999</v>
      </c>
      <c r="J333">
        <v>-405.07369999999997</v>
      </c>
      <c r="K333">
        <v>1.0590219999999999</v>
      </c>
      <c r="L333">
        <v>367.82499999999999</v>
      </c>
      <c r="M333">
        <v>0.99996260000000003</v>
      </c>
      <c r="N333">
        <v>0</v>
      </c>
      <c r="O333">
        <v>-5.6454790000000001E-3</v>
      </c>
      <c r="P333">
        <v>0.99274090000000004</v>
      </c>
      <c r="Q333">
        <v>0.112695699999999</v>
      </c>
      <c r="R333">
        <v>-4.2017260000000001E-2</v>
      </c>
      <c r="S333">
        <v>3.027069</v>
      </c>
      <c r="T333">
        <v>-0.18497710000000001</v>
      </c>
      <c r="U333">
        <v>-0.36389159999999998</v>
      </c>
      <c r="V333">
        <v>3.6396850000000001E-2</v>
      </c>
      <c r="W333">
        <v>0.1192262</v>
      </c>
      <c r="X333">
        <v>0.99219979999999997</v>
      </c>
      <c r="Y333">
        <v>0.1135477</v>
      </c>
      <c r="Z333">
        <v>-3.11028E-3</v>
      </c>
      <c r="AA333">
        <v>0.99352770000000001</v>
      </c>
      <c r="AB333">
        <v>42</v>
      </c>
      <c r="AC333">
        <v>0.50449999999994999</v>
      </c>
      <c r="AD333">
        <v>-5.8041999999999899E-2</v>
      </c>
      <c r="AE333">
        <v>-0.11209999999999801</v>
      </c>
      <c r="AF333">
        <v>0.107889157955344</v>
      </c>
      <c r="AG333">
        <v>-5.8041999999999899E-2</v>
      </c>
      <c r="AH333">
        <v>0.498832848162927</v>
      </c>
      <c r="AI333">
        <v>96.488146630732103</v>
      </c>
      <c r="AJ333">
        <v>77.795865577591499</v>
      </c>
      <c r="AK333">
        <v>0.51365665047252196</v>
      </c>
      <c r="AL333">
        <v>83.152553709105703</v>
      </c>
      <c r="AM333">
        <v>87.899161788551098</v>
      </c>
      <c r="AN333">
        <v>1.0000000302881999</v>
      </c>
    </row>
    <row r="334" spans="1:40" x14ac:dyDescent="0.25">
      <c r="A334" t="str">
        <f>"20190312164224316"</f>
        <v>20190312164224316</v>
      </c>
      <c r="B334" t="str">
        <f>"1552380144303994"</f>
        <v>1552380144303994</v>
      </c>
      <c r="C334" t="s">
        <v>40</v>
      </c>
      <c r="D334">
        <v>4.4298729999999997</v>
      </c>
      <c r="E334">
        <v>0.53374650000000001</v>
      </c>
      <c r="F334" t="s">
        <v>42</v>
      </c>
      <c r="G334">
        <v>-387.22309999999999</v>
      </c>
      <c r="H334" s="1">
        <v>-1.9866530000000002E-6</v>
      </c>
      <c r="I334">
        <v>365.64890000000003</v>
      </c>
      <c r="J334">
        <v>-404.63929999999999</v>
      </c>
      <c r="K334">
        <v>1.059024</v>
      </c>
      <c r="L334">
        <v>367.82249999999999</v>
      </c>
      <c r="M334">
        <v>0.99996260000000003</v>
      </c>
      <c r="N334">
        <v>0</v>
      </c>
      <c r="O334">
        <v>-5.5830130000000004E-3</v>
      </c>
      <c r="P334">
        <v>0.99257569999999995</v>
      </c>
      <c r="Q334">
        <v>0.1139898</v>
      </c>
      <c r="R334">
        <v>-4.242373E-2</v>
      </c>
      <c r="S334">
        <v>3.0267029999999999</v>
      </c>
      <c r="T334">
        <v>-0.179565</v>
      </c>
      <c r="U334">
        <v>-0.36895749999999999</v>
      </c>
      <c r="V334">
        <v>3.68659E-2</v>
      </c>
      <c r="W334">
        <v>0.1205579</v>
      </c>
      <c r="X334">
        <v>0.9920215</v>
      </c>
      <c r="Y334">
        <v>0.1152711</v>
      </c>
      <c r="Z334">
        <v>-3.0740770000000001E-3</v>
      </c>
      <c r="AA334">
        <v>0.99332929999999997</v>
      </c>
      <c r="AB334">
        <v>43</v>
      </c>
      <c r="AC334">
        <v>17.4162</v>
      </c>
      <c r="AD334">
        <v>-1.0590259866530001</v>
      </c>
      <c r="AE334">
        <v>-2.17359999999996</v>
      </c>
      <c r="AF334">
        <v>2.0687971020360298</v>
      </c>
      <c r="AG334">
        <v>-1.0590259866530001</v>
      </c>
      <c r="AH334">
        <v>17.364842540643799</v>
      </c>
      <c r="AI334">
        <v>93.465515909146106</v>
      </c>
      <c r="AJ334">
        <v>83.205969852551405</v>
      </c>
      <c r="AK334">
        <v>17.5196807605376</v>
      </c>
      <c r="AL334">
        <v>83.075698198762296</v>
      </c>
      <c r="AM334">
        <v>87.871730695338897</v>
      </c>
      <c r="AN334">
        <v>0.99999997914873395</v>
      </c>
    </row>
    <row r="335" spans="1:40" x14ac:dyDescent="0.25">
      <c r="A335" t="str">
        <f>"20190312164224337"</f>
        <v>20190312164224337</v>
      </c>
      <c r="B335" t="str">
        <f>"1552380144324488"</f>
        <v>1552380144324488</v>
      </c>
      <c r="C335" t="s">
        <v>40</v>
      </c>
      <c r="D335">
        <v>4.8600909999999997</v>
      </c>
      <c r="E335">
        <v>0.53407559999999998</v>
      </c>
      <c r="F335" t="s">
        <v>42</v>
      </c>
      <c r="G335">
        <v>-386.19889999999998</v>
      </c>
      <c r="H335" s="1">
        <v>-2.361195E-6</v>
      </c>
      <c r="I335">
        <v>365.55110000000002</v>
      </c>
      <c r="J335">
        <v>-404.24740000000003</v>
      </c>
      <c r="K335">
        <v>1.059032</v>
      </c>
      <c r="L335">
        <v>367.82040000000001</v>
      </c>
      <c r="M335">
        <v>0.99996269999999998</v>
      </c>
      <c r="N335">
        <v>0</v>
      </c>
      <c r="O335">
        <v>-5.5337859999999997E-3</v>
      </c>
      <c r="P335">
        <v>0.99240539999999999</v>
      </c>
      <c r="Q335">
        <v>0.1153377</v>
      </c>
      <c r="R335">
        <v>-4.2767390000000002E-2</v>
      </c>
      <c r="S335">
        <v>3.026459</v>
      </c>
      <c r="T335">
        <v>-0.1738083</v>
      </c>
      <c r="U335">
        <v>-0.3727722</v>
      </c>
      <c r="V335">
        <v>3.7259939999999998E-2</v>
      </c>
      <c r="W335">
        <v>0.12193710000000001</v>
      </c>
      <c r="X335">
        <v>0.9918382</v>
      </c>
      <c r="Y335">
        <v>0.1165728</v>
      </c>
      <c r="Z335">
        <v>-3.0157220000000002E-3</v>
      </c>
      <c r="AA335">
        <v>0.99317759999999999</v>
      </c>
      <c r="AB335">
        <v>43</v>
      </c>
      <c r="AC335">
        <v>18.048500000000001</v>
      </c>
      <c r="AD335">
        <v>-1.0590343611949999</v>
      </c>
      <c r="AE335">
        <v>-2.2692999999999799</v>
      </c>
      <c r="AF335">
        <v>2.1620583873423902</v>
      </c>
      <c r="AG335">
        <v>-1.0590343611949999</v>
      </c>
      <c r="AH335">
        <v>17.999772877877898</v>
      </c>
      <c r="AI335">
        <v>93.343195783798393</v>
      </c>
      <c r="AJ335">
        <v>83.150682031564202</v>
      </c>
      <c r="AK335">
        <v>18.1600626073717</v>
      </c>
      <c r="AL335">
        <v>82.996088572416895</v>
      </c>
      <c r="AM335">
        <v>87.848606863097004</v>
      </c>
      <c r="AN335">
        <v>0.99999998723222605</v>
      </c>
    </row>
    <row r="336" spans="1:40" x14ac:dyDescent="0.25">
      <c r="A336" t="str">
        <f>"20190312164224358"</f>
        <v>20190312164224358</v>
      </c>
      <c r="B336" t="str">
        <f>"1552380144354744"</f>
        <v>1552380144354744</v>
      </c>
      <c r="C336" t="s">
        <v>40</v>
      </c>
      <c r="D336">
        <v>4.4282769999999996</v>
      </c>
      <c r="E336">
        <v>0.53438779999999997</v>
      </c>
      <c r="F336" t="s">
        <v>42</v>
      </c>
      <c r="G336">
        <v>-385.3372</v>
      </c>
      <c r="H336" s="1">
        <v>-2.7182359999999998E-6</v>
      </c>
      <c r="I336">
        <v>365.46929999999998</v>
      </c>
      <c r="J336">
        <v>-403.83760000000001</v>
      </c>
      <c r="K336">
        <v>1.0590329999999999</v>
      </c>
      <c r="L336">
        <v>367.81810000000002</v>
      </c>
      <c r="M336">
        <v>0.99996269999999998</v>
      </c>
      <c r="N336">
        <v>0</v>
      </c>
      <c r="O336">
        <v>-5.492345E-3</v>
      </c>
      <c r="P336">
        <v>0.99224159999999995</v>
      </c>
      <c r="Q336">
        <v>0.1167836</v>
      </c>
      <c r="R336">
        <v>-4.264598E-2</v>
      </c>
      <c r="S336">
        <v>3.0264280000000001</v>
      </c>
      <c r="T336">
        <v>-0.16948929999999901</v>
      </c>
      <c r="U336">
        <v>-0.37625120000000001</v>
      </c>
      <c r="V336">
        <v>3.7181939999999997E-2</v>
      </c>
      <c r="W336">
        <v>0.1234165</v>
      </c>
      <c r="X336">
        <v>0.99165820000000005</v>
      </c>
      <c r="Y336">
        <v>0.11774660000000001</v>
      </c>
      <c r="Z336">
        <v>-2.9757490000000002E-3</v>
      </c>
      <c r="AA336">
        <v>0.99303920000000001</v>
      </c>
      <c r="AB336">
        <v>43</v>
      </c>
      <c r="AC336">
        <v>18.500399999999999</v>
      </c>
      <c r="AD336">
        <v>-1.059035718236</v>
      </c>
      <c r="AE336">
        <v>-2.3488000000000402</v>
      </c>
      <c r="AF336">
        <v>2.23992821845528</v>
      </c>
      <c r="AG336">
        <v>-1.059035718236</v>
      </c>
      <c r="AH336">
        <v>18.453511158680001</v>
      </c>
      <c r="AI336">
        <v>93.260686098131401</v>
      </c>
      <c r="AJ336">
        <v>83.079168045623405</v>
      </c>
      <c r="AK336">
        <v>18.619100653894598</v>
      </c>
      <c r="AL336">
        <v>82.9106805685729</v>
      </c>
      <c r="AM336">
        <v>87.852717046260693</v>
      </c>
      <c r="AN336">
        <v>1.0000000573808201</v>
      </c>
    </row>
    <row r="337" spans="1:40" x14ac:dyDescent="0.25">
      <c r="A337" t="str">
        <f>"20190312164224381"</f>
        <v>20190312164224381</v>
      </c>
      <c r="B337" t="str">
        <f>"1552380144374264"</f>
        <v>1552380144374264</v>
      </c>
      <c r="C337" t="s">
        <v>40</v>
      </c>
      <c r="D337">
        <v>4.4144839999999999</v>
      </c>
      <c r="E337">
        <v>0.53454269999999904</v>
      </c>
      <c r="F337" t="s">
        <v>42</v>
      </c>
      <c r="G337">
        <v>-384.47239999999999</v>
      </c>
      <c r="H337" s="1">
        <v>-3.101743E-6</v>
      </c>
      <c r="I337">
        <v>365.39890000000003</v>
      </c>
      <c r="J337">
        <v>-403.39370000000002</v>
      </c>
      <c r="K337">
        <v>1.0590269999999999</v>
      </c>
      <c r="L337">
        <v>367.81569999999999</v>
      </c>
      <c r="M337">
        <v>0.99996249999999998</v>
      </c>
      <c r="N337">
        <v>0</v>
      </c>
      <c r="O337">
        <v>-5.4577430000000001E-3</v>
      </c>
      <c r="P337">
        <v>0.9920679</v>
      </c>
      <c r="Q337">
        <v>0.11830930000000001</v>
      </c>
      <c r="R337">
        <v>-4.2479210000000003E-2</v>
      </c>
      <c r="S337">
        <v>3.0267330000000001</v>
      </c>
      <c r="T337">
        <v>-0.16552410000000001</v>
      </c>
      <c r="U337">
        <v>-0.37811280000000003</v>
      </c>
      <c r="V337">
        <v>3.7053210000000003E-2</v>
      </c>
      <c r="W337">
        <v>0.1249807</v>
      </c>
      <c r="X337">
        <v>0.99146710000000005</v>
      </c>
      <c r="Y337">
        <v>0.1183771</v>
      </c>
      <c r="Z337">
        <v>-2.9248820000000002E-3</v>
      </c>
      <c r="AA337">
        <v>0.99296439999999997</v>
      </c>
      <c r="AB337">
        <v>43</v>
      </c>
      <c r="AC337">
        <v>18.921299999999999</v>
      </c>
      <c r="AD337">
        <v>-1.0590301017429999</v>
      </c>
      <c r="AE337">
        <v>-2.4167999999999599</v>
      </c>
      <c r="AF337">
        <v>2.3063849171561999</v>
      </c>
      <c r="AG337">
        <v>-1.0590301017429999</v>
      </c>
      <c r="AH337">
        <v>18.8760256319792</v>
      </c>
      <c r="AI337">
        <v>93.187528583795</v>
      </c>
      <c r="AJ337">
        <v>83.033791543173507</v>
      </c>
      <c r="AK337">
        <v>19.045873563625701</v>
      </c>
      <c r="AL337">
        <v>82.820359222581402</v>
      </c>
      <c r="AM337">
        <v>87.859732308155301</v>
      </c>
      <c r="AN337">
        <v>1.0000000630631001</v>
      </c>
    </row>
    <row r="338" spans="1:40" x14ac:dyDescent="0.25">
      <c r="A338" t="str">
        <f>"20190312164224403"</f>
        <v>20190312164224403</v>
      </c>
      <c r="B338" t="str">
        <f>"1552380144394346"</f>
        <v>1552380144394346</v>
      </c>
      <c r="C338" t="s">
        <v>40</v>
      </c>
      <c r="D338">
        <v>4.4211960000000001</v>
      </c>
      <c r="E338">
        <v>0.53469860000000002</v>
      </c>
      <c r="F338" t="s">
        <v>42</v>
      </c>
      <c r="G338">
        <v>-383.53219999999999</v>
      </c>
      <c r="H338" s="1">
        <v>-3.517807E-6</v>
      </c>
      <c r="I338">
        <v>365.32709999999997</v>
      </c>
      <c r="J338">
        <v>-402.96890000000002</v>
      </c>
      <c r="K338">
        <v>1.059029</v>
      </c>
      <c r="L338">
        <v>367.8134</v>
      </c>
      <c r="M338">
        <v>0.99996249999999998</v>
      </c>
      <c r="N338">
        <v>0</v>
      </c>
      <c r="O338">
        <v>-5.4355319999999999E-3</v>
      </c>
      <c r="P338">
        <v>0.99174410000000002</v>
      </c>
      <c r="Q338">
        <v>0.1209456</v>
      </c>
      <c r="R338">
        <v>-4.2618789999999997E-2</v>
      </c>
      <c r="S338">
        <v>3.0269780000000002</v>
      </c>
      <c r="T338">
        <v>-0.1614003</v>
      </c>
      <c r="U338">
        <v>-0.37927250000000001</v>
      </c>
      <c r="V338">
        <v>3.7218979999999999E-2</v>
      </c>
      <c r="W338">
        <v>0.12765370000000001</v>
      </c>
      <c r="X338">
        <v>0.99112020000000001</v>
      </c>
      <c r="Y338">
        <v>0.1187715</v>
      </c>
      <c r="Z338">
        <v>-2.8634649999999999E-3</v>
      </c>
      <c r="AA338">
        <v>0.99291750000000001</v>
      </c>
      <c r="AB338">
        <v>43</v>
      </c>
      <c r="AC338">
        <v>19.436699999999998</v>
      </c>
      <c r="AD338">
        <v>-1.0590325178069999</v>
      </c>
      <c r="AE338">
        <v>-2.4863000000000199</v>
      </c>
      <c r="AF338">
        <v>2.3736786573880302</v>
      </c>
      <c r="AG338">
        <v>-1.0590325178069999</v>
      </c>
      <c r="AH338">
        <v>19.393280648547901</v>
      </c>
      <c r="AI338">
        <v>93.102607949645105</v>
      </c>
      <c r="AJ338">
        <v>83.021878906646705</v>
      </c>
      <c r="AK338">
        <v>19.5666868568916</v>
      </c>
      <c r="AL338">
        <v>82.665970325491799</v>
      </c>
      <c r="AM338">
        <v>87.849414312599507</v>
      </c>
      <c r="AN338">
        <v>0.99999998522198497</v>
      </c>
    </row>
    <row r="339" spans="1:40" x14ac:dyDescent="0.25">
      <c r="A339" t="str">
        <f>"20190312164224436"</f>
        <v>20190312164224436</v>
      </c>
      <c r="B339" t="str">
        <f>"1552380144424606"</f>
        <v>1552380144424606</v>
      </c>
      <c r="C339" t="s">
        <v>40</v>
      </c>
      <c r="D339">
        <v>4.415381</v>
      </c>
      <c r="E339">
        <v>0.53504090000000004</v>
      </c>
      <c r="F339" t="s">
        <v>42</v>
      </c>
      <c r="G339">
        <v>-382.1703</v>
      </c>
      <c r="H339" s="1">
        <v>-4.125243E-6</v>
      </c>
      <c r="I339">
        <v>365.19639999999998</v>
      </c>
      <c r="J339">
        <v>-402.3304</v>
      </c>
      <c r="K339">
        <v>1.059045</v>
      </c>
      <c r="L339">
        <v>367.81</v>
      </c>
      <c r="M339">
        <v>0.99996209999999996</v>
      </c>
      <c r="N339">
        <v>0</v>
      </c>
      <c r="O339">
        <v>-5.4140560000000004E-3</v>
      </c>
      <c r="P339">
        <v>0.99153080000000005</v>
      </c>
      <c r="Q339">
        <v>0.122664</v>
      </c>
      <c r="R339">
        <v>-4.2665469999999997E-2</v>
      </c>
      <c r="S339">
        <v>3.0274049999999999</v>
      </c>
      <c r="T339">
        <v>-0.15415039999999999</v>
      </c>
      <c r="U339">
        <v>-0.38092039999999999</v>
      </c>
      <c r="V339">
        <v>3.7291270000000001E-2</v>
      </c>
      <c r="W339">
        <v>0.12944539999999999</v>
      </c>
      <c r="X339">
        <v>0.99088509999999996</v>
      </c>
      <c r="Y339">
        <v>0.1193208</v>
      </c>
      <c r="Z339">
        <v>-2.749544E-3</v>
      </c>
      <c r="AA339">
        <v>0.99285190000000001</v>
      </c>
      <c r="AB339">
        <v>43</v>
      </c>
      <c r="AC339">
        <v>20.1601</v>
      </c>
      <c r="AD339">
        <v>-1.0590491252429901</v>
      </c>
      <c r="AE339">
        <v>-2.6136000000000101</v>
      </c>
      <c r="AF339">
        <v>2.4976326949331602</v>
      </c>
      <c r="AG339">
        <v>-1.0590491252429901</v>
      </c>
      <c r="AH339">
        <v>20.119351300945901</v>
      </c>
      <c r="AI339">
        <v>92.990262299046293</v>
      </c>
      <c r="AJ339">
        <v>82.923459014915593</v>
      </c>
      <c r="AK339">
        <v>20.301429774756102</v>
      </c>
      <c r="AL339">
        <v>82.562454829649894</v>
      </c>
      <c r="AM339">
        <v>87.844730426496696</v>
      </c>
      <c r="AN339">
        <v>1.0000000159006901</v>
      </c>
    </row>
    <row r="340" spans="1:40" x14ac:dyDescent="0.25">
      <c r="A340" t="str">
        <f>"20190312164224458"</f>
        <v>20190312164224458</v>
      </c>
      <c r="B340" t="str">
        <f>"1552380144453883"</f>
        <v>1552380144453883</v>
      </c>
      <c r="C340" t="s">
        <v>40</v>
      </c>
      <c r="D340">
        <v>4.4216829999999998</v>
      </c>
      <c r="E340">
        <v>0.53542259999999997</v>
      </c>
      <c r="F340" t="s">
        <v>42</v>
      </c>
      <c r="G340">
        <v>-381.04430000000002</v>
      </c>
      <c r="H340" s="1">
        <v>-4.6229469999999996E-6</v>
      </c>
      <c r="I340">
        <v>365.1139</v>
      </c>
      <c r="J340">
        <v>-401.90449999999998</v>
      </c>
      <c r="K340">
        <v>1.059056</v>
      </c>
      <c r="L340">
        <v>367.80759999999998</v>
      </c>
      <c r="M340">
        <v>0.99996160000000001</v>
      </c>
      <c r="N340">
        <v>0</v>
      </c>
      <c r="O340">
        <v>-5.4120000000000001E-3</v>
      </c>
      <c r="P340">
        <v>0.99151060000000002</v>
      </c>
      <c r="Q340">
        <v>0.122741</v>
      </c>
      <c r="R340">
        <v>-4.2919539999999999E-2</v>
      </c>
      <c r="S340">
        <v>3.027771</v>
      </c>
      <c r="T340">
        <v>-0.1506402</v>
      </c>
      <c r="U340">
        <v>-0.38348389999999999</v>
      </c>
      <c r="V340">
        <v>3.7549730000000003E-2</v>
      </c>
      <c r="W340">
        <v>0.12959909999999999</v>
      </c>
      <c r="X340">
        <v>0.99085520000000005</v>
      </c>
      <c r="Y340">
        <v>0.120141</v>
      </c>
      <c r="Z340">
        <v>-2.70696E-3</v>
      </c>
      <c r="AA340">
        <v>0.99275310000000005</v>
      </c>
      <c r="AB340">
        <v>43</v>
      </c>
      <c r="AC340">
        <v>20.860199999999899</v>
      </c>
      <c r="AD340">
        <v>-1.0590606229469901</v>
      </c>
      <c r="AE340">
        <v>-2.69369999999997</v>
      </c>
      <c r="AF340">
        <v>2.57423610494051</v>
      </c>
      <c r="AG340">
        <v>-1.0590606229469901</v>
      </c>
      <c r="AH340">
        <v>20.821684739018099</v>
      </c>
      <c r="AI340">
        <v>92.889782333114894</v>
      </c>
      <c r="AJ340">
        <v>82.952145413624507</v>
      </c>
      <c r="AK340">
        <v>21.006924008481501</v>
      </c>
      <c r="AL340">
        <v>82.553573300517002</v>
      </c>
      <c r="AM340">
        <v>87.829741396877793</v>
      </c>
      <c r="AN340">
        <v>0.99999996815546</v>
      </c>
    </row>
    <row r="341" spans="1:40" x14ac:dyDescent="0.25">
      <c r="A341" t="str">
        <f>"20190312164224481"</f>
        <v>20190312164224481</v>
      </c>
      <c r="B341" t="str">
        <f>"1552380144474394"</f>
        <v>1552380144474394</v>
      </c>
      <c r="C341" t="s">
        <v>40</v>
      </c>
      <c r="D341">
        <v>4.4300280000000001</v>
      </c>
      <c r="E341">
        <v>0.53556800000000004</v>
      </c>
      <c r="F341" t="s">
        <v>42</v>
      </c>
      <c r="G341">
        <v>-380.98340000000002</v>
      </c>
      <c r="H341" s="1">
        <v>-4.6468530000000001E-6</v>
      </c>
      <c r="I341">
        <v>365.12630000000001</v>
      </c>
      <c r="J341">
        <v>-401.46730000000002</v>
      </c>
      <c r="K341">
        <v>1.0590740000000001</v>
      </c>
      <c r="L341">
        <v>367.80520000000001</v>
      </c>
      <c r="M341">
        <v>0.99996039999999997</v>
      </c>
      <c r="N341">
        <v>0</v>
      </c>
      <c r="O341">
        <v>-5.4313470000000004E-3</v>
      </c>
      <c r="P341">
        <v>0.99156250000000001</v>
      </c>
      <c r="Q341">
        <v>0.1223924</v>
      </c>
      <c r="R341">
        <v>-4.271163E-2</v>
      </c>
      <c r="S341">
        <v>3.027863</v>
      </c>
      <c r="T341">
        <v>-0.15327489999999999</v>
      </c>
      <c r="U341">
        <v>-0.3880615</v>
      </c>
      <c r="V341">
        <v>3.7326539999999998E-2</v>
      </c>
      <c r="W341">
        <v>0.129396699999999</v>
      </c>
      <c r="X341">
        <v>0.9908901</v>
      </c>
      <c r="Y341">
        <v>0.1215881</v>
      </c>
      <c r="Z341">
        <v>-2.789382E-3</v>
      </c>
      <c r="AA341">
        <v>0.99257669999999998</v>
      </c>
      <c r="AB341">
        <v>43</v>
      </c>
      <c r="AC341">
        <v>20.483899999999998</v>
      </c>
      <c r="AD341">
        <v>-1.059078646853</v>
      </c>
      <c r="AE341">
        <v>-2.6788999999999898</v>
      </c>
      <c r="AF341">
        <v>2.5608719507825501</v>
      </c>
      <c r="AG341">
        <v>-1.059078646853</v>
      </c>
      <c r="AH341">
        <v>20.4444153038569</v>
      </c>
      <c r="AI341">
        <v>92.942479814804798</v>
      </c>
      <c r="AJ341">
        <v>82.860304012798906</v>
      </c>
      <c r="AK341">
        <v>20.6313797368257</v>
      </c>
      <c r="AL341">
        <v>82.565268557461707</v>
      </c>
      <c r="AM341">
        <v>87.842704777878097</v>
      </c>
      <c r="AN341">
        <v>0.99999998341863505</v>
      </c>
    </row>
    <row r="342" spans="1:40" x14ac:dyDescent="0.25">
      <c r="A342" t="str">
        <f>"20190312164224505"</f>
        <v>20190312164224505</v>
      </c>
      <c r="B342" t="str">
        <f>"1552380144493900"</f>
        <v>1552380144493900</v>
      </c>
      <c r="C342" t="s">
        <v>40</v>
      </c>
      <c r="D342">
        <v>4.7977600000000002</v>
      </c>
      <c r="E342">
        <v>0.53577759999999996</v>
      </c>
      <c r="F342" t="s">
        <v>42</v>
      </c>
      <c r="G342">
        <v>-380.86630000000002</v>
      </c>
      <c r="H342" s="1">
        <v>-4.6914319999999997E-6</v>
      </c>
      <c r="I342">
        <v>365.15820000000002</v>
      </c>
      <c r="J342">
        <v>-401.00749999999999</v>
      </c>
      <c r="K342">
        <v>1.0591469999999901</v>
      </c>
      <c r="L342">
        <v>367.80270000000002</v>
      </c>
      <c r="M342">
        <v>0.99995690000000004</v>
      </c>
      <c r="N342">
        <v>0</v>
      </c>
      <c r="O342">
        <v>-5.4803050000000004E-3</v>
      </c>
      <c r="P342">
        <v>0.99165029999999998</v>
      </c>
      <c r="Q342">
        <v>0.1216951</v>
      </c>
      <c r="R342">
        <v>-4.266462E-2</v>
      </c>
      <c r="S342">
        <v>3.0280459999999998</v>
      </c>
      <c r="T342">
        <v>-0.15566849999999999</v>
      </c>
      <c r="U342">
        <v>-0.38906859999999999</v>
      </c>
      <c r="V342">
        <v>3.7237109999999997E-2</v>
      </c>
      <c r="W342">
        <v>0.12912390000000001</v>
      </c>
      <c r="X342">
        <v>0.99092910000000001</v>
      </c>
      <c r="Y342">
        <v>0.1218518</v>
      </c>
      <c r="Z342">
        <v>-2.8368970000000001E-3</v>
      </c>
      <c r="AA342">
        <v>0.99254419999999999</v>
      </c>
      <c r="AB342">
        <v>43</v>
      </c>
      <c r="AC342">
        <v>20.141199999999898</v>
      </c>
      <c r="AD342">
        <v>-1.0591516914319901</v>
      </c>
      <c r="AE342">
        <v>-2.6444999999999901</v>
      </c>
      <c r="AF342">
        <v>2.5272071608717099</v>
      </c>
      <c r="AG342">
        <v>-1.0591516914319901</v>
      </c>
      <c r="AH342">
        <v>20.100747566023198</v>
      </c>
      <c r="AI342">
        <v>92.992731217375393</v>
      </c>
      <c r="AJ342">
        <v>82.833972803606997</v>
      </c>
      <c r="AK342">
        <v>20.286661407250101</v>
      </c>
      <c r="AL342">
        <v>82.581031449728897</v>
      </c>
      <c r="AM342">
        <v>87.847953159300303</v>
      </c>
      <c r="AN342">
        <v>1.0000000325695799</v>
      </c>
    </row>
    <row r="343" spans="1:40" x14ac:dyDescent="0.25">
      <c r="A343" t="str">
        <f>"20190312164224527"</f>
        <v>20190312164224527</v>
      </c>
      <c r="B343" t="str">
        <f>"1552380144514395"</f>
        <v>1552380144514395</v>
      </c>
      <c r="C343" t="s">
        <v>40</v>
      </c>
      <c r="D343">
        <v>4.8539089999999998</v>
      </c>
      <c r="E343">
        <v>0.53596219999999895</v>
      </c>
      <c r="F343" t="s">
        <v>42</v>
      </c>
      <c r="G343">
        <v>-380.98770000000002</v>
      </c>
      <c r="H343" s="1">
        <v>-4.6279509999999997E-6</v>
      </c>
      <c r="I343">
        <v>365.22250000000003</v>
      </c>
      <c r="J343">
        <v>-400.584</v>
      </c>
      <c r="K343">
        <v>1.059606</v>
      </c>
      <c r="L343">
        <v>367.80040000000002</v>
      </c>
      <c r="M343">
        <v>0.9999439</v>
      </c>
      <c r="N343">
        <v>0</v>
      </c>
      <c r="O343">
        <v>-5.5277669999999899E-3</v>
      </c>
      <c r="P343">
        <v>0.99187959999999997</v>
      </c>
      <c r="Q343">
        <v>0.11992750000000001</v>
      </c>
      <c r="R343">
        <v>-4.2334469999999999E-2</v>
      </c>
      <c r="S343">
        <v>3.0281069999999999</v>
      </c>
      <c r="T343">
        <v>-0.1602015</v>
      </c>
      <c r="U343">
        <v>-0.39025880000000002</v>
      </c>
      <c r="V343">
        <v>3.6862489999999998E-2</v>
      </c>
      <c r="W343">
        <v>0.12889690000000001</v>
      </c>
      <c r="X343">
        <v>0.99097259999999998</v>
      </c>
      <c r="Y343">
        <v>0.1221766</v>
      </c>
      <c r="Z343">
        <v>-2.9253109999999999E-3</v>
      </c>
      <c r="AA343">
        <v>0.9925041</v>
      </c>
      <c r="AB343">
        <v>43</v>
      </c>
      <c r="AC343">
        <v>19.5962999999999</v>
      </c>
      <c r="AD343">
        <v>-1.059610627951</v>
      </c>
      <c r="AE343">
        <v>-2.5779000000000001</v>
      </c>
      <c r="AF343">
        <v>2.4624552095935499</v>
      </c>
      <c r="AG343">
        <v>-1.059610627951</v>
      </c>
      <c r="AH343">
        <v>19.554052030578099</v>
      </c>
      <c r="AI343">
        <v>93.077496886067294</v>
      </c>
      <c r="AJ343">
        <v>82.822485607230405</v>
      </c>
      <c r="AK343">
        <v>19.736955468275099</v>
      </c>
      <c r="AL343">
        <v>82.594146760038299</v>
      </c>
      <c r="AM343">
        <v>87.869676978660095</v>
      </c>
      <c r="AN343">
        <v>0.99999997397468399</v>
      </c>
    </row>
    <row r="344" spans="1:40" x14ac:dyDescent="0.25">
      <c r="A344" t="str">
        <f>"20190312164224548"</f>
        <v>20190312164224548</v>
      </c>
      <c r="B344" t="str">
        <f>"1552380144544651"</f>
        <v>1552380144544651</v>
      </c>
      <c r="C344" t="s">
        <v>40</v>
      </c>
      <c r="D344">
        <v>4.7606900000000003</v>
      </c>
      <c r="E344">
        <v>0.53626799999999997</v>
      </c>
      <c r="F344" t="s">
        <v>42</v>
      </c>
      <c r="G344">
        <v>-381.42439999999999</v>
      </c>
      <c r="H344" s="1">
        <v>-4.4213060000000001E-6</v>
      </c>
      <c r="I344">
        <v>365.3313</v>
      </c>
      <c r="J344">
        <v>-400.17829999999998</v>
      </c>
      <c r="K344">
        <v>1.060352</v>
      </c>
      <c r="L344">
        <v>367.798</v>
      </c>
      <c r="M344">
        <v>0.99993010000000004</v>
      </c>
      <c r="N344">
        <v>0</v>
      </c>
      <c r="O344">
        <v>-5.5953959999999999E-3</v>
      </c>
      <c r="P344">
        <v>0.99213269999999998</v>
      </c>
      <c r="Q344">
        <v>0.117967</v>
      </c>
      <c r="R344">
        <v>-4.1915889999999997E-2</v>
      </c>
      <c r="S344">
        <v>3.0281980000000002</v>
      </c>
      <c r="T344">
        <v>-0.16747219999999999</v>
      </c>
      <c r="U344">
        <v>-0.39022829999999997</v>
      </c>
      <c r="V344">
        <v>3.6380059999999999E-2</v>
      </c>
      <c r="W344">
        <v>0.12830539999999999</v>
      </c>
      <c r="X344">
        <v>0.99106719999999904</v>
      </c>
      <c r="Y344">
        <v>0.1220811</v>
      </c>
      <c r="Z344">
        <v>-3.0514370000000002E-3</v>
      </c>
      <c r="AA344">
        <v>0.99251540000000005</v>
      </c>
      <c r="AB344">
        <v>43</v>
      </c>
      <c r="AC344">
        <v>18.753899999999899</v>
      </c>
      <c r="AD344">
        <v>-1.0603564213059999</v>
      </c>
      <c r="AE344">
        <v>-2.4666999999999999</v>
      </c>
      <c r="AF344">
        <v>2.3543218007987101</v>
      </c>
      <c r="AG344">
        <v>-1.0603564213059999</v>
      </c>
      <c r="AH344">
        <v>18.708617987683699</v>
      </c>
      <c r="AI344">
        <v>93.218576364721002</v>
      </c>
      <c r="AJ344">
        <v>82.827512170270893</v>
      </c>
      <c r="AK344">
        <v>18.885962350142599</v>
      </c>
      <c r="AL344">
        <v>82.628321100611302</v>
      </c>
      <c r="AM344">
        <v>87.897732447919395</v>
      </c>
      <c r="AN344">
        <v>0.99999998967530102</v>
      </c>
    </row>
    <row r="345" spans="1:40" x14ac:dyDescent="0.25">
      <c r="A345" t="str">
        <f>"20190312164224571"</f>
        <v>20190312164224571</v>
      </c>
      <c r="B345" t="str">
        <f>"1552380144564172"</f>
        <v>1552380144564172</v>
      </c>
      <c r="C345" t="s">
        <v>40</v>
      </c>
      <c r="D345">
        <v>4.4780309999999997</v>
      </c>
      <c r="E345">
        <v>0.5364293</v>
      </c>
      <c r="F345" t="s">
        <v>42</v>
      </c>
      <c r="G345">
        <v>-381.9221</v>
      </c>
      <c r="H345" s="1">
        <v>-4.188791E-6</v>
      </c>
      <c r="I345">
        <v>365.4384</v>
      </c>
      <c r="J345">
        <v>-399.74650000000003</v>
      </c>
      <c r="K345">
        <v>1.061137</v>
      </c>
      <c r="L345">
        <v>367.79559999999998</v>
      </c>
      <c r="M345">
        <v>0.99993100000000001</v>
      </c>
      <c r="N345">
        <v>0</v>
      </c>
      <c r="O345">
        <v>-5.6999399999999997E-3</v>
      </c>
      <c r="P345">
        <v>0.99213530000000005</v>
      </c>
      <c r="Q345">
        <v>0.11810859999999999</v>
      </c>
      <c r="R345">
        <v>-4.1450569999999999E-2</v>
      </c>
      <c r="S345">
        <v>3.028168</v>
      </c>
      <c r="T345">
        <v>-0.1758816</v>
      </c>
      <c r="U345">
        <v>-0.39138790000000001</v>
      </c>
      <c r="V345">
        <v>3.5819410000000003E-2</v>
      </c>
      <c r="W345">
        <v>0.12829019999999999</v>
      </c>
      <c r="X345">
        <v>0.99108960000000002</v>
      </c>
      <c r="Y345">
        <v>0.12233430000000001</v>
      </c>
      <c r="Z345">
        <v>-3.205641E-3</v>
      </c>
      <c r="AA345">
        <v>0.99248380000000003</v>
      </c>
      <c r="AB345">
        <v>42</v>
      </c>
      <c r="AC345">
        <v>17.824400000000001</v>
      </c>
      <c r="AD345">
        <v>-1.0611411887910001</v>
      </c>
      <c r="AE345">
        <v>-2.35719999999997</v>
      </c>
      <c r="AF345">
        <v>2.2477288923972001</v>
      </c>
      <c r="AG345">
        <v>-1.0611411887910001</v>
      </c>
      <c r="AH345">
        <v>17.775629751494598</v>
      </c>
      <c r="AI345">
        <v>93.3893714905971</v>
      </c>
      <c r="AJ345">
        <v>82.793195939636803</v>
      </c>
      <c r="AK345">
        <v>17.948574284841801</v>
      </c>
      <c r="AL345">
        <v>82.629199333204298</v>
      </c>
      <c r="AM345">
        <v>87.930148653873005</v>
      </c>
      <c r="AN345">
        <v>1.0000000003884699</v>
      </c>
    </row>
    <row r="346" spans="1:40" x14ac:dyDescent="0.25">
      <c r="A346" t="str">
        <f>"20190312164224592"</f>
        <v>20190312164224592</v>
      </c>
      <c r="B346" t="str">
        <f>"1552380144584667"</f>
        <v>1552380144584667</v>
      </c>
      <c r="C346" t="s">
        <v>40</v>
      </c>
      <c r="D346">
        <v>4.7784740000000001</v>
      </c>
      <c r="E346">
        <v>0.53624989999999995</v>
      </c>
      <c r="F346" t="s">
        <v>42</v>
      </c>
      <c r="G346">
        <v>-381.60039999999998</v>
      </c>
      <c r="H346" s="1">
        <v>-4.3241230000000002E-6</v>
      </c>
      <c r="I346">
        <v>365.45350000000002</v>
      </c>
      <c r="J346">
        <v>-399.31479999999999</v>
      </c>
      <c r="K346">
        <v>1.0619700000000001</v>
      </c>
      <c r="L346">
        <v>367.79300000000001</v>
      </c>
      <c r="M346">
        <v>0.99994550000000004</v>
      </c>
      <c r="N346">
        <v>0</v>
      </c>
      <c r="O346">
        <v>-5.814311E-3</v>
      </c>
      <c r="P346">
        <v>0.9919559</v>
      </c>
      <c r="Q346">
        <v>0.11984209999999999</v>
      </c>
      <c r="R346">
        <v>-4.0763420000000002E-2</v>
      </c>
      <c r="S346">
        <v>3.0285340000000001</v>
      </c>
      <c r="T346">
        <v>-0.17710109999999901</v>
      </c>
      <c r="U346">
        <v>-0.39086910000000002</v>
      </c>
      <c r="V346">
        <v>3.5027799999999998E-2</v>
      </c>
      <c r="W346">
        <v>0.12845100000000001</v>
      </c>
      <c r="X346">
        <v>0.99109700000000001</v>
      </c>
      <c r="Y346">
        <v>0.1220364</v>
      </c>
      <c r="Z346">
        <v>-3.212164E-3</v>
      </c>
      <c r="AA346">
        <v>0.99252050000000003</v>
      </c>
      <c r="AB346">
        <v>43</v>
      </c>
      <c r="AC346">
        <v>17.714400000000001</v>
      </c>
      <c r="AD346">
        <v>-1.061974324123</v>
      </c>
      <c r="AE346">
        <v>-2.3394999999999802</v>
      </c>
      <c r="AF346">
        <v>2.2285873654185102</v>
      </c>
      <c r="AG346">
        <v>-1.061974324123</v>
      </c>
      <c r="AH346">
        <v>17.6653033453861</v>
      </c>
      <c r="AI346">
        <v>93.413285313732402</v>
      </c>
      <c r="AJ346">
        <v>82.809767302595802</v>
      </c>
      <c r="AK346">
        <v>17.836965363954398</v>
      </c>
      <c r="AL346">
        <v>82.619908821863504</v>
      </c>
      <c r="AM346">
        <v>87.975869048527599</v>
      </c>
      <c r="AN346">
        <v>0.99999993479141702</v>
      </c>
    </row>
    <row r="347" spans="1:40" x14ac:dyDescent="0.25">
      <c r="A347" t="str">
        <f>"20190312164224614"</f>
        <v>20190312164224614</v>
      </c>
      <c r="B347" t="str">
        <f>"1552380144604187"</f>
        <v>1552380144604187</v>
      </c>
      <c r="C347" t="s">
        <v>40</v>
      </c>
      <c r="D347">
        <v>4.5646380000000004</v>
      </c>
      <c r="E347">
        <v>0.53566619999999998</v>
      </c>
      <c r="F347" t="s">
        <v>42</v>
      </c>
      <c r="G347">
        <v>-380.7432</v>
      </c>
      <c r="H347" s="1">
        <v>-4.698914E-6</v>
      </c>
      <c r="I347">
        <v>365.41370000000001</v>
      </c>
      <c r="J347">
        <v>-398.8888</v>
      </c>
      <c r="K347">
        <v>1.06307</v>
      </c>
      <c r="L347">
        <v>367.7903</v>
      </c>
      <c r="M347">
        <v>0.99995940000000005</v>
      </c>
      <c r="N347">
        <v>0</v>
      </c>
      <c r="O347">
        <v>-5.9289109999999898E-3</v>
      </c>
      <c r="P347">
        <v>0.99169940000000001</v>
      </c>
      <c r="Q347">
        <v>0.12204379999999999</v>
      </c>
      <c r="R347">
        <v>-4.0471489999999999E-2</v>
      </c>
      <c r="S347">
        <v>3.0293269999999999</v>
      </c>
      <c r="T347">
        <v>-0.17322419999999999</v>
      </c>
      <c r="U347">
        <v>-0.38809199999999999</v>
      </c>
      <c r="V347">
        <v>3.4629359999999998E-2</v>
      </c>
      <c r="W347">
        <v>0.12878339999999999</v>
      </c>
      <c r="X347">
        <v>0.9910679</v>
      </c>
      <c r="Y347">
        <v>0.1210049</v>
      </c>
      <c r="Z347">
        <v>-3.1054659999999999E-3</v>
      </c>
      <c r="AA347">
        <v>0.9926471</v>
      </c>
      <c r="AB347">
        <v>43</v>
      </c>
      <c r="AC347">
        <v>18.145600000000002</v>
      </c>
      <c r="AD347">
        <v>-1.0630746989139901</v>
      </c>
      <c r="AE347">
        <v>-2.3765999999999901</v>
      </c>
      <c r="AF347">
        <v>2.2613414044042299</v>
      </c>
      <c r="AG347">
        <v>-1.0630746989139901</v>
      </c>
      <c r="AH347">
        <v>18.0983009046533</v>
      </c>
      <c r="AI347">
        <v>93.335751089547998</v>
      </c>
      <c r="AJ347">
        <v>82.8779331019648</v>
      </c>
      <c r="AK347">
        <v>18.2699832621193</v>
      </c>
      <c r="AL347">
        <v>82.600704454465003</v>
      </c>
      <c r="AM347">
        <v>87.998815930435796</v>
      </c>
      <c r="AN347">
        <v>0.99999996954998904</v>
      </c>
    </row>
    <row r="348" spans="1:40" x14ac:dyDescent="0.25">
      <c r="A348" t="str">
        <f>"20190312164224636"</f>
        <v>20190312164224636</v>
      </c>
      <c r="B348" t="str">
        <f>"1552380144624686"</f>
        <v>1552380144624686</v>
      </c>
      <c r="C348" t="s">
        <v>40</v>
      </c>
      <c r="D348">
        <v>4.6135719999999996</v>
      </c>
      <c r="E348">
        <v>0.53502519999999998</v>
      </c>
      <c r="F348" t="s">
        <v>42</v>
      </c>
      <c r="G348">
        <v>-379.5258</v>
      </c>
      <c r="H348" s="1">
        <v>-1.2840149999999999E-6</v>
      </c>
      <c r="I348">
        <v>365.34469999999999</v>
      </c>
      <c r="J348">
        <v>-398.47809999999998</v>
      </c>
      <c r="K348">
        <v>1.0645530000000001</v>
      </c>
      <c r="L348">
        <v>367.7878</v>
      </c>
      <c r="M348">
        <v>0.99996620000000003</v>
      </c>
      <c r="N348">
        <v>0</v>
      </c>
      <c r="O348">
        <v>-6.0485979999999996E-3</v>
      </c>
      <c r="P348">
        <v>0.99154390000000003</v>
      </c>
      <c r="Q348">
        <v>0.1232703</v>
      </c>
      <c r="R348">
        <v>-4.056162E-2</v>
      </c>
      <c r="S348">
        <v>3.0299680000000002</v>
      </c>
      <c r="T348">
        <v>-0.16635129999999901</v>
      </c>
      <c r="U348">
        <v>-0.38269039999999999</v>
      </c>
      <c r="V348">
        <v>3.4603349999999998E-2</v>
      </c>
      <c r="W348">
        <v>0.12878870000000001</v>
      </c>
      <c r="X348">
        <v>0.99106819999999896</v>
      </c>
      <c r="Y348">
        <v>0.1191354</v>
      </c>
      <c r="Z348">
        <v>-2.9245310000000002E-3</v>
      </c>
      <c r="AA348">
        <v>0.99287369999999997</v>
      </c>
      <c r="AB348">
        <v>43</v>
      </c>
      <c r="AC348">
        <v>18.952299999999902</v>
      </c>
      <c r="AD348">
        <v>-1.064554284015</v>
      </c>
      <c r="AE348">
        <v>-2.44310000000001</v>
      </c>
      <c r="AF348">
        <v>2.32121475311359</v>
      </c>
      <c r="AG348">
        <v>-1.064554284015</v>
      </c>
      <c r="AH348">
        <v>18.908049377347801</v>
      </c>
      <c r="AI348">
        <v>93.198483244154005</v>
      </c>
      <c r="AJ348">
        <v>83.001199429022506</v>
      </c>
      <c r="AK348">
        <v>19.079718158555501</v>
      </c>
      <c r="AL348">
        <v>82.600398828439495</v>
      </c>
      <c r="AM348">
        <v>88.000318397374102</v>
      </c>
      <c r="AN348">
        <v>1.00000004906507</v>
      </c>
    </row>
    <row r="349" spans="1:40" x14ac:dyDescent="0.25">
      <c r="A349" t="str">
        <f>"20190312164224659"</f>
        <v>20190312164224659</v>
      </c>
      <c r="B349" t="str">
        <f>"1552380144653964"</f>
        <v>1552380144653964</v>
      </c>
      <c r="C349" t="s">
        <v>40</v>
      </c>
      <c r="D349">
        <v>4.8043399999999998</v>
      </c>
      <c r="E349">
        <v>0.53419859999999997</v>
      </c>
      <c r="F349" t="s">
        <v>42</v>
      </c>
      <c r="G349">
        <v>-378.55889999999999</v>
      </c>
      <c r="H349" s="1">
        <v>-1.6242879999999999E-6</v>
      </c>
      <c r="I349">
        <v>365.30239999999998</v>
      </c>
      <c r="J349">
        <v>-398.03789999999998</v>
      </c>
      <c r="K349">
        <v>1.0668610000000001</v>
      </c>
      <c r="L349">
        <v>367.78500000000003</v>
      </c>
      <c r="M349">
        <v>0.99996640000000003</v>
      </c>
      <c r="N349">
        <v>0</v>
      </c>
      <c r="O349">
        <v>-6.1896399999999997E-3</v>
      </c>
      <c r="P349">
        <v>0.99146029999999996</v>
      </c>
      <c r="Q349">
        <v>0.123958399999999</v>
      </c>
      <c r="R349">
        <v>-4.0508120000000002E-2</v>
      </c>
      <c r="S349">
        <v>3.030243</v>
      </c>
      <c r="T349">
        <v>-0.161946799999999</v>
      </c>
      <c r="U349">
        <v>-0.37808229999999998</v>
      </c>
      <c r="V349">
        <v>3.4410679999999999E-2</v>
      </c>
      <c r="W349">
        <v>0.12927759999999999</v>
      </c>
      <c r="X349">
        <v>0.99101119999999998</v>
      </c>
      <c r="Y349">
        <v>0.1175088</v>
      </c>
      <c r="Z349">
        <v>-2.7964510000000001E-3</v>
      </c>
      <c r="AA349">
        <v>0.9930679</v>
      </c>
      <c r="AB349">
        <v>43</v>
      </c>
      <c r="AC349">
        <v>19.4789999999999</v>
      </c>
      <c r="AD349">
        <v>-1.0668626242879999</v>
      </c>
      <c r="AE349">
        <v>-2.4826000000000401</v>
      </c>
      <c r="AF349">
        <v>2.35503113850198</v>
      </c>
      <c r="AG349">
        <v>-1.0668626242879999</v>
      </c>
      <c r="AH349">
        <v>19.436620591327301</v>
      </c>
      <c r="AI349">
        <v>93.119006999572406</v>
      </c>
      <c r="AJ349">
        <v>83.091453972729099</v>
      </c>
      <c r="AK349">
        <v>19.607819550720698</v>
      </c>
      <c r="AL349">
        <v>82.572150378102194</v>
      </c>
      <c r="AM349">
        <v>88.011329292553597</v>
      </c>
      <c r="AN349">
        <v>0.99999999564263098</v>
      </c>
    </row>
    <row r="350" spans="1:40" x14ac:dyDescent="0.25">
      <c r="A350" t="str">
        <f>"20190312164224682"</f>
        <v>20190312164224682</v>
      </c>
      <c r="B350" t="str">
        <f>"1552380144674459"</f>
        <v>1552380144674459</v>
      </c>
      <c r="C350" t="s">
        <v>40</v>
      </c>
      <c r="D350">
        <v>4.6531330000000004</v>
      </c>
      <c r="E350">
        <v>0.53367699999999996</v>
      </c>
      <c r="F350" t="s">
        <v>42</v>
      </c>
      <c r="G350">
        <v>-377.7944</v>
      </c>
      <c r="H350" s="1">
        <v>-1.883561E-6</v>
      </c>
      <c r="I350">
        <v>365.30579999999998</v>
      </c>
      <c r="J350">
        <v>-397.60160000000002</v>
      </c>
      <c r="K350">
        <v>1.0698129999999999</v>
      </c>
      <c r="L350">
        <v>367.78219999999999</v>
      </c>
      <c r="M350">
        <v>0.99996300000000005</v>
      </c>
      <c r="N350">
        <v>0</v>
      </c>
      <c r="O350">
        <v>-6.3452369999999897E-3</v>
      </c>
      <c r="P350">
        <v>0.99137819999999999</v>
      </c>
      <c r="Q350">
        <v>0.1245961</v>
      </c>
      <c r="R350">
        <v>-4.0567800000000001E-2</v>
      </c>
      <c r="S350">
        <v>3.03064</v>
      </c>
      <c r="T350">
        <v>-0.15971879999999999</v>
      </c>
      <c r="U350">
        <v>-0.37115480000000001</v>
      </c>
      <c r="V350">
        <v>3.4316579999999999E-2</v>
      </c>
      <c r="W350">
        <v>0.1303684</v>
      </c>
      <c r="X350">
        <v>0.99087150000000002</v>
      </c>
      <c r="Y350">
        <v>0.1151099</v>
      </c>
      <c r="Z350">
        <v>-2.68696E-3</v>
      </c>
      <c r="AA350">
        <v>0.99334909999999998</v>
      </c>
      <c r="AB350">
        <v>43</v>
      </c>
      <c r="AC350">
        <v>19.807200000000002</v>
      </c>
      <c r="AD350">
        <v>-1.069814883561</v>
      </c>
      <c r="AE350">
        <v>-2.4764000000000101</v>
      </c>
      <c r="AF350">
        <v>2.3439340842178198</v>
      </c>
      <c r="AG350">
        <v>-1.069814883561</v>
      </c>
      <c r="AH350">
        <v>19.765741033358701</v>
      </c>
      <c r="AI350">
        <v>93.076579265667704</v>
      </c>
      <c r="AJ350">
        <v>83.237123442257698</v>
      </c>
      <c r="AK350">
        <v>19.9329638908529</v>
      </c>
      <c r="AL350">
        <v>82.509118281973898</v>
      </c>
      <c r="AM350">
        <v>88.016483807514504</v>
      </c>
      <c r="AN350">
        <v>0.99999993844685098</v>
      </c>
    </row>
    <row r="351" spans="1:40" x14ac:dyDescent="0.25">
      <c r="A351" t="str">
        <f>"20190312164224706"</f>
        <v>20190312164224706</v>
      </c>
      <c r="B351" t="str">
        <f>"1552380144693979"</f>
        <v>1552380144693979</v>
      </c>
      <c r="C351" t="s">
        <v>40</v>
      </c>
      <c r="D351">
        <v>4.6282639999999997</v>
      </c>
      <c r="E351">
        <v>0.53304200000000002</v>
      </c>
      <c r="F351" t="s">
        <v>41</v>
      </c>
      <c r="G351">
        <v>-396.49599999999998</v>
      </c>
      <c r="H351">
        <v>1.0125679999999999</v>
      </c>
      <c r="I351">
        <v>367.64800000000002</v>
      </c>
      <c r="J351">
        <v>-397.1397</v>
      </c>
      <c r="K351">
        <v>1.073237</v>
      </c>
      <c r="L351">
        <v>367.7792</v>
      </c>
      <c r="M351">
        <v>0.99996059999999998</v>
      </c>
      <c r="N351">
        <v>0</v>
      </c>
      <c r="O351">
        <v>-6.5210619999999898E-3</v>
      </c>
      <c r="P351">
        <v>0.99126199999999998</v>
      </c>
      <c r="Q351">
        <v>0.12552260000000001</v>
      </c>
      <c r="R351">
        <v>-4.0545999999999999E-2</v>
      </c>
      <c r="S351">
        <v>3.0307919999999999</v>
      </c>
      <c r="T351">
        <v>-0.157042299999999</v>
      </c>
      <c r="U351">
        <v>-0.36712650000000002</v>
      </c>
      <c r="V351">
        <v>3.4122729999999997E-2</v>
      </c>
      <c r="W351">
        <v>0.1315114</v>
      </c>
      <c r="X351">
        <v>0.99072720000000003</v>
      </c>
      <c r="Y351">
        <v>0.11363520000000001</v>
      </c>
      <c r="Z351">
        <v>-2.5949599999999999E-3</v>
      </c>
      <c r="AA351">
        <v>0.99351920000000005</v>
      </c>
      <c r="AB351">
        <v>43</v>
      </c>
      <c r="AC351">
        <v>0.64370000000002303</v>
      </c>
      <c r="AD351">
        <v>-6.0668999999999799E-2</v>
      </c>
      <c r="AE351">
        <v>-0.131199999999978</v>
      </c>
      <c r="AF351">
        <v>0.12592552939600299</v>
      </c>
      <c r="AG351">
        <v>-6.0668999999999799E-2</v>
      </c>
      <c r="AH351">
        <v>0.63909119313407103</v>
      </c>
      <c r="AI351">
        <v>95.321137600071395</v>
      </c>
      <c r="AJ351">
        <v>78.853318807816805</v>
      </c>
      <c r="AK351">
        <v>0.65419837943562198</v>
      </c>
      <c r="AL351">
        <v>82.443060905074304</v>
      </c>
      <c r="AM351">
        <v>88.027392521263906</v>
      </c>
      <c r="AN351">
        <v>0.99999999692622599</v>
      </c>
    </row>
    <row r="352" spans="1:40" x14ac:dyDescent="0.25">
      <c r="A352" t="str">
        <f>"20190312164224728"</f>
        <v>20190312164224728</v>
      </c>
      <c r="B352" t="str">
        <f>"1552380144724235"</f>
        <v>1552380144724235</v>
      </c>
      <c r="C352" t="s">
        <v>40</v>
      </c>
      <c r="D352">
        <v>4.684704</v>
      </c>
      <c r="E352">
        <v>0.53218480000000001</v>
      </c>
      <c r="F352" t="s">
        <v>42</v>
      </c>
      <c r="G352">
        <v>-376.2509</v>
      </c>
      <c r="H352" s="1">
        <v>-2.414626E-6</v>
      </c>
      <c r="I352">
        <v>365.28390000000002</v>
      </c>
      <c r="J352">
        <v>-396.73419999999999</v>
      </c>
      <c r="K352">
        <v>1.0763529999999999</v>
      </c>
      <c r="L352">
        <v>367.77640000000002</v>
      </c>
      <c r="M352">
        <v>0.99995909999999999</v>
      </c>
      <c r="N352">
        <v>0</v>
      </c>
      <c r="O352">
        <v>-6.6744019999999899E-3</v>
      </c>
      <c r="P352">
        <v>0.9910795</v>
      </c>
      <c r="Q352">
        <v>0.12701869999999901</v>
      </c>
      <c r="R352">
        <v>-4.0348210000000002E-2</v>
      </c>
      <c r="S352">
        <v>3.031342</v>
      </c>
      <c r="T352">
        <v>-0.1557461</v>
      </c>
      <c r="U352">
        <v>-0.3620911</v>
      </c>
      <c r="V352">
        <v>3.3776149999999998E-2</v>
      </c>
      <c r="W352">
        <v>0.13308149999999999</v>
      </c>
      <c r="X352">
        <v>0.9905294</v>
      </c>
      <c r="Y352">
        <v>0.1118392</v>
      </c>
      <c r="Z352">
        <v>-2.5195740000000001E-3</v>
      </c>
      <c r="AA352">
        <v>0.99372309999999997</v>
      </c>
      <c r="AB352">
        <v>43</v>
      </c>
      <c r="AC352">
        <v>20.4832999999999</v>
      </c>
      <c r="AD352">
        <v>-1.0763554146259999</v>
      </c>
      <c r="AE352">
        <v>-2.4925000000000002</v>
      </c>
      <c r="AF352">
        <v>2.3493356200165398</v>
      </c>
      <c r="AG352">
        <v>-1.0763554146259999</v>
      </c>
      <c r="AH352">
        <v>20.443852334926699</v>
      </c>
      <c r="AI352">
        <v>92.994133643557703</v>
      </c>
      <c r="AJ352">
        <v>83.444526328274407</v>
      </c>
      <c r="AK352">
        <v>20.606528507401801</v>
      </c>
      <c r="AL352">
        <v>82.352303095096602</v>
      </c>
      <c r="AM352">
        <v>88.0470228302094</v>
      </c>
      <c r="AN352">
        <v>1.0000000031077101</v>
      </c>
    </row>
    <row r="353" spans="1:40" x14ac:dyDescent="0.25">
      <c r="A353" t="str">
        <f>"20190312164224749"</f>
        <v>20190312164224749</v>
      </c>
      <c r="B353" t="str">
        <f>"1552380144744732"</f>
        <v>1552380144744732</v>
      </c>
      <c r="C353" t="s">
        <v>40</v>
      </c>
      <c r="D353">
        <v>4.6856019999999896</v>
      </c>
      <c r="E353">
        <v>0.5316514</v>
      </c>
      <c r="F353" t="s">
        <v>42</v>
      </c>
      <c r="G353">
        <v>-375.47059999999999</v>
      </c>
      <c r="H353" s="1">
        <v>-2.6927909999999998E-6</v>
      </c>
      <c r="I353">
        <v>365.29020000000003</v>
      </c>
      <c r="J353">
        <v>-396.32240000000002</v>
      </c>
      <c r="K353">
        <v>1.0795729999999999</v>
      </c>
      <c r="L353">
        <v>367.77359999999999</v>
      </c>
      <c r="M353">
        <v>0.99995710000000004</v>
      </c>
      <c r="N353">
        <v>0</v>
      </c>
      <c r="O353">
        <v>-6.8247450000000001E-3</v>
      </c>
      <c r="P353">
        <v>0.99096819999999997</v>
      </c>
      <c r="Q353">
        <v>0.1278811</v>
      </c>
      <c r="R353">
        <v>-4.0353359999999998E-2</v>
      </c>
      <c r="S353">
        <v>3.0322269999999998</v>
      </c>
      <c r="T353">
        <v>-0.15348979999999901</v>
      </c>
      <c r="U353">
        <v>-0.35452270000000002</v>
      </c>
      <c r="V353">
        <v>3.3634749999999998E-2</v>
      </c>
      <c r="W353">
        <v>0.13408339999999999</v>
      </c>
      <c r="X353">
        <v>0.99039909999999998</v>
      </c>
      <c r="Y353">
        <v>0.10921649999999999</v>
      </c>
      <c r="Z353">
        <v>-2.4090719999999999E-3</v>
      </c>
      <c r="AA353">
        <v>0.99401499999999998</v>
      </c>
      <c r="AB353">
        <v>43</v>
      </c>
      <c r="AC353">
        <v>20.851800000000001</v>
      </c>
      <c r="AD353">
        <v>-1.0795756927910001</v>
      </c>
      <c r="AE353">
        <v>-2.4833999999999601</v>
      </c>
      <c r="AF353">
        <v>2.3348600464553502</v>
      </c>
      <c r="AG353">
        <v>-1.0795756927910001</v>
      </c>
      <c r="AH353">
        <v>20.813253200287701</v>
      </c>
      <c r="AI353">
        <v>92.950773589997098</v>
      </c>
      <c r="AJ353">
        <v>83.599239751775102</v>
      </c>
      <c r="AK353">
        <v>20.971613287782201</v>
      </c>
      <c r="AL353">
        <v>82.2943794204905</v>
      </c>
      <c r="AM353">
        <v>88.054936786330401</v>
      </c>
      <c r="AN353">
        <v>1.00000001592196</v>
      </c>
    </row>
    <row r="354" spans="1:40" x14ac:dyDescent="0.25">
      <c r="A354" t="str">
        <f>"20190312164224771"</f>
        <v>20190312164224771</v>
      </c>
      <c r="B354" t="str">
        <f>"1552380144764251"</f>
        <v>1552380144764251</v>
      </c>
      <c r="C354" t="s">
        <v>40</v>
      </c>
      <c r="D354">
        <v>4.6952449999999999</v>
      </c>
      <c r="E354">
        <v>0.53116350000000001</v>
      </c>
      <c r="F354" t="s">
        <v>42</v>
      </c>
      <c r="G354">
        <v>-374.91559999999998</v>
      </c>
      <c r="H354" s="1">
        <v>-2.9283640000000001E-6</v>
      </c>
      <c r="I354">
        <v>365.30439999999999</v>
      </c>
      <c r="J354">
        <v>-395.8997</v>
      </c>
      <c r="K354">
        <v>1.0828450000000001</v>
      </c>
      <c r="L354">
        <v>367.7706</v>
      </c>
      <c r="M354">
        <v>0.99995420000000002</v>
      </c>
      <c r="N354">
        <v>0</v>
      </c>
      <c r="O354">
        <v>-6.9726419999999898E-3</v>
      </c>
      <c r="P354">
        <v>0.99092570000000002</v>
      </c>
      <c r="Q354">
        <v>0.12809300000000001</v>
      </c>
      <c r="R354">
        <v>-4.0723309999999999E-2</v>
      </c>
      <c r="S354">
        <v>3.0328059999999999</v>
      </c>
      <c r="T354">
        <v>-0.15294859999999999</v>
      </c>
      <c r="U354">
        <v>-0.349823</v>
      </c>
      <c r="V354">
        <v>3.3860469999999997E-2</v>
      </c>
      <c r="W354">
        <v>0.13458609999999999</v>
      </c>
      <c r="X354">
        <v>0.99032319999999996</v>
      </c>
      <c r="Y354">
        <v>0.1075308</v>
      </c>
      <c r="Z354">
        <v>-2.3505760000000001E-3</v>
      </c>
      <c r="AA354">
        <v>0.99419900000000005</v>
      </c>
      <c r="AB354">
        <v>43</v>
      </c>
      <c r="AC354">
        <v>20.984100000000002</v>
      </c>
      <c r="AD354">
        <v>-1.082847928364</v>
      </c>
      <c r="AE354">
        <v>-2.4662000000000099</v>
      </c>
      <c r="AF354">
        <v>2.31374496563804</v>
      </c>
      <c r="AG354">
        <v>-1.082847928364</v>
      </c>
      <c r="AH354">
        <v>20.945769681502401</v>
      </c>
      <c r="AI354">
        <v>92.941564218119495</v>
      </c>
      <c r="AJ354">
        <v>83.696458500181294</v>
      </c>
      <c r="AK354">
        <v>21.100977298516799</v>
      </c>
      <c r="AL354">
        <v>82.265313215900505</v>
      </c>
      <c r="AM354">
        <v>88.0417438012893</v>
      </c>
      <c r="AN354">
        <v>0.99999999510003501</v>
      </c>
    </row>
    <row r="355" spans="1:40" x14ac:dyDescent="0.25">
      <c r="A355" t="str">
        <f>"20190312164224794"</f>
        <v>20190312164224794</v>
      </c>
      <c r="B355" t="str">
        <f>"1552380144783771"</f>
        <v>1552380144783771</v>
      </c>
      <c r="C355" t="s">
        <v>40</v>
      </c>
      <c r="D355">
        <v>4.7072940000000001</v>
      </c>
      <c r="E355">
        <v>0.53071950000000001</v>
      </c>
      <c r="F355" t="s">
        <v>42</v>
      </c>
      <c r="G355">
        <v>-374.60410000000002</v>
      </c>
      <c r="H355" s="1">
        <v>-3.0566239999999999E-6</v>
      </c>
      <c r="I355">
        <v>365.33479999999997</v>
      </c>
      <c r="J355">
        <v>-395.45679999999999</v>
      </c>
      <c r="K355">
        <v>1.0861430000000001</v>
      </c>
      <c r="L355">
        <v>367.76749999999998</v>
      </c>
      <c r="M355">
        <v>0.99995009999999995</v>
      </c>
      <c r="N355">
        <v>0</v>
      </c>
      <c r="O355">
        <v>-7.1222589999999997E-3</v>
      </c>
      <c r="P355">
        <v>0.99084879999999997</v>
      </c>
      <c r="Q355">
        <v>0.12861549999999999</v>
      </c>
      <c r="R355">
        <v>-4.0948999999999999E-2</v>
      </c>
      <c r="S355">
        <v>3.033112</v>
      </c>
      <c r="T355">
        <v>-0.15422859999999999</v>
      </c>
      <c r="U355">
        <v>-0.3469238</v>
      </c>
      <c r="V355">
        <v>3.3940779999999997E-2</v>
      </c>
      <c r="W355">
        <v>0.13556029999999999</v>
      </c>
      <c r="X355">
        <v>0.99018759999999995</v>
      </c>
      <c r="Y355">
        <v>0.1064321</v>
      </c>
      <c r="Z355">
        <v>-2.3347120000000001E-3</v>
      </c>
      <c r="AA355">
        <v>0.99431720000000001</v>
      </c>
      <c r="AB355">
        <v>43</v>
      </c>
      <c r="AC355">
        <v>20.852699999999899</v>
      </c>
      <c r="AD355">
        <v>-1.086146056624</v>
      </c>
      <c r="AE355">
        <v>-2.4327000000000099</v>
      </c>
      <c r="AF355">
        <v>2.2780190088099399</v>
      </c>
      <c r="AG355">
        <v>-1.086146056624</v>
      </c>
      <c r="AH355">
        <v>20.813787944005799</v>
      </c>
      <c r="AI355">
        <v>92.969510981593103</v>
      </c>
      <c r="AJ355">
        <v>83.753975534453303</v>
      </c>
      <c r="AK355">
        <v>20.966231240708499</v>
      </c>
      <c r="AL355">
        <v>82.208979653220894</v>
      </c>
      <c r="AM355">
        <v>88.036834257284596</v>
      </c>
      <c r="AN355">
        <v>1.00000002733842</v>
      </c>
    </row>
    <row r="356" spans="1:40" x14ac:dyDescent="0.25">
      <c r="A356" t="str">
        <f>"20190312164224815"</f>
        <v>20190312164224815</v>
      </c>
      <c r="B356" t="str">
        <f>"1552380144804267"</f>
        <v>1552380144804267</v>
      </c>
      <c r="C356" t="s">
        <v>40</v>
      </c>
      <c r="D356">
        <v>4.7541969999999996</v>
      </c>
      <c r="E356">
        <v>0.53031890000000004</v>
      </c>
      <c r="F356" t="s">
        <v>42</v>
      </c>
      <c r="G356">
        <v>-374.11250000000001</v>
      </c>
      <c r="H356" s="1">
        <v>-3.2658140000000001E-6</v>
      </c>
      <c r="I356">
        <v>365.34440000000001</v>
      </c>
      <c r="J356">
        <v>-395.02980000000002</v>
      </c>
      <c r="K356">
        <v>1.0891390000000001</v>
      </c>
      <c r="L356">
        <v>367.76429999999999</v>
      </c>
      <c r="M356">
        <v>0.99994499999999997</v>
      </c>
      <c r="N356">
        <v>0</v>
      </c>
      <c r="O356">
        <v>-7.2633569999999998E-3</v>
      </c>
      <c r="P356">
        <v>0.99081370000000002</v>
      </c>
      <c r="Q356">
        <v>0.1287423</v>
      </c>
      <c r="R356">
        <v>-4.1395519999999998E-2</v>
      </c>
      <c r="S356">
        <v>3.0334780000000001</v>
      </c>
      <c r="T356">
        <v>-0.15436349999999999</v>
      </c>
      <c r="U356">
        <v>-0.34436040000000001</v>
      </c>
      <c r="V356">
        <v>3.4249750000000002E-2</v>
      </c>
      <c r="W356">
        <v>0.13621839999999999</v>
      </c>
      <c r="X356">
        <v>0.99008660000000004</v>
      </c>
      <c r="Y356">
        <v>0.10545</v>
      </c>
      <c r="Z356">
        <v>-2.3045370000000002E-3</v>
      </c>
      <c r="AA356">
        <v>0.99442200000000003</v>
      </c>
      <c r="AB356">
        <v>43</v>
      </c>
      <c r="AC356">
        <v>20.917300000000001</v>
      </c>
      <c r="AD356">
        <v>-1.08914226581399</v>
      </c>
      <c r="AE356">
        <v>-2.4198999999999802</v>
      </c>
      <c r="AF356">
        <v>2.2618507080737902</v>
      </c>
      <c r="AG356">
        <v>-1.08914226581399</v>
      </c>
      <c r="AH356">
        <v>20.878467661607601</v>
      </c>
      <c r="AI356">
        <v>92.968834844552305</v>
      </c>
      <c r="AJ356">
        <v>83.817024505739596</v>
      </c>
      <c r="AK356">
        <v>21.028851880157099</v>
      </c>
      <c r="AL356">
        <v>82.170919942650102</v>
      </c>
      <c r="AM356">
        <v>88.018775399620296</v>
      </c>
      <c r="AN356">
        <v>0.99999998668659096</v>
      </c>
    </row>
    <row r="357" spans="1:40" x14ac:dyDescent="0.25">
      <c r="A357" t="str">
        <f>"20190312164224839"</f>
        <v>20190312164224839</v>
      </c>
      <c r="B357" t="str">
        <f>"1552380144834523"</f>
        <v>1552380144834523</v>
      </c>
      <c r="C357" t="s">
        <v>40</v>
      </c>
      <c r="D357">
        <v>4.9388620000000003</v>
      </c>
      <c r="E357">
        <v>0.52985700000000002</v>
      </c>
      <c r="F357" t="s">
        <v>42</v>
      </c>
      <c r="G357">
        <v>-373.79730000000001</v>
      </c>
      <c r="H357" s="1">
        <v>-3.3969820000000002E-6</v>
      </c>
      <c r="I357">
        <v>365.36709999999999</v>
      </c>
      <c r="J357">
        <v>-394.61180000000002</v>
      </c>
      <c r="K357">
        <v>1.0918369999999999</v>
      </c>
      <c r="L357">
        <v>367.76119999999997</v>
      </c>
      <c r="M357">
        <v>0.99993949999999998</v>
      </c>
      <c r="N357">
        <v>0</v>
      </c>
      <c r="O357">
        <v>-7.3995049999999998E-3</v>
      </c>
      <c r="P357">
        <v>0.99079490000000003</v>
      </c>
      <c r="Q357">
        <v>0.12882830000000001</v>
      </c>
      <c r="R357">
        <v>-4.1576830000000002E-2</v>
      </c>
      <c r="S357">
        <v>3.0337519999999998</v>
      </c>
      <c r="T357">
        <v>-0.1556187</v>
      </c>
      <c r="U357">
        <v>-0.34249879999999999</v>
      </c>
      <c r="V357">
        <v>3.4298370000000002E-2</v>
      </c>
      <c r="W357">
        <v>0.1368703</v>
      </c>
      <c r="X357">
        <v>0.98999499999999996</v>
      </c>
      <c r="Y357">
        <v>0.104701</v>
      </c>
      <c r="Z357">
        <v>-2.2970299999999998E-3</v>
      </c>
      <c r="AA357">
        <v>0.99450110000000003</v>
      </c>
      <c r="AB357">
        <v>43</v>
      </c>
      <c r="AC357">
        <v>20.814499999999999</v>
      </c>
      <c r="AD357">
        <v>-1.0918403969820001</v>
      </c>
      <c r="AE357">
        <v>-2.3940999999999799</v>
      </c>
      <c r="AF357">
        <v>2.2339456756997702</v>
      </c>
      <c r="AG357">
        <v>-1.0918403969820001</v>
      </c>
      <c r="AH357">
        <v>20.775227027234699</v>
      </c>
      <c r="AI357">
        <v>92.991195751248398</v>
      </c>
      <c r="AJ357">
        <v>83.862606924248098</v>
      </c>
      <c r="AK357">
        <v>20.923496045537</v>
      </c>
      <c r="AL357">
        <v>82.133215619228693</v>
      </c>
      <c r="AM357">
        <v>88.015781726494495</v>
      </c>
      <c r="AN357">
        <v>0.99999997861587298</v>
      </c>
    </row>
    <row r="358" spans="1:40" x14ac:dyDescent="0.25">
      <c r="A358" t="str">
        <f>"20190312164224860"</f>
        <v>20190312164224860</v>
      </c>
      <c r="B358" t="str">
        <f>"1552380144854044"</f>
        <v>1552380144854044</v>
      </c>
      <c r="C358" t="s">
        <v>40</v>
      </c>
      <c r="D358">
        <v>4.7643449999999996</v>
      </c>
      <c r="E358">
        <v>0.52962690000000001</v>
      </c>
      <c r="F358" t="s">
        <v>42</v>
      </c>
      <c r="G358">
        <v>-373.61189999999999</v>
      </c>
      <c r="H358" s="1">
        <v>-3.4680609999999999E-6</v>
      </c>
      <c r="I358">
        <v>365.41489999999999</v>
      </c>
      <c r="J358">
        <v>-394.1694</v>
      </c>
      <c r="K358">
        <v>1.0944309999999999</v>
      </c>
      <c r="L358">
        <v>367.75779999999997</v>
      </c>
      <c r="M358">
        <v>0.99993330000000002</v>
      </c>
      <c r="N358">
        <v>0</v>
      </c>
      <c r="O358">
        <v>-7.5429519999999899E-3</v>
      </c>
      <c r="P358">
        <v>0.99080000000000001</v>
      </c>
      <c r="Q358">
        <v>0.12873119999999999</v>
      </c>
      <c r="R358">
        <v>-4.1758570000000002E-2</v>
      </c>
      <c r="S358">
        <v>3.0341800000000001</v>
      </c>
      <c r="T358">
        <v>-0.15775429999999999</v>
      </c>
      <c r="U358">
        <v>-0.33898929999999999</v>
      </c>
      <c r="V358">
        <v>3.4339639999999998E-2</v>
      </c>
      <c r="W358">
        <v>0.1373885</v>
      </c>
      <c r="X358">
        <v>0.98992179999999996</v>
      </c>
      <c r="Y358">
        <v>0.1034051</v>
      </c>
      <c r="Z358">
        <v>-2.2873429999999998E-3</v>
      </c>
      <c r="AA358">
        <v>0.99463670000000004</v>
      </c>
      <c r="AB358">
        <v>43</v>
      </c>
      <c r="AC358">
        <v>20.557500000000001</v>
      </c>
      <c r="AD358">
        <v>-1.0944344680610001</v>
      </c>
      <c r="AE358">
        <v>-2.3428999999999802</v>
      </c>
      <c r="AF358">
        <v>2.18165908197515</v>
      </c>
      <c r="AG358">
        <v>-1.0944344680610001</v>
      </c>
      <c r="AH358">
        <v>20.517182877690502</v>
      </c>
      <c r="AI358">
        <v>93.036311998617194</v>
      </c>
      <c r="AJ358">
        <v>83.930360013746295</v>
      </c>
      <c r="AK358">
        <v>20.661854137309199</v>
      </c>
      <c r="AL358">
        <v>82.103241880886898</v>
      </c>
      <c r="AM358">
        <v>88.013249317479193</v>
      </c>
      <c r="AN358">
        <v>0.99999999046140897</v>
      </c>
    </row>
    <row r="359" spans="1:40" x14ac:dyDescent="0.25">
      <c r="A359" t="str">
        <f>"20190312164224883"</f>
        <v>20190312164224883</v>
      </c>
      <c r="B359" t="str">
        <f>"1552380144874539"</f>
        <v>1552380144874539</v>
      </c>
      <c r="C359" t="s">
        <v>40</v>
      </c>
      <c r="D359">
        <v>4.9369540000000001</v>
      </c>
      <c r="E359">
        <v>0.52941569999999905</v>
      </c>
      <c r="F359" t="s">
        <v>42</v>
      </c>
      <c r="G359">
        <v>-373.15899999999999</v>
      </c>
      <c r="H359" s="1">
        <v>-3.6613610000000002E-6</v>
      </c>
      <c r="I359">
        <v>365.4205</v>
      </c>
      <c r="J359">
        <v>-393.74630000000002</v>
      </c>
      <c r="K359">
        <v>1.096617</v>
      </c>
      <c r="L359">
        <v>367.75450000000001</v>
      </c>
      <c r="M359">
        <v>0.99992700000000001</v>
      </c>
      <c r="N359">
        <v>0</v>
      </c>
      <c r="O359">
        <v>-7.6793719999999899E-3</v>
      </c>
      <c r="P359">
        <v>0.9908574</v>
      </c>
      <c r="Q359">
        <v>0.12820960000000001</v>
      </c>
      <c r="R359">
        <v>-4.1998889999999997E-2</v>
      </c>
      <c r="S359">
        <v>3.0341490000000002</v>
      </c>
      <c r="T359">
        <v>-0.15804840000000001</v>
      </c>
      <c r="U359">
        <v>-0.3375244</v>
      </c>
      <c r="V359">
        <v>3.4445459999999997E-2</v>
      </c>
      <c r="W359">
        <v>0.13744700000000001</v>
      </c>
      <c r="X359">
        <v>0.98990999999999996</v>
      </c>
      <c r="Y359">
        <v>0.1027967</v>
      </c>
      <c r="Z359">
        <v>-2.2688169999999998E-3</v>
      </c>
      <c r="AA359">
        <v>0.99469980000000002</v>
      </c>
      <c r="AB359">
        <v>43</v>
      </c>
      <c r="AC359">
        <v>20.587299999999999</v>
      </c>
      <c r="AD359">
        <v>-1.0966206613609999</v>
      </c>
      <c r="AE359">
        <v>-2.3340000000000001</v>
      </c>
      <c r="AF359">
        <v>2.1697485280863198</v>
      </c>
      <c r="AG359">
        <v>-1.0966206613609999</v>
      </c>
      <c r="AH359">
        <v>20.547057788658499</v>
      </c>
      <c r="AI359">
        <v>93.038183909355595</v>
      </c>
      <c r="AJ359">
        <v>83.971963875242295</v>
      </c>
      <c r="AK359">
        <v>20.690383498633601</v>
      </c>
      <c r="AL359">
        <v>82.099857954186504</v>
      </c>
      <c r="AM359">
        <v>88.0071081991141</v>
      </c>
      <c r="AN359">
        <v>0.99999998781180499</v>
      </c>
    </row>
    <row r="360" spans="1:40" x14ac:dyDescent="0.25">
      <c r="A360" t="str">
        <f>"20190312164224906"</f>
        <v>20190312164224906</v>
      </c>
      <c r="B360" t="str">
        <f>"1552380144894059"</f>
        <v>1552380144894059</v>
      </c>
      <c r="C360" t="s">
        <v>40</v>
      </c>
      <c r="D360">
        <v>4.7313660000000004</v>
      </c>
      <c r="E360">
        <v>0.52922530000000001</v>
      </c>
      <c r="F360" t="s">
        <v>41</v>
      </c>
      <c r="G360">
        <v>-392.66489999999999</v>
      </c>
      <c r="H360">
        <v>1.039747</v>
      </c>
      <c r="I360">
        <v>367.63440000000003</v>
      </c>
      <c r="J360">
        <v>-393.30070000000001</v>
      </c>
      <c r="K360">
        <v>1.0986549999999999</v>
      </c>
      <c r="L360">
        <v>367.75099999999998</v>
      </c>
      <c r="M360">
        <v>0.99992020000000004</v>
      </c>
      <c r="N360">
        <v>0</v>
      </c>
      <c r="O360">
        <v>-7.8240849999999997E-3</v>
      </c>
      <c r="P360">
        <v>0.99092199999999997</v>
      </c>
      <c r="Q360">
        <v>0.127667</v>
      </c>
      <c r="R360">
        <v>-4.2128499999999999E-2</v>
      </c>
      <c r="S360">
        <v>3.0340880000000001</v>
      </c>
      <c r="T360">
        <v>-0.1597035</v>
      </c>
      <c r="U360">
        <v>-0.33630369999999998</v>
      </c>
      <c r="V360">
        <v>3.4431759999999999E-2</v>
      </c>
      <c r="W360">
        <v>0.13749049999999999</v>
      </c>
      <c r="X360">
        <v>0.98990449999999996</v>
      </c>
      <c r="Y360">
        <v>0.1022578</v>
      </c>
      <c r="Z360">
        <v>-2.2709200000000001E-3</v>
      </c>
      <c r="AA360">
        <v>0.99475530000000001</v>
      </c>
      <c r="AB360">
        <v>43</v>
      </c>
      <c r="AC360">
        <v>0.63580000000001702</v>
      </c>
      <c r="AD360">
        <v>-5.8907999999999898E-2</v>
      </c>
      <c r="AE360">
        <v>-0.116599999999948</v>
      </c>
      <c r="AF360">
        <v>0.11070224672539</v>
      </c>
      <c r="AG360">
        <v>-5.8907999999999898E-2</v>
      </c>
      <c r="AH360">
        <v>0.63144866719121395</v>
      </c>
      <c r="AI360">
        <v>95.250098053882098</v>
      </c>
      <c r="AJ360">
        <v>80.056259086454503</v>
      </c>
      <c r="AK360">
        <v>0.64377989964863702</v>
      </c>
      <c r="AL360">
        <v>82.097342204434696</v>
      </c>
      <c r="AM360">
        <v>88.007889134253105</v>
      </c>
      <c r="AN360">
        <v>1.0000000514035901</v>
      </c>
    </row>
    <row r="361" spans="1:40" x14ac:dyDescent="0.25">
      <c r="A361" t="str">
        <f>"20190312164224929"</f>
        <v>20190312164224929</v>
      </c>
      <c r="B361" t="str">
        <f>"1552380144924316"</f>
        <v>1552380144924316</v>
      </c>
      <c r="C361" t="s">
        <v>40</v>
      </c>
      <c r="D361">
        <v>4.7153179999999999</v>
      </c>
      <c r="E361">
        <v>0.52891679999999996</v>
      </c>
      <c r="F361" t="s">
        <v>42</v>
      </c>
      <c r="G361">
        <v>-372.62889999999999</v>
      </c>
      <c r="H361" s="1">
        <v>-3.8802209999999997E-6</v>
      </c>
      <c r="I361">
        <v>365.46870000000001</v>
      </c>
      <c r="J361">
        <v>-392.8861</v>
      </c>
      <c r="K361">
        <v>1.1003229999999999</v>
      </c>
      <c r="L361">
        <v>367.74770000000001</v>
      </c>
      <c r="M361">
        <v>0.99991379999999996</v>
      </c>
      <c r="N361">
        <v>0</v>
      </c>
      <c r="O361">
        <v>-7.9592740000000006E-3</v>
      </c>
      <c r="P361">
        <v>0.99098459999999999</v>
      </c>
      <c r="Q361">
        <v>0.12712419999999999</v>
      </c>
      <c r="R361">
        <v>-4.2300119999999997E-2</v>
      </c>
      <c r="S361">
        <v>3.034027</v>
      </c>
      <c r="T361">
        <v>-0.161250799999999</v>
      </c>
      <c r="U361">
        <v>-0.33496090000000001</v>
      </c>
      <c r="V361">
        <v>3.4469039999999999E-2</v>
      </c>
      <c r="W361">
        <v>0.137463</v>
      </c>
      <c r="X361">
        <v>0.98990699999999998</v>
      </c>
      <c r="Y361">
        <v>0.101688899999999</v>
      </c>
      <c r="Z361">
        <v>-2.2707740000000001E-3</v>
      </c>
      <c r="AA361">
        <v>0.99481370000000002</v>
      </c>
      <c r="AB361">
        <v>43</v>
      </c>
      <c r="AC361">
        <v>20.257200000000001</v>
      </c>
      <c r="AD361">
        <v>-1.100326880221</v>
      </c>
      <c r="AE361">
        <v>-2.2789999999999901</v>
      </c>
      <c r="AF361">
        <v>2.1115343492159599</v>
      </c>
      <c r="AG361">
        <v>-1.100326880221</v>
      </c>
      <c r="AH361">
        <v>20.215798736442999</v>
      </c>
      <c r="AI361">
        <v>93.098657360020795</v>
      </c>
      <c r="AJ361">
        <v>84.037094210129396</v>
      </c>
      <c r="AK361">
        <v>20.355535244832701</v>
      </c>
      <c r="AL361">
        <v>82.098932771115898</v>
      </c>
      <c r="AM361">
        <v>88.005739006499695</v>
      </c>
      <c r="AN361">
        <v>1.0000000298682601</v>
      </c>
    </row>
    <row r="362" spans="1:40" x14ac:dyDescent="0.25">
      <c r="A362" t="str">
        <f>"20190312164224949"</f>
        <v>20190312164224949</v>
      </c>
      <c r="B362" t="str">
        <f>"1552380144943836"</f>
        <v>1552380144943836</v>
      </c>
      <c r="C362" t="s">
        <v>40</v>
      </c>
      <c r="D362">
        <v>4.7366159999999997</v>
      </c>
      <c r="E362">
        <v>0.52866480000000005</v>
      </c>
      <c r="F362" t="s">
        <v>42</v>
      </c>
      <c r="G362">
        <v>-372.44979999999998</v>
      </c>
      <c r="H362" s="1">
        <v>-3.9506269999999996E-6</v>
      </c>
      <c r="I362">
        <v>365.50490000000002</v>
      </c>
      <c r="J362">
        <v>-392.47460000000001</v>
      </c>
      <c r="K362">
        <v>1.1017619999999999</v>
      </c>
      <c r="L362">
        <v>367.74419999999998</v>
      </c>
      <c r="M362">
        <v>0.99990760000000001</v>
      </c>
      <c r="N362">
        <v>0</v>
      </c>
      <c r="O362">
        <v>-8.0937749999999992E-3</v>
      </c>
      <c r="P362">
        <v>0.99097449999999998</v>
      </c>
      <c r="Q362">
        <v>0.1270771</v>
      </c>
      <c r="R362">
        <v>-4.2676819999999997E-2</v>
      </c>
      <c r="S362">
        <v>3.0339659999999999</v>
      </c>
      <c r="T362">
        <v>-0.16335379999999899</v>
      </c>
      <c r="U362">
        <v>-0.33294679999999999</v>
      </c>
      <c r="V362">
        <v>3.471254E-2</v>
      </c>
      <c r="W362">
        <v>0.13789289999999901</v>
      </c>
      <c r="X362">
        <v>0.98983869999999896</v>
      </c>
      <c r="Y362">
        <v>0.1009026</v>
      </c>
      <c r="Z362">
        <v>-2.2721690000000001E-3</v>
      </c>
      <c r="AA362">
        <v>0.99489369999999999</v>
      </c>
      <c r="AB362">
        <v>43</v>
      </c>
      <c r="AC362">
        <v>20.024799999999999</v>
      </c>
      <c r="AD362">
        <v>-1.1017659506269999</v>
      </c>
      <c r="AE362">
        <v>-2.2392999999999499</v>
      </c>
      <c r="AF362">
        <v>2.0709489844623699</v>
      </c>
      <c r="AG362">
        <v>-1.1017659506269999</v>
      </c>
      <c r="AH362">
        <v>19.9825253182476</v>
      </c>
      <c r="AI362">
        <v>93.139112315268406</v>
      </c>
      <c r="AJ362">
        <v>84.0831037286803</v>
      </c>
      <c r="AK362">
        <v>20.119742443694701</v>
      </c>
      <c r="AL362">
        <v>82.074064514944297</v>
      </c>
      <c r="AM362">
        <v>87.991523959899197</v>
      </c>
      <c r="AN362">
        <v>1.0000000321606699</v>
      </c>
    </row>
    <row r="363" spans="1:40" x14ac:dyDescent="0.25">
      <c r="A363" t="str">
        <f>"20190312164224972"</f>
        <v>20190312164224972</v>
      </c>
      <c r="B363" t="str">
        <f>"1552380144964331"</f>
        <v>1552380144964331</v>
      </c>
      <c r="C363" t="s">
        <v>40</v>
      </c>
      <c r="D363">
        <v>4.7423500000000001</v>
      </c>
      <c r="E363">
        <v>0.52851380000000003</v>
      </c>
      <c r="F363" t="s">
        <v>42</v>
      </c>
      <c r="G363">
        <v>-372.14429999999999</v>
      </c>
      <c r="H363" s="1">
        <v>-4.0796139999999998E-6</v>
      </c>
      <c r="I363">
        <v>365.51659999999998</v>
      </c>
      <c r="J363">
        <v>-392.04020000000003</v>
      </c>
      <c r="K363">
        <v>1.103086</v>
      </c>
      <c r="L363">
        <v>367.74059999999997</v>
      </c>
      <c r="M363">
        <v>0.99990120000000005</v>
      </c>
      <c r="N363">
        <v>0</v>
      </c>
      <c r="O363">
        <v>-8.2342660000000005E-3</v>
      </c>
      <c r="P363">
        <v>0.99089039999999995</v>
      </c>
      <c r="Q363">
        <v>0.12757839999999901</v>
      </c>
      <c r="R363">
        <v>-4.3130979999999999E-2</v>
      </c>
      <c r="S363">
        <v>3.0340880000000001</v>
      </c>
      <c r="T363">
        <v>-0.16442609999999999</v>
      </c>
      <c r="U363">
        <v>-0.332428</v>
      </c>
      <c r="V363">
        <v>3.5028219999999999E-2</v>
      </c>
      <c r="W363">
        <v>0.1388595</v>
      </c>
      <c r="X363">
        <v>0.98969240000000003</v>
      </c>
      <c r="Y363">
        <v>0.1005892</v>
      </c>
      <c r="Z363">
        <v>-2.2709470000000002E-3</v>
      </c>
      <c r="AA363">
        <v>0.99492539999999996</v>
      </c>
      <c r="AB363">
        <v>43</v>
      </c>
      <c r="AC363">
        <v>19.895900000000001</v>
      </c>
      <c r="AD363">
        <v>-1.103090079614</v>
      </c>
      <c r="AE363">
        <v>-2.2239999999999802</v>
      </c>
      <c r="AF363">
        <v>2.0538503361912301</v>
      </c>
      <c r="AG363">
        <v>-1.103090079614</v>
      </c>
      <c r="AH363">
        <v>19.853265075345998</v>
      </c>
      <c r="AI363">
        <v>93.163358891274001</v>
      </c>
      <c r="AJ363">
        <v>84.093675301107396</v>
      </c>
      <c r="AK363">
        <v>19.9896784136006</v>
      </c>
      <c r="AL363">
        <v>82.018144123878997</v>
      </c>
      <c r="AM363">
        <v>87.972974453737606</v>
      </c>
      <c r="AN363">
        <v>0.99999999177718901</v>
      </c>
    </row>
    <row r="364" spans="1:40" x14ac:dyDescent="0.25">
      <c r="A364" t="str">
        <f>"20190312164224997"</f>
        <v>20190312164224997</v>
      </c>
      <c r="B364" t="str">
        <f>"1552380144983852"</f>
        <v>1552380144983852</v>
      </c>
      <c r="C364" t="s">
        <v>40</v>
      </c>
      <c r="D364">
        <v>4.7296670000000001</v>
      </c>
      <c r="E364">
        <v>0.52835989999999999</v>
      </c>
      <c r="F364" t="s">
        <v>42</v>
      </c>
      <c r="G364">
        <v>-371.54410000000001</v>
      </c>
      <c r="H364" s="1">
        <v>-4.3411760000000002E-6</v>
      </c>
      <c r="I364">
        <v>365.49369999999999</v>
      </c>
      <c r="J364">
        <v>-391.5838</v>
      </c>
      <c r="K364">
        <v>1.1042730000000001</v>
      </c>
      <c r="L364">
        <v>367.73669999999998</v>
      </c>
      <c r="M364">
        <v>0.99989470000000003</v>
      </c>
      <c r="N364">
        <v>0</v>
      </c>
      <c r="O364">
        <v>-8.3796280000000001E-3</v>
      </c>
      <c r="P364">
        <v>0.99090160000000005</v>
      </c>
      <c r="Q364">
        <v>0.12735830000000001</v>
      </c>
      <c r="R364">
        <v>-4.3521369999999997E-2</v>
      </c>
      <c r="S364">
        <v>3.0341490000000002</v>
      </c>
      <c r="T364">
        <v>-0.163296</v>
      </c>
      <c r="U364">
        <v>-0.33261109999999999</v>
      </c>
      <c r="V364">
        <v>3.5273850000000002E-2</v>
      </c>
      <c r="W364">
        <v>0.13908619999999999</v>
      </c>
      <c r="X364">
        <v>0.98965190000000003</v>
      </c>
      <c r="Y364">
        <v>0.10050389999999999</v>
      </c>
      <c r="Z364">
        <v>-2.245225E-3</v>
      </c>
      <c r="AA364">
        <v>0.99493410000000004</v>
      </c>
      <c r="AB364">
        <v>43</v>
      </c>
      <c r="AC364">
        <v>20.0396999999999</v>
      </c>
      <c r="AD364">
        <v>-1.1042773411759901</v>
      </c>
      <c r="AE364">
        <v>-2.2429999999999901</v>
      </c>
      <c r="AF364">
        <v>2.0687800844423299</v>
      </c>
      <c r="AG364">
        <v>-1.1042773411759901</v>
      </c>
      <c r="AH364">
        <v>19.997820991595699</v>
      </c>
      <c r="AI364">
        <v>93.143912025533794</v>
      </c>
      <c r="AJ364">
        <v>84.093745547074903</v>
      </c>
      <c r="AK364">
        <v>20.134848494486601</v>
      </c>
      <c r="AL364">
        <v>82.005028356428795</v>
      </c>
      <c r="AM364">
        <v>87.958688768149301</v>
      </c>
      <c r="AN364">
        <v>1.0000000493489301</v>
      </c>
    </row>
    <row r="365" spans="1:40" x14ac:dyDescent="0.25">
      <c r="A365" t="str">
        <f>"20190312164225018"</f>
        <v>20190312164225018</v>
      </c>
      <c r="B365" t="str">
        <f>"1552380145014107"</f>
        <v>1552380145014107</v>
      </c>
      <c r="C365" t="s">
        <v>40</v>
      </c>
      <c r="D365">
        <v>4.8070649999999997</v>
      </c>
      <c r="E365">
        <v>0.52805290000000005</v>
      </c>
      <c r="F365" t="s">
        <v>42</v>
      </c>
      <c r="G365">
        <v>-371.18849999999998</v>
      </c>
      <c r="H365" s="1">
        <v>-4.4915169999999999E-6</v>
      </c>
      <c r="I365">
        <v>365.50599999999997</v>
      </c>
      <c r="J365">
        <v>-391.19209999999998</v>
      </c>
      <c r="K365">
        <v>1.1051390000000001</v>
      </c>
      <c r="L365">
        <v>367.73329999999999</v>
      </c>
      <c r="M365">
        <v>0.99988940000000004</v>
      </c>
      <c r="N365">
        <v>0</v>
      </c>
      <c r="O365">
        <v>-8.5030090000000006E-3</v>
      </c>
      <c r="P365">
        <v>0.99095949999999999</v>
      </c>
      <c r="Q365">
        <v>0.12683749999999999</v>
      </c>
      <c r="R365">
        <v>-4.3725239999999999E-2</v>
      </c>
      <c r="S365">
        <v>3.0341490000000002</v>
      </c>
      <c r="T365">
        <v>-0.1642796</v>
      </c>
      <c r="U365">
        <v>-0.33184809999999998</v>
      </c>
      <c r="V365">
        <v>3.5354169999999997E-2</v>
      </c>
      <c r="W365">
        <v>0.1389148</v>
      </c>
      <c r="X365">
        <v>0.98967309999999997</v>
      </c>
      <c r="Y365">
        <v>0.100133</v>
      </c>
      <c r="Z365">
        <v>-2.2420999999999999E-3</v>
      </c>
      <c r="AA365">
        <v>0.99497150000000001</v>
      </c>
      <c r="AB365">
        <v>43</v>
      </c>
      <c r="AC365">
        <v>20.003599999999999</v>
      </c>
      <c r="AD365">
        <v>-1.105143491517</v>
      </c>
      <c r="AE365">
        <v>-2.2273000000000098</v>
      </c>
      <c r="AF365">
        <v>2.0509327003400499</v>
      </c>
      <c r="AG365">
        <v>-1.105143491517</v>
      </c>
      <c r="AH365">
        <v>19.961634987946201</v>
      </c>
      <c r="AI365">
        <v>93.152291955636798</v>
      </c>
      <c r="AJ365">
        <v>84.133802227941999</v>
      </c>
      <c r="AK365">
        <v>20.097127617402599</v>
      </c>
      <c r="AL365">
        <v>82.014945061796794</v>
      </c>
      <c r="AM365">
        <v>87.954088354314806</v>
      </c>
      <c r="AN365">
        <v>1.0000000419295101</v>
      </c>
    </row>
    <row r="366" spans="1:40" x14ac:dyDescent="0.25">
      <c r="A366" t="str">
        <f>"20190312164225040"</f>
        <v>20190312164225040</v>
      </c>
      <c r="B366" t="str">
        <f>"1552380145034603"</f>
        <v>1552380145034603</v>
      </c>
      <c r="C366" t="s">
        <v>40</v>
      </c>
      <c r="D366">
        <v>4.7235639999999997</v>
      </c>
      <c r="E366">
        <v>0.48734430000000001</v>
      </c>
      <c r="F366" t="s">
        <v>42</v>
      </c>
      <c r="G366">
        <v>-370.9599</v>
      </c>
      <c r="H366" s="1">
        <v>-4.584787E-6</v>
      </c>
      <c r="I366">
        <v>365.53309999999999</v>
      </c>
      <c r="J366">
        <v>-390.7629</v>
      </c>
      <c r="K366">
        <v>1.105963</v>
      </c>
      <c r="L366">
        <v>367.7296</v>
      </c>
      <c r="M366">
        <v>0.99988379999999999</v>
      </c>
      <c r="N366">
        <v>0</v>
      </c>
      <c r="O366">
        <v>-8.6371750000000004E-3</v>
      </c>
      <c r="P366">
        <v>0.99101019999999895</v>
      </c>
      <c r="Q366">
        <v>0.1263543</v>
      </c>
      <c r="R366">
        <v>-4.3972539999999997E-2</v>
      </c>
      <c r="S366">
        <v>3.034027</v>
      </c>
      <c r="T366">
        <v>-0.16572679999999901</v>
      </c>
      <c r="U366">
        <v>-0.32992549999999998</v>
      </c>
      <c r="V366">
        <v>3.5467520000000002E-2</v>
      </c>
      <c r="W366">
        <v>0.13878019999999999</v>
      </c>
      <c r="X366">
        <v>0.98968789999999995</v>
      </c>
      <c r="Y366">
        <v>9.9379579999999995E-2</v>
      </c>
      <c r="Z366">
        <v>-2.234186E-3</v>
      </c>
      <c r="AA366">
        <v>0.99504709999999996</v>
      </c>
      <c r="AB366">
        <v>43</v>
      </c>
      <c r="AC366">
        <v>19.803000000000001</v>
      </c>
      <c r="AD366">
        <v>-1.1059675847870001</v>
      </c>
      <c r="AE366">
        <v>-2.1965000000000101</v>
      </c>
      <c r="AF366">
        <v>2.0191413118075299</v>
      </c>
      <c r="AG366">
        <v>-1.1059675847870001</v>
      </c>
      <c r="AH366">
        <v>19.760349718386198</v>
      </c>
      <c r="AI366">
        <v>93.186887411085607</v>
      </c>
      <c r="AJ366">
        <v>84.165683043888805</v>
      </c>
      <c r="AK366">
        <v>19.8940070606345</v>
      </c>
      <c r="AL366">
        <v>82.022732281246803</v>
      </c>
      <c r="AM366">
        <v>87.947565167282903</v>
      </c>
      <c r="AN366">
        <v>1.0000000141467</v>
      </c>
    </row>
    <row r="367" spans="1:40" x14ac:dyDescent="0.25">
      <c r="A367" t="str">
        <f>"20190312164225061"</f>
        <v>20190312164225061</v>
      </c>
      <c r="B367" t="str">
        <f>"1552380145054124"</f>
        <v>1552380145054124</v>
      </c>
      <c r="C367" t="s">
        <v>40</v>
      </c>
      <c r="D367">
        <v>4.7287509999999999</v>
      </c>
      <c r="E367">
        <v>0.47976220000000003</v>
      </c>
      <c r="F367" t="s">
        <v>42</v>
      </c>
      <c r="G367">
        <v>-375.23079999999999</v>
      </c>
      <c r="H367" s="1">
        <v>-2.3665140000000001E-6</v>
      </c>
      <c r="I367">
        <v>367.70949999999999</v>
      </c>
      <c r="J367">
        <v>-390.34390000000002</v>
      </c>
      <c r="K367">
        <v>1.10663</v>
      </c>
      <c r="L367">
        <v>367.72579999999999</v>
      </c>
      <c r="M367">
        <v>0.99987879999999996</v>
      </c>
      <c r="N367">
        <v>0</v>
      </c>
      <c r="O367">
        <v>-8.7673089999999992E-3</v>
      </c>
      <c r="P367">
        <v>0.99094740000000003</v>
      </c>
      <c r="Q367">
        <v>0.12663550000000001</v>
      </c>
      <c r="R367">
        <v>-4.4575259999999998E-2</v>
      </c>
      <c r="S367">
        <v>3.0547789999999999</v>
      </c>
      <c r="T367">
        <v>-0.2175156</v>
      </c>
      <c r="U367">
        <v>-3.9367680000000002E-3</v>
      </c>
      <c r="V367">
        <v>3.5941470000000003E-2</v>
      </c>
      <c r="W367">
        <v>0.1393662</v>
      </c>
      <c r="X367">
        <v>0.98958840000000003</v>
      </c>
      <c r="Y367">
        <v>-7.4383209999999899E-3</v>
      </c>
      <c r="Z367">
        <v>8.8801949999999896E-4</v>
      </c>
      <c r="AA367">
        <v>0.99997190000000002</v>
      </c>
      <c r="AB367">
        <v>42</v>
      </c>
      <c r="AC367">
        <v>15.113099999999999</v>
      </c>
      <c r="AD367">
        <v>-1.1066323665140001</v>
      </c>
      <c r="AE367">
        <v>-1.6300000000001001E-2</v>
      </c>
      <c r="AF367">
        <v>-0.115593040986881</v>
      </c>
      <c r="AG367">
        <v>-1.1066323665140001</v>
      </c>
      <c r="AH367">
        <v>15.032065177577699</v>
      </c>
      <c r="AI367">
        <v>94.2102881678816</v>
      </c>
      <c r="AJ367">
        <v>90.4405823665181</v>
      </c>
      <c r="AK367">
        <v>15.0731874681065</v>
      </c>
      <c r="AL367">
        <v>81.988827068160504</v>
      </c>
      <c r="AM367">
        <v>87.919953614301207</v>
      </c>
      <c r="AN367">
        <v>0.99999996419137904</v>
      </c>
    </row>
    <row r="368" spans="1:40" x14ac:dyDescent="0.25">
      <c r="A368" t="str">
        <f>"20190312164225084"</f>
        <v>20190312164225084</v>
      </c>
      <c r="B368" t="str">
        <f>"1552380145074623"</f>
        <v>1552380145074623</v>
      </c>
      <c r="C368" t="s">
        <v>40</v>
      </c>
      <c r="D368">
        <v>4.7139980000000001</v>
      </c>
      <c r="E368">
        <v>0.47771259999999999</v>
      </c>
      <c r="F368" t="s">
        <v>41</v>
      </c>
      <c r="G368">
        <v>-389.2516</v>
      </c>
      <c r="H368">
        <v>1.022934</v>
      </c>
      <c r="I368">
        <v>367.74549999999999</v>
      </c>
      <c r="J368">
        <v>-389.92</v>
      </c>
      <c r="K368">
        <v>1.107194</v>
      </c>
      <c r="L368">
        <v>367.72199999999998</v>
      </c>
      <c r="M368">
        <v>0.99987409999999999</v>
      </c>
      <c r="N368">
        <v>0</v>
      </c>
      <c r="O368">
        <v>-8.8980050000000005E-3</v>
      </c>
      <c r="P368">
        <v>0.99096340000000005</v>
      </c>
      <c r="Q368">
        <v>0.12655150000000001</v>
      </c>
      <c r="R368">
        <v>-4.4461439999999998E-2</v>
      </c>
      <c r="S368">
        <v>3.0598749999999999</v>
      </c>
      <c r="T368">
        <v>-0.2346733</v>
      </c>
      <c r="U368">
        <v>5.5633540000000002E-2</v>
      </c>
      <c r="V368">
        <v>3.5697619999999999E-2</v>
      </c>
      <c r="W368">
        <v>0.139558399999999</v>
      </c>
      <c r="X368">
        <v>0.98957019999999996</v>
      </c>
      <c r="Y368">
        <v>-2.6969920000000001E-2</v>
      </c>
      <c r="Z368">
        <v>1.7140409999999999E-3</v>
      </c>
      <c r="AA368">
        <v>0.99963480000000005</v>
      </c>
      <c r="AB368">
        <v>42</v>
      </c>
      <c r="AC368">
        <v>0.66840000000001898</v>
      </c>
      <c r="AD368">
        <v>-8.4260000000000002E-2</v>
      </c>
      <c r="AE368">
        <v>2.3500000000012702E-2</v>
      </c>
      <c r="AF368">
        <v>-2.8986926944774401E-2</v>
      </c>
      <c r="AG368">
        <v>-8.4260000000000002E-2</v>
      </c>
      <c r="AH368">
        <v>0.65772495835213196</v>
      </c>
      <c r="AI368">
        <v>97.293295976420296</v>
      </c>
      <c r="AJ368">
        <v>92.523478136248201</v>
      </c>
      <c r="AK368">
        <v>0.66373346335183003</v>
      </c>
      <c r="AL368">
        <v>81.977706620516301</v>
      </c>
      <c r="AM368">
        <v>87.934015749738094</v>
      </c>
      <c r="AN368">
        <v>1.00000002390613</v>
      </c>
    </row>
    <row r="369" spans="1:40" x14ac:dyDescent="0.25">
      <c r="A369" t="str">
        <f>"20190312164225105"</f>
        <v>20190312164225105</v>
      </c>
      <c r="B369" t="str">
        <f>"1552380145094139"</f>
        <v>1552380145094139</v>
      </c>
      <c r="C369" t="s">
        <v>40</v>
      </c>
      <c r="D369">
        <v>4.8403879999999999</v>
      </c>
      <c r="E369">
        <v>0.47679189999999999</v>
      </c>
      <c r="F369" t="s">
        <v>42</v>
      </c>
      <c r="G369">
        <v>-376.06020000000001</v>
      </c>
      <c r="H369" s="1">
        <v>-1.9498069999999999E-6</v>
      </c>
      <c r="I369">
        <v>368.05290000000002</v>
      </c>
      <c r="J369">
        <v>-389.5154</v>
      </c>
      <c r="K369">
        <v>1.1076539999999999</v>
      </c>
      <c r="L369">
        <v>367.7183</v>
      </c>
      <c r="M369">
        <v>0.99986980000000003</v>
      </c>
      <c r="N369">
        <v>0</v>
      </c>
      <c r="O369">
        <v>-9.0217960000000003E-3</v>
      </c>
      <c r="P369">
        <v>0.99099599999999999</v>
      </c>
      <c r="Q369">
        <v>0.1262539</v>
      </c>
      <c r="R369">
        <v>-4.457643E-2</v>
      </c>
      <c r="S369">
        <v>3.0618590000000001</v>
      </c>
      <c r="T369">
        <v>-0.2445967</v>
      </c>
      <c r="U369">
        <v>7.3120119999999997E-2</v>
      </c>
      <c r="V369">
        <v>3.5689449999999998E-2</v>
      </c>
      <c r="W369">
        <v>0.1394975</v>
      </c>
      <c r="X369">
        <v>0.98957910000000004</v>
      </c>
      <c r="Y369">
        <v>-3.2760169999999998E-2</v>
      </c>
      <c r="Z369">
        <v>2.0257919999999998E-3</v>
      </c>
      <c r="AA369">
        <v>0.99946120000000005</v>
      </c>
      <c r="AB369">
        <v>42</v>
      </c>
      <c r="AC369">
        <v>13.4551999999999</v>
      </c>
      <c r="AD369">
        <v>-1.107655949807</v>
      </c>
      <c r="AE369">
        <v>0.33460000000002299</v>
      </c>
      <c r="AF369">
        <v>-0.45291983109466299</v>
      </c>
      <c r="AG369">
        <v>-1.107655949807</v>
      </c>
      <c r="AH369">
        <v>13.361142520900399</v>
      </c>
      <c r="AI369">
        <v>94.736349181989596</v>
      </c>
      <c r="AJ369">
        <v>91.941485301411404</v>
      </c>
      <c r="AK369">
        <v>13.414625136035401</v>
      </c>
      <c r="AL369">
        <v>81.981230550651901</v>
      </c>
      <c r="AM369">
        <v>87.934506735884</v>
      </c>
      <c r="AN369">
        <v>1.00000004225218</v>
      </c>
    </row>
    <row r="370" spans="1:40" x14ac:dyDescent="0.25">
      <c r="A370" t="str">
        <f>"20190312164225129"</f>
        <v>20190312164225129</v>
      </c>
      <c r="B370" t="str">
        <f>"1552380145124395"</f>
        <v>1552380145124395</v>
      </c>
      <c r="C370" t="s">
        <v>40</v>
      </c>
      <c r="D370">
        <v>4.758915</v>
      </c>
      <c r="E370">
        <v>0.4769022</v>
      </c>
      <c r="F370" t="s">
        <v>42</v>
      </c>
      <c r="G370">
        <v>-375.79300000000001</v>
      </c>
      <c r="H370" s="1">
        <v>-2.0602830000000002E-6</v>
      </c>
      <c r="I370">
        <v>368.07619999999997</v>
      </c>
      <c r="J370">
        <v>-389.07760000000002</v>
      </c>
      <c r="K370">
        <v>1.1080669999999999</v>
      </c>
      <c r="L370">
        <v>367.71420000000001</v>
      </c>
      <c r="M370">
        <v>0.99986540000000002</v>
      </c>
      <c r="N370">
        <v>0</v>
      </c>
      <c r="O370">
        <v>-9.1556869999999992E-3</v>
      </c>
      <c r="P370">
        <v>0.99102029999999997</v>
      </c>
      <c r="Q370">
        <v>0.1260761</v>
      </c>
      <c r="R370">
        <v>-4.453965E-2</v>
      </c>
      <c r="S370">
        <v>3.062408</v>
      </c>
      <c r="T370">
        <v>-0.24719379999999999</v>
      </c>
      <c r="U370">
        <v>7.9895019999999997E-2</v>
      </c>
      <c r="V370">
        <v>3.5519340000000003E-2</v>
      </c>
      <c r="W370">
        <v>0.13954849999999999</v>
      </c>
      <c r="X370">
        <v>0.98957799999999996</v>
      </c>
      <c r="Y370">
        <v>-3.5088590000000003E-2</v>
      </c>
      <c r="Z370">
        <v>2.151409E-3</v>
      </c>
      <c r="AA370">
        <v>0.99938190000000005</v>
      </c>
      <c r="AB370">
        <v>42</v>
      </c>
      <c r="AC370">
        <v>13.284599999999999</v>
      </c>
      <c r="AD370">
        <v>-1.1080690602829999</v>
      </c>
      <c r="AE370">
        <v>0.36199999999996602</v>
      </c>
      <c r="AF370">
        <v>-0.480286749092948</v>
      </c>
      <c r="AG370">
        <v>-1.1080690602829999</v>
      </c>
      <c r="AH370">
        <v>13.189037266346901</v>
      </c>
      <c r="AI370">
        <v>94.799226470146195</v>
      </c>
      <c r="AJ370">
        <v>92.085538828674203</v>
      </c>
      <c r="AK370">
        <v>13.2442136956785</v>
      </c>
      <c r="AL370">
        <v>81.978279363879096</v>
      </c>
      <c r="AM370">
        <v>87.944340942145402</v>
      </c>
      <c r="AN370">
        <v>1.0000000127251401</v>
      </c>
    </row>
    <row r="371" spans="1:40" x14ac:dyDescent="0.25">
      <c r="A371" t="str">
        <f>"20190312164225152"</f>
        <v>20190312164225152</v>
      </c>
      <c r="B371" t="str">
        <f>"1552380145143915"</f>
        <v>1552380145143915</v>
      </c>
      <c r="C371" t="s">
        <v>40</v>
      </c>
      <c r="D371">
        <v>4.7131470000000002</v>
      </c>
      <c r="E371">
        <v>0.47676059999999998</v>
      </c>
      <c r="F371" t="s">
        <v>42</v>
      </c>
      <c r="G371">
        <v>-375.22059999999999</v>
      </c>
      <c r="H371" s="1">
        <v>-2.3066090000000001E-6</v>
      </c>
      <c r="I371">
        <v>368.07190000000003</v>
      </c>
      <c r="J371">
        <v>-388.63369999999998</v>
      </c>
      <c r="K371">
        <v>1.108417</v>
      </c>
      <c r="L371">
        <v>367.71010000000001</v>
      </c>
      <c r="M371">
        <v>0.99986149999999996</v>
      </c>
      <c r="N371">
        <v>0</v>
      </c>
      <c r="O371">
        <v>-9.2896669999999997E-3</v>
      </c>
      <c r="P371">
        <v>0.99109360000000002</v>
      </c>
      <c r="Q371">
        <v>0.12555519999999901</v>
      </c>
      <c r="R371">
        <v>-4.4380000000000003E-2</v>
      </c>
      <c r="S371">
        <v>3.0618590000000001</v>
      </c>
      <c r="T371">
        <v>-0.24483930000000001</v>
      </c>
      <c r="U371">
        <v>7.9040529999999998E-2</v>
      </c>
      <c r="V371">
        <v>3.5225480000000003E-2</v>
      </c>
      <c r="W371">
        <v>0.13923489999999999</v>
      </c>
      <c r="X371">
        <v>0.98963270000000003</v>
      </c>
      <c r="Y371">
        <v>-3.4951179999999998E-2</v>
      </c>
      <c r="Z371">
        <v>2.136584E-3</v>
      </c>
      <c r="AA371">
        <v>0.99938669999999996</v>
      </c>
      <c r="AB371">
        <v>42</v>
      </c>
      <c r="AC371">
        <v>13.413099999999901</v>
      </c>
      <c r="AD371">
        <v>-1.108419306609</v>
      </c>
      <c r="AE371">
        <v>0.361800000000016</v>
      </c>
      <c r="AF371">
        <v>-0.48310284388881303</v>
      </c>
      <c r="AG371">
        <v>-1.108419306609</v>
      </c>
      <c r="AH371">
        <v>13.318276928289301</v>
      </c>
      <c r="AI371">
        <v>94.754389304496598</v>
      </c>
      <c r="AJ371">
        <v>92.077417641870994</v>
      </c>
      <c r="AK371">
        <v>13.373050588988299</v>
      </c>
      <c r="AL371">
        <v>81.996424655396794</v>
      </c>
      <c r="AM371">
        <v>87.961446079217595</v>
      </c>
      <c r="AN371">
        <v>1.00000003636426</v>
      </c>
    </row>
    <row r="372" spans="1:40" x14ac:dyDescent="0.25">
      <c r="A372" t="str">
        <f>"20190312164225174"</f>
        <v>20190312164225174</v>
      </c>
      <c r="B372" t="str">
        <f>"1552380145164415"</f>
        <v>1552380145164415</v>
      </c>
      <c r="C372" t="s">
        <v>40</v>
      </c>
      <c r="D372">
        <v>4.7492159999999997</v>
      </c>
      <c r="E372">
        <v>0.47662769999999999</v>
      </c>
      <c r="F372" t="s">
        <v>42</v>
      </c>
      <c r="G372">
        <v>-374.73320000000001</v>
      </c>
      <c r="H372" s="1">
        <v>-2.5152149999999999E-6</v>
      </c>
      <c r="I372">
        <v>368.07470000000001</v>
      </c>
      <c r="J372">
        <v>-388.2201</v>
      </c>
      <c r="K372">
        <v>1.1086929999999999</v>
      </c>
      <c r="L372">
        <v>367.70609999999999</v>
      </c>
      <c r="M372">
        <v>0.99985780000000002</v>
      </c>
      <c r="N372">
        <v>0</v>
      </c>
      <c r="O372">
        <v>-9.4118340000000009E-3</v>
      </c>
      <c r="P372">
        <v>0.99114650000000004</v>
      </c>
      <c r="Q372">
        <v>0.12513669999999999</v>
      </c>
      <c r="R372">
        <v>-4.4382419999999999E-2</v>
      </c>
      <c r="S372">
        <v>3.0615230000000002</v>
      </c>
      <c r="T372">
        <v>-0.2441237</v>
      </c>
      <c r="U372">
        <v>8.0322270000000001E-2</v>
      </c>
      <c r="V372">
        <v>3.5105289999999997E-2</v>
      </c>
      <c r="W372">
        <v>0.13898750000000001</v>
      </c>
      <c r="X372">
        <v>0.98967169999999904</v>
      </c>
      <c r="Y372">
        <v>-3.5492929999999999E-2</v>
      </c>
      <c r="Z372">
        <v>2.1618700000000002E-3</v>
      </c>
      <c r="AA372">
        <v>0.99936760000000002</v>
      </c>
      <c r="AB372">
        <v>42</v>
      </c>
      <c r="AC372">
        <v>13.486899999999901</v>
      </c>
      <c r="AD372">
        <v>-1.108695515215</v>
      </c>
      <c r="AE372">
        <v>0.36860000000001403</v>
      </c>
      <c r="AF372">
        <v>-0.49220883563053902</v>
      </c>
      <c r="AG372">
        <v>-1.108695515215</v>
      </c>
      <c r="AH372">
        <v>13.392398422589199</v>
      </c>
      <c r="AI372">
        <v>94.729285939218002</v>
      </c>
      <c r="AJ372">
        <v>92.104835921404103</v>
      </c>
      <c r="AK372">
        <v>13.447223162895</v>
      </c>
      <c r="AL372">
        <v>82.010738439100706</v>
      </c>
      <c r="AM372">
        <v>87.968475817287995</v>
      </c>
      <c r="AN372">
        <v>0.99999999016156105</v>
      </c>
    </row>
    <row r="373" spans="1:40" x14ac:dyDescent="0.25">
      <c r="A373" t="str">
        <f>"20190312164225194"</f>
        <v>20190312164225194</v>
      </c>
      <c r="B373" t="str">
        <f>"1552380145183950"</f>
        <v>1552380145183950</v>
      </c>
      <c r="C373" t="s">
        <v>40</v>
      </c>
      <c r="D373">
        <v>4.8300380000000001</v>
      </c>
      <c r="E373">
        <v>0.47646620000000001</v>
      </c>
      <c r="F373" t="s">
        <v>42</v>
      </c>
      <c r="G373">
        <v>-374.31459999999998</v>
      </c>
      <c r="H373" s="1">
        <v>-2.694614E-6</v>
      </c>
      <c r="I373">
        <v>368.07560000000001</v>
      </c>
      <c r="J373">
        <v>-387.8347</v>
      </c>
      <c r="K373">
        <v>1.108911</v>
      </c>
      <c r="L373">
        <v>367.70240000000001</v>
      </c>
      <c r="M373">
        <v>0.99985489999999999</v>
      </c>
      <c r="N373">
        <v>0</v>
      </c>
      <c r="O373">
        <v>-9.5219889999999998E-3</v>
      </c>
      <c r="P373">
        <v>0.99113030000000002</v>
      </c>
      <c r="Q373">
        <v>0.12535830000000001</v>
      </c>
      <c r="R373">
        <v>-4.412087E-2</v>
      </c>
      <c r="S373">
        <v>3.0612490000000001</v>
      </c>
      <c r="T373">
        <v>-0.24407519999999999</v>
      </c>
      <c r="U373">
        <v>8.1359860000000006E-2</v>
      </c>
      <c r="V373">
        <v>3.473366E-2</v>
      </c>
      <c r="W373">
        <v>0.13935020000000001</v>
      </c>
      <c r="X373">
        <v>0.98963380000000001</v>
      </c>
      <c r="Y373">
        <v>-3.5942160000000001E-2</v>
      </c>
      <c r="Z373">
        <v>2.1882730000000001E-3</v>
      </c>
      <c r="AA373">
        <v>0.99935149999999995</v>
      </c>
      <c r="AB373">
        <v>42</v>
      </c>
      <c r="AC373">
        <v>13.520099999999999</v>
      </c>
      <c r="AD373">
        <v>-1.1089136946139999</v>
      </c>
      <c r="AE373">
        <v>0.37319999999999698</v>
      </c>
      <c r="AF373">
        <v>-0.49858264338381802</v>
      </c>
      <c r="AG373">
        <v>-1.1089136946139999</v>
      </c>
      <c r="AH373">
        <v>13.4256842026545</v>
      </c>
      <c r="AI373">
        <v>94.718471492485705</v>
      </c>
      <c r="AJ373">
        <v>92.126786192316203</v>
      </c>
      <c r="AK373">
        <v>13.4806257474863</v>
      </c>
      <c r="AL373">
        <v>81.989752975747095</v>
      </c>
      <c r="AM373">
        <v>87.989887194301502</v>
      </c>
      <c r="AN373">
        <v>0.99999998173973703</v>
      </c>
    </row>
    <row r="374" spans="1:40" x14ac:dyDescent="0.25">
      <c r="A374" t="str">
        <f>"20190312164225217"</f>
        <v>20190312164225217</v>
      </c>
      <c r="B374" t="str">
        <f>"1552380145204431"</f>
        <v>1552380145204431</v>
      </c>
      <c r="C374" t="s">
        <v>40</v>
      </c>
      <c r="D374">
        <v>4.8976519999999999</v>
      </c>
      <c r="E374">
        <v>0.47634949999999998</v>
      </c>
      <c r="F374" t="s">
        <v>42</v>
      </c>
      <c r="G374">
        <v>-373.93020000000001</v>
      </c>
      <c r="H374" s="1">
        <v>-2.8585860000000001E-6</v>
      </c>
      <c r="I374">
        <v>368.08100000000002</v>
      </c>
      <c r="J374">
        <v>-387.42770000000002</v>
      </c>
      <c r="K374">
        <v>1.1090990000000001</v>
      </c>
      <c r="L374">
        <v>367.69839999999999</v>
      </c>
      <c r="M374">
        <v>0.99985179999999996</v>
      </c>
      <c r="N374">
        <v>0</v>
      </c>
      <c r="O374">
        <v>-9.6338610000000005E-3</v>
      </c>
      <c r="P374">
        <v>0.9911392</v>
      </c>
      <c r="Q374">
        <v>0.12534970000000001</v>
      </c>
      <c r="R374">
        <v>-4.3939329999999999E-2</v>
      </c>
      <c r="S374">
        <v>3.0614319999999999</v>
      </c>
      <c r="T374">
        <v>-0.24415539999999999</v>
      </c>
      <c r="U374">
        <v>8.3374019999999993E-2</v>
      </c>
      <c r="V374">
        <v>3.4439820000000003E-2</v>
      </c>
      <c r="W374">
        <v>0.1394753</v>
      </c>
      <c r="X374">
        <v>0.98962649999999996</v>
      </c>
      <c r="Y374">
        <v>-3.6706549999999998E-2</v>
      </c>
      <c r="Z374">
        <v>2.2281760000000001E-3</v>
      </c>
      <c r="AA374">
        <v>0.99932359999999998</v>
      </c>
      <c r="AB374">
        <v>42</v>
      </c>
      <c r="AC374">
        <v>13.4975</v>
      </c>
      <c r="AD374">
        <v>-1.109101858586</v>
      </c>
      <c r="AE374">
        <v>0.38259999999996802</v>
      </c>
      <c r="AF374">
        <v>-0.50919317543815201</v>
      </c>
      <c r="AG374">
        <v>-1.109101858586</v>
      </c>
      <c r="AH374">
        <v>13.402763618801901</v>
      </c>
      <c r="AI374">
        <v>94.727151623616805</v>
      </c>
      <c r="AJ374">
        <v>92.175715123538595</v>
      </c>
      <c r="AK374">
        <v>13.458211517289801</v>
      </c>
      <c r="AL374">
        <v>81.982515015953197</v>
      </c>
      <c r="AM374">
        <v>88.006863892994403</v>
      </c>
      <c r="AN374">
        <v>1.00000003500698</v>
      </c>
    </row>
    <row r="375" spans="1:40" x14ac:dyDescent="0.25">
      <c r="A375" t="str">
        <f>"20190312164225239"</f>
        <v>20190312164225239</v>
      </c>
      <c r="B375" t="str">
        <f>"1552380145233708"</f>
        <v>1552380145233708</v>
      </c>
      <c r="C375" t="s">
        <v>40</v>
      </c>
      <c r="D375">
        <v>4.9889799999999997</v>
      </c>
      <c r="E375">
        <v>0.47650049999999999</v>
      </c>
      <c r="F375" t="s">
        <v>42</v>
      </c>
      <c r="G375">
        <v>-373.48020000000002</v>
      </c>
      <c r="H375" s="1">
        <v>-3.0511739999999998E-6</v>
      </c>
      <c r="I375">
        <v>368.08350000000002</v>
      </c>
      <c r="J375">
        <v>-386.99470000000002</v>
      </c>
      <c r="K375">
        <v>1.1092709999999999</v>
      </c>
      <c r="L375">
        <v>367.69420000000002</v>
      </c>
      <c r="M375">
        <v>0.99984899999999999</v>
      </c>
      <c r="N375">
        <v>0</v>
      </c>
      <c r="O375">
        <v>-9.7465050000000008E-3</v>
      </c>
      <c r="P375">
        <v>0.99115010000000003</v>
      </c>
      <c r="Q375">
        <v>0.12536359999999999</v>
      </c>
      <c r="R375">
        <v>-4.3655680000000002E-2</v>
      </c>
      <c r="S375">
        <v>3.0613100000000002</v>
      </c>
      <c r="T375">
        <v>-0.24343409999999999</v>
      </c>
      <c r="U375">
        <v>8.4533689999999995E-2</v>
      </c>
      <c r="V375">
        <v>3.4042749999999997E-2</v>
      </c>
      <c r="W375">
        <v>0.13961460000000001</v>
      </c>
      <c r="X375">
        <v>0.98962059999999996</v>
      </c>
      <c r="Y375">
        <v>-3.7197460000000002E-2</v>
      </c>
      <c r="Z375">
        <v>2.2501190000000001E-3</v>
      </c>
      <c r="AA375">
        <v>0.99930540000000001</v>
      </c>
      <c r="AB375">
        <v>42</v>
      </c>
      <c r="AC375">
        <v>13.5144999999999</v>
      </c>
      <c r="AD375">
        <v>-1.10927405117399</v>
      </c>
      <c r="AE375">
        <v>0.38929999999999099</v>
      </c>
      <c r="AF375">
        <v>-0.51753047893474702</v>
      </c>
      <c r="AG375">
        <v>-1.10927405117399</v>
      </c>
      <c r="AH375">
        <v>13.4197271716604</v>
      </c>
      <c r="AI375">
        <v>94.721829853459298</v>
      </c>
      <c r="AJ375">
        <v>92.208511751831196</v>
      </c>
      <c r="AK375">
        <v>13.4754370644901</v>
      </c>
      <c r="AL375">
        <v>81.974454880829995</v>
      </c>
      <c r="AM375">
        <v>88.029813577804404</v>
      </c>
      <c r="AN375">
        <v>1.0000000386525401</v>
      </c>
    </row>
    <row r="376" spans="1:40" x14ac:dyDescent="0.25">
      <c r="A376" t="str">
        <f>"20190312164225263"</f>
        <v>20190312164225263</v>
      </c>
      <c r="B376" t="str">
        <f>"1552380145254204"</f>
        <v>1552380145254204</v>
      </c>
      <c r="C376" t="s">
        <v>40</v>
      </c>
      <c r="D376">
        <v>4.6614360000000001</v>
      </c>
      <c r="E376">
        <v>0.47638999999999998</v>
      </c>
      <c r="F376" t="s">
        <v>42</v>
      </c>
      <c r="G376">
        <v>-373.08089999999999</v>
      </c>
      <c r="H376" s="1">
        <v>-3.2237499999999998E-6</v>
      </c>
      <c r="I376">
        <v>368.07639999999998</v>
      </c>
      <c r="J376">
        <v>-386.55410000000001</v>
      </c>
      <c r="K376">
        <v>1.109418</v>
      </c>
      <c r="L376">
        <v>367.68979999999999</v>
      </c>
      <c r="M376">
        <v>0.99984629999999997</v>
      </c>
      <c r="N376">
        <v>0</v>
      </c>
      <c r="O376">
        <v>-9.8528390000000004E-3</v>
      </c>
      <c r="P376">
        <v>0.99119880000000005</v>
      </c>
      <c r="Q376">
        <v>0.12512089999999901</v>
      </c>
      <c r="R376">
        <v>-4.3245190000000003E-2</v>
      </c>
      <c r="S376">
        <v>3.0613100000000002</v>
      </c>
      <c r="T376">
        <v>-0.244061</v>
      </c>
      <c r="U376">
        <v>8.4106449999999999E-2</v>
      </c>
      <c r="V376">
        <v>3.3524190000000002E-2</v>
      </c>
      <c r="W376">
        <v>0.13948379999999999</v>
      </c>
      <c r="X376">
        <v>0.98965669999999994</v>
      </c>
      <c r="Y376">
        <v>-3.7163380000000003E-2</v>
      </c>
      <c r="Z376">
        <v>2.2630089999999999E-3</v>
      </c>
      <c r="AA376">
        <v>0.99930660000000004</v>
      </c>
      <c r="AB376">
        <v>42</v>
      </c>
      <c r="AC376">
        <v>13.4732</v>
      </c>
      <c r="AD376">
        <v>-1.1094212237500001</v>
      </c>
      <c r="AE376">
        <v>0.38659999999998701</v>
      </c>
      <c r="AF376">
        <v>-0.51584970278881104</v>
      </c>
      <c r="AG376">
        <v>-1.1094212237500001</v>
      </c>
      <c r="AH376">
        <v>13.3781029057456</v>
      </c>
      <c r="AI376">
        <v>94.737081062318595</v>
      </c>
      <c r="AJ376">
        <v>92.208188707720794</v>
      </c>
      <c r="AK376">
        <v>13.433932920939201</v>
      </c>
      <c r="AL376">
        <v>81.982022853753904</v>
      </c>
      <c r="AM376">
        <v>88.059872267875903</v>
      </c>
      <c r="AN376">
        <v>0.99999999281624297</v>
      </c>
    </row>
    <row r="377" spans="1:40" x14ac:dyDescent="0.25">
      <c r="A377" t="str">
        <f>"20190312164225286"</f>
        <v>20190312164225286</v>
      </c>
      <c r="B377" t="str">
        <f>"1552380145273724"</f>
        <v>1552380145273724</v>
      </c>
      <c r="C377" t="s">
        <v>40</v>
      </c>
      <c r="D377">
        <v>4.734305</v>
      </c>
      <c r="E377">
        <v>0.476267</v>
      </c>
      <c r="F377" t="s">
        <v>42</v>
      </c>
      <c r="G377">
        <v>-372.67290000000003</v>
      </c>
      <c r="H377" s="1">
        <v>-3.3977960000000002E-6</v>
      </c>
      <c r="I377">
        <v>368.08199999999999</v>
      </c>
      <c r="J377">
        <v>-386.12909999999999</v>
      </c>
      <c r="K377">
        <v>1.10954</v>
      </c>
      <c r="L377">
        <v>367.68549999999999</v>
      </c>
      <c r="M377">
        <v>0.99984390000000001</v>
      </c>
      <c r="N377">
        <v>0</v>
      </c>
      <c r="O377">
        <v>-9.9466269999999996E-3</v>
      </c>
      <c r="P377">
        <v>0.9912784</v>
      </c>
      <c r="Q377">
        <v>0.12471500000000001</v>
      </c>
      <c r="R377">
        <v>-4.2585749999999999E-2</v>
      </c>
      <c r="S377">
        <v>3.0613100000000002</v>
      </c>
      <c r="T377">
        <v>-0.24466650000000001</v>
      </c>
      <c r="U377">
        <v>8.6517330000000003E-2</v>
      </c>
      <c r="V377">
        <v>3.276871E-2</v>
      </c>
      <c r="W377">
        <v>0.13917260000000001</v>
      </c>
      <c r="X377">
        <v>0.98972579999999999</v>
      </c>
      <c r="Y377">
        <v>-3.8039679999999999E-2</v>
      </c>
      <c r="Z377">
        <v>2.3110209999999999E-3</v>
      </c>
      <c r="AA377">
        <v>0.99927350000000004</v>
      </c>
      <c r="AB377">
        <v>42</v>
      </c>
      <c r="AC377">
        <v>13.4561999999999</v>
      </c>
      <c r="AD377">
        <v>-1.1095433977960001</v>
      </c>
      <c r="AE377">
        <v>0.39650000000000302</v>
      </c>
      <c r="AF377">
        <v>-0.52676013196586102</v>
      </c>
      <c r="AG377">
        <v>-1.1095433977960001</v>
      </c>
      <c r="AH377">
        <v>13.360828740706401</v>
      </c>
      <c r="AI377">
        <v>94.743538355641604</v>
      </c>
      <c r="AJ377">
        <v>92.257757345483299</v>
      </c>
      <c r="AK377">
        <v>13.4171646567636</v>
      </c>
      <c r="AL377">
        <v>82.000028824458099</v>
      </c>
      <c r="AM377">
        <v>88.103693776948404</v>
      </c>
      <c r="AN377">
        <v>0.99999998006573099</v>
      </c>
    </row>
    <row r="378" spans="1:40" x14ac:dyDescent="0.25">
      <c r="A378" t="str">
        <f>"20190312164225307"</f>
        <v>20190312164225307</v>
      </c>
      <c r="B378" t="str">
        <f>"1552380145303979"</f>
        <v>1552380145303979</v>
      </c>
      <c r="C378" t="s">
        <v>40</v>
      </c>
      <c r="D378">
        <v>4.6069009999999997</v>
      </c>
      <c r="E378">
        <v>0.47617939999999997</v>
      </c>
      <c r="F378" t="s">
        <v>42</v>
      </c>
      <c r="G378">
        <v>-372.44690000000003</v>
      </c>
      <c r="H378" s="1">
        <v>-3.4946E-6</v>
      </c>
      <c r="I378">
        <v>368.08269999999999</v>
      </c>
      <c r="J378">
        <v>-385.71980000000002</v>
      </c>
      <c r="K378">
        <v>1.1096379999999999</v>
      </c>
      <c r="L378">
        <v>367.6814</v>
      </c>
      <c r="M378">
        <v>0.99984200000000001</v>
      </c>
      <c r="N378">
        <v>0</v>
      </c>
      <c r="O378">
        <v>-1.0029450000000001E-2</v>
      </c>
      <c r="P378">
        <v>0.99131380000000002</v>
      </c>
      <c r="Q378">
        <v>0.1246525</v>
      </c>
      <c r="R378">
        <v>-4.1938540000000003E-2</v>
      </c>
      <c r="S378">
        <v>3.061493</v>
      </c>
      <c r="T378">
        <v>-0.2482684</v>
      </c>
      <c r="U378">
        <v>8.8897710000000005E-2</v>
      </c>
      <c r="V378">
        <v>3.2036700000000001E-2</v>
      </c>
      <c r="W378">
        <v>0.13919010000000001</v>
      </c>
      <c r="X378">
        <v>0.9897473</v>
      </c>
      <c r="Y378">
        <v>-3.8889519999999997E-2</v>
      </c>
      <c r="Z378">
        <v>2.3858680000000002E-3</v>
      </c>
      <c r="AA378">
        <v>0.99924069999999998</v>
      </c>
      <c r="AB378">
        <v>42</v>
      </c>
      <c r="AC378">
        <v>13.2728999999999</v>
      </c>
      <c r="AD378">
        <v>-1.1096414945999999</v>
      </c>
      <c r="AE378">
        <v>0.401299999999992</v>
      </c>
      <c r="AF378">
        <v>-0.530708145814071</v>
      </c>
      <c r="AG378">
        <v>-1.1096414945999999</v>
      </c>
      <c r="AH378">
        <v>13.176198718849101</v>
      </c>
      <c r="AI378">
        <v>94.809957909927604</v>
      </c>
      <c r="AJ378">
        <v>92.306500552026705</v>
      </c>
      <c r="AK378">
        <v>13.2334866177124</v>
      </c>
      <c r="AL378">
        <v>81.999016260262394</v>
      </c>
      <c r="AM378">
        <v>88.146065115714904</v>
      </c>
      <c r="AN378">
        <v>0.99999997597109402</v>
      </c>
    </row>
    <row r="379" spans="1:40" x14ac:dyDescent="0.25">
      <c r="A379" t="str">
        <f>"20190312164225330"</f>
        <v>20190312164225330</v>
      </c>
      <c r="B379" t="str">
        <f>"1552380145324475"</f>
        <v>1552380145324475</v>
      </c>
      <c r="C379" t="s">
        <v>40</v>
      </c>
      <c r="D379">
        <v>4.6056350000000004</v>
      </c>
      <c r="E379">
        <v>0.4761859</v>
      </c>
      <c r="F379" t="s">
        <v>42</v>
      </c>
      <c r="G379">
        <v>-372.00229999999999</v>
      </c>
      <c r="H379" s="1">
        <v>-3.684192E-6</v>
      </c>
      <c r="I379">
        <v>368.08909999999997</v>
      </c>
      <c r="J379">
        <v>-385.30259999999998</v>
      </c>
      <c r="K379">
        <v>1.1097220000000001</v>
      </c>
      <c r="L379">
        <v>367.6771</v>
      </c>
      <c r="M379">
        <v>0.99984019999999996</v>
      </c>
      <c r="N379">
        <v>0</v>
      </c>
      <c r="O379">
        <v>-1.010312E-2</v>
      </c>
      <c r="P379">
        <v>0.99138669999999995</v>
      </c>
      <c r="Q379">
        <v>0.1244014</v>
      </c>
      <c r="R379">
        <v>-4.094706E-2</v>
      </c>
      <c r="S379">
        <v>3.0612789999999999</v>
      </c>
      <c r="T379">
        <v>-0.24763309999999999</v>
      </c>
      <c r="U379">
        <v>9.1003420000000002E-2</v>
      </c>
      <c r="V379">
        <v>3.0968249999999999E-2</v>
      </c>
      <c r="W379">
        <v>0.1390111</v>
      </c>
      <c r="X379">
        <v>0.98980650000000003</v>
      </c>
      <c r="Y379">
        <v>-3.964997E-2</v>
      </c>
      <c r="Z379">
        <v>2.4165749999999998E-3</v>
      </c>
      <c r="AA379">
        <v>0.99921070000000001</v>
      </c>
      <c r="AB379">
        <v>42</v>
      </c>
      <c r="AC379">
        <v>13.300299999999901</v>
      </c>
      <c r="AD379">
        <v>-1.10972568419199</v>
      </c>
      <c r="AE379">
        <v>0.411999999999977</v>
      </c>
      <c r="AF379">
        <v>-0.542594412094769</v>
      </c>
      <c r="AG379">
        <v>-1.10972568419199</v>
      </c>
      <c r="AH379">
        <v>13.2036279763216</v>
      </c>
      <c r="AI379">
        <v>94.8002164345029</v>
      </c>
      <c r="AJ379">
        <v>92.3532083346375</v>
      </c>
      <c r="AK379">
        <v>13.261285440231401</v>
      </c>
      <c r="AL379">
        <v>82.009373186875393</v>
      </c>
      <c r="AM379">
        <v>88.207961454315907</v>
      </c>
      <c r="AN379">
        <v>1.0000000129367601</v>
      </c>
    </row>
    <row r="380" spans="1:40" x14ac:dyDescent="0.25">
      <c r="A380" t="str">
        <f>"20190312164225352"</f>
        <v>20190312164225352</v>
      </c>
      <c r="B380" t="str">
        <f>"1552380145343996"</f>
        <v>1552380145343996</v>
      </c>
      <c r="C380" t="s">
        <v>40</v>
      </c>
      <c r="D380">
        <v>4.5807310000000001</v>
      </c>
      <c r="E380">
        <v>0.47608699999999998</v>
      </c>
      <c r="F380" t="s">
        <v>42</v>
      </c>
      <c r="G380">
        <v>-371.64370000000002</v>
      </c>
      <c r="H380" s="1">
        <v>-3.8366620000000003E-6</v>
      </c>
      <c r="I380">
        <v>368.09699999999998</v>
      </c>
      <c r="J380">
        <v>-384.88260000000002</v>
      </c>
      <c r="K380">
        <v>1.1097999999999999</v>
      </c>
      <c r="L380">
        <v>367.6728</v>
      </c>
      <c r="M380">
        <v>0.99983869999999997</v>
      </c>
      <c r="N380">
        <v>0</v>
      </c>
      <c r="O380">
        <v>-1.016272E-2</v>
      </c>
      <c r="P380">
        <v>0.99146190000000001</v>
      </c>
      <c r="Q380">
        <v>0.1241158</v>
      </c>
      <c r="R380">
        <v>-3.9985779999999999E-2</v>
      </c>
      <c r="S380">
        <v>3.0611269999999999</v>
      </c>
      <c r="T380">
        <v>-0.24870059999999999</v>
      </c>
      <c r="U380">
        <v>9.4116210000000006E-2</v>
      </c>
      <c r="V380">
        <v>2.9942779999999999E-2</v>
      </c>
      <c r="W380">
        <v>0.13878969999999999</v>
      </c>
      <c r="X380">
        <v>0.98986909999999895</v>
      </c>
      <c r="Y380">
        <v>-4.0721019999999997E-2</v>
      </c>
      <c r="Z380">
        <v>2.4753050000000001E-3</v>
      </c>
      <c r="AA380">
        <v>0.99916749999999999</v>
      </c>
      <c r="AB380">
        <v>42</v>
      </c>
      <c r="AC380">
        <v>13.238899999999999</v>
      </c>
      <c r="AD380">
        <v>-1.109803836662</v>
      </c>
      <c r="AE380">
        <v>0.42419999999998398</v>
      </c>
      <c r="AF380">
        <v>-0.55484104041601301</v>
      </c>
      <c r="AG380">
        <v>-1.109803836662</v>
      </c>
      <c r="AH380">
        <v>13.141649047320399</v>
      </c>
      <c r="AI380">
        <v>94.822862116960195</v>
      </c>
      <c r="AJ380">
        <v>92.417594705769702</v>
      </c>
      <c r="AK380">
        <v>13.200092909481301</v>
      </c>
      <c r="AL380">
        <v>82.022182482676101</v>
      </c>
      <c r="AM380">
        <v>88.2673750071001</v>
      </c>
      <c r="AN380">
        <v>0.99999999301751397</v>
      </c>
    </row>
    <row r="381" spans="1:40" x14ac:dyDescent="0.25">
      <c r="A381" t="str">
        <f>"20190312164225374"</f>
        <v>20190312164225374</v>
      </c>
      <c r="B381" t="str">
        <f>"1552380145364495"</f>
        <v>1552380145364495</v>
      </c>
      <c r="C381" t="s">
        <v>40</v>
      </c>
      <c r="D381">
        <v>4.584238</v>
      </c>
      <c r="E381">
        <v>0.47609030000000002</v>
      </c>
      <c r="F381" t="s">
        <v>42</v>
      </c>
      <c r="G381">
        <v>-371.21980000000002</v>
      </c>
      <c r="H381" s="1">
        <v>-4.016038E-6</v>
      </c>
      <c r="I381">
        <v>368.11090000000002</v>
      </c>
      <c r="J381">
        <v>-384.4812</v>
      </c>
      <c r="K381">
        <v>1.1098619999999999</v>
      </c>
      <c r="L381">
        <v>367.6687</v>
      </c>
      <c r="M381">
        <v>0.99983759999999999</v>
      </c>
      <c r="N381">
        <v>0</v>
      </c>
      <c r="O381">
        <v>-1.020445E-2</v>
      </c>
      <c r="P381">
        <v>0.99137909999999996</v>
      </c>
      <c r="Q381">
        <v>0.12472750000000001</v>
      </c>
      <c r="R381">
        <v>-4.0139599999999998E-2</v>
      </c>
      <c r="S381">
        <v>3.0609440000000001</v>
      </c>
      <c r="T381">
        <v>-0.24863360000000001</v>
      </c>
      <c r="U381">
        <v>9.817505E-2</v>
      </c>
      <c r="V381">
        <v>3.0051350000000001E-2</v>
      </c>
      <c r="W381">
        <v>0.1394522</v>
      </c>
      <c r="X381">
        <v>0.98977269999999995</v>
      </c>
      <c r="Y381">
        <v>-4.2083589999999997E-2</v>
      </c>
      <c r="Z381">
        <v>2.5333560000000001E-3</v>
      </c>
      <c r="AA381">
        <v>0.99911090000000002</v>
      </c>
      <c r="AB381">
        <v>42</v>
      </c>
      <c r="AC381">
        <v>13.261399999999901</v>
      </c>
      <c r="AD381">
        <v>-1.1098660160380001</v>
      </c>
      <c r="AE381">
        <v>0.44220000000001303</v>
      </c>
      <c r="AF381">
        <v>-0.57350468061431803</v>
      </c>
      <c r="AG381">
        <v>-1.1098660160380001</v>
      </c>
      <c r="AH381">
        <v>13.1640941120191</v>
      </c>
      <c r="AI381">
        <v>94.8146700893749</v>
      </c>
      <c r="AJ381">
        <v>92.494560753648898</v>
      </c>
      <c r="AK381">
        <v>13.2232402981394</v>
      </c>
      <c r="AL381">
        <v>81.983851317707703</v>
      </c>
      <c r="AM381">
        <v>88.260927246391404</v>
      </c>
      <c r="AN381">
        <v>0.999999998693476</v>
      </c>
    </row>
    <row r="382" spans="1:40" x14ac:dyDescent="0.25">
      <c r="A382" t="str">
        <f>"20190312164225395"</f>
        <v>20190312164225395</v>
      </c>
      <c r="B382" t="str">
        <f>"1552380145384012"</f>
        <v>1552380145384012</v>
      </c>
      <c r="C382" t="s">
        <v>40</v>
      </c>
      <c r="D382">
        <v>4.6733659999999997</v>
      </c>
      <c r="E382">
        <v>0.47603499999999999</v>
      </c>
      <c r="F382" t="s">
        <v>42</v>
      </c>
      <c r="G382">
        <v>-370.67599999999999</v>
      </c>
      <c r="H382" s="1">
        <v>-4.249448E-6</v>
      </c>
      <c r="I382">
        <v>368.11009999999999</v>
      </c>
      <c r="J382">
        <v>-384.08769999999998</v>
      </c>
      <c r="K382">
        <v>1.1099060000000001</v>
      </c>
      <c r="L382">
        <v>367.66460000000001</v>
      </c>
      <c r="M382">
        <v>0.99983659999999996</v>
      </c>
      <c r="N382">
        <v>0</v>
      </c>
      <c r="O382">
        <v>-1.023337E-2</v>
      </c>
      <c r="P382">
        <v>0.9913727</v>
      </c>
      <c r="Q382">
        <v>0.124788</v>
      </c>
      <c r="R382">
        <v>-4.0109249999999999E-2</v>
      </c>
      <c r="S382">
        <v>3.0610050000000002</v>
      </c>
      <c r="T382">
        <v>-0.24608740000000001</v>
      </c>
      <c r="U382">
        <v>9.7900390000000004E-2</v>
      </c>
      <c r="V382">
        <v>2.9987630000000001E-2</v>
      </c>
      <c r="W382">
        <v>0.139557399999999</v>
      </c>
      <c r="X382">
        <v>0.98975979999999997</v>
      </c>
      <c r="Y382">
        <v>-4.2025890000000003E-2</v>
      </c>
      <c r="Z382">
        <v>2.5074569999999998E-3</v>
      </c>
      <c r="AA382">
        <v>0.99911340000000004</v>
      </c>
      <c r="AB382">
        <v>42</v>
      </c>
      <c r="AC382">
        <v>13.4116999999999</v>
      </c>
      <c r="AD382">
        <v>-1.109910249448</v>
      </c>
      <c r="AE382">
        <v>0.44549999999998102</v>
      </c>
      <c r="AF382">
        <v>-0.578779280263234</v>
      </c>
      <c r="AG382">
        <v>-1.109910249448</v>
      </c>
      <c r="AH382">
        <v>13.315345821778401</v>
      </c>
      <c r="AI382">
        <v>94.760441203058903</v>
      </c>
      <c r="AJ382">
        <v>92.488913849622705</v>
      </c>
      <c r="AK382">
        <v>13.3740540065697</v>
      </c>
      <c r="AL382">
        <v>81.977764239201093</v>
      </c>
      <c r="AM382">
        <v>88.264589863718896</v>
      </c>
      <c r="AN382">
        <v>0.99999999377190796</v>
      </c>
    </row>
    <row r="383" spans="1:40" x14ac:dyDescent="0.25">
      <c r="A383" t="str">
        <f>"20190312164225418"</f>
        <v>20190312164225418</v>
      </c>
      <c r="B383" t="str">
        <f>"1552380145414268"</f>
        <v>1552380145414268</v>
      </c>
      <c r="C383" t="s">
        <v>40</v>
      </c>
      <c r="D383">
        <v>4.5714160000000001</v>
      </c>
      <c r="E383">
        <v>0.47601510000000002</v>
      </c>
      <c r="F383" t="s">
        <v>42</v>
      </c>
      <c r="G383">
        <v>-370.25709999999998</v>
      </c>
      <c r="H383" s="1">
        <v>-4.428751E-6</v>
      </c>
      <c r="I383">
        <v>368.1123</v>
      </c>
      <c r="J383">
        <v>-383.66789999999997</v>
      </c>
      <c r="K383">
        <v>1.109958</v>
      </c>
      <c r="L383">
        <v>367.66030000000001</v>
      </c>
      <c r="M383">
        <v>0.99983560000000005</v>
      </c>
      <c r="N383">
        <v>0</v>
      </c>
      <c r="O383">
        <v>-1.024781E-2</v>
      </c>
      <c r="P383">
        <v>0.99143950000000003</v>
      </c>
      <c r="Q383">
        <v>0.124279</v>
      </c>
      <c r="R383">
        <v>-4.0031780000000003E-2</v>
      </c>
      <c r="S383">
        <v>3.061035</v>
      </c>
      <c r="T383">
        <v>-0.24564849999999999</v>
      </c>
      <c r="U383">
        <v>9.9090579999999998E-2</v>
      </c>
      <c r="V383">
        <v>2.988975E-2</v>
      </c>
      <c r="W383">
        <v>0.1390914</v>
      </c>
      <c r="X383">
        <v>0.98982829999999999</v>
      </c>
      <c r="Y383">
        <v>-4.2427350000000003E-2</v>
      </c>
      <c r="Z383">
        <v>2.5201949999999998E-3</v>
      </c>
      <c r="AA383">
        <v>0.9990964</v>
      </c>
      <c r="AB383">
        <v>42</v>
      </c>
      <c r="AC383">
        <v>13.410799999999901</v>
      </c>
      <c r="AD383">
        <v>-1.1099624287509999</v>
      </c>
      <c r="AE383">
        <v>0.45199999999999801</v>
      </c>
      <c r="AF383">
        <v>-0.58541725726370697</v>
      </c>
      <c r="AG383">
        <v>-1.1099624287509999</v>
      </c>
      <c r="AH383">
        <v>13.314359747883101</v>
      </c>
      <c r="AI383">
        <v>94.760911170422006</v>
      </c>
      <c r="AJ383">
        <v>92.517608706862106</v>
      </c>
      <c r="AK383">
        <v>13.3733655245936</v>
      </c>
      <c r="AL383">
        <v>82.004726606703798</v>
      </c>
      <c r="AM383">
        <v>88.270370450070899</v>
      </c>
      <c r="AN383">
        <v>0.99999993909495399</v>
      </c>
    </row>
    <row r="384" spans="1:40" x14ac:dyDescent="0.25">
      <c r="A384" t="str">
        <f>"20190312164225441"</f>
        <v>20190312164225441</v>
      </c>
      <c r="B384" t="str">
        <f>"1552380145433788"</f>
        <v>1552380145433788</v>
      </c>
      <c r="C384" t="s">
        <v>40</v>
      </c>
      <c r="D384">
        <v>4.581664</v>
      </c>
      <c r="E384">
        <v>0.47597440000000002</v>
      </c>
      <c r="F384" t="s">
        <v>42</v>
      </c>
      <c r="G384">
        <v>-369.86880000000002</v>
      </c>
      <c r="H384" s="1">
        <v>-4.3123059999999898E-7</v>
      </c>
      <c r="I384">
        <v>368.11099999999999</v>
      </c>
      <c r="J384">
        <v>-383.23750000000001</v>
      </c>
      <c r="K384">
        <v>1.1100099999999999</v>
      </c>
      <c r="L384">
        <v>367.65600000000001</v>
      </c>
      <c r="M384">
        <v>0.99983529999999998</v>
      </c>
      <c r="N384">
        <v>0</v>
      </c>
      <c r="O384">
        <v>-1.0233020000000001E-2</v>
      </c>
      <c r="P384">
        <v>0.99147220000000003</v>
      </c>
      <c r="Q384">
        <v>0.124112</v>
      </c>
      <c r="R384">
        <v>-3.9741980000000003E-2</v>
      </c>
      <c r="S384">
        <v>3.060791</v>
      </c>
      <c r="T384">
        <v>-0.24619869999999999</v>
      </c>
      <c r="U384">
        <v>9.9975590000000003E-2</v>
      </c>
      <c r="V384">
        <v>2.9606919999999998E-2</v>
      </c>
      <c r="W384">
        <v>0.13896249999999999</v>
      </c>
      <c r="X384">
        <v>0.98985500000000004</v>
      </c>
      <c r="Y384">
        <v>-4.2702110000000001E-2</v>
      </c>
      <c r="Z384">
        <v>2.5358529999999998E-3</v>
      </c>
      <c r="AA384">
        <v>0.99908470000000005</v>
      </c>
      <c r="AB384">
        <v>42</v>
      </c>
      <c r="AC384">
        <v>13.368699999999899</v>
      </c>
      <c r="AD384">
        <v>-1.1100104312305901</v>
      </c>
      <c r="AE384">
        <v>0.45499999999998397</v>
      </c>
      <c r="AF384">
        <v>-0.58774643777602298</v>
      </c>
      <c r="AG384">
        <v>-1.1100104312305901</v>
      </c>
      <c r="AH384">
        <v>13.2719514143285</v>
      </c>
      <c r="AI384">
        <v>94.7761930486582</v>
      </c>
      <c r="AJ384">
        <v>92.535678513287195</v>
      </c>
      <c r="AK384">
        <v>13.331251380754001</v>
      </c>
      <c r="AL384">
        <v>82.012185218942307</v>
      </c>
      <c r="AM384">
        <v>88.286773352729398</v>
      </c>
      <c r="AN384">
        <v>1.00000003357156</v>
      </c>
    </row>
    <row r="385" spans="1:40" x14ac:dyDescent="0.25">
      <c r="A385" t="str">
        <f>"20190312164225474"</f>
        <v>20190312164225474</v>
      </c>
      <c r="B385" t="str">
        <f>"1552380145464043"</f>
        <v>1552380145464043</v>
      </c>
      <c r="C385" t="s">
        <v>40</v>
      </c>
      <c r="D385">
        <v>4.7879290000000001</v>
      </c>
      <c r="E385">
        <v>0.47611189999999998</v>
      </c>
      <c r="F385" t="s">
        <v>42</v>
      </c>
      <c r="G385">
        <v>-369.45370000000003</v>
      </c>
      <c r="H385" s="1">
        <v>-5.7270659999999899E-7</v>
      </c>
      <c r="I385">
        <v>368.11020000000002</v>
      </c>
      <c r="J385">
        <v>-382.62389999999999</v>
      </c>
      <c r="K385">
        <v>1.110085</v>
      </c>
      <c r="L385">
        <v>367.6497</v>
      </c>
      <c r="M385">
        <v>0.99983580000000005</v>
      </c>
      <c r="N385">
        <v>0</v>
      </c>
      <c r="O385">
        <v>-1.013209E-2</v>
      </c>
      <c r="P385">
        <v>0.99148890000000001</v>
      </c>
      <c r="Q385">
        <v>0.12384779999999999</v>
      </c>
      <c r="R385">
        <v>-4.0148240000000002E-2</v>
      </c>
      <c r="S385">
        <v>3.06073</v>
      </c>
      <c r="T385">
        <v>-0.24647839999999999</v>
      </c>
      <c r="U385">
        <v>0.1008911</v>
      </c>
      <c r="V385">
        <v>3.0097100000000002E-2</v>
      </c>
      <c r="W385">
        <v>0.1387438</v>
      </c>
      <c r="X385">
        <v>0.98987080000000005</v>
      </c>
      <c r="Y385">
        <v>-4.2899739999999999E-2</v>
      </c>
      <c r="Z385">
        <v>2.538593E-3</v>
      </c>
      <c r="AA385">
        <v>0.99907610000000002</v>
      </c>
      <c r="AB385">
        <v>41</v>
      </c>
      <c r="AC385">
        <v>13.1701999999999</v>
      </c>
      <c r="AD385">
        <v>-1.1100855727065999</v>
      </c>
      <c r="AE385">
        <v>0.460500000000024</v>
      </c>
      <c r="AF385">
        <v>-0.58974837117575396</v>
      </c>
      <c r="AG385">
        <v>-1.1100855727065999</v>
      </c>
      <c r="AH385">
        <v>13.07210125466</v>
      </c>
      <c r="AI385">
        <v>94.849015302879906</v>
      </c>
      <c r="AJ385">
        <v>92.583149783130494</v>
      </c>
      <c r="AK385">
        <v>13.132399793340101</v>
      </c>
      <c r="AL385">
        <v>82.024837618393406</v>
      </c>
      <c r="AM385">
        <v>88.258453826383302</v>
      </c>
      <c r="AN385">
        <v>0.99999993907974305</v>
      </c>
    </row>
    <row r="386" spans="1:40" x14ac:dyDescent="0.25">
      <c r="A386" t="str">
        <f>"20190312164225496"</f>
        <v>20190312164225496</v>
      </c>
      <c r="B386" t="str">
        <f>"1552380145484542"</f>
        <v>1552380145484542</v>
      </c>
      <c r="C386" t="s">
        <v>40</v>
      </c>
      <c r="D386">
        <v>4.7342399999999998</v>
      </c>
      <c r="E386">
        <v>0.47628680000000001</v>
      </c>
      <c r="F386" t="s">
        <v>42</v>
      </c>
      <c r="G386">
        <v>-368.77019999999999</v>
      </c>
      <c r="H386" s="1">
        <v>-8.1037169999999899E-7</v>
      </c>
      <c r="I386">
        <v>368.09120000000001</v>
      </c>
      <c r="J386">
        <v>-382.2287</v>
      </c>
      <c r="K386">
        <v>1.1101379999999901</v>
      </c>
      <c r="L386">
        <v>367.64580000000001</v>
      </c>
      <c r="M386">
        <v>0.99983639999999996</v>
      </c>
      <c r="N386">
        <v>0</v>
      </c>
      <c r="O386">
        <v>-1.00248E-2</v>
      </c>
      <c r="P386">
        <v>0.991483</v>
      </c>
      <c r="Q386">
        <v>0.12388440000000001</v>
      </c>
      <c r="R386">
        <v>-4.0176259999999998E-2</v>
      </c>
      <c r="S386">
        <v>3.0603639999999999</v>
      </c>
      <c r="T386">
        <v>-0.24522269999999999</v>
      </c>
      <c r="U386">
        <v>9.7534179999999998E-2</v>
      </c>
      <c r="V386">
        <v>3.021946E-2</v>
      </c>
      <c r="W386">
        <v>0.1388057</v>
      </c>
      <c r="X386">
        <v>0.98985840000000003</v>
      </c>
      <c r="Y386">
        <v>-4.1707550000000003E-2</v>
      </c>
      <c r="Z386">
        <v>2.4697880000000001E-3</v>
      </c>
      <c r="AA386">
        <v>0.99912679999999998</v>
      </c>
      <c r="AB386">
        <v>41</v>
      </c>
      <c r="AC386">
        <v>13.458500000000001</v>
      </c>
      <c r="AD386">
        <v>-1.11013881037169</v>
      </c>
      <c r="AE386">
        <v>0.44540000000000601</v>
      </c>
      <c r="AF386">
        <v>-0.57639421052141804</v>
      </c>
      <c r="AG386">
        <v>-1.11013881037169</v>
      </c>
      <c r="AH386">
        <v>13.3625393990785</v>
      </c>
      <c r="AI386">
        <v>94.744745395370401</v>
      </c>
      <c r="AJ386">
        <v>92.469926934123606</v>
      </c>
      <c r="AK386">
        <v>13.420957404601999</v>
      </c>
      <c r="AL386">
        <v>82.021256405243506</v>
      </c>
      <c r="AM386">
        <v>88.251356051835302</v>
      </c>
      <c r="AN386">
        <v>0.99999994508286905</v>
      </c>
    </row>
    <row r="387" spans="1:40" x14ac:dyDescent="0.25">
      <c r="A387" t="str">
        <f>"20190312164225520"</f>
        <v>20190312164225520</v>
      </c>
      <c r="B387" t="str">
        <f>"1552380145513820"</f>
        <v>1552380145513820</v>
      </c>
      <c r="C387" t="s">
        <v>40</v>
      </c>
      <c r="D387">
        <v>4.5658810000000001</v>
      </c>
      <c r="E387">
        <v>0.47638920000000001</v>
      </c>
      <c r="F387" t="s">
        <v>42</v>
      </c>
      <c r="G387">
        <v>-368.26420000000002</v>
      </c>
      <c r="H387" s="1">
        <v>-9.9913719999999994E-7</v>
      </c>
      <c r="I387">
        <v>368.08190000000002</v>
      </c>
      <c r="J387">
        <v>-381.7833</v>
      </c>
      <c r="K387">
        <v>1.1102000000000001</v>
      </c>
      <c r="L387">
        <v>367.64150000000001</v>
      </c>
      <c r="M387">
        <v>0.9998378</v>
      </c>
      <c r="N387">
        <v>0</v>
      </c>
      <c r="O387">
        <v>-9.8590770000000008E-3</v>
      </c>
      <c r="P387">
        <v>0.99149529999999997</v>
      </c>
      <c r="Q387">
        <v>0.1238132</v>
      </c>
      <c r="R387">
        <v>-4.0095079999999998E-2</v>
      </c>
      <c r="S387">
        <v>3.0599980000000002</v>
      </c>
      <c r="T387">
        <v>-0.24325949999999999</v>
      </c>
      <c r="U387">
        <v>9.5581050000000001E-2</v>
      </c>
      <c r="V387">
        <v>3.0287930000000001E-2</v>
      </c>
      <c r="W387">
        <v>0.13875899999999999</v>
      </c>
      <c r="X387">
        <v>0.98986289999999999</v>
      </c>
      <c r="Y387">
        <v>-4.0914270000000003E-2</v>
      </c>
      <c r="Z387">
        <v>2.4057670000000001E-3</v>
      </c>
      <c r="AA387">
        <v>0.99915980000000004</v>
      </c>
      <c r="AB387">
        <v>41</v>
      </c>
      <c r="AC387">
        <v>13.5190999999999</v>
      </c>
      <c r="AD387">
        <v>-1.1102009991371999</v>
      </c>
      <c r="AE387">
        <v>0.44040000000001001</v>
      </c>
      <c r="AF387">
        <v>-0.56984073617646003</v>
      </c>
      <c r="AG387">
        <v>-1.1102009991371999</v>
      </c>
      <c r="AH387">
        <v>13.4236691699288</v>
      </c>
      <c r="AI387">
        <v>94.723637279409601</v>
      </c>
      <c r="AJ387">
        <v>92.430771948819</v>
      </c>
      <c r="AK387">
        <v>13.4815488244782</v>
      </c>
      <c r="AL387">
        <v>82.023958623352399</v>
      </c>
      <c r="AM387">
        <v>88.247404477528505</v>
      </c>
      <c r="AN387">
        <v>0.99999998979054705</v>
      </c>
    </row>
    <row r="388" spans="1:40" x14ac:dyDescent="0.25">
      <c r="A388" t="str">
        <f>"20190312164225543"</f>
        <v>20190312164225543</v>
      </c>
      <c r="B388" t="str">
        <f>"1552380145534316"</f>
        <v>1552380145534316</v>
      </c>
      <c r="C388" t="s">
        <v>40</v>
      </c>
      <c r="D388">
        <v>4.5805230000000003</v>
      </c>
      <c r="E388">
        <v>0.47642780000000001</v>
      </c>
      <c r="F388" t="s">
        <v>42</v>
      </c>
      <c r="G388">
        <v>-367.76839999999999</v>
      </c>
      <c r="H388" s="1">
        <v>-1.2132169999999999E-6</v>
      </c>
      <c r="I388">
        <v>368.07420000000002</v>
      </c>
      <c r="J388">
        <v>-381.3725</v>
      </c>
      <c r="K388">
        <v>1.1102540000000001</v>
      </c>
      <c r="L388">
        <v>367.6377</v>
      </c>
      <c r="M388">
        <v>0.99983940000000004</v>
      </c>
      <c r="N388">
        <v>0</v>
      </c>
      <c r="O388">
        <v>-9.6617969999999997E-3</v>
      </c>
      <c r="P388">
        <v>0.99157519999999999</v>
      </c>
      <c r="Q388">
        <v>0.12334820000000001</v>
      </c>
      <c r="R388">
        <v>-3.9541800000000002E-2</v>
      </c>
      <c r="S388">
        <v>3.0598450000000001</v>
      </c>
      <c r="T388">
        <v>-0.24238589999999999</v>
      </c>
      <c r="U388">
        <v>9.4482419999999998E-2</v>
      </c>
      <c r="V388">
        <v>2.9916470000000001E-2</v>
      </c>
      <c r="W388">
        <v>0.13831459999999901</v>
      </c>
      <c r="X388">
        <v>0.98993640000000005</v>
      </c>
      <c r="Y388">
        <v>-4.0363740000000002E-2</v>
      </c>
      <c r="Z388">
        <v>2.3599189999999998E-3</v>
      </c>
      <c r="AA388">
        <v>0.99918229999999997</v>
      </c>
      <c r="AB388">
        <v>41</v>
      </c>
      <c r="AC388">
        <v>13.604100000000001</v>
      </c>
      <c r="AD388">
        <v>-1.110255213217</v>
      </c>
      <c r="AE388">
        <v>0.43650000000002298</v>
      </c>
      <c r="AF388">
        <v>-0.56418079443686897</v>
      </c>
      <c r="AG388">
        <v>-1.110255213217</v>
      </c>
      <c r="AH388">
        <v>13.5093606244344</v>
      </c>
      <c r="AI388">
        <v>94.694172367979604</v>
      </c>
      <c r="AJ388">
        <v>92.3914089164454</v>
      </c>
      <c r="AK388">
        <v>13.5666425871807</v>
      </c>
      <c r="AL388">
        <v>82.049668864845401</v>
      </c>
      <c r="AM388">
        <v>88.269014112267499</v>
      </c>
      <c r="AN388">
        <v>0.99999999989768995</v>
      </c>
    </row>
    <row r="389" spans="1:40" x14ac:dyDescent="0.25">
      <c r="A389" t="str">
        <f>"20190312164225563"</f>
        <v>20190312164225563</v>
      </c>
      <c r="B389" t="str">
        <f>"1552380145553836"</f>
        <v>1552380145553836</v>
      </c>
      <c r="C389" t="s">
        <v>40</v>
      </c>
      <c r="D389">
        <v>4.8664860000000001</v>
      </c>
      <c r="E389">
        <v>0.47648669999999999</v>
      </c>
      <c r="F389" t="s">
        <v>42</v>
      </c>
      <c r="G389">
        <v>-367.42720000000003</v>
      </c>
      <c r="H389" s="1">
        <v>-1.3598479999999999E-6</v>
      </c>
      <c r="I389">
        <v>368.0727</v>
      </c>
      <c r="J389">
        <v>-380.97660000000002</v>
      </c>
      <c r="K389">
        <v>1.110295</v>
      </c>
      <c r="L389">
        <v>367.63400000000001</v>
      </c>
      <c r="M389">
        <v>0.99984139999999999</v>
      </c>
      <c r="N389">
        <v>0</v>
      </c>
      <c r="O389">
        <v>-9.4396870000000004E-3</v>
      </c>
      <c r="P389">
        <v>0.99170789999999998</v>
      </c>
      <c r="Q389">
        <v>0.12264609999999999</v>
      </c>
      <c r="R389">
        <v>-3.838747E-2</v>
      </c>
      <c r="S389">
        <v>3.059631</v>
      </c>
      <c r="T389">
        <v>-0.24359120000000001</v>
      </c>
      <c r="U389">
        <v>9.5458979999999999E-2</v>
      </c>
      <c r="V389">
        <v>2.896988E-2</v>
      </c>
      <c r="W389">
        <v>0.137629799999999</v>
      </c>
      <c r="X389">
        <v>0.99006000000000005</v>
      </c>
      <c r="Y389">
        <v>-4.046135E-2</v>
      </c>
      <c r="Z389">
        <v>2.3579949999999999E-3</v>
      </c>
      <c r="AA389">
        <v>0.99917829999999996</v>
      </c>
      <c r="AB389">
        <v>41</v>
      </c>
      <c r="AC389">
        <v>13.549399999999901</v>
      </c>
      <c r="AD389">
        <v>-1.110296359848</v>
      </c>
      <c r="AE389">
        <v>0.43869999999998199</v>
      </c>
      <c r="AF389">
        <v>-0.56282181361759498</v>
      </c>
      <c r="AG389">
        <v>-1.110296359848</v>
      </c>
      <c r="AH389">
        <v>13.4544045221029</v>
      </c>
      <c r="AI389">
        <v>94.713420327419399</v>
      </c>
      <c r="AJ389">
        <v>92.395388392433304</v>
      </c>
      <c r="AK389">
        <v>13.511866171812001</v>
      </c>
      <c r="AL389">
        <v>82.089283967565905</v>
      </c>
      <c r="AM389">
        <v>88.323961796468694</v>
      </c>
      <c r="AN389">
        <v>1.00000000969762</v>
      </c>
    </row>
    <row r="390" spans="1:40" x14ac:dyDescent="0.25">
      <c r="A390" t="str">
        <f>"20190312164225585"</f>
        <v>20190312164225585</v>
      </c>
      <c r="B390" t="str">
        <f>"1552380145574339"</f>
        <v>1552380145574339</v>
      </c>
      <c r="C390" t="s">
        <v>40</v>
      </c>
      <c r="D390">
        <v>4.5600300000000002</v>
      </c>
      <c r="E390">
        <v>0.47659859999999998</v>
      </c>
      <c r="F390" t="s">
        <v>42</v>
      </c>
      <c r="G390">
        <v>-367.10500000000002</v>
      </c>
      <c r="H390" s="1">
        <v>-1.4973240000000001E-6</v>
      </c>
      <c r="I390">
        <v>368.07690000000002</v>
      </c>
      <c r="J390">
        <v>-380.5804</v>
      </c>
      <c r="K390">
        <v>1.11032999999999</v>
      </c>
      <c r="L390">
        <v>367.63049999999998</v>
      </c>
      <c r="M390">
        <v>0.9998435</v>
      </c>
      <c r="N390">
        <v>0</v>
      </c>
      <c r="O390">
        <v>-9.196091E-3</v>
      </c>
      <c r="P390">
        <v>0.99178710000000003</v>
      </c>
      <c r="Q390">
        <v>0.1223836</v>
      </c>
      <c r="R390">
        <v>-3.7158709999999998E-2</v>
      </c>
      <c r="S390">
        <v>3.0591430000000002</v>
      </c>
      <c r="T390">
        <v>-0.24485460000000001</v>
      </c>
      <c r="U390">
        <v>9.7686770000000006E-2</v>
      </c>
      <c r="V390">
        <v>2.797285E-2</v>
      </c>
      <c r="W390">
        <v>0.1373809</v>
      </c>
      <c r="X390">
        <v>0.99012319999999998</v>
      </c>
      <c r="Y390">
        <v>-4.094735E-2</v>
      </c>
      <c r="Z390">
        <v>2.3704860000000002E-3</v>
      </c>
      <c r="AA390">
        <v>0.99915849999999995</v>
      </c>
      <c r="AB390">
        <v>41</v>
      </c>
      <c r="AC390">
        <v>13.475399999999899</v>
      </c>
      <c r="AD390">
        <v>-1.1103314973239899</v>
      </c>
      <c r="AE390">
        <v>0.44640000000003899</v>
      </c>
      <c r="AF390">
        <v>-0.56647455588282702</v>
      </c>
      <c r="AG390">
        <v>-1.1103314973239899</v>
      </c>
      <c r="AH390">
        <v>13.3799839428558</v>
      </c>
      <c r="AI390">
        <v>94.739566741337399</v>
      </c>
      <c r="AJ390">
        <v>92.424310061059899</v>
      </c>
      <c r="AK390">
        <v>13.437920217336099</v>
      </c>
      <c r="AL390">
        <v>82.103681347476694</v>
      </c>
      <c r="AM390">
        <v>88.38171650308</v>
      </c>
      <c r="AN390">
        <v>0.99999997160008502</v>
      </c>
    </row>
    <row r="391" spans="1:40" x14ac:dyDescent="0.25">
      <c r="A391" t="str">
        <f>"20190312164225607"</f>
        <v>20190312164225607</v>
      </c>
      <c r="B391" t="str">
        <f>"1552380145604588"</f>
        <v>1552380145604588</v>
      </c>
      <c r="C391" t="s">
        <v>40</v>
      </c>
      <c r="D391">
        <v>4.6796369999999996</v>
      </c>
      <c r="E391">
        <v>0.4767631</v>
      </c>
      <c r="F391" t="s">
        <v>42</v>
      </c>
      <c r="G391">
        <v>-366.66800000000001</v>
      </c>
      <c r="H391" s="1">
        <v>-1.6829279999999999E-6</v>
      </c>
      <c r="I391">
        <v>368.0874</v>
      </c>
      <c r="J391">
        <v>-380.17439999999999</v>
      </c>
      <c r="K391">
        <v>1.1103670000000001</v>
      </c>
      <c r="L391">
        <v>367.62700000000001</v>
      </c>
      <c r="M391">
        <v>0.99984589999999995</v>
      </c>
      <c r="N391">
        <v>0</v>
      </c>
      <c r="O391">
        <v>-8.9301669999999993E-3</v>
      </c>
      <c r="P391">
        <v>0.99188719999999997</v>
      </c>
      <c r="Q391">
        <v>0.1218713</v>
      </c>
      <c r="R391">
        <v>-3.6158799999999998E-2</v>
      </c>
      <c r="S391">
        <v>3.0586850000000001</v>
      </c>
      <c r="T391">
        <v>-0.24410899999999999</v>
      </c>
      <c r="U391">
        <v>0.10046389999999999</v>
      </c>
      <c r="V391">
        <v>2.7228479999999999E-2</v>
      </c>
      <c r="W391">
        <v>0.13688069999999999</v>
      </c>
      <c r="X391">
        <v>0.99021329999999996</v>
      </c>
      <c r="Y391">
        <v>-4.1592320000000002E-2</v>
      </c>
      <c r="Z391">
        <v>2.3681119999999999E-3</v>
      </c>
      <c r="AA391">
        <v>0.99913189999999996</v>
      </c>
      <c r="AB391">
        <v>41</v>
      </c>
      <c r="AC391">
        <v>13.5063999999999</v>
      </c>
      <c r="AD391">
        <v>-1.110368682928</v>
      </c>
      <c r="AE391">
        <v>0.46040000000004899</v>
      </c>
      <c r="AF391">
        <v>-0.57711388225068105</v>
      </c>
      <c r="AG391">
        <v>-1.110368682928</v>
      </c>
      <c r="AH391">
        <v>13.411213886319199</v>
      </c>
      <c r="AI391">
        <v>94.728598391107795</v>
      </c>
      <c r="AJ391">
        <v>92.464042581157003</v>
      </c>
      <c r="AK391">
        <v>13.469470551944999</v>
      </c>
      <c r="AL391">
        <v>82.132614629544705</v>
      </c>
      <c r="AM391">
        <v>88.424901014414004</v>
      </c>
      <c r="AN391">
        <v>1.0000000478262401</v>
      </c>
    </row>
    <row r="392" spans="1:40" x14ac:dyDescent="0.25">
      <c r="A392" t="str">
        <f>"20190312164225629"</f>
        <v>20190312164225629</v>
      </c>
      <c r="B392" t="str">
        <f>"1552380145624108"</f>
        <v>1552380145624108</v>
      </c>
      <c r="C392" t="s">
        <v>40</v>
      </c>
      <c r="D392">
        <v>4.5756209999999999</v>
      </c>
      <c r="E392">
        <v>0.47691109999999998</v>
      </c>
      <c r="F392" t="s">
        <v>42</v>
      </c>
      <c r="G392">
        <v>-366.20870000000002</v>
      </c>
      <c r="H392" s="1">
        <v>-1.8790459999999999E-6</v>
      </c>
      <c r="I392">
        <v>368.09269999999998</v>
      </c>
      <c r="J392">
        <v>-379.75040000000001</v>
      </c>
      <c r="K392">
        <v>1.1103909999999999</v>
      </c>
      <c r="L392">
        <v>367.62349999999998</v>
      </c>
      <c r="M392">
        <v>0.99984810000000002</v>
      </c>
      <c r="N392">
        <v>0</v>
      </c>
      <c r="O392">
        <v>-8.6409469999999995E-3</v>
      </c>
      <c r="P392">
        <v>0.99197049999999998</v>
      </c>
      <c r="Q392">
        <v>0.1214915</v>
      </c>
      <c r="R392">
        <v>-3.5132719999999999E-2</v>
      </c>
      <c r="S392">
        <v>3.0581360000000002</v>
      </c>
      <c r="T392">
        <v>-0.24313969999999999</v>
      </c>
      <c r="U392">
        <v>0.1019897</v>
      </c>
      <c r="V392">
        <v>2.6482729999999999E-2</v>
      </c>
      <c r="W392">
        <v>0.13650989999999999</v>
      </c>
      <c r="X392">
        <v>0.99028470000000002</v>
      </c>
      <c r="Y392">
        <v>-4.1808619999999998E-2</v>
      </c>
      <c r="Z392">
        <v>2.3447680000000001E-3</v>
      </c>
      <c r="AA392">
        <v>0.99912290000000004</v>
      </c>
      <c r="AB392">
        <v>41</v>
      </c>
      <c r="AC392">
        <v>13.541699999999899</v>
      </c>
      <c r="AD392">
        <v>-1.11039287904599</v>
      </c>
      <c r="AE392">
        <v>0.46920000000000001</v>
      </c>
      <c r="AF392">
        <v>-0.58229850432061103</v>
      </c>
      <c r="AG392">
        <v>-1.11039287904599</v>
      </c>
      <c r="AH392">
        <v>13.4468357328119</v>
      </c>
      <c r="AI392">
        <v>94.716175866785704</v>
      </c>
      <c r="AJ392">
        <v>92.479573364711698</v>
      </c>
      <c r="AK392">
        <v>13.505163276288</v>
      </c>
      <c r="AL392">
        <v>82.154061137644803</v>
      </c>
      <c r="AM392">
        <v>88.468130329957901</v>
      </c>
      <c r="AN392">
        <v>1.0000000374201701</v>
      </c>
    </row>
    <row r="393" spans="1:40" x14ac:dyDescent="0.25">
      <c r="A393" t="str">
        <f>"20190312164225653"</f>
        <v>20190312164225653</v>
      </c>
      <c r="B393" t="str">
        <f>"1552380145644604"</f>
        <v>1552380145644604</v>
      </c>
      <c r="C393" t="s">
        <v>40</v>
      </c>
      <c r="D393">
        <v>4.5569309999999996</v>
      </c>
      <c r="E393">
        <v>0.47704000000000002</v>
      </c>
      <c r="F393" t="s">
        <v>42</v>
      </c>
      <c r="G393">
        <v>-365.77050000000003</v>
      </c>
      <c r="H393" s="1">
        <v>-2.066323E-6</v>
      </c>
      <c r="I393">
        <v>368.0967</v>
      </c>
      <c r="J393">
        <v>-379.32920000000001</v>
      </c>
      <c r="K393">
        <v>1.110406</v>
      </c>
      <c r="L393">
        <v>367.62009999999998</v>
      </c>
      <c r="M393">
        <v>0.99985069999999998</v>
      </c>
      <c r="N393">
        <v>0</v>
      </c>
      <c r="O393">
        <v>-8.3483259999999997E-3</v>
      </c>
      <c r="P393">
        <v>0.99206879999999997</v>
      </c>
      <c r="Q393">
        <v>0.12086570000000001</v>
      </c>
      <c r="R393">
        <v>-3.4514459999999997E-2</v>
      </c>
      <c r="S393">
        <v>3.0576479999999999</v>
      </c>
      <c r="T393">
        <v>-0.24286070000000001</v>
      </c>
      <c r="U393">
        <v>0.1035156</v>
      </c>
      <c r="V393">
        <v>2.614967E-2</v>
      </c>
      <c r="W393">
        <v>0.1358915</v>
      </c>
      <c r="X393">
        <v>0.9903786</v>
      </c>
      <c r="Y393">
        <v>-4.2020139999999997E-2</v>
      </c>
      <c r="Z393">
        <v>2.3276220000000001E-3</v>
      </c>
      <c r="AA393">
        <v>0.99911399999999995</v>
      </c>
      <c r="AB393">
        <v>41</v>
      </c>
      <c r="AC393">
        <v>13.5586999999999</v>
      </c>
      <c r="AD393">
        <v>-1.110408066323</v>
      </c>
      <c r="AE393">
        <v>0.47660000000001901</v>
      </c>
      <c r="AF393">
        <v>-0.58586424192221498</v>
      </c>
      <c r="AG393">
        <v>-1.110408066323</v>
      </c>
      <c r="AH393">
        <v>13.464055981054299</v>
      </c>
      <c r="AI393">
        <v>94.710192713732596</v>
      </c>
      <c r="AJ393">
        <v>92.491551351501201</v>
      </c>
      <c r="AK393">
        <v>13.522464510757001</v>
      </c>
      <c r="AL393">
        <v>82.189826137380393</v>
      </c>
      <c r="AM393">
        <v>88.4875302260388</v>
      </c>
      <c r="AN393">
        <v>1.00000003817565</v>
      </c>
    </row>
    <row r="394" spans="1:40" x14ac:dyDescent="0.25">
      <c r="A394" t="str">
        <f>"20190312164225674"</f>
        <v>20190312164225674</v>
      </c>
      <c r="B394" t="str">
        <f>"1552380145664124"</f>
        <v>1552380145664124</v>
      </c>
      <c r="C394" t="s">
        <v>40</v>
      </c>
      <c r="D394">
        <v>4.5309410000000003</v>
      </c>
      <c r="E394">
        <v>0.47716639999999999</v>
      </c>
      <c r="F394" t="s">
        <v>42</v>
      </c>
      <c r="G394">
        <v>-365.42570000000001</v>
      </c>
      <c r="H394" s="1">
        <v>-2.2153420000000001E-6</v>
      </c>
      <c r="I394">
        <v>368.09039999999999</v>
      </c>
      <c r="J394">
        <v>-378.9434</v>
      </c>
      <c r="K394">
        <v>1.1104210000000001</v>
      </c>
      <c r="L394">
        <v>367.61709999999999</v>
      </c>
      <c r="M394">
        <v>0.99985270000000004</v>
      </c>
      <c r="N394">
        <v>0</v>
      </c>
      <c r="O394">
        <v>-8.0781669999999903E-3</v>
      </c>
      <c r="P394">
        <v>0.99213620000000002</v>
      </c>
      <c r="Q394">
        <v>0.1204781</v>
      </c>
      <c r="R394">
        <v>-3.392684E-2</v>
      </c>
      <c r="S394">
        <v>3.0573429999999999</v>
      </c>
      <c r="T394">
        <v>-0.24417359999999999</v>
      </c>
      <c r="U394">
        <v>0.1034241</v>
      </c>
      <c r="V394">
        <v>2.5826120000000001E-2</v>
      </c>
      <c r="W394">
        <v>0.13550980000000001</v>
      </c>
      <c r="X394">
        <v>0.99043939999999997</v>
      </c>
      <c r="Y394">
        <v>-4.1723730000000001E-2</v>
      </c>
      <c r="Z394">
        <v>2.3070460000000001E-3</v>
      </c>
      <c r="AA394">
        <v>0.99912650000000003</v>
      </c>
      <c r="AB394">
        <v>41</v>
      </c>
      <c r="AC394">
        <v>13.5176999999999</v>
      </c>
      <c r="AD394">
        <v>-1.1104232153419999</v>
      </c>
      <c r="AE394">
        <v>0.473299999999994</v>
      </c>
      <c r="AF394">
        <v>-0.57859576304458205</v>
      </c>
      <c r="AG394">
        <v>-1.1104232153419999</v>
      </c>
      <c r="AH394">
        <v>13.4229684649303</v>
      </c>
      <c r="AI394">
        <v>94.724692555784102</v>
      </c>
      <c r="AJ394">
        <v>92.468201148822203</v>
      </c>
      <c r="AK394">
        <v>13.481242345744599</v>
      </c>
      <c r="AL394">
        <v>82.211900213103206</v>
      </c>
      <c r="AM394">
        <v>88.506327146475797</v>
      </c>
      <c r="AN394">
        <v>1.00000004972132</v>
      </c>
    </row>
    <row r="395" spans="1:40" x14ac:dyDescent="0.25">
      <c r="A395" t="str">
        <f>"20190312164225696"</f>
        <v>20190312164225696</v>
      </c>
      <c r="B395" t="str">
        <f>"1552380145684624"</f>
        <v>1552380145684624</v>
      </c>
      <c r="C395" t="s">
        <v>40</v>
      </c>
      <c r="D395">
        <v>4.5868739999999999</v>
      </c>
      <c r="E395">
        <v>0.48126540000000001</v>
      </c>
      <c r="F395" t="s">
        <v>42</v>
      </c>
      <c r="G395">
        <v>-365.04079999999999</v>
      </c>
      <c r="H395" s="1">
        <v>-2.3808300000000001E-6</v>
      </c>
      <c r="I395">
        <v>368.08839999999998</v>
      </c>
      <c r="J395">
        <v>-378.54289999999997</v>
      </c>
      <c r="K395">
        <v>1.1104369999999999</v>
      </c>
      <c r="L395">
        <v>367.61410000000001</v>
      </c>
      <c r="M395">
        <v>0.99985489999999999</v>
      </c>
      <c r="N395">
        <v>0</v>
      </c>
      <c r="O395">
        <v>-7.7977740000000004E-3</v>
      </c>
      <c r="P395">
        <v>0.99221459999999995</v>
      </c>
      <c r="Q395">
        <v>0.1198115</v>
      </c>
      <c r="R395">
        <v>-3.3994320000000001E-2</v>
      </c>
      <c r="S395">
        <v>3.0569760000000001</v>
      </c>
      <c r="T395">
        <v>-0.24416389999999999</v>
      </c>
      <c r="U395">
        <v>0.1036377</v>
      </c>
      <c r="V395">
        <v>2.616841E-2</v>
      </c>
      <c r="W395">
        <v>0.13484839999999901</v>
      </c>
      <c r="X395">
        <v>0.99052070000000003</v>
      </c>
      <c r="Y395">
        <v>-4.1518840000000001E-2</v>
      </c>
      <c r="Z395">
        <v>2.2767030000000001E-3</v>
      </c>
      <c r="AA395">
        <v>0.99913510000000005</v>
      </c>
      <c r="AB395">
        <v>41</v>
      </c>
      <c r="AC395">
        <v>13.502099999999899</v>
      </c>
      <c r="AD395">
        <v>-1.1104393808299999</v>
      </c>
      <c r="AE395">
        <v>0.47429999999997102</v>
      </c>
      <c r="AF395">
        <v>-0.57569492455073001</v>
      </c>
      <c r="AG395">
        <v>-1.1104393808299999</v>
      </c>
      <c r="AH395">
        <v>13.407417931715701</v>
      </c>
      <c r="AI395">
        <v>94.730249806865004</v>
      </c>
      <c r="AJ395">
        <v>92.458686707265102</v>
      </c>
      <c r="AK395">
        <v>13.465636110497901</v>
      </c>
      <c r="AL395">
        <v>82.250146832017194</v>
      </c>
      <c r="AM395">
        <v>88.486663861096801</v>
      </c>
      <c r="AN395">
        <v>1.0000000668964799</v>
      </c>
    </row>
    <row r="396" spans="1:40" x14ac:dyDescent="0.25">
      <c r="A396" t="str">
        <f>"20190312164225719"</f>
        <v>20190312164225719</v>
      </c>
      <c r="B396" t="str">
        <f>"1552380145713900"</f>
        <v>1552380145713900</v>
      </c>
      <c r="C396" t="s">
        <v>40</v>
      </c>
      <c r="D396">
        <v>4.6550399999999996</v>
      </c>
      <c r="E396">
        <v>0.48575940000000001</v>
      </c>
      <c r="F396" t="s">
        <v>42</v>
      </c>
      <c r="G396">
        <v>-361.1284</v>
      </c>
      <c r="H396" s="1">
        <v>-4.0743269999999998E-6</v>
      </c>
      <c r="I396">
        <v>368.00319999999999</v>
      </c>
      <c r="J396">
        <v>-378.11630000000002</v>
      </c>
      <c r="K396">
        <v>1.110444</v>
      </c>
      <c r="L396">
        <v>367.61110000000002</v>
      </c>
      <c r="M396">
        <v>0.99985710000000005</v>
      </c>
      <c r="N396">
        <v>0</v>
      </c>
      <c r="O396">
        <v>-7.5010789999999999E-3</v>
      </c>
      <c r="P396">
        <v>0.99228660000000002</v>
      </c>
      <c r="Q396">
        <v>0.1193274</v>
      </c>
      <c r="R396">
        <v>-3.3591530000000001E-2</v>
      </c>
      <c r="S396">
        <v>3.049347</v>
      </c>
      <c r="T396">
        <v>-0.19444120000000001</v>
      </c>
      <c r="U396">
        <v>6.8145750000000005E-2</v>
      </c>
      <c r="V396">
        <v>2.60577E-2</v>
      </c>
      <c r="W396">
        <v>0.1343683</v>
      </c>
      <c r="X396">
        <v>0.99058880000000005</v>
      </c>
      <c r="Y396">
        <v>-2.9765860000000002E-2</v>
      </c>
      <c r="Z396">
        <v>1.4257499999999999E-3</v>
      </c>
      <c r="AA396">
        <v>0.99955590000000005</v>
      </c>
      <c r="AB396">
        <v>41</v>
      </c>
      <c r="AC396">
        <v>16.9879</v>
      </c>
      <c r="AD396">
        <v>-1.110448074327</v>
      </c>
      <c r="AE396">
        <v>0.39209999999996997</v>
      </c>
      <c r="AF396">
        <v>-0.51732191266765204</v>
      </c>
      <c r="AG396">
        <v>-1.110448074327</v>
      </c>
      <c r="AH396">
        <v>16.912255484789601</v>
      </c>
      <c r="AI396">
        <v>93.754861448538605</v>
      </c>
      <c r="AJ396">
        <v>91.752050340737199</v>
      </c>
      <c r="AK396">
        <v>16.956565173109102</v>
      </c>
      <c r="AL396">
        <v>82.277906720884005</v>
      </c>
      <c r="AM396">
        <v>88.493166883452901</v>
      </c>
      <c r="AN396">
        <v>1.0000000072298101</v>
      </c>
    </row>
    <row r="397" spans="1:40" x14ac:dyDescent="0.25">
      <c r="A397" t="str">
        <f>"20190312164225743"</f>
        <v>20190312164225743</v>
      </c>
      <c r="B397" t="str">
        <f>"1552380145734397"</f>
        <v>1552380145734397</v>
      </c>
      <c r="C397" t="s">
        <v>40</v>
      </c>
      <c r="D397">
        <v>4.5952479999999998</v>
      </c>
      <c r="E397">
        <v>0.51272450000000003</v>
      </c>
      <c r="F397" t="s">
        <v>42</v>
      </c>
      <c r="G397">
        <v>-362.2285</v>
      </c>
      <c r="H397" s="1">
        <v>-3.6406290000000001E-6</v>
      </c>
      <c r="I397">
        <v>367.7876</v>
      </c>
      <c r="J397">
        <v>-377.69659999999999</v>
      </c>
      <c r="K397">
        <v>1.1104459999999901</v>
      </c>
      <c r="L397">
        <v>367.60809999999998</v>
      </c>
      <c r="M397">
        <v>0.99985930000000001</v>
      </c>
      <c r="N397">
        <v>0</v>
      </c>
      <c r="O397">
        <v>-7.2172159999999898E-3</v>
      </c>
      <c r="P397">
        <v>0.99242750000000002</v>
      </c>
      <c r="Q397">
        <v>0.1183546</v>
      </c>
      <c r="R397">
        <v>-3.286973E-2</v>
      </c>
      <c r="S397">
        <v>3.0501100000000001</v>
      </c>
      <c r="T397">
        <v>-0.21318029999999999</v>
      </c>
      <c r="U397">
        <v>3.3905030000000003E-2</v>
      </c>
      <c r="V397">
        <v>2.5616030000000001E-2</v>
      </c>
      <c r="W397">
        <v>0.13339770000000001</v>
      </c>
      <c r="X397">
        <v>0.99073149999999999</v>
      </c>
      <c r="Y397">
        <v>-1.8270459999999999E-2</v>
      </c>
      <c r="Z397">
        <v>1.141548E-3</v>
      </c>
      <c r="AA397">
        <v>0.99983250000000001</v>
      </c>
      <c r="AB397">
        <v>41</v>
      </c>
      <c r="AC397">
        <v>15.4680999999999</v>
      </c>
      <c r="AD397">
        <v>-1.1104496406290001</v>
      </c>
      <c r="AE397">
        <v>0.17950000000001801</v>
      </c>
      <c r="AF397">
        <v>-0.28965214836151998</v>
      </c>
      <c r="AG397">
        <v>-1.1104496406290001</v>
      </c>
      <c r="AH397">
        <v>15.3871106853392</v>
      </c>
      <c r="AI397">
        <v>94.127009738435902</v>
      </c>
      <c r="AJ397">
        <v>91.078427659802202</v>
      </c>
      <c r="AK397">
        <v>15.4298467916666</v>
      </c>
      <c r="AL397">
        <v>82.334023284421903</v>
      </c>
      <c r="AM397">
        <v>88.518909028422001</v>
      </c>
      <c r="AN397">
        <v>1.00000001622525</v>
      </c>
    </row>
    <row r="398" spans="1:40" x14ac:dyDescent="0.25">
      <c r="A398" t="str">
        <f>"20190312164225765"</f>
        <v>20190312164225765</v>
      </c>
      <c r="B398" t="str">
        <f>"1552380145753916"</f>
        <v>1552380145753916</v>
      </c>
      <c r="C398" t="s">
        <v>40</v>
      </c>
      <c r="D398">
        <v>4.6282509999999997</v>
      </c>
      <c r="E398">
        <v>0.51237089999999996</v>
      </c>
      <c r="F398" t="s">
        <v>41</v>
      </c>
      <c r="G398">
        <v>-376.63909999999998</v>
      </c>
      <c r="H398">
        <v>1.0297190000000001</v>
      </c>
      <c r="I398">
        <v>367.54590000000002</v>
      </c>
      <c r="J398">
        <v>-377.2928</v>
      </c>
      <c r="K398">
        <v>1.110441</v>
      </c>
      <c r="L398">
        <v>367.60550000000001</v>
      </c>
      <c r="M398">
        <v>0.99986109999999995</v>
      </c>
      <c r="N398">
        <v>0</v>
      </c>
      <c r="O398">
        <v>-6.9565829999999997E-3</v>
      </c>
      <c r="P398">
        <v>0.99251500000000004</v>
      </c>
      <c r="Q398">
        <v>0.11777899999999999</v>
      </c>
      <c r="R398">
        <v>-3.22828E-2</v>
      </c>
      <c r="S398">
        <v>3.0446469999999999</v>
      </c>
      <c r="T398">
        <v>-0.23251440000000001</v>
      </c>
      <c r="U398">
        <v>-0.1786499</v>
      </c>
      <c r="V398">
        <v>2.5288789999999998E-2</v>
      </c>
      <c r="W398">
        <v>0.13282349999999901</v>
      </c>
      <c r="X398">
        <v>0.99081699999999995</v>
      </c>
      <c r="Y398">
        <v>5.1499870000000003E-2</v>
      </c>
      <c r="Z398">
        <v>-1.431872E-3</v>
      </c>
      <c r="AA398">
        <v>0.99867189999999995</v>
      </c>
      <c r="AB398">
        <v>41</v>
      </c>
      <c r="AC398">
        <v>0.65370000000001405</v>
      </c>
      <c r="AD398">
        <v>-8.0721999999999905E-2</v>
      </c>
      <c r="AE398">
        <v>-5.9599999999989002E-2</v>
      </c>
      <c r="AF398">
        <v>5.4230403012949097E-2</v>
      </c>
      <c r="AG398">
        <v>-8.0721999999999905E-2</v>
      </c>
      <c r="AH398">
        <v>0.64435440765142205</v>
      </c>
      <c r="AI398">
        <v>97.115676108348794</v>
      </c>
      <c r="AJ398">
        <v>85.189188052656107</v>
      </c>
      <c r="AK398">
        <v>0.651651425652366</v>
      </c>
      <c r="AL398">
        <v>82.367217530103801</v>
      </c>
      <c r="AM398">
        <v>88.537947542281998</v>
      </c>
      <c r="AN398">
        <v>0.99999996627045595</v>
      </c>
    </row>
    <row r="399" spans="1:40" x14ac:dyDescent="0.25">
      <c r="A399" t="str">
        <f>"20190312164225786"</f>
        <v>20190312164225786</v>
      </c>
      <c r="B399" t="str">
        <f>"1552380145774416"</f>
        <v>1552380145774416</v>
      </c>
      <c r="C399" t="s">
        <v>40</v>
      </c>
      <c r="D399">
        <v>4.6137119999999996</v>
      </c>
      <c r="E399">
        <v>0.51233770000000001</v>
      </c>
      <c r="F399" t="s">
        <v>41</v>
      </c>
      <c r="G399">
        <v>-376.27440000000001</v>
      </c>
      <c r="H399">
        <v>1.031625</v>
      </c>
      <c r="I399">
        <v>367.54730000000001</v>
      </c>
      <c r="J399">
        <v>-376.91019999999997</v>
      </c>
      <c r="K399">
        <v>1.1104369999999999</v>
      </c>
      <c r="L399">
        <v>367.60309999999998</v>
      </c>
      <c r="M399">
        <v>0.99986269999999999</v>
      </c>
      <c r="N399">
        <v>0</v>
      </c>
      <c r="O399">
        <v>-6.7200869999999996E-3</v>
      </c>
      <c r="P399">
        <v>0.9925891</v>
      </c>
      <c r="Q399">
        <v>0.1173633</v>
      </c>
      <c r="R399">
        <v>-3.1515469999999997E-2</v>
      </c>
      <c r="S399">
        <v>3.0449220000000001</v>
      </c>
      <c r="T399">
        <v>-0.2357416</v>
      </c>
      <c r="U399">
        <v>-0.1736145</v>
      </c>
      <c r="V399">
        <v>2.475834E-2</v>
      </c>
      <c r="W399">
        <v>0.132408</v>
      </c>
      <c r="X399">
        <v>0.99088600000000004</v>
      </c>
      <c r="Y399">
        <v>5.0084690000000001E-2</v>
      </c>
      <c r="Z399">
        <v>-1.415237E-3</v>
      </c>
      <c r="AA399">
        <v>0.99874399999999997</v>
      </c>
      <c r="AB399">
        <v>41</v>
      </c>
      <c r="AC399">
        <v>0.63579999999995995</v>
      </c>
      <c r="AD399">
        <v>-7.8812000000000104E-2</v>
      </c>
      <c r="AE399">
        <v>-5.57999999999765E-2</v>
      </c>
      <c r="AF399">
        <v>5.0751758157035899E-2</v>
      </c>
      <c r="AG399">
        <v>-7.8812000000000104E-2</v>
      </c>
      <c r="AH399">
        <v>0.62660620654322496</v>
      </c>
      <c r="AI399">
        <v>97.145630878945198</v>
      </c>
      <c r="AJ399">
        <v>85.369455694221202</v>
      </c>
      <c r="AK399">
        <v>0.63357904824774702</v>
      </c>
      <c r="AL399">
        <v>82.391236018291195</v>
      </c>
      <c r="AM399">
        <v>88.5687018498827</v>
      </c>
      <c r="AN399">
        <v>0.99999995942977704</v>
      </c>
    </row>
    <row r="400" spans="1:40" x14ac:dyDescent="0.25">
      <c r="A400" t="str">
        <f>"20190312164225809"</f>
        <v>20190312164225809</v>
      </c>
      <c r="B400" t="str">
        <f>"1552380145804668"</f>
        <v>1552380145804668</v>
      </c>
      <c r="C400" t="s">
        <v>40</v>
      </c>
      <c r="D400">
        <v>4.8621860000000003</v>
      </c>
      <c r="E400">
        <v>0.51333649999999997</v>
      </c>
      <c r="F400" t="s">
        <v>41</v>
      </c>
      <c r="G400">
        <v>-375.90949999999998</v>
      </c>
      <c r="H400">
        <v>1.034591</v>
      </c>
      <c r="I400">
        <v>367.5462</v>
      </c>
      <c r="J400">
        <v>-376.495</v>
      </c>
      <c r="K400">
        <v>1.110428</v>
      </c>
      <c r="L400">
        <v>367.60050000000001</v>
      </c>
      <c r="M400">
        <v>0.99986430000000004</v>
      </c>
      <c r="N400">
        <v>0</v>
      </c>
      <c r="O400">
        <v>-6.4799710000000002E-3</v>
      </c>
      <c r="P400">
        <v>0.99256690000000003</v>
      </c>
      <c r="Q400">
        <v>0.11784459999999999</v>
      </c>
      <c r="R400">
        <v>-3.0399909999999999E-2</v>
      </c>
      <c r="S400">
        <v>3.0442809999999998</v>
      </c>
      <c r="T400">
        <v>-0.2310963</v>
      </c>
      <c r="U400">
        <v>-0.17150879999999999</v>
      </c>
      <c r="V400">
        <v>2.388475E-2</v>
      </c>
      <c r="W400">
        <v>0.13288639999999999</v>
      </c>
      <c r="X400">
        <v>0.99084349999999999</v>
      </c>
      <c r="Y400">
        <v>4.9653389999999999E-2</v>
      </c>
      <c r="Z400">
        <v>-1.3895999999999999E-3</v>
      </c>
      <c r="AA400">
        <v>0.99876549999999997</v>
      </c>
      <c r="AB400">
        <v>41</v>
      </c>
      <c r="AC400">
        <v>0.585500000000024</v>
      </c>
      <c r="AD400">
        <v>-7.5836999999999904E-2</v>
      </c>
      <c r="AE400">
        <v>-5.4300000000011998E-2</v>
      </c>
      <c r="AF400">
        <v>4.9678070826069003E-2</v>
      </c>
      <c r="AG400">
        <v>-7.5836999999999904E-2</v>
      </c>
      <c r="AH400">
        <v>0.57625435942948999</v>
      </c>
      <c r="AI400">
        <v>97.4698399664303</v>
      </c>
      <c r="AJ400">
        <v>85.072794232344805</v>
      </c>
      <c r="AK400">
        <v>0.58334230778462404</v>
      </c>
      <c r="AL400">
        <v>82.363582105529105</v>
      </c>
      <c r="AM400">
        <v>88.619125627293101</v>
      </c>
      <c r="AN400">
        <v>1.0000000590398801</v>
      </c>
    </row>
    <row r="401" spans="1:40" x14ac:dyDescent="0.25">
      <c r="A401" t="str">
        <f>"20190312164225831"</f>
        <v>20190312164225831</v>
      </c>
      <c r="B401" t="str">
        <f>"1552380145824188"</f>
        <v>1552380145824188</v>
      </c>
      <c r="C401" t="s">
        <v>40</v>
      </c>
      <c r="D401">
        <v>4.5829680000000002</v>
      </c>
      <c r="E401">
        <v>0.51436780000000004</v>
      </c>
      <c r="F401" t="s">
        <v>41</v>
      </c>
      <c r="G401">
        <v>-375.54320000000001</v>
      </c>
      <c r="H401">
        <v>1.04129</v>
      </c>
      <c r="I401">
        <v>367.54500000000002</v>
      </c>
      <c r="J401">
        <v>-376.07479999999998</v>
      </c>
      <c r="K401">
        <v>1.110412</v>
      </c>
      <c r="L401">
        <v>367.59800000000001</v>
      </c>
      <c r="M401">
        <v>0.99986569999999997</v>
      </c>
      <c r="N401">
        <v>0</v>
      </c>
      <c r="O401">
        <v>-6.2583860000000003E-3</v>
      </c>
      <c r="P401">
        <v>0.99262570000000006</v>
      </c>
      <c r="Q401">
        <v>0.11759029999999999</v>
      </c>
      <c r="R401">
        <v>-2.9445559999999999E-2</v>
      </c>
      <c r="S401">
        <v>3.043304</v>
      </c>
      <c r="T401">
        <v>-0.2211777</v>
      </c>
      <c r="U401">
        <v>-0.177124</v>
      </c>
      <c r="V401">
        <v>2.3155080000000001E-2</v>
      </c>
      <c r="W401">
        <v>0.1326302</v>
      </c>
      <c r="X401">
        <v>0.99089510000000003</v>
      </c>
      <c r="Y401">
        <v>5.1733710000000002E-2</v>
      </c>
      <c r="Z401">
        <v>-1.421977E-3</v>
      </c>
      <c r="AA401">
        <v>0.99865990000000004</v>
      </c>
      <c r="AB401">
        <v>41</v>
      </c>
      <c r="AC401">
        <v>0.53159999999996899</v>
      </c>
      <c r="AD401">
        <v>-6.91220000000001E-2</v>
      </c>
      <c r="AE401">
        <v>-5.2999999999997202E-2</v>
      </c>
      <c r="AF401">
        <v>4.8853787752672802E-2</v>
      </c>
      <c r="AG401">
        <v>-6.91220000000001E-2</v>
      </c>
      <c r="AH401">
        <v>0.52316332995110004</v>
      </c>
      <c r="AI401">
        <v>97.494275212673202</v>
      </c>
      <c r="AJ401">
        <v>84.665103994502999</v>
      </c>
      <c r="AK401">
        <v>0.52996642654729198</v>
      </c>
      <c r="AL401">
        <v>82.378392027797304</v>
      </c>
      <c r="AM401">
        <v>88.661364906019003</v>
      </c>
      <c r="AN401">
        <v>1.0000000134429201</v>
      </c>
    </row>
    <row r="402" spans="1:40" x14ac:dyDescent="0.25">
      <c r="A402" t="str">
        <f>"20190312164225853"</f>
        <v>20190312164225853</v>
      </c>
      <c r="B402" t="str">
        <f>"1552380145843711"</f>
        <v>1552380145843711</v>
      </c>
      <c r="C402" t="s">
        <v>40</v>
      </c>
      <c r="D402">
        <v>4.5960049999999999</v>
      </c>
      <c r="E402">
        <v>0.51513109999999995</v>
      </c>
      <c r="F402" t="s">
        <v>41</v>
      </c>
      <c r="G402">
        <v>-375.17450000000002</v>
      </c>
      <c r="H402">
        <v>1.0482590000000001</v>
      </c>
      <c r="I402">
        <v>367.54360000000003</v>
      </c>
      <c r="J402">
        <v>-375.67899999999997</v>
      </c>
      <c r="K402">
        <v>1.110403</v>
      </c>
      <c r="L402">
        <v>367.59570000000002</v>
      </c>
      <c r="M402">
        <v>0.99986679999999994</v>
      </c>
      <c r="N402">
        <v>0</v>
      </c>
      <c r="O402">
        <v>-6.0711530000000001E-3</v>
      </c>
      <c r="P402">
        <v>0.99274450000000003</v>
      </c>
      <c r="Q402">
        <v>0.116729</v>
      </c>
      <c r="R402">
        <v>-2.885938E-2</v>
      </c>
      <c r="S402">
        <v>3.0417480000000001</v>
      </c>
      <c r="T402">
        <v>-0.21018719999999999</v>
      </c>
      <c r="U402">
        <v>-0.18267820000000001</v>
      </c>
      <c r="V402">
        <v>2.2759830000000002E-2</v>
      </c>
      <c r="W402">
        <v>0.1317681</v>
      </c>
      <c r="X402">
        <v>0.99101919999999999</v>
      </c>
      <c r="Y402">
        <v>5.3773609999999999E-2</v>
      </c>
      <c r="Z402">
        <v>-1.43535E-3</v>
      </c>
      <c r="AA402">
        <v>0.99855210000000005</v>
      </c>
      <c r="AB402">
        <v>41</v>
      </c>
      <c r="AC402">
        <v>0.50450000000000705</v>
      </c>
      <c r="AD402">
        <v>-6.2143999999999901E-2</v>
      </c>
      <c r="AE402">
        <v>-5.2099999999995802E-2</v>
      </c>
      <c r="AF402">
        <v>4.8310503356131303E-2</v>
      </c>
      <c r="AG402">
        <v>-6.2143999999999901E-2</v>
      </c>
      <c r="AH402">
        <v>0.49734044665493399</v>
      </c>
      <c r="AI402">
        <v>97.089318321793996</v>
      </c>
      <c r="AJ402">
        <v>84.451826854477005</v>
      </c>
      <c r="AK402">
        <v>0.50353083455678505</v>
      </c>
      <c r="AL402">
        <v>82.428223592146907</v>
      </c>
      <c r="AM402">
        <v>88.684371598935698</v>
      </c>
      <c r="AN402">
        <v>0.99999994840393802</v>
      </c>
    </row>
    <row r="403" spans="1:40" x14ac:dyDescent="0.25">
      <c r="A403" t="str">
        <f>"20190312164225874"</f>
        <v>20190312164225874</v>
      </c>
      <c r="B403" t="str">
        <f>"1552380145864204"</f>
        <v>1552380145864204</v>
      </c>
      <c r="C403" t="s">
        <v>40</v>
      </c>
      <c r="D403">
        <v>4.8940650000000003</v>
      </c>
      <c r="E403">
        <v>0.5156425</v>
      </c>
      <c r="F403" t="s">
        <v>41</v>
      </c>
      <c r="G403">
        <v>-374.7996</v>
      </c>
      <c r="H403">
        <v>1.051283</v>
      </c>
      <c r="I403">
        <v>367.54149999999998</v>
      </c>
      <c r="J403">
        <v>-375.29199999999997</v>
      </c>
      <c r="K403">
        <v>1.1103799999999999</v>
      </c>
      <c r="L403">
        <v>367.59350000000001</v>
      </c>
      <c r="M403">
        <v>0.99986790000000003</v>
      </c>
      <c r="N403">
        <v>0</v>
      </c>
      <c r="O403">
        <v>-5.9083819999999898E-3</v>
      </c>
      <c r="P403">
        <v>0.99287910000000001</v>
      </c>
      <c r="Q403">
        <v>0.1156252</v>
      </c>
      <c r="R403">
        <v>-2.867074E-2</v>
      </c>
      <c r="S403">
        <v>3.0405880000000001</v>
      </c>
      <c r="T403">
        <v>-0.20455300000000001</v>
      </c>
      <c r="U403">
        <v>-0.18667600000000001</v>
      </c>
      <c r="V403">
        <v>2.2738120000000001E-2</v>
      </c>
      <c r="W403">
        <v>0.1306629</v>
      </c>
      <c r="X403">
        <v>0.99116610000000005</v>
      </c>
      <c r="Y403">
        <v>5.5269159999999998E-2</v>
      </c>
      <c r="Z403">
        <v>-1.458567E-3</v>
      </c>
      <c r="AA403">
        <v>0.99847039999999998</v>
      </c>
      <c r="AB403">
        <v>41</v>
      </c>
      <c r="AC403">
        <v>0.49239999999997502</v>
      </c>
      <c r="AD403">
        <v>-5.90969999999999E-2</v>
      </c>
      <c r="AE403">
        <v>-5.2000000000020898E-2</v>
      </c>
      <c r="AF403">
        <v>4.8399988545981702E-2</v>
      </c>
      <c r="AG403">
        <v>-5.90969999999999E-2</v>
      </c>
      <c r="AH403">
        <v>0.48577850964713098</v>
      </c>
      <c r="AI403">
        <v>96.902346002530805</v>
      </c>
      <c r="AJ403">
        <v>84.310178124293898</v>
      </c>
      <c r="AK403">
        <v>0.49174767384832502</v>
      </c>
      <c r="AL403">
        <v>82.492099762047403</v>
      </c>
      <c r="AM403">
        <v>88.685820835707901</v>
      </c>
      <c r="AN403">
        <v>1.00000002666337</v>
      </c>
    </row>
    <row r="404" spans="1:40" x14ac:dyDescent="0.25">
      <c r="A404" t="str">
        <f>"20190312164225897"</f>
        <v>20190312164225897</v>
      </c>
      <c r="B404" t="str">
        <f>"1552380145894460"</f>
        <v>1552380145894460</v>
      </c>
      <c r="C404" t="s">
        <v>40</v>
      </c>
      <c r="D404">
        <v>4.6187519999999997</v>
      </c>
      <c r="E404">
        <v>0.5158317</v>
      </c>
      <c r="F404" t="s">
        <v>42</v>
      </c>
      <c r="G404">
        <v>-358.58409999999998</v>
      </c>
      <c r="H404" s="1">
        <v>-1.2839900000000001E-6</v>
      </c>
      <c r="I404">
        <v>366.54919999999998</v>
      </c>
      <c r="J404">
        <v>-374.89080000000001</v>
      </c>
      <c r="K404">
        <v>1.110366</v>
      </c>
      <c r="L404">
        <v>367.59120000000001</v>
      </c>
      <c r="M404">
        <v>0.9998688</v>
      </c>
      <c r="N404">
        <v>0</v>
      </c>
      <c r="O404">
        <v>-5.760299E-3</v>
      </c>
      <c r="P404">
        <v>0.99297930000000001</v>
      </c>
      <c r="Q404">
        <v>0.114749</v>
      </c>
      <c r="R404">
        <v>-2.8726140000000001E-2</v>
      </c>
      <c r="S404">
        <v>3.0395509999999999</v>
      </c>
      <c r="T404">
        <v>-0.20200219999999999</v>
      </c>
      <c r="U404">
        <v>-0.1899719</v>
      </c>
      <c r="V404">
        <v>2.2946299999999999E-2</v>
      </c>
      <c r="W404">
        <v>0.1297854</v>
      </c>
      <c r="X404">
        <v>0.99127659999999995</v>
      </c>
      <c r="Y404">
        <v>5.6515999999999997E-2</v>
      </c>
      <c r="Z404">
        <v>-1.4920269999999999E-3</v>
      </c>
      <c r="AA404">
        <v>0.99840059999999997</v>
      </c>
      <c r="AB404">
        <v>41</v>
      </c>
      <c r="AC404">
        <v>16.306699999999999</v>
      </c>
      <c r="AD404">
        <v>-1.1103672839899901</v>
      </c>
      <c r="AE404">
        <v>-1.04200000000003</v>
      </c>
      <c r="AF404">
        <v>0.943682772994755</v>
      </c>
      <c r="AG404">
        <v>-1.1103672839899901</v>
      </c>
      <c r="AH404">
        <v>16.237451649582098</v>
      </c>
      <c r="AI404">
        <v>93.9054032705602</v>
      </c>
      <c r="AJ404">
        <v>86.673844599130305</v>
      </c>
      <c r="AK404">
        <v>16.3027080190354</v>
      </c>
      <c r="AL404">
        <v>82.542808717849894</v>
      </c>
      <c r="AM404">
        <v>88.673940862698501</v>
      </c>
      <c r="AN404">
        <v>1.0000000402222</v>
      </c>
    </row>
    <row r="405" spans="1:40" x14ac:dyDescent="0.25">
      <c r="A405" t="str">
        <f>"20190312164225920"</f>
        <v>20190312164225920</v>
      </c>
      <c r="B405" t="str">
        <f>"1552380145913981"</f>
        <v>1552380145913981</v>
      </c>
      <c r="C405" t="s">
        <v>40</v>
      </c>
      <c r="D405">
        <v>4.6479499999999998</v>
      </c>
      <c r="E405">
        <v>0.51560130000000004</v>
      </c>
      <c r="F405" t="s">
        <v>42</v>
      </c>
      <c r="G405">
        <v>-358.03910000000002</v>
      </c>
      <c r="H405" s="1">
        <v>-1.475411E-6</v>
      </c>
      <c r="I405">
        <v>366.52690000000001</v>
      </c>
      <c r="J405">
        <v>-374.47480000000002</v>
      </c>
      <c r="K405">
        <v>1.110339</v>
      </c>
      <c r="L405">
        <v>367.589</v>
      </c>
      <c r="M405">
        <v>0.99986949999999997</v>
      </c>
      <c r="N405">
        <v>0</v>
      </c>
      <c r="O405">
        <v>-5.6280920000000003E-3</v>
      </c>
      <c r="P405">
        <v>0.99304579999999998</v>
      </c>
      <c r="Q405">
        <v>0.11406570000000001</v>
      </c>
      <c r="R405">
        <v>-2.9137239999999998E-2</v>
      </c>
      <c r="S405">
        <v>3.038818</v>
      </c>
      <c r="T405">
        <v>-0.20022789999999999</v>
      </c>
      <c r="U405">
        <v>-0.19192500000000001</v>
      </c>
      <c r="V405">
        <v>2.3495140000000001E-2</v>
      </c>
      <c r="W405">
        <v>0.1290993</v>
      </c>
      <c r="X405">
        <v>0.99135329999999999</v>
      </c>
      <c r="Y405">
        <v>5.7302079999999998E-2</v>
      </c>
      <c r="Z405">
        <v>-1.513812E-3</v>
      </c>
      <c r="AA405">
        <v>0.99835569999999896</v>
      </c>
      <c r="AB405">
        <v>40</v>
      </c>
      <c r="AC405">
        <v>16.435699999999901</v>
      </c>
      <c r="AD405">
        <v>-1.110340475411</v>
      </c>
      <c r="AE405">
        <v>-1.0620999999999801</v>
      </c>
      <c r="AF405">
        <v>0.96518425164335397</v>
      </c>
      <c r="AG405">
        <v>-1.110340475411</v>
      </c>
      <c r="AH405">
        <v>16.367031090545598</v>
      </c>
      <c r="AI405">
        <v>93.8742927226278</v>
      </c>
      <c r="AJ405">
        <v>86.625104935409993</v>
      </c>
      <c r="AK405">
        <v>16.433019909007601</v>
      </c>
      <c r="AL405">
        <v>82.582452640442696</v>
      </c>
      <c r="AM405">
        <v>88.642340323380097</v>
      </c>
      <c r="AN405">
        <v>1.00000000814249</v>
      </c>
    </row>
    <row r="406" spans="1:40" x14ac:dyDescent="0.25">
      <c r="A406" t="str">
        <f>"20190312164225945"</f>
        <v>20190312164225945</v>
      </c>
      <c r="B406" t="str">
        <f>"1552380145934476"</f>
        <v>1552380145934476</v>
      </c>
      <c r="C406" t="s">
        <v>40</v>
      </c>
      <c r="D406">
        <v>4.6280080000000003</v>
      </c>
      <c r="E406">
        <v>0.51546059999999905</v>
      </c>
      <c r="F406" t="s">
        <v>42</v>
      </c>
      <c r="G406">
        <v>-357.99849999999998</v>
      </c>
      <c r="H406" s="1">
        <v>-1.483022E-6</v>
      </c>
      <c r="I406">
        <v>366.55009999999999</v>
      </c>
      <c r="J406">
        <v>-374.03710000000001</v>
      </c>
      <c r="K406">
        <v>1.110314</v>
      </c>
      <c r="L406">
        <v>367.58670000000001</v>
      </c>
      <c r="M406">
        <v>0.99987020000000004</v>
      </c>
      <c r="N406">
        <v>0</v>
      </c>
      <c r="O406">
        <v>-5.5147470000000004E-3</v>
      </c>
      <c r="P406">
        <v>0.99314100000000005</v>
      </c>
      <c r="Q406">
        <v>0.1131448</v>
      </c>
      <c r="R406">
        <v>-2.9479450000000001E-2</v>
      </c>
      <c r="S406">
        <v>3.0388790000000001</v>
      </c>
      <c r="T406">
        <v>-0.204789</v>
      </c>
      <c r="U406">
        <v>-0.19158939999999999</v>
      </c>
      <c r="V406">
        <v>2.395707E-2</v>
      </c>
      <c r="W406">
        <v>0.12817529999999999</v>
      </c>
      <c r="X406">
        <v>0.99146210000000001</v>
      </c>
      <c r="Y406">
        <v>5.7298750000000002E-2</v>
      </c>
      <c r="Z406">
        <v>-1.5557049999999999E-3</v>
      </c>
      <c r="AA406">
        <v>0.99835589999999996</v>
      </c>
      <c r="AB406">
        <v>40</v>
      </c>
      <c r="AC406">
        <v>16.038599999999999</v>
      </c>
      <c r="AD406">
        <v>-1.1103154830219999</v>
      </c>
      <c r="AE406">
        <v>-1.0366000000000199</v>
      </c>
      <c r="AF406">
        <v>0.94362180352689096</v>
      </c>
      <c r="AG406">
        <v>-1.1103154830219999</v>
      </c>
      <c r="AH406">
        <v>15.967866030926601</v>
      </c>
      <c r="AI406">
        <v>93.970718397040301</v>
      </c>
      <c r="AJ406">
        <v>86.618036380469903</v>
      </c>
      <c r="AK406">
        <v>16.034212427230401</v>
      </c>
      <c r="AL406">
        <v>82.635837213181702</v>
      </c>
      <c r="AM406">
        <v>88.615809976921597</v>
      </c>
      <c r="AN406">
        <v>0.99999997223474202</v>
      </c>
    </row>
    <row r="407" spans="1:40" x14ac:dyDescent="0.25">
      <c r="A407" t="str">
        <f>"20190312164225966"</f>
        <v>20190312164225966</v>
      </c>
      <c r="B407" t="str">
        <f>"1552380145953996"</f>
        <v>1552380145953996</v>
      </c>
      <c r="C407" t="s">
        <v>40</v>
      </c>
      <c r="D407">
        <v>4.6152100000000003</v>
      </c>
      <c r="E407">
        <v>0.51885159999999997</v>
      </c>
      <c r="F407" t="s">
        <v>41</v>
      </c>
      <c r="G407">
        <v>-373.0145</v>
      </c>
      <c r="H407">
        <v>1.0397799999999999</v>
      </c>
      <c r="I407">
        <v>367.52210000000002</v>
      </c>
      <c r="J407">
        <v>-373.64949999999999</v>
      </c>
      <c r="K407">
        <v>1.110298</v>
      </c>
      <c r="L407">
        <v>367.58460000000002</v>
      </c>
      <c r="M407">
        <v>0.99987090000000001</v>
      </c>
      <c r="N407">
        <v>0</v>
      </c>
      <c r="O407">
        <v>-5.4331839999999998E-3</v>
      </c>
      <c r="P407">
        <v>0.99322310000000003</v>
      </c>
      <c r="Q407">
        <v>0.1123802</v>
      </c>
      <c r="R407">
        <v>-2.964574E-2</v>
      </c>
      <c r="S407">
        <v>3.0389400000000002</v>
      </c>
      <c r="T407">
        <v>-0.2097774</v>
      </c>
      <c r="U407">
        <v>-0.1911621</v>
      </c>
      <c r="V407">
        <v>2.4209970000000001E-2</v>
      </c>
      <c r="W407">
        <v>0.1274083</v>
      </c>
      <c r="X407">
        <v>0.99155490000000002</v>
      </c>
      <c r="Y407">
        <v>5.7233329999999999E-2</v>
      </c>
      <c r="Z407">
        <v>-1.5968499999999999E-3</v>
      </c>
      <c r="AA407">
        <v>0.99835960000000001</v>
      </c>
      <c r="AB407">
        <v>40</v>
      </c>
      <c r="AC407">
        <v>0.63499999999999002</v>
      </c>
      <c r="AD407">
        <v>-7.0517999999999997E-2</v>
      </c>
      <c r="AE407">
        <v>-6.25E-2</v>
      </c>
      <c r="AF407">
        <v>5.8336081537541898E-2</v>
      </c>
      <c r="AG407">
        <v>-7.0517999999999997E-2</v>
      </c>
      <c r="AH407">
        <v>0.62766381781928804</v>
      </c>
      <c r="AI407">
        <v>96.383016022126199</v>
      </c>
      <c r="AJ407">
        <v>84.690092575648706</v>
      </c>
      <c r="AK407">
        <v>0.63430099710834398</v>
      </c>
      <c r="AL407">
        <v>82.680147004404006</v>
      </c>
      <c r="AM407">
        <v>88.601334574227096</v>
      </c>
      <c r="AN407">
        <v>1.0000000586351401</v>
      </c>
    </row>
    <row r="408" spans="1:40" x14ac:dyDescent="0.25">
      <c r="A408" t="str">
        <f>"20190312164225990"</f>
        <v>20190312164225990</v>
      </c>
      <c r="B408" t="str">
        <f>"1552380145984253"</f>
        <v>1552380145984253</v>
      </c>
      <c r="C408" t="s">
        <v>40</v>
      </c>
      <c r="D408">
        <v>4.6024469999999997</v>
      </c>
      <c r="E408">
        <v>0.51175349999999997</v>
      </c>
      <c r="F408" t="s">
        <v>42</v>
      </c>
      <c r="G408">
        <v>-350.86130000000003</v>
      </c>
      <c r="H408" s="1">
        <v>-4.5582720000000001E-6</v>
      </c>
      <c r="I408">
        <v>365.92110000000002</v>
      </c>
      <c r="J408">
        <v>-373.23489999999998</v>
      </c>
      <c r="K408">
        <v>1.110276</v>
      </c>
      <c r="L408">
        <v>367.58240000000001</v>
      </c>
      <c r="M408">
        <v>0.99987130000000002</v>
      </c>
      <c r="N408">
        <v>0</v>
      </c>
      <c r="O408">
        <v>-5.3641460000000002E-3</v>
      </c>
      <c r="P408">
        <v>0.99327030000000005</v>
      </c>
      <c r="Q408">
        <v>0.11186749999999999</v>
      </c>
      <c r="R408">
        <v>-3.0001389999999999E-2</v>
      </c>
      <c r="S408">
        <v>3.0305789999999999</v>
      </c>
      <c r="T408">
        <v>-0.14765719999999999</v>
      </c>
      <c r="U408">
        <v>-0.2212219</v>
      </c>
      <c r="V408">
        <v>2.4640390000000002E-2</v>
      </c>
      <c r="W408">
        <v>0.1268917</v>
      </c>
      <c r="X408">
        <v>0.99161049999999995</v>
      </c>
      <c r="Y408">
        <v>6.7378160000000006E-2</v>
      </c>
      <c r="Z408">
        <v>-1.3773959999999999E-3</v>
      </c>
      <c r="AA408">
        <v>0.99772660000000002</v>
      </c>
      <c r="AB408">
        <v>40</v>
      </c>
      <c r="AC408">
        <v>22.3735999999999</v>
      </c>
      <c r="AD408">
        <v>-1.1102805582719999</v>
      </c>
      <c r="AE408">
        <v>-1.66129999999998</v>
      </c>
      <c r="AF408">
        <v>1.5374816750767599</v>
      </c>
      <c r="AG408">
        <v>-1.1102805582719999</v>
      </c>
      <c r="AH408">
        <v>22.327508293539399</v>
      </c>
      <c r="AI408">
        <v>92.840089195621601</v>
      </c>
      <c r="AJ408">
        <v>86.0608067425879</v>
      </c>
      <c r="AK408">
        <v>22.4079048422056</v>
      </c>
      <c r="AL408">
        <v>82.709987911198894</v>
      </c>
      <c r="AM408">
        <v>88.576558151881997</v>
      </c>
      <c r="AN408">
        <v>1.0000000180292401</v>
      </c>
    </row>
    <row r="409" spans="1:40" x14ac:dyDescent="0.25">
      <c r="A409" t="str">
        <f>"20190312164226010"</f>
        <v>20190312164226010</v>
      </c>
      <c r="B409" t="str">
        <f>"1552380146004748"</f>
        <v>1552380146004748</v>
      </c>
      <c r="C409" t="s">
        <v>40</v>
      </c>
      <c r="D409">
        <v>4.5989589999999998</v>
      </c>
      <c r="E409">
        <v>0.5122468</v>
      </c>
      <c r="F409" t="s">
        <v>41</v>
      </c>
      <c r="G409">
        <v>-372.29140000000001</v>
      </c>
      <c r="H409">
        <v>1.0447249999999999</v>
      </c>
      <c r="I409">
        <v>367.53109999999998</v>
      </c>
      <c r="J409">
        <v>-372.8603</v>
      </c>
      <c r="K409">
        <v>1.1102529999999999</v>
      </c>
      <c r="L409">
        <v>367.5804</v>
      </c>
      <c r="M409">
        <v>0.99987139999999997</v>
      </c>
      <c r="N409">
        <v>0</v>
      </c>
      <c r="O409">
        <v>-5.318326E-3</v>
      </c>
      <c r="P409">
        <v>0.99331689999999995</v>
      </c>
      <c r="Q409">
        <v>0.11141669999999999</v>
      </c>
      <c r="R409">
        <v>-3.012579E-2</v>
      </c>
      <c r="S409">
        <v>3.0392459999999999</v>
      </c>
      <c r="T409">
        <v>-0.21155199999999999</v>
      </c>
      <c r="U409">
        <v>-0.16375729999999999</v>
      </c>
      <c r="V409">
        <v>2.4816040000000001E-2</v>
      </c>
      <c r="W409">
        <v>0.1264372</v>
      </c>
      <c r="X409">
        <v>0.9916642</v>
      </c>
      <c r="Y409">
        <v>4.8386980000000003E-2</v>
      </c>
      <c r="Z409">
        <v>-1.3112760000000001E-3</v>
      </c>
      <c r="AA409">
        <v>0.99882780000000004</v>
      </c>
      <c r="AB409">
        <v>40</v>
      </c>
      <c r="AC409">
        <v>0.56889999999998497</v>
      </c>
      <c r="AD409">
        <v>-6.5528000000000197E-2</v>
      </c>
      <c r="AE409">
        <v>-4.9300000000016497E-2</v>
      </c>
      <c r="AF409">
        <v>4.5671934708958202E-2</v>
      </c>
      <c r="AG409">
        <v>-6.5528000000000197E-2</v>
      </c>
      <c r="AH409">
        <v>0.56175674335950898</v>
      </c>
      <c r="AI409">
        <v>96.6317040924081</v>
      </c>
      <c r="AJ409">
        <v>85.351962965482997</v>
      </c>
      <c r="AK409">
        <v>0.56740680566410295</v>
      </c>
      <c r="AL409">
        <v>82.7362404751415</v>
      </c>
      <c r="AM409">
        <v>88.566492907744305</v>
      </c>
      <c r="AN409">
        <v>1.00000004347337</v>
      </c>
    </row>
    <row r="410" spans="1:40" x14ac:dyDescent="0.25">
      <c r="A410" t="str">
        <f>"20190312164226033"</f>
        <v>20190312164226033</v>
      </c>
      <c r="B410" t="str">
        <f>"1552380146024284"</f>
        <v>1552380146024284</v>
      </c>
      <c r="C410" t="s">
        <v>40</v>
      </c>
      <c r="D410">
        <v>4.6004430000000003</v>
      </c>
      <c r="E410">
        <v>0.52024479999999995</v>
      </c>
      <c r="F410" t="s">
        <v>41</v>
      </c>
      <c r="G410">
        <v>-371.9314</v>
      </c>
      <c r="H410">
        <v>1.045847</v>
      </c>
      <c r="I410">
        <v>367.52879999999999</v>
      </c>
      <c r="J410">
        <v>-372.4425</v>
      </c>
      <c r="K410">
        <v>1.1102339999999999</v>
      </c>
      <c r="L410">
        <v>367.57819999999998</v>
      </c>
      <c r="M410">
        <v>0.99987170000000003</v>
      </c>
      <c r="N410">
        <v>0</v>
      </c>
      <c r="O410">
        <v>-5.2834980000000002E-3</v>
      </c>
      <c r="P410">
        <v>0.99332399999999998</v>
      </c>
      <c r="Q410">
        <v>0.1113739</v>
      </c>
      <c r="R410">
        <v>-3.0054310000000001E-2</v>
      </c>
      <c r="S410">
        <v>3.0387569999999999</v>
      </c>
      <c r="T410">
        <v>-0.2108372</v>
      </c>
      <c r="U410">
        <v>-0.1683655</v>
      </c>
      <c r="V410">
        <v>2.4785140000000001E-2</v>
      </c>
      <c r="W410">
        <v>0.1263899</v>
      </c>
      <c r="X410">
        <v>0.99167099999999997</v>
      </c>
      <c r="Y410">
        <v>4.9937380000000003E-2</v>
      </c>
      <c r="Z410">
        <v>-1.363104E-3</v>
      </c>
      <c r="AA410">
        <v>0.99875139999999996</v>
      </c>
      <c r="AB410">
        <v>40</v>
      </c>
      <c r="AC410">
        <v>0.511099999999999</v>
      </c>
      <c r="AD410">
        <v>-6.4386999999999903E-2</v>
      </c>
      <c r="AE410">
        <v>-4.9399999999991402E-2</v>
      </c>
      <c r="AF410">
        <v>4.5975711547344901E-2</v>
      </c>
      <c r="AG410">
        <v>-6.4386999999999903E-2</v>
      </c>
      <c r="AH410">
        <v>0.50343814372281304</v>
      </c>
      <c r="AI410">
        <v>97.258371998774393</v>
      </c>
      <c r="AJ410">
        <v>84.782025160868102</v>
      </c>
      <c r="AK410">
        <v>0.50961693101422401</v>
      </c>
      <c r="AL410">
        <v>82.738972465348596</v>
      </c>
      <c r="AM410">
        <v>88.568286926877704</v>
      </c>
      <c r="AN410">
        <v>1.0000000411139101</v>
      </c>
    </row>
    <row r="411" spans="1:40" x14ac:dyDescent="0.25">
      <c r="A411" t="str">
        <f>"20190312164226054"</f>
        <v>20190312164226054</v>
      </c>
      <c r="B411" t="str">
        <f>"1552380146044765"</f>
        <v>1552380146044765</v>
      </c>
      <c r="C411" t="s">
        <v>40</v>
      </c>
      <c r="D411">
        <v>4.5798509999999997</v>
      </c>
      <c r="E411">
        <v>0.51837060000000001</v>
      </c>
      <c r="F411" t="s">
        <v>42</v>
      </c>
      <c r="G411">
        <v>-351.81560000000002</v>
      </c>
      <c r="H411" s="1">
        <v>-4.1367679999999999E-6</v>
      </c>
      <c r="I411">
        <v>365.98939999999999</v>
      </c>
      <c r="J411">
        <v>-372.06729999999999</v>
      </c>
      <c r="K411">
        <v>1.1102270000000001</v>
      </c>
      <c r="L411">
        <v>367.57619999999997</v>
      </c>
      <c r="M411">
        <v>0.99987190000000004</v>
      </c>
      <c r="N411">
        <v>0</v>
      </c>
      <c r="O411">
        <v>-5.2636159999999996E-3</v>
      </c>
      <c r="P411">
        <v>0.99334029999999995</v>
      </c>
      <c r="Q411">
        <v>0.1114144</v>
      </c>
      <c r="R411">
        <v>-2.936215E-2</v>
      </c>
      <c r="S411">
        <v>3.0314030000000001</v>
      </c>
      <c r="T411">
        <v>-0.16316349999999999</v>
      </c>
      <c r="U411">
        <v>-0.23349</v>
      </c>
      <c r="V411">
        <v>2.411752E-2</v>
      </c>
      <c r="W411">
        <v>0.1264258</v>
      </c>
      <c r="X411">
        <v>0.99168279999999998</v>
      </c>
      <c r="Y411">
        <v>7.1451329999999993E-2</v>
      </c>
      <c r="Z411">
        <v>-1.635982E-3</v>
      </c>
      <c r="AA411">
        <v>0.99744270000000002</v>
      </c>
      <c r="AB411">
        <v>40</v>
      </c>
      <c r="AC411">
        <v>20.2516999999999</v>
      </c>
      <c r="AD411">
        <v>-1.110231136768</v>
      </c>
      <c r="AE411">
        <v>-1.58679999999998</v>
      </c>
      <c r="AF411">
        <v>1.47576045846603</v>
      </c>
      <c r="AG411">
        <v>-1.110231136768</v>
      </c>
      <c r="AH411">
        <v>20.1994354804702</v>
      </c>
      <c r="AI411">
        <v>93.137663577460103</v>
      </c>
      <c r="AJ411">
        <v>85.821423652627999</v>
      </c>
      <c r="AK411">
        <v>20.283680036854701</v>
      </c>
      <c r="AL411">
        <v>82.736898297578193</v>
      </c>
      <c r="AM411">
        <v>88.606853143268907</v>
      </c>
      <c r="AN411">
        <v>0.999999956746214</v>
      </c>
    </row>
    <row r="412" spans="1:40" x14ac:dyDescent="0.25">
      <c r="A412" t="str">
        <f>"20190312164226075"</f>
        <v>20190312164226075</v>
      </c>
      <c r="B412" t="str">
        <f>"1552380146064284"</f>
        <v>1552380146064284</v>
      </c>
      <c r="C412" t="s">
        <v>40</v>
      </c>
      <c r="D412">
        <v>4.9212749999999996</v>
      </c>
      <c r="E412">
        <v>0.51745240000000003</v>
      </c>
      <c r="F412" t="s">
        <v>42</v>
      </c>
      <c r="G412">
        <v>-353.15960000000001</v>
      </c>
      <c r="H412" s="1">
        <v>-3.5173580000000001E-6</v>
      </c>
      <c r="I412">
        <v>366.23090000000002</v>
      </c>
      <c r="J412">
        <v>-371.67939999999999</v>
      </c>
      <c r="K412">
        <v>1.11022</v>
      </c>
      <c r="L412">
        <v>367.57420000000002</v>
      </c>
      <c r="M412">
        <v>0.99987210000000004</v>
      </c>
      <c r="N412">
        <v>0</v>
      </c>
      <c r="O412">
        <v>-5.250846E-3</v>
      </c>
      <c r="P412">
        <v>0.99333629999999995</v>
      </c>
      <c r="Q412">
        <v>0.1115297</v>
      </c>
      <c r="R412">
        <v>-2.90569E-2</v>
      </c>
      <c r="S412">
        <v>3.033722</v>
      </c>
      <c r="T412">
        <v>-0.17813399999999999</v>
      </c>
      <c r="U412">
        <v>-0.21585080000000001</v>
      </c>
      <c r="V412">
        <v>2.382923E-2</v>
      </c>
      <c r="W412">
        <v>0.1265365</v>
      </c>
      <c r="X412">
        <v>0.99167570000000005</v>
      </c>
      <c r="Y412">
        <v>6.5628450000000005E-2</v>
      </c>
      <c r="Z412">
        <v>-1.6150170000000001E-3</v>
      </c>
      <c r="AA412">
        <v>0.99784280000000003</v>
      </c>
      <c r="AB412">
        <v>40</v>
      </c>
      <c r="AC412">
        <v>18.519799999999901</v>
      </c>
      <c r="AD412">
        <v>-1.110223517358</v>
      </c>
      <c r="AE412">
        <v>-1.3432999999999899</v>
      </c>
      <c r="AF412">
        <v>1.2415871553185001</v>
      </c>
      <c r="AG412">
        <v>-1.110223517358</v>
      </c>
      <c r="AH412">
        <v>18.460603251525001</v>
      </c>
      <c r="AI412">
        <v>93.433892702733004</v>
      </c>
      <c r="AJ412">
        <v>86.152307037248704</v>
      </c>
      <c r="AK412">
        <v>18.535587590712101</v>
      </c>
      <c r="AL412">
        <v>82.730504664417396</v>
      </c>
      <c r="AM412">
        <v>88.623489897759697</v>
      </c>
      <c r="AN412">
        <v>1.00000000600256</v>
      </c>
    </row>
    <row r="413" spans="1:40" x14ac:dyDescent="0.25">
      <c r="A413" t="str">
        <f>"20190312164226100"</f>
        <v>20190312164226100</v>
      </c>
      <c r="B413" t="str">
        <f>"1552380146094542"</f>
        <v>1552380146094542</v>
      </c>
      <c r="C413" t="s">
        <v>40</v>
      </c>
      <c r="D413">
        <v>4.9423320000000004</v>
      </c>
      <c r="E413">
        <v>0.51946289999999995</v>
      </c>
      <c r="F413" t="s">
        <v>42</v>
      </c>
      <c r="G413">
        <v>-352.6431</v>
      </c>
      <c r="H413" s="1">
        <v>-3.7317120000000001E-6</v>
      </c>
      <c r="I413">
        <v>366.2715</v>
      </c>
      <c r="J413">
        <v>-371.2645</v>
      </c>
      <c r="K413">
        <v>1.110214</v>
      </c>
      <c r="L413">
        <v>367.57209999999998</v>
      </c>
      <c r="M413">
        <v>0.99987199999999998</v>
      </c>
      <c r="N413">
        <v>0</v>
      </c>
      <c r="O413">
        <v>-5.2425689999999999E-3</v>
      </c>
      <c r="P413">
        <v>0.99326899999999996</v>
      </c>
      <c r="Q413">
        <v>0.11227810000000001</v>
      </c>
      <c r="R413">
        <v>-2.8468199999999999E-2</v>
      </c>
      <c r="S413">
        <v>3.0339360000000002</v>
      </c>
      <c r="T413">
        <v>-0.17694289999999999</v>
      </c>
      <c r="U413">
        <v>-0.20761109999999999</v>
      </c>
      <c r="V413">
        <v>2.3252789999999999E-2</v>
      </c>
      <c r="W413">
        <v>0.12727910000000001</v>
      </c>
      <c r="X413">
        <v>0.99159430000000004</v>
      </c>
      <c r="Y413">
        <v>6.2940540000000003E-2</v>
      </c>
      <c r="Z413">
        <v>-1.5265329999999901E-3</v>
      </c>
      <c r="AA413">
        <v>0.99801609999999996</v>
      </c>
      <c r="AB413">
        <v>40</v>
      </c>
      <c r="AC413">
        <v>18.621399999999898</v>
      </c>
      <c r="AD413">
        <v>-1.1102177317119999</v>
      </c>
      <c r="AE413">
        <v>-1.30059999999997</v>
      </c>
      <c r="AF413">
        <v>1.19870674568533</v>
      </c>
      <c r="AG413">
        <v>-1.1102177317119999</v>
      </c>
      <c r="AH413">
        <v>18.5623019169429</v>
      </c>
      <c r="AI413">
        <v>93.415705074753703</v>
      </c>
      <c r="AJ413">
        <v>86.305113246944401</v>
      </c>
      <c r="AK413">
        <v>18.634069167245801</v>
      </c>
      <c r="AL413">
        <v>82.687609645629493</v>
      </c>
      <c r="AM413">
        <v>88.656665732949804</v>
      </c>
      <c r="AN413">
        <v>0.99999995866604097</v>
      </c>
    </row>
    <row r="414" spans="1:40" x14ac:dyDescent="0.25">
      <c r="A414" t="str">
        <f>"20190312164226122"</f>
        <v>20190312164226122</v>
      </c>
      <c r="B414" t="str">
        <f>"1552380146114737"</f>
        <v>1552380146114737</v>
      </c>
      <c r="C414" t="s">
        <v>40</v>
      </c>
      <c r="D414">
        <v>4.4662490000000004</v>
      </c>
      <c r="E414">
        <v>0.52112139999999996</v>
      </c>
      <c r="F414" t="s">
        <v>42</v>
      </c>
      <c r="G414">
        <v>-351.7645</v>
      </c>
      <c r="H414" s="1">
        <v>-4.1309529999999997E-6</v>
      </c>
      <c r="I414">
        <v>366.1456</v>
      </c>
      <c r="J414">
        <v>-370.86079999999998</v>
      </c>
      <c r="K414">
        <v>1.110209</v>
      </c>
      <c r="L414">
        <v>367.57</v>
      </c>
      <c r="M414">
        <v>0.99987230000000005</v>
      </c>
      <c r="N414">
        <v>0</v>
      </c>
      <c r="O414">
        <v>-5.2391240000000004E-3</v>
      </c>
      <c r="P414">
        <v>0.99321879999999996</v>
      </c>
      <c r="Q414">
        <v>0.1128565</v>
      </c>
      <c r="R414">
        <v>-2.7928140000000001E-2</v>
      </c>
      <c r="S414">
        <v>3.0334469999999998</v>
      </c>
      <c r="T414">
        <v>-0.172706</v>
      </c>
      <c r="U414">
        <v>-0.22189329999999999</v>
      </c>
      <c r="V414">
        <v>2.2719039999999999E-2</v>
      </c>
      <c r="W414">
        <v>0.1278523</v>
      </c>
      <c r="X414">
        <v>0.991533</v>
      </c>
      <c r="Y414">
        <v>6.7626729999999996E-2</v>
      </c>
      <c r="Z414">
        <v>-1.623345E-3</v>
      </c>
      <c r="AA414">
        <v>0.99770939999999997</v>
      </c>
      <c r="AB414">
        <v>40</v>
      </c>
      <c r="AC414">
        <v>19.0962999999999</v>
      </c>
      <c r="AD414">
        <v>-1.1102131309529999</v>
      </c>
      <c r="AE414">
        <v>-1.4243999999999899</v>
      </c>
      <c r="AF414">
        <v>1.31988465720529</v>
      </c>
      <c r="AG414">
        <v>-1.1102131309529999</v>
      </c>
      <c r="AH414">
        <v>19.039504214899701</v>
      </c>
      <c r="AI414">
        <v>93.329224999936798</v>
      </c>
      <c r="AJ414">
        <v>86.034401702838394</v>
      </c>
      <c r="AK414">
        <v>19.1174629450053</v>
      </c>
      <c r="AL414">
        <v>82.654497688346297</v>
      </c>
      <c r="AM414">
        <v>88.687408914659699</v>
      </c>
      <c r="AN414">
        <v>1.0000000277414001</v>
      </c>
    </row>
    <row r="415" spans="1:40" x14ac:dyDescent="0.25">
      <c r="A415" t="str">
        <f>"20190312164226144"</f>
        <v>20190312164226144</v>
      </c>
      <c r="B415" t="str">
        <f>"1552380146134256"</f>
        <v>1552380146134256</v>
      </c>
      <c r="C415" t="s">
        <v>40</v>
      </c>
      <c r="D415">
        <v>4.435435</v>
      </c>
      <c r="E415">
        <v>0.52298820000000001</v>
      </c>
      <c r="F415" t="s">
        <v>41</v>
      </c>
      <c r="G415">
        <v>-369.78739999999999</v>
      </c>
      <c r="H415">
        <v>1.0451280000000001</v>
      </c>
      <c r="I415">
        <v>367.48759999999999</v>
      </c>
      <c r="J415">
        <v>-370.45159999999998</v>
      </c>
      <c r="K415">
        <v>1.110206</v>
      </c>
      <c r="L415">
        <v>367.56779999999998</v>
      </c>
      <c r="M415">
        <v>0.99987230000000005</v>
      </c>
      <c r="N415">
        <v>0</v>
      </c>
      <c r="O415">
        <v>-5.2390889999999997E-3</v>
      </c>
      <c r="P415">
        <v>0.99315600000000004</v>
      </c>
      <c r="Q415">
        <v>0.1134329</v>
      </c>
      <c r="R415">
        <v>-2.7831789999999999E-2</v>
      </c>
      <c r="S415">
        <v>3.0348820000000001</v>
      </c>
      <c r="T415">
        <v>-0.184027</v>
      </c>
      <c r="U415">
        <v>-0.23266600000000001</v>
      </c>
      <c r="V415">
        <v>2.2624990000000001E-2</v>
      </c>
      <c r="W415">
        <v>0.12842310000000001</v>
      </c>
      <c r="X415">
        <v>0.99146129999999999</v>
      </c>
      <c r="Y415">
        <v>7.1094009999999999E-2</v>
      </c>
      <c r="Z415">
        <v>-1.8334009999999999E-3</v>
      </c>
      <c r="AA415">
        <v>0.99746789999999996</v>
      </c>
      <c r="AB415">
        <v>40</v>
      </c>
      <c r="AC415">
        <v>0.66419999999999302</v>
      </c>
      <c r="AD415">
        <v>-6.50779999999999E-2</v>
      </c>
      <c r="AE415">
        <v>-8.0199999999990695E-2</v>
      </c>
      <c r="AF415">
        <v>7.5999588903922694E-2</v>
      </c>
      <c r="AG415">
        <v>-6.50779999999999E-2</v>
      </c>
      <c r="AH415">
        <v>0.65838147804873803</v>
      </c>
      <c r="AI415">
        <v>95.608088135330803</v>
      </c>
      <c r="AJ415">
        <v>83.415264607030096</v>
      </c>
      <c r="AK415">
        <v>0.665940878933863</v>
      </c>
      <c r="AL415">
        <v>82.621520808382598</v>
      </c>
      <c r="AM415">
        <v>88.692746260534605</v>
      </c>
      <c r="AN415">
        <v>0.99999994609189802</v>
      </c>
    </row>
    <row r="416" spans="1:40" x14ac:dyDescent="0.25">
      <c r="A416" t="str">
        <f>"20190312164226167"</f>
        <v>20190312164226167</v>
      </c>
      <c r="B416" t="str">
        <f>"1552380146153777"</f>
        <v>1552380146153777</v>
      </c>
      <c r="C416" t="s">
        <v>40</v>
      </c>
      <c r="D416">
        <v>4.4613350000000001</v>
      </c>
      <c r="E416">
        <v>0.52433819999999998</v>
      </c>
      <c r="F416" t="s">
        <v>41</v>
      </c>
      <c r="G416">
        <v>-369.42989999999998</v>
      </c>
      <c r="H416">
        <v>1.0464899999999999</v>
      </c>
      <c r="I416">
        <v>367.48450000000003</v>
      </c>
      <c r="J416">
        <v>-370.06380000000001</v>
      </c>
      <c r="K416">
        <v>1.1102000000000001</v>
      </c>
      <c r="L416">
        <v>367.56580000000002</v>
      </c>
      <c r="M416">
        <v>0.99987239999999999</v>
      </c>
      <c r="N416">
        <v>0</v>
      </c>
      <c r="O416">
        <v>-5.2399889999999996E-3</v>
      </c>
      <c r="P416">
        <v>0.99312999999999996</v>
      </c>
      <c r="Q416">
        <v>0.11363280000000001</v>
      </c>
      <c r="R416">
        <v>-2.794313E-2</v>
      </c>
      <c r="S416">
        <v>3.0354000000000001</v>
      </c>
      <c r="T416">
        <v>-0.18948470000000001</v>
      </c>
      <c r="U416">
        <v>-0.24667359999999999</v>
      </c>
      <c r="V416">
        <v>2.273704E-2</v>
      </c>
      <c r="W416">
        <v>0.12861839999999999</v>
      </c>
      <c r="X416">
        <v>0.99143349999999997</v>
      </c>
      <c r="Y416">
        <v>7.5637969999999999E-2</v>
      </c>
      <c r="Z416">
        <v>-2.0284130000000002E-3</v>
      </c>
      <c r="AA416">
        <v>0.9971333</v>
      </c>
      <c r="AB416">
        <v>40</v>
      </c>
      <c r="AC416">
        <v>0.63390000000003899</v>
      </c>
      <c r="AD416">
        <v>-6.37100000000001E-2</v>
      </c>
      <c r="AE416">
        <v>-8.1299999999998804E-2</v>
      </c>
      <c r="AF416">
        <v>7.7209586639295294E-2</v>
      </c>
      <c r="AG416">
        <v>-6.37100000000001E-2</v>
      </c>
      <c r="AH416">
        <v>0.62807569504254901</v>
      </c>
      <c r="AI416">
        <v>95.749106154513797</v>
      </c>
      <c r="AJ416">
        <v>82.991769163574006</v>
      </c>
      <c r="AK416">
        <v>0.63600264391918404</v>
      </c>
      <c r="AL416">
        <v>82.610237955470694</v>
      </c>
      <c r="AM416">
        <v>88.686237540643802</v>
      </c>
      <c r="AN416">
        <v>1.0000000253643799</v>
      </c>
    </row>
    <row r="417" spans="1:40" x14ac:dyDescent="0.25">
      <c r="A417" t="str">
        <f>"20190312164226187"</f>
        <v>20190312164226187</v>
      </c>
      <c r="B417" t="str">
        <f>"1552380146184033"</f>
        <v>1552380146184033</v>
      </c>
      <c r="C417" t="s">
        <v>40</v>
      </c>
      <c r="D417">
        <v>4.4528919999999896</v>
      </c>
      <c r="E417">
        <v>0.52529239999999999</v>
      </c>
      <c r="F417" t="s">
        <v>41</v>
      </c>
      <c r="G417">
        <v>-369.0729</v>
      </c>
      <c r="H417">
        <v>1.0477609999999999</v>
      </c>
      <c r="I417">
        <v>367.48169999999999</v>
      </c>
      <c r="J417">
        <v>-369.68389999999999</v>
      </c>
      <c r="K417">
        <v>1.110196</v>
      </c>
      <c r="L417">
        <v>367.56380000000001</v>
      </c>
      <c r="M417">
        <v>0.99987230000000005</v>
      </c>
      <c r="N417">
        <v>0</v>
      </c>
      <c r="O417">
        <v>-5.2418320000000001E-3</v>
      </c>
      <c r="P417">
        <v>0.99306510000000003</v>
      </c>
      <c r="Q417">
        <v>0.1140255</v>
      </c>
      <c r="R417">
        <v>-2.8632990000000001E-2</v>
      </c>
      <c r="S417">
        <v>3.035431</v>
      </c>
      <c r="T417">
        <v>-0.19141349999999999</v>
      </c>
      <c r="U417">
        <v>-0.25711060000000002</v>
      </c>
      <c r="V417">
        <v>2.3427150000000001E-2</v>
      </c>
      <c r="W417">
        <v>0.1290057</v>
      </c>
      <c r="X417">
        <v>0.99136709999999995</v>
      </c>
      <c r="Y417">
        <v>7.9030550000000005E-2</v>
      </c>
      <c r="Z417">
        <v>-2.155265E-3</v>
      </c>
      <c r="AA417">
        <v>0.99686989999999998</v>
      </c>
      <c r="AB417">
        <v>40</v>
      </c>
      <c r="AC417">
        <v>0.61099999999999</v>
      </c>
      <c r="AD417">
        <v>-6.2434999999999803E-2</v>
      </c>
      <c r="AE417">
        <v>-8.2100000000025306E-2</v>
      </c>
      <c r="AF417">
        <v>7.80947624657026E-2</v>
      </c>
      <c r="AG417">
        <v>-6.2434999999999803E-2</v>
      </c>
      <c r="AH417">
        <v>0.605214577235613</v>
      </c>
      <c r="AI417">
        <v>95.841803871479499</v>
      </c>
      <c r="AJ417">
        <v>82.647382351167096</v>
      </c>
      <c r="AK417">
        <v>0.61341796977921703</v>
      </c>
      <c r="AL417">
        <v>82.587860796461001</v>
      </c>
      <c r="AM417">
        <v>88.646286478391403</v>
      </c>
      <c r="AN417">
        <v>1.0000000144760099</v>
      </c>
    </row>
    <row r="418" spans="1:40" x14ac:dyDescent="0.25">
      <c r="A418" t="str">
        <f>"20190312164226211"</f>
        <v>20190312164226211</v>
      </c>
      <c r="B418" t="str">
        <f>"1552380146203855"</f>
        <v>1552380146203855</v>
      </c>
      <c r="C418" t="s">
        <v>40</v>
      </c>
      <c r="D418">
        <v>4.4532860000000003</v>
      </c>
      <c r="E418">
        <v>0.52607349999999997</v>
      </c>
      <c r="F418" t="s">
        <v>41</v>
      </c>
      <c r="G418">
        <v>-368.7165</v>
      </c>
      <c r="H418">
        <v>1.0487820000000001</v>
      </c>
      <c r="I418">
        <v>367.47829999999999</v>
      </c>
      <c r="J418">
        <v>-369.26670000000001</v>
      </c>
      <c r="K418">
        <v>1.110198</v>
      </c>
      <c r="L418">
        <v>367.5616</v>
      </c>
      <c r="M418">
        <v>0.99987250000000005</v>
      </c>
      <c r="N418">
        <v>0</v>
      </c>
      <c r="O418">
        <v>-5.2449819999999996E-3</v>
      </c>
      <c r="P418">
        <v>0.99300980000000005</v>
      </c>
      <c r="Q418">
        <v>0.1142918</v>
      </c>
      <c r="R418">
        <v>-2.9481489999999999E-2</v>
      </c>
      <c r="S418">
        <v>3.0354000000000001</v>
      </c>
      <c r="T418">
        <v>-0.19309399999999999</v>
      </c>
      <c r="U418">
        <v>-0.26684570000000002</v>
      </c>
      <c r="V418">
        <v>2.4274190000000001E-2</v>
      </c>
      <c r="W418">
        <v>0.12926669999999901</v>
      </c>
      <c r="X418">
        <v>0.99131270000000005</v>
      </c>
      <c r="Y418">
        <v>8.2192500000000002E-2</v>
      </c>
      <c r="Z418">
        <v>-2.2739510000000002E-3</v>
      </c>
      <c r="AA418">
        <v>0.99661390000000005</v>
      </c>
      <c r="AB418">
        <v>40</v>
      </c>
      <c r="AC418">
        <v>0.55020000000001801</v>
      </c>
      <c r="AD418">
        <v>-6.1416000000000102E-2</v>
      </c>
      <c r="AE418">
        <v>-8.3300000000008298E-2</v>
      </c>
      <c r="AF418">
        <v>7.9445024521494795E-2</v>
      </c>
      <c r="AG418">
        <v>-6.1416000000000102E-2</v>
      </c>
      <c r="AH418">
        <v>0.54400294050735898</v>
      </c>
      <c r="AI418">
        <v>96.374169431124002</v>
      </c>
      <c r="AJ418">
        <v>81.691380959312895</v>
      </c>
      <c r="AK418">
        <v>0.55319312744996596</v>
      </c>
      <c r="AL418">
        <v>82.572780164042697</v>
      </c>
      <c r="AM418">
        <v>88.597283422679993</v>
      </c>
      <c r="AN418">
        <v>0.99999999260516803</v>
      </c>
    </row>
    <row r="419" spans="1:40" x14ac:dyDescent="0.25">
      <c r="A419" t="str">
        <f>"20190312164226234"</f>
        <v>20190312164226234</v>
      </c>
      <c r="B419" t="str">
        <f>"1552380146224352"</f>
        <v>1552380146224352</v>
      </c>
      <c r="C419" t="s">
        <v>40</v>
      </c>
      <c r="D419">
        <v>4.4658089999999904</v>
      </c>
      <c r="E419">
        <v>0.52683139999999995</v>
      </c>
      <c r="F419" t="s">
        <v>42</v>
      </c>
      <c r="G419">
        <v>-351.54680000000002</v>
      </c>
      <c r="H419" s="1">
        <v>-4.258539E-6</v>
      </c>
      <c r="I419">
        <v>365.95310000000001</v>
      </c>
      <c r="J419">
        <v>-368.8621</v>
      </c>
      <c r="K419">
        <v>1.110196</v>
      </c>
      <c r="L419">
        <v>367.55950000000001</v>
      </c>
      <c r="M419">
        <v>0.99987250000000005</v>
      </c>
      <c r="N419">
        <v>0</v>
      </c>
      <c r="O419">
        <v>-5.2485969999999998E-3</v>
      </c>
      <c r="P419">
        <v>0.99295069999999996</v>
      </c>
      <c r="Q419">
        <v>0.1144896</v>
      </c>
      <c r="R419">
        <v>-3.0682290000000001E-2</v>
      </c>
      <c r="S419">
        <v>3.0347900000000001</v>
      </c>
      <c r="T419">
        <v>-0.19013659999999999</v>
      </c>
      <c r="U419">
        <v>-0.27548220000000001</v>
      </c>
      <c r="V419">
        <v>2.547286E-2</v>
      </c>
      <c r="W419">
        <v>0.12945909999999999</v>
      </c>
      <c r="X419">
        <v>0.99125750000000001</v>
      </c>
      <c r="Y419">
        <v>8.5018960000000005E-2</v>
      </c>
      <c r="Z419">
        <v>-2.3274060000000002E-3</v>
      </c>
      <c r="AA419">
        <v>0.99637659999999995</v>
      </c>
      <c r="AB419">
        <v>40</v>
      </c>
      <c r="AC419">
        <v>17.315299999999901</v>
      </c>
      <c r="AD419">
        <v>-1.1102002585390001</v>
      </c>
      <c r="AE419">
        <v>-1.6064000000000001</v>
      </c>
      <c r="AF419">
        <v>1.5093346435763899</v>
      </c>
      <c r="AG419">
        <v>-1.1102002585390001</v>
      </c>
      <c r="AH419">
        <v>17.2531720084692</v>
      </c>
      <c r="AI419">
        <v>93.667800383400404</v>
      </c>
      <c r="AJ419">
        <v>85.000403115333498</v>
      </c>
      <c r="AK419">
        <v>17.354612644314098</v>
      </c>
      <c r="AL419">
        <v>82.5616629348456</v>
      </c>
      <c r="AM419">
        <v>88.527964495854206</v>
      </c>
      <c r="AN419">
        <v>0.99999997823781905</v>
      </c>
    </row>
    <row r="420" spans="1:40" x14ac:dyDescent="0.25">
      <c r="A420" t="str">
        <f>"20190312164226256"</f>
        <v>20190312164226256</v>
      </c>
      <c r="B420" t="str">
        <f>"1552380146243871"</f>
        <v>1552380146243871</v>
      </c>
      <c r="C420" t="s">
        <v>40</v>
      </c>
      <c r="D420">
        <v>4.8255169999999996</v>
      </c>
      <c r="E420">
        <v>0.52740779999999998</v>
      </c>
      <c r="F420" t="s">
        <v>42</v>
      </c>
      <c r="G420">
        <v>-351.05650000000003</v>
      </c>
      <c r="H420" s="1">
        <v>-4.480586E-6</v>
      </c>
      <c r="I420">
        <v>365.88679999999999</v>
      </c>
      <c r="J420">
        <v>-368.48140000000001</v>
      </c>
      <c r="K420">
        <v>1.1101989999999999</v>
      </c>
      <c r="L420">
        <v>367.5575</v>
      </c>
      <c r="M420">
        <v>0.9998726</v>
      </c>
      <c r="N420">
        <v>0</v>
      </c>
      <c r="O420">
        <v>-5.2523149999999996E-3</v>
      </c>
      <c r="P420">
        <v>0.99288149999999997</v>
      </c>
      <c r="Q420">
        <v>0.1148975</v>
      </c>
      <c r="R420">
        <v>-3.1388220000000001E-2</v>
      </c>
      <c r="S420">
        <v>3.034332</v>
      </c>
      <c r="T420">
        <v>-0.18919349999999999</v>
      </c>
      <c r="U420">
        <v>-0.28503420000000002</v>
      </c>
      <c r="V420">
        <v>2.61762E-2</v>
      </c>
      <c r="W420">
        <v>0.12986199999999901</v>
      </c>
      <c r="X420">
        <v>0.99118649999999997</v>
      </c>
      <c r="Y420">
        <v>8.8133950000000003E-2</v>
      </c>
      <c r="Z420">
        <v>-2.412473E-3</v>
      </c>
      <c r="AA420">
        <v>0.99610569999999998</v>
      </c>
      <c r="AB420">
        <v>40</v>
      </c>
      <c r="AC420">
        <v>17.424899999999901</v>
      </c>
      <c r="AD420">
        <v>-1.1102034805859999</v>
      </c>
      <c r="AE420">
        <v>-1.6707000000000101</v>
      </c>
      <c r="AF420">
        <v>1.5728189067823499</v>
      </c>
      <c r="AG420">
        <v>-1.1102034805859999</v>
      </c>
      <c r="AH420">
        <v>17.363591503526401</v>
      </c>
      <c r="AI420">
        <v>93.643554419618695</v>
      </c>
      <c r="AJ420">
        <v>84.824191483017799</v>
      </c>
      <c r="AK420">
        <v>17.4699920143992</v>
      </c>
      <c r="AL420">
        <v>82.538382138529499</v>
      </c>
      <c r="AM420">
        <v>88.487229938199903</v>
      </c>
      <c r="AN420">
        <v>1.00000000513634</v>
      </c>
    </row>
    <row r="421" spans="1:40" x14ac:dyDescent="0.25">
      <c r="A421" t="str">
        <f>"20190312164226279"</f>
        <v>20190312164226279</v>
      </c>
      <c r="B421" t="str">
        <f>"1552380146274127"</f>
        <v>1552380146274127</v>
      </c>
      <c r="C421" t="s">
        <v>40</v>
      </c>
      <c r="D421">
        <v>4.8054930000000002</v>
      </c>
      <c r="E421">
        <v>0.52812109999999901</v>
      </c>
      <c r="F421" t="s">
        <v>42</v>
      </c>
      <c r="G421">
        <v>-350.63209999999998</v>
      </c>
      <c r="H421" s="1">
        <v>-4.6705039999999997E-6</v>
      </c>
      <c r="I421">
        <v>365.84269999999998</v>
      </c>
      <c r="J421">
        <v>-368.08319999999998</v>
      </c>
      <c r="K421">
        <v>1.1102019999999999</v>
      </c>
      <c r="L421">
        <v>367.55540000000002</v>
      </c>
      <c r="M421">
        <v>0.9998726</v>
      </c>
      <c r="N421">
        <v>0</v>
      </c>
      <c r="O421">
        <v>-5.257093E-3</v>
      </c>
      <c r="P421">
        <v>0.99283929999999998</v>
      </c>
      <c r="Q421">
        <v>0.1150704</v>
      </c>
      <c r="R421">
        <v>-3.2080619999999997E-2</v>
      </c>
      <c r="S421">
        <v>3.034119</v>
      </c>
      <c r="T421">
        <v>-0.18871669999999999</v>
      </c>
      <c r="U421">
        <v>-0.29147339999999999</v>
      </c>
      <c r="V421">
        <v>2.6864880000000001E-2</v>
      </c>
      <c r="W421">
        <v>0.1300298</v>
      </c>
      <c r="X421">
        <v>0.99114610000000003</v>
      </c>
      <c r="Y421">
        <v>9.0227440000000006E-2</v>
      </c>
      <c r="Z421">
        <v>-2.4709300000000001E-3</v>
      </c>
      <c r="AA421">
        <v>0.99591810000000003</v>
      </c>
      <c r="AB421">
        <v>40</v>
      </c>
      <c r="AC421">
        <v>17.451099999999901</v>
      </c>
      <c r="AD421">
        <v>-1.1102066705039999</v>
      </c>
      <c r="AE421">
        <v>-1.7127000000000401</v>
      </c>
      <c r="AF421">
        <v>1.6144520654226899</v>
      </c>
      <c r="AG421">
        <v>-1.1102066705039999</v>
      </c>
      <c r="AH421">
        <v>17.390152478166399</v>
      </c>
      <c r="AI421">
        <v>93.637270553962693</v>
      </c>
      <c r="AJ421">
        <v>84.6960265300402</v>
      </c>
      <c r="AK421">
        <v>17.500183357229599</v>
      </c>
      <c r="AL421">
        <v>82.528685886549496</v>
      </c>
      <c r="AM421">
        <v>88.447385849766306</v>
      </c>
      <c r="AN421">
        <v>1.0000000311053301</v>
      </c>
    </row>
    <row r="422" spans="1:40" x14ac:dyDescent="0.25">
      <c r="A422" t="str">
        <f>"20190312164226301"</f>
        <v>20190312164226301</v>
      </c>
      <c r="B422" t="str">
        <f>"1552380146294624"</f>
        <v>1552380146294624</v>
      </c>
      <c r="C422" t="s">
        <v>40</v>
      </c>
      <c r="D422">
        <v>4.8721050000000004</v>
      </c>
      <c r="E422">
        <v>0.52844569999999902</v>
      </c>
      <c r="F422" t="s">
        <v>42</v>
      </c>
      <c r="G422">
        <v>-349.98649999999998</v>
      </c>
      <c r="H422" s="1">
        <v>-4.9598770000000001E-6</v>
      </c>
      <c r="I422">
        <v>365.77269999999999</v>
      </c>
      <c r="J422">
        <v>-367.67899999999997</v>
      </c>
      <c r="K422">
        <v>1.1101989999999999</v>
      </c>
      <c r="L422">
        <v>367.55329999999998</v>
      </c>
      <c r="M422">
        <v>0.99987250000000005</v>
      </c>
      <c r="N422">
        <v>0</v>
      </c>
      <c r="O422">
        <v>-5.2625750000000002E-3</v>
      </c>
      <c r="P422">
        <v>0.99277210000000005</v>
      </c>
      <c r="Q422">
        <v>0.1155308</v>
      </c>
      <c r="R422">
        <v>-3.2494080000000002E-2</v>
      </c>
      <c r="S422">
        <v>3.0335390000000002</v>
      </c>
      <c r="T422">
        <v>-0.1861022</v>
      </c>
      <c r="U422">
        <v>-0.29882809999999999</v>
      </c>
      <c r="V422">
        <v>2.7273889999999999E-2</v>
      </c>
      <c r="W422">
        <v>0.13048509999999999</v>
      </c>
      <c r="X422">
        <v>0.99107500000000004</v>
      </c>
      <c r="Y422">
        <v>9.2631759999999994E-2</v>
      </c>
      <c r="Z422">
        <v>-2.510109E-3</v>
      </c>
      <c r="AA422">
        <v>0.99569730000000001</v>
      </c>
      <c r="AB422">
        <v>40</v>
      </c>
      <c r="AC422">
        <v>17.692499999999999</v>
      </c>
      <c r="AD422">
        <v>-1.1102039598769999</v>
      </c>
      <c r="AE422">
        <v>-1.78059999999999</v>
      </c>
      <c r="AF422">
        <v>1.6809043517481099</v>
      </c>
      <c r="AG422">
        <v>-1.1102039598769999</v>
      </c>
      <c r="AH422">
        <v>17.632892182273402</v>
      </c>
      <c r="AI422">
        <v>93.586490770256503</v>
      </c>
      <c r="AJ422">
        <v>84.554576013264494</v>
      </c>
      <c r="AK422">
        <v>17.747587976509099</v>
      </c>
      <c r="AL422">
        <v>82.502374275602705</v>
      </c>
      <c r="AM422">
        <v>88.423646562691701</v>
      </c>
      <c r="AN422">
        <v>0.99999994101136902</v>
      </c>
    </row>
    <row r="423" spans="1:40" x14ac:dyDescent="0.25">
      <c r="A423" t="str">
        <f>"20190312164226323"</f>
        <v>20190312164226323</v>
      </c>
      <c r="B423" t="str">
        <f>"1552380146314654"</f>
        <v>1552380146314654</v>
      </c>
      <c r="C423" t="s">
        <v>40</v>
      </c>
      <c r="D423">
        <v>4.94482</v>
      </c>
      <c r="E423">
        <v>0.528779</v>
      </c>
      <c r="F423" t="s">
        <v>41</v>
      </c>
      <c r="G423">
        <v>-366.59530000000001</v>
      </c>
      <c r="H423">
        <v>1.044851</v>
      </c>
      <c r="I423">
        <v>367.44470000000001</v>
      </c>
      <c r="J423">
        <v>-367.28269999999998</v>
      </c>
      <c r="K423">
        <v>1.110201</v>
      </c>
      <c r="L423">
        <v>367.55119999999999</v>
      </c>
      <c r="M423">
        <v>0.99987269999999995</v>
      </c>
      <c r="N423">
        <v>0</v>
      </c>
      <c r="O423">
        <v>-5.2700859999999898E-3</v>
      </c>
      <c r="P423">
        <v>0.99272800000000005</v>
      </c>
      <c r="Q423">
        <v>0.1158646</v>
      </c>
      <c r="R423">
        <v>-3.266376E-2</v>
      </c>
      <c r="S423">
        <v>3.0332340000000002</v>
      </c>
      <c r="T423">
        <v>-0.18313309999999999</v>
      </c>
      <c r="U423">
        <v>-0.30267329999999998</v>
      </c>
      <c r="V423">
        <v>2.7436840000000001E-2</v>
      </c>
      <c r="W423">
        <v>0.1308136</v>
      </c>
      <c r="X423">
        <v>0.9910272</v>
      </c>
      <c r="Y423">
        <v>9.3886819999999996E-2</v>
      </c>
      <c r="Z423">
        <v>-2.5075369999999998E-3</v>
      </c>
      <c r="AA423">
        <v>0.99557969999999896</v>
      </c>
      <c r="AB423">
        <v>40</v>
      </c>
      <c r="AC423">
        <v>0.68739999999996804</v>
      </c>
      <c r="AD423">
        <v>-6.5350000000000005E-2</v>
      </c>
      <c r="AE423">
        <v>-0.106499999999982</v>
      </c>
      <c r="AF423">
        <v>0.10197540402283101</v>
      </c>
      <c r="AG423">
        <v>-6.5350000000000005E-2</v>
      </c>
      <c r="AH423">
        <v>0.68193294760882495</v>
      </c>
      <c r="AI423">
        <v>95.414132762463595</v>
      </c>
      <c r="AJ423">
        <v>81.4950819936209</v>
      </c>
      <c r="AK423">
        <v>0.69260533535346103</v>
      </c>
      <c r="AL423">
        <v>82.483389916200295</v>
      </c>
      <c r="AM423">
        <v>88.414156862795494</v>
      </c>
      <c r="AN423">
        <v>0.99999994463699104</v>
      </c>
    </row>
    <row r="424" spans="1:40" x14ac:dyDescent="0.25">
      <c r="A424" t="str">
        <f>"20190312164226346"</f>
        <v>20190312164226346</v>
      </c>
      <c r="B424" t="str">
        <f>"1552380146334172"</f>
        <v>1552380146334172</v>
      </c>
      <c r="C424" t="s">
        <v>40</v>
      </c>
      <c r="D424">
        <v>4.5976100000000004</v>
      </c>
      <c r="E424">
        <v>0.52881359999999999</v>
      </c>
      <c r="F424" t="s">
        <v>41</v>
      </c>
      <c r="G424">
        <v>-366.24059999999997</v>
      </c>
      <c r="H424">
        <v>1.047275</v>
      </c>
      <c r="I424">
        <v>367.4461</v>
      </c>
      <c r="J424">
        <v>-366.8886</v>
      </c>
      <c r="K424">
        <v>1.110201</v>
      </c>
      <c r="L424">
        <v>367.54910000000001</v>
      </c>
      <c r="M424">
        <v>0.99987269999999995</v>
      </c>
      <c r="N424">
        <v>0</v>
      </c>
      <c r="O424">
        <v>-5.2787959999999997E-3</v>
      </c>
      <c r="P424">
        <v>0.99266549999999998</v>
      </c>
      <c r="Q424">
        <v>0.11642719999999999</v>
      </c>
      <c r="R424">
        <v>-3.2562590000000002E-2</v>
      </c>
      <c r="S424">
        <v>3.033264</v>
      </c>
      <c r="T424">
        <v>-0.1832087</v>
      </c>
      <c r="U424">
        <v>-0.30551149999999999</v>
      </c>
      <c r="V424">
        <v>2.7327919999999999E-2</v>
      </c>
      <c r="W424">
        <v>0.1313705</v>
      </c>
      <c r="X424">
        <v>0.99095659999999997</v>
      </c>
      <c r="Y424">
        <v>9.4797629999999994E-2</v>
      </c>
      <c r="Z424">
        <v>-2.5353160000000001E-3</v>
      </c>
      <c r="AA424">
        <v>0.99549339999999997</v>
      </c>
      <c r="AB424">
        <v>39</v>
      </c>
      <c r="AC424">
        <v>0.648000000000024</v>
      </c>
      <c r="AD424">
        <v>-6.2925999999999996E-2</v>
      </c>
      <c r="AE424">
        <v>-0.103000000000008</v>
      </c>
      <c r="AF424">
        <v>9.8669990957533996E-2</v>
      </c>
      <c r="AG424">
        <v>-6.2925999999999996E-2</v>
      </c>
      <c r="AH424">
        <v>0.64262415442141696</v>
      </c>
      <c r="AI424">
        <v>95.528218600364198</v>
      </c>
      <c r="AJ424">
        <v>81.270845501848399</v>
      </c>
      <c r="AK424">
        <v>0.65319312032307997</v>
      </c>
      <c r="AL424">
        <v>82.451204582817397</v>
      </c>
      <c r="AM424">
        <v>88.420336741491596</v>
      </c>
      <c r="AN424">
        <v>1.0000000032826599</v>
      </c>
    </row>
    <row r="425" spans="1:40" x14ac:dyDescent="0.25">
      <c r="A425" t="str">
        <f>"20190312164226368"</f>
        <v>20190312164226368</v>
      </c>
      <c r="B425" t="str">
        <f>"1552380146364428"</f>
        <v>1552380146364428</v>
      </c>
      <c r="C425" t="s">
        <v>40</v>
      </c>
      <c r="D425">
        <v>4.7301739999999999</v>
      </c>
      <c r="E425">
        <v>0.52855629999999998</v>
      </c>
      <c r="F425" t="s">
        <v>41</v>
      </c>
      <c r="G425">
        <v>-365.88619999999997</v>
      </c>
      <c r="H425">
        <v>1.0498240000000001</v>
      </c>
      <c r="I425">
        <v>367.4477</v>
      </c>
      <c r="J425">
        <v>-366.4982</v>
      </c>
      <c r="K425">
        <v>1.110196</v>
      </c>
      <c r="L425">
        <v>367.5471</v>
      </c>
      <c r="M425">
        <v>0.9998726</v>
      </c>
      <c r="N425">
        <v>0</v>
      </c>
      <c r="O425">
        <v>-5.2900239999999999E-3</v>
      </c>
      <c r="P425">
        <v>0.99258829999999998</v>
      </c>
      <c r="Q425">
        <v>0.117131399999999</v>
      </c>
      <c r="R425">
        <v>-3.2384240000000002E-2</v>
      </c>
      <c r="S425">
        <v>3.033569</v>
      </c>
      <c r="T425">
        <v>-0.1830348</v>
      </c>
      <c r="U425">
        <v>-0.30566409999999899</v>
      </c>
      <c r="V425">
        <v>2.7139940000000001E-2</v>
      </c>
      <c r="W425">
        <v>0.13206960000000001</v>
      </c>
      <c r="X425">
        <v>0.99086879999999999</v>
      </c>
      <c r="Y425">
        <v>9.4826359999999998E-2</v>
      </c>
      <c r="Z425">
        <v>-2.5328429999999999E-3</v>
      </c>
      <c r="AA425">
        <v>0.9954906</v>
      </c>
      <c r="AB425">
        <v>39</v>
      </c>
      <c r="AC425">
        <v>0.61200000000002297</v>
      </c>
      <c r="AD425">
        <v>-6.0372000000000002E-2</v>
      </c>
      <c r="AE425">
        <v>-9.9400000000002806E-2</v>
      </c>
      <c r="AF425">
        <v>9.5257597049248396E-2</v>
      </c>
      <c r="AG425">
        <v>-6.0372000000000002E-2</v>
      </c>
      <c r="AH425">
        <v>0.60676450797035997</v>
      </c>
      <c r="AI425">
        <v>95.6138149064342</v>
      </c>
      <c r="AJ425">
        <v>81.077806254393295</v>
      </c>
      <c r="AK425">
        <v>0.61715634673242203</v>
      </c>
      <c r="AL425">
        <v>82.4107967543695</v>
      </c>
      <c r="AM425">
        <v>88.431058349005696</v>
      </c>
      <c r="AN425">
        <v>0.99999996720040096</v>
      </c>
    </row>
    <row r="426" spans="1:40" x14ac:dyDescent="0.25">
      <c r="A426" t="str">
        <f>"20190312164226389"</f>
        <v>20190312164226389</v>
      </c>
      <c r="B426" t="str">
        <f>"1552380146383949"</f>
        <v>1552380146383949</v>
      </c>
      <c r="C426" t="s">
        <v>40</v>
      </c>
      <c r="D426">
        <v>4.9489150000000004</v>
      </c>
      <c r="E426">
        <v>0.52822729999999996</v>
      </c>
      <c r="F426" t="s">
        <v>41</v>
      </c>
      <c r="G426">
        <v>-365.53050000000002</v>
      </c>
      <c r="H426">
        <v>1.0507580000000001</v>
      </c>
      <c r="I426">
        <v>367.45030000000003</v>
      </c>
      <c r="J426">
        <v>-366.12299999999999</v>
      </c>
      <c r="K426">
        <v>1.110196</v>
      </c>
      <c r="L426">
        <v>367.54500000000002</v>
      </c>
      <c r="M426">
        <v>0.9998726</v>
      </c>
      <c r="N426">
        <v>0</v>
      </c>
      <c r="O426">
        <v>-5.3061569999999997E-3</v>
      </c>
      <c r="P426">
        <v>0.99251350000000005</v>
      </c>
      <c r="Q426">
        <v>0.1179214</v>
      </c>
      <c r="R426">
        <v>-3.1805840000000002E-2</v>
      </c>
      <c r="S426">
        <v>3.0345149999999999</v>
      </c>
      <c r="T426">
        <v>-0.18640599999999999</v>
      </c>
      <c r="U426">
        <v>-0.3031006</v>
      </c>
      <c r="V426">
        <v>2.6547189999999998E-2</v>
      </c>
      <c r="W426">
        <v>0.13285369999999999</v>
      </c>
      <c r="X426">
        <v>0.99078010000000005</v>
      </c>
      <c r="Y426">
        <v>9.3942510000000007E-2</v>
      </c>
      <c r="Z426">
        <v>-2.550676E-3</v>
      </c>
      <c r="AA426">
        <v>0.99557439999999997</v>
      </c>
      <c r="AB426">
        <v>39</v>
      </c>
      <c r="AC426">
        <v>0.592500000000029</v>
      </c>
      <c r="AD426">
        <v>-5.9437999999999797E-2</v>
      </c>
      <c r="AE426">
        <v>-9.4699999999988904E-2</v>
      </c>
      <c r="AF426">
        <v>9.06647300373115E-2</v>
      </c>
      <c r="AG426">
        <v>-5.9437999999999797E-2</v>
      </c>
      <c r="AH426">
        <v>0.58723177182660502</v>
      </c>
      <c r="AI426">
        <v>95.712411189699594</v>
      </c>
      <c r="AJ426">
        <v>81.2232084082912</v>
      </c>
      <c r="AK426">
        <v>0.59715502422683597</v>
      </c>
      <c r="AL426">
        <v>82.365472236028594</v>
      </c>
      <c r="AM426">
        <v>88.465170928734906</v>
      </c>
      <c r="AN426">
        <v>1.0000000327282901</v>
      </c>
    </row>
    <row r="427" spans="1:40" x14ac:dyDescent="0.25">
      <c r="A427" t="str">
        <f>"20190312164226412"</f>
        <v>20190312164226412</v>
      </c>
      <c r="B427" t="str">
        <f>"1552380146404447"</f>
        <v>1552380146404447</v>
      </c>
      <c r="C427" t="s">
        <v>40</v>
      </c>
      <c r="D427">
        <v>4.5364309999999897</v>
      </c>
      <c r="E427">
        <v>0.52824459999999995</v>
      </c>
      <c r="F427" t="s">
        <v>42</v>
      </c>
      <c r="G427">
        <v>-347.98630000000003</v>
      </c>
      <c r="H427" s="1">
        <v>-1.7830210000000001E-6</v>
      </c>
      <c r="I427">
        <v>365.76209999999998</v>
      </c>
      <c r="J427">
        <v>-365.71480000000003</v>
      </c>
      <c r="K427">
        <v>1.1101970000000001</v>
      </c>
      <c r="L427">
        <v>367.5428</v>
      </c>
      <c r="M427">
        <v>0.9998726</v>
      </c>
      <c r="N427">
        <v>0</v>
      </c>
      <c r="O427">
        <v>-5.331026E-3</v>
      </c>
      <c r="P427">
        <v>0.99240600000000001</v>
      </c>
      <c r="Q427">
        <v>0.1189651</v>
      </c>
      <c r="R427">
        <v>-3.1271010000000002E-2</v>
      </c>
      <c r="S427">
        <v>3.0351560000000002</v>
      </c>
      <c r="T427">
        <v>-0.18579029999999999</v>
      </c>
      <c r="U427">
        <v>-0.29837039999999998</v>
      </c>
      <c r="V427">
        <v>2.599023E-2</v>
      </c>
      <c r="W427">
        <v>0.13389100000000001</v>
      </c>
      <c r="X427">
        <v>0.99065519999999996</v>
      </c>
      <c r="Y427">
        <v>9.2364440000000006E-2</v>
      </c>
      <c r="Z427">
        <v>-2.4922719999999998E-3</v>
      </c>
      <c r="AA427">
        <v>0.9957222</v>
      </c>
      <c r="AB427">
        <v>39</v>
      </c>
      <c r="AC427">
        <v>17.728499999999901</v>
      </c>
      <c r="AD427">
        <v>-1.1101987830209901</v>
      </c>
      <c r="AE427">
        <v>-1.7807000000000199</v>
      </c>
      <c r="AF427">
        <v>1.6796319288691199</v>
      </c>
      <c r="AG427">
        <v>-1.1101987830209901</v>
      </c>
      <c r="AH427">
        <v>17.669143733481199</v>
      </c>
      <c r="AI427">
        <v>93.579225036173497</v>
      </c>
      <c r="AJ427">
        <v>84.569770477559302</v>
      </c>
      <c r="AK427">
        <v>17.783485176666499</v>
      </c>
      <c r="AL427">
        <v>82.305503376242996</v>
      </c>
      <c r="AM427">
        <v>88.497167355047907</v>
      </c>
      <c r="AN427">
        <v>1.00000000861174</v>
      </c>
    </row>
    <row r="428" spans="1:40" x14ac:dyDescent="0.25">
      <c r="A428" t="str">
        <f>"20190312164226434"</f>
        <v>20190312164226434</v>
      </c>
      <c r="B428" t="str">
        <f>"1552380146423967"</f>
        <v>1552380146423967</v>
      </c>
      <c r="C428" t="s">
        <v>40</v>
      </c>
      <c r="D428">
        <v>4.7176999999999998</v>
      </c>
      <c r="E428">
        <v>0.52864509999999998</v>
      </c>
      <c r="F428" t="s">
        <v>42</v>
      </c>
      <c r="G428">
        <v>-347.44459999999998</v>
      </c>
      <c r="H428" s="1">
        <v>-1.9925040000000001E-6</v>
      </c>
      <c r="I428">
        <v>365.75670000000002</v>
      </c>
      <c r="J428">
        <v>-365.33479999999997</v>
      </c>
      <c r="K428">
        <v>1.110198</v>
      </c>
      <c r="L428">
        <v>367.54079999999999</v>
      </c>
      <c r="M428">
        <v>0.99987250000000005</v>
      </c>
      <c r="N428">
        <v>0</v>
      </c>
      <c r="O428">
        <v>-5.3618769999999897E-3</v>
      </c>
      <c r="P428">
        <v>0.99236829999999998</v>
      </c>
      <c r="Q428">
        <v>0.1194139</v>
      </c>
      <c r="R428">
        <v>-3.0752350000000001E-2</v>
      </c>
      <c r="S428">
        <v>3.0357059999999998</v>
      </c>
      <c r="T428">
        <v>-0.18446609999999999</v>
      </c>
      <c r="U428">
        <v>-0.29678339999999998</v>
      </c>
      <c r="V428">
        <v>2.5443500000000001E-2</v>
      </c>
      <c r="W428">
        <v>0.1343348</v>
      </c>
      <c r="X428">
        <v>0.99060930000000003</v>
      </c>
      <c r="Y428">
        <v>9.1804010000000005E-2</v>
      </c>
      <c r="Z428">
        <v>-2.4553190000000001E-3</v>
      </c>
      <c r="AA428">
        <v>0.9957741</v>
      </c>
      <c r="AB428">
        <v>39</v>
      </c>
      <c r="AC428">
        <v>17.890199999999901</v>
      </c>
      <c r="AD428">
        <v>-1.110199992504</v>
      </c>
      <c r="AE428">
        <v>-1.7840999999999601</v>
      </c>
      <c r="AF428">
        <v>1.6817259118477701</v>
      </c>
      <c r="AG428">
        <v>-1.110199992504</v>
      </c>
      <c r="AH428">
        <v>17.8315172302542</v>
      </c>
      <c r="AI428">
        <v>93.546968502685502</v>
      </c>
      <c r="AJ428">
        <v>84.612257393097593</v>
      </c>
      <c r="AK428">
        <v>17.945020278584</v>
      </c>
      <c r="AL428">
        <v>82.279843616665602</v>
      </c>
      <c r="AM428">
        <v>88.528698731447705</v>
      </c>
      <c r="AN428">
        <v>0.99999999771489001</v>
      </c>
    </row>
    <row r="429" spans="1:40" x14ac:dyDescent="0.25">
      <c r="A429" t="str">
        <f>"20190312164226456"</f>
        <v>20190312164226456</v>
      </c>
      <c r="B429" t="str">
        <f>"1552380146444460"</f>
        <v>1552380146444460</v>
      </c>
      <c r="C429" t="s">
        <v>40</v>
      </c>
      <c r="D429">
        <v>4.9079579999999998</v>
      </c>
      <c r="E429">
        <v>0.52900150000000001</v>
      </c>
      <c r="F429" t="s">
        <v>42</v>
      </c>
      <c r="G429">
        <v>-346.92869999999999</v>
      </c>
      <c r="H429" s="1">
        <v>-2.1969589999999998E-6</v>
      </c>
      <c r="I429">
        <v>365.7328</v>
      </c>
      <c r="J429">
        <v>-364.95679999999999</v>
      </c>
      <c r="K429">
        <v>1.110195</v>
      </c>
      <c r="L429">
        <v>367.53879999999998</v>
      </c>
      <c r="M429">
        <v>0.99987230000000005</v>
      </c>
      <c r="N429">
        <v>0</v>
      </c>
      <c r="O429">
        <v>-5.4022890000000002E-3</v>
      </c>
      <c r="P429">
        <v>0.99231259999999999</v>
      </c>
      <c r="Q429">
        <v>0.11999750000000001</v>
      </c>
      <c r="R429">
        <v>-3.0276589999999999E-2</v>
      </c>
      <c r="S429">
        <v>3.0358890000000001</v>
      </c>
      <c r="T429">
        <v>-0.183116</v>
      </c>
      <c r="U429">
        <v>-0.29821779999999998</v>
      </c>
      <c r="V429">
        <v>2.49307E-2</v>
      </c>
      <c r="W429">
        <v>0.13491259999999999</v>
      </c>
      <c r="X429">
        <v>0.99054379999999997</v>
      </c>
      <c r="Y429">
        <v>9.2225570000000007E-2</v>
      </c>
      <c r="Z429">
        <v>-2.447421E-3</v>
      </c>
      <c r="AA429">
        <v>0.99573509999999998</v>
      </c>
      <c r="AB429">
        <v>39</v>
      </c>
      <c r="AC429">
        <v>18.028099999999899</v>
      </c>
      <c r="AD429">
        <v>-1.1101971969589901</v>
      </c>
      <c r="AE429">
        <v>-1.8059999999999801</v>
      </c>
      <c r="AF429">
        <v>1.70217861608902</v>
      </c>
      <c r="AG429">
        <v>-1.1101971969589901</v>
      </c>
      <c r="AH429">
        <v>17.9701238677468</v>
      </c>
      <c r="AI429">
        <v>93.519535252534595</v>
      </c>
      <c r="AJ429">
        <v>84.588934037794203</v>
      </c>
      <c r="AK429">
        <v>18.084670350309601</v>
      </c>
      <c r="AL429">
        <v>82.246433877466899</v>
      </c>
      <c r="AM429">
        <v>88.558244080903904</v>
      </c>
      <c r="AN429">
        <v>0.99999998457984396</v>
      </c>
    </row>
    <row r="430" spans="1:40" x14ac:dyDescent="0.25">
      <c r="A430" t="str">
        <f>"20190312164226478"</f>
        <v>20190312164226478</v>
      </c>
      <c r="B430" t="str">
        <f>"1552380146474716"</f>
        <v>1552380146474716</v>
      </c>
      <c r="C430" t="s">
        <v>40</v>
      </c>
      <c r="D430">
        <v>4.9192410000000004</v>
      </c>
      <c r="E430">
        <v>0.52913319999999997</v>
      </c>
      <c r="F430" t="s">
        <v>42</v>
      </c>
      <c r="G430">
        <v>-346.37049999999999</v>
      </c>
      <c r="H430" s="1">
        <v>-2.4190090000000001E-6</v>
      </c>
      <c r="I430">
        <v>365.70389999999998</v>
      </c>
      <c r="J430">
        <v>-364.56189999999998</v>
      </c>
      <c r="K430">
        <v>1.1101920000000001</v>
      </c>
      <c r="L430">
        <v>367.53660000000002</v>
      </c>
      <c r="M430">
        <v>0.99987210000000004</v>
      </c>
      <c r="N430">
        <v>0</v>
      </c>
      <c r="O430">
        <v>-5.4561979999999998E-3</v>
      </c>
      <c r="P430">
        <v>0.99221800000000004</v>
      </c>
      <c r="Q430">
        <v>0.1209215</v>
      </c>
      <c r="R430">
        <v>-2.9691579999999999E-2</v>
      </c>
      <c r="S430">
        <v>3.0360109999999998</v>
      </c>
      <c r="T430">
        <v>-0.18134639999999999</v>
      </c>
      <c r="U430">
        <v>-0.29971310000000001</v>
      </c>
      <c r="V430">
        <v>2.4296209999999999E-2</v>
      </c>
      <c r="W430">
        <v>0.1358306</v>
      </c>
      <c r="X430">
        <v>0.99043409999999998</v>
      </c>
      <c r="Y430">
        <v>9.2656069999999993E-2</v>
      </c>
      <c r="Z430">
        <v>-2.4332630000000002E-3</v>
      </c>
      <c r="AA430">
        <v>0.9956952</v>
      </c>
      <c r="AB430">
        <v>39</v>
      </c>
      <c r="AC430">
        <v>18.191399999999899</v>
      </c>
      <c r="AD430">
        <v>-1.1101944190090001</v>
      </c>
      <c r="AE430">
        <v>-1.83270000000004</v>
      </c>
      <c r="AF430">
        <v>1.7270379238061699</v>
      </c>
      <c r="AG430">
        <v>-1.1101944190090001</v>
      </c>
      <c r="AH430">
        <v>18.134267740961899</v>
      </c>
      <c r="AI430">
        <v>93.487580021883403</v>
      </c>
      <c r="AJ430">
        <v>84.559778167218198</v>
      </c>
      <c r="AK430">
        <v>18.250119400682099</v>
      </c>
      <c r="AL430">
        <v>82.193347665608201</v>
      </c>
      <c r="AM430">
        <v>88.594766517488793</v>
      </c>
      <c r="AN430">
        <v>0.99999998207976604</v>
      </c>
    </row>
    <row r="431" spans="1:40" x14ac:dyDescent="0.25">
      <c r="A431" t="str">
        <f>"20190312164226513"</f>
        <v>20190312164226513</v>
      </c>
      <c r="B431" t="str">
        <f>"1552380146504000"</f>
        <v>1552380146504000</v>
      </c>
      <c r="C431" t="s">
        <v>40</v>
      </c>
      <c r="D431">
        <v>4.6960040000000003</v>
      </c>
      <c r="E431">
        <v>0.46123960000000003</v>
      </c>
      <c r="F431" t="s">
        <v>42</v>
      </c>
      <c r="G431">
        <v>-345.6</v>
      </c>
      <c r="H431" s="1">
        <v>-2.7604950000000002E-6</v>
      </c>
      <c r="I431">
        <v>365.6694</v>
      </c>
      <c r="J431">
        <v>-363.9631</v>
      </c>
      <c r="K431">
        <v>1.110182</v>
      </c>
      <c r="L431">
        <v>367.53320000000002</v>
      </c>
      <c r="M431">
        <v>0.99987170000000003</v>
      </c>
      <c r="N431">
        <v>0</v>
      </c>
      <c r="O431">
        <v>-5.5633870000000004E-3</v>
      </c>
      <c r="P431">
        <v>0.99217900000000003</v>
      </c>
      <c r="Q431">
        <v>0.1212626</v>
      </c>
      <c r="R431">
        <v>-2.960861E-2</v>
      </c>
      <c r="S431">
        <v>3.0362550000000001</v>
      </c>
      <c r="T431">
        <v>-0.17776910000000001</v>
      </c>
      <c r="U431">
        <v>-0.29898069999999999</v>
      </c>
      <c r="V431">
        <v>2.4112539999999998E-2</v>
      </c>
      <c r="W431">
        <v>0.1361636</v>
      </c>
      <c r="X431">
        <v>0.99039290000000002</v>
      </c>
      <c r="Y431">
        <v>9.2310429999999999E-2</v>
      </c>
      <c r="Z431">
        <v>-2.3688419999999999E-3</v>
      </c>
      <c r="AA431">
        <v>0.99572749999999999</v>
      </c>
      <c r="AB431">
        <v>39</v>
      </c>
      <c r="AC431">
        <v>18.3630999999999</v>
      </c>
      <c r="AD431">
        <v>-1.1101847604949999</v>
      </c>
      <c r="AE431">
        <v>-1.8638000000000201</v>
      </c>
      <c r="AF431">
        <v>1.7552484103501</v>
      </c>
      <c r="AG431">
        <v>-1.1101847604949999</v>
      </c>
      <c r="AH431">
        <v>18.3069546195401</v>
      </c>
      <c r="AI431">
        <v>93.454522543952606</v>
      </c>
      <c r="AJ431">
        <v>84.523291803760998</v>
      </c>
      <c r="AK431">
        <v>18.424385868363998</v>
      </c>
      <c r="AL431">
        <v>82.174089531627601</v>
      </c>
      <c r="AM431">
        <v>88.605327338080102</v>
      </c>
      <c r="AN431">
        <v>1.0000000184603099</v>
      </c>
    </row>
    <row r="432" spans="1:40" x14ac:dyDescent="0.25">
      <c r="A432" t="str">
        <f>"20190312164226534"</f>
        <v>20190312164226534</v>
      </c>
      <c r="B432" t="str">
        <f>"1552380146524496"</f>
        <v>1552380146524496</v>
      </c>
      <c r="C432" t="s">
        <v>40</v>
      </c>
      <c r="D432">
        <v>4.5932029999999999</v>
      </c>
      <c r="E432">
        <v>0.44994070000000003</v>
      </c>
      <c r="F432" t="s">
        <v>42</v>
      </c>
      <c r="G432">
        <v>-340.685</v>
      </c>
      <c r="H432" s="1">
        <v>-4.4260499999999997E-6</v>
      </c>
      <c r="I432">
        <v>369.37799999999999</v>
      </c>
      <c r="J432">
        <v>-363.58339999999998</v>
      </c>
      <c r="K432">
        <v>1.1101730000000001</v>
      </c>
      <c r="L432">
        <v>367.53100000000001</v>
      </c>
      <c r="M432">
        <v>0.99987130000000002</v>
      </c>
      <c r="N432">
        <v>0</v>
      </c>
      <c r="O432">
        <v>-5.6460429999999999E-3</v>
      </c>
      <c r="P432">
        <v>0.99213079999999998</v>
      </c>
      <c r="Q432">
        <v>0.12164</v>
      </c>
      <c r="R432">
        <v>-2.9674079999999999E-2</v>
      </c>
      <c r="S432">
        <v>3.0486759999999999</v>
      </c>
      <c r="T432">
        <v>-0.1453979</v>
      </c>
      <c r="U432">
        <v>0.24160770000000001</v>
      </c>
      <c r="V432">
        <v>2.4100010000000002E-2</v>
      </c>
      <c r="W432">
        <v>0.1365354</v>
      </c>
      <c r="X432">
        <v>0.99034199999999994</v>
      </c>
      <c r="Y432">
        <v>-8.4528249999999999E-2</v>
      </c>
      <c r="Z432">
        <v>2.2801169999999999E-3</v>
      </c>
      <c r="AA432">
        <v>0.99641849999999998</v>
      </c>
      <c r="AB432">
        <v>39</v>
      </c>
      <c r="AC432">
        <v>22.898399999999899</v>
      </c>
      <c r="AD432">
        <v>-1.1101774260499999</v>
      </c>
      <c r="AE432">
        <v>1.84700000000003</v>
      </c>
      <c r="AF432">
        <v>-1.9716658901225399</v>
      </c>
      <c r="AG432">
        <v>-1.1101774260499999</v>
      </c>
      <c r="AH432">
        <v>22.8342787398369</v>
      </c>
      <c r="AI432">
        <v>92.773163123691504</v>
      </c>
      <c r="AJ432">
        <v>94.935064083918903</v>
      </c>
      <c r="AK432">
        <v>22.9461161390801</v>
      </c>
      <c r="AL432">
        <v>82.152586002160206</v>
      </c>
      <c r="AM432">
        <v>88.605980173367399</v>
      </c>
      <c r="AN432">
        <v>1.00000000144958</v>
      </c>
    </row>
    <row r="433" spans="1:40" x14ac:dyDescent="0.25">
      <c r="A433" t="str">
        <f>"20190312164226557"</f>
        <v>20190312164226557</v>
      </c>
      <c r="B433" t="str">
        <f>"1552380146554748"</f>
        <v>1552380146554748</v>
      </c>
      <c r="C433" t="s">
        <v>40</v>
      </c>
      <c r="D433">
        <v>4.5779170000000002</v>
      </c>
      <c r="E433">
        <v>0.44311679999999998</v>
      </c>
      <c r="F433" t="s">
        <v>42</v>
      </c>
      <c r="G433">
        <v>-343.21129999999999</v>
      </c>
      <c r="H433" s="1">
        <v>-3.2247639999999999E-6</v>
      </c>
      <c r="I433">
        <v>369.74869999999999</v>
      </c>
      <c r="J433">
        <v>-363.1943</v>
      </c>
      <c r="K433">
        <v>1.1101669999999999</v>
      </c>
      <c r="L433">
        <v>367.52870000000001</v>
      </c>
      <c r="M433">
        <v>0.99987079999999995</v>
      </c>
      <c r="N433">
        <v>0</v>
      </c>
      <c r="O433">
        <v>-5.7415720000000003E-3</v>
      </c>
      <c r="P433">
        <v>0.99206660000000002</v>
      </c>
      <c r="Q433">
        <v>0.1220519</v>
      </c>
      <c r="R433">
        <v>-3.0131740000000001E-2</v>
      </c>
      <c r="S433">
        <v>3.0541079999999998</v>
      </c>
      <c r="T433">
        <v>-0.16643350000000001</v>
      </c>
      <c r="U433">
        <v>0.33245849999999999</v>
      </c>
      <c r="V433">
        <v>2.4466720000000001E-2</v>
      </c>
      <c r="W433">
        <v>0.13694110000000001</v>
      </c>
      <c r="X433">
        <v>0.99027699999999996</v>
      </c>
      <c r="Y433">
        <v>-0.1137484</v>
      </c>
      <c r="Z433">
        <v>3.3997519999999998E-3</v>
      </c>
      <c r="AA433">
        <v>0.99350369999999999</v>
      </c>
      <c r="AB433">
        <v>39</v>
      </c>
      <c r="AC433">
        <v>19.983000000000001</v>
      </c>
      <c r="AD433">
        <v>-1.110170224764</v>
      </c>
      <c r="AE433">
        <v>2.21999999999997</v>
      </c>
      <c r="AF433">
        <v>-2.3276137118176199</v>
      </c>
      <c r="AG433">
        <v>-1.110170224764</v>
      </c>
      <c r="AH433">
        <v>19.909223357012198</v>
      </c>
      <c r="AI433">
        <v>93.170052817455598</v>
      </c>
      <c r="AJ433">
        <v>96.668254392831301</v>
      </c>
      <c r="AK433">
        <v>20.075543285271099</v>
      </c>
      <c r="AL433">
        <v>82.129120775282999</v>
      </c>
      <c r="AM433">
        <v>88.584684228968698</v>
      </c>
      <c r="AN433">
        <v>1.0000000109928799</v>
      </c>
    </row>
    <row r="434" spans="1:40" x14ac:dyDescent="0.25">
      <c r="A434" t="str">
        <f>"20190312164226580"</f>
        <v>20190312164226580</v>
      </c>
      <c r="B434" t="str">
        <f>"1552380146574269"</f>
        <v>1552380146574269</v>
      </c>
      <c r="C434" t="s">
        <v>40</v>
      </c>
      <c r="D434">
        <v>4.5702800000000003</v>
      </c>
      <c r="E434">
        <v>0.44062089999999998</v>
      </c>
      <c r="F434" t="s">
        <v>42</v>
      </c>
      <c r="G434">
        <v>-344.69749999999999</v>
      </c>
      <c r="H434" s="1">
        <v>-2.5535939999999998E-6</v>
      </c>
      <c r="I434">
        <v>369.86649999999997</v>
      </c>
      <c r="J434">
        <v>-362.79039999999998</v>
      </c>
      <c r="K434">
        <v>1.1101589999999999</v>
      </c>
      <c r="L434">
        <v>367.52629999999999</v>
      </c>
      <c r="M434">
        <v>0.99987020000000004</v>
      </c>
      <c r="N434">
        <v>0</v>
      </c>
      <c r="O434">
        <v>-5.8524780000000004E-3</v>
      </c>
      <c r="P434">
        <v>0.99201620000000001</v>
      </c>
      <c r="Q434">
        <v>0.1223408</v>
      </c>
      <c r="R434">
        <v>-3.0609910000000001E-2</v>
      </c>
      <c r="S434">
        <v>3.058319</v>
      </c>
      <c r="T434">
        <v>-0.18355869999999999</v>
      </c>
      <c r="U434">
        <v>0.38653559999999998</v>
      </c>
      <c r="V434">
        <v>2.4839E-2</v>
      </c>
      <c r="W434">
        <v>0.1372246</v>
      </c>
      <c r="X434">
        <v>0.99022849999999996</v>
      </c>
      <c r="Y434">
        <v>-0.13095319999999999</v>
      </c>
      <c r="Z434">
        <v>4.260453E-3</v>
      </c>
      <c r="AA434">
        <v>0.99137940000000002</v>
      </c>
      <c r="AB434">
        <v>39</v>
      </c>
      <c r="AC434">
        <v>18.092899999999901</v>
      </c>
      <c r="AD434">
        <v>-1.1101615535939999</v>
      </c>
      <c r="AE434">
        <v>2.3401999999999799</v>
      </c>
      <c r="AF434">
        <v>-2.4370358677757298</v>
      </c>
      <c r="AG434">
        <v>-1.1101615535939999</v>
      </c>
      <c r="AH434">
        <v>18.012193905066699</v>
      </c>
      <c r="AI434">
        <v>93.495134633460793</v>
      </c>
      <c r="AJ434">
        <v>97.705284542860696</v>
      </c>
      <c r="AK434">
        <v>18.2101820905126</v>
      </c>
      <c r="AL434">
        <v>82.112722723623605</v>
      </c>
      <c r="AM434">
        <v>88.563087723840098</v>
      </c>
      <c r="AN434">
        <v>1.0000000244892</v>
      </c>
    </row>
    <row r="435" spans="1:40" x14ac:dyDescent="0.25">
      <c r="A435" t="str">
        <f>"20190312164226602"</f>
        <v>20190312164226602</v>
      </c>
      <c r="B435" t="str">
        <f>"1552380146594764"</f>
        <v>1552380146594764</v>
      </c>
      <c r="C435" t="s">
        <v>40</v>
      </c>
      <c r="D435">
        <v>4.7448410000000001</v>
      </c>
      <c r="E435">
        <v>0.43927040000000001</v>
      </c>
      <c r="F435" t="s">
        <v>42</v>
      </c>
      <c r="G435">
        <v>-344.7072</v>
      </c>
      <c r="H435" s="1">
        <v>-2.5635729999999998E-6</v>
      </c>
      <c r="I435">
        <v>369.92140000000001</v>
      </c>
      <c r="J435">
        <v>-362.40640000000002</v>
      </c>
      <c r="K435">
        <v>1.110141</v>
      </c>
      <c r="L435">
        <v>367.524</v>
      </c>
      <c r="M435">
        <v>0.99986940000000002</v>
      </c>
      <c r="N435">
        <v>0</v>
      </c>
      <c r="O435">
        <v>-5.9688419999999898E-3</v>
      </c>
      <c r="P435">
        <v>0.99200549999999998</v>
      </c>
      <c r="Q435">
        <v>0.1222946</v>
      </c>
      <c r="R435">
        <v>-3.1133629999999999E-2</v>
      </c>
      <c r="S435">
        <v>3.0598450000000001</v>
      </c>
      <c r="T435">
        <v>-0.18784980000000001</v>
      </c>
      <c r="U435">
        <v>0.40527340000000001</v>
      </c>
      <c r="V435">
        <v>2.5250439999999999E-2</v>
      </c>
      <c r="W435">
        <v>0.1371735</v>
      </c>
      <c r="X435">
        <v>0.99022509999999997</v>
      </c>
      <c r="Y435">
        <v>-0.1369533</v>
      </c>
      <c r="Z435">
        <v>4.5463329999999996E-3</v>
      </c>
      <c r="AA435">
        <v>0.99056710000000003</v>
      </c>
      <c r="AB435">
        <v>39</v>
      </c>
      <c r="AC435">
        <v>17.699200000000001</v>
      </c>
      <c r="AD435">
        <v>-1.1101435635729999</v>
      </c>
      <c r="AE435">
        <v>2.3974000000000002</v>
      </c>
      <c r="AF435">
        <v>-2.49338032677593</v>
      </c>
      <c r="AG435">
        <v>-1.1101435635729999</v>
      </c>
      <c r="AH435">
        <v>17.616515965446599</v>
      </c>
      <c r="AI435">
        <v>93.570360641899796</v>
      </c>
      <c r="AJ435">
        <v>98.055935769858394</v>
      </c>
      <c r="AK435">
        <v>17.826693438395399</v>
      </c>
      <c r="AL435">
        <v>82.115677907943194</v>
      </c>
      <c r="AM435">
        <v>88.5392915298779</v>
      </c>
      <c r="AN435">
        <v>0.99999995124622498</v>
      </c>
    </row>
    <row r="436" spans="1:40" x14ac:dyDescent="0.25">
      <c r="A436" t="str">
        <f>"20190312164226624"</f>
        <v>20190312164226624</v>
      </c>
      <c r="B436" t="str">
        <f>"1552380146614284"</f>
        <v>1552380146614284</v>
      </c>
      <c r="C436" t="s">
        <v>40</v>
      </c>
      <c r="D436">
        <v>4.5844490000000002</v>
      </c>
      <c r="E436">
        <v>0.43827050000000001</v>
      </c>
      <c r="F436" t="s">
        <v>42</v>
      </c>
      <c r="G436">
        <v>-344.93790000000001</v>
      </c>
      <c r="H436" s="1">
        <v>-2.4470419999999999E-6</v>
      </c>
      <c r="I436">
        <v>369.89319999999998</v>
      </c>
      <c r="J436">
        <v>-362.02640000000002</v>
      </c>
      <c r="K436">
        <v>1.1101319999999999</v>
      </c>
      <c r="L436">
        <v>367.52159999999998</v>
      </c>
      <c r="M436">
        <v>0.99986889999999995</v>
      </c>
      <c r="N436">
        <v>0</v>
      </c>
      <c r="O436">
        <v>-6.0907950000000004E-3</v>
      </c>
      <c r="P436">
        <v>0.99191189999999996</v>
      </c>
      <c r="Q436">
        <v>0.12282460000000001</v>
      </c>
      <c r="R436">
        <v>-3.2018650000000003E-2</v>
      </c>
      <c r="S436">
        <v>3.061188</v>
      </c>
      <c r="T436">
        <v>-0.1945424</v>
      </c>
      <c r="U436">
        <v>0.4151917</v>
      </c>
      <c r="V436">
        <v>2.601796E-2</v>
      </c>
      <c r="W436">
        <v>0.13769690000000001</v>
      </c>
      <c r="X436">
        <v>0.99013260000000003</v>
      </c>
      <c r="Y436">
        <v>-0.1401443</v>
      </c>
      <c r="Z436">
        <v>4.8134889999999998E-3</v>
      </c>
      <c r="AA436">
        <v>0.99011939999999998</v>
      </c>
      <c r="AB436">
        <v>39</v>
      </c>
      <c r="AC436">
        <v>17.0885</v>
      </c>
      <c r="AD436">
        <v>-1.11013444704199</v>
      </c>
      <c r="AE436">
        <v>2.3715999999999999</v>
      </c>
      <c r="AF436">
        <v>-2.4654419816399802</v>
      </c>
      <c r="AG436">
        <v>-1.11013444704199</v>
      </c>
      <c r="AH436">
        <v>17.003333261600499</v>
      </c>
      <c r="AI436">
        <v>93.696943530733293</v>
      </c>
      <c r="AJ436">
        <v>98.250250790578505</v>
      </c>
      <c r="AK436">
        <v>17.2169725753511</v>
      </c>
      <c r="AL436">
        <v>82.085402133556798</v>
      </c>
      <c r="AM436">
        <v>88.494770972267801</v>
      </c>
      <c r="AN436">
        <v>0.99999996804746505</v>
      </c>
    </row>
    <row r="437" spans="1:40" x14ac:dyDescent="0.25">
      <c r="A437" t="str">
        <f>"20190312164226647"</f>
        <v>20190312164226647</v>
      </c>
      <c r="B437" t="str">
        <f>"1552380146634780"</f>
        <v>1552380146634780</v>
      </c>
      <c r="C437" t="s">
        <v>40</v>
      </c>
      <c r="D437">
        <v>4.6025090000000004</v>
      </c>
      <c r="E437">
        <v>0.43732949999999998</v>
      </c>
      <c r="F437" t="s">
        <v>42</v>
      </c>
      <c r="G437">
        <v>-344.71440000000001</v>
      </c>
      <c r="H437" s="1">
        <v>-2.5550609999999999E-6</v>
      </c>
      <c r="I437">
        <v>369.90199999999999</v>
      </c>
      <c r="J437">
        <v>-361.6327</v>
      </c>
      <c r="K437">
        <v>1.1101270000000001</v>
      </c>
      <c r="L437">
        <v>367.51900000000001</v>
      </c>
      <c r="M437">
        <v>0.99986799999999998</v>
      </c>
      <c r="N437">
        <v>0</v>
      </c>
      <c r="O437">
        <v>-6.222623E-3</v>
      </c>
      <c r="P437">
        <v>0.99180040000000003</v>
      </c>
      <c r="Q437">
        <v>0.12355240000000001</v>
      </c>
      <c r="R437">
        <v>-3.2660370000000001E-2</v>
      </c>
      <c r="S437">
        <v>3.0623779999999998</v>
      </c>
      <c r="T437">
        <v>-0.19637479999999999</v>
      </c>
      <c r="U437">
        <v>0.4210815</v>
      </c>
      <c r="V437">
        <v>2.6532489999999999E-2</v>
      </c>
      <c r="W437">
        <v>0.13841800000000001</v>
      </c>
      <c r="X437">
        <v>0.99001839999999997</v>
      </c>
      <c r="Y437">
        <v>-0.1420835</v>
      </c>
      <c r="Z437">
        <v>4.9264670000000003E-3</v>
      </c>
      <c r="AA437">
        <v>0.98984240000000001</v>
      </c>
      <c r="AB437">
        <v>39</v>
      </c>
      <c r="AC437">
        <v>16.918299999999899</v>
      </c>
      <c r="AD437">
        <v>-1.110129555061</v>
      </c>
      <c r="AE437">
        <v>2.38299999999998</v>
      </c>
      <c r="AF437">
        <v>-2.47778111457743</v>
      </c>
      <c r="AG437">
        <v>-1.110129555061</v>
      </c>
      <c r="AH437">
        <v>16.832079812525901</v>
      </c>
      <c r="AI437">
        <v>93.733258605142794</v>
      </c>
      <c r="AJ437">
        <v>98.374133283242799</v>
      </c>
      <c r="AK437">
        <v>17.049653887865801</v>
      </c>
      <c r="AL437">
        <v>82.043686734821605</v>
      </c>
      <c r="AM437">
        <v>88.464840756751499</v>
      </c>
      <c r="AN437">
        <v>0.99999997404407903</v>
      </c>
    </row>
    <row r="438" spans="1:40" x14ac:dyDescent="0.25">
      <c r="A438" t="str">
        <f>"20190312164226668"</f>
        <v>20190312164226668</v>
      </c>
      <c r="B438" t="str">
        <f>"1552380146664061"</f>
        <v>1552380146664061</v>
      </c>
      <c r="C438" t="s">
        <v>40</v>
      </c>
      <c r="D438">
        <v>4.6200590000000004</v>
      </c>
      <c r="E438">
        <v>0.43630029999999997</v>
      </c>
      <c r="F438" t="s">
        <v>42</v>
      </c>
      <c r="G438">
        <v>-344.3723</v>
      </c>
      <c r="H438" s="1">
        <v>-2.7230450000000002E-6</v>
      </c>
      <c r="I438">
        <v>369.92559999999997</v>
      </c>
      <c r="J438">
        <v>-361.25720000000001</v>
      </c>
      <c r="K438">
        <v>1.110125</v>
      </c>
      <c r="L438">
        <v>367.51659999999998</v>
      </c>
      <c r="M438">
        <v>0.99986730000000001</v>
      </c>
      <c r="N438">
        <v>0</v>
      </c>
      <c r="O438">
        <v>-6.3530000000000001E-3</v>
      </c>
      <c r="P438">
        <v>0.99171659999999995</v>
      </c>
      <c r="Q438">
        <v>0.12402539999999999</v>
      </c>
      <c r="R438">
        <v>-3.3398909999999997E-2</v>
      </c>
      <c r="S438">
        <v>3.0634160000000001</v>
      </c>
      <c r="T438">
        <v>-0.19702819999999999</v>
      </c>
      <c r="U438">
        <v>0.427124</v>
      </c>
      <c r="V438">
        <v>2.7144680000000001E-2</v>
      </c>
      <c r="W438">
        <v>0.13888510000000001</v>
      </c>
      <c r="X438">
        <v>0.98993640000000005</v>
      </c>
      <c r="Y438">
        <v>-0.1440767</v>
      </c>
      <c r="Z438">
        <v>5.0125730000000002E-3</v>
      </c>
      <c r="AA438">
        <v>0.98955380000000004</v>
      </c>
      <c r="AB438">
        <v>39</v>
      </c>
      <c r="AC438">
        <v>16.884899999999998</v>
      </c>
      <c r="AD438">
        <v>-1.110127723045</v>
      </c>
      <c r="AE438">
        <v>2.40899999999999</v>
      </c>
      <c r="AF438">
        <v>-2.5056183998655399</v>
      </c>
      <c r="AG438">
        <v>-1.110127723045</v>
      </c>
      <c r="AH438">
        <v>16.798089562365401</v>
      </c>
      <c r="AI438">
        <v>93.739727845423502</v>
      </c>
      <c r="AJ438">
        <v>98.483741679036797</v>
      </c>
      <c r="AK438">
        <v>17.020173914283799</v>
      </c>
      <c r="AL438">
        <v>82.016662988792206</v>
      </c>
      <c r="AM438">
        <v>88.429307199161997</v>
      </c>
      <c r="AN438">
        <v>0.99999999034963605</v>
      </c>
    </row>
    <row r="439" spans="1:40" x14ac:dyDescent="0.25">
      <c r="A439" t="str">
        <f>"20190312164226690"</f>
        <v>20190312164226690</v>
      </c>
      <c r="B439" t="str">
        <f>"1552380146684556"</f>
        <v>1552380146684556</v>
      </c>
      <c r="C439" t="s">
        <v>40</v>
      </c>
      <c r="D439">
        <v>4.6422939999999997</v>
      </c>
      <c r="E439">
        <v>0.4356855</v>
      </c>
      <c r="F439" t="s">
        <v>42</v>
      </c>
      <c r="G439">
        <v>-344.13549999999998</v>
      </c>
      <c r="H439" s="1">
        <v>-2.8373489999999998E-6</v>
      </c>
      <c r="I439">
        <v>369.93450000000001</v>
      </c>
      <c r="J439">
        <v>-360.8725</v>
      </c>
      <c r="K439">
        <v>1.1101219999999901</v>
      </c>
      <c r="L439">
        <v>367.51400000000001</v>
      </c>
      <c r="M439">
        <v>0.99986649999999999</v>
      </c>
      <c r="N439">
        <v>0</v>
      </c>
      <c r="O439">
        <v>-6.4898019999999898E-3</v>
      </c>
      <c r="P439">
        <v>0.9916317</v>
      </c>
      <c r="Q439">
        <v>0.1247376</v>
      </c>
      <c r="R439">
        <v>-3.3277429999999997E-2</v>
      </c>
      <c r="S439">
        <v>3.0644840000000002</v>
      </c>
      <c r="T439">
        <v>-0.1986936</v>
      </c>
      <c r="U439">
        <v>0.43276979999999998</v>
      </c>
      <c r="V439">
        <v>2.688989E-2</v>
      </c>
      <c r="W439">
        <v>0.1395914</v>
      </c>
      <c r="X439">
        <v>0.98984399999999995</v>
      </c>
      <c r="Y439">
        <v>-0.14594360000000001</v>
      </c>
      <c r="Z439">
        <v>5.1214549999999996E-3</v>
      </c>
      <c r="AA439">
        <v>0.98927969999999998</v>
      </c>
      <c r="AB439">
        <v>39</v>
      </c>
      <c r="AC439">
        <v>16.736999999999998</v>
      </c>
      <c r="AD439">
        <v>-1.11012483734899</v>
      </c>
      <c r="AE439">
        <v>2.4205000000000001</v>
      </c>
      <c r="AF439">
        <v>-2.5182294357505501</v>
      </c>
      <c r="AG439">
        <v>-1.11012483734899</v>
      </c>
      <c r="AH439">
        <v>16.649192057370001</v>
      </c>
      <c r="AI439">
        <v>93.771911497714896</v>
      </c>
      <c r="AJ439">
        <v>98.600928145762893</v>
      </c>
      <c r="AK439">
        <v>16.875113416175001</v>
      </c>
      <c r="AL439">
        <v>81.975796852834094</v>
      </c>
      <c r="AM439">
        <v>88.443897846509302</v>
      </c>
      <c r="AN439">
        <v>0.99999998473708496</v>
      </c>
    </row>
    <row r="440" spans="1:40" x14ac:dyDescent="0.25">
      <c r="A440" t="str">
        <f>"20190312164226713"</f>
        <v>20190312164226713</v>
      </c>
      <c r="B440" t="str">
        <f>"1552380146704080"</f>
        <v>1552380146704080</v>
      </c>
      <c r="C440" t="s">
        <v>40</v>
      </c>
      <c r="D440">
        <v>4.6259119999999996</v>
      </c>
      <c r="E440">
        <v>0.43547160000000001</v>
      </c>
      <c r="F440" t="s">
        <v>42</v>
      </c>
      <c r="G440">
        <v>-343.75290000000001</v>
      </c>
      <c r="H440" s="1">
        <v>-3.0244210000000002E-6</v>
      </c>
      <c r="I440">
        <v>369.95800000000003</v>
      </c>
      <c r="J440">
        <v>-360.47309999999999</v>
      </c>
      <c r="K440">
        <v>1.1101209999999999</v>
      </c>
      <c r="L440">
        <v>367.51130000000001</v>
      </c>
      <c r="M440">
        <v>0.99986560000000002</v>
      </c>
      <c r="N440">
        <v>0</v>
      </c>
      <c r="O440">
        <v>-6.6342149999999997E-3</v>
      </c>
      <c r="P440">
        <v>0.99163129999999999</v>
      </c>
      <c r="Q440">
        <v>0.1247004</v>
      </c>
      <c r="R440">
        <v>-3.3427779999999997E-2</v>
      </c>
      <c r="S440">
        <v>3.0650330000000001</v>
      </c>
      <c r="T440">
        <v>-0.19875370000000001</v>
      </c>
      <c r="U440">
        <v>0.43756099999999998</v>
      </c>
      <c r="V440">
        <v>2.689861E-2</v>
      </c>
      <c r="W440">
        <v>0.1395499</v>
      </c>
      <c r="X440">
        <v>0.9898496</v>
      </c>
      <c r="Y440">
        <v>-0.14757390000000001</v>
      </c>
      <c r="Z440">
        <v>5.1833850000000004E-3</v>
      </c>
      <c r="AA440">
        <v>0.98903750000000001</v>
      </c>
      <c r="AB440">
        <v>39</v>
      </c>
      <c r="AC440">
        <v>16.720199999999899</v>
      </c>
      <c r="AD440">
        <v>-1.110124024421</v>
      </c>
      <c r="AE440">
        <v>2.4467000000000199</v>
      </c>
      <c r="AF440">
        <v>-2.5465934930354202</v>
      </c>
      <c r="AG440">
        <v>-1.110124024421</v>
      </c>
      <c r="AH440">
        <v>16.631819036046299</v>
      </c>
      <c r="AI440">
        <v>93.774794013532997</v>
      </c>
      <c r="AJ440">
        <v>98.705276491698797</v>
      </c>
      <c r="AK440">
        <v>16.8622334883656</v>
      </c>
      <c r="AL440">
        <v>81.978198013895906</v>
      </c>
      <c r="AM440">
        <v>88.443402275507907</v>
      </c>
      <c r="AN440">
        <v>0.99999997021505005</v>
      </c>
    </row>
    <row r="441" spans="1:40" x14ac:dyDescent="0.25">
      <c r="A441" t="str">
        <f>"20190312164226735"</f>
        <v>20190312164226735</v>
      </c>
      <c r="B441" t="str">
        <f>"1552380146724576"</f>
        <v>1552380146724576</v>
      </c>
      <c r="C441" t="s">
        <v>40</v>
      </c>
      <c r="D441">
        <v>4.6092069999999996</v>
      </c>
      <c r="E441">
        <v>0.43514049999999999</v>
      </c>
      <c r="F441" t="s">
        <v>42</v>
      </c>
      <c r="G441">
        <v>-343.19729999999998</v>
      </c>
      <c r="H441" s="1">
        <v>-3.295675E-6</v>
      </c>
      <c r="I441">
        <v>369.99020000000002</v>
      </c>
      <c r="J441">
        <v>-360.11040000000003</v>
      </c>
      <c r="K441">
        <v>1.1101179999999999</v>
      </c>
      <c r="L441">
        <v>367.50880000000001</v>
      </c>
      <c r="M441">
        <v>0.9998648</v>
      </c>
      <c r="N441">
        <v>0</v>
      </c>
      <c r="O441">
        <v>-6.7666810000000001E-3</v>
      </c>
      <c r="P441">
        <v>0.99174819999999997</v>
      </c>
      <c r="Q441">
        <v>0.123776</v>
      </c>
      <c r="R441">
        <v>-3.3395290000000001E-2</v>
      </c>
      <c r="S441">
        <v>3.0649109999999999</v>
      </c>
      <c r="T441">
        <v>-0.1969476</v>
      </c>
      <c r="U441">
        <v>0.43978879999999998</v>
      </c>
      <c r="V441">
        <v>2.6734879999999999E-2</v>
      </c>
      <c r="W441">
        <v>0.138623</v>
      </c>
      <c r="X441">
        <v>0.98998430000000004</v>
      </c>
      <c r="Y441">
        <v>-0.14841860000000001</v>
      </c>
      <c r="Z441">
        <v>5.1717559999999996E-3</v>
      </c>
      <c r="AA441">
        <v>0.98891110000000004</v>
      </c>
      <c r="AB441">
        <v>39</v>
      </c>
      <c r="AC441">
        <v>16.9131</v>
      </c>
      <c r="AD441">
        <v>-1.110121295675</v>
      </c>
      <c r="AE441">
        <v>2.4813999999999998</v>
      </c>
      <c r="AF441">
        <v>-2.5849000126063801</v>
      </c>
      <c r="AG441">
        <v>-1.110121295675</v>
      </c>
      <c r="AH441">
        <v>16.824962285160399</v>
      </c>
      <c r="AI441">
        <v>93.731285596692004</v>
      </c>
      <c r="AJ441">
        <v>98.734333184072</v>
      </c>
      <c r="AK441">
        <v>17.058529633686302</v>
      </c>
      <c r="AL441">
        <v>82.031826989376398</v>
      </c>
      <c r="AM441">
        <v>88.453082964514607</v>
      </c>
      <c r="AN441">
        <v>1.0000000020920501</v>
      </c>
    </row>
    <row r="442" spans="1:40" x14ac:dyDescent="0.25">
      <c r="A442" t="str">
        <f>"20190312164226758"</f>
        <v>20190312164226758</v>
      </c>
      <c r="B442" t="str">
        <f>"1552380146754828"</f>
        <v>1552380146754828</v>
      </c>
      <c r="C442" t="s">
        <v>40</v>
      </c>
      <c r="D442">
        <v>4.562818</v>
      </c>
      <c r="E442">
        <v>0.43461490000000003</v>
      </c>
      <c r="F442" t="s">
        <v>42</v>
      </c>
      <c r="G442">
        <v>-343.20069999999998</v>
      </c>
      <c r="H442" s="1">
        <v>-3.2844599999999998E-6</v>
      </c>
      <c r="I442">
        <v>369.95409999999998</v>
      </c>
      <c r="J442">
        <v>-359.7047</v>
      </c>
      <c r="K442">
        <v>1.110114</v>
      </c>
      <c r="L442">
        <v>367.5059</v>
      </c>
      <c r="M442">
        <v>0.99986370000000002</v>
      </c>
      <c r="N442">
        <v>0</v>
      </c>
      <c r="O442">
        <v>-6.9160599999999999E-3</v>
      </c>
      <c r="P442">
        <v>0.99189819999999995</v>
      </c>
      <c r="Q442">
        <v>0.1226829</v>
      </c>
      <c r="R442">
        <v>-3.296926E-2</v>
      </c>
      <c r="S442">
        <v>3.0650330000000001</v>
      </c>
      <c r="T442">
        <v>-0.20121800000000001</v>
      </c>
      <c r="U442">
        <v>0.4432373</v>
      </c>
      <c r="V442">
        <v>2.6160240000000001E-2</v>
      </c>
      <c r="W442">
        <v>0.13752779999999901</v>
      </c>
      <c r="X442">
        <v>0.99015240000000004</v>
      </c>
      <c r="Y442">
        <v>-0.14963419999999999</v>
      </c>
      <c r="Z442">
        <v>5.3324359999999899E-3</v>
      </c>
      <c r="AA442">
        <v>0.98872700000000002</v>
      </c>
      <c r="AB442">
        <v>39</v>
      </c>
      <c r="AC442">
        <v>16.504000000000001</v>
      </c>
      <c r="AD442">
        <v>-1.11011728446</v>
      </c>
      <c r="AE442">
        <v>2.4481999999999799</v>
      </c>
      <c r="AF442">
        <v>-2.5510037058422301</v>
      </c>
      <c r="AG442">
        <v>-1.11011728446</v>
      </c>
      <c r="AH442">
        <v>16.414007108184801</v>
      </c>
      <c r="AI442">
        <v>93.823392581634394</v>
      </c>
      <c r="AJ442">
        <v>98.834022280044806</v>
      </c>
      <c r="AK442">
        <v>16.648111293477701</v>
      </c>
      <c r="AL442">
        <v>82.095184282605004</v>
      </c>
      <c r="AM442">
        <v>88.486573650254897</v>
      </c>
      <c r="AN442">
        <v>1.0000000145777199</v>
      </c>
    </row>
    <row r="443" spans="1:40" x14ac:dyDescent="0.25">
      <c r="A443" t="str">
        <f>"20190312164226782"</f>
        <v>20190312164226782</v>
      </c>
      <c r="B443" t="str">
        <f>"1552380146774349"</f>
        <v>1552380146774349</v>
      </c>
      <c r="C443" t="s">
        <v>40</v>
      </c>
      <c r="D443">
        <v>4.4992390000000002</v>
      </c>
      <c r="E443">
        <v>0.43426320000000002</v>
      </c>
      <c r="F443" t="s">
        <v>42</v>
      </c>
      <c r="G443">
        <v>-343.13350000000003</v>
      </c>
      <c r="H443" s="1">
        <v>-3.309476E-6</v>
      </c>
      <c r="I443">
        <v>369.92880000000002</v>
      </c>
      <c r="J443">
        <v>-359.31330000000003</v>
      </c>
      <c r="K443">
        <v>1.110109</v>
      </c>
      <c r="L443">
        <v>367.50310000000002</v>
      </c>
      <c r="M443">
        <v>0.9998629</v>
      </c>
      <c r="N443">
        <v>0</v>
      </c>
      <c r="O443">
        <v>-7.0610079999999997E-3</v>
      </c>
      <c r="P443">
        <v>0.99198410000000004</v>
      </c>
      <c r="Q443">
        <v>0.1219933</v>
      </c>
      <c r="R443">
        <v>-3.2940820000000003E-2</v>
      </c>
      <c r="S443">
        <v>3.064819</v>
      </c>
      <c r="T443">
        <v>-0.20531389999999999</v>
      </c>
      <c r="U443">
        <v>0.44812010000000002</v>
      </c>
      <c r="V443">
        <v>2.598779E-2</v>
      </c>
      <c r="W443">
        <v>0.1368354</v>
      </c>
      <c r="X443">
        <v>0.99025289999999999</v>
      </c>
      <c r="Y443">
        <v>-0.15131220000000001</v>
      </c>
      <c r="Z443">
        <v>5.505996E-3</v>
      </c>
      <c r="AA443">
        <v>0.98847070000000004</v>
      </c>
      <c r="AB443">
        <v>39</v>
      </c>
      <c r="AC443">
        <v>16.1798</v>
      </c>
      <c r="AD443">
        <v>-1.1101123094759999</v>
      </c>
      <c r="AE443">
        <v>2.4257</v>
      </c>
      <c r="AF443">
        <v>-2.52825795865974</v>
      </c>
      <c r="AG443">
        <v>-1.1101123094759999</v>
      </c>
      <c r="AH443">
        <v>16.088196879153401</v>
      </c>
      <c r="AI443">
        <v>93.899539688253</v>
      </c>
      <c r="AJ443">
        <v>98.9309819132218</v>
      </c>
      <c r="AK443">
        <v>16.3234345793886</v>
      </c>
      <c r="AL443">
        <v>82.135234790929701</v>
      </c>
      <c r="AM443">
        <v>88.4966981752344</v>
      </c>
      <c r="AN443">
        <v>1.00000004894032</v>
      </c>
    </row>
    <row r="444" spans="1:40" x14ac:dyDescent="0.25">
      <c r="A444" t="str">
        <f>"20190312164226803"</f>
        <v>20190312164226803</v>
      </c>
      <c r="B444" t="str">
        <f>"1552380146793868"</f>
        <v>1552380146793868</v>
      </c>
      <c r="C444" t="s">
        <v>40</v>
      </c>
      <c r="D444">
        <v>4.4647189999999997</v>
      </c>
      <c r="E444">
        <v>0.43393549999999997</v>
      </c>
      <c r="F444" t="s">
        <v>42</v>
      </c>
      <c r="G444">
        <v>-343.00240000000002</v>
      </c>
      <c r="H444" s="1">
        <v>-3.3652169999999998E-6</v>
      </c>
      <c r="I444">
        <v>369.90550000000002</v>
      </c>
      <c r="J444">
        <v>-358.93119999999999</v>
      </c>
      <c r="K444">
        <v>1.110106</v>
      </c>
      <c r="L444">
        <v>367.50020000000001</v>
      </c>
      <c r="M444">
        <v>0.99986200000000003</v>
      </c>
      <c r="N444">
        <v>0</v>
      </c>
      <c r="O444">
        <v>-7.2028459999999997E-3</v>
      </c>
      <c r="P444">
        <v>0.99205659999999896</v>
      </c>
      <c r="Q444">
        <v>0.1215218</v>
      </c>
      <c r="R444">
        <v>-3.2501750000000003E-2</v>
      </c>
      <c r="S444">
        <v>3.064819</v>
      </c>
      <c r="T444">
        <v>-0.20859040000000001</v>
      </c>
      <c r="U444">
        <v>0.45141599999999998</v>
      </c>
      <c r="V444">
        <v>2.54075E-2</v>
      </c>
      <c r="W444">
        <v>0.13636010000000001</v>
      </c>
      <c r="X444">
        <v>0.99033340000000003</v>
      </c>
      <c r="Y444">
        <v>-0.152478799999999</v>
      </c>
      <c r="Z444">
        <v>5.6422669999999899E-3</v>
      </c>
      <c r="AA444">
        <v>0.98829069999999997</v>
      </c>
      <c r="AB444">
        <v>38</v>
      </c>
      <c r="AC444">
        <v>15.928799999999899</v>
      </c>
      <c r="AD444">
        <v>-1.110109365217</v>
      </c>
      <c r="AE444">
        <v>2.4053000000000102</v>
      </c>
      <c r="AF444">
        <v>-2.50807307923623</v>
      </c>
      <c r="AG444">
        <v>-1.110109365217</v>
      </c>
      <c r="AH444">
        <v>15.8358601564798</v>
      </c>
      <c r="AI444">
        <v>93.960722905535306</v>
      </c>
      <c r="AJ444">
        <v>98.999714921612906</v>
      </c>
      <c r="AK444">
        <v>16.071628426177501</v>
      </c>
      <c r="AL444">
        <v>82.162724218331903</v>
      </c>
      <c r="AM444">
        <v>88.530370426930403</v>
      </c>
      <c r="AN444">
        <v>0.99999993054190695</v>
      </c>
    </row>
    <row r="445" spans="1:40" x14ac:dyDescent="0.25">
      <c r="A445" t="str">
        <f>"20190312164226825"</f>
        <v>20190312164226825</v>
      </c>
      <c r="B445" t="str">
        <f>"1552380146814364"</f>
        <v>1552380146814364</v>
      </c>
      <c r="C445" t="s">
        <v>40</v>
      </c>
      <c r="D445">
        <v>4.4071660000000001</v>
      </c>
      <c r="E445">
        <v>0.4335484</v>
      </c>
      <c r="F445" t="s">
        <v>42</v>
      </c>
      <c r="G445">
        <v>-342.78649999999999</v>
      </c>
      <c r="H445" s="1">
        <v>-3.464875E-6</v>
      </c>
      <c r="I445">
        <v>369.89640000000003</v>
      </c>
      <c r="J445">
        <v>-358.5677</v>
      </c>
      <c r="K445">
        <v>1.110104</v>
      </c>
      <c r="L445">
        <v>367.4975</v>
      </c>
      <c r="M445">
        <v>0.999861</v>
      </c>
      <c r="N445">
        <v>0</v>
      </c>
      <c r="O445">
        <v>-7.3378840000000002E-3</v>
      </c>
      <c r="P445">
        <v>0.99210330000000002</v>
      </c>
      <c r="Q445">
        <v>0.12123250000000001</v>
      </c>
      <c r="R445">
        <v>-3.2152979999999998E-2</v>
      </c>
      <c r="S445">
        <v>3.0647280000000001</v>
      </c>
      <c r="T445">
        <v>-0.2107309</v>
      </c>
      <c r="U445">
        <v>0.4548645</v>
      </c>
      <c r="V445">
        <v>2.4924470000000001E-2</v>
      </c>
      <c r="W445">
        <v>0.13606770000000001</v>
      </c>
      <c r="X445">
        <v>0.99038590000000004</v>
      </c>
      <c r="Y445">
        <v>-0.1536941</v>
      </c>
      <c r="Z445">
        <v>5.7504740000000002E-3</v>
      </c>
      <c r="AA445">
        <v>0.98810169999999997</v>
      </c>
      <c r="AB445">
        <v>38</v>
      </c>
      <c r="AC445">
        <v>15.7812</v>
      </c>
      <c r="AD445">
        <v>-1.110107464875</v>
      </c>
      <c r="AE445">
        <v>2.3989000000000198</v>
      </c>
      <c r="AF445">
        <v>-2.5025454973558201</v>
      </c>
      <c r="AG445">
        <v>-1.110107464875</v>
      </c>
      <c r="AH445">
        <v>15.6872989844675</v>
      </c>
      <c r="AI445">
        <v>93.997394755738995</v>
      </c>
      <c r="AJ445">
        <v>99.063842528742697</v>
      </c>
      <c r="AK445">
        <v>15.9243970679578</v>
      </c>
      <c r="AL445">
        <v>82.179635195365094</v>
      </c>
      <c r="AM445">
        <v>88.558374504376204</v>
      </c>
      <c r="AN445">
        <v>0.99999993955343802</v>
      </c>
    </row>
    <row r="446" spans="1:40" x14ac:dyDescent="0.25">
      <c r="A446" t="str">
        <f>"20190312164226846"</f>
        <v>20190312164226846</v>
      </c>
      <c r="B446" t="str">
        <f>"1552380146833885"</f>
        <v>1552380146833885</v>
      </c>
      <c r="C446" t="s">
        <v>40</v>
      </c>
      <c r="D446">
        <v>4.3994660000000003</v>
      </c>
      <c r="E446">
        <v>0.4331758</v>
      </c>
      <c r="F446" t="s">
        <v>42</v>
      </c>
      <c r="G446">
        <v>-342.57799999999997</v>
      </c>
      <c r="H446" s="1">
        <v>-3.5620730000000001E-6</v>
      </c>
      <c r="I446">
        <v>369.8913</v>
      </c>
      <c r="J446">
        <v>-358.19600000000003</v>
      </c>
      <c r="K446">
        <v>1.110093</v>
      </c>
      <c r="L446">
        <v>367.49459999999999</v>
      </c>
      <c r="M446">
        <v>0.99986010000000003</v>
      </c>
      <c r="N446">
        <v>0</v>
      </c>
      <c r="O446">
        <v>-7.4758999999999997E-3</v>
      </c>
      <c r="P446">
        <v>0.9920793</v>
      </c>
      <c r="Q446">
        <v>0.121505</v>
      </c>
      <c r="R446">
        <v>-3.1870570000000001E-2</v>
      </c>
      <c r="S446">
        <v>3.0647579999999999</v>
      </c>
      <c r="T446">
        <v>-0.21277489999999999</v>
      </c>
      <c r="U446">
        <v>0.45883180000000001</v>
      </c>
      <c r="V446">
        <v>2.4505550000000001E-2</v>
      </c>
      <c r="W446">
        <v>0.13633599999999901</v>
      </c>
      <c r="X446">
        <v>0.99035949999999995</v>
      </c>
      <c r="Y446">
        <v>-0.1550695</v>
      </c>
      <c r="Z446">
        <v>5.8624569999999997E-3</v>
      </c>
      <c r="AA446">
        <v>0.98788620000000005</v>
      </c>
      <c r="AB446">
        <v>38</v>
      </c>
      <c r="AC446">
        <v>15.617999999999901</v>
      </c>
      <c r="AD446">
        <v>-1.1100965620729999</v>
      </c>
      <c r="AE446">
        <v>2.3967000000000098</v>
      </c>
      <c r="AF446">
        <v>-2.5010598324013098</v>
      </c>
      <c r="AG446">
        <v>-1.1100965620729999</v>
      </c>
      <c r="AH446">
        <v>15.523024642573899</v>
      </c>
      <c r="AI446">
        <v>94.038516770835002</v>
      </c>
      <c r="AJ446">
        <v>99.152799849959806</v>
      </c>
      <c r="AK446">
        <v>15.762357333734499</v>
      </c>
      <c r="AL446">
        <v>82.164118477943603</v>
      </c>
      <c r="AM446">
        <v>88.582557001566698</v>
      </c>
      <c r="AN446">
        <v>0.999999983058526</v>
      </c>
    </row>
    <row r="447" spans="1:40" x14ac:dyDescent="0.25">
      <c r="A447" t="str">
        <f>"20190312164226869"</f>
        <v>20190312164226869</v>
      </c>
      <c r="B447" t="str">
        <f>"1552380146864141"</f>
        <v>1552380146864141</v>
      </c>
      <c r="C447" t="s">
        <v>40</v>
      </c>
      <c r="D447">
        <v>4.3694850000000001</v>
      </c>
      <c r="E447">
        <v>0.43266450000000001</v>
      </c>
      <c r="F447" t="s">
        <v>42</v>
      </c>
      <c r="G447">
        <v>-342.17840000000001</v>
      </c>
      <c r="H447" s="1">
        <v>-3.7559319999999999E-6</v>
      </c>
      <c r="I447">
        <v>369.90989999999999</v>
      </c>
      <c r="J447">
        <v>-357.80239999999998</v>
      </c>
      <c r="K447">
        <v>1.110101</v>
      </c>
      <c r="L447">
        <v>367.49149999999997</v>
      </c>
      <c r="M447">
        <v>0.9998591</v>
      </c>
      <c r="N447">
        <v>0</v>
      </c>
      <c r="O447">
        <v>-7.6217819999999997E-3</v>
      </c>
      <c r="P447">
        <v>0.99200619999999995</v>
      </c>
      <c r="Q447">
        <v>0.1220789</v>
      </c>
      <c r="R447">
        <v>-3.194806E-2</v>
      </c>
      <c r="S447">
        <v>3.0648499999999999</v>
      </c>
      <c r="T447">
        <v>-0.21240829999999999</v>
      </c>
      <c r="U447">
        <v>0.46215820000000002</v>
      </c>
      <c r="V447">
        <v>2.4439450000000001E-2</v>
      </c>
      <c r="W447">
        <v>0.13690429999999901</v>
      </c>
      <c r="X447">
        <v>0.99028280000000002</v>
      </c>
      <c r="Y447">
        <v>-0.15625600000000001</v>
      </c>
      <c r="Z447">
        <v>5.9026209999999898E-3</v>
      </c>
      <c r="AA447">
        <v>0.98769899999999999</v>
      </c>
      <c r="AB447">
        <v>38</v>
      </c>
      <c r="AC447">
        <v>15.623999999999899</v>
      </c>
      <c r="AD447">
        <v>-1.1101047559320001</v>
      </c>
      <c r="AE447">
        <v>2.4184000000000201</v>
      </c>
      <c r="AF447">
        <v>-2.5249772454564301</v>
      </c>
      <c r="AG447">
        <v>-1.1101047559320001</v>
      </c>
      <c r="AH447">
        <v>15.528553282049</v>
      </c>
      <c r="AI447">
        <v>94.036172385887696</v>
      </c>
      <c r="AJ447">
        <v>99.235592279519693</v>
      </c>
      <c r="AK447">
        <v>15.7716140484305</v>
      </c>
      <c r="AL447">
        <v>82.131249608184504</v>
      </c>
      <c r="AM447">
        <v>88.586269341099694</v>
      </c>
      <c r="AN447">
        <v>1.00000004902531</v>
      </c>
    </row>
    <row r="448" spans="1:40" x14ac:dyDescent="0.25">
      <c r="A448" t="str">
        <f>"20190312164226892"</f>
        <v>20190312164226892</v>
      </c>
      <c r="B448" t="str">
        <f>"1552380146884640"</f>
        <v>1552380146884640</v>
      </c>
      <c r="C448" t="s">
        <v>40</v>
      </c>
      <c r="D448">
        <v>4.3952119999999999</v>
      </c>
      <c r="E448">
        <v>0.43231530000000001</v>
      </c>
      <c r="F448" t="s">
        <v>42</v>
      </c>
      <c r="G448">
        <v>-341.62670000000003</v>
      </c>
      <c r="H448" s="1">
        <v>-4.0292420000000002E-6</v>
      </c>
      <c r="I448">
        <v>369.95699999999999</v>
      </c>
      <c r="J448">
        <v>-357.41120000000001</v>
      </c>
      <c r="K448">
        <v>1.110104</v>
      </c>
      <c r="L448">
        <v>367.48840000000001</v>
      </c>
      <c r="M448">
        <v>0.99985780000000002</v>
      </c>
      <c r="N448">
        <v>0</v>
      </c>
      <c r="O448">
        <v>-7.7667029999999998E-3</v>
      </c>
      <c r="P448">
        <v>0.9919249</v>
      </c>
      <c r="Q448">
        <v>0.1226708</v>
      </c>
      <c r="R448">
        <v>-3.2199829999999999E-2</v>
      </c>
      <c r="S448">
        <v>3.0650940000000002</v>
      </c>
      <c r="T448">
        <v>-0.2103515</v>
      </c>
      <c r="U448">
        <v>0.46719359999999999</v>
      </c>
      <c r="V448">
        <v>2.4548210000000001E-2</v>
      </c>
      <c r="W448">
        <v>0.13749049999999999</v>
      </c>
      <c r="X448">
        <v>0.99019889999999999</v>
      </c>
      <c r="Y448">
        <v>-0.157976799999999</v>
      </c>
      <c r="Z448">
        <v>5.9129469999999896E-3</v>
      </c>
      <c r="AA448">
        <v>0.98742509999999994</v>
      </c>
      <c r="AB448">
        <v>38</v>
      </c>
      <c r="AC448">
        <v>15.7844999999999</v>
      </c>
      <c r="AD448">
        <v>-1.110108029242</v>
      </c>
      <c r="AE448">
        <v>2.4685999999999799</v>
      </c>
      <c r="AF448">
        <v>-2.5786827073849898</v>
      </c>
      <c r="AG448">
        <v>-1.110108029242</v>
      </c>
      <c r="AH448">
        <v>15.689100589649399</v>
      </c>
      <c r="AI448">
        <v>93.993900946896503</v>
      </c>
      <c r="AJ448">
        <v>99.333762702491697</v>
      </c>
      <c r="AK448">
        <v>15.938313011548299</v>
      </c>
      <c r="AL448">
        <v>82.097342248011898</v>
      </c>
      <c r="AM448">
        <v>88.579860283059105</v>
      </c>
      <c r="AN448">
        <v>1.00000005688283</v>
      </c>
    </row>
    <row r="449" spans="1:40" x14ac:dyDescent="0.25">
      <c r="A449" t="str">
        <f>"20190312164226914"</f>
        <v>20190312164226914</v>
      </c>
      <c r="B449" t="str">
        <f>"1552380146904172"</f>
        <v>1552380146904172</v>
      </c>
      <c r="C449" t="s">
        <v>40</v>
      </c>
      <c r="D449">
        <v>4.5849699999999904</v>
      </c>
      <c r="E449">
        <v>0.43247590000000002</v>
      </c>
      <c r="F449" t="s">
        <v>42</v>
      </c>
      <c r="G449">
        <v>-341.04930000000002</v>
      </c>
      <c r="H449" s="1">
        <v>-4.3133349999999998E-6</v>
      </c>
      <c r="I449">
        <v>369.99900000000002</v>
      </c>
      <c r="J449">
        <v>-357.02960000000002</v>
      </c>
      <c r="K449">
        <v>1.1101099999999999</v>
      </c>
      <c r="L449">
        <v>367.4853</v>
      </c>
      <c r="M449">
        <v>0.99985690000000005</v>
      </c>
      <c r="N449">
        <v>0</v>
      </c>
      <c r="O449">
        <v>-7.9057599999999995E-3</v>
      </c>
      <c r="P449">
        <v>0.99189369999999999</v>
      </c>
      <c r="Q449">
        <v>0.122734</v>
      </c>
      <c r="R449">
        <v>-3.2913640000000001E-2</v>
      </c>
      <c r="S449">
        <v>3.0654300000000001</v>
      </c>
      <c r="T449">
        <v>-0.20798159999999999</v>
      </c>
      <c r="U449">
        <v>0.47036739999999999</v>
      </c>
      <c r="V449">
        <v>2.512375E-2</v>
      </c>
      <c r="W449">
        <v>0.137549</v>
      </c>
      <c r="X449">
        <v>0.99017630000000001</v>
      </c>
      <c r="Y449">
        <v>-0.15910270000000001</v>
      </c>
      <c r="Z449">
        <v>5.8926999999999998E-3</v>
      </c>
      <c r="AA449">
        <v>0.98724440000000002</v>
      </c>
      <c r="AB449">
        <v>38</v>
      </c>
      <c r="AC449">
        <v>15.9803</v>
      </c>
      <c r="AD449">
        <v>-1.110114313335</v>
      </c>
      <c r="AE449">
        <v>2.51370000000002</v>
      </c>
      <c r="AF449">
        <v>-2.6275979953964899</v>
      </c>
      <c r="AG449">
        <v>-1.110114313335</v>
      </c>
      <c r="AH449">
        <v>15.885118779323999</v>
      </c>
      <c r="AI449">
        <v>93.944132627669305</v>
      </c>
      <c r="AJ449">
        <v>99.392394441124495</v>
      </c>
      <c r="AK449">
        <v>16.139195260214098</v>
      </c>
      <c r="AL449">
        <v>82.093957982070805</v>
      </c>
      <c r="AM449">
        <v>88.546545649078993</v>
      </c>
      <c r="AN449">
        <v>1.0000000176483701</v>
      </c>
    </row>
    <row r="450" spans="1:40" x14ac:dyDescent="0.25">
      <c r="A450" t="str">
        <f>"20190312164226936"</f>
        <v>20190312164226936</v>
      </c>
      <c r="B450" t="str">
        <f>"1552380146924656"</f>
        <v>1552380146924656</v>
      </c>
      <c r="C450" t="s">
        <v>40</v>
      </c>
      <c r="D450">
        <v>4.6118499999999996</v>
      </c>
      <c r="E450">
        <v>0.48395440000000001</v>
      </c>
      <c r="F450" t="s">
        <v>42</v>
      </c>
      <c r="G450">
        <v>-340.59350000000001</v>
      </c>
      <c r="H450" s="1">
        <v>-4.525825E-6</v>
      </c>
      <c r="I450">
        <v>369.98779999999999</v>
      </c>
      <c r="J450">
        <v>-356.67079999999999</v>
      </c>
      <c r="K450">
        <v>1.1101110000000001</v>
      </c>
      <c r="L450">
        <v>367.48239999999998</v>
      </c>
      <c r="M450">
        <v>0.99985610000000003</v>
      </c>
      <c r="N450">
        <v>0</v>
      </c>
      <c r="O450">
        <v>-8.0281859999999997E-3</v>
      </c>
      <c r="P450">
        <v>0.99189459999999996</v>
      </c>
      <c r="Q450">
        <v>0.12251570000000001</v>
      </c>
      <c r="R450">
        <v>-3.3691199999999998E-2</v>
      </c>
      <c r="S450">
        <v>3.0656430000000001</v>
      </c>
      <c r="T450">
        <v>-0.2070574</v>
      </c>
      <c r="U450">
        <v>0.46676640000000003</v>
      </c>
      <c r="V450">
        <v>2.5778300000000001E-2</v>
      </c>
      <c r="W450">
        <v>0.13732710000000001</v>
      </c>
      <c r="X450">
        <v>0.99019029999999997</v>
      </c>
      <c r="Y450">
        <v>-0.15808529999999901</v>
      </c>
      <c r="Z450">
        <v>5.8407759999999998E-3</v>
      </c>
      <c r="AA450">
        <v>0.98740819999999996</v>
      </c>
      <c r="AB450">
        <v>38</v>
      </c>
      <c r="AC450">
        <v>16.077299999999902</v>
      </c>
      <c r="AD450">
        <v>-1.1101155258249999</v>
      </c>
      <c r="AE450">
        <v>2.5053999999999998</v>
      </c>
      <c r="AF450">
        <v>-2.62219971898346</v>
      </c>
      <c r="AG450">
        <v>-1.1101155258249999</v>
      </c>
      <c r="AH450">
        <v>15.982273386582801</v>
      </c>
      <c r="AI450">
        <v>93.921077965202699</v>
      </c>
      <c r="AJ450">
        <v>99.317463066250099</v>
      </c>
      <c r="AK450">
        <v>16.233956709637599</v>
      </c>
      <c r="AL450">
        <v>82.106793912727696</v>
      </c>
      <c r="AM450">
        <v>88.508716707088595</v>
      </c>
      <c r="AN450">
        <v>1.0000000416796899</v>
      </c>
    </row>
    <row r="451" spans="1:40" x14ac:dyDescent="0.25">
      <c r="A451" t="str">
        <f>"20190312164226959"</f>
        <v>20190312164226959</v>
      </c>
      <c r="B451" t="str">
        <f>"1552380146953933"</f>
        <v>1552380146953933</v>
      </c>
      <c r="C451" t="s">
        <v>40</v>
      </c>
      <c r="D451">
        <v>4.3256030000000001</v>
      </c>
      <c r="E451">
        <v>0.54370200000000002</v>
      </c>
      <c r="F451" t="s">
        <v>42</v>
      </c>
      <c r="G451">
        <v>-341.40190000000001</v>
      </c>
      <c r="H451" s="1">
        <v>-4.3753170000000001E-6</v>
      </c>
      <c r="I451">
        <v>367.75349999999997</v>
      </c>
      <c r="J451">
        <v>-356.26409999999998</v>
      </c>
      <c r="K451">
        <v>1.1101219999999901</v>
      </c>
      <c r="L451">
        <v>367.47890000000001</v>
      </c>
      <c r="M451">
        <v>0.9998551</v>
      </c>
      <c r="N451">
        <v>0</v>
      </c>
      <c r="O451">
        <v>-8.1502480000000006E-3</v>
      </c>
      <c r="P451">
        <v>0.99188940000000003</v>
      </c>
      <c r="Q451">
        <v>0.1221893</v>
      </c>
      <c r="R451">
        <v>-3.5005849999999998E-2</v>
      </c>
      <c r="S451">
        <v>3.0537719999999999</v>
      </c>
      <c r="T451">
        <v>-0.22202240000000001</v>
      </c>
      <c r="U451">
        <v>5.4229739999999999E-2</v>
      </c>
      <c r="V451">
        <v>2.6968329999999999E-2</v>
      </c>
      <c r="W451">
        <v>0.136995899999999</v>
      </c>
      <c r="X451">
        <v>0.99020450000000004</v>
      </c>
      <c r="Y451">
        <v>-2.581514E-2</v>
      </c>
      <c r="Z451">
        <v>1.5289279999999999E-3</v>
      </c>
      <c r="AA451">
        <v>0.99966560000000004</v>
      </c>
      <c r="AB451">
        <v>38</v>
      </c>
      <c r="AC451">
        <v>14.8621999999999</v>
      </c>
      <c r="AD451">
        <v>-1.1101263753170001</v>
      </c>
      <c r="AE451">
        <v>0.27459999999996398</v>
      </c>
      <c r="AF451">
        <v>-0.39354009940253198</v>
      </c>
      <c r="AG451">
        <v>-1.1101263753170001</v>
      </c>
      <c r="AH451">
        <v>14.777050691614299</v>
      </c>
      <c r="AI451">
        <v>94.294759809078002</v>
      </c>
      <c r="AJ451">
        <v>91.525531629918802</v>
      </c>
      <c r="AK451">
        <v>14.8239158632782</v>
      </c>
      <c r="AL451">
        <v>82.125951479030306</v>
      </c>
      <c r="AM451">
        <v>88.439928706510003</v>
      </c>
      <c r="AN451">
        <v>1.00000005963002</v>
      </c>
    </row>
    <row r="452" spans="1:40" x14ac:dyDescent="0.25">
      <c r="A452" t="str">
        <f>"20190312164226984"</f>
        <v>20190312164226984</v>
      </c>
      <c r="B452" t="str">
        <f>"1552380146974429"</f>
        <v>1552380146974429</v>
      </c>
      <c r="C452" t="s">
        <v>40</v>
      </c>
      <c r="D452">
        <v>4.2791980000000001</v>
      </c>
      <c r="E452">
        <v>0.54251830000000001</v>
      </c>
      <c r="F452" t="s">
        <v>41</v>
      </c>
      <c r="G452">
        <v>-355.50209999999998</v>
      </c>
      <c r="H452">
        <v>1.0486139999999999</v>
      </c>
      <c r="I452">
        <v>367.37189999999998</v>
      </c>
      <c r="J452">
        <v>-355.86430000000001</v>
      </c>
      <c r="K452">
        <v>1.110144</v>
      </c>
      <c r="L452">
        <v>367.47559999999999</v>
      </c>
      <c r="M452">
        <v>0.99985449999999998</v>
      </c>
      <c r="N452">
        <v>0</v>
      </c>
      <c r="O452">
        <v>-8.2435640000000001E-3</v>
      </c>
      <c r="P452">
        <v>0.99180670000000004</v>
      </c>
      <c r="Q452">
        <v>0.1224917</v>
      </c>
      <c r="R452">
        <v>-3.6268920000000003E-2</v>
      </c>
      <c r="S452">
        <v>3.0397340000000002</v>
      </c>
      <c r="T452">
        <v>-0.2455417</v>
      </c>
      <c r="U452">
        <v>-0.42630000000000001</v>
      </c>
      <c r="V452">
        <v>2.8133189999999999E-2</v>
      </c>
      <c r="W452">
        <v>0.137294</v>
      </c>
      <c r="X452">
        <v>0.99013070000000003</v>
      </c>
      <c r="Y452">
        <v>0.1303243</v>
      </c>
      <c r="Z452">
        <v>-4.5680390000000003E-3</v>
      </c>
      <c r="AA452">
        <v>0.99146089999999998</v>
      </c>
      <c r="AB452">
        <v>38</v>
      </c>
      <c r="AC452">
        <v>0.362200000000029</v>
      </c>
      <c r="AD452">
        <v>-6.1530000000000001E-2</v>
      </c>
      <c r="AE452">
        <v>-0.103700000000003</v>
      </c>
      <c r="AF452">
        <v>9.8093928103928404E-2</v>
      </c>
      <c r="AG452">
        <v>-6.1530000000000001E-2</v>
      </c>
      <c r="AH452">
        <v>0.35361100640396198</v>
      </c>
      <c r="AI452">
        <v>99.518399909568501</v>
      </c>
      <c r="AJ452">
        <v>74.495649274782295</v>
      </c>
      <c r="AK452">
        <v>0.37208749438926603</v>
      </c>
      <c r="AL452">
        <v>82.108707897062303</v>
      </c>
      <c r="AM452">
        <v>88.372457820457697</v>
      </c>
      <c r="AN452">
        <v>0.99999996094903199</v>
      </c>
    </row>
    <row r="453" spans="1:40" x14ac:dyDescent="0.25">
      <c r="A453" t="str">
        <f>"20190312164227003"</f>
        <v>20190312164227003</v>
      </c>
      <c r="B453" t="str">
        <f>"1552380146993949"</f>
        <v>1552380146993949</v>
      </c>
      <c r="C453" t="s">
        <v>40</v>
      </c>
      <c r="D453">
        <v>4.2812859999999997</v>
      </c>
      <c r="E453">
        <v>0.54081349999999995</v>
      </c>
      <c r="F453" t="s">
        <v>41</v>
      </c>
      <c r="G453">
        <v>-354.834</v>
      </c>
      <c r="H453">
        <v>1.030964</v>
      </c>
      <c r="I453">
        <v>367.33240000000001</v>
      </c>
      <c r="J453">
        <v>-355.50920000000002</v>
      </c>
      <c r="K453">
        <v>1.110169</v>
      </c>
      <c r="L453">
        <v>367.47250000000003</v>
      </c>
      <c r="M453">
        <v>0.99985400000000002</v>
      </c>
      <c r="N453">
        <v>0</v>
      </c>
      <c r="O453">
        <v>-8.3035959999999999E-3</v>
      </c>
      <c r="P453">
        <v>0.99181830000000004</v>
      </c>
      <c r="Q453">
        <v>0.1223195</v>
      </c>
      <c r="R453">
        <v>-3.6535680000000001E-2</v>
      </c>
      <c r="S453">
        <v>3.0382389999999999</v>
      </c>
      <c r="T453">
        <v>-0.2337292</v>
      </c>
      <c r="U453">
        <v>-0.4210815</v>
      </c>
      <c r="V453">
        <v>2.8333190000000001E-2</v>
      </c>
      <c r="W453">
        <v>0.13711970000000001</v>
      </c>
      <c r="X453">
        <v>0.99014919999999995</v>
      </c>
      <c r="Y453">
        <v>0.12870219999999999</v>
      </c>
      <c r="Z453">
        <v>-4.284965E-3</v>
      </c>
      <c r="AA453">
        <v>0.99167400000000006</v>
      </c>
      <c r="AB453">
        <v>38</v>
      </c>
      <c r="AC453">
        <v>0.67520000000001701</v>
      </c>
      <c r="AD453">
        <v>-7.92049999999999E-2</v>
      </c>
      <c r="AE453">
        <v>-0.14010000000001799</v>
      </c>
      <c r="AF453">
        <v>0.13273679905967001</v>
      </c>
      <c r="AG453">
        <v>-7.92049999999999E-2</v>
      </c>
      <c r="AH453">
        <v>0.66753361114992205</v>
      </c>
      <c r="AI453">
        <v>96.637925038878095</v>
      </c>
      <c r="AJ453">
        <v>78.753623986912103</v>
      </c>
      <c r="AK453">
        <v>0.68519603900231496</v>
      </c>
      <c r="AL453">
        <v>82.118790292464098</v>
      </c>
      <c r="AM453">
        <v>88.360924454374796</v>
      </c>
      <c r="AN453">
        <v>1.00000001002215</v>
      </c>
    </row>
    <row r="454" spans="1:40" x14ac:dyDescent="0.25">
      <c r="A454" t="str">
        <f>"20190312164227025"</f>
        <v>20190312164227025</v>
      </c>
      <c r="B454" t="str">
        <f>"1552380147014448"</f>
        <v>1552380147014448</v>
      </c>
      <c r="C454" t="s">
        <v>40</v>
      </c>
      <c r="D454">
        <v>4.8250690000000001</v>
      </c>
      <c r="E454">
        <v>0.53999509999999995</v>
      </c>
      <c r="F454" t="s">
        <v>41</v>
      </c>
      <c r="G454">
        <v>-354.49299999999999</v>
      </c>
      <c r="H454">
        <v>1.0339830000000001</v>
      </c>
      <c r="I454">
        <v>367.33580000000001</v>
      </c>
      <c r="J454">
        <v>-355.15390000000002</v>
      </c>
      <c r="K454">
        <v>1.1101890000000001</v>
      </c>
      <c r="L454">
        <v>367.46960000000001</v>
      </c>
      <c r="M454">
        <v>0.99985369999999996</v>
      </c>
      <c r="N454">
        <v>0</v>
      </c>
      <c r="O454">
        <v>-8.3451629999999992E-3</v>
      </c>
      <c r="P454">
        <v>0.99185730000000005</v>
      </c>
      <c r="Q454">
        <v>0.1217955</v>
      </c>
      <c r="R454">
        <v>-3.7214200000000003E-2</v>
      </c>
      <c r="S454">
        <v>3.037811</v>
      </c>
      <c r="T454">
        <v>-0.22788539999999999</v>
      </c>
      <c r="U454">
        <v>-0.40844730000000001</v>
      </c>
      <c r="V454">
        <v>2.8963849999999999E-2</v>
      </c>
      <c r="W454">
        <v>0.13659350000000001</v>
      </c>
      <c r="X454">
        <v>0.99020370000000002</v>
      </c>
      <c r="Y454">
        <v>0.12465809999999999</v>
      </c>
      <c r="Z454">
        <v>-4.0259759999999997E-3</v>
      </c>
      <c r="AA454">
        <v>0.99219159999999995</v>
      </c>
      <c r="AB454">
        <v>38</v>
      </c>
      <c r="AC454">
        <v>0.66089999999996896</v>
      </c>
      <c r="AD454">
        <v>-7.6205999999999705E-2</v>
      </c>
      <c r="AE454">
        <v>-0.133800000000007</v>
      </c>
      <c r="AF454">
        <v>0.12666167331494799</v>
      </c>
      <c r="AG454">
        <v>-7.6205999999999705E-2</v>
      </c>
      <c r="AH454">
        <v>0.65364527684400897</v>
      </c>
      <c r="AI454">
        <v>96.529492427039202</v>
      </c>
      <c r="AJ454">
        <v>79.033290975224702</v>
      </c>
      <c r="AK454">
        <v>0.67015123805259402</v>
      </c>
      <c r="AL454">
        <v>82.149225845834394</v>
      </c>
      <c r="AM454">
        <v>88.324553500468895</v>
      </c>
      <c r="AN454">
        <v>1.0000000281713799</v>
      </c>
    </row>
    <row r="455" spans="1:40" x14ac:dyDescent="0.25">
      <c r="A455" t="str">
        <f>"20190312164227048"</f>
        <v>20190312164227048</v>
      </c>
      <c r="B455" t="str">
        <f>"1552380147044701"</f>
        <v>1552380147044701</v>
      </c>
      <c r="C455" t="s">
        <v>40</v>
      </c>
      <c r="D455">
        <v>4.2866920000000004</v>
      </c>
      <c r="E455">
        <v>0.53930029999999995</v>
      </c>
      <c r="F455" t="s">
        <v>41</v>
      </c>
      <c r="G455">
        <v>-354.1506</v>
      </c>
      <c r="H455">
        <v>1.038173</v>
      </c>
      <c r="I455">
        <v>367.3356</v>
      </c>
      <c r="J455">
        <v>-354.76150000000001</v>
      </c>
      <c r="K455">
        <v>1.110198</v>
      </c>
      <c r="L455">
        <v>367.46629999999999</v>
      </c>
      <c r="M455">
        <v>0.99985360000000001</v>
      </c>
      <c r="N455">
        <v>0</v>
      </c>
      <c r="O455">
        <v>-8.3725780000000003E-3</v>
      </c>
      <c r="P455">
        <v>0.99195319999999998</v>
      </c>
      <c r="Q455">
        <v>0.12089949999999999</v>
      </c>
      <c r="R455">
        <v>-3.7581150000000001E-2</v>
      </c>
      <c r="S455">
        <v>3.0362849999999999</v>
      </c>
      <c r="T455">
        <v>-0.21817520000000001</v>
      </c>
      <c r="U455">
        <v>-0.40420529999999999</v>
      </c>
      <c r="V455">
        <v>2.9296570000000001E-2</v>
      </c>
      <c r="W455">
        <v>0.13569589999999901</v>
      </c>
      <c r="X455">
        <v>0.99031729999999996</v>
      </c>
      <c r="Y455">
        <v>0.1233646</v>
      </c>
      <c r="Z455">
        <v>-3.8089719999999999E-3</v>
      </c>
      <c r="AA455">
        <v>0.99235410000000002</v>
      </c>
      <c r="AB455">
        <v>38</v>
      </c>
      <c r="AC455">
        <v>0.61090000000001499</v>
      </c>
      <c r="AD455">
        <v>-7.2025000000000006E-2</v>
      </c>
      <c r="AE455">
        <v>-0.13069999999998999</v>
      </c>
      <c r="AF455">
        <v>0.123932732355094</v>
      </c>
      <c r="AG455">
        <v>-7.2025000000000006E-2</v>
      </c>
      <c r="AH455">
        <v>0.60394538700631495</v>
      </c>
      <c r="AI455">
        <v>96.663271493369805</v>
      </c>
      <c r="AJ455">
        <v>78.403591445233999</v>
      </c>
      <c r="AK455">
        <v>0.62072292793178496</v>
      </c>
      <c r="AL455">
        <v>82.201137754126293</v>
      </c>
      <c r="AM455">
        <v>88.305512381982396</v>
      </c>
      <c r="AN455">
        <v>1.00000001048493</v>
      </c>
    </row>
    <row r="456" spans="1:40" x14ac:dyDescent="0.25">
      <c r="A456" t="str">
        <f>"20190312164227071"</f>
        <v>20190312164227071</v>
      </c>
      <c r="B456" t="str">
        <f>"1552380147064221"</f>
        <v>1552380147064221</v>
      </c>
      <c r="C456" t="s">
        <v>40</v>
      </c>
      <c r="D456">
        <v>4.2751250000000001</v>
      </c>
      <c r="E456">
        <v>0.53928180000000003</v>
      </c>
      <c r="F456" t="s">
        <v>41</v>
      </c>
      <c r="G456">
        <v>-353.80880000000002</v>
      </c>
      <c r="H456">
        <v>1.042943</v>
      </c>
      <c r="I456">
        <v>367.34059999999999</v>
      </c>
      <c r="J456">
        <v>-354.37090000000001</v>
      </c>
      <c r="K456">
        <v>1.1102129999999999</v>
      </c>
      <c r="L456">
        <v>367.46300000000002</v>
      </c>
      <c r="M456">
        <v>0.9998534</v>
      </c>
      <c r="N456">
        <v>0</v>
      </c>
      <c r="O456">
        <v>-8.3855379999999997E-3</v>
      </c>
      <c r="P456">
        <v>0.99200670000000002</v>
      </c>
      <c r="Q456">
        <v>0.1203061</v>
      </c>
      <c r="R456">
        <v>-3.8072000000000002E-2</v>
      </c>
      <c r="S456">
        <v>3.0353089999999998</v>
      </c>
      <c r="T456">
        <v>-0.21437220000000001</v>
      </c>
      <c r="U456">
        <v>-0.3998718</v>
      </c>
      <c r="V456">
        <v>2.976964E-2</v>
      </c>
      <c r="W456">
        <v>0.13509969999999999</v>
      </c>
      <c r="X456">
        <v>0.99038470000000001</v>
      </c>
      <c r="Y456">
        <v>0.1220142</v>
      </c>
      <c r="Z456">
        <v>-3.6959459999999999E-3</v>
      </c>
      <c r="AA456">
        <v>0.99252149999999995</v>
      </c>
      <c r="AB456">
        <v>38</v>
      </c>
      <c r="AC456">
        <v>0.56209999999998606</v>
      </c>
      <c r="AD456">
        <v>-6.7269999999999899E-2</v>
      </c>
      <c r="AE456">
        <v>-0.122400000000027</v>
      </c>
      <c r="AF456">
        <v>0.116094185893799</v>
      </c>
      <c r="AG456">
        <v>-6.7269999999999899E-2</v>
      </c>
      <c r="AH456">
        <v>0.55551067651123298</v>
      </c>
      <c r="AI456">
        <v>96.7600078309747</v>
      </c>
      <c r="AJ456">
        <v>78.1958533384704</v>
      </c>
      <c r="AK456">
        <v>0.57148510445707301</v>
      </c>
      <c r="AL456">
        <v>82.235614962271796</v>
      </c>
      <c r="AM456">
        <v>88.278283880643897</v>
      </c>
      <c r="AN456">
        <v>1.00000000719995</v>
      </c>
    </row>
    <row r="457" spans="1:40" x14ac:dyDescent="0.25">
      <c r="A457" t="str">
        <f>"20190312164227093"</f>
        <v>20190312164227093</v>
      </c>
      <c r="B457" t="str">
        <f>"1552380147084719"</f>
        <v>1552380147084719</v>
      </c>
      <c r="C457" t="s">
        <v>40</v>
      </c>
      <c r="D457">
        <v>4.28322</v>
      </c>
      <c r="E457">
        <v>0.53912280000000001</v>
      </c>
      <c r="F457" t="s">
        <v>41</v>
      </c>
      <c r="G457">
        <v>-353.46789999999999</v>
      </c>
      <c r="H457">
        <v>1.0468249999999999</v>
      </c>
      <c r="I457">
        <v>367.34339999999997</v>
      </c>
      <c r="J457">
        <v>-353.99970000000002</v>
      </c>
      <c r="K457">
        <v>1.1102190000000001</v>
      </c>
      <c r="L457">
        <v>367.4599</v>
      </c>
      <c r="M457">
        <v>0.99985360000000001</v>
      </c>
      <c r="N457">
        <v>0</v>
      </c>
      <c r="O457">
        <v>-8.3884440000000001E-3</v>
      </c>
      <c r="P457">
        <v>0.99203359999999996</v>
      </c>
      <c r="Q457">
        <v>0.119947</v>
      </c>
      <c r="R457">
        <v>-3.8500449999999999E-2</v>
      </c>
      <c r="S457">
        <v>3.034637</v>
      </c>
      <c r="T457">
        <v>-0.2131894</v>
      </c>
      <c r="U457">
        <v>-0.40084839999999999</v>
      </c>
      <c r="V457">
        <v>3.019229E-2</v>
      </c>
      <c r="W457">
        <v>0.13473729999999901</v>
      </c>
      <c r="X457">
        <v>0.9904212</v>
      </c>
      <c r="Y457">
        <v>0.1223558</v>
      </c>
      <c r="Z457">
        <v>-3.6880630000000001E-3</v>
      </c>
      <c r="AA457">
        <v>0.99247940000000001</v>
      </c>
      <c r="AB457">
        <v>38</v>
      </c>
      <c r="AC457">
        <v>0.53180000000003202</v>
      </c>
      <c r="AD457">
        <v>-6.3394000000000103E-2</v>
      </c>
      <c r="AE457">
        <v>-0.11650000000003</v>
      </c>
      <c r="AF457">
        <v>0.11053562641541299</v>
      </c>
      <c r="AG457">
        <v>-6.3394000000000103E-2</v>
      </c>
      <c r="AH457">
        <v>0.52563137154664497</v>
      </c>
      <c r="AI457">
        <v>96.731138978616997</v>
      </c>
      <c r="AJ457">
        <v>78.1242446526458</v>
      </c>
      <c r="AK457">
        <v>0.54085604618701899</v>
      </c>
      <c r="AL457">
        <v>82.256569984945301</v>
      </c>
      <c r="AM457">
        <v>88.253919411801704</v>
      </c>
      <c r="AN457">
        <v>0.99999993389808395</v>
      </c>
    </row>
    <row r="458" spans="1:40" x14ac:dyDescent="0.25">
      <c r="A458" t="str">
        <f>"20190312164227114"</f>
        <v>20190312164227114</v>
      </c>
      <c r="B458" t="str">
        <f>"1552380147104237"</f>
        <v>1552380147104237</v>
      </c>
      <c r="C458" t="s">
        <v>40</v>
      </c>
      <c r="D458">
        <v>4.5056649999999996</v>
      </c>
      <c r="E458">
        <v>0.53940399999999999</v>
      </c>
      <c r="F458" t="s">
        <v>41</v>
      </c>
      <c r="G458">
        <v>-353.12369999999999</v>
      </c>
      <c r="H458">
        <v>1.048975</v>
      </c>
      <c r="I458">
        <v>367.34399999999999</v>
      </c>
      <c r="J458">
        <v>-353.63499999999999</v>
      </c>
      <c r="K458">
        <v>1.110223</v>
      </c>
      <c r="L458">
        <v>367.45679999999999</v>
      </c>
      <c r="M458">
        <v>0.99985369999999996</v>
      </c>
      <c r="N458">
        <v>0</v>
      </c>
      <c r="O458">
        <v>-8.3838669999999997E-3</v>
      </c>
      <c r="P458">
        <v>0.9920177</v>
      </c>
      <c r="Q458">
        <v>0.1199428</v>
      </c>
      <c r="R458">
        <v>-3.8923609999999997E-2</v>
      </c>
      <c r="S458">
        <v>3.0341490000000002</v>
      </c>
      <c r="T458">
        <v>-0.2122068</v>
      </c>
      <c r="U458">
        <v>-0.40097050000000001</v>
      </c>
      <c r="V458">
        <v>3.0617499999999999E-2</v>
      </c>
      <c r="W458">
        <v>0.13472979999999901</v>
      </c>
      <c r="X458">
        <v>0.99040930000000005</v>
      </c>
      <c r="Y458">
        <v>0.12242260000000001</v>
      </c>
      <c r="Z458">
        <v>-3.6743219999999998E-3</v>
      </c>
      <c r="AA458">
        <v>0.99247129999999995</v>
      </c>
      <c r="AB458">
        <v>38</v>
      </c>
      <c r="AC458">
        <v>0.51130000000000497</v>
      </c>
      <c r="AD458">
        <v>-6.12479999999999E-2</v>
      </c>
      <c r="AE458">
        <v>-0.112799999999992</v>
      </c>
      <c r="AF458">
        <v>0.107044161879277</v>
      </c>
      <c r="AG458">
        <v>-6.12479999999999E-2</v>
      </c>
      <c r="AH458">
        <v>0.505313439554674</v>
      </c>
      <c r="AI458">
        <v>96.762361351916198</v>
      </c>
      <c r="AJ458">
        <v>78.039442896979693</v>
      </c>
      <c r="AK458">
        <v>0.52014559720429399</v>
      </c>
      <c r="AL458">
        <v>82.257004686123494</v>
      </c>
      <c r="AM458">
        <v>88.229322949990305</v>
      </c>
      <c r="AN458">
        <v>1.00000006592038</v>
      </c>
    </row>
    <row r="459" spans="1:40" x14ac:dyDescent="0.25">
      <c r="A459" t="str">
        <f>"20190312164227137"</f>
        <v>20190312164227137</v>
      </c>
      <c r="B459" t="str">
        <f>"1552380147134493"</f>
        <v>1552380147134493</v>
      </c>
      <c r="C459" t="s">
        <v>40</v>
      </c>
      <c r="D459">
        <v>4.303776</v>
      </c>
      <c r="E459">
        <v>0.5389967</v>
      </c>
      <c r="F459" t="s">
        <v>42</v>
      </c>
      <c r="G459">
        <v>-337.91199999999998</v>
      </c>
      <c r="H459" s="1">
        <v>-1.8285670000000001E-6</v>
      </c>
      <c r="I459">
        <v>365.3621</v>
      </c>
      <c r="J459">
        <v>-353.25830000000002</v>
      </c>
      <c r="K459">
        <v>1.110236</v>
      </c>
      <c r="L459">
        <v>367.45370000000003</v>
      </c>
      <c r="M459">
        <v>0.99985369999999996</v>
      </c>
      <c r="N459">
        <v>0</v>
      </c>
      <c r="O459">
        <v>-8.3724660000000003E-3</v>
      </c>
      <c r="P459">
        <v>0.99198419999999998</v>
      </c>
      <c r="Q459">
        <v>0.11996510000000001</v>
      </c>
      <c r="R459">
        <v>-3.969752E-2</v>
      </c>
      <c r="S459">
        <v>3.0341800000000001</v>
      </c>
      <c r="T459">
        <v>-0.2142471</v>
      </c>
      <c r="U459">
        <v>-0.40420529999999999</v>
      </c>
      <c r="V459">
        <v>3.1399969999999999E-2</v>
      </c>
      <c r="W459">
        <v>0.13474820000000001</v>
      </c>
      <c r="X459">
        <v>0.99038230000000005</v>
      </c>
      <c r="Y459">
        <v>0.12346459999999999</v>
      </c>
      <c r="Z459">
        <v>-3.7466489999999999E-3</v>
      </c>
      <c r="AA459">
        <v>0.9923419</v>
      </c>
      <c r="AB459">
        <v>38</v>
      </c>
      <c r="AC459">
        <v>15.346299999999999</v>
      </c>
      <c r="AD459">
        <v>-1.110237828567</v>
      </c>
      <c r="AE459">
        <v>-2.0916000000000201</v>
      </c>
      <c r="AF459">
        <v>1.95299067838276</v>
      </c>
      <c r="AG459">
        <v>-1.110237828567</v>
      </c>
      <c r="AH459">
        <v>15.2847360981861</v>
      </c>
      <c r="AI459">
        <v>94.121110966757996</v>
      </c>
      <c r="AJ459">
        <v>82.718548561905607</v>
      </c>
      <c r="AK459">
        <v>15.4489468319696</v>
      </c>
      <c r="AL459">
        <v>82.255940756803199</v>
      </c>
      <c r="AM459">
        <v>88.184051444440897</v>
      </c>
      <c r="AN459">
        <v>1.0000000678362599</v>
      </c>
    </row>
    <row r="460" spans="1:40" x14ac:dyDescent="0.25">
      <c r="A460" t="str">
        <f>"20190312164227160"</f>
        <v>20190312164227160</v>
      </c>
      <c r="B460" t="str">
        <f>"1552380147154014"</f>
        <v>1552380147154014</v>
      </c>
      <c r="C460" t="s">
        <v>40</v>
      </c>
      <c r="D460">
        <v>4.5121560000000001</v>
      </c>
      <c r="E460">
        <v>0.53880479999999997</v>
      </c>
      <c r="F460" t="s">
        <v>42</v>
      </c>
      <c r="G460">
        <v>-337.21690000000001</v>
      </c>
      <c r="H460" s="1">
        <v>-2.075798E-6</v>
      </c>
      <c r="I460">
        <v>365.322</v>
      </c>
      <c r="J460">
        <v>-352.86320000000001</v>
      </c>
      <c r="K460">
        <v>1.110249</v>
      </c>
      <c r="L460">
        <v>367.45030000000003</v>
      </c>
      <c r="M460">
        <v>0.99985400000000002</v>
      </c>
      <c r="N460">
        <v>0</v>
      </c>
      <c r="O460">
        <v>-8.3541129999999998E-3</v>
      </c>
      <c r="P460">
        <v>0.99195279999999997</v>
      </c>
      <c r="Q460">
        <v>0.1199871</v>
      </c>
      <c r="R460">
        <v>-4.0410479999999999E-2</v>
      </c>
      <c r="S460">
        <v>3.0335390000000002</v>
      </c>
      <c r="T460">
        <v>-0.20995259999999999</v>
      </c>
      <c r="U460">
        <v>-0.40310669999999998</v>
      </c>
      <c r="V460">
        <v>3.2127910000000003E-2</v>
      </c>
      <c r="W460">
        <v>0.1347661</v>
      </c>
      <c r="X460">
        <v>0.99035640000000003</v>
      </c>
      <c r="Y460">
        <v>0.12316879999999999</v>
      </c>
      <c r="Z460">
        <v>-3.6636659999999999E-3</v>
      </c>
      <c r="AA460">
        <v>0.99237900000000001</v>
      </c>
      <c r="AB460">
        <v>38</v>
      </c>
      <c r="AC460">
        <v>15.646299999999901</v>
      </c>
      <c r="AD460">
        <v>-1.110251075798</v>
      </c>
      <c r="AE460">
        <v>-2.1283000000000798</v>
      </c>
      <c r="AF460">
        <v>1.9876736640219801</v>
      </c>
      <c r="AG460">
        <v>-1.110251075798</v>
      </c>
      <c r="AH460">
        <v>15.5864802048985</v>
      </c>
      <c r="AI460">
        <v>94.041769684301201</v>
      </c>
      <c r="AJ460">
        <v>82.732553949118994</v>
      </c>
      <c r="AK460">
        <v>15.7518846245028</v>
      </c>
      <c r="AL460">
        <v>82.254904816233804</v>
      </c>
      <c r="AM460">
        <v>88.141933244435904</v>
      </c>
      <c r="AN460">
        <v>0.99999995166556799</v>
      </c>
    </row>
    <row r="461" spans="1:40" x14ac:dyDescent="0.25">
      <c r="A461" t="str">
        <f>"20190312164227184"</f>
        <v>20190312164227184</v>
      </c>
      <c r="B461" t="str">
        <f>"1552380147174510"</f>
        <v>1552380147174510</v>
      </c>
      <c r="C461" t="s">
        <v>40</v>
      </c>
      <c r="D461">
        <v>4.2231519999999998</v>
      </c>
      <c r="E461">
        <v>0.5389448</v>
      </c>
      <c r="F461" t="s">
        <v>42</v>
      </c>
      <c r="G461">
        <v>-336.72230000000002</v>
      </c>
      <c r="H461" s="1">
        <v>-2.250007E-6</v>
      </c>
      <c r="I461">
        <v>365.29989999999998</v>
      </c>
      <c r="J461">
        <v>-352.47269999999997</v>
      </c>
      <c r="K461">
        <v>1.110263</v>
      </c>
      <c r="L461">
        <v>367.44709999999998</v>
      </c>
      <c r="M461">
        <v>0.99985429999999997</v>
      </c>
      <c r="N461">
        <v>0</v>
      </c>
      <c r="O461">
        <v>-8.3291990000000007E-3</v>
      </c>
      <c r="P461">
        <v>0.9919481</v>
      </c>
      <c r="Q461">
        <v>0.11978469999999999</v>
      </c>
      <c r="R461">
        <v>-4.1119000000000003E-2</v>
      </c>
      <c r="S461">
        <v>3.033112</v>
      </c>
      <c r="T461">
        <v>-0.2086306</v>
      </c>
      <c r="U461">
        <v>-0.40408329999999998</v>
      </c>
      <c r="V461">
        <v>3.2857499999999998E-2</v>
      </c>
      <c r="W461">
        <v>0.13456009999999999</v>
      </c>
      <c r="X461">
        <v>0.99036049999999998</v>
      </c>
      <c r="Y461">
        <v>0.1235281</v>
      </c>
      <c r="Z461">
        <v>-3.6550739999999999E-3</v>
      </c>
      <c r="AA461">
        <v>0.99233439999999995</v>
      </c>
      <c r="AB461">
        <v>38</v>
      </c>
      <c r="AC461">
        <v>15.7503999999999</v>
      </c>
      <c r="AD461">
        <v>-1.110265250007</v>
      </c>
      <c r="AE461">
        <v>-2.14719999999999</v>
      </c>
      <c r="AF461">
        <v>2.0061360838889799</v>
      </c>
      <c r="AG461">
        <v>-1.110265250007</v>
      </c>
      <c r="AH461">
        <v>15.6911928162945</v>
      </c>
      <c r="AI461">
        <v>94.014773485764906</v>
      </c>
      <c r="AJ461">
        <v>82.714198305527802</v>
      </c>
      <c r="AK461">
        <v>15.8578309648762</v>
      </c>
      <c r="AL461">
        <v>82.266816447376598</v>
      </c>
      <c r="AM461">
        <v>88.099777015234395</v>
      </c>
      <c r="AN461">
        <v>0.99999997788925399</v>
      </c>
    </row>
    <row r="462" spans="1:40" x14ac:dyDescent="0.25">
      <c r="A462" t="str">
        <f>"20190312164227205"</f>
        <v>20190312164227205</v>
      </c>
      <c r="B462" t="str">
        <f>"1552380147194030"</f>
        <v>1552380147194030</v>
      </c>
      <c r="C462" t="s">
        <v>40</v>
      </c>
      <c r="D462">
        <v>4.4515219999999998</v>
      </c>
      <c r="E462">
        <v>0.55605609999999905</v>
      </c>
      <c r="F462" t="s">
        <v>41</v>
      </c>
      <c r="G462">
        <v>-351.45100000000002</v>
      </c>
      <c r="H462">
        <v>1.0396399999999999</v>
      </c>
      <c r="I462">
        <v>367.30990000000003</v>
      </c>
      <c r="J462">
        <v>-352.11419999999998</v>
      </c>
      <c r="K462">
        <v>1.110268</v>
      </c>
      <c r="L462">
        <v>367.44409999999999</v>
      </c>
      <c r="M462">
        <v>0.99985449999999998</v>
      </c>
      <c r="N462">
        <v>0</v>
      </c>
      <c r="O462">
        <v>-8.3009929999999996E-3</v>
      </c>
      <c r="P462">
        <v>0.99196150000000005</v>
      </c>
      <c r="Q462">
        <v>0.11941450000000001</v>
      </c>
      <c r="R462">
        <v>-4.1861629999999997E-2</v>
      </c>
      <c r="S462">
        <v>3.0328369999999998</v>
      </c>
      <c r="T462">
        <v>-0.20975579999999999</v>
      </c>
      <c r="U462">
        <v>-0.40686040000000001</v>
      </c>
      <c r="V462">
        <v>3.362499E-2</v>
      </c>
      <c r="W462">
        <v>0.13418679999999999</v>
      </c>
      <c r="X462">
        <v>0.99038539999999997</v>
      </c>
      <c r="Y462">
        <v>0.12445539999999899</v>
      </c>
      <c r="Z462">
        <v>-3.7086739999999999E-3</v>
      </c>
      <c r="AA462">
        <v>0.9922183</v>
      </c>
      <c r="AB462">
        <v>38</v>
      </c>
      <c r="AC462">
        <v>0.663200000000017</v>
      </c>
      <c r="AD462">
        <v>-7.0628000000000093E-2</v>
      </c>
      <c r="AE462">
        <v>-0.13419999999996399</v>
      </c>
      <c r="AF462">
        <v>0.12730255471507201</v>
      </c>
      <c r="AG462">
        <v>-7.0628000000000093E-2</v>
      </c>
      <c r="AH462">
        <v>0.65713166151231694</v>
      </c>
      <c r="AI462">
        <v>96.023416620246493</v>
      </c>
      <c r="AJ462">
        <v>79.036207119270003</v>
      </c>
      <c r="AK462">
        <v>0.67306483742870005</v>
      </c>
      <c r="AL462">
        <v>82.288400800686702</v>
      </c>
      <c r="AM462">
        <v>88.055473886200105</v>
      </c>
      <c r="AN462">
        <v>0.99999998888994901</v>
      </c>
    </row>
    <row r="463" spans="1:40" x14ac:dyDescent="0.25">
      <c r="A463" t="str">
        <f>"20190312164227227"</f>
        <v>20190312164227227</v>
      </c>
      <c r="B463" t="str">
        <f>"1552380147224285"</f>
        <v>1552380147224285</v>
      </c>
      <c r="C463" t="s">
        <v>40</v>
      </c>
      <c r="D463">
        <v>4.1945389999999998</v>
      </c>
      <c r="E463">
        <v>0.55577639999999995</v>
      </c>
      <c r="F463" t="s">
        <v>42</v>
      </c>
      <c r="G463">
        <v>-336.60199999999998</v>
      </c>
      <c r="H463" s="1">
        <v>-2.4639470000000001E-6</v>
      </c>
      <c r="I463">
        <v>364.6497</v>
      </c>
      <c r="J463">
        <v>-351.75310000000002</v>
      </c>
      <c r="K463">
        <v>1.1102780000000001</v>
      </c>
      <c r="L463">
        <v>367.44110000000001</v>
      </c>
      <c r="M463">
        <v>0.99985500000000005</v>
      </c>
      <c r="N463">
        <v>0</v>
      </c>
      <c r="O463">
        <v>-8.2688889999999998E-3</v>
      </c>
      <c r="P463">
        <v>0.99189749999999999</v>
      </c>
      <c r="Q463">
        <v>0.1197411</v>
      </c>
      <c r="R463">
        <v>-4.2448850000000003E-2</v>
      </c>
      <c r="S463">
        <v>3.027374</v>
      </c>
      <c r="T463">
        <v>-0.21667990000000001</v>
      </c>
      <c r="U463">
        <v>-0.54534910000000003</v>
      </c>
      <c r="V463">
        <v>3.4242139999999997E-2</v>
      </c>
      <c r="W463">
        <v>0.13450909999999999</v>
      </c>
      <c r="X463">
        <v>0.9903206</v>
      </c>
      <c r="Y463">
        <v>0.16874349999999999</v>
      </c>
      <c r="Z463">
        <v>-5.3967750000000004E-3</v>
      </c>
      <c r="AA463">
        <v>0.9856452</v>
      </c>
      <c r="AB463">
        <v>38</v>
      </c>
      <c r="AC463">
        <v>15.1511</v>
      </c>
      <c r="AD463">
        <v>-1.1102804639470001</v>
      </c>
      <c r="AE463">
        <v>-2.7913999999999999</v>
      </c>
      <c r="AF463">
        <v>2.6522328882280601</v>
      </c>
      <c r="AG463">
        <v>-1.1102804639470001</v>
      </c>
      <c r="AH463">
        <v>15.0952653383218</v>
      </c>
      <c r="AI463">
        <v>94.143378154477304</v>
      </c>
      <c r="AJ463">
        <v>80.034863121506405</v>
      </c>
      <c r="AK463">
        <v>15.366655382234599</v>
      </c>
      <c r="AL463">
        <v>82.269765951972303</v>
      </c>
      <c r="AM463">
        <v>88.019682921205501</v>
      </c>
      <c r="AN463">
        <v>1.00000005645947</v>
      </c>
    </row>
    <row r="464" spans="1:40" x14ac:dyDescent="0.25">
      <c r="A464" t="str">
        <f>"20190312164227249"</f>
        <v>20190312164227249</v>
      </c>
      <c r="B464" t="str">
        <f>"1552380147244781"</f>
        <v>1552380147244781</v>
      </c>
      <c r="C464" t="s">
        <v>40</v>
      </c>
      <c r="D464">
        <v>4.0366299999999997</v>
      </c>
      <c r="E464">
        <v>0.55676780000000003</v>
      </c>
      <c r="F464" t="s">
        <v>42</v>
      </c>
      <c r="G464">
        <v>-336.83350000000002</v>
      </c>
      <c r="H464" s="1">
        <v>-2.3562410000000001E-6</v>
      </c>
      <c r="I464">
        <v>364.75830000000002</v>
      </c>
      <c r="J464">
        <v>-351.37540000000001</v>
      </c>
      <c r="K464">
        <v>1.110284</v>
      </c>
      <c r="L464">
        <v>367.43799999999999</v>
      </c>
      <c r="M464">
        <v>0.9998553</v>
      </c>
      <c r="N464">
        <v>0</v>
      </c>
      <c r="O464">
        <v>-8.2308569999999994E-3</v>
      </c>
      <c r="P464">
        <v>0.99183540000000003</v>
      </c>
      <c r="Q464">
        <v>0.1200647</v>
      </c>
      <c r="R464">
        <v>-4.2982109999999997E-2</v>
      </c>
      <c r="S464">
        <v>3.028473</v>
      </c>
      <c r="T464">
        <v>-0.22537119999999999</v>
      </c>
      <c r="U464">
        <v>-0.54455569999999998</v>
      </c>
      <c r="V464">
        <v>3.4812009999999997E-2</v>
      </c>
      <c r="W464">
        <v>0.13482849999999999</v>
      </c>
      <c r="X464">
        <v>0.99025730000000001</v>
      </c>
      <c r="Y464">
        <v>0.168436999999999</v>
      </c>
      <c r="Z464">
        <v>-5.6023080000000003E-3</v>
      </c>
      <c r="AA464">
        <v>0.98569649999999998</v>
      </c>
      <c r="AB464">
        <v>38</v>
      </c>
      <c r="AC464">
        <v>14.541899999999901</v>
      </c>
      <c r="AD464">
        <v>-1.1102863562409999</v>
      </c>
      <c r="AE464">
        <v>-2.67970000000002</v>
      </c>
      <c r="AF464">
        <v>2.5455518167963298</v>
      </c>
      <c r="AG464">
        <v>-1.1102863562409999</v>
      </c>
      <c r="AH464">
        <v>14.4818174590935</v>
      </c>
      <c r="AI464">
        <v>94.318207683427701</v>
      </c>
      <c r="AJ464">
        <v>80.030635679426297</v>
      </c>
      <c r="AK464">
        <v>14.745697906961</v>
      </c>
      <c r="AL464">
        <v>82.251297475348807</v>
      </c>
      <c r="AM464">
        <v>87.986624085186307</v>
      </c>
      <c r="AN464">
        <v>1.00000006032788</v>
      </c>
    </row>
    <row r="465" spans="1:40" x14ac:dyDescent="0.25">
      <c r="A465" t="str">
        <f>"20190312164227273"</f>
        <v>20190312164227273</v>
      </c>
      <c r="B465" t="str">
        <f>"1552380147264302"</f>
        <v>1552380147264302</v>
      </c>
      <c r="C465" t="s">
        <v>40</v>
      </c>
      <c r="D465">
        <v>4.0504819999999997</v>
      </c>
      <c r="E465">
        <v>0.55678700000000003</v>
      </c>
      <c r="F465" t="s">
        <v>42</v>
      </c>
      <c r="G465">
        <v>-335.20870000000002</v>
      </c>
      <c r="H465" s="1">
        <v>-2.9852299999999998E-6</v>
      </c>
      <c r="I465">
        <v>364.47250000000003</v>
      </c>
      <c r="J465">
        <v>-350.98239999999998</v>
      </c>
      <c r="K465">
        <v>1.1102939999999999</v>
      </c>
      <c r="L465">
        <v>367.4348</v>
      </c>
      <c r="M465">
        <v>0.99985579999999996</v>
      </c>
      <c r="N465">
        <v>0</v>
      </c>
      <c r="O465">
        <v>-8.1876109999999992E-3</v>
      </c>
      <c r="P465">
        <v>0.9918169</v>
      </c>
      <c r="Q465">
        <v>0.12002259999999999</v>
      </c>
      <c r="R465">
        <v>-4.3519500000000003E-2</v>
      </c>
      <c r="S465">
        <v>3.0258180000000001</v>
      </c>
      <c r="T465">
        <v>-0.2078044</v>
      </c>
      <c r="U465">
        <v>-0.55502320000000005</v>
      </c>
      <c r="V465">
        <v>3.5391359999999997E-2</v>
      </c>
      <c r="W465">
        <v>0.1347817</v>
      </c>
      <c r="X465">
        <v>0.99024310000000004</v>
      </c>
      <c r="Y465">
        <v>0.17198569999999999</v>
      </c>
      <c r="Z465">
        <v>-5.2931999999999996E-3</v>
      </c>
      <c r="AA465">
        <v>0.98508519999999999</v>
      </c>
      <c r="AB465">
        <v>37</v>
      </c>
      <c r="AC465">
        <v>15.7736999999999</v>
      </c>
      <c r="AD465">
        <v>-1.11029698523</v>
      </c>
      <c r="AE465">
        <v>-2.9622999999999702</v>
      </c>
      <c r="AF465">
        <v>2.8195435893846899</v>
      </c>
      <c r="AG465">
        <v>-1.11029698523</v>
      </c>
      <c r="AH465">
        <v>15.722184174876</v>
      </c>
      <c r="AI465">
        <v>93.976281718814903</v>
      </c>
      <c r="AJ465">
        <v>79.832916402448106</v>
      </c>
      <c r="AK465">
        <v>16.011547728954</v>
      </c>
      <c r="AL465">
        <v>82.254003351896401</v>
      </c>
      <c r="AM465">
        <v>87.9531159313985</v>
      </c>
      <c r="AN465">
        <v>1.0000000260575701</v>
      </c>
    </row>
    <row r="466" spans="1:40" x14ac:dyDescent="0.25">
      <c r="A466" t="str">
        <f>"20190312164227294"</f>
        <v>20190312164227294</v>
      </c>
      <c r="B466" t="str">
        <f>"1552380147284797"</f>
        <v>1552380147284797</v>
      </c>
      <c r="C466" t="s">
        <v>40</v>
      </c>
      <c r="D466">
        <v>4.1120010000000002</v>
      </c>
      <c r="E466">
        <v>0.55652840000000003</v>
      </c>
      <c r="F466" t="s">
        <v>42</v>
      </c>
      <c r="G466">
        <v>-334.5421</v>
      </c>
      <c r="H466" s="1">
        <v>-3.2475210000000002E-6</v>
      </c>
      <c r="I466">
        <v>364.4085</v>
      </c>
      <c r="J466">
        <v>-350.62439999999998</v>
      </c>
      <c r="K466">
        <v>1.110295</v>
      </c>
      <c r="L466">
        <v>367.43189999999998</v>
      </c>
      <c r="M466">
        <v>0.99985610000000003</v>
      </c>
      <c r="N466">
        <v>0</v>
      </c>
      <c r="O466">
        <v>-8.1460539999999998E-3</v>
      </c>
      <c r="P466">
        <v>0.99177210000000005</v>
      </c>
      <c r="Q466">
        <v>0.12028610000000001</v>
      </c>
      <c r="R466">
        <v>-4.3811959999999997E-2</v>
      </c>
      <c r="S466">
        <v>3.024994</v>
      </c>
      <c r="T466">
        <v>-0.2042929</v>
      </c>
      <c r="U466">
        <v>-0.55682369999999903</v>
      </c>
      <c r="V466">
        <v>3.5724470000000001E-2</v>
      </c>
      <c r="W466">
        <v>0.1350411</v>
      </c>
      <c r="X466">
        <v>0.99019579999999996</v>
      </c>
      <c r="Y466">
        <v>0.17265220000000001</v>
      </c>
      <c r="Z466">
        <v>-5.2301409999999998E-3</v>
      </c>
      <c r="AA466">
        <v>0.98496899999999998</v>
      </c>
      <c r="AB466">
        <v>37</v>
      </c>
      <c r="AC466">
        <v>16.082299999999901</v>
      </c>
      <c r="AD466">
        <v>-1.1102982475209999</v>
      </c>
      <c r="AE466">
        <v>-3.0233999999999801</v>
      </c>
      <c r="AF466">
        <v>2.87902395303633</v>
      </c>
      <c r="AG466">
        <v>-1.1102982475209999</v>
      </c>
      <c r="AH466">
        <v>16.0325899065895</v>
      </c>
      <c r="AI466">
        <v>93.899380740226803</v>
      </c>
      <c r="AJ466">
        <v>79.819712779883204</v>
      </c>
      <c r="AK466">
        <v>16.32683313547</v>
      </c>
      <c r="AL466">
        <v>82.239003721204199</v>
      </c>
      <c r="AM466">
        <v>87.9337682910257</v>
      </c>
      <c r="AN466">
        <v>1.0000000293918101</v>
      </c>
    </row>
    <row r="467" spans="1:40" x14ac:dyDescent="0.25">
      <c r="A467" t="str">
        <f>"20190312164227317"</f>
        <v>20190312164227317</v>
      </c>
      <c r="B467" t="str">
        <f>"1552380147304317"</f>
        <v>1552380147304317</v>
      </c>
      <c r="C467" t="s">
        <v>40</v>
      </c>
      <c r="D467">
        <v>4.0970769999999996</v>
      </c>
      <c r="E467">
        <v>0.55631580000000003</v>
      </c>
      <c r="F467" t="s">
        <v>42</v>
      </c>
      <c r="G467">
        <v>-334.49180000000001</v>
      </c>
      <c r="H467" s="1">
        <v>-3.2578969999999999E-6</v>
      </c>
      <c r="I467">
        <v>364.47160000000002</v>
      </c>
      <c r="J467">
        <v>-350.25490000000002</v>
      </c>
      <c r="K467">
        <v>1.110301</v>
      </c>
      <c r="L467">
        <v>367.4289</v>
      </c>
      <c r="M467">
        <v>0.99985650000000004</v>
      </c>
      <c r="N467">
        <v>0</v>
      </c>
      <c r="O467">
        <v>-8.1009099999999994E-3</v>
      </c>
      <c r="P467">
        <v>0.99173279999999997</v>
      </c>
      <c r="Q467">
        <v>0.12036810000000001</v>
      </c>
      <c r="R467">
        <v>-4.4470990000000002E-2</v>
      </c>
      <c r="S467">
        <v>3.025604</v>
      </c>
      <c r="T467">
        <v>-0.20823159999999999</v>
      </c>
      <c r="U467">
        <v>-0.5551758</v>
      </c>
      <c r="V467">
        <v>3.6427590000000003E-2</v>
      </c>
      <c r="W467">
        <v>0.13511860000000001</v>
      </c>
      <c r="X467">
        <v>0.99015960000000003</v>
      </c>
      <c r="Y467">
        <v>0.17212939999999999</v>
      </c>
      <c r="Z467">
        <v>-5.3152049999999999E-3</v>
      </c>
      <c r="AA467">
        <v>0.98506000000000005</v>
      </c>
      <c r="AB467">
        <v>37</v>
      </c>
      <c r="AC467">
        <v>15.7631</v>
      </c>
      <c r="AD467">
        <v>-1.1103042578969999</v>
      </c>
      <c r="AE467">
        <v>-2.9572999999999698</v>
      </c>
      <c r="AF467">
        <v>2.8159972010243899</v>
      </c>
      <c r="AG467">
        <v>-1.1103042578969999</v>
      </c>
      <c r="AH467">
        <v>15.7112432941436</v>
      </c>
      <c r="AI467">
        <v>93.979137254675805</v>
      </c>
      <c r="AJ467">
        <v>79.838514107570504</v>
      </c>
      <c r="AK467">
        <v>16.000180674887801</v>
      </c>
      <c r="AL467">
        <v>82.234522146361101</v>
      </c>
      <c r="AM467">
        <v>87.893060578887301</v>
      </c>
      <c r="AN467">
        <v>1.00000001942566</v>
      </c>
    </row>
    <row r="468" spans="1:40" x14ac:dyDescent="0.25">
      <c r="A468" t="str">
        <f>"20190312164227339"</f>
        <v>20190312164227339</v>
      </c>
      <c r="B468" t="str">
        <f>"1552380147334573"</f>
        <v>1552380147334573</v>
      </c>
      <c r="C468" t="s">
        <v>40</v>
      </c>
      <c r="D468">
        <v>4.0496790000000003</v>
      </c>
      <c r="E468">
        <v>0.55623639999999996</v>
      </c>
      <c r="F468" t="s">
        <v>42</v>
      </c>
      <c r="G468">
        <v>-334.37720000000002</v>
      </c>
      <c r="H468" s="1">
        <v>-3.2991849999999999E-6</v>
      </c>
      <c r="I468">
        <v>364.51620000000003</v>
      </c>
      <c r="J468">
        <v>-349.88679999999999</v>
      </c>
      <c r="K468">
        <v>1.110298</v>
      </c>
      <c r="L468">
        <v>367.42599999999999</v>
      </c>
      <c r="M468">
        <v>0.99985690000000005</v>
      </c>
      <c r="N468">
        <v>0</v>
      </c>
      <c r="O468">
        <v>-8.0540809999999994E-3</v>
      </c>
      <c r="P468">
        <v>0.99169739999999995</v>
      </c>
      <c r="Q468">
        <v>0.1204524</v>
      </c>
      <c r="R468">
        <v>-4.5028890000000002E-2</v>
      </c>
      <c r="S468">
        <v>3.0258180000000001</v>
      </c>
      <c r="T468">
        <v>-0.21158869999999999</v>
      </c>
      <c r="U468">
        <v>-0.55505369999999998</v>
      </c>
      <c r="V468">
        <v>3.7031040000000001E-2</v>
      </c>
      <c r="W468">
        <v>0.1351984</v>
      </c>
      <c r="X468">
        <v>0.99012630000000001</v>
      </c>
      <c r="Y468">
        <v>0.1721126</v>
      </c>
      <c r="Z468">
        <v>-5.4029999999999998E-3</v>
      </c>
      <c r="AA468">
        <v>0.98506249999999995</v>
      </c>
      <c r="AB468">
        <v>37</v>
      </c>
      <c r="AC468">
        <v>15.509599999999899</v>
      </c>
      <c r="AD468">
        <v>-1.1103012991850001</v>
      </c>
      <c r="AE468">
        <v>-2.9097999999999602</v>
      </c>
      <c r="AF468">
        <v>2.7710578339453402</v>
      </c>
      <c r="AG468">
        <v>-1.1103012991850001</v>
      </c>
      <c r="AH468">
        <v>15.456018808802</v>
      </c>
      <c r="AI468">
        <v>94.044581005583296</v>
      </c>
      <c r="AJ468">
        <v>79.835620451190906</v>
      </c>
      <c r="AK468">
        <v>15.7416659827377</v>
      </c>
      <c r="AL468">
        <v>82.229907429637194</v>
      </c>
      <c r="AM468">
        <v>87.858117842721498</v>
      </c>
      <c r="AN468">
        <v>0.99999999761886504</v>
      </c>
    </row>
    <row r="469" spans="1:40" x14ac:dyDescent="0.25">
      <c r="A469" t="str">
        <f>"20190312164227362"</f>
        <v>20190312164227362</v>
      </c>
      <c r="B469" t="str">
        <f>"1552380147354093"</f>
        <v>1552380147354093</v>
      </c>
      <c r="C469" t="s">
        <v>40</v>
      </c>
      <c r="D469">
        <v>4.056546</v>
      </c>
      <c r="E469">
        <v>0.55636009999999902</v>
      </c>
      <c r="F469" t="s">
        <v>42</v>
      </c>
      <c r="G469">
        <v>-334.35219999999998</v>
      </c>
      <c r="H469" s="1">
        <v>-3.2999890000000001E-6</v>
      </c>
      <c r="I469">
        <v>364.57209999999998</v>
      </c>
      <c r="J469">
        <v>-349.49149999999997</v>
      </c>
      <c r="K469">
        <v>1.1103050000000001</v>
      </c>
      <c r="L469">
        <v>367.42290000000003</v>
      </c>
      <c r="M469">
        <v>0.99985749999999995</v>
      </c>
      <c r="N469">
        <v>0</v>
      </c>
      <c r="O469">
        <v>-7.9993579999999998E-3</v>
      </c>
      <c r="P469">
        <v>0.99167899999999998</v>
      </c>
      <c r="Q469">
        <v>0.1204486</v>
      </c>
      <c r="R469">
        <v>-4.5445960000000001E-2</v>
      </c>
      <c r="S469">
        <v>3.0261230000000001</v>
      </c>
      <c r="T469">
        <v>-0.21628330000000001</v>
      </c>
      <c r="U469">
        <v>-0.55590819999999996</v>
      </c>
      <c r="V469">
        <v>3.750071E-2</v>
      </c>
      <c r="W469">
        <v>0.13519039999999999</v>
      </c>
      <c r="X469">
        <v>0.99010969999999998</v>
      </c>
      <c r="Y469">
        <v>0.17239979999999999</v>
      </c>
      <c r="Z469">
        <v>-5.5359399999999996E-3</v>
      </c>
      <c r="AA469">
        <v>0.98501150000000004</v>
      </c>
      <c r="AB469">
        <v>37</v>
      </c>
      <c r="AC469">
        <v>15.139299999999899</v>
      </c>
      <c r="AD469">
        <v>-1.1103082999889999</v>
      </c>
      <c r="AE469">
        <v>-2.85080000000004</v>
      </c>
      <c r="AF469">
        <v>2.7154851454211801</v>
      </c>
      <c r="AG469">
        <v>-1.1103082999889999</v>
      </c>
      <c r="AH469">
        <v>15.0832727010085</v>
      </c>
      <c r="AI469">
        <v>94.143678557324094</v>
      </c>
      <c r="AJ469">
        <v>79.794201079754998</v>
      </c>
      <c r="AK469">
        <v>15.3659285260935</v>
      </c>
      <c r="AL469">
        <v>82.230369926990306</v>
      </c>
      <c r="AM469">
        <v>87.830941497829699</v>
      </c>
      <c r="AN469">
        <v>0.99999998276837598</v>
      </c>
    </row>
    <row r="470" spans="1:40" x14ac:dyDescent="0.25">
      <c r="A470" t="str">
        <f>"20190312164227385"</f>
        <v>20190312164227385</v>
      </c>
      <c r="B470" t="str">
        <f>"1552380147374590"</f>
        <v>1552380147374590</v>
      </c>
      <c r="C470" t="s">
        <v>40</v>
      </c>
      <c r="D470">
        <v>4.3154459999999997</v>
      </c>
      <c r="E470">
        <v>0.5562182</v>
      </c>
      <c r="F470" t="s">
        <v>42</v>
      </c>
      <c r="G470">
        <v>-334.08789999999999</v>
      </c>
      <c r="H470" s="1">
        <v>-3.411419E-6</v>
      </c>
      <c r="I470">
        <v>364.5831</v>
      </c>
      <c r="J470">
        <v>-349.11860000000001</v>
      </c>
      <c r="K470">
        <v>1.1103149999999999</v>
      </c>
      <c r="L470">
        <v>367.41989999999998</v>
      </c>
      <c r="M470">
        <v>0.99985809999999997</v>
      </c>
      <c r="N470">
        <v>0</v>
      </c>
      <c r="O470">
        <v>-7.9403330000000008E-3</v>
      </c>
      <c r="P470">
        <v>0.99164030000000003</v>
      </c>
      <c r="Q470">
        <v>0.12084309999999999</v>
      </c>
      <c r="R470">
        <v>-4.5244590000000001E-2</v>
      </c>
      <c r="S470">
        <v>3.0260929999999999</v>
      </c>
      <c r="T470">
        <v>-0.21812239999999999</v>
      </c>
      <c r="U470">
        <v>-0.5578613</v>
      </c>
      <c r="V470">
        <v>3.7356239999999999E-2</v>
      </c>
      <c r="W470">
        <v>0.13558020000000001</v>
      </c>
      <c r="X470">
        <v>0.99006190000000005</v>
      </c>
      <c r="Y470">
        <v>0.17306589999999999</v>
      </c>
      <c r="Z470">
        <v>-5.6106150000000002E-3</v>
      </c>
      <c r="AA470">
        <v>0.9848943</v>
      </c>
      <c r="AB470">
        <v>37</v>
      </c>
      <c r="AC470">
        <v>15.0307</v>
      </c>
      <c r="AD470">
        <v>-1.1103184114189999</v>
      </c>
      <c r="AE470">
        <v>-2.8367999999999798</v>
      </c>
      <c r="AF470">
        <v>2.7031056910584801</v>
      </c>
      <c r="AG470">
        <v>-1.1103184114189999</v>
      </c>
      <c r="AH470">
        <v>14.973855005471</v>
      </c>
      <c r="AI470">
        <v>94.173533749723703</v>
      </c>
      <c r="AJ470">
        <v>79.767076046876696</v>
      </c>
      <c r="AK470">
        <v>15.256340356607099</v>
      </c>
      <c r="AL470">
        <v>82.207828805229596</v>
      </c>
      <c r="AM470">
        <v>87.839185554399194</v>
      </c>
      <c r="AN470">
        <v>1.0000000225652901</v>
      </c>
    </row>
    <row r="471" spans="1:40" x14ac:dyDescent="0.25">
      <c r="A471" t="str">
        <f>"20190312164227404"</f>
        <v>20190312164227404</v>
      </c>
      <c r="B471" t="str">
        <f>"1552380147394109"</f>
        <v>1552380147394109</v>
      </c>
      <c r="C471" t="s">
        <v>40</v>
      </c>
      <c r="D471">
        <v>4.1138050000000002</v>
      </c>
      <c r="E471">
        <v>0.55089860000000002</v>
      </c>
      <c r="F471" t="s">
        <v>42</v>
      </c>
      <c r="G471">
        <v>-333.4744</v>
      </c>
      <c r="H471" s="1">
        <v>-3.6816710000000001E-6</v>
      </c>
      <c r="I471">
        <v>364.54320000000001</v>
      </c>
      <c r="J471">
        <v>-348.78359999999998</v>
      </c>
      <c r="K471">
        <v>1.1103229999999999</v>
      </c>
      <c r="L471">
        <v>367.41730000000001</v>
      </c>
      <c r="M471">
        <v>0.99985860000000004</v>
      </c>
      <c r="N471">
        <v>0</v>
      </c>
      <c r="O471">
        <v>-7.8821550000000001E-3</v>
      </c>
      <c r="P471">
        <v>0.99158930000000001</v>
      </c>
      <c r="Q471">
        <v>0.12134789999999999</v>
      </c>
      <c r="R471">
        <v>-4.5007779999999997E-2</v>
      </c>
      <c r="S471">
        <v>3.026062</v>
      </c>
      <c r="T471">
        <v>-0.2147684</v>
      </c>
      <c r="U471">
        <v>-0.556427</v>
      </c>
      <c r="V471">
        <v>3.7175710000000001E-2</v>
      </c>
      <c r="W471">
        <v>0.13608100000000001</v>
      </c>
      <c r="X471">
        <v>0.98999990000000004</v>
      </c>
      <c r="Y471">
        <v>0.1726868</v>
      </c>
      <c r="Z471">
        <v>-5.515608E-3</v>
      </c>
      <c r="AA471">
        <v>0.98496130000000004</v>
      </c>
      <c r="AB471">
        <v>37</v>
      </c>
      <c r="AC471">
        <v>15.309199999999899</v>
      </c>
      <c r="AD471">
        <v>-1.110326681671</v>
      </c>
      <c r="AE471">
        <v>-2.8740999999999901</v>
      </c>
      <c r="AF471">
        <v>2.7394088246351802</v>
      </c>
      <c r="AG471">
        <v>-1.110326681671</v>
      </c>
      <c r="AH471">
        <v>15.253875235198</v>
      </c>
      <c r="AI471">
        <v>94.097877775469897</v>
      </c>
      <c r="AJ471">
        <v>79.818907949507107</v>
      </c>
      <c r="AK471">
        <v>15.537628382076401</v>
      </c>
      <c r="AL471">
        <v>82.178865986748804</v>
      </c>
      <c r="AM471">
        <v>87.849483664445998</v>
      </c>
      <c r="AN471">
        <v>0.999999936987505</v>
      </c>
    </row>
    <row r="472" spans="1:40" x14ac:dyDescent="0.25">
      <c r="A472" t="str">
        <f>"20190312164227428"</f>
        <v>20190312164227428</v>
      </c>
      <c r="B472" t="str">
        <f>"1552380147424365"</f>
        <v>1552380147424365</v>
      </c>
      <c r="C472" t="s">
        <v>40</v>
      </c>
      <c r="D472">
        <v>4.1606019999999999</v>
      </c>
      <c r="E472">
        <v>0.54579250000000001</v>
      </c>
      <c r="F472" t="s">
        <v>42</v>
      </c>
      <c r="G472">
        <v>-332.8193</v>
      </c>
      <c r="H472" s="1">
        <v>-3.9326599999999901E-6</v>
      </c>
      <c r="I472">
        <v>364.71260000000001</v>
      </c>
      <c r="J472">
        <v>-348.40719999999999</v>
      </c>
      <c r="K472">
        <v>1.11032999999999</v>
      </c>
      <c r="L472">
        <v>367.41449999999998</v>
      </c>
      <c r="M472">
        <v>0.99985900000000005</v>
      </c>
      <c r="N472">
        <v>0</v>
      </c>
      <c r="O472">
        <v>-7.8099010000000002E-3</v>
      </c>
      <c r="P472">
        <v>0.99155230000000005</v>
      </c>
      <c r="Q472">
        <v>0.1216535</v>
      </c>
      <c r="R472">
        <v>-4.49945E-2</v>
      </c>
      <c r="S472">
        <v>3.0279240000000001</v>
      </c>
      <c r="T472">
        <v>-0.210593</v>
      </c>
      <c r="U472">
        <v>-0.51297000000000004</v>
      </c>
      <c r="V472">
        <v>3.7232399999999999E-2</v>
      </c>
      <c r="W472">
        <v>0.13638229999999901</v>
      </c>
      <c r="X472">
        <v>0.98995639999999996</v>
      </c>
      <c r="Y472">
        <v>0.15897210000000001</v>
      </c>
      <c r="Z472">
        <v>-4.944019E-3</v>
      </c>
      <c r="AA472">
        <v>0.98727069999999995</v>
      </c>
      <c r="AB472">
        <v>37</v>
      </c>
      <c r="AC472">
        <v>15.5878999999999</v>
      </c>
      <c r="AD472">
        <v>-1.1103339326599999</v>
      </c>
      <c r="AE472">
        <v>-2.7018999999999598</v>
      </c>
      <c r="AF472">
        <v>2.5674176055786302</v>
      </c>
      <c r="AG472">
        <v>-1.1103339326599999</v>
      </c>
      <c r="AH472">
        <v>15.532020899303699</v>
      </c>
      <c r="AI472">
        <v>94.034373299253005</v>
      </c>
      <c r="AJ472">
        <v>80.613973918796304</v>
      </c>
      <c r="AK472">
        <v>15.7818930366372</v>
      </c>
      <c r="AL472">
        <v>82.161441030643005</v>
      </c>
      <c r="AM472">
        <v>87.846112832845407</v>
      </c>
      <c r="AN472">
        <v>1.0000000286320001</v>
      </c>
    </row>
    <row r="473" spans="1:40" x14ac:dyDescent="0.25">
      <c r="A473" t="str">
        <f>"20190312164227450"</f>
        <v>20190312164227450</v>
      </c>
      <c r="B473" t="str">
        <f>"1552380147443886"</f>
        <v>1552380147443886</v>
      </c>
      <c r="C473" t="s">
        <v>40</v>
      </c>
      <c r="D473">
        <v>4.1499459999999999</v>
      </c>
      <c r="E473">
        <v>0.54315019999999903</v>
      </c>
      <c r="F473" t="s">
        <v>42</v>
      </c>
      <c r="G473">
        <v>-331.79079999999999</v>
      </c>
      <c r="H473" s="1">
        <v>-4.3545399999999998E-6</v>
      </c>
      <c r="I473">
        <v>364.82159999999999</v>
      </c>
      <c r="J473">
        <v>-348.01729999999998</v>
      </c>
      <c r="K473">
        <v>1.1103350000000001</v>
      </c>
      <c r="L473">
        <v>367.41149999999999</v>
      </c>
      <c r="M473">
        <v>0.99985990000000002</v>
      </c>
      <c r="N473">
        <v>0</v>
      </c>
      <c r="O473">
        <v>-7.727991E-3</v>
      </c>
      <c r="P473">
        <v>0.99157459999999997</v>
      </c>
      <c r="Q473">
        <v>0.12154429999999999</v>
      </c>
      <c r="R473">
        <v>-4.4801250000000001E-2</v>
      </c>
      <c r="S473">
        <v>3.028931</v>
      </c>
      <c r="T473">
        <v>-0.2023972</v>
      </c>
      <c r="U473">
        <v>-0.47262569999999998</v>
      </c>
      <c r="V473">
        <v>3.7118350000000001E-2</v>
      </c>
      <c r="W473">
        <v>0.13626949999999999</v>
      </c>
      <c r="X473">
        <v>0.98997619999999997</v>
      </c>
      <c r="Y473">
        <v>0.1462291</v>
      </c>
      <c r="Z473">
        <v>-4.3382170000000001E-3</v>
      </c>
      <c r="AA473">
        <v>0.98924120000000004</v>
      </c>
      <c r="AB473">
        <v>37</v>
      </c>
      <c r="AC473">
        <v>16.226499999999898</v>
      </c>
      <c r="AD473">
        <v>-1.11033935454</v>
      </c>
      <c r="AE473">
        <v>-2.5899000000000001</v>
      </c>
      <c r="AF473">
        <v>2.4532092023527601</v>
      </c>
      <c r="AG473">
        <v>-1.11033935454</v>
      </c>
      <c r="AH473">
        <v>16.172189936167001</v>
      </c>
      <c r="AI473">
        <v>93.883324708900403</v>
      </c>
      <c r="AJ473">
        <v>81.374386654168603</v>
      </c>
      <c r="AK473">
        <v>16.394841146049799</v>
      </c>
      <c r="AL473">
        <v>82.167964774218603</v>
      </c>
      <c r="AM473">
        <v>87.852747324427597</v>
      </c>
      <c r="AN473">
        <v>1.0000000125516999</v>
      </c>
    </row>
    <row r="474" spans="1:40" x14ac:dyDescent="0.25">
      <c r="A474" t="str">
        <f>"20190312164227473"</f>
        <v>20190312164227473</v>
      </c>
      <c r="B474" t="str">
        <f>"1552380147464381"</f>
        <v>1552380147464381</v>
      </c>
      <c r="C474" t="s">
        <v>40</v>
      </c>
      <c r="D474">
        <v>4.1553789999999999</v>
      </c>
      <c r="E474">
        <v>0.54064239999999997</v>
      </c>
      <c r="F474" t="s">
        <v>42</v>
      </c>
      <c r="G474">
        <v>-331.24959999999999</v>
      </c>
      <c r="H474" s="1">
        <v>-4.5703070000000001E-6</v>
      </c>
      <c r="I474">
        <v>364.91419999999999</v>
      </c>
      <c r="J474">
        <v>-347.65120000000002</v>
      </c>
      <c r="K474">
        <v>1.110349</v>
      </c>
      <c r="L474">
        <v>367.40879999999999</v>
      </c>
      <c r="M474">
        <v>0.99986050000000004</v>
      </c>
      <c r="N474">
        <v>0</v>
      </c>
      <c r="O474">
        <v>-7.6456229999999998E-3</v>
      </c>
      <c r="P474">
        <v>0.99149489999999996</v>
      </c>
      <c r="Q474">
        <v>0.12217020000000001</v>
      </c>
      <c r="R474">
        <v>-4.4863599999999997E-2</v>
      </c>
      <c r="S474">
        <v>3.0296630000000002</v>
      </c>
      <c r="T474">
        <v>-0.20061950000000001</v>
      </c>
      <c r="U474">
        <v>-0.4512024</v>
      </c>
      <c r="V474">
        <v>3.7261120000000002E-2</v>
      </c>
      <c r="W474">
        <v>0.1368906</v>
      </c>
      <c r="X474">
        <v>0.98988520000000002</v>
      </c>
      <c r="Y474">
        <v>0.13945389999999999</v>
      </c>
      <c r="Z474">
        <v>-4.0840039999999996E-3</v>
      </c>
      <c r="AA474">
        <v>0.99022010000000005</v>
      </c>
      <c r="AB474">
        <v>37</v>
      </c>
      <c r="AC474">
        <v>16.401599999999998</v>
      </c>
      <c r="AD474">
        <v>-1.110353570307</v>
      </c>
      <c r="AE474">
        <v>-2.4945999999999899</v>
      </c>
      <c r="AF474">
        <v>2.3585479540766898</v>
      </c>
      <c r="AG474">
        <v>-1.110353570307</v>
      </c>
      <c r="AH474">
        <v>16.346971048379999</v>
      </c>
      <c r="AI474">
        <v>93.846092434557306</v>
      </c>
      <c r="AJ474">
        <v>81.789996438504502</v>
      </c>
      <c r="AK474">
        <v>16.553522161743999</v>
      </c>
      <c r="AL474">
        <v>82.132042173366898</v>
      </c>
      <c r="AM474">
        <v>87.844298056127698</v>
      </c>
      <c r="AN474">
        <v>1.0000000683055199</v>
      </c>
    </row>
    <row r="475" spans="1:40" x14ac:dyDescent="0.25">
      <c r="A475" t="str">
        <f>"20190312164227494"</f>
        <v>20190312164227494</v>
      </c>
      <c r="B475" t="str">
        <f>"1552380147483901"</f>
        <v>1552380147483901</v>
      </c>
      <c r="C475" t="s">
        <v>40</v>
      </c>
      <c r="D475">
        <v>4.5097569999999996</v>
      </c>
      <c r="E475">
        <v>0.53887209999999997</v>
      </c>
      <c r="F475" t="s">
        <v>42</v>
      </c>
      <c r="G475">
        <v>-330.56439999999998</v>
      </c>
      <c r="H475" s="1">
        <v>-4.8528879999999901E-6</v>
      </c>
      <c r="I475">
        <v>364.97820000000002</v>
      </c>
      <c r="J475">
        <v>-347.30290000000002</v>
      </c>
      <c r="K475">
        <v>1.110357</v>
      </c>
      <c r="L475">
        <v>367.40620000000001</v>
      </c>
      <c r="M475">
        <v>0.99986120000000001</v>
      </c>
      <c r="N475">
        <v>0</v>
      </c>
      <c r="O475">
        <v>-7.5639909999999999E-3</v>
      </c>
      <c r="P475">
        <v>0.99150430000000001</v>
      </c>
      <c r="Q475">
        <v>0.1221653</v>
      </c>
      <c r="R475">
        <v>-4.4665999999999997E-2</v>
      </c>
      <c r="S475">
        <v>3.0304869999999999</v>
      </c>
      <c r="T475">
        <v>-0.19692989999999999</v>
      </c>
      <c r="U475">
        <v>-0.43106080000000002</v>
      </c>
      <c r="V475">
        <v>3.7143379999999997E-2</v>
      </c>
      <c r="W475">
        <v>0.13688210000000001</v>
      </c>
      <c r="X475">
        <v>0.98989079999999996</v>
      </c>
      <c r="Y475">
        <v>0.1330711</v>
      </c>
      <c r="Z475">
        <v>-3.8090120000000001E-3</v>
      </c>
      <c r="AA475">
        <v>0.99109919999999996</v>
      </c>
      <c r="AB475">
        <v>37</v>
      </c>
      <c r="AC475">
        <v>16.738499999999998</v>
      </c>
      <c r="AD475">
        <v>-1.1103618528879999</v>
      </c>
      <c r="AE475">
        <v>-2.4279999999999902</v>
      </c>
      <c r="AF475">
        <v>2.2914311967483001</v>
      </c>
      <c r="AG475">
        <v>-1.1103618528879999</v>
      </c>
      <c r="AH475">
        <v>16.684482367405799</v>
      </c>
      <c r="AI475">
        <v>93.7721472124</v>
      </c>
      <c r="AJ475">
        <v>82.179973524033599</v>
      </c>
      <c r="AK475">
        <v>16.877663115551702</v>
      </c>
      <c r="AL475">
        <v>82.1325338126004</v>
      </c>
      <c r="AM475">
        <v>87.851115526156207</v>
      </c>
      <c r="AN475">
        <v>1.00000006795143</v>
      </c>
    </row>
    <row r="476" spans="1:40" x14ac:dyDescent="0.25">
      <c r="A476" t="str">
        <f>"20190312164227517"</f>
        <v>20190312164227517</v>
      </c>
      <c r="B476" t="str">
        <f>"1552380147514157"</f>
        <v>1552380147514157</v>
      </c>
      <c r="C476" t="s">
        <v>40</v>
      </c>
      <c r="D476">
        <v>4.2046219999999996</v>
      </c>
      <c r="E476">
        <v>0.53669270000000002</v>
      </c>
      <c r="F476" t="s">
        <v>42</v>
      </c>
      <c r="G476">
        <v>-329.96379999999999</v>
      </c>
      <c r="H476" s="1">
        <v>-5.1029090000000003E-6</v>
      </c>
      <c r="I476">
        <v>365.02140000000003</v>
      </c>
      <c r="J476">
        <v>-346.92579999999998</v>
      </c>
      <c r="K476">
        <v>1.1103700000000001</v>
      </c>
      <c r="L476">
        <v>367.40339999999998</v>
      </c>
      <c r="M476">
        <v>0.99986200000000003</v>
      </c>
      <c r="N476">
        <v>0</v>
      </c>
      <c r="O476">
        <v>-7.4731880000000004E-3</v>
      </c>
      <c r="P476">
        <v>0.99145539999999999</v>
      </c>
      <c r="Q476">
        <v>0.12273489999999999</v>
      </c>
      <c r="R476">
        <v>-4.4187709999999998E-2</v>
      </c>
      <c r="S476">
        <v>3.030853</v>
      </c>
      <c r="T476">
        <v>-0.19408909999999999</v>
      </c>
      <c r="U476">
        <v>-0.41683959999999998</v>
      </c>
      <c r="V476">
        <v>3.6754330000000002E-2</v>
      </c>
      <c r="W476">
        <v>0.1374465</v>
      </c>
      <c r="X476">
        <v>0.98982700000000001</v>
      </c>
      <c r="Y476">
        <v>0.12859799999999999</v>
      </c>
      <c r="Z476">
        <v>-3.6183090000000001E-3</v>
      </c>
      <c r="AA476">
        <v>0.99169019999999997</v>
      </c>
      <c r="AB476">
        <v>37</v>
      </c>
      <c r="AC476">
        <v>16.9619999999999</v>
      </c>
      <c r="AD476">
        <v>-1.1103751029090001</v>
      </c>
      <c r="AE476">
        <v>-2.3819999999999402</v>
      </c>
      <c r="AF476">
        <v>2.2457217362136301</v>
      </c>
      <c r="AG476">
        <v>-1.1103751029090001</v>
      </c>
      <c r="AH476">
        <v>16.908272932750901</v>
      </c>
      <c r="AI476">
        <v>93.724633250738407</v>
      </c>
      <c r="AJ476">
        <v>82.434373456779099</v>
      </c>
      <c r="AK476">
        <v>17.092860865111501</v>
      </c>
      <c r="AL476">
        <v>82.099886619935802</v>
      </c>
      <c r="AM476">
        <v>87.873465830758803</v>
      </c>
      <c r="AN476">
        <v>0.99999995553249799</v>
      </c>
    </row>
    <row r="477" spans="1:40" x14ac:dyDescent="0.25">
      <c r="A477" t="str">
        <f>"20190312164227551"</f>
        <v>20190312164227551</v>
      </c>
      <c r="B477" t="str">
        <f>"1552380147544413"</f>
        <v>1552380147544413</v>
      </c>
      <c r="C477" t="s">
        <v>40</v>
      </c>
      <c r="D477">
        <v>4.2482220000000002</v>
      </c>
      <c r="E477">
        <v>0.53455589999999997</v>
      </c>
      <c r="F477" t="s">
        <v>42</v>
      </c>
      <c r="G477">
        <v>-329.0806</v>
      </c>
      <c r="H477" s="1">
        <v>-1.51211E-6</v>
      </c>
      <c r="I477">
        <v>365.05689999999998</v>
      </c>
      <c r="J477">
        <v>-346.36290000000002</v>
      </c>
      <c r="K477">
        <v>1.1103749999999999</v>
      </c>
      <c r="L477">
        <v>367.39929999999998</v>
      </c>
      <c r="M477">
        <v>0.99986299999999995</v>
      </c>
      <c r="N477">
        <v>0</v>
      </c>
      <c r="O477">
        <v>-7.3350430000000003E-3</v>
      </c>
      <c r="P477">
        <v>0.99140320000000004</v>
      </c>
      <c r="Q477">
        <v>0.12320979999999999</v>
      </c>
      <c r="R477">
        <v>-4.4039700000000001E-2</v>
      </c>
      <c r="S477">
        <v>3.0314329999999998</v>
      </c>
      <c r="T477">
        <v>-0.1886224</v>
      </c>
      <c r="U477">
        <v>-0.3985901</v>
      </c>
      <c r="V477">
        <v>3.674239E-2</v>
      </c>
      <c r="W477">
        <v>0.13791510000000001</v>
      </c>
      <c r="X477">
        <v>0.98976229999999998</v>
      </c>
      <c r="Y477">
        <v>0.1228673</v>
      </c>
      <c r="Z477">
        <v>-3.3485189999999999E-3</v>
      </c>
      <c r="AA477">
        <v>0.99241749999999995</v>
      </c>
      <c r="AB477">
        <v>37</v>
      </c>
      <c r="AC477">
        <v>17.282299999999999</v>
      </c>
      <c r="AD477">
        <v>-1.11037651211</v>
      </c>
      <c r="AE477">
        <v>-2.3423999999999898</v>
      </c>
      <c r="AF477">
        <v>2.20661206688691</v>
      </c>
      <c r="AG477">
        <v>-1.11037651211</v>
      </c>
      <c r="AH477">
        <v>17.229179747865</v>
      </c>
      <c r="AI477">
        <v>93.657672388173694</v>
      </c>
      <c r="AJ477">
        <v>82.701625318785304</v>
      </c>
      <c r="AK477">
        <v>17.4053643339236</v>
      </c>
      <c r="AL477">
        <v>82.072779976242799</v>
      </c>
      <c r="AM477">
        <v>87.874017184767297</v>
      </c>
      <c r="AN477">
        <v>0.99999999426610597</v>
      </c>
    </row>
    <row r="478" spans="1:40" x14ac:dyDescent="0.25">
      <c r="A478" t="str">
        <f>"20190312164227573"</f>
        <v>20190312164227573</v>
      </c>
      <c r="B478" t="str">
        <f>"1552380147563934"</f>
        <v>1552380147563934</v>
      </c>
      <c r="C478" t="s">
        <v>40</v>
      </c>
      <c r="D478">
        <v>4.2780100000000001</v>
      </c>
      <c r="E478">
        <v>0.53344749999999996</v>
      </c>
      <c r="F478" t="s">
        <v>42</v>
      </c>
      <c r="G478">
        <v>-328.29640000000001</v>
      </c>
      <c r="H478" s="1">
        <v>-1.7577539999999999E-6</v>
      </c>
      <c r="I478">
        <v>365.13659999999999</v>
      </c>
      <c r="J478">
        <v>-345.99299999999999</v>
      </c>
      <c r="K478">
        <v>1.110374</v>
      </c>
      <c r="L478">
        <v>367.39670000000001</v>
      </c>
      <c r="M478">
        <v>0.99986390000000003</v>
      </c>
      <c r="N478">
        <v>0</v>
      </c>
      <c r="O478">
        <v>-7.2430819999999996E-3</v>
      </c>
      <c r="P478">
        <v>0.99146290000000004</v>
      </c>
      <c r="Q478">
        <v>0.1228177</v>
      </c>
      <c r="R478">
        <v>-4.3787470000000002E-2</v>
      </c>
      <c r="S478">
        <v>3.0323180000000001</v>
      </c>
      <c r="T478">
        <v>-0.18636720000000001</v>
      </c>
      <c r="U478">
        <v>-0.37976070000000001</v>
      </c>
      <c r="V478">
        <v>3.6580620000000001E-2</v>
      </c>
      <c r="W478">
        <v>0.13751930000000001</v>
      </c>
      <c r="X478">
        <v>0.98982340000000002</v>
      </c>
      <c r="Y478">
        <v>0.1168724</v>
      </c>
      <c r="Z478">
        <v>-3.131188E-3</v>
      </c>
      <c r="AA478">
        <v>0.99314199999999997</v>
      </c>
      <c r="AB478">
        <v>37</v>
      </c>
      <c r="AC478">
        <v>17.6966</v>
      </c>
      <c r="AD478">
        <v>-1.1103757577540001</v>
      </c>
      <c r="AE478">
        <v>-2.26010000000002</v>
      </c>
      <c r="AF478">
        <v>2.1236222701580401</v>
      </c>
      <c r="AG478">
        <v>-1.1103757577540001</v>
      </c>
      <c r="AH478">
        <v>17.644158184397099</v>
      </c>
      <c r="AI478">
        <v>93.575233553026493</v>
      </c>
      <c r="AJ478">
        <v>83.1369853534285</v>
      </c>
      <c r="AK478">
        <v>17.806151294026101</v>
      </c>
      <c r="AL478">
        <v>82.095676102375094</v>
      </c>
      <c r="AM478">
        <v>87.883499501249105</v>
      </c>
      <c r="AN478">
        <v>1.0000000314098101</v>
      </c>
    </row>
    <row r="479" spans="1:40" x14ac:dyDescent="0.25">
      <c r="A479" t="str">
        <f>"20190312164227596"</f>
        <v>20190312164227596</v>
      </c>
      <c r="B479" t="str">
        <f>"1552380147584431"</f>
        <v>1552380147584431</v>
      </c>
      <c r="C479" t="s">
        <v>40</v>
      </c>
      <c r="D479">
        <v>4.5305660000000003</v>
      </c>
      <c r="E479">
        <v>0.53248859999999998</v>
      </c>
      <c r="F479" t="s">
        <v>42</v>
      </c>
      <c r="G479">
        <v>-327.95819999999998</v>
      </c>
      <c r="H479" s="1">
        <v>-1.8581039999999999E-6</v>
      </c>
      <c r="I479">
        <v>365.19209999999998</v>
      </c>
      <c r="J479">
        <v>-345.6345</v>
      </c>
      <c r="K479">
        <v>1.1103749999999999</v>
      </c>
      <c r="L479">
        <v>367.39420000000001</v>
      </c>
      <c r="M479">
        <v>0.99986459999999999</v>
      </c>
      <c r="N479">
        <v>0</v>
      </c>
      <c r="O479">
        <v>-7.1537500000000004E-3</v>
      </c>
      <c r="P479">
        <v>0.99147689999999999</v>
      </c>
      <c r="Q479">
        <v>0.12285889999999999</v>
      </c>
      <c r="R479">
        <v>-4.3356749999999999E-2</v>
      </c>
      <c r="S479">
        <v>3.0325929999999999</v>
      </c>
      <c r="T479">
        <v>-0.1867114</v>
      </c>
      <c r="U479">
        <v>-0.370697</v>
      </c>
      <c r="V479">
        <v>3.6237970000000001E-2</v>
      </c>
      <c r="W479">
        <v>0.13755699999999901</v>
      </c>
      <c r="X479">
        <v>0.98983069999999895</v>
      </c>
      <c r="Y479">
        <v>0.1140304</v>
      </c>
      <c r="Z479">
        <v>-3.0556400000000001E-3</v>
      </c>
      <c r="AA479">
        <v>0.99347260000000004</v>
      </c>
      <c r="AB479">
        <v>37</v>
      </c>
      <c r="AC479">
        <v>17.676300000000001</v>
      </c>
      <c r="AD479">
        <v>-1.1103768581040001</v>
      </c>
      <c r="AE479">
        <v>-2.2021000000000299</v>
      </c>
      <c r="AF479">
        <v>2.0675440591196299</v>
      </c>
      <c r="AG479">
        <v>-1.1103768581040001</v>
      </c>
      <c r="AH479">
        <v>17.623124368422499</v>
      </c>
      <c r="AI479">
        <v>93.580764577238199</v>
      </c>
      <c r="AJ479">
        <v>83.308650019568702</v>
      </c>
      <c r="AK479">
        <v>17.7787003942443</v>
      </c>
      <c r="AL479">
        <v>82.093494811511903</v>
      </c>
      <c r="AM479">
        <v>87.903322394208402</v>
      </c>
      <c r="AN479">
        <v>0.99999996669060398</v>
      </c>
    </row>
    <row r="480" spans="1:40" x14ac:dyDescent="0.25">
      <c r="A480" t="str">
        <f>"20190312164227617"</f>
        <v>20190312164227617</v>
      </c>
      <c r="B480" t="str">
        <f>"1552380147603950"</f>
        <v>1552380147603950</v>
      </c>
      <c r="C480" t="s">
        <v>40</v>
      </c>
      <c r="D480">
        <v>4.609286</v>
      </c>
      <c r="E480">
        <v>0.53139919999999996</v>
      </c>
      <c r="F480" t="s">
        <v>42</v>
      </c>
      <c r="G480">
        <v>-327.41329999999999</v>
      </c>
      <c r="H480" s="1">
        <v>-2.036628E-6</v>
      </c>
      <c r="I480">
        <v>365.21800000000002</v>
      </c>
      <c r="J480">
        <v>-345.28149999999999</v>
      </c>
      <c r="K480">
        <v>1.1103749999999999</v>
      </c>
      <c r="L480">
        <v>367.39179999999999</v>
      </c>
      <c r="M480">
        <v>0.99986520000000001</v>
      </c>
      <c r="N480">
        <v>0</v>
      </c>
      <c r="O480">
        <v>-7.0662049999999999E-3</v>
      </c>
      <c r="P480">
        <v>0.99142379999999997</v>
      </c>
      <c r="Q480">
        <v>0.12305480000000001</v>
      </c>
      <c r="R480">
        <v>-4.4009619999999999E-2</v>
      </c>
      <c r="S480">
        <v>3.032867</v>
      </c>
      <c r="T480">
        <v>-0.1848186</v>
      </c>
      <c r="U480">
        <v>-0.36221310000000001</v>
      </c>
      <c r="V480">
        <v>3.6977540000000003E-2</v>
      </c>
      <c r="W480">
        <v>0.13774829999999999</v>
      </c>
      <c r="X480">
        <v>0.98977680000000001</v>
      </c>
      <c r="Y480">
        <v>0.11137569999999999</v>
      </c>
      <c r="Z480">
        <v>-2.9497379999999999E-3</v>
      </c>
      <c r="AA480">
        <v>0.99377400000000005</v>
      </c>
      <c r="AB480">
        <v>37</v>
      </c>
      <c r="AC480">
        <v>17.868200000000002</v>
      </c>
      <c r="AD480">
        <v>-1.1103770366279999</v>
      </c>
      <c r="AE480">
        <v>-2.1737999999999702</v>
      </c>
      <c r="AF480">
        <v>2.0397096029956101</v>
      </c>
      <c r="AG480">
        <v>-1.1103770366279999</v>
      </c>
      <c r="AH480">
        <v>17.815321844225799</v>
      </c>
      <c r="AI480">
        <v>93.543376570880696</v>
      </c>
      <c r="AJ480">
        <v>83.468538668528694</v>
      </c>
      <c r="AK480">
        <v>17.966052567032399</v>
      </c>
      <c r="AL480">
        <v>82.082429236611304</v>
      </c>
      <c r="AM480">
        <v>87.860454890236099</v>
      </c>
      <c r="AN480">
        <v>1.0000000232177899</v>
      </c>
    </row>
    <row r="481" spans="1:40" x14ac:dyDescent="0.25">
      <c r="A481" t="str">
        <f>"20190312164227640"</f>
        <v>20190312164227640</v>
      </c>
      <c r="B481" t="str">
        <f>"1552380147634206"</f>
        <v>1552380147634206</v>
      </c>
      <c r="C481" t="s">
        <v>40</v>
      </c>
      <c r="D481">
        <v>4.3719739999999998</v>
      </c>
      <c r="E481">
        <v>0.53022990000000003</v>
      </c>
      <c r="F481" t="s">
        <v>42</v>
      </c>
      <c r="G481">
        <v>-327.06079999999997</v>
      </c>
      <c r="H481" s="1">
        <v>-2.1469289999999999E-6</v>
      </c>
      <c r="I481">
        <v>365.2543</v>
      </c>
      <c r="J481">
        <v>-344.90839999999997</v>
      </c>
      <c r="K481">
        <v>1.1103780000000001</v>
      </c>
      <c r="L481">
        <v>367.38929999999999</v>
      </c>
      <c r="M481">
        <v>0.99986589999999997</v>
      </c>
      <c r="N481">
        <v>0</v>
      </c>
      <c r="O481">
        <v>-6.9734200000000001E-3</v>
      </c>
      <c r="P481">
        <v>0.99146000000000001</v>
      </c>
      <c r="Q481">
        <v>0.1229914</v>
      </c>
      <c r="R481">
        <v>-4.3360389999999999E-2</v>
      </c>
      <c r="S481">
        <v>3.0331419999999998</v>
      </c>
      <c r="T481">
        <v>-0.18484020000000001</v>
      </c>
      <c r="U481">
        <v>-0.35580440000000002</v>
      </c>
      <c r="V481">
        <v>3.6419970000000003E-2</v>
      </c>
      <c r="W481">
        <v>0.13768129999999901</v>
      </c>
      <c r="X481">
        <v>0.98980679999999999</v>
      </c>
      <c r="Y481">
        <v>0.1093898</v>
      </c>
      <c r="Z481">
        <v>-2.8955589999999998E-3</v>
      </c>
      <c r="AA481">
        <v>0.99399470000000001</v>
      </c>
      <c r="AB481">
        <v>37</v>
      </c>
      <c r="AC481">
        <v>17.8476</v>
      </c>
      <c r="AD481">
        <v>-1.110380146929</v>
      </c>
      <c r="AE481">
        <v>-2.13499999999999</v>
      </c>
      <c r="AF481">
        <v>2.0028327088156899</v>
      </c>
      <c r="AG481">
        <v>-1.110380146929</v>
      </c>
      <c r="AH481">
        <v>17.794152612006599</v>
      </c>
      <c r="AI481">
        <v>93.548359159636107</v>
      </c>
      <c r="AJ481">
        <v>83.5780636901506</v>
      </c>
      <c r="AK481">
        <v>17.940907170753</v>
      </c>
      <c r="AL481">
        <v>82.086305019875397</v>
      </c>
      <c r="AM481">
        <v>87.892750766391302</v>
      </c>
      <c r="AN481">
        <v>1.00000002795536</v>
      </c>
    </row>
    <row r="482" spans="1:40" x14ac:dyDescent="0.25">
      <c r="A482" t="str">
        <f>"20190312164227663"</f>
        <v>20190312164227663</v>
      </c>
      <c r="B482" t="str">
        <f>"1552380147654705"</f>
        <v>1552380147654705</v>
      </c>
      <c r="C482" t="s">
        <v>40</v>
      </c>
      <c r="D482">
        <v>4.4827240000000002</v>
      </c>
      <c r="E482">
        <v>0.52956269999999905</v>
      </c>
      <c r="F482" t="s">
        <v>42</v>
      </c>
      <c r="G482">
        <v>-326.7072</v>
      </c>
      <c r="H482" s="1">
        <v>-2.2489530000000002E-6</v>
      </c>
      <c r="I482">
        <v>365.32319999999999</v>
      </c>
      <c r="J482">
        <v>-344.5308</v>
      </c>
      <c r="K482">
        <v>1.1103749999999999</v>
      </c>
      <c r="L482">
        <v>367.38670000000002</v>
      </c>
      <c r="M482">
        <v>0.99986660000000005</v>
      </c>
      <c r="N482">
        <v>0</v>
      </c>
      <c r="O482">
        <v>-6.8799250000000003E-3</v>
      </c>
      <c r="P482">
        <v>0.99146780000000001</v>
      </c>
      <c r="Q482">
        <v>0.1230483</v>
      </c>
      <c r="R482">
        <v>-4.302135E-2</v>
      </c>
      <c r="S482">
        <v>3.033722</v>
      </c>
      <c r="T482">
        <v>-0.18507390000000001</v>
      </c>
      <c r="U482">
        <v>-0.34436040000000001</v>
      </c>
      <c r="V482">
        <v>3.6173410000000003E-2</v>
      </c>
      <c r="W482">
        <v>0.1377342</v>
      </c>
      <c r="X482">
        <v>0.98980840000000003</v>
      </c>
      <c r="Y482">
        <v>0.1057657</v>
      </c>
      <c r="Z482">
        <v>-2.7948750000000001E-3</v>
      </c>
      <c r="AA482">
        <v>0.99438709999999997</v>
      </c>
      <c r="AB482">
        <v>37</v>
      </c>
      <c r="AC482">
        <v>17.823599999999999</v>
      </c>
      <c r="AD482">
        <v>-1.1103772489529999</v>
      </c>
      <c r="AE482">
        <v>-2.0635000000000301</v>
      </c>
      <c r="AF482">
        <v>1.9334082376756401</v>
      </c>
      <c r="AG482">
        <v>-1.1103772489529999</v>
      </c>
      <c r="AH482">
        <v>17.769324691250901</v>
      </c>
      <c r="AI482">
        <v>93.554748513373895</v>
      </c>
      <c r="AJ482">
        <v>83.790306416703302</v>
      </c>
      <c r="AK482">
        <v>17.908654472952598</v>
      </c>
      <c r="AL482">
        <v>82.0832442749454</v>
      </c>
      <c r="AM482">
        <v>87.907007308105904</v>
      </c>
      <c r="AN482">
        <v>0.99999994707561202</v>
      </c>
    </row>
    <row r="483" spans="1:40" x14ac:dyDescent="0.25">
      <c r="A483" t="str">
        <f>"20190312164227683"</f>
        <v>20190312164227683</v>
      </c>
      <c r="B483" t="str">
        <f>"1552380147674221"</f>
        <v>1552380147674221</v>
      </c>
      <c r="C483" t="s">
        <v>40</v>
      </c>
      <c r="D483">
        <v>4.4583269999999997</v>
      </c>
      <c r="E483">
        <v>0.47462169999999998</v>
      </c>
      <c r="F483" t="s">
        <v>41</v>
      </c>
      <c r="G483">
        <v>-343.49869999999999</v>
      </c>
      <c r="H483">
        <v>1.04721</v>
      </c>
      <c r="I483">
        <v>367.2715</v>
      </c>
      <c r="J483">
        <v>-344.1866</v>
      </c>
      <c r="K483">
        <v>1.110379</v>
      </c>
      <c r="L483">
        <v>367.3845</v>
      </c>
      <c r="M483">
        <v>0.99986710000000001</v>
      </c>
      <c r="N483">
        <v>0</v>
      </c>
      <c r="O483">
        <v>-6.7947759999999998E-3</v>
      </c>
      <c r="P483">
        <v>0.99145589999999995</v>
      </c>
      <c r="Q483">
        <v>0.1233573</v>
      </c>
      <c r="R483">
        <v>-4.2403919999999998E-2</v>
      </c>
      <c r="S483">
        <v>3.0342099999999999</v>
      </c>
      <c r="T483">
        <v>-0.18590180000000001</v>
      </c>
      <c r="U483">
        <v>-0.33792109999999997</v>
      </c>
      <c r="V483">
        <v>3.5640350000000001E-2</v>
      </c>
      <c r="W483">
        <v>0.1380392</v>
      </c>
      <c r="X483">
        <v>0.98978529999999998</v>
      </c>
      <c r="Y483">
        <v>0.1037502</v>
      </c>
      <c r="Z483">
        <v>-2.7509359999999998E-3</v>
      </c>
      <c r="AA483">
        <v>0.99459960000000003</v>
      </c>
      <c r="AB483">
        <v>37</v>
      </c>
      <c r="AC483">
        <v>0.68790000000001295</v>
      </c>
      <c r="AD483">
        <v>-6.3169000000000003E-2</v>
      </c>
      <c r="AE483">
        <v>-0.112999999999999</v>
      </c>
      <c r="AF483">
        <v>0.10744056141445101</v>
      </c>
      <c r="AG483">
        <v>-6.3169000000000003E-2</v>
      </c>
      <c r="AH483">
        <v>0.68304357002785698</v>
      </c>
      <c r="AI483">
        <v>95.219957765893298</v>
      </c>
      <c r="AJ483">
        <v>81.0608029096189</v>
      </c>
      <c r="AK483">
        <v>0.69432147839055902</v>
      </c>
      <c r="AL483">
        <v>82.065600932448703</v>
      </c>
      <c r="AM483">
        <v>87.937775233423096</v>
      </c>
      <c r="AN483">
        <v>0.99999999769042602</v>
      </c>
    </row>
    <row r="484" spans="1:40" x14ac:dyDescent="0.25">
      <c r="A484" t="str">
        <f>"20190312164227706"</f>
        <v>20190312164227706</v>
      </c>
      <c r="B484" t="str">
        <f>"1552380147694717"</f>
        <v>1552380147694717</v>
      </c>
      <c r="C484" t="s">
        <v>40</v>
      </c>
      <c r="D484">
        <v>4.4897119999999999</v>
      </c>
      <c r="E484">
        <v>0.47217730000000002</v>
      </c>
      <c r="F484" t="s">
        <v>42</v>
      </c>
      <c r="G484">
        <v>-326.01670000000001</v>
      </c>
      <c r="H484" s="1">
        <v>-1.9793860000000001E-6</v>
      </c>
      <c r="I484">
        <v>367.99149999999997</v>
      </c>
      <c r="J484">
        <v>-343.8175</v>
      </c>
      <c r="K484">
        <v>1.1103809999999901</v>
      </c>
      <c r="L484">
        <v>367.38200000000001</v>
      </c>
      <c r="M484">
        <v>0.99986799999999998</v>
      </c>
      <c r="N484">
        <v>0</v>
      </c>
      <c r="O484">
        <v>-6.703433E-3</v>
      </c>
      <c r="P484">
        <v>0.99146429999999997</v>
      </c>
      <c r="Q484">
        <v>0.1234377</v>
      </c>
      <c r="R484">
        <v>-4.1974089999999999E-2</v>
      </c>
      <c r="S484">
        <v>3.0534970000000001</v>
      </c>
      <c r="T484">
        <v>-0.18660119999999999</v>
      </c>
      <c r="U484">
        <v>0.10202029999999999</v>
      </c>
      <c r="V484">
        <v>3.5300860000000003E-2</v>
      </c>
      <c r="W484">
        <v>0.13811579999999901</v>
      </c>
      <c r="X484">
        <v>0.98978679999999997</v>
      </c>
      <c r="Y484">
        <v>-4.0004949999999997E-2</v>
      </c>
      <c r="Z484">
        <v>1.630095E-3</v>
      </c>
      <c r="AA484">
        <v>0.99919809999999998</v>
      </c>
      <c r="AB484">
        <v>37</v>
      </c>
      <c r="AC484">
        <v>17.800799999999899</v>
      </c>
      <c r="AD484">
        <v>-1.1103829793859901</v>
      </c>
      <c r="AE484">
        <v>0.60950000000002502</v>
      </c>
      <c r="AF484">
        <v>-0.72600423483285503</v>
      </c>
      <c r="AG484">
        <v>-1.1103829793859901</v>
      </c>
      <c r="AH484">
        <v>17.727416321554301</v>
      </c>
      <c r="AI484">
        <v>93.581129605935303</v>
      </c>
      <c r="AJ484">
        <v>92.345166693421305</v>
      </c>
      <c r="AK484">
        <v>17.776988551147099</v>
      </c>
      <c r="AL484">
        <v>82.061169785980894</v>
      </c>
      <c r="AM484">
        <v>87.957405204310007</v>
      </c>
      <c r="AN484">
        <v>1.0000000171903001</v>
      </c>
    </row>
    <row r="485" spans="1:40" x14ac:dyDescent="0.25">
      <c r="A485" t="str">
        <f>"20190312164227729"</f>
        <v>20190312164227729</v>
      </c>
      <c r="B485" t="str">
        <f>"1552380147723998"</f>
        <v>1552380147723998</v>
      </c>
      <c r="C485" t="s">
        <v>40</v>
      </c>
      <c r="D485">
        <v>4.4674870000000002</v>
      </c>
      <c r="E485">
        <v>0.47146769999999999</v>
      </c>
      <c r="F485" t="s">
        <v>42</v>
      </c>
      <c r="G485">
        <v>-325.66129999999998</v>
      </c>
      <c r="H485" s="1">
        <v>-2.1100469999999999E-6</v>
      </c>
      <c r="I485">
        <v>368.11430000000001</v>
      </c>
      <c r="J485">
        <v>-343.44839999999999</v>
      </c>
      <c r="K485">
        <v>1.110393</v>
      </c>
      <c r="L485">
        <v>367.37970000000001</v>
      </c>
      <c r="M485">
        <v>0.99986870000000005</v>
      </c>
      <c r="N485">
        <v>0</v>
      </c>
      <c r="O485">
        <v>-6.6125610000000003E-3</v>
      </c>
      <c r="P485">
        <v>0.99144730000000003</v>
      </c>
      <c r="Q485">
        <v>0.1237862</v>
      </c>
      <c r="R485">
        <v>-4.1345079999999999E-2</v>
      </c>
      <c r="S485">
        <v>3.0543209999999998</v>
      </c>
      <c r="T485">
        <v>-0.1867936</v>
      </c>
      <c r="U485">
        <v>0.1231995</v>
      </c>
      <c r="V485">
        <v>3.4761899999999998E-2</v>
      </c>
      <c r="W485">
        <v>0.13845959999999999</v>
      </c>
      <c r="X485">
        <v>0.98975780000000002</v>
      </c>
      <c r="Y485">
        <v>-4.681072E-2</v>
      </c>
      <c r="Z485">
        <v>1.833409E-3</v>
      </c>
      <c r="AA485">
        <v>0.99890210000000002</v>
      </c>
      <c r="AB485">
        <v>37</v>
      </c>
      <c r="AC485">
        <v>17.787099999999999</v>
      </c>
      <c r="AD485">
        <v>-1.110395110047</v>
      </c>
      <c r="AE485">
        <v>0.73460000000000003</v>
      </c>
      <c r="AF485">
        <v>-0.84891240447420802</v>
      </c>
      <c r="AG485">
        <v>-1.110395110047</v>
      </c>
      <c r="AH485">
        <v>17.712940836586402</v>
      </c>
      <c r="AI485">
        <v>93.582982354521207</v>
      </c>
      <c r="AJ485">
        <v>92.743864484437097</v>
      </c>
      <c r="AK485">
        <v>17.768002213284898</v>
      </c>
      <c r="AL485">
        <v>82.041280076813095</v>
      </c>
      <c r="AM485">
        <v>87.988506056968305</v>
      </c>
      <c r="AN485">
        <v>0.999999976592304</v>
      </c>
    </row>
    <row r="486" spans="1:40" x14ac:dyDescent="0.25">
      <c r="A486" t="str">
        <f>"20190312164227752"</f>
        <v>20190312164227752</v>
      </c>
      <c r="B486" t="str">
        <f>"1552380147744493"</f>
        <v>1552380147744493</v>
      </c>
      <c r="C486" t="s">
        <v>40</v>
      </c>
      <c r="D486">
        <v>4.6614079999999998</v>
      </c>
      <c r="E486">
        <v>0.47114279999999997</v>
      </c>
      <c r="F486" t="s">
        <v>42</v>
      </c>
      <c r="G486">
        <v>-325.41910000000001</v>
      </c>
      <c r="H486" s="1">
        <v>-2.206663E-6</v>
      </c>
      <c r="I486">
        <v>368.15530000000001</v>
      </c>
      <c r="J486">
        <v>-343.077</v>
      </c>
      <c r="K486">
        <v>1.1103959999999999</v>
      </c>
      <c r="L486">
        <v>367.37729999999999</v>
      </c>
      <c r="M486">
        <v>0.99986929999999996</v>
      </c>
      <c r="N486">
        <v>0</v>
      </c>
      <c r="O486">
        <v>-6.5214540000000003E-3</v>
      </c>
      <c r="P486">
        <v>0.99140879999999998</v>
      </c>
      <c r="Q486">
        <v>0.1242843</v>
      </c>
      <c r="R486">
        <v>-4.077128E-2</v>
      </c>
      <c r="S486">
        <v>3.05484</v>
      </c>
      <c r="T486">
        <v>-0.1881418</v>
      </c>
      <c r="U486">
        <v>0.13143920000000001</v>
      </c>
      <c r="V486">
        <v>3.4278620000000003E-2</v>
      </c>
      <c r="W486">
        <v>0.13895260000000001</v>
      </c>
      <c r="X486">
        <v>0.98970559999999996</v>
      </c>
      <c r="Y486">
        <v>-4.9396240000000001E-2</v>
      </c>
      <c r="Z486">
        <v>1.920104E-3</v>
      </c>
      <c r="AA486">
        <v>0.99877740000000004</v>
      </c>
      <c r="AB486">
        <v>36</v>
      </c>
      <c r="AC486">
        <v>17.657899999999898</v>
      </c>
      <c r="AD486">
        <v>-1.110398206663</v>
      </c>
      <c r="AE486">
        <v>0.77800000000002001</v>
      </c>
      <c r="AF486">
        <v>-0.88964007106712994</v>
      </c>
      <c r="AG486">
        <v>-1.110398206663</v>
      </c>
      <c r="AH486">
        <v>17.5830546524491</v>
      </c>
      <c r="AI486">
        <v>93.608917843925695</v>
      </c>
      <c r="AJ486">
        <v>92.896492811463901</v>
      </c>
      <c r="AK486">
        <v>17.6405287490036</v>
      </c>
      <c r="AL486">
        <v>82.012757828704807</v>
      </c>
      <c r="AM486">
        <v>88.016343976002801</v>
      </c>
      <c r="AN486">
        <v>1.0000000117536101</v>
      </c>
    </row>
    <row r="487" spans="1:40" x14ac:dyDescent="0.25">
      <c r="A487" t="str">
        <f>"20190312164227774"</f>
        <v>20190312164227774</v>
      </c>
      <c r="B487" t="str">
        <f>"1552380147764014"</f>
        <v>1552380147764014</v>
      </c>
      <c r="C487" t="s">
        <v>40</v>
      </c>
      <c r="D487">
        <v>4.6154229999999998</v>
      </c>
      <c r="E487">
        <v>0.47091290000000002</v>
      </c>
      <c r="F487" t="s">
        <v>42</v>
      </c>
      <c r="G487">
        <v>-325.01150000000001</v>
      </c>
      <c r="H487" s="1">
        <v>-2.3775850000000001E-6</v>
      </c>
      <c r="I487">
        <v>368.17750000000001</v>
      </c>
      <c r="J487">
        <v>-342.7097</v>
      </c>
      <c r="K487">
        <v>1.110395</v>
      </c>
      <c r="L487">
        <v>367.37490000000003</v>
      </c>
      <c r="M487">
        <v>0.99986980000000003</v>
      </c>
      <c r="N487">
        <v>0</v>
      </c>
      <c r="O487">
        <v>-6.4309500000000004E-3</v>
      </c>
      <c r="P487">
        <v>0.99144500000000002</v>
      </c>
      <c r="Q487">
        <v>0.1241932</v>
      </c>
      <c r="R487">
        <v>-4.015991E-2</v>
      </c>
      <c r="S487">
        <v>3.0551149999999998</v>
      </c>
      <c r="T487">
        <v>-0.18778230000000001</v>
      </c>
      <c r="U487">
        <v>0.13534549999999901</v>
      </c>
      <c r="V487">
        <v>3.3756670000000003E-2</v>
      </c>
      <c r="W487">
        <v>0.13885810000000001</v>
      </c>
      <c r="X487">
        <v>0.98973679999999997</v>
      </c>
      <c r="Y487">
        <v>-5.0574920000000002E-2</v>
      </c>
      <c r="Z487">
        <v>1.9468339999999999E-3</v>
      </c>
      <c r="AA487">
        <v>0.99871840000000001</v>
      </c>
      <c r="AB487">
        <v>36</v>
      </c>
      <c r="AC487">
        <v>17.6981999999999</v>
      </c>
      <c r="AD487">
        <v>-1.110397377585</v>
      </c>
      <c r="AE487">
        <v>0.80259999999998399</v>
      </c>
      <c r="AF487">
        <v>-0.91282623529328699</v>
      </c>
      <c r="AG487">
        <v>-1.110397377585</v>
      </c>
      <c r="AH487">
        <v>17.623441448506998</v>
      </c>
      <c r="AI487">
        <v>93.600446573751199</v>
      </c>
      <c r="AJ487">
        <v>92.965050508873503</v>
      </c>
      <c r="AK487">
        <v>17.681966026461598</v>
      </c>
      <c r="AL487">
        <v>82.018225260953798</v>
      </c>
      <c r="AM487">
        <v>88.046586446137098</v>
      </c>
      <c r="AN487">
        <v>1.0000000089896599</v>
      </c>
    </row>
    <row r="488" spans="1:40" x14ac:dyDescent="0.25">
      <c r="A488" t="str">
        <f>"20190312164227796"</f>
        <v>20190312164227796</v>
      </c>
      <c r="B488" t="str">
        <f>"1552380147784509"</f>
        <v>1552380147784509</v>
      </c>
      <c r="C488" t="s">
        <v>40</v>
      </c>
      <c r="D488">
        <v>4.6178019999999904</v>
      </c>
      <c r="E488">
        <v>0.47100239999999999</v>
      </c>
      <c r="F488" t="s">
        <v>42</v>
      </c>
      <c r="G488">
        <v>-325.01049999999998</v>
      </c>
      <c r="H488" s="1">
        <v>-2.3780840000000001E-6</v>
      </c>
      <c r="I488">
        <v>368.17720000000003</v>
      </c>
      <c r="J488">
        <v>-342.36239999999998</v>
      </c>
      <c r="K488">
        <v>1.1104019999999999</v>
      </c>
      <c r="L488">
        <v>367.37279999999998</v>
      </c>
      <c r="M488">
        <v>0.99987060000000005</v>
      </c>
      <c r="N488">
        <v>0</v>
      </c>
      <c r="O488">
        <v>-6.345931E-3</v>
      </c>
      <c r="P488">
        <v>0.99137319999999995</v>
      </c>
      <c r="Q488">
        <v>0.1248771</v>
      </c>
      <c r="R488">
        <v>-3.9811590000000001E-2</v>
      </c>
      <c r="S488">
        <v>3.0555110000000001</v>
      </c>
      <c r="T488">
        <v>-0.19169330000000001</v>
      </c>
      <c r="U488">
        <v>0.13851930000000001</v>
      </c>
      <c r="V488">
        <v>3.3493040000000002E-2</v>
      </c>
      <c r="W488">
        <v>0.1395371</v>
      </c>
      <c r="X488">
        <v>0.98965020000000004</v>
      </c>
      <c r="Y488">
        <v>-5.1513400000000001E-2</v>
      </c>
      <c r="Z488">
        <v>2.0110670000000001E-3</v>
      </c>
      <c r="AA488">
        <v>0.99867030000000001</v>
      </c>
      <c r="AB488">
        <v>36</v>
      </c>
      <c r="AC488">
        <v>17.351900000000001</v>
      </c>
      <c r="AD488">
        <v>-1.1104043780840001</v>
      </c>
      <c r="AE488">
        <v>0.80440000000004297</v>
      </c>
      <c r="AF488">
        <v>-0.91078799041196001</v>
      </c>
      <c r="AG488">
        <v>-1.1104043780840001</v>
      </c>
      <c r="AH488">
        <v>17.275850077468899</v>
      </c>
      <c r="AI488">
        <v>93.672538186886399</v>
      </c>
      <c r="AJ488">
        <v>93.017856752181601</v>
      </c>
      <c r="AK488">
        <v>17.3354414003662</v>
      </c>
      <c r="AL488">
        <v>81.978938500693303</v>
      </c>
      <c r="AM488">
        <v>88.061660898410594</v>
      </c>
      <c r="AN488">
        <v>0.99999995218244397</v>
      </c>
    </row>
    <row r="489" spans="1:40" x14ac:dyDescent="0.25">
      <c r="A489" t="str">
        <f>"20190312164227818"</f>
        <v>20190312164227818</v>
      </c>
      <c r="B489" t="str">
        <f>"1552380147814765"</f>
        <v>1552380147814765</v>
      </c>
      <c r="C489" t="s">
        <v>40</v>
      </c>
      <c r="D489">
        <v>4.6250410000000004</v>
      </c>
      <c r="E489">
        <v>0.47178910000000002</v>
      </c>
      <c r="F489" t="s">
        <v>42</v>
      </c>
      <c r="G489">
        <v>-324.85199999999998</v>
      </c>
      <c r="H489" s="1">
        <v>-2.4472850000000001E-6</v>
      </c>
      <c r="I489">
        <v>368.17059999999998</v>
      </c>
      <c r="J489">
        <v>-342.00479999999999</v>
      </c>
      <c r="K489">
        <v>1.1104019999999999</v>
      </c>
      <c r="L489">
        <v>367.37060000000002</v>
      </c>
      <c r="M489">
        <v>0.99987110000000001</v>
      </c>
      <c r="N489">
        <v>0</v>
      </c>
      <c r="O489">
        <v>-6.2575759999999999E-3</v>
      </c>
      <c r="P489">
        <v>0.99141849999999998</v>
      </c>
      <c r="Q489">
        <v>0.124709</v>
      </c>
      <c r="R489">
        <v>-3.9206039999999998E-2</v>
      </c>
      <c r="S489">
        <v>3.0560909999999999</v>
      </c>
      <c r="T489">
        <v>-0.19379779999999999</v>
      </c>
      <c r="U489">
        <v>0.13925170000000001</v>
      </c>
      <c r="V489">
        <v>3.2974900000000001E-2</v>
      </c>
      <c r="W489">
        <v>0.13936579999999901</v>
      </c>
      <c r="X489">
        <v>0.98969180000000001</v>
      </c>
      <c r="Y489">
        <v>-5.1652869999999997E-2</v>
      </c>
      <c r="Z489">
        <v>2.031527E-3</v>
      </c>
      <c r="AA489">
        <v>0.99866299999999997</v>
      </c>
      <c r="AB489">
        <v>36</v>
      </c>
      <c r="AC489">
        <v>17.1527999999999</v>
      </c>
      <c r="AD489">
        <v>-1.1104044472849901</v>
      </c>
      <c r="AE489">
        <v>0.79999999999995397</v>
      </c>
      <c r="AF489">
        <v>-0.90355266860159</v>
      </c>
      <c r="AG489">
        <v>-1.1104044472849901</v>
      </c>
      <c r="AH489">
        <v>17.0760512555463</v>
      </c>
      <c r="AI489">
        <v>93.715351698754304</v>
      </c>
      <c r="AJ489">
        <v>93.028892286708498</v>
      </c>
      <c r="AK489">
        <v>17.135954363370999</v>
      </c>
      <c r="AL489">
        <v>81.9888506189304</v>
      </c>
      <c r="AM489">
        <v>88.091704968267393</v>
      </c>
      <c r="AN489">
        <v>1.00000001461344</v>
      </c>
    </row>
    <row r="490" spans="1:40" x14ac:dyDescent="0.25">
      <c r="A490" t="str">
        <f>"20190312164227842"</f>
        <v>20190312164227842</v>
      </c>
      <c r="B490" t="str">
        <f>"1552380147834285"</f>
        <v>1552380147834285</v>
      </c>
      <c r="C490" t="s">
        <v>40</v>
      </c>
      <c r="D490">
        <v>4.6138180000000002</v>
      </c>
      <c r="E490">
        <v>0.47190140000000003</v>
      </c>
      <c r="F490" t="s">
        <v>42</v>
      </c>
      <c r="G490">
        <v>-324.67529999999999</v>
      </c>
      <c r="H490" s="1">
        <v>-2.5289750000000002E-6</v>
      </c>
      <c r="I490">
        <v>368.13729999999998</v>
      </c>
      <c r="J490">
        <v>-341.63060000000002</v>
      </c>
      <c r="K490">
        <v>1.1104050000000001</v>
      </c>
      <c r="L490">
        <v>367.36829999999998</v>
      </c>
      <c r="M490">
        <v>0.99987170000000003</v>
      </c>
      <c r="N490">
        <v>0</v>
      </c>
      <c r="O490">
        <v>-6.16505E-3</v>
      </c>
      <c r="P490">
        <v>0.99140810000000001</v>
      </c>
      <c r="Q490">
        <v>0.1249622</v>
      </c>
      <c r="R490">
        <v>-3.8654090000000002E-2</v>
      </c>
      <c r="S490">
        <v>3.0559080000000001</v>
      </c>
      <c r="T490">
        <v>-0.1958095</v>
      </c>
      <c r="U490">
        <v>0.13522339999999999</v>
      </c>
      <c r="V490">
        <v>3.2514969999999997E-2</v>
      </c>
      <c r="W490">
        <v>0.13961460000000001</v>
      </c>
      <c r="X490">
        <v>0.98967190000000005</v>
      </c>
      <c r="Y490">
        <v>-5.0249929999999998E-2</v>
      </c>
      <c r="Z490">
        <v>2.0019550000000001E-3</v>
      </c>
      <c r="AA490">
        <v>0.99873469999999998</v>
      </c>
      <c r="AB490">
        <v>36</v>
      </c>
      <c r="AC490">
        <v>16.955300000000001</v>
      </c>
      <c r="AD490">
        <v>-1.1104075289749999</v>
      </c>
      <c r="AE490">
        <v>0.76900000000000501</v>
      </c>
      <c r="AF490">
        <v>-0.86980416772732605</v>
      </c>
      <c r="AG490">
        <v>-1.1104075289749999</v>
      </c>
      <c r="AH490">
        <v>16.877995514610099</v>
      </c>
      <c r="AI490">
        <v>93.759104959055605</v>
      </c>
      <c r="AJ490">
        <v>92.950116860724606</v>
      </c>
      <c r="AK490">
        <v>16.936832548082801</v>
      </c>
      <c r="AL490">
        <v>81.974454283637897</v>
      </c>
      <c r="AM490">
        <v>88.118264562066599</v>
      </c>
      <c r="AN490">
        <v>0.999999964728434</v>
      </c>
    </row>
    <row r="491" spans="1:40" x14ac:dyDescent="0.25">
      <c r="A491" t="str">
        <f>"20190312164227863"</f>
        <v>20190312164227863</v>
      </c>
      <c r="B491" t="str">
        <f>"1552380147854781"</f>
        <v>1552380147854781</v>
      </c>
      <c r="C491" t="s">
        <v>40</v>
      </c>
      <c r="D491">
        <v>4.4952709999999998</v>
      </c>
      <c r="E491">
        <v>0.47196510000000003</v>
      </c>
      <c r="F491" t="s">
        <v>42</v>
      </c>
      <c r="G491">
        <v>-324.41809999999998</v>
      </c>
      <c r="H491" s="1">
        <v>-2.6401660000000001E-6</v>
      </c>
      <c r="I491">
        <v>368.13249999999999</v>
      </c>
      <c r="J491">
        <v>-341.26850000000002</v>
      </c>
      <c r="K491">
        <v>1.110409</v>
      </c>
      <c r="L491">
        <v>367.36619999999999</v>
      </c>
      <c r="M491">
        <v>0.99987230000000005</v>
      </c>
      <c r="N491">
        <v>0</v>
      </c>
      <c r="O491">
        <v>-6.0760959999999996E-3</v>
      </c>
      <c r="P491">
        <v>0.9914463</v>
      </c>
      <c r="Q491">
        <v>0.1248615</v>
      </c>
      <c r="R491">
        <v>-3.8000970000000002E-2</v>
      </c>
      <c r="S491">
        <v>3.0561219999999998</v>
      </c>
      <c r="T491">
        <v>-0.1971542</v>
      </c>
      <c r="U491">
        <v>0.1356812</v>
      </c>
      <c r="V491">
        <v>3.1949569999999997E-2</v>
      </c>
      <c r="W491">
        <v>0.139510299999999</v>
      </c>
      <c r="X491">
        <v>0.9897051</v>
      </c>
      <c r="Y491">
        <v>-5.0305809999999999E-2</v>
      </c>
      <c r="Z491">
        <v>2.011596E-3</v>
      </c>
      <c r="AA491">
        <v>0.99873190000000001</v>
      </c>
      <c r="AB491">
        <v>36</v>
      </c>
      <c r="AC491">
        <v>16.8504</v>
      </c>
      <c r="AD491">
        <v>-1.110411640166</v>
      </c>
      <c r="AE491">
        <v>0.76630000000000098</v>
      </c>
      <c r="AF491">
        <v>-0.86493339646951495</v>
      </c>
      <c r="AG491">
        <v>-1.110411640166</v>
      </c>
      <c r="AH491">
        <v>16.772745635309999</v>
      </c>
      <c r="AI491">
        <v>93.782632843158197</v>
      </c>
      <c r="AJ491">
        <v>92.952001791970105</v>
      </c>
      <c r="AK491">
        <v>16.831699852889301</v>
      </c>
      <c r="AL491">
        <v>81.980489919627303</v>
      </c>
      <c r="AM491">
        <v>88.151024965474207</v>
      </c>
      <c r="AN491">
        <v>1.00000004189764</v>
      </c>
    </row>
    <row r="492" spans="1:40" x14ac:dyDescent="0.25">
      <c r="A492" t="str">
        <f>"20190312164227885"</f>
        <v>20190312164227885</v>
      </c>
      <c r="B492" t="str">
        <f>"1552380147874302"</f>
        <v>1552380147874302</v>
      </c>
      <c r="C492" t="s">
        <v>40</v>
      </c>
      <c r="D492">
        <v>4.5786040000000003</v>
      </c>
      <c r="E492">
        <v>0.47205979999999997</v>
      </c>
      <c r="F492" t="s">
        <v>42</v>
      </c>
      <c r="G492">
        <v>-324.21010000000001</v>
      </c>
      <c r="H492" s="1">
        <v>-2.7299529999999999E-6</v>
      </c>
      <c r="I492">
        <v>368.12950000000001</v>
      </c>
      <c r="J492">
        <v>-340.92700000000002</v>
      </c>
      <c r="K492">
        <v>1.1104099999999999</v>
      </c>
      <c r="L492">
        <v>367.36419999999998</v>
      </c>
      <c r="M492">
        <v>0.99987280000000001</v>
      </c>
      <c r="N492">
        <v>0</v>
      </c>
      <c r="O492">
        <v>-5.9920399999999997E-3</v>
      </c>
      <c r="P492">
        <v>0.99149549999999997</v>
      </c>
      <c r="Q492">
        <v>0.1247364</v>
      </c>
      <c r="R492">
        <v>-3.7118360000000003E-2</v>
      </c>
      <c r="S492">
        <v>3.056152</v>
      </c>
      <c r="T492">
        <v>-0.19893749999999999</v>
      </c>
      <c r="U492">
        <v>0.13674929999999999</v>
      </c>
      <c r="V492">
        <v>3.1150150000000001E-2</v>
      </c>
      <c r="W492">
        <v>0.1393827</v>
      </c>
      <c r="X492">
        <v>0.98974850000000003</v>
      </c>
      <c r="Y492">
        <v>-5.0567269999999997E-2</v>
      </c>
      <c r="Z492">
        <v>2.0327510000000002E-3</v>
      </c>
      <c r="AA492">
        <v>0.99871860000000001</v>
      </c>
      <c r="AB492">
        <v>36</v>
      </c>
      <c r="AC492">
        <v>16.7168999999999</v>
      </c>
      <c r="AD492">
        <v>-1.110412729953</v>
      </c>
      <c r="AE492">
        <v>0.76530000000002396</v>
      </c>
      <c r="AF492">
        <v>-0.86167160043103497</v>
      </c>
      <c r="AG492">
        <v>-1.110412729953</v>
      </c>
      <c r="AH492">
        <v>16.6387532794122</v>
      </c>
      <c r="AI492">
        <v>93.812965763674299</v>
      </c>
      <c r="AJ492">
        <v>92.964529906847304</v>
      </c>
      <c r="AK492">
        <v>16.698012009547099</v>
      </c>
      <c r="AL492">
        <v>81.987872505856998</v>
      </c>
      <c r="AM492">
        <v>88.197336816299597</v>
      </c>
      <c r="AN492">
        <v>0.99999998107828103</v>
      </c>
    </row>
    <row r="493" spans="1:40" x14ac:dyDescent="0.25">
      <c r="A493" t="str">
        <f>"20190312164227907"</f>
        <v>20190312164227907</v>
      </c>
      <c r="B493" t="str">
        <f>"1552380147904557"</f>
        <v>1552380147904557</v>
      </c>
      <c r="C493" t="s">
        <v>40</v>
      </c>
      <c r="D493">
        <v>4.710826</v>
      </c>
      <c r="E493">
        <v>0.47192060000000002</v>
      </c>
      <c r="F493" t="s">
        <v>42</v>
      </c>
      <c r="G493">
        <v>-324.07530000000003</v>
      </c>
      <c r="H493" s="1">
        <v>-2.7877130000000002E-6</v>
      </c>
      <c r="I493">
        <v>368.12959999999998</v>
      </c>
      <c r="J493">
        <v>-340.56689999999998</v>
      </c>
      <c r="K493">
        <v>1.110409</v>
      </c>
      <c r="L493">
        <v>367.36219999999997</v>
      </c>
      <c r="M493">
        <v>0.99987349999999997</v>
      </c>
      <c r="N493">
        <v>0</v>
      </c>
      <c r="O493">
        <v>-5.9059759999999899E-3</v>
      </c>
      <c r="P493">
        <v>0.99156770000000005</v>
      </c>
      <c r="Q493">
        <v>0.1243326</v>
      </c>
      <c r="R493">
        <v>-3.6538569999999999E-2</v>
      </c>
      <c r="S493">
        <v>3.0562740000000002</v>
      </c>
      <c r="T493">
        <v>-0.2013875</v>
      </c>
      <c r="U493">
        <v>0.13882449999999999</v>
      </c>
      <c r="V493">
        <v>3.0656019999999999E-2</v>
      </c>
      <c r="W493">
        <v>0.13897570000000001</v>
      </c>
      <c r="X493">
        <v>0.98982119999999996</v>
      </c>
      <c r="Y493">
        <v>-5.1152240000000002E-2</v>
      </c>
      <c r="Z493">
        <v>2.0711969999999999E-3</v>
      </c>
      <c r="AA493">
        <v>0.99868869999999998</v>
      </c>
      <c r="AB493">
        <v>36</v>
      </c>
      <c r="AC493">
        <v>16.491599999999899</v>
      </c>
      <c r="AD493">
        <v>-1.110411787713</v>
      </c>
      <c r="AE493">
        <v>0.76740000000000896</v>
      </c>
      <c r="AF493">
        <v>-0.86090168525183297</v>
      </c>
      <c r="AG493">
        <v>-1.110411787713</v>
      </c>
      <c r="AH493">
        <v>16.412532598249399</v>
      </c>
      <c r="AI493">
        <v>93.865226343773202</v>
      </c>
      <c r="AJ493">
        <v>93.002636467302196</v>
      </c>
      <c r="AK493">
        <v>16.472564837892101</v>
      </c>
      <c r="AL493">
        <v>82.011421413997596</v>
      </c>
      <c r="AM493">
        <v>88.226043981263601</v>
      </c>
      <c r="AN493">
        <v>1.0000000223610801</v>
      </c>
    </row>
    <row r="494" spans="1:40" x14ac:dyDescent="0.25">
      <c r="A494" t="str">
        <f>"20190312164227930"</f>
        <v>20190312164227930</v>
      </c>
      <c r="B494" t="str">
        <f>"1552380147924832"</f>
        <v>1552380147924832</v>
      </c>
      <c r="C494" t="s">
        <v>40</v>
      </c>
      <c r="D494">
        <v>4.458545</v>
      </c>
      <c r="E494">
        <v>0.44488879999999997</v>
      </c>
      <c r="F494" t="s">
        <v>42</v>
      </c>
      <c r="G494">
        <v>-324.1413</v>
      </c>
      <c r="H494" s="1">
        <v>-2.7606019999999999E-6</v>
      </c>
      <c r="I494">
        <v>368.12290000000002</v>
      </c>
      <c r="J494">
        <v>-340.18920000000003</v>
      </c>
      <c r="K494">
        <v>1.110403</v>
      </c>
      <c r="L494">
        <v>367.36</v>
      </c>
      <c r="M494">
        <v>0.99987400000000004</v>
      </c>
      <c r="N494">
        <v>0</v>
      </c>
      <c r="O494">
        <v>-5.8205359999999899E-3</v>
      </c>
      <c r="P494">
        <v>0.99162039999999996</v>
      </c>
      <c r="Q494">
        <v>0.1240904</v>
      </c>
      <c r="R494">
        <v>-3.5928790000000002E-2</v>
      </c>
      <c r="S494">
        <v>3.0566409999999999</v>
      </c>
      <c r="T494">
        <v>-0.20663580000000001</v>
      </c>
      <c r="U494">
        <v>0.141571</v>
      </c>
      <c r="V494">
        <v>3.013186E-2</v>
      </c>
      <c r="W494">
        <v>0.13872970000000001</v>
      </c>
      <c r="X494">
        <v>0.98987179999999997</v>
      </c>
      <c r="Y494">
        <v>-5.1948859999999999E-2</v>
      </c>
      <c r="Z494">
        <v>2.1458699999999998E-3</v>
      </c>
      <c r="AA494">
        <v>0.99864750000000002</v>
      </c>
      <c r="AB494">
        <v>36</v>
      </c>
      <c r="AC494">
        <v>16.047899999999998</v>
      </c>
      <c r="AD494">
        <v>-1.1104057606019999</v>
      </c>
      <c r="AE494">
        <v>0.76290000000000102</v>
      </c>
      <c r="AF494">
        <v>-0.85223360265991499</v>
      </c>
      <c r="AG494">
        <v>-1.1104057606019999</v>
      </c>
      <c r="AH494">
        <v>15.9669146898067</v>
      </c>
      <c r="AI494">
        <v>93.9725455856358</v>
      </c>
      <c r="AJ494">
        <v>93.055261384457793</v>
      </c>
      <c r="AK494">
        <v>16.028152350730998</v>
      </c>
      <c r="AL494">
        <v>82.025654023714395</v>
      </c>
      <c r="AM494">
        <v>88.256445466078603</v>
      </c>
      <c r="AN494">
        <v>1.0000000195421901</v>
      </c>
    </row>
    <row r="495" spans="1:40" x14ac:dyDescent="0.25">
      <c r="A495" t="str">
        <f>"20190312164227952"</f>
        <v>20190312164227952</v>
      </c>
      <c r="B495" t="str">
        <f>"1552380147944352"</f>
        <v>1552380147944352</v>
      </c>
      <c r="C495" t="s">
        <v>40</v>
      </c>
      <c r="D495">
        <v>4.359801</v>
      </c>
      <c r="E495">
        <v>0.42933149999999998</v>
      </c>
      <c r="F495" t="s">
        <v>42</v>
      </c>
      <c r="G495">
        <v>-322.59769999999997</v>
      </c>
      <c r="H495" s="1">
        <v>-3.1921049999999998E-6</v>
      </c>
      <c r="I495">
        <v>369.42349999999999</v>
      </c>
      <c r="J495">
        <v>-339.8347</v>
      </c>
      <c r="K495">
        <v>1.110398</v>
      </c>
      <c r="L495">
        <v>367.358</v>
      </c>
      <c r="M495">
        <v>0.99987459999999995</v>
      </c>
      <c r="N495">
        <v>0</v>
      </c>
      <c r="O495">
        <v>-5.7447699999999997E-3</v>
      </c>
      <c r="P495">
        <v>0.99166449999999995</v>
      </c>
      <c r="Q495">
        <v>0.1238702</v>
      </c>
      <c r="R495">
        <v>-3.547264E-2</v>
      </c>
      <c r="S495">
        <v>3.0625610000000001</v>
      </c>
      <c r="T495">
        <v>-0.19331300000000001</v>
      </c>
      <c r="U495">
        <v>0.35925289999999999</v>
      </c>
      <c r="V495">
        <v>2.975208E-2</v>
      </c>
      <c r="W495">
        <v>0.13850589999999999</v>
      </c>
      <c r="X495">
        <v>0.98991459999999998</v>
      </c>
      <c r="Y495">
        <v>-0.1219595</v>
      </c>
      <c r="Z495">
        <v>4.1932890000000002E-3</v>
      </c>
      <c r="AA495">
        <v>0.99252620000000003</v>
      </c>
      <c r="AB495">
        <v>36</v>
      </c>
      <c r="AC495">
        <v>17.236999999999998</v>
      </c>
      <c r="AD495">
        <v>-1.1104011921050001</v>
      </c>
      <c r="AE495">
        <v>2.0654999999999801</v>
      </c>
      <c r="AF495">
        <v>-2.1556800966654501</v>
      </c>
      <c r="AG495">
        <v>-1.1104011921050001</v>
      </c>
      <c r="AH495">
        <v>17.154666183162998</v>
      </c>
      <c r="AI495">
        <v>93.674701766317398</v>
      </c>
      <c r="AJ495">
        <v>97.162328120735694</v>
      </c>
      <c r="AK495">
        <v>17.325198969776501</v>
      </c>
      <c r="AL495">
        <v>82.038601604445304</v>
      </c>
      <c r="AM495">
        <v>88.278482194802706</v>
      </c>
      <c r="AN495">
        <v>0.99999999294614805</v>
      </c>
    </row>
    <row r="496" spans="1:40" x14ac:dyDescent="0.25">
      <c r="A496" t="str">
        <f>"20190312164227975"</f>
        <v>20190312164227975</v>
      </c>
      <c r="B496" t="str">
        <f>"1552380147964848"</f>
        <v>1552380147964848</v>
      </c>
      <c r="C496" t="s">
        <v>40</v>
      </c>
      <c r="D496">
        <v>4.3547510000000003</v>
      </c>
      <c r="E496">
        <v>0.42585699999999999</v>
      </c>
      <c r="F496" t="s">
        <v>42</v>
      </c>
      <c r="G496">
        <v>-323.01350000000002</v>
      </c>
      <c r="H496" s="1">
        <v>-3.0862000000000002E-6</v>
      </c>
      <c r="I496">
        <v>370.01749999999998</v>
      </c>
      <c r="J496">
        <v>-339.47660000000002</v>
      </c>
      <c r="K496">
        <v>1.110385</v>
      </c>
      <c r="L496">
        <v>367.35599999999999</v>
      </c>
      <c r="M496">
        <v>0.99987490000000001</v>
      </c>
      <c r="N496">
        <v>0</v>
      </c>
      <c r="O496">
        <v>-5.6721059999999997E-3</v>
      </c>
      <c r="P496">
        <v>0.99175780000000002</v>
      </c>
      <c r="Q496">
        <v>0.1231652</v>
      </c>
      <c r="R496">
        <v>-3.5313579999999997E-2</v>
      </c>
      <c r="S496">
        <v>3.0678709999999998</v>
      </c>
      <c r="T496">
        <v>-0.202516</v>
      </c>
      <c r="U496">
        <v>0.48504639999999999</v>
      </c>
      <c r="V496">
        <v>2.9666140000000001E-2</v>
      </c>
      <c r="W496">
        <v>0.13779739999999999</v>
      </c>
      <c r="X496">
        <v>0.99001600000000001</v>
      </c>
      <c r="Y496">
        <v>-0.1614112</v>
      </c>
      <c r="Z496">
        <v>5.6607929999999999E-3</v>
      </c>
      <c r="AA496">
        <v>0.98687100000000005</v>
      </c>
      <c r="AB496">
        <v>36</v>
      </c>
      <c r="AC496">
        <v>16.463099999999901</v>
      </c>
      <c r="AD496">
        <v>-1.1103880862</v>
      </c>
      <c r="AE496">
        <v>2.6614999999999802</v>
      </c>
      <c r="AF496">
        <v>-2.74268879571882</v>
      </c>
      <c r="AG496">
        <v>-1.1103880862</v>
      </c>
      <c r="AH496">
        <v>16.375142145730699</v>
      </c>
      <c r="AI496">
        <v>93.826117618115603</v>
      </c>
      <c r="AJ496">
        <v>99.508269900584693</v>
      </c>
      <c r="AK496">
        <v>16.6403300395462</v>
      </c>
      <c r="AL496">
        <v>82.079588279162493</v>
      </c>
      <c r="AM496">
        <v>88.283627592436204</v>
      </c>
      <c r="AN496">
        <v>0.99999994178262797</v>
      </c>
    </row>
    <row r="497" spans="1:40" x14ac:dyDescent="0.25">
      <c r="A497" t="str">
        <f>"20190312164227998"</f>
        <v>20190312164227998</v>
      </c>
      <c r="B497" t="str">
        <f>"1552380147994128"</f>
        <v>1552380147994128</v>
      </c>
      <c r="C497" t="s">
        <v>40</v>
      </c>
      <c r="D497">
        <v>4.2739669999999998</v>
      </c>
      <c r="E497">
        <v>0.42160429999999999</v>
      </c>
      <c r="F497" t="s">
        <v>42</v>
      </c>
      <c r="G497">
        <v>-325.49509999999998</v>
      </c>
      <c r="H497" s="1">
        <v>-1.9372470000000001E-6</v>
      </c>
      <c r="I497">
        <v>369.70030000000003</v>
      </c>
      <c r="J497">
        <v>-339.10309999999998</v>
      </c>
      <c r="K497">
        <v>1.110384</v>
      </c>
      <c r="L497">
        <v>367.35399999999998</v>
      </c>
      <c r="M497">
        <v>0.99987550000000003</v>
      </c>
      <c r="N497">
        <v>0</v>
      </c>
      <c r="O497">
        <v>-5.6003859999999997E-3</v>
      </c>
      <c r="P497">
        <v>0.99180599999999997</v>
      </c>
      <c r="Q497">
        <v>0.122933</v>
      </c>
      <c r="R497">
        <v>-3.4763660000000002E-2</v>
      </c>
      <c r="S497">
        <v>3.0736080000000001</v>
      </c>
      <c r="T497">
        <v>-0.2440996</v>
      </c>
      <c r="U497">
        <v>0.51538090000000003</v>
      </c>
      <c r="V497">
        <v>2.9188619999999998E-2</v>
      </c>
      <c r="W497">
        <v>0.13756179999999901</v>
      </c>
      <c r="X497">
        <v>0.99006300000000003</v>
      </c>
      <c r="Y497">
        <v>-0.170353</v>
      </c>
      <c r="Z497">
        <v>7.1484119999999998E-3</v>
      </c>
      <c r="AA497">
        <v>0.98535720000000004</v>
      </c>
      <c r="AB497">
        <v>36</v>
      </c>
      <c r="AC497">
        <v>13.608000000000001</v>
      </c>
      <c r="AD497">
        <v>-1.110385937247</v>
      </c>
      <c r="AE497">
        <v>2.3462999999999798</v>
      </c>
      <c r="AF497">
        <v>-2.4069183832905399</v>
      </c>
      <c r="AG497">
        <v>-1.110385937247</v>
      </c>
      <c r="AH497">
        <v>13.5073065458001</v>
      </c>
      <c r="AI497">
        <v>94.626946068549699</v>
      </c>
      <c r="AJ497">
        <v>100.1037028019</v>
      </c>
      <c r="AK497">
        <v>13.7649389085339</v>
      </c>
      <c r="AL497">
        <v>82.093217291231099</v>
      </c>
      <c r="AM497">
        <v>88.311319114950606</v>
      </c>
      <c r="AN497">
        <v>0.99999998416287195</v>
      </c>
    </row>
    <row r="498" spans="1:40" x14ac:dyDescent="0.25">
      <c r="A498" t="str">
        <f>"20190312164228020"</f>
        <v>20190312164228020</v>
      </c>
      <c r="B498" t="str">
        <f>"1552380148014624"</f>
        <v>1552380148014624</v>
      </c>
      <c r="C498" t="s">
        <v>40</v>
      </c>
      <c r="D498">
        <v>4.3219669999999999</v>
      </c>
      <c r="E498">
        <v>0.42092930000000001</v>
      </c>
      <c r="F498" t="s">
        <v>42</v>
      </c>
      <c r="G498">
        <v>-325.18079999999998</v>
      </c>
      <c r="H498" s="1">
        <v>-2.1121519999999998E-6</v>
      </c>
      <c r="I498">
        <v>369.851</v>
      </c>
      <c r="J498">
        <v>-338.7534</v>
      </c>
      <c r="K498">
        <v>1.1103799999999999</v>
      </c>
      <c r="L498">
        <v>367.35210000000001</v>
      </c>
      <c r="M498">
        <v>0.99987590000000004</v>
      </c>
      <c r="N498">
        <v>0</v>
      </c>
      <c r="O498">
        <v>-5.5361560000000004E-3</v>
      </c>
      <c r="P498">
        <v>0.99187029999999998</v>
      </c>
      <c r="Q498">
        <v>0.12244679999999999</v>
      </c>
      <c r="R498">
        <v>-3.4650029999999998E-2</v>
      </c>
      <c r="S498">
        <v>3.0744630000000002</v>
      </c>
      <c r="T498">
        <v>-0.24520520000000001</v>
      </c>
      <c r="U498">
        <v>0.55142209999999903</v>
      </c>
      <c r="V498">
        <v>2.9139399999999999E-2</v>
      </c>
      <c r="W498">
        <v>0.13707239999999901</v>
      </c>
      <c r="X498">
        <v>0.99013229999999997</v>
      </c>
      <c r="Y498">
        <v>-0.1814104</v>
      </c>
      <c r="Z498">
        <v>7.6033259999999997E-3</v>
      </c>
      <c r="AA498">
        <v>0.98337810000000003</v>
      </c>
      <c r="AB498">
        <v>36</v>
      </c>
      <c r="AC498">
        <v>13.5726</v>
      </c>
      <c r="AD498">
        <v>-1.1103821121519999</v>
      </c>
      <c r="AE498">
        <v>2.4988999999999901</v>
      </c>
      <c r="AF498">
        <v>-2.5574541446533301</v>
      </c>
      <c r="AG498">
        <v>-1.1103821121519999</v>
      </c>
      <c r="AH498">
        <v>13.471348966257001</v>
      </c>
      <c r="AI498">
        <v>94.629658571066201</v>
      </c>
      <c r="AJ498">
        <v>100.749337544437</v>
      </c>
      <c r="AK498">
        <v>13.7568442277895</v>
      </c>
      <c r="AL498">
        <v>82.121525815403899</v>
      </c>
      <c r="AM498">
        <v>88.3142829729819</v>
      </c>
      <c r="AN498">
        <v>0.99999995948870402</v>
      </c>
    </row>
    <row r="499" spans="1:40" x14ac:dyDescent="0.25">
      <c r="A499" t="str">
        <f>"20190312164228042"</f>
        <v>20190312164228042</v>
      </c>
      <c r="B499" t="str">
        <f>"1552380148034147"</f>
        <v>1552380148034147</v>
      </c>
      <c r="C499" t="s">
        <v>40</v>
      </c>
      <c r="D499">
        <v>4.296284</v>
      </c>
      <c r="E499">
        <v>0.42067100000000002</v>
      </c>
      <c r="F499" t="s">
        <v>42</v>
      </c>
      <c r="G499">
        <v>-325.56479999999999</v>
      </c>
      <c r="H499" s="1">
        <v>-1.9185770000000001E-6</v>
      </c>
      <c r="I499">
        <v>369.74250000000001</v>
      </c>
      <c r="J499">
        <v>-338.39499999999998</v>
      </c>
      <c r="K499">
        <v>1.110374</v>
      </c>
      <c r="L499">
        <v>367.35019999999997</v>
      </c>
      <c r="M499">
        <v>0.99987630000000005</v>
      </c>
      <c r="N499">
        <v>0</v>
      </c>
      <c r="O499">
        <v>-5.4723879999999999E-3</v>
      </c>
      <c r="P499">
        <v>0.99192159999999996</v>
      </c>
      <c r="Q499">
        <v>0.12205530000000001</v>
      </c>
      <c r="R499">
        <v>-3.4556749999999997E-2</v>
      </c>
      <c r="S499">
        <v>3.07605</v>
      </c>
      <c r="T499">
        <v>-0.25897959999999998</v>
      </c>
      <c r="U499">
        <v>0.55755619999999995</v>
      </c>
      <c r="V499">
        <v>2.9109719999999999E-2</v>
      </c>
      <c r="W499">
        <v>0.13667760000000001</v>
      </c>
      <c r="X499">
        <v>0.99018779999999995</v>
      </c>
      <c r="Y499">
        <v>-0.18308749999999999</v>
      </c>
      <c r="Z499">
        <v>8.0881389999999994E-3</v>
      </c>
      <c r="AA499">
        <v>0.98306329999999997</v>
      </c>
      <c r="AB499">
        <v>36</v>
      </c>
      <c r="AC499">
        <v>12.8301999999999</v>
      </c>
      <c r="AD499">
        <v>-1.1103759185769999</v>
      </c>
      <c r="AE499">
        <v>2.3923000000000298</v>
      </c>
      <c r="AF499">
        <v>-2.4447877685328701</v>
      </c>
      <c r="AG499">
        <v>-1.1103759185769999</v>
      </c>
      <c r="AH499">
        <v>12.7248100718679</v>
      </c>
      <c r="AI499">
        <v>94.897906591510804</v>
      </c>
      <c r="AJ499">
        <v>100.875578570298</v>
      </c>
      <c r="AK499">
        <v>13.005026462058201</v>
      </c>
      <c r="AL499">
        <v>82.144361513424002</v>
      </c>
      <c r="AM499">
        <v>88.316093308488107</v>
      </c>
      <c r="AN499">
        <v>1.0000000107045299</v>
      </c>
    </row>
    <row r="500" spans="1:40" x14ac:dyDescent="0.25">
      <c r="A500" t="str">
        <f>"20190312164228064"</f>
        <v>20190312164228064</v>
      </c>
      <c r="B500" t="str">
        <f>"1552380148054643"</f>
        <v>1552380148054643</v>
      </c>
      <c r="C500" t="s">
        <v>40</v>
      </c>
      <c r="D500">
        <v>4.2575940000000001</v>
      </c>
      <c r="E500">
        <v>0.4205371</v>
      </c>
      <c r="F500" t="s">
        <v>42</v>
      </c>
      <c r="G500">
        <v>-325.74979999999999</v>
      </c>
      <c r="H500" s="1">
        <v>-1.8151490000000001E-6</v>
      </c>
      <c r="I500">
        <v>369.65210000000002</v>
      </c>
      <c r="J500">
        <v>-338.04270000000002</v>
      </c>
      <c r="K500">
        <v>1.1103730000000001</v>
      </c>
      <c r="L500">
        <v>367.34829999999999</v>
      </c>
      <c r="M500">
        <v>0.99987669999999995</v>
      </c>
      <c r="N500">
        <v>0</v>
      </c>
      <c r="O500">
        <v>-5.4107549999999997E-3</v>
      </c>
      <c r="P500">
        <v>0.99193569999999998</v>
      </c>
      <c r="Q500">
        <v>0.1220518</v>
      </c>
      <c r="R500">
        <v>-3.4158069999999999E-2</v>
      </c>
      <c r="S500">
        <v>3.0772400000000002</v>
      </c>
      <c r="T500">
        <v>-0.2702098</v>
      </c>
      <c r="U500">
        <v>0.56018069999999998</v>
      </c>
      <c r="V500">
        <v>2.877273E-2</v>
      </c>
      <c r="W500">
        <v>0.1366705</v>
      </c>
      <c r="X500">
        <v>0.99019860000000004</v>
      </c>
      <c r="Y500">
        <v>-0.1837133</v>
      </c>
      <c r="Z500">
        <v>8.455588E-3</v>
      </c>
      <c r="AA500">
        <v>0.98294349999999997</v>
      </c>
      <c r="AB500">
        <v>36</v>
      </c>
      <c r="AC500">
        <v>12.292899999999999</v>
      </c>
      <c r="AD500">
        <v>-1.110374815149</v>
      </c>
      <c r="AE500">
        <v>2.3038000000000198</v>
      </c>
      <c r="AF500">
        <v>-2.3517507618962799</v>
      </c>
      <c r="AG500">
        <v>-1.110374815149</v>
      </c>
      <c r="AH500">
        <v>12.1842168162206</v>
      </c>
      <c r="AI500">
        <v>95.113246136656997</v>
      </c>
      <c r="AJ500">
        <v>100.924666549322</v>
      </c>
      <c r="AK500">
        <v>12.458683851068299</v>
      </c>
      <c r="AL500">
        <v>82.144771936156005</v>
      </c>
      <c r="AM500">
        <v>88.335594245213599</v>
      </c>
      <c r="AN500">
        <v>0.99999998150193103</v>
      </c>
    </row>
    <row r="501" spans="1:40" x14ac:dyDescent="0.25">
      <c r="A501" t="str">
        <f>"20190312164228077"</f>
        <v>20190312164228077</v>
      </c>
      <c r="B501" t="str">
        <f>"1552380148064400"</f>
        <v>1552380148064400</v>
      </c>
      <c r="C501" t="s">
        <v>40</v>
      </c>
      <c r="D501">
        <v>4.2499520000000004</v>
      </c>
      <c r="E501">
        <v>0.42054000000000002</v>
      </c>
      <c r="F501" t="s">
        <v>42</v>
      </c>
      <c r="G501">
        <v>-325.60500000000002</v>
      </c>
      <c r="H501" s="1">
        <v>-1.8693259999999999E-6</v>
      </c>
      <c r="I501">
        <v>369.6223</v>
      </c>
      <c r="J501">
        <v>-337.84050000000002</v>
      </c>
      <c r="K501">
        <v>1.1103730000000001</v>
      </c>
      <c r="L501">
        <v>367.34730000000002</v>
      </c>
      <c r="M501">
        <v>0.99987689999999996</v>
      </c>
      <c r="N501">
        <v>0</v>
      </c>
      <c r="O501">
        <v>-5.3753459999999996E-3</v>
      </c>
      <c r="P501">
        <v>0.99196209999999996</v>
      </c>
      <c r="Q501">
        <v>0.12191150000000001</v>
      </c>
      <c r="R501">
        <v>-3.3896059999999999E-2</v>
      </c>
      <c r="S501">
        <v>3.0775450000000002</v>
      </c>
      <c r="T501">
        <v>-0.27474589999999999</v>
      </c>
      <c r="U501">
        <v>0.56268309999999999</v>
      </c>
      <c r="V501">
        <v>2.8545580000000001E-2</v>
      </c>
      <c r="W501">
        <v>0.13652790000000001</v>
      </c>
      <c r="X501">
        <v>0.99022489999999996</v>
      </c>
      <c r="Y501">
        <v>-0.18440870000000001</v>
      </c>
      <c r="Z501">
        <v>8.6231350000000005E-3</v>
      </c>
      <c r="AA501">
        <v>0.98281180000000001</v>
      </c>
      <c r="AB501">
        <v>36</v>
      </c>
      <c r="AC501">
        <v>12.2355</v>
      </c>
      <c r="AD501">
        <v>-1.110374869326</v>
      </c>
      <c r="AE501">
        <v>2.2749999999999702</v>
      </c>
      <c r="AF501">
        <v>-2.3222581983186199</v>
      </c>
      <c r="AG501">
        <v>-1.110374869326</v>
      </c>
      <c r="AH501">
        <v>12.1265605966562</v>
      </c>
      <c r="AI501">
        <v>95.138862649676994</v>
      </c>
      <c r="AJ501">
        <v>100.84099298109</v>
      </c>
      <c r="AK501">
        <v>12.396745032243899</v>
      </c>
      <c r="AL501">
        <v>82.153020048253197</v>
      </c>
      <c r="AM501">
        <v>88.348770638706</v>
      </c>
      <c r="AN501">
        <v>1.0000000350979701</v>
      </c>
    </row>
    <row r="502" spans="1:40" x14ac:dyDescent="0.25">
      <c r="A502" t="str">
        <f>"20190312164228097"</f>
        <v>20190312164228097</v>
      </c>
      <c r="B502" t="str">
        <f>"1552380148094657"</f>
        <v>1552380148094657</v>
      </c>
      <c r="C502" t="s">
        <v>40</v>
      </c>
      <c r="D502">
        <v>4.2790540000000004</v>
      </c>
      <c r="E502">
        <v>0.42012739999999998</v>
      </c>
      <c r="F502" t="s">
        <v>42</v>
      </c>
      <c r="G502">
        <v>-325.44929999999999</v>
      </c>
      <c r="H502" s="1">
        <v>-1.9346449999999998E-6</v>
      </c>
      <c r="I502">
        <v>369.61669999999998</v>
      </c>
      <c r="J502">
        <v>-337.52109999999999</v>
      </c>
      <c r="K502">
        <v>1.1103769999999999</v>
      </c>
      <c r="L502">
        <v>367.34559999999999</v>
      </c>
      <c r="M502">
        <v>0.99987729999999997</v>
      </c>
      <c r="N502">
        <v>0</v>
      </c>
      <c r="O502">
        <v>-5.3197869999999899E-3</v>
      </c>
      <c r="P502">
        <v>0.99200410000000006</v>
      </c>
      <c r="Q502">
        <v>0.1217246</v>
      </c>
      <c r="R502">
        <v>-3.333846E-2</v>
      </c>
      <c r="S502">
        <v>3.0774539999999999</v>
      </c>
      <c r="T502">
        <v>-0.27576919999999999</v>
      </c>
      <c r="U502">
        <v>0.56365969999999999</v>
      </c>
      <c r="V502">
        <v>2.804334E-2</v>
      </c>
      <c r="W502">
        <v>0.13633799999999999</v>
      </c>
      <c r="X502">
        <v>0.99026539999999996</v>
      </c>
      <c r="Y502">
        <v>-0.18465490000000001</v>
      </c>
      <c r="Z502">
        <v>8.6611229999999997E-3</v>
      </c>
      <c r="AA502">
        <v>0.98276529999999995</v>
      </c>
      <c r="AB502">
        <v>36</v>
      </c>
      <c r="AC502">
        <v>12.0717999999999</v>
      </c>
      <c r="AD502">
        <v>-1.1103789346449999</v>
      </c>
      <c r="AE502">
        <v>2.2710999999999899</v>
      </c>
      <c r="AF502">
        <v>-2.3163664378674702</v>
      </c>
      <c r="AG502">
        <v>-1.1103789346449999</v>
      </c>
      <c r="AH502">
        <v>11.961802228997801</v>
      </c>
      <c r="AI502">
        <v>95.207212839445205</v>
      </c>
      <c r="AJ502">
        <v>100.95950549870599</v>
      </c>
      <c r="AK502">
        <v>12.2345088752528</v>
      </c>
      <c r="AL502">
        <v>82.164003103898494</v>
      </c>
      <c r="AM502">
        <v>88.377873539694306</v>
      </c>
      <c r="AN502">
        <v>1.0000000207997499</v>
      </c>
    </row>
    <row r="503" spans="1:40" x14ac:dyDescent="0.25">
      <c r="A503" t="str">
        <f>"20190312164228111"</f>
        <v>20190312164228111</v>
      </c>
      <c r="B503" t="str">
        <f>"1552380148104416"</f>
        <v>1552380148104416</v>
      </c>
      <c r="C503" t="s">
        <v>40</v>
      </c>
      <c r="D503">
        <v>4.2574379999999996</v>
      </c>
      <c r="E503">
        <v>0.42011159999999997</v>
      </c>
      <c r="F503" t="s">
        <v>42</v>
      </c>
      <c r="G503">
        <v>-325.48059999999998</v>
      </c>
      <c r="H503" s="1">
        <v>-1.9294999999999999E-6</v>
      </c>
      <c r="I503">
        <v>369.56920000000002</v>
      </c>
      <c r="J503">
        <v>-337.29910000000001</v>
      </c>
      <c r="K503">
        <v>1.110379</v>
      </c>
      <c r="L503">
        <v>367.34449999999998</v>
      </c>
      <c r="M503">
        <v>0.99987749999999997</v>
      </c>
      <c r="N503">
        <v>0</v>
      </c>
      <c r="O503">
        <v>-5.2809190000000002E-3</v>
      </c>
      <c r="P503">
        <v>0.99205920000000003</v>
      </c>
      <c r="Q503">
        <v>0.1213547</v>
      </c>
      <c r="R503">
        <v>-3.3041429999999997E-2</v>
      </c>
      <c r="S503">
        <v>3.078125</v>
      </c>
      <c r="T503">
        <v>-0.28386280000000003</v>
      </c>
      <c r="U503">
        <v>0.56848140000000003</v>
      </c>
      <c r="V503">
        <v>2.7784969999999999E-2</v>
      </c>
      <c r="W503">
        <v>0.13596659999999999</v>
      </c>
      <c r="X503">
        <v>0.99032370000000003</v>
      </c>
      <c r="Y503">
        <v>-0.18601899999999999</v>
      </c>
      <c r="Z503">
        <v>8.9698299999999998E-3</v>
      </c>
      <c r="AA503">
        <v>0.98250519999999997</v>
      </c>
      <c r="AB503">
        <v>36</v>
      </c>
      <c r="AC503">
        <v>11.8185</v>
      </c>
      <c r="AD503">
        <v>-1.1103809295</v>
      </c>
      <c r="AE503">
        <v>2.2247000000000399</v>
      </c>
      <c r="AF503">
        <v>-2.2677555601023198</v>
      </c>
      <c r="AG503">
        <v>-1.1103809295</v>
      </c>
      <c r="AH503">
        <v>11.7067845103279</v>
      </c>
      <c r="AI503">
        <v>95.3199458611723</v>
      </c>
      <c r="AJ503">
        <v>100.963149712605</v>
      </c>
      <c r="AK503">
        <v>11.975995351545</v>
      </c>
      <c r="AL503">
        <v>82.185482422928601</v>
      </c>
      <c r="AM503">
        <v>88.392905269065594</v>
      </c>
      <c r="AN503">
        <v>0.99999997582757505</v>
      </c>
    </row>
    <row r="504" spans="1:40" x14ac:dyDescent="0.25">
      <c r="A504" t="str">
        <f>"20190312164228131"</f>
        <v>20190312164228131</v>
      </c>
      <c r="B504" t="str">
        <f>"1552380148123949"</f>
        <v>1552380148123949</v>
      </c>
      <c r="C504" t="s">
        <v>40</v>
      </c>
      <c r="D504">
        <v>4.2367059999999999</v>
      </c>
      <c r="E504">
        <v>0.4199406</v>
      </c>
      <c r="F504" t="s">
        <v>42</v>
      </c>
      <c r="G504">
        <v>-325.33120000000002</v>
      </c>
      <c r="H504" s="1">
        <v>-1.9950500000000001E-6</v>
      </c>
      <c r="I504">
        <v>369.56099999999998</v>
      </c>
      <c r="J504">
        <v>-336.96499999999997</v>
      </c>
      <c r="K504">
        <v>1.110371</v>
      </c>
      <c r="L504">
        <v>367.34280000000001</v>
      </c>
      <c r="M504">
        <v>0.99987789999999999</v>
      </c>
      <c r="N504">
        <v>0</v>
      </c>
      <c r="O504">
        <v>-5.2218999999999998E-3</v>
      </c>
      <c r="P504">
        <v>0.99212319999999998</v>
      </c>
      <c r="Q504">
        <v>0.1210681</v>
      </c>
      <c r="R504">
        <v>-3.2152849999999997E-2</v>
      </c>
      <c r="S504">
        <v>3.0779420000000002</v>
      </c>
      <c r="T504">
        <v>-0.28556870000000001</v>
      </c>
      <c r="U504">
        <v>0.57006840000000003</v>
      </c>
      <c r="V504">
        <v>2.6955030000000001E-2</v>
      </c>
      <c r="W504">
        <v>0.13567699999999999</v>
      </c>
      <c r="X504">
        <v>0.9903864</v>
      </c>
      <c r="Y504">
        <v>-0.18645020000000001</v>
      </c>
      <c r="Z504">
        <v>9.0379959999999995E-3</v>
      </c>
      <c r="AA504">
        <v>0.98242280000000004</v>
      </c>
      <c r="AB504">
        <v>36</v>
      </c>
      <c r="AC504">
        <v>11.6337999999999</v>
      </c>
      <c r="AD504">
        <v>-1.1103729950499901</v>
      </c>
      <c r="AE504">
        <v>2.21819999999996</v>
      </c>
      <c r="AF504">
        <v>-2.25906977663817</v>
      </c>
      <c r="AG504">
        <v>-1.1103729950499901</v>
      </c>
      <c r="AH504">
        <v>11.520789741656101</v>
      </c>
      <c r="AI504">
        <v>95.402895339484203</v>
      </c>
      <c r="AJ504">
        <v>101.09416071737</v>
      </c>
      <c r="AK504">
        <v>11.792579052747801</v>
      </c>
      <c r="AL504">
        <v>82.202230840094799</v>
      </c>
      <c r="AM504">
        <v>88.440983957573096</v>
      </c>
      <c r="AN504">
        <v>1.00000002163813</v>
      </c>
    </row>
    <row r="505" spans="1:40" x14ac:dyDescent="0.25">
      <c r="A505" t="str">
        <f>"20190312164228153"</f>
        <v>20190312164228153</v>
      </c>
      <c r="B505" t="str">
        <f>"1552380148144432"</f>
        <v>1552380148144432</v>
      </c>
      <c r="C505" t="s">
        <v>40</v>
      </c>
      <c r="D505">
        <v>4.3241399999999999</v>
      </c>
      <c r="E505">
        <v>0.41967539999999998</v>
      </c>
      <c r="F505" t="s">
        <v>42</v>
      </c>
      <c r="G505">
        <v>-325.1601</v>
      </c>
      <c r="H505" s="1">
        <v>-2.0713010000000002E-6</v>
      </c>
      <c r="I505">
        <v>369.54500000000002</v>
      </c>
      <c r="J505">
        <v>-336.62670000000003</v>
      </c>
      <c r="K505">
        <v>1.110374</v>
      </c>
      <c r="L505">
        <v>367.34109999999998</v>
      </c>
      <c r="M505">
        <v>0.99987820000000005</v>
      </c>
      <c r="N505">
        <v>0</v>
      </c>
      <c r="O505">
        <v>-5.162163E-3</v>
      </c>
      <c r="P505">
        <v>0.99216340000000003</v>
      </c>
      <c r="Q505">
        <v>0.1210229</v>
      </c>
      <c r="R505">
        <v>-3.1070569999999999E-2</v>
      </c>
      <c r="S505">
        <v>3.0777589999999999</v>
      </c>
      <c r="T505">
        <v>-0.28949219999999998</v>
      </c>
      <c r="U505">
        <v>0.57418819999999904</v>
      </c>
      <c r="V505">
        <v>2.5931880000000001E-2</v>
      </c>
      <c r="W505">
        <v>0.13562839999999901</v>
      </c>
      <c r="X505">
        <v>0.99042030000000003</v>
      </c>
      <c r="Y505">
        <v>-0.18764629999999999</v>
      </c>
      <c r="Z505">
        <v>9.2111629999999996E-3</v>
      </c>
      <c r="AA505">
        <v>0.98219350000000005</v>
      </c>
      <c r="AB505">
        <v>36</v>
      </c>
      <c r="AC505">
        <v>11.4666</v>
      </c>
      <c r="AD505">
        <v>-1.110376071301</v>
      </c>
      <c r="AE505">
        <v>2.2039000000000302</v>
      </c>
      <c r="AF505">
        <v>-2.2427877881342999</v>
      </c>
      <c r="AG505">
        <v>-1.110376071301</v>
      </c>
      <c r="AH505">
        <v>11.352408267912701</v>
      </c>
      <c r="AI505">
        <v>95.481040753897204</v>
      </c>
      <c r="AJ505">
        <v>101.17547409839101</v>
      </c>
      <c r="AK505">
        <v>11.6249819597148</v>
      </c>
      <c r="AL505">
        <v>82.205040816601596</v>
      </c>
      <c r="AM505">
        <v>88.500184316459794</v>
      </c>
      <c r="AN505">
        <v>0.99999994796948999</v>
      </c>
    </row>
    <row r="506" spans="1:40" x14ac:dyDescent="0.25">
      <c r="A506" t="str">
        <f>"20190312164228166"</f>
        <v>20190312164228166</v>
      </c>
      <c r="B506" t="str">
        <f>"1552380148154192"</f>
        <v>1552380148154192</v>
      </c>
      <c r="C506" t="s">
        <v>40</v>
      </c>
      <c r="D506">
        <v>4.3072460000000001</v>
      </c>
      <c r="E506">
        <v>0.4195412</v>
      </c>
      <c r="F506" t="s">
        <v>42</v>
      </c>
      <c r="G506">
        <v>-325.03410000000002</v>
      </c>
      <c r="H506" s="1">
        <v>-2.128721E-6</v>
      </c>
      <c r="I506">
        <v>369.52609999999999</v>
      </c>
      <c r="J506">
        <v>-336.41239999999999</v>
      </c>
      <c r="K506">
        <v>1.110379</v>
      </c>
      <c r="L506">
        <v>367.34</v>
      </c>
      <c r="M506">
        <v>0.9998785</v>
      </c>
      <c r="N506">
        <v>0</v>
      </c>
      <c r="O506">
        <v>-5.1243649999999996E-3</v>
      </c>
      <c r="P506">
        <v>0.99219729999999995</v>
      </c>
      <c r="Q506">
        <v>0.1209436</v>
      </c>
      <c r="R506">
        <v>-3.029457E-2</v>
      </c>
      <c r="S506">
        <v>3.0778500000000002</v>
      </c>
      <c r="T506">
        <v>-0.2948035</v>
      </c>
      <c r="U506">
        <v>0.58013919999999997</v>
      </c>
      <c r="V506">
        <v>2.5193239999999999E-2</v>
      </c>
      <c r="W506">
        <v>0.1355471</v>
      </c>
      <c r="X506">
        <v>0.99045059999999996</v>
      </c>
      <c r="Y506">
        <v>-0.1894006</v>
      </c>
      <c r="Z506">
        <v>9.4570109999999995E-3</v>
      </c>
      <c r="AA506">
        <v>0.98185440000000002</v>
      </c>
      <c r="AB506">
        <v>36</v>
      </c>
      <c r="AC506">
        <v>11.3782999999999</v>
      </c>
      <c r="AD506">
        <v>-1.1103811287209999</v>
      </c>
      <c r="AE506">
        <v>2.1861000000000099</v>
      </c>
      <c r="AF506">
        <v>-2.2239586321433702</v>
      </c>
      <c r="AG506">
        <v>-1.1103811287209999</v>
      </c>
      <c r="AH506">
        <v>11.263499439635201</v>
      </c>
      <c r="AI506">
        <v>95.524181110453299</v>
      </c>
      <c r="AJ506">
        <v>101.169284336454</v>
      </c>
      <c r="AK506">
        <v>11.534528940323799</v>
      </c>
      <c r="AL506">
        <v>82.209743207105902</v>
      </c>
      <c r="AM506">
        <v>88.542930723830196</v>
      </c>
      <c r="AN506">
        <v>1.00000005335023</v>
      </c>
    </row>
    <row r="507" spans="1:40" x14ac:dyDescent="0.25">
      <c r="A507" t="str">
        <f>"20190312164228188"</f>
        <v>20190312164228188</v>
      </c>
      <c r="B507" t="str">
        <f>"1552380148184448"</f>
        <v>1552380148184448</v>
      </c>
      <c r="C507" t="s">
        <v>40</v>
      </c>
      <c r="D507">
        <v>4.3619690000000002</v>
      </c>
      <c r="E507">
        <v>0.3937311</v>
      </c>
      <c r="F507" t="s">
        <v>42</v>
      </c>
      <c r="G507">
        <v>-324.93009999999998</v>
      </c>
      <c r="H507" s="1">
        <v>-2.1749219999999999E-6</v>
      </c>
      <c r="I507">
        <v>369.517</v>
      </c>
      <c r="J507">
        <v>-336.07990000000001</v>
      </c>
      <c r="K507">
        <v>1.1103809999999901</v>
      </c>
      <c r="L507">
        <v>367.3383</v>
      </c>
      <c r="M507">
        <v>0.99987890000000001</v>
      </c>
      <c r="N507">
        <v>0</v>
      </c>
      <c r="O507">
        <v>-5.0654589999999996E-3</v>
      </c>
      <c r="P507">
        <v>0.99218209999999996</v>
      </c>
      <c r="Q507">
        <v>0.1212617</v>
      </c>
      <c r="R507">
        <v>-2.9500999999999999E-2</v>
      </c>
      <c r="S507">
        <v>3.0776669999999999</v>
      </c>
      <c r="T507">
        <v>-0.29761910000000003</v>
      </c>
      <c r="U507">
        <v>0.58352660000000001</v>
      </c>
      <c r="V507">
        <v>2.4458520000000001E-2</v>
      </c>
      <c r="W507">
        <v>0.13586129999999999</v>
      </c>
      <c r="X507">
        <v>0.99042589999999997</v>
      </c>
      <c r="Y507">
        <v>-0.1903762</v>
      </c>
      <c r="Z507">
        <v>9.5875379999999996E-3</v>
      </c>
      <c r="AA507">
        <v>0.98166439999999999</v>
      </c>
      <c r="AB507">
        <v>36</v>
      </c>
      <c r="AC507">
        <v>11.149800000000001</v>
      </c>
      <c r="AD507">
        <v>-1.1103831749219999</v>
      </c>
      <c r="AE507">
        <v>2.1786999999999899</v>
      </c>
      <c r="AF507">
        <v>-2.2140066922455999</v>
      </c>
      <c r="AG507">
        <v>-1.1103831749219999</v>
      </c>
      <c r="AH507">
        <v>11.033219690641699</v>
      </c>
      <c r="AI507">
        <v>95.635301803982003</v>
      </c>
      <c r="AJ507">
        <v>101.346692138154</v>
      </c>
      <c r="AK507">
        <v>11.3078164634213</v>
      </c>
      <c r="AL507">
        <v>82.191572271050902</v>
      </c>
      <c r="AM507">
        <v>88.585370997936494</v>
      </c>
      <c r="AN507">
        <v>0.99999998771454501</v>
      </c>
    </row>
    <row r="508" spans="1:40" x14ac:dyDescent="0.25">
      <c r="A508" t="str">
        <f>"20190312164228210"</f>
        <v>20190312164228210</v>
      </c>
      <c r="B508" t="str">
        <f>"1552380148203969"</f>
        <v>1552380148203969</v>
      </c>
      <c r="C508" t="s">
        <v>40</v>
      </c>
      <c r="D508">
        <v>4.3002089999999997</v>
      </c>
      <c r="E508">
        <v>0.38245230000000002</v>
      </c>
      <c r="F508" t="s">
        <v>42</v>
      </c>
      <c r="G508">
        <v>-321.78879999999998</v>
      </c>
      <c r="H508" s="1">
        <v>-3.8740230000000001E-6</v>
      </c>
      <c r="I508">
        <v>371.00369999999998</v>
      </c>
      <c r="J508">
        <v>-335.7253</v>
      </c>
      <c r="K508">
        <v>1.1103769999999999</v>
      </c>
      <c r="L508">
        <v>367.33659999999998</v>
      </c>
      <c r="M508">
        <v>0.99987919999999997</v>
      </c>
      <c r="N508">
        <v>0</v>
      </c>
      <c r="O508">
        <v>-5.0026159999999997E-3</v>
      </c>
      <c r="P508">
        <v>0.9922029</v>
      </c>
      <c r="Q508">
        <v>0.1214093</v>
      </c>
      <c r="R508">
        <v>-2.8166389999999999E-2</v>
      </c>
      <c r="S508">
        <v>3.0763240000000001</v>
      </c>
      <c r="T508">
        <v>-0.2390227</v>
      </c>
      <c r="U508">
        <v>0.78903199999999996</v>
      </c>
      <c r="V508">
        <v>2.3186100000000001E-2</v>
      </c>
      <c r="W508">
        <v>0.13600489999999901</v>
      </c>
      <c r="X508">
        <v>0.99043680000000001</v>
      </c>
      <c r="Y508">
        <v>-0.25255810000000001</v>
      </c>
      <c r="Z508">
        <v>1.0023509999999999E-2</v>
      </c>
      <c r="AA508">
        <v>0.9675298</v>
      </c>
      <c r="AB508">
        <v>36</v>
      </c>
      <c r="AC508">
        <v>13.936500000000001</v>
      </c>
      <c r="AD508">
        <v>-1.1103808740229999</v>
      </c>
      <c r="AE508">
        <v>3.6671</v>
      </c>
      <c r="AF508">
        <v>-3.7147265090131301</v>
      </c>
      <c r="AG508">
        <v>-1.1103808740229999</v>
      </c>
      <c r="AH508">
        <v>13.8358359873633</v>
      </c>
      <c r="AI508">
        <v>94.432076199898304</v>
      </c>
      <c r="AJ508">
        <v>105.02868587264599</v>
      </c>
      <c r="AK508">
        <v>14.368802879550501</v>
      </c>
      <c r="AL508">
        <v>82.183267541577194</v>
      </c>
      <c r="AM508">
        <v>88.658952217014203</v>
      </c>
      <c r="AN508">
        <v>0.99999999142573004</v>
      </c>
    </row>
    <row r="509" spans="1:40" x14ac:dyDescent="0.25">
      <c r="A509" t="str">
        <f>"20190312164228232"</f>
        <v>20190312164228232</v>
      </c>
      <c r="B509" t="str">
        <f>"1552380148223999"</f>
        <v>1552380148223999</v>
      </c>
      <c r="C509" t="s">
        <v>40</v>
      </c>
      <c r="D509">
        <v>4.3578440000000001</v>
      </c>
      <c r="E509">
        <v>0.38044499999999998</v>
      </c>
      <c r="F509" t="s">
        <v>42</v>
      </c>
      <c r="G509">
        <v>-320.87119999999999</v>
      </c>
      <c r="H509" s="1">
        <v>-4.3311419999999998E-6</v>
      </c>
      <c r="I509">
        <v>371.5985</v>
      </c>
      <c r="J509">
        <v>-335.36779999999999</v>
      </c>
      <c r="K509">
        <v>1.110384</v>
      </c>
      <c r="L509">
        <v>367.3349</v>
      </c>
      <c r="M509">
        <v>0.99987950000000003</v>
      </c>
      <c r="N509">
        <v>0</v>
      </c>
      <c r="O509">
        <v>-4.9391779999999998E-3</v>
      </c>
      <c r="P509">
        <v>0.99227690000000002</v>
      </c>
      <c r="Q509">
        <v>0.1211116</v>
      </c>
      <c r="R509">
        <v>-2.6810710000000001E-2</v>
      </c>
      <c r="S509">
        <v>3.0768430000000002</v>
      </c>
      <c r="T509">
        <v>-0.23000129999999999</v>
      </c>
      <c r="U509">
        <v>0.8828125</v>
      </c>
      <c r="V509">
        <v>2.1893119999999999E-2</v>
      </c>
      <c r="W509">
        <v>0.135704399999999</v>
      </c>
      <c r="X509">
        <v>0.99050740000000004</v>
      </c>
      <c r="Y509">
        <v>-0.2798042</v>
      </c>
      <c r="Z509">
        <v>1.0599290000000001E-2</v>
      </c>
      <c r="AA509">
        <v>0.95999849999999998</v>
      </c>
      <c r="AB509">
        <v>35</v>
      </c>
      <c r="AC509">
        <v>14.496600000000001</v>
      </c>
      <c r="AD509">
        <v>-1.110388331142</v>
      </c>
      <c r="AE509">
        <v>4.2635999999999896</v>
      </c>
      <c r="AF509">
        <v>-4.3118732517861798</v>
      </c>
      <c r="AG509">
        <v>-1.110388331142</v>
      </c>
      <c r="AH509">
        <v>14.3976161894784</v>
      </c>
      <c r="AI509">
        <v>94.2253904607864</v>
      </c>
      <c r="AJ509">
        <v>106.67218102349599</v>
      </c>
      <c r="AK509">
        <v>15.070387026381701</v>
      </c>
      <c r="AL509">
        <v>82.200645727535502</v>
      </c>
      <c r="AM509">
        <v>88.733801318191794</v>
      </c>
      <c r="AN509">
        <v>0.99999995116872598</v>
      </c>
    </row>
    <row r="510" spans="1:40" x14ac:dyDescent="0.25">
      <c r="A510" t="str">
        <f>"20190312164228255"</f>
        <v>20190312164228255</v>
      </c>
      <c r="B510" t="str">
        <f>"1552380148244491"</f>
        <v>1552380148244491</v>
      </c>
      <c r="C510" t="s">
        <v>40</v>
      </c>
      <c r="D510">
        <v>4.2808010000000003</v>
      </c>
      <c r="E510">
        <v>0.37966450000000002</v>
      </c>
      <c r="F510" t="s">
        <v>42</v>
      </c>
      <c r="G510">
        <v>-320.31470000000002</v>
      </c>
      <c r="H510" s="1">
        <v>-4.5483369999999997E-6</v>
      </c>
      <c r="I510">
        <v>371.75529999999998</v>
      </c>
      <c r="J510">
        <v>-335.01679999999999</v>
      </c>
      <c r="K510">
        <v>1.1103809999999901</v>
      </c>
      <c r="L510">
        <v>367.33330000000001</v>
      </c>
      <c r="M510">
        <v>0.99987990000000004</v>
      </c>
      <c r="N510">
        <v>0</v>
      </c>
      <c r="O510">
        <v>-4.8770489999999996E-3</v>
      </c>
      <c r="P510">
        <v>0.99234549999999999</v>
      </c>
      <c r="Q510">
        <v>0.12087440000000001</v>
      </c>
      <c r="R510">
        <v>-2.529901E-2</v>
      </c>
      <c r="S510">
        <v>3.0754700000000001</v>
      </c>
      <c r="T510">
        <v>-0.2268608</v>
      </c>
      <c r="U510">
        <v>0.90313719999999997</v>
      </c>
      <c r="V510">
        <v>2.04429E-2</v>
      </c>
      <c r="W510">
        <v>0.13546440000000001</v>
      </c>
      <c r="X510">
        <v>0.99057130000000004</v>
      </c>
      <c r="Y510">
        <v>-0.28571010000000002</v>
      </c>
      <c r="Z510">
        <v>1.0658569999999999E-2</v>
      </c>
      <c r="AA510">
        <v>0.95825680000000002</v>
      </c>
      <c r="AB510">
        <v>35</v>
      </c>
      <c r="AC510">
        <v>14.7020999999999</v>
      </c>
      <c r="AD510">
        <v>-1.11038554833699</v>
      </c>
      <c r="AE510">
        <v>4.4219999999999597</v>
      </c>
      <c r="AF510">
        <v>-4.4702744150703904</v>
      </c>
      <c r="AG510">
        <v>-1.11038554833699</v>
      </c>
      <c r="AH510">
        <v>14.603964438135501</v>
      </c>
      <c r="AI510">
        <v>94.158279326576405</v>
      </c>
      <c r="AJ510">
        <v>107.019352809273</v>
      </c>
      <c r="AK510">
        <v>15.3131344512583</v>
      </c>
      <c r="AL510">
        <v>82.214525324221199</v>
      </c>
      <c r="AM510">
        <v>88.817727056266193</v>
      </c>
      <c r="AN510">
        <v>1.0000000081057301</v>
      </c>
    </row>
    <row r="511" spans="1:40" x14ac:dyDescent="0.25">
      <c r="A511" t="str">
        <f>"20190312164228276"</f>
        <v>20190312164228276</v>
      </c>
      <c r="B511" t="str">
        <f>"1552380148264012"</f>
        <v>1552380148264012</v>
      </c>
      <c r="C511" t="s">
        <v>40</v>
      </c>
      <c r="D511">
        <v>4.251131</v>
      </c>
      <c r="E511">
        <v>0.37956210000000001</v>
      </c>
      <c r="F511" t="s">
        <v>43</v>
      </c>
      <c r="G511">
        <v>-318.94900000000001</v>
      </c>
      <c r="H511">
        <v>-0.05</v>
      </c>
      <c r="I511">
        <v>372.10980000000001</v>
      </c>
      <c r="J511">
        <v>-334.6771</v>
      </c>
      <c r="K511">
        <v>1.1103809999999901</v>
      </c>
      <c r="L511">
        <v>367.33170000000001</v>
      </c>
      <c r="M511">
        <v>0.99988030000000006</v>
      </c>
      <c r="N511">
        <v>0</v>
      </c>
      <c r="O511">
        <v>-4.8168300000000002E-3</v>
      </c>
      <c r="P511">
        <v>0.99246809999999996</v>
      </c>
      <c r="Q511">
        <v>0.1201142</v>
      </c>
      <c r="R511">
        <v>-2.408008E-2</v>
      </c>
      <c r="S511">
        <v>3.0734560000000002</v>
      </c>
      <c r="T511">
        <v>-0.2219583</v>
      </c>
      <c r="U511">
        <v>0.91366579999999997</v>
      </c>
      <c r="V511">
        <v>1.9283370000000001E-2</v>
      </c>
      <c r="W511">
        <v>0.1347014</v>
      </c>
      <c r="X511">
        <v>0.99069859999999998</v>
      </c>
      <c r="Y511">
        <v>-0.28886319999999999</v>
      </c>
      <c r="Z511">
        <v>1.053746E-2</v>
      </c>
      <c r="AA511">
        <v>0.95731239999999995</v>
      </c>
      <c r="AB511">
        <v>35</v>
      </c>
      <c r="AC511">
        <v>15.7280999999999</v>
      </c>
      <c r="AD511">
        <v>-1.1603810000000001</v>
      </c>
      <c r="AE511">
        <v>4.7780999999999896</v>
      </c>
      <c r="AF511">
        <v>-4.8297446295121702</v>
      </c>
      <c r="AG511">
        <v>-1.1603810000000001</v>
      </c>
      <c r="AH511">
        <v>15.627026731995601</v>
      </c>
      <c r="AI511">
        <v>94.057977687874498</v>
      </c>
      <c r="AJ511">
        <v>107.17447365418801</v>
      </c>
      <c r="AK511">
        <v>16.397465710711799</v>
      </c>
      <c r="AL511">
        <v>82.258646465143997</v>
      </c>
      <c r="AM511">
        <v>88.884911901901503</v>
      </c>
      <c r="AN511">
        <v>1.0000000157812301</v>
      </c>
    </row>
    <row r="512" spans="1:40" x14ac:dyDescent="0.25">
      <c r="A512" t="str">
        <f>"20190312164228300"</f>
        <v>20190312164228300</v>
      </c>
      <c r="B512" t="str">
        <f>"1552380148294268"</f>
        <v>1552380148294268</v>
      </c>
      <c r="C512" t="s">
        <v>40</v>
      </c>
      <c r="D512">
        <v>4.1947469999999996</v>
      </c>
      <c r="E512">
        <v>0.37961489999999998</v>
      </c>
      <c r="F512" t="s">
        <v>43</v>
      </c>
      <c r="G512">
        <v>-318.76639999999998</v>
      </c>
      <c r="H512">
        <v>-0.05</v>
      </c>
      <c r="I512">
        <v>372.08679999999998</v>
      </c>
      <c r="J512">
        <v>-334.30950000000001</v>
      </c>
      <c r="K512">
        <v>1.1103780000000001</v>
      </c>
      <c r="L512">
        <v>367.32990000000001</v>
      </c>
      <c r="M512">
        <v>0.99988060000000001</v>
      </c>
      <c r="N512">
        <v>0</v>
      </c>
      <c r="O512">
        <v>-4.7516009999999899E-3</v>
      </c>
      <c r="P512">
        <v>0.99249050000000005</v>
      </c>
      <c r="Q512">
        <v>0.1201673</v>
      </c>
      <c r="R512">
        <v>-2.2859870000000001E-2</v>
      </c>
      <c r="S512">
        <v>3.072235</v>
      </c>
      <c r="T512">
        <v>-0.2240617</v>
      </c>
      <c r="U512">
        <v>0.91818239999999995</v>
      </c>
      <c r="V512">
        <v>1.8127850000000001E-2</v>
      </c>
      <c r="W512">
        <v>0.13475100000000001</v>
      </c>
      <c r="X512">
        <v>0.99071370000000003</v>
      </c>
      <c r="Y512">
        <v>-0.2901802</v>
      </c>
      <c r="Z512">
        <v>1.068123E-2</v>
      </c>
      <c r="AA512">
        <v>0.9569124</v>
      </c>
      <c r="AB512">
        <v>35</v>
      </c>
      <c r="AC512">
        <v>15.543100000000001</v>
      </c>
      <c r="AD512">
        <v>-1.1603779999999999</v>
      </c>
      <c r="AE512">
        <v>4.7568999999999697</v>
      </c>
      <c r="AF512">
        <v>-4.8062158234161201</v>
      </c>
      <c r="AG512">
        <v>-1.1603779999999999</v>
      </c>
      <c r="AH512">
        <v>15.4416267574559</v>
      </c>
      <c r="AI512">
        <v>94.103991886926295</v>
      </c>
      <c r="AJ512">
        <v>107.288785693441</v>
      </c>
      <c r="AK512">
        <v>16.213883697643801</v>
      </c>
      <c r="AL512">
        <v>82.255778659715602</v>
      </c>
      <c r="AM512">
        <v>88.951732065702302</v>
      </c>
      <c r="AN512">
        <v>1.0000000431571501</v>
      </c>
    </row>
    <row r="513" spans="1:40" x14ac:dyDescent="0.25">
      <c r="A513" t="str">
        <f>"20190312164228321"</f>
        <v>20190312164228321</v>
      </c>
      <c r="B513" t="str">
        <f>"1552380148314764"</f>
        <v>1552380148314764</v>
      </c>
      <c r="C513" t="s">
        <v>40</v>
      </c>
      <c r="D513">
        <v>4.2140129999999996</v>
      </c>
      <c r="E513">
        <v>0.37920429999999999</v>
      </c>
      <c r="F513" t="s">
        <v>43</v>
      </c>
      <c r="G513">
        <v>-318.18770000000001</v>
      </c>
      <c r="H513">
        <v>-0.05</v>
      </c>
      <c r="I513">
        <v>372.16550000000001</v>
      </c>
      <c r="J513">
        <v>-333.96179999999998</v>
      </c>
      <c r="K513">
        <v>1.1103799999999999</v>
      </c>
      <c r="L513">
        <v>367.32830000000001</v>
      </c>
      <c r="M513">
        <v>0.99988100000000002</v>
      </c>
      <c r="N513">
        <v>0</v>
      </c>
      <c r="O513">
        <v>-4.6898309999999898E-3</v>
      </c>
      <c r="P513">
        <v>0.99252149999999995</v>
      </c>
      <c r="Q513">
        <v>0.1200046</v>
      </c>
      <c r="R513">
        <v>-2.2361309999999999E-2</v>
      </c>
      <c r="S513">
        <v>3.0706790000000002</v>
      </c>
      <c r="T513">
        <v>-0.22101380000000001</v>
      </c>
      <c r="U513">
        <v>0.92102050000000002</v>
      </c>
      <c r="V513">
        <v>1.76905999999999E-2</v>
      </c>
      <c r="W513">
        <v>0.13458519999999999</v>
      </c>
      <c r="X513">
        <v>0.99074410000000002</v>
      </c>
      <c r="Y513">
        <v>-0.29108270000000003</v>
      </c>
      <c r="Z513">
        <v>1.0567419999999999E-2</v>
      </c>
      <c r="AA513">
        <v>0.95663949999999998</v>
      </c>
      <c r="AB513">
        <v>35</v>
      </c>
      <c r="AC513">
        <v>15.774099999999899</v>
      </c>
      <c r="AD513">
        <v>-1.16038</v>
      </c>
      <c r="AE513">
        <v>4.8371999999999904</v>
      </c>
      <c r="AF513">
        <v>-4.8869603400926502</v>
      </c>
      <c r="AG513">
        <v>-1.16038</v>
      </c>
      <c r="AH513">
        <v>15.6737117202067</v>
      </c>
      <c r="AI513">
        <v>94.042811824710995</v>
      </c>
      <c r="AJ513">
        <v>107.31713548157499</v>
      </c>
      <c r="AK513">
        <v>16.458860902206599</v>
      </c>
      <c r="AL513">
        <v>82.265365313428305</v>
      </c>
      <c r="AM513">
        <v>88.977042593296503</v>
      </c>
      <c r="AN513">
        <v>1.0000000025361</v>
      </c>
    </row>
    <row r="514" spans="1:40" x14ac:dyDescent="0.25">
      <c r="A514" t="str">
        <f>"20190312164228334"</f>
        <v>20190312164228334</v>
      </c>
      <c r="B514" t="str">
        <f>"1552380148324524"</f>
        <v>1552380148324524</v>
      </c>
      <c r="C514" t="s">
        <v>40</v>
      </c>
      <c r="D514">
        <v>4.225123</v>
      </c>
      <c r="E514">
        <v>0.37906479999999998</v>
      </c>
      <c r="F514" t="s">
        <v>43</v>
      </c>
      <c r="G514">
        <v>-318.01400000000001</v>
      </c>
      <c r="H514">
        <v>-0.05</v>
      </c>
      <c r="I514">
        <v>372.13249999999999</v>
      </c>
      <c r="J514">
        <v>-333.74990000000003</v>
      </c>
      <c r="K514">
        <v>1.110382</v>
      </c>
      <c r="L514">
        <v>367.32740000000001</v>
      </c>
      <c r="M514">
        <v>0.99988129999999997</v>
      </c>
      <c r="N514">
        <v>0</v>
      </c>
      <c r="O514">
        <v>-4.652387E-3</v>
      </c>
      <c r="P514">
        <v>0.99252899999999999</v>
      </c>
      <c r="Q514">
        <v>0.1200413</v>
      </c>
      <c r="R514">
        <v>-2.1830530000000001E-2</v>
      </c>
      <c r="S514">
        <v>3.070465</v>
      </c>
      <c r="T514">
        <v>-0.2234112</v>
      </c>
      <c r="U514">
        <v>0.92495729999999998</v>
      </c>
      <c r="V514">
        <v>1.7197069999999998E-2</v>
      </c>
      <c r="W514">
        <v>0.13461919999999999</v>
      </c>
      <c r="X514">
        <v>0.99074819999999997</v>
      </c>
      <c r="Y514">
        <v>-0.29217219999999999</v>
      </c>
      <c r="Z514">
        <v>1.071662E-2</v>
      </c>
      <c r="AA514">
        <v>0.95630570000000004</v>
      </c>
      <c r="AB514">
        <v>35</v>
      </c>
      <c r="AC514">
        <v>15.735900000000001</v>
      </c>
      <c r="AD514">
        <v>-1.160382</v>
      </c>
      <c r="AE514">
        <v>4.8050999999999799</v>
      </c>
      <c r="AF514">
        <v>-4.85412121329475</v>
      </c>
      <c r="AG514">
        <v>-1.160382</v>
      </c>
      <c r="AH514">
        <v>15.6356013298638</v>
      </c>
      <c r="AI514">
        <v>94.054175953171097</v>
      </c>
      <c r="AJ514">
        <v>107.247118816656</v>
      </c>
      <c r="AK514">
        <v>16.412830593341301</v>
      </c>
      <c r="AL514">
        <v>82.263399595709501</v>
      </c>
      <c r="AM514">
        <v>89.005579224087199</v>
      </c>
      <c r="AN514">
        <v>1.0000000320142299</v>
      </c>
    </row>
    <row r="515" spans="1:40" x14ac:dyDescent="0.25">
      <c r="A515" t="str">
        <f>"20190312164228354"</f>
        <v>20190312164228354</v>
      </c>
      <c r="B515" t="str">
        <f>"1552380148344047"</f>
        <v>1552380148344047</v>
      </c>
      <c r="C515" t="s">
        <v>40</v>
      </c>
      <c r="D515">
        <v>4.186585</v>
      </c>
      <c r="E515">
        <v>0.37861539999999999</v>
      </c>
      <c r="F515" t="s">
        <v>43</v>
      </c>
      <c r="G515">
        <v>-317.82960000000003</v>
      </c>
      <c r="H515">
        <v>-0.05</v>
      </c>
      <c r="I515">
        <v>372.14010000000002</v>
      </c>
      <c r="J515">
        <v>-333.4443</v>
      </c>
      <c r="K515">
        <v>1.1103809999999901</v>
      </c>
      <c r="L515">
        <v>367.32600000000002</v>
      </c>
      <c r="M515">
        <v>0.99988140000000003</v>
      </c>
      <c r="N515">
        <v>0</v>
      </c>
      <c r="O515">
        <v>-4.5978900000000003E-3</v>
      </c>
      <c r="P515">
        <v>0.992564</v>
      </c>
      <c r="Q515">
        <v>0.11980010000000001</v>
      </c>
      <c r="R515">
        <v>-2.1557389999999999E-2</v>
      </c>
      <c r="S515">
        <v>3.0700379999999998</v>
      </c>
      <c r="T515">
        <v>-0.2237653</v>
      </c>
      <c r="U515">
        <v>0.92807010000000001</v>
      </c>
      <c r="V515">
        <v>1.6977860000000001E-2</v>
      </c>
      <c r="W515">
        <v>0.13437539999999901</v>
      </c>
      <c r="X515">
        <v>0.99078509999999997</v>
      </c>
      <c r="Y515">
        <v>-0.2930413</v>
      </c>
      <c r="Z515">
        <v>1.0760509999999999E-2</v>
      </c>
      <c r="AA515">
        <v>0.95603919999999998</v>
      </c>
      <c r="AB515">
        <v>35</v>
      </c>
      <c r="AC515">
        <v>15.6146999999999</v>
      </c>
      <c r="AD515">
        <v>-1.1603810000000001</v>
      </c>
      <c r="AE515">
        <v>4.8141000000000496</v>
      </c>
      <c r="AF515">
        <v>-4.8613352496607396</v>
      </c>
      <c r="AG515">
        <v>-1.1603810000000001</v>
      </c>
      <c r="AH515">
        <v>15.5141581037339</v>
      </c>
      <c r="AI515">
        <v>94.082451382464896</v>
      </c>
      <c r="AJ515">
        <v>107.39829435746999</v>
      </c>
      <c r="AK515">
        <v>16.299330236006799</v>
      </c>
      <c r="AL515">
        <v>82.277496569888001</v>
      </c>
      <c r="AM515">
        <v>89.018289104244104</v>
      </c>
      <c r="AN515">
        <v>1.0000000551186701</v>
      </c>
    </row>
    <row r="516" spans="1:40" x14ac:dyDescent="0.25">
      <c r="A516" t="str">
        <f>"20190312164228368"</f>
        <v>20190312164228368</v>
      </c>
      <c r="B516" t="str">
        <f>"1552380148364539"</f>
        <v>1552380148364539</v>
      </c>
      <c r="C516" t="s">
        <v>40</v>
      </c>
      <c r="D516">
        <v>4.1802729999999997</v>
      </c>
      <c r="E516">
        <v>0.37833749999999999</v>
      </c>
      <c r="F516" t="s">
        <v>43</v>
      </c>
      <c r="G516">
        <v>-317.47359999999998</v>
      </c>
      <c r="H516">
        <v>-0.05</v>
      </c>
      <c r="I516">
        <v>372.18020000000001</v>
      </c>
      <c r="J516">
        <v>-333.22890000000001</v>
      </c>
      <c r="K516">
        <v>1.110382</v>
      </c>
      <c r="L516">
        <v>367.32510000000002</v>
      </c>
      <c r="M516">
        <v>0.99988180000000004</v>
      </c>
      <c r="N516">
        <v>0</v>
      </c>
      <c r="O516">
        <v>-4.5598499999999998E-3</v>
      </c>
      <c r="P516">
        <v>0.99259589999999998</v>
      </c>
      <c r="Q516">
        <v>0.1195335</v>
      </c>
      <c r="R516">
        <v>-2.1578389999999999E-2</v>
      </c>
      <c r="S516">
        <v>3.0696720000000002</v>
      </c>
      <c r="T516">
        <v>-0.22303329999999999</v>
      </c>
      <c r="U516">
        <v>0.93301389999999995</v>
      </c>
      <c r="V516">
        <v>1.7036550000000001E-2</v>
      </c>
      <c r="W516">
        <v>0.134107</v>
      </c>
      <c r="X516">
        <v>0.99082040000000005</v>
      </c>
      <c r="Y516">
        <v>-0.29444799999999999</v>
      </c>
      <c r="Z516">
        <v>1.07714E-2</v>
      </c>
      <c r="AA516">
        <v>0.95560679999999998</v>
      </c>
      <c r="AB516">
        <v>35</v>
      </c>
      <c r="AC516">
        <v>15.7553</v>
      </c>
      <c r="AD516">
        <v>-1.160382</v>
      </c>
      <c r="AE516">
        <v>4.8550999999999904</v>
      </c>
      <c r="AF516">
        <v>-4.9026118526144202</v>
      </c>
      <c r="AG516">
        <v>-1.160382</v>
      </c>
      <c r="AH516">
        <v>15.655439252761401</v>
      </c>
      <c r="AI516">
        <v>94.045955979509699</v>
      </c>
      <c r="AJ516">
        <v>107.388317369993</v>
      </c>
      <c r="AK516">
        <v>16.4461201369874</v>
      </c>
      <c r="AL516">
        <v>82.293014779670202</v>
      </c>
      <c r="AM516">
        <v>89.014931229062498</v>
      </c>
      <c r="AN516">
        <v>0.99999999827053099</v>
      </c>
    </row>
    <row r="517" spans="1:40" x14ac:dyDescent="0.25">
      <c r="A517" t="str">
        <f>"20190312164228388"</f>
        <v>20190312164228388</v>
      </c>
      <c r="B517" t="str">
        <f>"1552380148384059"</f>
        <v>1552380148384059</v>
      </c>
      <c r="C517" t="s">
        <v>40</v>
      </c>
      <c r="D517">
        <v>4.1681039999999996</v>
      </c>
      <c r="E517">
        <v>0.37788070000000001</v>
      </c>
      <c r="F517" t="s">
        <v>43</v>
      </c>
      <c r="G517">
        <v>-317.35950000000003</v>
      </c>
      <c r="H517">
        <v>-0.05</v>
      </c>
      <c r="I517">
        <v>372.16239999999999</v>
      </c>
      <c r="J517">
        <v>-332.91239999999999</v>
      </c>
      <c r="K517">
        <v>1.110382</v>
      </c>
      <c r="L517">
        <v>367.32369999999997</v>
      </c>
      <c r="M517">
        <v>0.99988200000000005</v>
      </c>
      <c r="N517">
        <v>0</v>
      </c>
      <c r="O517">
        <v>-4.503445E-3</v>
      </c>
      <c r="P517">
        <v>0.99268380000000001</v>
      </c>
      <c r="Q517">
        <v>0.11886090000000001</v>
      </c>
      <c r="R517">
        <v>-2.1239170000000002E-2</v>
      </c>
      <c r="S517">
        <v>3.069763</v>
      </c>
      <c r="T517">
        <v>-0.2244641</v>
      </c>
      <c r="U517">
        <v>0.93572999999999995</v>
      </c>
      <c r="V517">
        <v>1.675314E-2</v>
      </c>
      <c r="W517">
        <v>0.1334322</v>
      </c>
      <c r="X517">
        <v>0.99091629999999997</v>
      </c>
      <c r="Y517">
        <v>-0.2951493</v>
      </c>
      <c r="Z517">
        <v>1.085966E-2</v>
      </c>
      <c r="AA517">
        <v>0.95538940000000006</v>
      </c>
      <c r="AB517">
        <v>35</v>
      </c>
      <c r="AC517">
        <v>15.5528999999999</v>
      </c>
      <c r="AD517">
        <v>-1.160382</v>
      </c>
      <c r="AE517">
        <v>4.83870000000001</v>
      </c>
      <c r="AF517">
        <v>-4.8839131459527998</v>
      </c>
      <c r="AG517">
        <v>-1.160382</v>
      </c>
      <c r="AH517">
        <v>15.4525240340172</v>
      </c>
      <c r="AI517">
        <v>94.095513230531793</v>
      </c>
      <c r="AJ517">
        <v>107.539622646102</v>
      </c>
      <c r="AK517">
        <v>16.247448815891499</v>
      </c>
      <c r="AL517">
        <v>82.3320283670311</v>
      </c>
      <c r="AM517">
        <v>89.031408833969294</v>
      </c>
      <c r="AN517">
        <v>0.99999996665119395</v>
      </c>
    </row>
    <row r="518" spans="1:40" x14ac:dyDescent="0.25">
      <c r="A518" t="str">
        <f>"20190312164228411"</f>
        <v>20190312164228411</v>
      </c>
      <c r="B518" t="str">
        <f>"1552380148404556"</f>
        <v>1552380148404556</v>
      </c>
      <c r="C518" t="s">
        <v>40</v>
      </c>
      <c r="D518">
        <v>4.1756949999999904</v>
      </c>
      <c r="E518">
        <v>0.3774769</v>
      </c>
      <c r="F518" t="s">
        <v>43</v>
      </c>
      <c r="G518">
        <v>-317.48099999999999</v>
      </c>
      <c r="H518">
        <v>-0.05</v>
      </c>
      <c r="I518">
        <v>372.0489</v>
      </c>
      <c r="J518">
        <v>-332.54930000000002</v>
      </c>
      <c r="K518">
        <v>1.110379</v>
      </c>
      <c r="L518">
        <v>367.32209999999998</v>
      </c>
      <c r="M518">
        <v>0.9998823</v>
      </c>
      <c r="N518">
        <v>0</v>
      </c>
      <c r="O518">
        <v>-4.4386920000000002E-3</v>
      </c>
      <c r="P518">
        <v>0.99273290000000003</v>
      </c>
      <c r="Q518">
        <v>0.118359199999999</v>
      </c>
      <c r="R518">
        <v>-2.1735109999999998E-2</v>
      </c>
      <c r="S518">
        <v>3.0698240000000001</v>
      </c>
      <c r="T518">
        <v>-0.2308383</v>
      </c>
      <c r="U518">
        <v>0.94000240000000002</v>
      </c>
      <c r="V518">
        <v>1.7313229999999999E-2</v>
      </c>
      <c r="W518">
        <v>0.1329275</v>
      </c>
      <c r="X518">
        <v>0.99097449999999998</v>
      </c>
      <c r="Y518">
        <v>-0.29625370000000001</v>
      </c>
      <c r="Z518">
        <v>1.120061E-2</v>
      </c>
      <c r="AA518">
        <v>0.95504359999999999</v>
      </c>
      <c r="AB518">
        <v>35</v>
      </c>
      <c r="AC518">
        <v>15.068300000000001</v>
      </c>
      <c r="AD518">
        <v>-1.160379</v>
      </c>
      <c r="AE518">
        <v>4.7268000000000203</v>
      </c>
      <c r="AF518">
        <v>-4.7679024916319603</v>
      </c>
      <c r="AG518">
        <v>-1.160379</v>
      </c>
      <c r="AH518">
        <v>14.9663657217991</v>
      </c>
      <c r="AI518">
        <v>94.225009967157902</v>
      </c>
      <c r="AJ518">
        <v>107.670552574928</v>
      </c>
      <c r="AK518">
        <v>15.7502849660568</v>
      </c>
      <c r="AL518">
        <v>82.361205440137994</v>
      </c>
      <c r="AM518">
        <v>88.999092207276206</v>
      </c>
      <c r="AN518">
        <v>0.99999996391976498</v>
      </c>
    </row>
    <row r="519" spans="1:40" x14ac:dyDescent="0.25">
      <c r="A519" t="str">
        <f>"20190312164228432"</f>
        <v>20190312164228432</v>
      </c>
      <c r="B519" t="str">
        <f>"1552380148424079"</f>
        <v>1552380148424079</v>
      </c>
      <c r="C519" t="s">
        <v>40</v>
      </c>
      <c r="D519">
        <v>4.2495349999999998</v>
      </c>
      <c r="E519">
        <v>0.37723440000000003</v>
      </c>
      <c r="F519" t="s">
        <v>43</v>
      </c>
      <c r="G519">
        <v>-317.46379999999999</v>
      </c>
      <c r="H519">
        <v>-0.05</v>
      </c>
      <c r="I519">
        <v>371.94589999999999</v>
      </c>
      <c r="J519">
        <v>-332.2106</v>
      </c>
      <c r="K519">
        <v>1.110366</v>
      </c>
      <c r="L519">
        <v>367.32060000000001</v>
      </c>
      <c r="M519">
        <v>0.99988270000000001</v>
      </c>
      <c r="N519">
        <v>0</v>
      </c>
      <c r="O519">
        <v>-4.3790629999999999E-3</v>
      </c>
      <c r="P519">
        <v>0.99276889999999995</v>
      </c>
      <c r="Q519">
        <v>0.1178607</v>
      </c>
      <c r="R519">
        <v>-2.2783250000000001E-2</v>
      </c>
      <c r="S519">
        <v>3.0707399999999998</v>
      </c>
      <c r="T519">
        <v>-0.23620260000000001</v>
      </c>
      <c r="U519">
        <v>0.94119260000000005</v>
      </c>
      <c r="V519">
        <v>1.8420389999999998E-2</v>
      </c>
      <c r="W519">
        <v>0.13242599999999999</v>
      </c>
      <c r="X519">
        <v>0.99102170000000001</v>
      </c>
      <c r="Y519">
        <v>-0.29641919999999999</v>
      </c>
      <c r="Z519">
        <v>1.1458029999999999E-2</v>
      </c>
      <c r="AA519">
        <v>0.95498919999999998</v>
      </c>
      <c r="AB519">
        <v>35</v>
      </c>
      <c r="AC519">
        <v>14.7468</v>
      </c>
      <c r="AD519">
        <v>-1.160366</v>
      </c>
      <c r="AE519">
        <v>4.6252999999999798</v>
      </c>
      <c r="AF519">
        <v>-4.6635515801806902</v>
      </c>
      <c r="AG519">
        <v>-1.160366</v>
      </c>
      <c r="AH519">
        <v>14.6438553027012</v>
      </c>
      <c r="AI519">
        <v>94.317800128299893</v>
      </c>
      <c r="AJ519">
        <v>107.66484302718899</v>
      </c>
      <c r="AK519">
        <v>15.412256834137301</v>
      </c>
      <c r="AL519">
        <v>82.390195712660102</v>
      </c>
      <c r="AM519">
        <v>88.9351503748737</v>
      </c>
      <c r="AN519">
        <v>0.99999998305732096</v>
      </c>
    </row>
    <row r="520" spans="1:40" x14ac:dyDescent="0.25">
      <c r="A520" t="str">
        <f>"20190312164228446"</f>
        <v>20190312164228446</v>
      </c>
      <c r="B520" t="str">
        <f>"1552380148434812"</f>
        <v>1552380148434812</v>
      </c>
      <c r="C520" t="s">
        <v>40</v>
      </c>
      <c r="D520">
        <v>4.0650810000000002</v>
      </c>
      <c r="E520">
        <v>0.37835859999999999</v>
      </c>
      <c r="F520" t="s">
        <v>43</v>
      </c>
      <c r="G520">
        <v>-317.21120000000002</v>
      </c>
      <c r="H520">
        <v>-0.05</v>
      </c>
      <c r="I520">
        <v>371.9144</v>
      </c>
      <c r="J520">
        <v>-331.9982</v>
      </c>
      <c r="K520">
        <v>1.1103639999999999</v>
      </c>
      <c r="L520">
        <v>367.31979999999999</v>
      </c>
      <c r="M520">
        <v>0.99988290000000002</v>
      </c>
      <c r="N520">
        <v>0</v>
      </c>
      <c r="O520">
        <v>-4.3413770000000004E-3</v>
      </c>
      <c r="P520">
        <v>0.99278860000000002</v>
      </c>
      <c r="Q520">
        <v>0.117586</v>
      </c>
      <c r="R520">
        <v>-2.3332809999999999E-2</v>
      </c>
      <c r="S520">
        <v>3.0716549999999998</v>
      </c>
      <c r="T520">
        <v>-0.23762620000000001</v>
      </c>
      <c r="U520">
        <v>0.94073490000000004</v>
      </c>
      <c r="V520">
        <v>1.9007409999999999E-2</v>
      </c>
      <c r="W520">
        <v>0.132149499999999</v>
      </c>
      <c r="X520">
        <v>0.99104760000000003</v>
      </c>
      <c r="Y520">
        <v>-0.29616479999999901</v>
      </c>
      <c r="Z520">
        <v>1.151141E-2</v>
      </c>
      <c r="AA520">
        <v>0.95506749999999996</v>
      </c>
      <c r="AB520">
        <v>35</v>
      </c>
      <c r="AC520">
        <v>14.7869999999999</v>
      </c>
      <c r="AD520">
        <v>-1.160364</v>
      </c>
      <c r="AE520">
        <v>4.5946000000000096</v>
      </c>
      <c r="AF520">
        <v>-4.6327435978904701</v>
      </c>
      <c r="AG520">
        <v>-1.160364</v>
      </c>
      <c r="AH520">
        <v>14.6844485966559</v>
      </c>
      <c r="AI520">
        <v>94.309583254262407</v>
      </c>
      <c r="AJ520">
        <v>107.509776001063</v>
      </c>
      <c r="AK520">
        <v>15.441560427758599</v>
      </c>
      <c r="AL520">
        <v>82.406179040730507</v>
      </c>
      <c r="AM520">
        <v>88.901252703481006</v>
      </c>
      <c r="AN520">
        <v>1.0000000587254501</v>
      </c>
    </row>
    <row r="521" spans="1:40" x14ac:dyDescent="0.25">
      <c r="A521" t="str">
        <f>"20190312164228466"</f>
        <v>20190312164228466</v>
      </c>
      <c r="B521" t="str">
        <f>"1552380148454333"</f>
        <v>1552380148454333</v>
      </c>
      <c r="C521" t="s">
        <v>40</v>
      </c>
      <c r="D521">
        <v>4.4289870000000002</v>
      </c>
      <c r="E521">
        <v>0.4531905</v>
      </c>
      <c r="F521" t="s">
        <v>43</v>
      </c>
      <c r="G521">
        <v>-317.35180000000003</v>
      </c>
      <c r="H521">
        <v>-0.05</v>
      </c>
      <c r="I521">
        <v>371.7527</v>
      </c>
      <c r="J521">
        <v>-331.69900000000001</v>
      </c>
      <c r="K521">
        <v>1.110363</v>
      </c>
      <c r="L521">
        <v>367.3186</v>
      </c>
      <c r="M521">
        <v>0.99988330000000003</v>
      </c>
      <c r="N521">
        <v>0</v>
      </c>
      <c r="O521">
        <v>-4.2884280000000004E-3</v>
      </c>
      <c r="P521">
        <v>0.99281129999999995</v>
      </c>
      <c r="Q521">
        <v>0.1172446</v>
      </c>
      <c r="R521">
        <v>-2.4082139999999998E-2</v>
      </c>
      <c r="S521">
        <v>3.072479</v>
      </c>
      <c r="T521">
        <v>-0.2434192</v>
      </c>
      <c r="U521">
        <v>0.92993159999999997</v>
      </c>
      <c r="V521">
        <v>1.9809139999999999E-2</v>
      </c>
      <c r="W521">
        <v>0.13180500000000001</v>
      </c>
      <c r="X521">
        <v>0.99107769999999995</v>
      </c>
      <c r="Y521">
        <v>-0.29293580000000002</v>
      </c>
      <c r="Z521">
        <v>1.166507E-2</v>
      </c>
      <c r="AA521">
        <v>0.95606089999999999</v>
      </c>
      <c r="AB521">
        <v>35</v>
      </c>
      <c r="AC521">
        <v>14.3471999999999</v>
      </c>
      <c r="AD521">
        <v>-1.16036299999999</v>
      </c>
      <c r="AE521">
        <v>4.4340999999999999</v>
      </c>
      <c r="AF521">
        <v>-4.4689096698346802</v>
      </c>
      <c r="AG521">
        <v>-1.16036299999999</v>
      </c>
      <c r="AH521">
        <v>14.243008108441799</v>
      </c>
      <c r="AI521">
        <v>94.444807091444304</v>
      </c>
      <c r="AJ521">
        <v>107.41985673166501</v>
      </c>
      <c r="AK521">
        <v>14.972670967668</v>
      </c>
      <c r="AL521">
        <v>82.426091044834806</v>
      </c>
      <c r="AM521">
        <v>88.854954548151596</v>
      </c>
      <c r="AN521">
        <v>0.99999998374491395</v>
      </c>
    </row>
    <row r="522" spans="1:40" x14ac:dyDescent="0.25">
      <c r="A522" t="str">
        <f>"20190312164228479"</f>
        <v>20190312164228479</v>
      </c>
      <c r="B522" t="str">
        <f>"1552380148474828"</f>
        <v>1552380148474828</v>
      </c>
      <c r="C522" t="s">
        <v>40</v>
      </c>
      <c r="D522">
        <v>4.3999420000000002</v>
      </c>
      <c r="E522">
        <v>0.4766436</v>
      </c>
      <c r="F522" t="s">
        <v>43</v>
      </c>
      <c r="G522">
        <v>-309.83749999999998</v>
      </c>
      <c r="H522">
        <v>-0.05</v>
      </c>
      <c r="I522">
        <v>369.65879999999999</v>
      </c>
      <c r="J522">
        <v>-331.4796</v>
      </c>
      <c r="K522">
        <v>1.110363</v>
      </c>
      <c r="L522">
        <v>367.31760000000003</v>
      </c>
      <c r="M522">
        <v>0.99988350000000004</v>
      </c>
      <c r="N522">
        <v>0</v>
      </c>
      <c r="O522">
        <v>-4.2494339999999999E-3</v>
      </c>
      <c r="P522">
        <v>0.9928131</v>
      </c>
      <c r="Q522">
        <v>0.117091899999999</v>
      </c>
      <c r="R522">
        <v>-2.4743939999999999E-2</v>
      </c>
      <c r="S522">
        <v>3.048737</v>
      </c>
      <c r="T522">
        <v>-0.16182079999999999</v>
      </c>
      <c r="U522">
        <v>0.32635500000000001</v>
      </c>
      <c r="V522">
        <v>2.050971E-2</v>
      </c>
      <c r="W522">
        <v>0.1316504</v>
      </c>
      <c r="X522">
        <v>0.99108399999999996</v>
      </c>
      <c r="Y522">
        <v>-0.110503</v>
      </c>
      <c r="Z522">
        <v>3.147033E-3</v>
      </c>
      <c r="AA522">
        <v>0.99387080000000005</v>
      </c>
      <c r="AB522">
        <v>35</v>
      </c>
      <c r="AC522">
        <v>21.642099999999999</v>
      </c>
      <c r="AD522">
        <v>-1.16036299999999</v>
      </c>
      <c r="AE522">
        <v>2.34119999999995</v>
      </c>
      <c r="AF522">
        <v>-2.4262613787085598</v>
      </c>
      <c r="AG522">
        <v>-1.16036299999999</v>
      </c>
      <c r="AH522">
        <v>21.570663297683598</v>
      </c>
      <c r="AI522">
        <v>93.059918034563097</v>
      </c>
      <c r="AJ522">
        <v>96.417637221332498</v>
      </c>
      <c r="AK522">
        <v>21.737679307405699</v>
      </c>
      <c r="AL522">
        <v>82.435026853223903</v>
      </c>
      <c r="AM522">
        <v>88.814477767285496</v>
      </c>
      <c r="AN522">
        <v>0.99999998554022196</v>
      </c>
    </row>
    <row r="523" spans="1:40" x14ac:dyDescent="0.25">
      <c r="A523" t="str">
        <f>"20190312164228501"</f>
        <v>20190312164228501</v>
      </c>
      <c r="B523" t="str">
        <f>"1552380148494348"</f>
        <v>1552380148494348</v>
      </c>
      <c r="C523" t="s">
        <v>40</v>
      </c>
      <c r="D523">
        <v>4.353491</v>
      </c>
      <c r="E523">
        <v>0.48642370000000001</v>
      </c>
      <c r="F523" t="s">
        <v>43</v>
      </c>
      <c r="G523">
        <v>-313.76280000000003</v>
      </c>
      <c r="H523">
        <v>-0.05</v>
      </c>
      <c r="I523">
        <v>368.12259999999998</v>
      </c>
      <c r="J523">
        <v>-331.161</v>
      </c>
      <c r="K523">
        <v>1.110363</v>
      </c>
      <c r="L523">
        <v>367.31630000000001</v>
      </c>
      <c r="M523">
        <v>0.99988370000000004</v>
      </c>
      <c r="N523">
        <v>0</v>
      </c>
      <c r="O523">
        <v>-4.1926709999999898E-3</v>
      </c>
      <c r="P523">
        <v>0.99283580000000005</v>
      </c>
      <c r="Q523">
        <v>0.116593</v>
      </c>
      <c r="R523">
        <v>-2.614052E-2</v>
      </c>
      <c r="S523">
        <v>3.0487060000000001</v>
      </c>
      <c r="T523">
        <v>-0.19967560000000001</v>
      </c>
      <c r="U523">
        <v>0.13851930000000001</v>
      </c>
      <c r="V523">
        <v>2.196292E-2</v>
      </c>
      <c r="W523">
        <v>0.13114879999999901</v>
      </c>
      <c r="X523">
        <v>0.99111939999999998</v>
      </c>
      <c r="Y523">
        <v>-4.9462279999999997E-2</v>
      </c>
      <c r="Z523">
        <v>1.891406E-3</v>
      </c>
      <c r="AA523">
        <v>0.99877419999999995</v>
      </c>
      <c r="AB523">
        <v>35</v>
      </c>
      <c r="AC523">
        <v>17.3981999999999</v>
      </c>
      <c r="AD523">
        <v>-1.16036299999999</v>
      </c>
      <c r="AE523">
        <v>0.80629999999996405</v>
      </c>
      <c r="AF523">
        <v>-0.87536029720214803</v>
      </c>
      <c r="AG523">
        <v>-1.16036299999999</v>
      </c>
      <c r="AH523">
        <v>17.317799114988699</v>
      </c>
      <c r="AI523">
        <v>93.828447442020206</v>
      </c>
      <c r="AJ523">
        <v>92.893658772402404</v>
      </c>
      <c r="AK523">
        <v>17.378689942823399</v>
      </c>
      <c r="AL523">
        <v>82.464018054556703</v>
      </c>
      <c r="AM523">
        <v>88.730549815686501</v>
      </c>
      <c r="AN523">
        <v>1.00000002132636</v>
      </c>
    </row>
    <row r="524" spans="1:40" x14ac:dyDescent="0.25">
      <c r="A524" t="str">
        <f>"20190312164228523"</f>
        <v>20190312164228523</v>
      </c>
      <c r="B524" t="str">
        <f>"1552380148514845"</f>
        <v>1552380148514845</v>
      </c>
      <c r="C524" t="s">
        <v>40</v>
      </c>
      <c r="D524">
        <v>4.3076949999999998</v>
      </c>
      <c r="E524">
        <v>0.49063109999999999</v>
      </c>
      <c r="F524" t="s">
        <v>43</v>
      </c>
      <c r="G524">
        <v>-312.31610000000001</v>
      </c>
      <c r="H524">
        <v>-0.05</v>
      </c>
      <c r="I524">
        <v>367.66019999999997</v>
      </c>
      <c r="J524">
        <v>-330.81060000000002</v>
      </c>
      <c r="K524">
        <v>1.110365</v>
      </c>
      <c r="L524">
        <v>367.31490000000002</v>
      </c>
      <c r="M524">
        <v>0.999884</v>
      </c>
      <c r="N524">
        <v>0</v>
      </c>
      <c r="O524">
        <v>-4.1300670000000003E-3</v>
      </c>
      <c r="P524">
        <v>0.99283639999999995</v>
      </c>
      <c r="Q524">
        <v>0.1163809</v>
      </c>
      <c r="R524">
        <v>-2.7051370000000002E-2</v>
      </c>
      <c r="S524">
        <v>3.0451350000000001</v>
      </c>
      <c r="T524">
        <v>-0.18750269999999999</v>
      </c>
      <c r="U524">
        <v>5.5572509999999999E-2</v>
      </c>
      <c r="V524">
        <v>2.2935810000000001E-2</v>
      </c>
      <c r="W524">
        <v>0.13093279999999999</v>
      </c>
      <c r="X524">
        <v>0.9911259</v>
      </c>
      <c r="Y524">
        <v>-2.2326140000000001E-2</v>
      </c>
      <c r="Z524">
        <v>9.4072760000000002E-4</v>
      </c>
      <c r="AA524">
        <v>0.99975029999999998</v>
      </c>
      <c r="AB524">
        <v>35</v>
      </c>
      <c r="AC524">
        <v>18.494499999999999</v>
      </c>
      <c r="AD524">
        <v>-1.1603649999999901</v>
      </c>
      <c r="AE524">
        <v>0.34529999999995098</v>
      </c>
      <c r="AF524">
        <v>-0.42003591675794399</v>
      </c>
      <c r="AG524">
        <v>-1.1603649999999901</v>
      </c>
      <c r="AH524">
        <v>18.420430244970301</v>
      </c>
      <c r="AI524">
        <v>93.603557333431596</v>
      </c>
      <c r="AJ524">
        <v>91.306273254964296</v>
      </c>
      <c r="AK524">
        <v>18.461720600052601</v>
      </c>
      <c r="AL524">
        <v>82.476501423895598</v>
      </c>
      <c r="AM524">
        <v>88.674345397732296</v>
      </c>
      <c r="AN524">
        <v>0.99999999957350305</v>
      </c>
    </row>
    <row r="525" spans="1:40" x14ac:dyDescent="0.25">
      <c r="A525" t="str">
        <f>"20190312164228544"</f>
        <v>20190312164228544</v>
      </c>
      <c r="B525" t="str">
        <f>"1552380148534364"</f>
        <v>1552380148534364</v>
      </c>
      <c r="C525" t="s">
        <v>40</v>
      </c>
      <c r="D525">
        <v>4.3339129999999999</v>
      </c>
      <c r="E525">
        <v>0.49216460000000001</v>
      </c>
      <c r="F525" t="s">
        <v>43</v>
      </c>
      <c r="G525">
        <v>-311.03820000000002</v>
      </c>
      <c r="H525">
        <v>-0.05</v>
      </c>
      <c r="I525">
        <v>367.43979999999999</v>
      </c>
      <c r="J525">
        <v>-330.48540000000003</v>
      </c>
      <c r="K525">
        <v>1.110374</v>
      </c>
      <c r="L525">
        <v>367.31360000000001</v>
      </c>
      <c r="M525">
        <v>0.9998842</v>
      </c>
      <c r="N525">
        <v>0</v>
      </c>
      <c r="O525">
        <v>-4.0717590000000003E-3</v>
      </c>
      <c r="P525">
        <v>0.99276750000000002</v>
      </c>
      <c r="Q525">
        <v>0.116908399999999</v>
      </c>
      <c r="R525">
        <v>-2.7303239999999999E-2</v>
      </c>
      <c r="S525">
        <v>3.043091</v>
      </c>
      <c r="T525">
        <v>-0.1785872</v>
      </c>
      <c r="U525">
        <v>1.9226070000000001E-2</v>
      </c>
      <c r="V525">
        <v>2.3245780000000001E-2</v>
      </c>
      <c r="W525">
        <v>0.13145609999999999</v>
      </c>
      <c r="X525">
        <v>0.99104939999999997</v>
      </c>
      <c r="Y525">
        <v>-1.0365040000000001E-2</v>
      </c>
      <c r="Z525">
        <v>5.4265159999999999E-4</v>
      </c>
      <c r="AA525">
        <v>0.99994609999999995</v>
      </c>
      <c r="AB525">
        <v>35</v>
      </c>
      <c r="AC525">
        <v>19.447199999999999</v>
      </c>
      <c r="AD525">
        <v>-1.160374</v>
      </c>
      <c r="AE525">
        <v>0.12619999999998299</v>
      </c>
      <c r="AF525">
        <v>-0.20466315569037</v>
      </c>
      <c r="AG525">
        <v>-1.160374</v>
      </c>
      <c r="AH525">
        <v>19.377538656835402</v>
      </c>
      <c r="AI525">
        <v>93.426727242571602</v>
      </c>
      <c r="AJ525">
        <v>90.605128403711007</v>
      </c>
      <c r="AK525">
        <v>19.4133294214136</v>
      </c>
      <c r="AL525">
        <v>82.446257079341706</v>
      </c>
      <c r="AM525">
        <v>88.656332458031201</v>
      </c>
      <c r="AN525">
        <v>0.99999999287768904</v>
      </c>
    </row>
    <row r="526" spans="1:40" x14ac:dyDescent="0.25">
      <c r="A526" t="str">
        <f>"20190312164228567"</f>
        <v>20190312164228567</v>
      </c>
      <c r="B526" t="str">
        <f>"1552380148564620"</f>
        <v>1552380148564620</v>
      </c>
      <c r="C526" t="s">
        <v>40</v>
      </c>
      <c r="D526">
        <v>4.3231799999999998</v>
      </c>
      <c r="E526">
        <v>0.49368210000000001</v>
      </c>
      <c r="F526" t="s">
        <v>43</v>
      </c>
      <c r="G526">
        <v>-310.59530000000001</v>
      </c>
      <c r="H526">
        <v>-0.05</v>
      </c>
      <c r="I526">
        <v>367.35669999999999</v>
      </c>
      <c r="J526">
        <v>-330.13229999999999</v>
      </c>
      <c r="K526">
        <v>1.1103809999999901</v>
      </c>
      <c r="L526">
        <v>367.31220000000002</v>
      </c>
      <c r="M526">
        <v>0.99988460000000001</v>
      </c>
      <c r="N526">
        <v>0</v>
      </c>
      <c r="O526">
        <v>-4.0085540000000001E-3</v>
      </c>
      <c r="P526">
        <v>0.99275069999999999</v>
      </c>
      <c r="Q526">
        <v>0.1169731</v>
      </c>
      <c r="R526">
        <v>-2.7632259999999999E-2</v>
      </c>
      <c r="S526">
        <v>3.0429080000000002</v>
      </c>
      <c r="T526">
        <v>-0.17752109999999999</v>
      </c>
      <c r="U526">
        <v>6.5917969999999999E-3</v>
      </c>
      <c r="V526">
        <v>2.3637849999999998E-2</v>
      </c>
      <c r="W526">
        <v>0.1315161</v>
      </c>
      <c r="X526">
        <v>0.99103220000000003</v>
      </c>
      <c r="Y526">
        <v>-6.1579490000000002E-3</v>
      </c>
      <c r="Z526">
        <v>4.1315470000000002E-4</v>
      </c>
      <c r="AA526">
        <v>0.99998089999999995</v>
      </c>
      <c r="AB526">
        <v>35</v>
      </c>
      <c r="AC526">
        <v>19.5369999999999</v>
      </c>
      <c r="AD526">
        <v>-1.1603810000000001</v>
      </c>
      <c r="AE526">
        <v>4.4499999999970799E-2</v>
      </c>
      <c r="AF526">
        <v>-0.12239141926365101</v>
      </c>
      <c r="AG526">
        <v>-1.1603810000000001</v>
      </c>
      <c r="AH526">
        <v>19.4679887104367</v>
      </c>
      <c r="AI526">
        <v>93.410987101514095</v>
      </c>
      <c r="AJ526">
        <v>90.360202560811402</v>
      </c>
      <c r="AK526">
        <v>19.502924092411401</v>
      </c>
      <c r="AL526">
        <v>82.442789483861304</v>
      </c>
      <c r="AM526">
        <v>88.633654590614498</v>
      </c>
      <c r="AN526">
        <v>1.0000000269743301</v>
      </c>
    </row>
    <row r="527" spans="1:40" x14ac:dyDescent="0.25">
      <c r="A527" t="str">
        <f>"20190312164228589"</f>
        <v>20190312164228589</v>
      </c>
      <c r="B527" t="str">
        <f>"1552380148584140"</f>
        <v>1552380148584140</v>
      </c>
      <c r="C527" t="s">
        <v>40</v>
      </c>
      <c r="D527">
        <v>4.3639700000000001</v>
      </c>
      <c r="E527">
        <v>0.49399120000000002</v>
      </c>
      <c r="F527" t="s">
        <v>43</v>
      </c>
      <c r="G527">
        <v>-311.40620000000001</v>
      </c>
      <c r="H527">
        <v>-0.05</v>
      </c>
      <c r="I527">
        <v>367.27730000000003</v>
      </c>
      <c r="J527">
        <v>-329.78149999999999</v>
      </c>
      <c r="K527">
        <v>1.110382</v>
      </c>
      <c r="L527">
        <v>367.3109</v>
      </c>
      <c r="M527">
        <v>0.99988480000000002</v>
      </c>
      <c r="N527">
        <v>0</v>
      </c>
      <c r="O527">
        <v>-3.9460620000000002E-3</v>
      </c>
      <c r="P527">
        <v>0.99273210000000001</v>
      </c>
      <c r="Q527">
        <v>0.11704539999999999</v>
      </c>
      <c r="R527">
        <v>-2.7992090000000001E-2</v>
      </c>
      <c r="S527">
        <v>3.0439449999999999</v>
      </c>
      <c r="T527">
        <v>-0.18862139999999999</v>
      </c>
      <c r="U527">
        <v>-5.6762699999999998E-3</v>
      </c>
      <c r="V527">
        <v>2.4059669999999998E-2</v>
      </c>
      <c r="W527">
        <v>0.1315847</v>
      </c>
      <c r="X527">
        <v>0.99101289999999997</v>
      </c>
      <c r="Y527">
        <v>-2.0701830000000002E-3</v>
      </c>
      <c r="Z527">
        <v>3.0839220000000001E-4</v>
      </c>
      <c r="AA527">
        <v>0.99999780000000005</v>
      </c>
      <c r="AB527">
        <v>35</v>
      </c>
      <c r="AC527">
        <v>18.3752999999999</v>
      </c>
      <c r="AD527">
        <v>-1.160382</v>
      </c>
      <c r="AE527">
        <v>-3.3599999999978501E-2</v>
      </c>
      <c r="AF527">
        <v>-3.8763543475252099E-2</v>
      </c>
      <c r="AG527">
        <v>-1.160382</v>
      </c>
      <c r="AH527">
        <v>18.302303869518799</v>
      </c>
      <c r="AI527">
        <v>93.627738607504199</v>
      </c>
      <c r="AJ527">
        <v>90.121349975118505</v>
      </c>
      <c r="AK527">
        <v>18.339092560168599</v>
      </c>
      <c r="AL527">
        <v>82.438824212868099</v>
      </c>
      <c r="AM527">
        <v>88.609254426586901</v>
      </c>
      <c r="AN527">
        <v>0.99999998448050398</v>
      </c>
    </row>
    <row r="528" spans="1:40" x14ac:dyDescent="0.25">
      <c r="A528" t="str">
        <f>"20190312164228613"</f>
        <v>20190312164228613</v>
      </c>
      <c r="B528" t="str">
        <f>"1552380148604636"</f>
        <v>1552380148604636</v>
      </c>
      <c r="C528" t="s">
        <v>40</v>
      </c>
      <c r="D528">
        <v>4.397831</v>
      </c>
      <c r="E528">
        <v>0.4941874</v>
      </c>
      <c r="F528" t="s">
        <v>43</v>
      </c>
      <c r="G528">
        <v>-311.55110000000002</v>
      </c>
      <c r="H528">
        <v>-0.05</v>
      </c>
      <c r="I528">
        <v>367.2568</v>
      </c>
      <c r="J528">
        <v>-329.41050000000001</v>
      </c>
      <c r="K528">
        <v>1.1103769999999999</v>
      </c>
      <c r="L528">
        <v>367.30950000000001</v>
      </c>
      <c r="M528">
        <v>0.99988509999999997</v>
      </c>
      <c r="N528">
        <v>0</v>
      </c>
      <c r="O528">
        <v>-3.880348E-3</v>
      </c>
      <c r="P528">
        <v>0.99268619999999996</v>
      </c>
      <c r="Q528">
        <v>0.1175329</v>
      </c>
      <c r="R528">
        <v>-2.7578040000000002E-2</v>
      </c>
      <c r="S528">
        <v>3.0445250000000001</v>
      </c>
      <c r="T528">
        <v>-0.1937873</v>
      </c>
      <c r="U528">
        <v>-9.0332030000000001E-3</v>
      </c>
      <c r="V528">
        <v>2.3710910000000002E-2</v>
      </c>
      <c r="W528">
        <v>0.132066299999999</v>
      </c>
      <c r="X528">
        <v>0.99095730000000004</v>
      </c>
      <c r="Y528">
        <v>-9.0406860000000005E-4</v>
      </c>
      <c r="Z528">
        <v>2.7550719999999999E-4</v>
      </c>
      <c r="AA528">
        <v>0.99999959999999999</v>
      </c>
      <c r="AB528">
        <v>35</v>
      </c>
      <c r="AC528">
        <v>17.859399999999901</v>
      </c>
      <c r="AD528">
        <v>-1.160377</v>
      </c>
      <c r="AE528">
        <v>-5.27000000000157E-2</v>
      </c>
      <c r="AF528">
        <v>-1.6538708388694801E-2</v>
      </c>
      <c r="AG528">
        <v>-1.160377</v>
      </c>
      <c r="AH528">
        <v>17.784394262166401</v>
      </c>
      <c r="AI528">
        <v>93.733080251799095</v>
      </c>
      <c r="AJ528">
        <v>90.053282552227202</v>
      </c>
      <c r="AK528">
        <v>17.822217246548799</v>
      </c>
      <c r="AL528">
        <v>82.410988077117295</v>
      </c>
      <c r="AM528">
        <v>88.629329538163205</v>
      </c>
      <c r="AN528">
        <v>1.0000000426360001</v>
      </c>
    </row>
    <row r="529" spans="1:40" x14ac:dyDescent="0.25">
      <c r="A529" t="str">
        <f>"20190312164228633"</f>
        <v>20190312164228633</v>
      </c>
      <c r="B529" t="str">
        <f>"1552380148624156"</f>
        <v>1552380148624156</v>
      </c>
      <c r="C529" t="s">
        <v>40</v>
      </c>
      <c r="D529">
        <v>4.3782439999999996</v>
      </c>
      <c r="E529">
        <v>0.4943246</v>
      </c>
      <c r="F529" t="s">
        <v>43</v>
      </c>
      <c r="G529">
        <v>-311.2704</v>
      </c>
      <c r="H529">
        <v>-0.05</v>
      </c>
      <c r="I529">
        <v>367.25259999999997</v>
      </c>
      <c r="J529">
        <v>-329.0874</v>
      </c>
      <c r="K529">
        <v>1.110376</v>
      </c>
      <c r="L529">
        <v>367.30829999999997</v>
      </c>
      <c r="M529">
        <v>0.99988540000000004</v>
      </c>
      <c r="N529">
        <v>0</v>
      </c>
      <c r="O529">
        <v>-3.8231060000000002E-3</v>
      </c>
      <c r="P529">
        <v>0.99264980000000003</v>
      </c>
      <c r="Q529">
        <v>0.1177455</v>
      </c>
      <c r="R529">
        <v>-2.7970999999999999E-2</v>
      </c>
      <c r="S529">
        <v>3.0449220000000001</v>
      </c>
      <c r="T529">
        <v>-0.19477630000000001</v>
      </c>
      <c r="U529">
        <v>-9.5520020000000004E-3</v>
      </c>
      <c r="V529">
        <v>2.4161220000000001E-2</v>
      </c>
      <c r="W529">
        <v>0.13227520000000001</v>
      </c>
      <c r="X529">
        <v>0.99091850000000004</v>
      </c>
      <c r="Y529">
        <v>-6.7730979999999904E-4</v>
      </c>
      <c r="Z529">
        <v>2.659707E-4</v>
      </c>
      <c r="AA529">
        <v>0.99999979999999999</v>
      </c>
      <c r="AB529">
        <v>35</v>
      </c>
      <c r="AC529">
        <v>17.817</v>
      </c>
      <c r="AD529">
        <v>-1.1603760000000001</v>
      </c>
      <c r="AE529">
        <v>-5.5700000000001602E-2</v>
      </c>
      <c r="AF529">
        <v>-1.23715214424581E-2</v>
      </c>
      <c r="AG529">
        <v>-1.1603760000000001</v>
      </c>
      <c r="AH529">
        <v>17.741829964752402</v>
      </c>
      <c r="AI529">
        <v>93.7420083330247</v>
      </c>
      <c r="AJ529">
        <v>90.0399528037034</v>
      </c>
      <c r="AK529">
        <v>17.779740043490602</v>
      </c>
      <c r="AL529">
        <v>82.398912601469306</v>
      </c>
      <c r="AM529">
        <v>88.603253752799205</v>
      </c>
      <c r="AN529">
        <v>0.99999998336458895</v>
      </c>
    </row>
    <row r="530" spans="1:40" x14ac:dyDescent="0.25">
      <c r="A530" t="str">
        <f>"20190312164228655"</f>
        <v>20190312164228655</v>
      </c>
      <c r="B530" t="str">
        <f>"1552380148644652"</f>
        <v>1552380148644652</v>
      </c>
      <c r="C530" t="s">
        <v>40</v>
      </c>
      <c r="D530">
        <v>4.3955129999999896</v>
      </c>
      <c r="E530">
        <v>0.494396</v>
      </c>
      <c r="F530" t="s">
        <v>43</v>
      </c>
      <c r="G530">
        <v>-311.20800000000003</v>
      </c>
      <c r="H530">
        <v>-0.05</v>
      </c>
      <c r="I530">
        <v>367.2432</v>
      </c>
      <c r="J530">
        <v>-328.75349999999997</v>
      </c>
      <c r="K530">
        <v>1.1103769999999999</v>
      </c>
      <c r="L530">
        <v>367.30709999999999</v>
      </c>
      <c r="M530">
        <v>0.99988589999999999</v>
      </c>
      <c r="N530">
        <v>0</v>
      </c>
      <c r="O530">
        <v>-3.7639570000000001E-3</v>
      </c>
      <c r="P530">
        <v>0.99270939999999996</v>
      </c>
      <c r="Q530">
        <v>0.1173381</v>
      </c>
      <c r="R530">
        <v>-2.757128E-2</v>
      </c>
      <c r="S530">
        <v>3.0453190000000001</v>
      </c>
      <c r="T530">
        <v>-0.19764180000000001</v>
      </c>
      <c r="U530">
        <v>-1.107788E-2</v>
      </c>
      <c r="V530">
        <v>2.3819940000000001E-2</v>
      </c>
      <c r="W530">
        <v>0.13186500000000001</v>
      </c>
      <c r="X530">
        <v>0.99098149999999996</v>
      </c>
      <c r="Y530">
        <v>-1.185406E-4</v>
      </c>
      <c r="Z530">
        <v>2.4789199999999999E-4</v>
      </c>
      <c r="AA530">
        <v>0.99999990000000005</v>
      </c>
      <c r="AB530">
        <v>35</v>
      </c>
      <c r="AC530">
        <v>17.545500000000001</v>
      </c>
      <c r="AD530">
        <v>-1.160377</v>
      </c>
      <c r="AE530">
        <v>-6.3899999999989604E-2</v>
      </c>
      <c r="AF530">
        <v>-2.1386742285130298E-3</v>
      </c>
      <c r="AG530">
        <v>-1.160377</v>
      </c>
      <c r="AH530">
        <v>17.469209042360799</v>
      </c>
      <c r="AI530">
        <v>93.800239703670897</v>
      </c>
      <c r="AJ530">
        <v>90.007014456472305</v>
      </c>
      <c r="AK530">
        <v>17.507705272872201</v>
      </c>
      <c r="AL530">
        <v>82.422623537240199</v>
      </c>
      <c r="AM530">
        <v>88.623062811122097</v>
      </c>
      <c r="AN530">
        <v>1.00000005055442</v>
      </c>
    </row>
    <row r="531" spans="1:40" x14ac:dyDescent="0.25">
      <c r="A531" t="str">
        <f>"20190312164228677"</f>
        <v>20190312164228677</v>
      </c>
      <c r="B531" t="str">
        <f>"1552380148673932"</f>
        <v>1552380148673932</v>
      </c>
      <c r="C531" t="s">
        <v>40</v>
      </c>
      <c r="D531">
        <v>4.3764529999999997</v>
      </c>
      <c r="E531">
        <v>0.49452289999999999</v>
      </c>
      <c r="F531" t="s">
        <v>43</v>
      </c>
      <c r="G531">
        <v>-311.25470000000001</v>
      </c>
      <c r="H531">
        <v>-0.05</v>
      </c>
      <c r="I531">
        <v>367.24619999999999</v>
      </c>
      <c r="J531">
        <v>-328.41570000000002</v>
      </c>
      <c r="K531">
        <v>1.110376</v>
      </c>
      <c r="L531">
        <v>367.30590000000001</v>
      </c>
      <c r="M531">
        <v>0.99988600000000005</v>
      </c>
      <c r="N531">
        <v>0</v>
      </c>
      <c r="O531">
        <v>-3.7034979999999999E-3</v>
      </c>
      <c r="P531">
        <v>0.99271880000000001</v>
      </c>
      <c r="Q531">
        <v>0.117285</v>
      </c>
      <c r="R531">
        <v>-2.7453620000000001E-2</v>
      </c>
      <c r="S531">
        <v>3.0456539999999999</v>
      </c>
      <c r="T531">
        <v>-0.20196349999999999</v>
      </c>
      <c r="U531">
        <v>-1.0589599999999999E-2</v>
      </c>
      <c r="V531">
        <v>2.3762510000000001E-2</v>
      </c>
      <c r="W531">
        <v>0.13180819999999999</v>
      </c>
      <c r="X531">
        <v>0.99099040000000005</v>
      </c>
      <c r="Y531">
        <v>-2.1834910000000001E-4</v>
      </c>
      <c r="Z531">
        <v>2.5257349999999998E-4</v>
      </c>
      <c r="AA531">
        <v>0.99999990000000005</v>
      </c>
      <c r="AB531">
        <v>35</v>
      </c>
      <c r="AC531">
        <v>17.160999999999898</v>
      </c>
      <c r="AD531">
        <v>-1.1603760000000001</v>
      </c>
      <c r="AE531">
        <v>-5.9700000000020702E-2</v>
      </c>
      <c r="AF531">
        <v>-3.8453678047088899E-3</v>
      </c>
      <c r="AG531">
        <v>-1.1603760000000001</v>
      </c>
      <c r="AH531">
        <v>17.082999786002802</v>
      </c>
      <c r="AI531">
        <v>93.885891080464006</v>
      </c>
      <c r="AJ531">
        <v>90.012897227941394</v>
      </c>
      <c r="AK531">
        <v>17.12236458369</v>
      </c>
      <c r="AL531">
        <v>82.425906327944702</v>
      </c>
      <c r="AM531">
        <v>88.626393672064495</v>
      </c>
      <c r="AN531">
        <v>1.00000001568045</v>
      </c>
    </row>
    <row r="532" spans="1:40" x14ac:dyDescent="0.25">
      <c r="A532" t="str">
        <f>"20190312164228712"</f>
        <v>20190312164228712</v>
      </c>
      <c r="B532" t="str">
        <f>"1552380148704188"</f>
        <v>1552380148704188</v>
      </c>
      <c r="C532" t="s">
        <v>40</v>
      </c>
      <c r="D532">
        <v>4.6126129999999996</v>
      </c>
      <c r="E532">
        <v>0.49477090000000001</v>
      </c>
      <c r="F532" t="s">
        <v>43</v>
      </c>
      <c r="G532">
        <v>-311.1764</v>
      </c>
      <c r="H532">
        <v>-0.05</v>
      </c>
      <c r="I532">
        <v>367.24369999999999</v>
      </c>
      <c r="J532">
        <v>-327.87759999999997</v>
      </c>
      <c r="K532">
        <v>1.1103780000000001</v>
      </c>
      <c r="L532">
        <v>367.30399999999997</v>
      </c>
      <c r="M532">
        <v>0.99988650000000001</v>
      </c>
      <c r="N532">
        <v>0</v>
      </c>
      <c r="O532">
        <v>-3.6080940000000001E-3</v>
      </c>
      <c r="P532">
        <v>0.99272169999999904</v>
      </c>
      <c r="Q532">
        <v>0.11708349999999999</v>
      </c>
      <c r="R532">
        <v>-2.8203820000000001E-2</v>
      </c>
      <c r="S532">
        <v>3.0459290000000001</v>
      </c>
      <c r="T532">
        <v>-0.20502129999999999</v>
      </c>
      <c r="U532">
        <v>-1.0986330000000001E-2</v>
      </c>
      <c r="V532">
        <v>2.4607299999999999E-2</v>
      </c>
      <c r="W532">
        <v>0.13160079999999999</v>
      </c>
      <c r="X532">
        <v>0.99099729999999997</v>
      </c>
      <c r="Y532" s="1">
        <v>6.5362509999999997E-6</v>
      </c>
      <c r="Z532">
        <v>2.4239079999999999E-4</v>
      </c>
      <c r="AA532">
        <v>1</v>
      </c>
      <c r="AB532">
        <v>35</v>
      </c>
      <c r="AC532">
        <v>16.701199999999901</v>
      </c>
      <c r="AD532">
        <v>-1.1603779999999999</v>
      </c>
      <c r="AE532">
        <v>-6.0300000000040599E-2</v>
      </c>
      <c r="AF532" s="1">
        <v>3.3498334380120601E-5</v>
      </c>
      <c r="AG532">
        <v>-1.1603779999999999</v>
      </c>
      <c r="AH532">
        <v>16.6210751106921</v>
      </c>
      <c r="AI532">
        <v>93.993548069975205</v>
      </c>
      <c r="AJ532">
        <v>89.999884525328895</v>
      </c>
      <c r="AK532">
        <v>16.661530990256399</v>
      </c>
      <c r="AL532">
        <v>82.437893542275503</v>
      </c>
      <c r="AM532">
        <v>88.577589690950106</v>
      </c>
      <c r="AN532">
        <v>0.99999996919060896</v>
      </c>
    </row>
    <row r="533" spans="1:40" x14ac:dyDescent="0.25">
      <c r="A533" t="str">
        <f>"20190312164228733"</f>
        <v>20190312164228733</v>
      </c>
      <c r="B533" t="str">
        <f>"1552380148724687"</f>
        <v>1552380148724687</v>
      </c>
      <c r="C533" t="s">
        <v>40</v>
      </c>
      <c r="D533">
        <v>4.4622479999999998</v>
      </c>
      <c r="E533">
        <v>0.49500769999999999</v>
      </c>
      <c r="F533" t="s">
        <v>43</v>
      </c>
      <c r="G533">
        <v>-310.69069999999999</v>
      </c>
      <c r="H533">
        <v>-0.05</v>
      </c>
      <c r="I533">
        <v>367.21980000000002</v>
      </c>
      <c r="J533">
        <v>-327.5498</v>
      </c>
      <c r="K533">
        <v>1.1103780000000001</v>
      </c>
      <c r="L533">
        <v>367.30290000000002</v>
      </c>
      <c r="M533">
        <v>0.99988679999999996</v>
      </c>
      <c r="N533">
        <v>0</v>
      </c>
      <c r="O533">
        <v>-3.5495420000000001E-3</v>
      </c>
      <c r="P533">
        <v>0.99272819999999995</v>
      </c>
      <c r="Q533">
        <v>0.1170176</v>
      </c>
      <c r="R533">
        <v>-2.824612E-2</v>
      </c>
      <c r="S533">
        <v>3.0458370000000001</v>
      </c>
      <c r="T533">
        <v>-0.2056414</v>
      </c>
      <c r="U533">
        <v>-1.49231E-2</v>
      </c>
      <c r="V533">
        <v>2.4707929999999999E-2</v>
      </c>
      <c r="W533">
        <v>0.13153119999999999</v>
      </c>
      <c r="X533">
        <v>0.991004</v>
      </c>
      <c r="Y533">
        <v>1.3545339999999999E-3</v>
      </c>
      <c r="Z533">
        <v>1.9372620000000001E-4</v>
      </c>
      <c r="AA533">
        <v>0.99999899999999997</v>
      </c>
      <c r="AB533">
        <v>34</v>
      </c>
      <c r="AC533">
        <v>16.859100000000002</v>
      </c>
      <c r="AD533">
        <v>-1.1603779999999999</v>
      </c>
      <c r="AE533">
        <v>-8.31000000000017E-2</v>
      </c>
      <c r="AF533">
        <v>2.3141370295669698E-2</v>
      </c>
      <c r="AG533">
        <v>-1.1603779999999999</v>
      </c>
      <c r="AH533">
        <v>16.779799880843601</v>
      </c>
      <c r="AI533">
        <v>93.955888751003002</v>
      </c>
      <c r="AJ533">
        <v>89.920982251344</v>
      </c>
      <c r="AK533">
        <v>16.819889912453799</v>
      </c>
      <c r="AL533">
        <v>82.441916023167494</v>
      </c>
      <c r="AM533">
        <v>88.571784890151093</v>
      </c>
      <c r="AN533">
        <v>0.99999993319715996</v>
      </c>
    </row>
    <row r="534" spans="1:40" x14ac:dyDescent="0.25">
      <c r="A534" t="str">
        <f>"20190312164228755"</f>
        <v>20190312164228755</v>
      </c>
      <c r="B534" t="str">
        <f>"1552380148744204"</f>
        <v>1552380148744204</v>
      </c>
      <c r="C534" t="s">
        <v>40</v>
      </c>
      <c r="D534">
        <v>4.2500210000000003</v>
      </c>
      <c r="E534">
        <v>0.49535620000000002</v>
      </c>
      <c r="F534" t="s">
        <v>43</v>
      </c>
      <c r="G534">
        <v>-310.4939</v>
      </c>
      <c r="H534">
        <v>-0.05</v>
      </c>
      <c r="I534">
        <v>367.20850000000002</v>
      </c>
      <c r="J534">
        <v>-327.21260000000001</v>
      </c>
      <c r="K534">
        <v>1.110382</v>
      </c>
      <c r="L534">
        <v>367.30169999999998</v>
      </c>
      <c r="M534">
        <v>0.99988690000000002</v>
      </c>
      <c r="N534">
        <v>0</v>
      </c>
      <c r="O534">
        <v>-3.4890849999999998E-3</v>
      </c>
      <c r="P534">
        <v>0.99273370000000005</v>
      </c>
      <c r="Q534">
        <v>0.1168328</v>
      </c>
      <c r="R534">
        <v>-2.8804840000000002E-2</v>
      </c>
      <c r="S534">
        <v>3.0459290000000001</v>
      </c>
      <c r="T534">
        <v>-0.20722579999999999</v>
      </c>
      <c r="U534">
        <v>-1.6845699999999901E-2</v>
      </c>
      <c r="V534">
        <v>2.532676E-2</v>
      </c>
      <c r="W534">
        <v>0.13134309999999999</v>
      </c>
      <c r="X534">
        <v>0.99101340000000004</v>
      </c>
      <c r="Y534">
        <v>2.0443800000000002E-3</v>
      </c>
      <c r="Z534">
        <v>1.6766139999999999E-4</v>
      </c>
      <c r="AA534">
        <v>0.9999979</v>
      </c>
      <c r="AB534">
        <v>34</v>
      </c>
      <c r="AC534">
        <v>16.718699999999998</v>
      </c>
      <c r="AD534">
        <v>-1.160382</v>
      </c>
      <c r="AE534">
        <v>-9.3199999999967503E-2</v>
      </c>
      <c r="AF534">
        <v>3.4693104860846397E-2</v>
      </c>
      <c r="AG534">
        <v>-1.160382</v>
      </c>
      <c r="AH534">
        <v>16.638773202921701</v>
      </c>
      <c r="AI534">
        <v>93.989319055912205</v>
      </c>
      <c r="AJ534">
        <v>89.880534124609895</v>
      </c>
      <c r="AK534">
        <v>16.6792225147252</v>
      </c>
      <c r="AL534">
        <v>82.452788236008999</v>
      </c>
      <c r="AM534">
        <v>88.536043349668006</v>
      </c>
      <c r="AN534">
        <v>1.00000000683463</v>
      </c>
    </row>
    <row r="535" spans="1:40" x14ac:dyDescent="0.25">
      <c r="A535" t="str">
        <f>"20190312164228778"</f>
        <v>20190312164228778</v>
      </c>
      <c r="B535" t="str">
        <f>"1552380148774460"</f>
        <v>1552380148774460</v>
      </c>
      <c r="C535" t="s">
        <v>40</v>
      </c>
      <c r="D535">
        <v>4.3856310000000001</v>
      </c>
      <c r="E535">
        <v>0.49579909999999999</v>
      </c>
      <c r="F535" t="s">
        <v>43</v>
      </c>
      <c r="G535">
        <v>-310.0204</v>
      </c>
      <c r="H535">
        <v>-0.05</v>
      </c>
      <c r="I535">
        <v>367.1823</v>
      </c>
      <c r="J535">
        <v>-326.86020000000002</v>
      </c>
      <c r="K535">
        <v>1.110374</v>
      </c>
      <c r="L535">
        <v>367.30059999999997</v>
      </c>
      <c r="M535">
        <v>0.99988730000000003</v>
      </c>
      <c r="N535">
        <v>0</v>
      </c>
      <c r="O535">
        <v>-3.4260039999999999E-3</v>
      </c>
      <c r="P535">
        <v>0.99274739999999995</v>
      </c>
      <c r="Q535">
        <v>0.1165346</v>
      </c>
      <c r="R535">
        <v>-2.954414E-2</v>
      </c>
      <c r="S535">
        <v>3.0455320000000001</v>
      </c>
      <c r="T535">
        <v>-0.2055575</v>
      </c>
      <c r="U535">
        <v>-2.114868E-2</v>
      </c>
      <c r="V535">
        <v>2.6128519999999999E-2</v>
      </c>
      <c r="W535">
        <v>0.13104109999999999</v>
      </c>
      <c r="X535">
        <v>0.99103249999999998</v>
      </c>
      <c r="Y535">
        <v>3.5174640000000001E-3</v>
      </c>
      <c r="Z535">
        <v>1.1242650000000001E-4</v>
      </c>
      <c r="AA535">
        <v>0.99999380000000004</v>
      </c>
      <c r="AB535">
        <v>34</v>
      </c>
      <c r="AC535">
        <v>16.8398</v>
      </c>
      <c r="AD535">
        <v>-1.160374</v>
      </c>
      <c r="AE535">
        <v>-0.11829999999997599</v>
      </c>
      <c r="AF535">
        <v>6.0313557195980201E-2</v>
      </c>
      <c r="AG535">
        <v>-1.160374</v>
      </c>
      <c r="AH535">
        <v>16.7605293328029</v>
      </c>
      <c r="AI535">
        <v>93.960387183791198</v>
      </c>
      <c r="AJ535">
        <v>89.793819318613501</v>
      </c>
      <c r="AK535">
        <v>16.8007573954511</v>
      </c>
      <c r="AL535">
        <v>82.470241933146198</v>
      </c>
      <c r="AM535">
        <v>88.4897496369652</v>
      </c>
      <c r="AN535">
        <v>0.99999994275142301</v>
      </c>
    </row>
    <row r="536" spans="1:40" x14ac:dyDescent="0.25">
      <c r="A536" t="str">
        <f>"20190312164228802"</f>
        <v>20190312164228802</v>
      </c>
      <c r="B536" t="str">
        <f>"1552380148793980"</f>
        <v>1552380148793980</v>
      </c>
      <c r="C536" t="s">
        <v>40</v>
      </c>
      <c r="D536">
        <v>4.3488660000000001</v>
      </c>
      <c r="E536">
        <v>0.49614599999999998</v>
      </c>
      <c r="F536" t="s">
        <v>43</v>
      </c>
      <c r="G536">
        <v>-309.44990000000001</v>
      </c>
      <c r="H536">
        <v>-0.05</v>
      </c>
      <c r="I536">
        <v>367.14670000000001</v>
      </c>
      <c r="J536">
        <v>-326.49810000000002</v>
      </c>
      <c r="K536">
        <v>1.1103780000000001</v>
      </c>
      <c r="L536">
        <v>367.29930000000002</v>
      </c>
      <c r="M536">
        <v>0.99988759999999999</v>
      </c>
      <c r="N536">
        <v>0</v>
      </c>
      <c r="O536">
        <v>-3.3617230000000001E-3</v>
      </c>
      <c r="P536">
        <v>0.99272360000000004</v>
      </c>
      <c r="Q536">
        <v>0.116496699999999</v>
      </c>
      <c r="R536">
        <v>-3.047124E-2</v>
      </c>
      <c r="S536">
        <v>3.0449519999999999</v>
      </c>
      <c r="T536">
        <v>-0.2029415</v>
      </c>
      <c r="U536">
        <v>-2.6916499999999999E-2</v>
      </c>
      <c r="V536">
        <v>2.711968E-2</v>
      </c>
      <c r="W536">
        <v>0.130999</v>
      </c>
      <c r="X536">
        <v>0.99101150000000005</v>
      </c>
      <c r="Y536">
        <v>5.472686E-3</v>
      </c>
      <c r="Z536" s="1">
        <v>4.1656409999999997E-5</v>
      </c>
      <c r="AA536">
        <v>0.99998500000000001</v>
      </c>
      <c r="AB536">
        <v>34</v>
      </c>
      <c r="AC536">
        <v>17.048200000000001</v>
      </c>
      <c r="AD536">
        <v>-1.1603779999999999</v>
      </c>
      <c r="AE536">
        <v>-0.15260000000000601</v>
      </c>
      <c r="AF536">
        <v>9.4842344168200102E-2</v>
      </c>
      <c r="AG536">
        <v>-1.1603779999999999</v>
      </c>
      <c r="AH536">
        <v>16.9700046587907</v>
      </c>
      <c r="AI536">
        <v>93.911631225545406</v>
      </c>
      <c r="AJ536">
        <v>89.679787391181407</v>
      </c>
      <c r="AK536">
        <v>17.009895070003001</v>
      </c>
      <c r="AL536">
        <v>82.472675524218303</v>
      </c>
      <c r="AM536">
        <v>88.432454618656493</v>
      </c>
      <c r="AN536">
        <v>1.0000000040882699</v>
      </c>
    </row>
    <row r="537" spans="1:40" x14ac:dyDescent="0.25">
      <c r="A537" t="str">
        <f>"20190312164228824"</f>
        <v>20190312164228824</v>
      </c>
      <c r="B537" t="str">
        <f>"1552380148814476"</f>
        <v>1552380148814476</v>
      </c>
      <c r="C537" t="s">
        <v>40</v>
      </c>
      <c r="D537">
        <v>4.4170259999999999</v>
      </c>
      <c r="E537">
        <v>0.51480530000000002</v>
      </c>
      <c r="F537" t="s">
        <v>41</v>
      </c>
      <c r="G537">
        <v>-325.47199999999998</v>
      </c>
      <c r="H537">
        <v>1.0424880000000001</v>
      </c>
      <c r="I537">
        <v>367.28809999999999</v>
      </c>
      <c r="J537">
        <v>-326.16860000000003</v>
      </c>
      <c r="K537">
        <v>1.110379</v>
      </c>
      <c r="L537">
        <v>367.29829999999998</v>
      </c>
      <c r="M537">
        <v>0.99988790000000005</v>
      </c>
      <c r="N537">
        <v>0</v>
      </c>
      <c r="O537">
        <v>-3.3029309999999998E-3</v>
      </c>
      <c r="P537">
        <v>0.99271509999999996</v>
      </c>
      <c r="Q537">
        <v>0.1162479</v>
      </c>
      <c r="R537">
        <v>-3.1679739999999998E-2</v>
      </c>
      <c r="S537">
        <v>3.0445859999999998</v>
      </c>
      <c r="T537">
        <v>-0.2016696</v>
      </c>
      <c r="U537">
        <v>-3.2806399999999999E-2</v>
      </c>
      <c r="V537">
        <v>2.838659E-2</v>
      </c>
      <c r="W537">
        <v>0.130747</v>
      </c>
      <c r="X537">
        <v>0.99100929999999998</v>
      </c>
      <c r="Y537">
        <v>7.4624340000000004E-3</v>
      </c>
      <c r="Z537" s="1">
        <v>-2.831516E-5</v>
      </c>
      <c r="AA537">
        <v>0.99997219999999998</v>
      </c>
      <c r="AB537">
        <v>34</v>
      </c>
      <c r="AC537">
        <v>0.69660000000004596</v>
      </c>
      <c r="AD537">
        <v>-6.7891000000000104E-2</v>
      </c>
      <c r="AE537">
        <v>-1.0199999999997499E-2</v>
      </c>
      <c r="AF537">
        <v>7.8245710442465897E-3</v>
      </c>
      <c r="AG537">
        <v>-6.7891000000000104E-2</v>
      </c>
      <c r="AH537">
        <v>0.69007656882548996</v>
      </c>
      <c r="AI537">
        <v>95.618423666818401</v>
      </c>
      <c r="AJ537">
        <v>89.350368196272299</v>
      </c>
      <c r="AK537">
        <v>0.69345229297694799</v>
      </c>
      <c r="AL537">
        <v>82.487239325616699</v>
      </c>
      <c r="AM537">
        <v>88.359261412275899</v>
      </c>
      <c r="AN537">
        <v>1.0000000045936499</v>
      </c>
    </row>
    <row r="538" spans="1:40" x14ac:dyDescent="0.25">
      <c r="A538" t="str">
        <f>"20190312164228845"</f>
        <v>20190312164228845</v>
      </c>
      <c r="B538" t="str">
        <f>"1552380148833996"</f>
        <v>1552380148833996</v>
      </c>
      <c r="C538" t="s">
        <v>40</v>
      </c>
      <c r="D538">
        <v>4.03287</v>
      </c>
      <c r="E538">
        <v>0.52337800000000001</v>
      </c>
      <c r="F538" t="s">
        <v>41</v>
      </c>
      <c r="G538">
        <v>-325.17140000000001</v>
      </c>
      <c r="H538">
        <v>1.0408959999999901</v>
      </c>
      <c r="I538">
        <v>367.23750000000001</v>
      </c>
      <c r="J538">
        <v>-325.83620000000002</v>
      </c>
      <c r="K538">
        <v>1.110387</v>
      </c>
      <c r="L538">
        <v>367.29730000000001</v>
      </c>
      <c r="M538">
        <v>0.99988809999999995</v>
      </c>
      <c r="N538">
        <v>0</v>
      </c>
      <c r="O538">
        <v>-3.243784E-3</v>
      </c>
      <c r="P538">
        <v>0.99267830000000001</v>
      </c>
      <c r="Q538">
        <v>0.11623</v>
      </c>
      <c r="R538">
        <v>-3.2869910000000002E-2</v>
      </c>
      <c r="S538">
        <v>3.040985</v>
      </c>
      <c r="T538">
        <v>-0.21209810000000001</v>
      </c>
      <c r="U538">
        <v>-0.1847229</v>
      </c>
      <c r="V538">
        <v>2.9635729999999999E-2</v>
      </c>
      <c r="W538">
        <v>0.1307248</v>
      </c>
      <c r="X538">
        <v>0.99097570000000001</v>
      </c>
      <c r="Y538">
        <v>5.726345E-2</v>
      </c>
      <c r="Z538">
        <v>-1.7669319999999999E-3</v>
      </c>
      <c r="AA538">
        <v>0.99835750000000001</v>
      </c>
      <c r="AB538">
        <v>34</v>
      </c>
      <c r="AC538">
        <v>0.66480000000001305</v>
      </c>
      <c r="AD538">
        <v>-6.9491000000000094E-2</v>
      </c>
      <c r="AE538">
        <v>-5.97999999999956E-2</v>
      </c>
      <c r="AF538">
        <v>5.7024914603054297E-2</v>
      </c>
      <c r="AG538">
        <v>-6.9491000000000094E-2</v>
      </c>
      <c r="AH538">
        <v>0.65786018395279</v>
      </c>
      <c r="AI538">
        <v>96.007537225225903</v>
      </c>
      <c r="AJ538">
        <v>85.045846494096494</v>
      </c>
      <c r="AK538">
        <v>0.66397353983188501</v>
      </c>
      <c r="AL538">
        <v>82.488522600439495</v>
      </c>
      <c r="AM538">
        <v>88.287045461243295</v>
      </c>
      <c r="AN538">
        <v>1.0000000439090799</v>
      </c>
    </row>
    <row r="539" spans="1:40" x14ac:dyDescent="0.25">
      <c r="A539" t="str">
        <f>"20190312164228868"</f>
        <v>20190312164228868</v>
      </c>
      <c r="B539" t="str">
        <f>"1552380148864252"</f>
        <v>1552380148864252</v>
      </c>
      <c r="C539" t="s">
        <v>40</v>
      </c>
      <c r="D539">
        <v>4.043704</v>
      </c>
      <c r="E539">
        <v>0.52765769999999901</v>
      </c>
      <c r="F539" t="s">
        <v>41</v>
      </c>
      <c r="G539">
        <v>-324.86270000000002</v>
      </c>
      <c r="H539">
        <v>1.0455350000000001</v>
      </c>
      <c r="I539">
        <v>367.21499999999997</v>
      </c>
      <c r="J539">
        <v>-325.49880000000002</v>
      </c>
      <c r="K539">
        <v>1.1103879999999999</v>
      </c>
      <c r="L539">
        <v>367.29629999999997</v>
      </c>
      <c r="M539">
        <v>0.99988840000000001</v>
      </c>
      <c r="N539">
        <v>0</v>
      </c>
      <c r="O539">
        <v>-3.185481E-3</v>
      </c>
      <c r="P539">
        <v>0.99257119999999999</v>
      </c>
      <c r="Q539">
        <v>0.1168093</v>
      </c>
      <c r="R539">
        <v>-3.4037940000000003E-2</v>
      </c>
      <c r="S539">
        <v>3.0372919999999999</v>
      </c>
      <c r="T539">
        <v>-0.20238999999999999</v>
      </c>
      <c r="U539">
        <v>-0.25677489999999997</v>
      </c>
      <c r="V539">
        <v>3.0861889999999999E-2</v>
      </c>
      <c r="W539">
        <v>0.1312991</v>
      </c>
      <c r="X539">
        <v>0.99086229999999997</v>
      </c>
      <c r="Y539">
        <v>8.0894199999999999E-2</v>
      </c>
      <c r="Z539">
        <v>-2.4757609999999999E-3</v>
      </c>
      <c r="AA539">
        <v>0.99671960000000004</v>
      </c>
      <c r="AB539">
        <v>34</v>
      </c>
      <c r="AC539">
        <v>0.636099999999999</v>
      </c>
      <c r="AD539">
        <v>-6.48529999999998E-2</v>
      </c>
      <c r="AE539">
        <v>-8.1299999999998804E-2</v>
      </c>
      <c r="AF539">
        <v>7.8470524618751106E-2</v>
      </c>
      <c r="AG539">
        <v>-6.48529999999998E-2</v>
      </c>
      <c r="AH539">
        <v>0.629913299337994</v>
      </c>
      <c r="AI539">
        <v>95.833426772132896</v>
      </c>
      <c r="AJ539">
        <v>82.899043802854706</v>
      </c>
      <c r="AK539">
        <v>0.63808643577952695</v>
      </c>
      <c r="AL539">
        <v>82.455331249786795</v>
      </c>
      <c r="AM539">
        <v>88.216013890332903</v>
      </c>
      <c r="AN539">
        <v>1.0000000037382299</v>
      </c>
    </row>
    <row r="540" spans="1:40" x14ac:dyDescent="0.25">
      <c r="A540" t="str">
        <f>"20190312164228890"</f>
        <v>20190312164228890</v>
      </c>
      <c r="B540" t="str">
        <f>"1552380148884749"</f>
        <v>1552380148884749</v>
      </c>
      <c r="C540" t="s">
        <v>40</v>
      </c>
      <c r="D540">
        <v>4.3169690000000003</v>
      </c>
      <c r="E540">
        <v>0.52975620000000001</v>
      </c>
      <c r="F540" t="s">
        <v>43</v>
      </c>
      <c r="G540">
        <v>-304.62970000000001</v>
      </c>
      <c r="H540">
        <v>-0.05</v>
      </c>
      <c r="I540">
        <v>365.2559</v>
      </c>
      <c r="J540">
        <v>-325.14080000000001</v>
      </c>
      <c r="K540">
        <v>1.1103860000000001</v>
      </c>
      <c r="L540">
        <v>367.29520000000002</v>
      </c>
      <c r="M540">
        <v>0.99988869999999996</v>
      </c>
      <c r="N540">
        <v>0</v>
      </c>
      <c r="O540">
        <v>-3.1279229999999999E-3</v>
      </c>
      <c r="P540">
        <v>0.99252209999999996</v>
      </c>
      <c r="Q540">
        <v>0.1169866</v>
      </c>
      <c r="R540">
        <v>-3.485158E-2</v>
      </c>
      <c r="S540">
        <v>3.0321660000000001</v>
      </c>
      <c r="T540">
        <v>-0.16859779999999999</v>
      </c>
      <c r="U540">
        <v>-0.29644779999999998</v>
      </c>
      <c r="V540">
        <v>3.1733869999999997E-2</v>
      </c>
      <c r="W540">
        <v>0.13147120000000001</v>
      </c>
      <c r="X540">
        <v>0.99081189999999997</v>
      </c>
      <c r="Y540">
        <v>9.4050750000000002E-2</v>
      </c>
      <c r="Z540">
        <v>-2.4331520000000001E-3</v>
      </c>
      <c r="AA540">
        <v>0.99556449999999996</v>
      </c>
      <c r="AB540">
        <v>34</v>
      </c>
      <c r="AC540">
        <v>20.511099999999999</v>
      </c>
      <c r="AD540">
        <v>-1.1603859999999999</v>
      </c>
      <c r="AE540">
        <v>-2.0393000000000199</v>
      </c>
      <c r="AF540">
        <v>1.9688861808649301</v>
      </c>
      <c r="AG540">
        <v>-1.1603859999999999</v>
      </c>
      <c r="AH540">
        <v>20.452560030149101</v>
      </c>
      <c r="AI540">
        <v>93.232312182857996</v>
      </c>
      <c r="AJ540">
        <v>84.501308333369806</v>
      </c>
      <c r="AK540">
        <v>20.579849859730501</v>
      </c>
      <c r="AL540">
        <v>82.445384149943706</v>
      </c>
      <c r="AM540">
        <v>88.165549393699493</v>
      </c>
      <c r="AN540">
        <v>0.99999996805811298</v>
      </c>
    </row>
    <row r="541" spans="1:40" x14ac:dyDescent="0.25">
      <c r="A541" t="str">
        <f>"20190312164228912"</f>
        <v>20190312164228912</v>
      </c>
      <c r="B541" t="str">
        <f>"1552380148904268"</f>
        <v>1552380148904268</v>
      </c>
      <c r="C541" t="s">
        <v>40</v>
      </c>
      <c r="D541">
        <v>4.0300050000000001</v>
      </c>
      <c r="E541">
        <v>0.53064999999999996</v>
      </c>
      <c r="F541" t="s">
        <v>43</v>
      </c>
      <c r="G541">
        <v>-303.9178</v>
      </c>
      <c r="H541">
        <v>-0.05</v>
      </c>
      <c r="I541">
        <v>365.08300000000003</v>
      </c>
      <c r="J541">
        <v>-324.81439999999998</v>
      </c>
      <c r="K541">
        <v>1.1103860000000001</v>
      </c>
      <c r="L541">
        <v>367.29419999999999</v>
      </c>
      <c r="M541">
        <v>0.99988880000000002</v>
      </c>
      <c r="N541">
        <v>0</v>
      </c>
      <c r="O541">
        <v>-3.0842500000000002E-3</v>
      </c>
      <c r="P541">
        <v>0.99251069999999997</v>
      </c>
      <c r="Q541">
        <v>0.1166452</v>
      </c>
      <c r="R541">
        <v>-3.6288729999999998E-2</v>
      </c>
      <c r="S541">
        <v>3.0310670000000002</v>
      </c>
      <c r="T541">
        <v>-0.1657264</v>
      </c>
      <c r="U541">
        <v>-0.31594850000000002</v>
      </c>
      <c r="V541">
        <v>3.3216259999999997E-2</v>
      </c>
      <c r="W541">
        <v>0.1311262</v>
      </c>
      <c r="X541">
        <v>0.9908091</v>
      </c>
      <c r="Y541">
        <v>0.1004627</v>
      </c>
      <c r="Z541">
        <v>-2.5689340000000001E-3</v>
      </c>
      <c r="AA541">
        <v>0.99493750000000003</v>
      </c>
      <c r="AB541">
        <v>34</v>
      </c>
      <c r="AC541">
        <v>20.8965999999999</v>
      </c>
      <c r="AD541">
        <v>-1.1603859999999999</v>
      </c>
      <c r="AE541">
        <v>-2.2111999999999599</v>
      </c>
      <c r="AF541">
        <v>2.1402058846257201</v>
      </c>
      <c r="AG541">
        <v>-1.1603859999999999</v>
      </c>
      <c r="AH541">
        <v>20.839771895353099</v>
      </c>
      <c r="AI541">
        <v>93.170372968238198</v>
      </c>
      <c r="AJ541">
        <v>84.1363864858168</v>
      </c>
      <c r="AK541">
        <v>20.981493501367598</v>
      </c>
      <c r="AL541">
        <v>82.465324333537893</v>
      </c>
      <c r="AM541">
        <v>88.079913662723996</v>
      </c>
      <c r="AN541">
        <v>1.00000003644881</v>
      </c>
    </row>
    <row r="542" spans="1:40" x14ac:dyDescent="0.25">
      <c r="A542" t="str">
        <f>"20190312164228934"</f>
        <v>20190312164228934</v>
      </c>
      <c r="B542" t="str">
        <f>"1552380148924764"</f>
        <v>1552380148924764</v>
      </c>
      <c r="C542" t="s">
        <v>40</v>
      </c>
      <c r="D542">
        <v>4.2690519999999896</v>
      </c>
      <c r="E542">
        <v>0.53091820000000001</v>
      </c>
      <c r="F542" t="s">
        <v>43</v>
      </c>
      <c r="G542">
        <v>-303.39850000000001</v>
      </c>
      <c r="H542">
        <v>-0.05</v>
      </c>
      <c r="I542">
        <v>364.97640000000001</v>
      </c>
      <c r="J542">
        <v>-324.48009999999999</v>
      </c>
      <c r="K542">
        <v>1.1103730000000001</v>
      </c>
      <c r="L542">
        <v>367.29320000000001</v>
      </c>
      <c r="M542">
        <v>0.99988880000000002</v>
      </c>
      <c r="N542">
        <v>0</v>
      </c>
      <c r="O542">
        <v>-3.0510060000000002E-3</v>
      </c>
      <c r="P542">
        <v>0.99248309999999995</v>
      </c>
      <c r="Q542">
        <v>0.1164129</v>
      </c>
      <c r="R542">
        <v>-3.7751689999999997E-2</v>
      </c>
      <c r="S542">
        <v>3.029938</v>
      </c>
      <c r="T542">
        <v>-0.16417229999999999</v>
      </c>
      <c r="U542">
        <v>-0.32791140000000002</v>
      </c>
      <c r="V542">
        <v>3.4715280000000001E-2</v>
      </c>
      <c r="W542">
        <v>0.1308898</v>
      </c>
      <c r="X542">
        <v>0.99078889999999997</v>
      </c>
      <c r="Y542">
        <v>0.10441449999999999</v>
      </c>
      <c r="Z542">
        <v>-2.653758E-3</v>
      </c>
      <c r="AA542">
        <v>0.99453029999999998</v>
      </c>
      <c r="AB542">
        <v>34</v>
      </c>
      <c r="AC542">
        <v>21.081599999999899</v>
      </c>
      <c r="AD542">
        <v>-1.1603729999999901</v>
      </c>
      <c r="AE542">
        <v>-2.3168000000000002</v>
      </c>
      <c r="AF542">
        <v>2.2457397260270602</v>
      </c>
      <c r="AG542">
        <v>-1.1603729999999901</v>
      </c>
      <c r="AH542">
        <v>21.025631657598101</v>
      </c>
      <c r="AI542">
        <v>93.141033445638499</v>
      </c>
      <c r="AJ542">
        <v>83.903373492253806</v>
      </c>
      <c r="AK542">
        <v>21.177039429938599</v>
      </c>
      <c r="AL542">
        <v>82.478986285539705</v>
      </c>
      <c r="AM542">
        <v>87.993290325244004</v>
      </c>
      <c r="AN542">
        <v>0.99999996738636299</v>
      </c>
    </row>
    <row r="543" spans="1:40" x14ac:dyDescent="0.25">
      <c r="A543" t="str">
        <f>"20190312164228956"</f>
        <v>20190312164228956</v>
      </c>
      <c r="B543" t="str">
        <f>"1552380148944284"</f>
        <v>1552380148944284</v>
      </c>
      <c r="C543" t="s">
        <v>40</v>
      </c>
      <c r="D543">
        <v>4.277304</v>
      </c>
      <c r="E543">
        <v>0.53150799999999998</v>
      </c>
      <c r="F543" t="s">
        <v>43</v>
      </c>
      <c r="G543">
        <v>-303.00290000000001</v>
      </c>
      <c r="H543">
        <v>-0.05</v>
      </c>
      <c r="I543">
        <v>364.92189999999999</v>
      </c>
      <c r="J543">
        <v>-324.1377</v>
      </c>
      <c r="K543">
        <v>1.1103639999999999</v>
      </c>
      <c r="L543">
        <v>367.2921</v>
      </c>
      <c r="M543">
        <v>0.99988900000000003</v>
      </c>
      <c r="N543">
        <v>0</v>
      </c>
      <c r="O543">
        <v>-3.0281549999999998E-3</v>
      </c>
      <c r="P543">
        <v>0.99250170000000004</v>
      </c>
      <c r="Q543">
        <v>0.1161534</v>
      </c>
      <c r="R543">
        <v>-3.8063529999999998E-2</v>
      </c>
      <c r="S543">
        <v>3.0292050000000001</v>
      </c>
      <c r="T543">
        <v>-0.16366229999999901</v>
      </c>
      <c r="U543">
        <v>-0.33444210000000002</v>
      </c>
      <c r="V543">
        <v>3.5052920000000001E-2</v>
      </c>
      <c r="W543">
        <v>0.13062550000000001</v>
      </c>
      <c r="X543">
        <v>0.99081189999999997</v>
      </c>
      <c r="Y543">
        <v>0.1065792</v>
      </c>
      <c r="Z543">
        <v>-2.7053419999999999E-3</v>
      </c>
      <c r="AA543">
        <v>0.99430050000000003</v>
      </c>
      <c r="AB543">
        <v>34</v>
      </c>
      <c r="AC543">
        <v>21.134799999999899</v>
      </c>
      <c r="AD543">
        <v>-1.160364</v>
      </c>
      <c r="AE543">
        <v>-2.3702000000000099</v>
      </c>
      <c r="AF543">
        <v>2.2993379707839199</v>
      </c>
      <c r="AG543">
        <v>-1.160364</v>
      </c>
      <c r="AH543">
        <v>21.079130719531001</v>
      </c>
      <c r="AI543">
        <v>93.132295309828606</v>
      </c>
      <c r="AJ543">
        <v>83.774717737067306</v>
      </c>
      <c r="AK543">
        <v>21.2358930023547</v>
      </c>
      <c r="AL543">
        <v>82.4942607573076</v>
      </c>
      <c r="AM543">
        <v>87.973836299802997</v>
      </c>
      <c r="AN543">
        <v>0.99999997481619296</v>
      </c>
    </row>
    <row r="544" spans="1:40" x14ac:dyDescent="0.25">
      <c r="A544" t="str">
        <f>"20190312164228993"</f>
        <v>20190312164228993</v>
      </c>
      <c r="B544" t="str">
        <f>"1552380148984300"</f>
        <v>1552380148984300</v>
      </c>
      <c r="C544" t="s">
        <v>40</v>
      </c>
      <c r="D544">
        <v>4.0813560000000004</v>
      </c>
      <c r="E544">
        <v>0.53100619999999998</v>
      </c>
      <c r="F544" t="s">
        <v>43</v>
      </c>
      <c r="G544">
        <v>-302.34809999999999</v>
      </c>
      <c r="H544">
        <v>-0.05</v>
      </c>
      <c r="I544">
        <v>364.84500000000003</v>
      </c>
      <c r="J544">
        <v>-323.60270000000003</v>
      </c>
      <c r="K544">
        <v>1.110341</v>
      </c>
      <c r="L544">
        <v>367.29050000000001</v>
      </c>
      <c r="M544">
        <v>0.99988940000000004</v>
      </c>
      <c r="N544">
        <v>0</v>
      </c>
      <c r="O544">
        <v>-3.010328E-3</v>
      </c>
      <c r="P544">
        <v>0.9924499</v>
      </c>
      <c r="Q544">
        <v>0.1164487</v>
      </c>
      <c r="R544">
        <v>-3.8506470000000001E-2</v>
      </c>
      <c r="S544">
        <v>3.028473</v>
      </c>
      <c r="T544">
        <v>-0.1612759</v>
      </c>
      <c r="U544">
        <v>-0.34011839999999999</v>
      </c>
      <c r="V544">
        <v>3.5518109999999999E-2</v>
      </c>
      <c r="W544">
        <v>0.13089500000000001</v>
      </c>
      <c r="X544">
        <v>0.99075979999999997</v>
      </c>
      <c r="Y544">
        <v>0.1084654</v>
      </c>
      <c r="Z544">
        <v>-2.7172910000000002E-3</v>
      </c>
      <c r="AA544">
        <v>0.99409650000000005</v>
      </c>
      <c r="AB544">
        <v>34</v>
      </c>
      <c r="AC544">
        <v>21.2546</v>
      </c>
      <c r="AD544">
        <v>-1.1603410000000001</v>
      </c>
      <c r="AE544">
        <v>-2.44549999999998</v>
      </c>
      <c r="AF544">
        <v>2.3745144193722001</v>
      </c>
      <c r="AG544">
        <v>-1.1603410000000001</v>
      </c>
      <c r="AH544">
        <v>21.199510008587598</v>
      </c>
      <c r="AI544">
        <v>93.113489031001706</v>
      </c>
      <c r="AJ544">
        <v>83.609052792574005</v>
      </c>
      <c r="AK544">
        <v>21.3636123951052</v>
      </c>
      <c r="AL544">
        <v>82.478686078481502</v>
      </c>
      <c r="AM544">
        <v>87.946861917162195</v>
      </c>
      <c r="AN544">
        <v>1.0000000092295001</v>
      </c>
    </row>
    <row r="545" spans="1:40" x14ac:dyDescent="0.25">
      <c r="A545" t="str">
        <f>"20190312164229014"</f>
        <v>20190312164229014</v>
      </c>
      <c r="B545" t="str">
        <f>"1552380149004796"</f>
        <v>1552380149004796</v>
      </c>
      <c r="C545" t="s">
        <v>40</v>
      </c>
      <c r="D545">
        <v>4.0734000000000004</v>
      </c>
      <c r="E545">
        <v>0.53069</v>
      </c>
      <c r="F545" t="s">
        <v>43</v>
      </c>
      <c r="G545">
        <v>-300.98149999999998</v>
      </c>
      <c r="H545">
        <v>-0.05</v>
      </c>
      <c r="I545">
        <v>364.77120000000002</v>
      </c>
      <c r="J545">
        <v>-323.26850000000002</v>
      </c>
      <c r="K545">
        <v>1.1103320000000001</v>
      </c>
      <c r="L545">
        <v>367.28949999999998</v>
      </c>
      <c r="M545">
        <v>0.99988999999999995</v>
      </c>
      <c r="N545">
        <v>0</v>
      </c>
      <c r="O545">
        <v>-3.0077620000000002E-3</v>
      </c>
      <c r="P545">
        <v>0.99243680000000001</v>
      </c>
      <c r="Q545">
        <v>0.116589899999999</v>
      </c>
      <c r="R545">
        <v>-3.8420030000000001E-2</v>
      </c>
      <c r="S545">
        <v>3.0279539999999998</v>
      </c>
      <c r="T545">
        <v>-0.15531710000000001</v>
      </c>
      <c r="U545">
        <v>-0.3372192</v>
      </c>
      <c r="V545">
        <v>3.5435710000000002E-2</v>
      </c>
      <c r="W545">
        <v>0.13099849999999999</v>
      </c>
      <c r="X545">
        <v>0.99074910000000005</v>
      </c>
      <c r="Y545">
        <v>0.1075585</v>
      </c>
      <c r="Z545">
        <v>-2.5945690000000001E-3</v>
      </c>
      <c r="AA545">
        <v>0.9941953</v>
      </c>
      <c r="AB545">
        <v>34</v>
      </c>
      <c r="AC545">
        <v>22.286999999999999</v>
      </c>
      <c r="AD545">
        <v>-1.1603319999999999</v>
      </c>
      <c r="AE545">
        <v>-2.5182999999999498</v>
      </c>
      <c r="AF545">
        <v>2.4447045294131202</v>
      </c>
      <c r="AG545">
        <v>-1.1603319999999999</v>
      </c>
      <c r="AH545">
        <v>22.234964690627699</v>
      </c>
      <c r="AI545">
        <v>92.969409515899002</v>
      </c>
      <c r="AJ545">
        <v>83.725608035196601</v>
      </c>
      <c r="AK545">
        <v>22.399031349141399</v>
      </c>
      <c r="AL545">
        <v>82.472704676718706</v>
      </c>
      <c r="AM545">
        <v>87.951598915258899</v>
      </c>
      <c r="AN545">
        <v>1.00000003784813</v>
      </c>
    </row>
    <row r="546" spans="1:40" x14ac:dyDescent="0.25">
      <c r="A546" t="str">
        <f>"20190312164229036"</f>
        <v>20190312164229036</v>
      </c>
      <c r="B546" t="str">
        <f>"1552380149024316"</f>
        <v>1552380149024316</v>
      </c>
      <c r="C546" t="s">
        <v>40</v>
      </c>
      <c r="D546">
        <v>4.0687629999999997</v>
      </c>
      <c r="E546">
        <v>0.53038790000000002</v>
      </c>
      <c r="F546" t="s">
        <v>43</v>
      </c>
      <c r="G546">
        <v>-300.50540000000001</v>
      </c>
      <c r="H546">
        <v>-0.05</v>
      </c>
      <c r="I546">
        <v>364.7792</v>
      </c>
      <c r="J546">
        <v>-322.93979999999999</v>
      </c>
      <c r="K546">
        <v>1.110314</v>
      </c>
      <c r="L546">
        <v>367.2885</v>
      </c>
      <c r="M546">
        <v>0.99989079999999997</v>
      </c>
      <c r="N546">
        <v>0</v>
      </c>
      <c r="O546">
        <v>-3.0089119999999999E-3</v>
      </c>
      <c r="P546">
        <v>0.99241630000000003</v>
      </c>
      <c r="Q546">
        <v>0.11667329999999999</v>
      </c>
      <c r="R546">
        <v>-3.8694649999999997E-2</v>
      </c>
      <c r="S546">
        <v>3.0280459999999998</v>
      </c>
      <c r="T546">
        <v>-0.1543523</v>
      </c>
      <c r="U546">
        <v>-0.33392329999999998</v>
      </c>
      <c r="V546">
        <v>3.5710249999999999E-2</v>
      </c>
      <c r="W546">
        <v>0.13101879999999999</v>
      </c>
      <c r="X546">
        <v>0.99073650000000002</v>
      </c>
      <c r="Y546">
        <v>0.1064881</v>
      </c>
      <c r="Z546">
        <v>-2.5513070000000001E-3</v>
      </c>
      <c r="AA546">
        <v>0.99431069999999999</v>
      </c>
      <c r="AB546">
        <v>34</v>
      </c>
      <c r="AC546">
        <v>22.434399999999901</v>
      </c>
      <c r="AD546">
        <v>-1.1603139999999901</v>
      </c>
      <c r="AE546">
        <v>-2.5092999999999899</v>
      </c>
      <c r="AF546">
        <v>2.4353444082175302</v>
      </c>
      <c r="AG546">
        <v>-1.1603139999999901</v>
      </c>
      <c r="AH546">
        <v>22.3827157331379</v>
      </c>
      <c r="AI546">
        <v>92.950161239327898</v>
      </c>
      <c r="AJ546">
        <v>83.790377810416103</v>
      </c>
      <c r="AK546">
        <v>22.5446932681661</v>
      </c>
      <c r="AL546">
        <v>82.471531024013601</v>
      </c>
      <c r="AM546">
        <v>87.935716268451102</v>
      </c>
      <c r="AN546">
        <v>0.99999998017037595</v>
      </c>
    </row>
    <row r="547" spans="1:40" x14ac:dyDescent="0.25">
      <c r="A547" t="str">
        <f>"20190312164229057"</f>
        <v>20190312164229057</v>
      </c>
      <c r="B547" t="str">
        <f>"1552380149044813"</f>
        <v>1552380149044813</v>
      </c>
      <c r="C547" t="s">
        <v>40</v>
      </c>
      <c r="D547">
        <v>4.1088690000000003</v>
      </c>
      <c r="E547">
        <v>0.53020409999999996</v>
      </c>
      <c r="F547" t="s">
        <v>43</v>
      </c>
      <c r="G547">
        <v>-300.00020000000001</v>
      </c>
      <c r="H547">
        <v>-0.05</v>
      </c>
      <c r="I547">
        <v>364.77449999999999</v>
      </c>
      <c r="J547">
        <v>-322.62650000000002</v>
      </c>
      <c r="K547">
        <v>1.11029</v>
      </c>
      <c r="L547">
        <v>367.2876</v>
      </c>
      <c r="M547">
        <v>0.99989240000000001</v>
      </c>
      <c r="N547">
        <v>0</v>
      </c>
      <c r="O547">
        <v>-3.0115670000000002E-3</v>
      </c>
      <c r="P547">
        <v>0.99246869999999998</v>
      </c>
      <c r="Q547">
        <v>0.1163531</v>
      </c>
      <c r="R547">
        <v>-3.8316500000000003E-2</v>
      </c>
      <c r="S547">
        <v>3.0279850000000001</v>
      </c>
      <c r="T547">
        <v>-0.1531595</v>
      </c>
      <c r="U547">
        <v>-0.33184809999999998</v>
      </c>
      <c r="V547">
        <v>3.5329939999999997E-2</v>
      </c>
      <c r="W547">
        <v>0.13059999999999999</v>
      </c>
      <c r="X547">
        <v>0.99080539999999995</v>
      </c>
      <c r="Y547">
        <v>0.1058172</v>
      </c>
      <c r="Z547">
        <v>-2.5147220000000001E-3</v>
      </c>
      <c r="AA547">
        <v>0.9943824</v>
      </c>
      <c r="AB547">
        <v>34</v>
      </c>
      <c r="AC547">
        <v>22.626300000000001</v>
      </c>
      <c r="AD547">
        <v>-1.16029</v>
      </c>
      <c r="AE547">
        <v>-2.5131000000000001</v>
      </c>
      <c r="AF547">
        <v>2.4386063066002901</v>
      </c>
      <c r="AG547">
        <v>-1.16029</v>
      </c>
      <c r="AH547">
        <v>22.575124186638799</v>
      </c>
      <c r="AI547">
        <v>92.925245334300001</v>
      </c>
      <c r="AJ547">
        <v>83.834711014527301</v>
      </c>
      <c r="AK547">
        <v>22.736079381565698</v>
      </c>
      <c r="AL547">
        <v>82.495734256756705</v>
      </c>
      <c r="AM547">
        <v>87.957823833607407</v>
      </c>
      <c r="AN547">
        <v>0.99999995266478003</v>
      </c>
    </row>
    <row r="548" spans="1:40" x14ac:dyDescent="0.25">
      <c r="A548" t="str">
        <f>"20190312164229080"</f>
        <v>20190312164229080</v>
      </c>
      <c r="B548" t="str">
        <f>"1552380149074096"</f>
        <v>1552380149074096</v>
      </c>
      <c r="C548" t="s">
        <v>40</v>
      </c>
      <c r="D548">
        <v>4.1620629999999998</v>
      </c>
      <c r="E548">
        <v>0.52991189999999999</v>
      </c>
      <c r="F548" t="s">
        <v>43</v>
      </c>
      <c r="G548">
        <v>-299.63389999999998</v>
      </c>
      <c r="H548">
        <v>-0.05</v>
      </c>
      <c r="I548">
        <v>364.7921</v>
      </c>
      <c r="J548">
        <v>-322.26260000000002</v>
      </c>
      <c r="K548">
        <v>1.1102399999999999</v>
      </c>
      <c r="L548">
        <v>367.28649999999999</v>
      </c>
      <c r="M548">
        <v>0.99989470000000003</v>
      </c>
      <c r="N548">
        <v>0</v>
      </c>
      <c r="O548">
        <v>-3.014657E-3</v>
      </c>
      <c r="P548">
        <v>0.99245689999999998</v>
      </c>
      <c r="Q548">
        <v>0.1163975</v>
      </c>
      <c r="R548">
        <v>-3.8484690000000002E-2</v>
      </c>
      <c r="S548">
        <v>3.0280149999999999</v>
      </c>
      <c r="T548">
        <v>-0.15280469999999999</v>
      </c>
      <c r="U548">
        <v>-0.32864379999999999</v>
      </c>
      <c r="V548">
        <v>3.5495779999999998E-2</v>
      </c>
      <c r="W548">
        <v>0.13047230000000001</v>
      </c>
      <c r="X548">
        <v>0.99081640000000004</v>
      </c>
      <c r="Y548">
        <v>0.1047749</v>
      </c>
      <c r="Z548">
        <v>-2.482663E-3</v>
      </c>
      <c r="AA548">
        <v>0.99449290000000001</v>
      </c>
      <c r="AB548">
        <v>34</v>
      </c>
      <c r="AC548">
        <v>22.628699999999998</v>
      </c>
      <c r="AD548">
        <v>-1.1602399999999999</v>
      </c>
      <c r="AE548">
        <v>-2.4943999999999802</v>
      </c>
      <c r="AF548">
        <v>2.4198787384542801</v>
      </c>
      <c r="AG548">
        <v>-1.1602399999999999</v>
      </c>
      <c r="AH548">
        <v>22.577475973967001</v>
      </c>
      <c r="AI548">
        <v>92.925076449592595</v>
      </c>
      <c r="AJ548">
        <v>83.882330085156894</v>
      </c>
      <c r="AK548">
        <v>22.736411135477798</v>
      </c>
      <c r="AL548">
        <v>82.503114844691893</v>
      </c>
      <c r="AM548">
        <v>87.948268718644897</v>
      </c>
      <c r="AN548">
        <v>1.00000005498702</v>
      </c>
    </row>
    <row r="549" spans="1:40" x14ac:dyDescent="0.25">
      <c r="A549" t="str">
        <f>"20190312164229103"</f>
        <v>20190312164229103</v>
      </c>
      <c r="B549" t="str">
        <f>"1552380149094589"</f>
        <v>1552380149094589</v>
      </c>
      <c r="C549" t="s">
        <v>40</v>
      </c>
      <c r="D549">
        <v>4.4981780000000002</v>
      </c>
      <c r="E549">
        <v>0.52975939999999999</v>
      </c>
      <c r="F549" t="s">
        <v>43</v>
      </c>
      <c r="G549">
        <v>-298.964</v>
      </c>
      <c r="H549">
        <v>-0.05</v>
      </c>
      <c r="I549">
        <v>364.77100000000002</v>
      </c>
      <c r="J549">
        <v>-321.92739999999998</v>
      </c>
      <c r="K549">
        <v>1.1101890000000001</v>
      </c>
      <c r="L549">
        <v>367.28550000000001</v>
      </c>
      <c r="M549">
        <v>0.99989790000000001</v>
      </c>
      <c r="N549">
        <v>0</v>
      </c>
      <c r="O549">
        <v>-3.016131E-3</v>
      </c>
      <c r="P549">
        <v>0.9924113</v>
      </c>
      <c r="Q549">
        <v>0.1167183</v>
      </c>
      <c r="R549">
        <v>-3.8690809999999999E-2</v>
      </c>
      <c r="S549">
        <v>3.0278320000000001</v>
      </c>
      <c r="T549">
        <v>-0.15078179999999999</v>
      </c>
      <c r="U549">
        <v>-0.32690429999999998</v>
      </c>
      <c r="V549">
        <v>3.570094E-2</v>
      </c>
      <c r="W549">
        <v>0.13057639999999901</v>
      </c>
      <c r="X549">
        <v>0.99079530000000005</v>
      </c>
      <c r="Y549">
        <v>0.1042192</v>
      </c>
      <c r="Z549">
        <v>-2.4361970000000002E-3</v>
      </c>
      <c r="AA549">
        <v>0.99455139999999997</v>
      </c>
      <c r="AB549">
        <v>34</v>
      </c>
      <c r="AC549">
        <v>22.963399999999901</v>
      </c>
      <c r="AD549">
        <v>-1.1601889999999999</v>
      </c>
      <c r="AE549">
        <v>-2.5145000000000501</v>
      </c>
      <c r="AF549">
        <v>2.4390689470974798</v>
      </c>
      <c r="AG549">
        <v>-1.1601889999999999</v>
      </c>
      <c r="AH549">
        <v>22.913085059024301</v>
      </c>
      <c r="AI549">
        <v>92.8824015645706</v>
      </c>
      <c r="AJ549">
        <v>83.923818154717793</v>
      </c>
      <c r="AK549">
        <v>23.071726479969001</v>
      </c>
      <c r="AL549">
        <v>82.497098774858301</v>
      </c>
      <c r="AM549">
        <v>87.936376351049901</v>
      </c>
      <c r="AN549">
        <v>1.00000003992796</v>
      </c>
    </row>
    <row r="550" spans="1:40" x14ac:dyDescent="0.25">
      <c r="A550" t="str">
        <f>"20190312164229116"</f>
        <v>20190312164229116</v>
      </c>
      <c r="B550" t="str">
        <f>"1552380149104348"</f>
        <v>1552380149104348</v>
      </c>
      <c r="C550" t="s">
        <v>40</v>
      </c>
      <c r="D550">
        <v>4.1437169999999997</v>
      </c>
      <c r="E550">
        <v>0.52969960000000005</v>
      </c>
      <c r="F550" t="s">
        <v>43</v>
      </c>
      <c r="G550">
        <v>-298.4126</v>
      </c>
      <c r="H550">
        <v>-0.05</v>
      </c>
      <c r="I550">
        <v>364.74540000000002</v>
      </c>
      <c r="J550">
        <v>-321.72949999999997</v>
      </c>
      <c r="K550">
        <v>1.1101589999999999</v>
      </c>
      <c r="L550">
        <v>367.28489999999999</v>
      </c>
      <c r="M550">
        <v>0.99990000000000001</v>
      </c>
      <c r="N550">
        <v>0</v>
      </c>
      <c r="O550">
        <v>-3.0162679999999999E-3</v>
      </c>
      <c r="P550">
        <v>0.99241769999999996</v>
      </c>
      <c r="Q550">
        <v>0.11649809999999999</v>
      </c>
      <c r="R550">
        <v>-3.9185669999999999E-2</v>
      </c>
      <c r="S550">
        <v>3.027771</v>
      </c>
      <c r="T550">
        <v>-0.14938599999999999</v>
      </c>
      <c r="U550">
        <v>-0.32705689999999998</v>
      </c>
      <c r="V550">
        <v>3.6195709999999999E-2</v>
      </c>
      <c r="W550">
        <v>0.1302043</v>
      </c>
      <c r="X550">
        <v>0.99082630000000005</v>
      </c>
      <c r="Y550">
        <v>0.104273</v>
      </c>
      <c r="Z550">
        <v>-2.4150310000000002E-3</v>
      </c>
      <c r="AA550">
        <v>0.99454580000000004</v>
      </c>
      <c r="AB550">
        <v>34</v>
      </c>
      <c r="AC550">
        <v>23.316899999999901</v>
      </c>
      <c r="AD550">
        <v>-1.1601589999999999</v>
      </c>
      <c r="AE550">
        <v>-2.5394999999999701</v>
      </c>
      <c r="AF550">
        <v>2.4631253029097602</v>
      </c>
      <c r="AG550">
        <v>-1.1601589999999999</v>
      </c>
      <c r="AH550">
        <v>23.26752692086</v>
      </c>
      <c r="AI550">
        <v>92.838666905062993</v>
      </c>
      <c r="AJ550">
        <v>83.957113727089606</v>
      </c>
      <c r="AK550">
        <v>23.4262836185354</v>
      </c>
      <c r="AL550">
        <v>82.518601985737902</v>
      </c>
      <c r="AM550">
        <v>87.907867773047201</v>
      </c>
      <c r="AN550">
        <v>1.00000002296629</v>
      </c>
    </row>
    <row r="551" spans="1:40" x14ac:dyDescent="0.25">
      <c r="A551" t="str">
        <f>"20190312164229135"</f>
        <v>20190312164229135</v>
      </c>
      <c r="B551" t="str">
        <f>"1552380149124845"</f>
        <v>1552380149124845</v>
      </c>
      <c r="C551" t="s">
        <v>40</v>
      </c>
      <c r="D551">
        <v>4.1593669999999996</v>
      </c>
      <c r="E551">
        <v>0.52940730000000003</v>
      </c>
      <c r="F551" t="s">
        <v>43</v>
      </c>
      <c r="G551">
        <v>-298.21940000000001</v>
      </c>
      <c r="H551">
        <v>-0.05</v>
      </c>
      <c r="I551">
        <v>364.73820000000001</v>
      </c>
      <c r="J551">
        <v>-321.42860000000002</v>
      </c>
      <c r="K551">
        <v>1.110112</v>
      </c>
      <c r="L551">
        <v>367.28390000000002</v>
      </c>
      <c r="M551">
        <v>0.99990330000000005</v>
      </c>
      <c r="N551">
        <v>0</v>
      </c>
      <c r="O551">
        <v>-3.0161570000000002E-3</v>
      </c>
      <c r="P551">
        <v>0.992371</v>
      </c>
      <c r="Q551">
        <v>0.1168062</v>
      </c>
      <c r="R551">
        <v>-3.945125E-2</v>
      </c>
      <c r="S551">
        <v>3.0274960000000002</v>
      </c>
      <c r="T551">
        <v>-0.1493987</v>
      </c>
      <c r="U551">
        <v>-0.32794190000000001</v>
      </c>
      <c r="V551">
        <v>3.646199E-2</v>
      </c>
      <c r="W551">
        <v>0.1302691</v>
      </c>
      <c r="X551">
        <v>0.99080800000000002</v>
      </c>
      <c r="Y551">
        <v>0.1045697</v>
      </c>
      <c r="Z551">
        <v>-2.4227160000000001E-3</v>
      </c>
      <c r="AA551">
        <v>0.99451460000000003</v>
      </c>
      <c r="AB551">
        <v>34</v>
      </c>
      <c r="AC551">
        <v>23.209199999999999</v>
      </c>
      <c r="AD551">
        <v>-1.160112</v>
      </c>
      <c r="AE551">
        <v>-2.5457000000000098</v>
      </c>
      <c r="AF551">
        <v>2.4695824727428199</v>
      </c>
      <c r="AG551">
        <v>-1.160112</v>
      </c>
      <c r="AH551">
        <v>23.159596954557401</v>
      </c>
      <c r="AI551">
        <v>92.8515277733255</v>
      </c>
      <c r="AJ551">
        <v>83.913366461908595</v>
      </c>
      <c r="AK551">
        <v>23.319769049880499</v>
      </c>
      <c r="AL551">
        <v>82.514857182980606</v>
      </c>
      <c r="AM551">
        <v>87.892451578712993</v>
      </c>
      <c r="AN551">
        <v>1.00000000399678</v>
      </c>
    </row>
    <row r="552" spans="1:40" x14ac:dyDescent="0.25">
      <c r="A552" t="str">
        <f>"20190312164229159"</f>
        <v>20190312164229159</v>
      </c>
      <c r="B552" t="str">
        <f>"1552380149154125"</f>
        <v>1552380149154125</v>
      </c>
      <c r="C552" t="s">
        <v>40</v>
      </c>
      <c r="D552">
        <v>4.4773459999999998</v>
      </c>
      <c r="E552">
        <v>0.4919116</v>
      </c>
      <c r="F552" t="s">
        <v>43</v>
      </c>
      <c r="G552">
        <v>-297.80189999999999</v>
      </c>
      <c r="H552">
        <v>-0.05</v>
      </c>
      <c r="I552">
        <v>364.73469999999998</v>
      </c>
      <c r="J552">
        <v>-321.09399999999999</v>
      </c>
      <c r="K552">
        <v>1.109915</v>
      </c>
      <c r="L552">
        <v>367.28300000000002</v>
      </c>
      <c r="M552">
        <v>0.99991450000000004</v>
      </c>
      <c r="N552">
        <v>0</v>
      </c>
      <c r="O552">
        <v>-3.0163400000000002E-3</v>
      </c>
      <c r="P552">
        <v>0.99230940000000001</v>
      </c>
      <c r="Q552">
        <v>0.1174095</v>
      </c>
      <c r="R552">
        <v>-3.9209019999999997E-2</v>
      </c>
      <c r="S552">
        <v>3.0275880000000002</v>
      </c>
      <c r="T552">
        <v>-0.1486595</v>
      </c>
      <c r="U552">
        <v>-0.32666020000000001</v>
      </c>
      <c r="V552">
        <v>3.6220009999999997E-2</v>
      </c>
      <c r="W552">
        <v>0.13003499999999901</v>
      </c>
      <c r="X552">
        <v>0.99084760000000005</v>
      </c>
      <c r="Y552">
        <v>0.10415190000000001</v>
      </c>
      <c r="Z552">
        <v>-2.4004959999999998E-3</v>
      </c>
      <c r="AA552">
        <v>0.99455850000000001</v>
      </c>
      <c r="AB552">
        <v>34</v>
      </c>
      <c r="AC552">
        <v>23.292100000000001</v>
      </c>
      <c r="AD552">
        <v>-1.159915</v>
      </c>
      <c r="AE552">
        <v>-2.54830000000003</v>
      </c>
      <c r="AF552">
        <v>2.4719680882397901</v>
      </c>
      <c r="AG552">
        <v>-1.159915</v>
      </c>
      <c r="AH552">
        <v>23.242723210875202</v>
      </c>
      <c r="AI552">
        <v>92.840947732967805</v>
      </c>
      <c r="AJ552">
        <v>83.9291573347042</v>
      </c>
      <c r="AK552">
        <v>23.402568476427099</v>
      </c>
      <c r="AL552">
        <v>82.528385001140194</v>
      </c>
      <c r="AM552">
        <v>87.906509433050203</v>
      </c>
      <c r="AN552">
        <v>0.99999997838757904</v>
      </c>
    </row>
    <row r="553" spans="1:40" x14ac:dyDescent="0.25">
      <c r="A553" t="str">
        <f>"20190312164229182"</f>
        <v>20190312164229182</v>
      </c>
      <c r="B553" t="str">
        <f>"1552380149174624"</f>
        <v>1552380149174624</v>
      </c>
      <c r="C553" t="s">
        <v>40</v>
      </c>
      <c r="D553">
        <v>4.4616879999999997</v>
      </c>
      <c r="E553">
        <v>0.48797400000000002</v>
      </c>
      <c r="F553" t="s">
        <v>43</v>
      </c>
      <c r="G553">
        <v>-300.25839999999999</v>
      </c>
      <c r="H553">
        <v>-0.05</v>
      </c>
      <c r="I553">
        <v>367.10950000000003</v>
      </c>
      <c r="J553">
        <v>-320.72489999999999</v>
      </c>
      <c r="K553">
        <v>1.1095969999999999</v>
      </c>
      <c r="L553">
        <v>367.28179999999998</v>
      </c>
      <c r="M553">
        <v>0.99992630000000005</v>
      </c>
      <c r="N553">
        <v>0</v>
      </c>
      <c r="O553">
        <v>-3.0167089999999998E-3</v>
      </c>
      <c r="P553">
        <v>0.992232</v>
      </c>
      <c r="Q553">
        <v>0.1182154</v>
      </c>
      <c r="R553">
        <v>-3.8742779999999997E-2</v>
      </c>
      <c r="S553">
        <v>3.0423279999999999</v>
      </c>
      <c r="T553">
        <v>-0.16936560000000001</v>
      </c>
      <c r="U553">
        <v>-2.5329589999999999E-2</v>
      </c>
      <c r="V553">
        <v>3.575383E-2</v>
      </c>
      <c r="W553">
        <v>0.1298762</v>
      </c>
      <c r="X553">
        <v>0.99088540000000003</v>
      </c>
      <c r="Y553">
        <v>5.3050429999999997E-3</v>
      </c>
      <c r="Z553" s="1">
        <v>2.0269099999999999E-5</v>
      </c>
      <c r="AA553">
        <v>0.99998589999999998</v>
      </c>
      <c r="AB553">
        <v>34</v>
      </c>
      <c r="AC553">
        <v>20.4665</v>
      </c>
      <c r="AD553">
        <v>-1.159597</v>
      </c>
      <c r="AE553">
        <v>-0.17229999999994999</v>
      </c>
      <c r="AF553">
        <v>0.110199737462803</v>
      </c>
      <c r="AG553">
        <v>-1.159597</v>
      </c>
      <c r="AH553">
        <v>20.401439381032102</v>
      </c>
      <c r="AI553">
        <v>93.253086043273896</v>
      </c>
      <c r="AJ553">
        <v>89.6905160299861</v>
      </c>
      <c r="AK553">
        <v>20.4346651061981</v>
      </c>
      <c r="AL553">
        <v>82.537561699476797</v>
      </c>
      <c r="AM553">
        <v>87.933509553800704</v>
      </c>
      <c r="AN553">
        <v>1.0000000198096299</v>
      </c>
    </row>
    <row r="554" spans="1:40" x14ac:dyDescent="0.25">
      <c r="A554" t="str">
        <f>"20190312164229193"</f>
        <v>20190312164229193</v>
      </c>
      <c r="B554" t="str">
        <f>"1552380149184381"</f>
        <v>1552380149184381</v>
      </c>
      <c r="C554" t="s">
        <v>40</v>
      </c>
      <c r="D554">
        <v>4.2950109999999997</v>
      </c>
      <c r="E554">
        <v>0.4862938</v>
      </c>
      <c r="F554" t="s">
        <v>43</v>
      </c>
      <c r="G554">
        <v>-302.0027</v>
      </c>
      <c r="H554">
        <v>-0.05</v>
      </c>
      <c r="I554">
        <v>367.33139999999997</v>
      </c>
      <c r="J554">
        <v>-320.53829999999999</v>
      </c>
      <c r="K554">
        <v>1.1094200000000001</v>
      </c>
      <c r="L554">
        <v>367.28129999999999</v>
      </c>
      <c r="M554">
        <v>0.99992840000000005</v>
      </c>
      <c r="N554">
        <v>0</v>
      </c>
      <c r="O554">
        <v>-3.017053E-3</v>
      </c>
      <c r="P554">
        <v>0.99227880000000002</v>
      </c>
      <c r="Q554">
        <v>0.11797009999999999</v>
      </c>
      <c r="R554">
        <v>-3.8290329999999997E-2</v>
      </c>
      <c r="S554">
        <v>3.0462950000000002</v>
      </c>
      <c r="T554">
        <v>-0.1886784</v>
      </c>
      <c r="U554">
        <v>8.0566409999999998E-3</v>
      </c>
      <c r="V554">
        <v>3.5300959999999999E-2</v>
      </c>
      <c r="W554">
        <v>0.1294672</v>
      </c>
      <c r="X554">
        <v>0.99095509999999998</v>
      </c>
      <c r="Y554">
        <v>-5.6453579999999996E-3</v>
      </c>
      <c r="Z554">
        <v>3.6136110000000002E-4</v>
      </c>
      <c r="AA554">
        <v>0.99998399999999998</v>
      </c>
      <c r="AB554">
        <v>34</v>
      </c>
      <c r="AC554">
        <v>18.535599999999899</v>
      </c>
      <c r="AD554">
        <v>-1.1594199999999999</v>
      </c>
      <c r="AE554">
        <v>5.0099999999986197E-2</v>
      </c>
      <c r="AF554">
        <v>-0.105613187497184</v>
      </c>
      <c r="AG554">
        <v>-1.1594199999999999</v>
      </c>
      <c r="AH554">
        <v>18.4631256947347</v>
      </c>
      <c r="AI554">
        <v>93.593198538638106</v>
      </c>
      <c r="AJ554">
        <v>90.327741033974206</v>
      </c>
      <c r="AK554">
        <v>18.499795115118101</v>
      </c>
      <c r="AL554">
        <v>82.561194778186604</v>
      </c>
      <c r="AM554">
        <v>87.959805538436697</v>
      </c>
      <c r="AN554">
        <v>0.99999996193438501</v>
      </c>
    </row>
    <row r="555" spans="1:40" x14ac:dyDescent="0.25">
      <c r="A555" t="str">
        <f>"20190312164229215"</f>
        <v>20190312164229215</v>
      </c>
      <c r="B555" t="str">
        <f>"1552380149204876"</f>
        <v>1552380149204876</v>
      </c>
      <c r="C555" t="s">
        <v>40</v>
      </c>
      <c r="D555">
        <v>4.2683559999999998</v>
      </c>
      <c r="E555">
        <v>0.48451670000000002</v>
      </c>
      <c r="F555" t="s">
        <v>43</v>
      </c>
      <c r="G555">
        <v>-301.7636</v>
      </c>
      <c r="H555">
        <v>-0.05</v>
      </c>
      <c r="I555">
        <v>367.42540000000002</v>
      </c>
      <c r="J555">
        <v>-320.21420000000001</v>
      </c>
      <c r="K555">
        <v>1.1090329999999999</v>
      </c>
      <c r="L555">
        <v>367.28030000000001</v>
      </c>
      <c r="M555">
        <v>0.99992820000000004</v>
      </c>
      <c r="N555">
        <v>0</v>
      </c>
      <c r="O555">
        <v>-3.0172229999999999E-3</v>
      </c>
      <c r="P555">
        <v>0.99232569999999998</v>
      </c>
      <c r="Q555">
        <v>0.1176915</v>
      </c>
      <c r="R555">
        <v>-3.7931220000000002E-2</v>
      </c>
      <c r="S555">
        <v>3.04657</v>
      </c>
      <c r="T555">
        <v>-0.1881399</v>
      </c>
      <c r="U555">
        <v>2.3376460000000002E-2</v>
      </c>
      <c r="V555">
        <v>3.494158E-2</v>
      </c>
      <c r="W555">
        <v>0.12919719999999901</v>
      </c>
      <c r="X555">
        <v>0.99100310000000003</v>
      </c>
      <c r="Y555">
        <v>-1.066406E-2</v>
      </c>
      <c r="Z555">
        <v>5.1511999999999999E-4</v>
      </c>
      <c r="AA555">
        <v>0.99994300000000003</v>
      </c>
      <c r="AB555">
        <v>34</v>
      </c>
      <c r="AC555">
        <v>18.450600000000001</v>
      </c>
      <c r="AD555">
        <v>-1.159033</v>
      </c>
      <c r="AE555">
        <v>0.145100000000013</v>
      </c>
      <c r="AF555">
        <v>-0.19998354716985101</v>
      </c>
      <c r="AG555">
        <v>-1.159033</v>
      </c>
      <c r="AH555">
        <v>18.3775625392881</v>
      </c>
      <c r="AI555">
        <v>93.608527842903698</v>
      </c>
      <c r="AJ555">
        <v>90.623464670655096</v>
      </c>
      <c r="AK555">
        <v>18.415161031054598</v>
      </c>
      <c r="AL555">
        <v>82.576795855903399</v>
      </c>
      <c r="AM555">
        <v>87.980656102632395</v>
      </c>
      <c r="AN555">
        <v>0.99999998735517304</v>
      </c>
    </row>
    <row r="556" spans="1:40" x14ac:dyDescent="0.25">
      <c r="A556" t="str">
        <f>"20190312164229237"</f>
        <v>20190312164229237</v>
      </c>
      <c r="B556" t="str">
        <f>"1552380149224396"</f>
        <v>1552380149224396</v>
      </c>
      <c r="C556" t="s">
        <v>40</v>
      </c>
      <c r="D556">
        <v>4.4667870000000001</v>
      </c>
      <c r="E556">
        <v>0.48346539999999999</v>
      </c>
      <c r="F556" t="s">
        <v>43</v>
      </c>
      <c r="G556">
        <v>-301.46820000000002</v>
      </c>
      <c r="H556">
        <v>-0.05</v>
      </c>
      <c r="I556">
        <v>367.51909999999998</v>
      </c>
      <c r="J556">
        <v>-319.88040000000001</v>
      </c>
      <c r="K556">
        <v>1.108444</v>
      </c>
      <c r="L556">
        <v>367.27929999999998</v>
      </c>
      <c r="M556">
        <v>0.99992380000000003</v>
      </c>
      <c r="N556">
        <v>0</v>
      </c>
      <c r="O556">
        <v>-3.0173159999999999E-3</v>
      </c>
      <c r="P556">
        <v>0.99246909999999999</v>
      </c>
      <c r="Q556">
        <v>0.11670179999999999</v>
      </c>
      <c r="R556">
        <v>-3.7232439999999999E-2</v>
      </c>
      <c r="S556">
        <v>3.0470280000000001</v>
      </c>
      <c r="T556">
        <v>-0.18839220000000001</v>
      </c>
      <c r="U556">
        <v>3.8818360000000003E-2</v>
      </c>
      <c r="V556">
        <v>3.4242309999999998E-2</v>
      </c>
      <c r="W556">
        <v>0.1285848</v>
      </c>
      <c r="X556">
        <v>0.99110719999999997</v>
      </c>
      <c r="Y556">
        <v>-1.5720169999999999E-2</v>
      </c>
      <c r="Z556">
        <v>6.7187509999999998E-4</v>
      </c>
      <c r="AA556">
        <v>0.99987619999999999</v>
      </c>
      <c r="AB556">
        <v>34</v>
      </c>
      <c r="AC556">
        <v>18.412199999999899</v>
      </c>
      <c r="AD556">
        <v>-1.158444</v>
      </c>
      <c r="AE556">
        <v>0.23980000000000201</v>
      </c>
      <c r="AF556">
        <v>-0.29419392381411202</v>
      </c>
      <c r="AG556">
        <v>-1.158444</v>
      </c>
      <c r="AH556">
        <v>18.338809355110499</v>
      </c>
      <c r="AI556">
        <v>93.614049959743198</v>
      </c>
      <c r="AJ556">
        <v>90.919068632905194</v>
      </c>
      <c r="AK556">
        <v>18.3777167006414</v>
      </c>
      <c r="AL556">
        <v>82.612179279084998</v>
      </c>
      <c r="AM556">
        <v>88.0212435495054</v>
      </c>
      <c r="AN556">
        <v>1.0000000342385</v>
      </c>
    </row>
    <row r="557" spans="1:40" x14ac:dyDescent="0.25">
      <c r="A557" t="str">
        <f>"20190312164229259"</f>
        <v>20190312164229259</v>
      </c>
      <c r="B557" t="str">
        <f>"1552380149254653"</f>
        <v>1552380149254653</v>
      </c>
      <c r="C557" t="s">
        <v>40</v>
      </c>
      <c r="D557">
        <v>4.4329390000000002</v>
      </c>
      <c r="E557">
        <v>0.48278280000000001</v>
      </c>
      <c r="F557" t="s">
        <v>43</v>
      </c>
      <c r="G557">
        <v>-301.94819999999999</v>
      </c>
      <c r="H557">
        <v>-0.05</v>
      </c>
      <c r="I557">
        <v>367.56979999999999</v>
      </c>
      <c r="J557">
        <v>-319.53339999999997</v>
      </c>
      <c r="K557">
        <v>1.1075820000000001</v>
      </c>
      <c r="L557">
        <v>367.2783</v>
      </c>
      <c r="M557">
        <v>0.99991450000000004</v>
      </c>
      <c r="N557">
        <v>0</v>
      </c>
      <c r="O557">
        <v>-3.015373E-3</v>
      </c>
      <c r="P557">
        <v>0.9926104</v>
      </c>
      <c r="Q557">
        <v>0.1154973</v>
      </c>
      <c r="R557">
        <v>-3.7217630000000002E-2</v>
      </c>
      <c r="S557">
        <v>3.0477599999999998</v>
      </c>
      <c r="T557">
        <v>-0.19688939999999999</v>
      </c>
      <c r="U557">
        <v>4.9377440000000002E-2</v>
      </c>
      <c r="V557">
        <v>3.422911E-2</v>
      </c>
      <c r="W557">
        <v>0.12812089999999901</v>
      </c>
      <c r="X557">
        <v>0.99116769999999998</v>
      </c>
      <c r="Y557">
        <v>-1.9168020000000001E-2</v>
      </c>
      <c r="Z557">
        <v>8.1305319999999996E-4</v>
      </c>
      <c r="AA557">
        <v>0.99981589999999998</v>
      </c>
      <c r="AB557">
        <v>34</v>
      </c>
      <c r="AC557">
        <v>17.585199999999901</v>
      </c>
      <c r="AD557">
        <v>-1.1575819999999899</v>
      </c>
      <c r="AE557">
        <v>0.29149999999998499</v>
      </c>
      <c r="AF557">
        <v>-0.34304283933035601</v>
      </c>
      <c r="AG557">
        <v>-1.1575819999999899</v>
      </c>
      <c r="AH557">
        <v>17.508394424288301</v>
      </c>
      <c r="AI557">
        <v>93.7819288845876</v>
      </c>
      <c r="AJ557">
        <v>91.122455428927594</v>
      </c>
      <c r="AK557">
        <v>17.549972928548598</v>
      </c>
      <c r="AL557">
        <v>82.638980245561498</v>
      </c>
      <c r="AM557">
        <v>88.022126369486003</v>
      </c>
      <c r="AN557">
        <v>1.0000000032557399</v>
      </c>
    </row>
    <row r="558" spans="1:40" x14ac:dyDescent="0.25">
      <c r="A558" t="str">
        <f>"20190312164229282"</f>
        <v>20190312164229282</v>
      </c>
      <c r="B558" t="str">
        <f>"1552380149274173"</f>
        <v>1552380149274173</v>
      </c>
      <c r="C558" t="s">
        <v>40</v>
      </c>
      <c r="D558">
        <v>4.4940280000000001</v>
      </c>
      <c r="E558">
        <v>0.4827842</v>
      </c>
      <c r="F558" t="s">
        <v>43</v>
      </c>
      <c r="G558">
        <v>-302.26490000000001</v>
      </c>
      <c r="H558">
        <v>-0.05</v>
      </c>
      <c r="I558">
        <v>367.58929999999998</v>
      </c>
      <c r="J558">
        <v>-319.18130000000002</v>
      </c>
      <c r="K558">
        <v>1.1065049999999901</v>
      </c>
      <c r="L558">
        <v>367.27730000000003</v>
      </c>
      <c r="M558">
        <v>0.99989620000000001</v>
      </c>
      <c r="N558">
        <v>0</v>
      </c>
      <c r="O558">
        <v>-3.0127600000000002E-3</v>
      </c>
      <c r="P558">
        <v>0.99282009999999998</v>
      </c>
      <c r="Q558">
        <v>0.11362899999999999</v>
      </c>
      <c r="R558">
        <v>-3.73782E-2</v>
      </c>
      <c r="S558">
        <v>3.0481569999999998</v>
      </c>
      <c r="T558">
        <v>-0.20433200000000001</v>
      </c>
      <c r="U558">
        <v>5.4901119999999998E-2</v>
      </c>
      <c r="V558">
        <v>3.439159E-2</v>
      </c>
      <c r="W558">
        <v>0.12761349999999999</v>
      </c>
      <c r="X558">
        <v>0.99122750000000004</v>
      </c>
      <c r="Y558">
        <v>-2.0967019999999999E-2</v>
      </c>
      <c r="Z558">
        <v>9.0365110000000003E-4</v>
      </c>
      <c r="AA558">
        <v>0.9997798</v>
      </c>
      <c r="AB558">
        <v>34</v>
      </c>
      <c r="AC558">
        <v>16.916399999999999</v>
      </c>
      <c r="AD558">
        <v>-1.1565049999999999</v>
      </c>
      <c r="AE558">
        <v>0.31199999999995498</v>
      </c>
      <c r="AF558">
        <v>-0.36128068187588103</v>
      </c>
      <c r="AG558">
        <v>-1.1565049999999999</v>
      </c>
      <c r="AH558">
        <v>16.8367168168779</v>
      </c>
      <c r="AI558">
        <v>93.928542439923604</v>
      </c>
      <c r="AJ558">
        <v>91.229258790030897</v>
      </c>
      <c r="AK558">
        <v>16.880256535901999</v>
      </c>
      <c r="AL558">
        <v>82.668292509977704</v>
      </c>
      <c r="AM558">
        <v>88.012865029594494</v>
      </c>
      <c r="AN558">
        <v>0.99999997180061295</v>
      </c>
    </row>
    <row r="559" spans="1:40" x14ac:dyDescent="0.25">
      <c r="A559" t="str">
        <f>"20190312164229304"</f>
        <v>20190312164229304</v>
      </c>
      <c r="B559" t="str">
        <f>"1552380149294685"</f>
        <v>1552380149294685</v>
      </c>
      <c r="C559" t="s">
        <v>40</v>
      </c>
      <c r="D559">
        <v>4.3693150000000003</v>
      </c>
      <c r="E559">
        <v>0.4826761</v>
      </c>
      <c r="F559" t="s">
        <v>43</v>
      </c>
      <c r="G559">
        <v>-302.73050000000001</v>
      </c>
      <c r="H559">
        <v>-0.05</v>
      </c>
      <c r="I559">
        <v>367.577</v>
      </c>
      <c r="J559">
        <v>-318.84370000000001</v>
      </c>
      <c r="K559">
        <v>1.105286</v>
      </c>
      <c r="L559">
        <v>367.27620000000002</v>
      </c>
      <c r="M559">
        <v>0.99987099999999995</v>
      </c>
      <c r="N559">
        <v>0</v>
      </c>
      <c r="O559">
        <v>-3.0108999999999999E-3</v>
      </c>
      <c r="P559">
        <v>0.99301079999999997</v>
      </c>
      <c r="Q559">
        <v>0.11180669999999999</v>
      </c>
      <c r="R559">
        <v>-3.7800779999999999E-2</v>
      </c>
      <c r="S559">
        <v>3.0483090000000002</v>
      </c>
      <c r="T559">
        <v>-0.21429860000000001</v>
      </c>
      <c r="U559">
        <v>5.5541989999999999E-2</v>
      </c>
      <c r="V559">
        <v>3.4815359999999997E-2</v>
      </c>
      <c r="W559">
        <v>0.12746209999999999</v>
      </c>
      <c r="X559">
        <v>0.99123220000000001</v>
      </c>
      <c r="Y559">
        <v>-2.1168599999999999E-2</v>
      </c>
      <c r="Z559">
        <v>9.5452429999999999E-4</v>
      </c>
      <c r="AA559">
        <v>0.99977550000000004</v>
      </c>
      <c r="AB559">
        <v>34</v>
      </c>
      <c r="AC559">
        <v>16.113199999999999</v>
      </c>
      <c r="AD559">
        <v>-1.155286</v>
      </c>
      <c r="AE559">
        <v>0.30079999999998103</v>
      </c>
      <c r="AF559">
        <v>-0.34753399186431799</v>
      </c>
      <c r="AG559">
        <v>-1.155286</v>
      </c>
      <c r="AH559">
        <v>16.0298465245383</v>
      </c>
      <c r="AI559">
        <v>94.121267772601797</v>
      </c>
      <c r="AJ559">
        <v>91.242002658260304</v>
      </c>
      <c r="AK559">
        <v>16.075181032185899</v>
      </c>
      <c r="AL559">
        <v>82.677038612845607</v>
      </c>
      <c r="AM559">
        <v>87.988409259972499</v>
      </c>
      <c r="AN559">
        <v>0.99999998527258904</v>
      </c>
    </row>
    <row r="560" spans="1:40" x14ac:dyDescent="0.25">
      <c r="A560" t="str">
        <f>"20190312164229324"</f>
        <v>20190312164229324</v>
      </c>
      <c r="B560" t="str">
        <f>"1552380149314189"</f>
        <v>1552380149314189</v>
      </c>
      <c r="C560" t="s">
        <v>40</v>
      </c>
      <c r="D560">
        <v>4.3816290000000002</v>
      </c>
      <c r="E560">
        <v>0.48244019999999999</v>
      </c>
      <c r="F560" t="s">
        <v>43</v>
      </c>
      <c r="G560">
        <v>-302.84059999999999</v>
      </c>
      <c r="H560">
        <v>-0.05</v>
      </c>
      <c r="I560">
        <v>367.56450000000001</v>
      </c>
      <c r="J560">
        <v>-318.51639999999998</v>
      </c>
      <c r="K560">
        <v>1.103909</v>
      </c>
      <c r="L560">
        <v>367.27530000000002</v>
      </c>
      <c r="M560">
        <v>0.9998456</v>
      </c>
      <c r="N560">
        <v>0</v>
      </c>
      <c r="O560">
        <v>-3.0109960000000002E-3</v>
      </c>
      <c r="P560">
        <v>0.99314000000000002</v>
      </c>
      <c r="Q560">
        <v>0.110427</v>
      </c>
      <c r="R560">
        <v>-3.8460469999999997E-2</v>
      </c>
      <c r="S560">
        <v>3.047974</v>
      </c>
      <c r="T560">
        <v>-0.2200376</v>
      </c>
      <c r="U560">
        <v>5.4901119999999998E-2</v>
      </c>
      <c r="V560">
        <v>3.5474390000000001E-2</v>
      </c>
      <c r="W560">
        <v>0.12761210000000001</v>
      </c>
      <c r="X560">
        <v>0.99118949999999995</v>
      </c>
      <c r="Y560">
        <v>-2.095793E-2</v>
      </c>
      <c r="Z560">
        <v>9.7254939999999999E-4</v>
      </c>
      <c r="AA560">
        <v>0.99977990000000005</v>
      </c>
      <c r="AB560">
        <v>34</v>
      </c>
      <c r="AC560">
        <v>15.675799999999899</v>
      </c>
      <c r="AD560">
        <v>-1.1539090000000001</v>
      </c>
      <c r="AE560">
        <v>0.28919999999999302</v>
      </c>
      <c r="AF560">
        <v>-0.33459313912785699</v>
      </c>
      <c r="AG560">
        <v>-1.1539090000000001</v>
      </c>
      <c r="AH560">
        <v>15.5904092214827</v>
      </c>
      <c r="AI560">
        <v>94.232002262497105</v>
      </c>
      <c r="AJ560">
        <v>91.229463059446203</v>
      </c>
      <c r="AK560">
        <v>15.636633852665501</v>
      </c>
      <c r="AL560">
        <v>82.668373244209306</v>
      </c>
      <c r="AM560">
        <v>87.950275232066403</v>
      </c>
      <c r="AN560">
        <v>0.99999995266126396</v>
      </c>
    </row>
    <row r="561" spans="1:40" x14ac:dyDescent="0.25">
      <c r="A561" t="str">
        <f>"20190312164229348"</f>
        <v>20190312164229348</v>
      </c>
      <c r="B561" t="str">
        <f>"1552380149344445"</f>
        <v>1552380149344445</v>
      </c>
      <c r="C561" t="s">
        <v>40</v>
      </c>
      <c r="D561">
        <v>4.3950879999999897</v>
      </c>
      <c r="E561">
        <v>0.48214439999999997</v>
      </c>
      <c r="F561" t="s">
        <v>43</v>
      </c>
      <c r="G561">
        <v>-302.89229999999998</v>
      </c>
      <c r="H561">
        <v>-0.05</v>
      </c>
      <c r="I561">
        <v>367.55309999999997</v>
      </c>
      <c r="J561">
        <v>-318.16070000000002</v>
      </c>
      <c r="K561">
        <v>1.1021570000000001</v>
      </c>
      <c r="L561">
        <v>367.27420000000001</v>
      </c>
      <c r="M561">
        <v>0.99982610000000005</v>
      </c>
      <c r="N561">
        <v>0</v>
      </c>
      <c r="O561">
        <v>-3.0115039999999999E-3</v>
      </c>
      <c r="P561">
        <v>0.99327679999999996</v>
      </c>
      <c r="Q561">
        <v>0.109144699999999</v>
      </c>
      <c r="R561">
        <v>-3.8583819999999998E-2</v>
      </c>
      <c r="S561">
        <v>3.047882</v>
      </c>
      <c r="T561">
        <v>-0.22509960000000001</v>
      </c>
      <c r="U561">
        <v>5.4199219999999999E-2</v>
      </c>
      <c r="V561">
        <v>3.5596500000000003E-2</v>
      </c>
      <c r="W561">
        <v>0.12740969999999999</v>
      </c>
      <c r="X561">
        <v>0.99121119999999996</v>
      </c>
      <c r="Y561">
        <v>-2.0726600000000001E-2</v>
      </c>
      <c r="Z561">
        <v>9.8640659999999999E-4</v>
      </c>
      <c r="AA561">
        <v>0.99978469999999997</v>
      </c>
      <c r="AB561">
        <v>34</v>
      </c>
      <c r="AC561">
        <v>15.2684</v>
      </c>
      <c r="AD561">
        <v>-1.1521569999999901</v>
      </c>
      <c r="AE561">
        <v>0.27889999999996401</v>
      </c>
      <c r="AF561">
        <v>-0.32304846735312198</v>
      </c>
      <c r="AG561">
        <v>-1.1521569999999901</v>
      </c>
      <c r="AH561">
        <v>15.1810747413287</v>
      </c>
      <c r="AI561">
        <v>94.339124201568595</v>
      </c>
      <c r="AJ561">
        <v>91.219052076707101</v>
      </c>
      <c r="AK561">
        <v>15.228159979679701</v>
      </c>
      <c r="AL561">
        <v>82.680065646202493</v>
      </c>
      <c r="AM561">
        <v>87.943270704775202</v>
      </c>
      <c r="AN561">
        <v>0.99999999273588902</v>
      </c>
    </row>
    <row r="562" spans="1:40" x14ac:dyDescent="0.25">
      <c r="A562" t="str">
        <f>"20190312164229370"</f>
        <v>20190312164229370</v>
      </c>
      <c r="B562" t="str">
        <f>"1552380149364941"</f>
        <v>1552380149364941</v>
      </c>
      <c r="C562" t="s">
        <v>40</v>
      </c>
      <c r="D562">
        <v>4.4400209999999998</v>
      </c>
      <c r="E562">
        <v>0.48180529999999999</v>
      </c>
      <c r="F562" t="s">
        <v>43</v>
      </c>
      <c r="G562">
        <v>-302.90980000000002</v>
      </c>
      <c r="H562">
        <v>-0.05</v>
      </c>
      <c r="I562">
        <v>367.55520000000001</v>
      </c>
      <c r="J562">
        <v>-317.80849999999998</v>
      </c>
      <c r="K562">
        <v>1.100217</v>
      </c>
      <c r="L562">
        <v>367.2731</v>
      </c>
      <c r="M562">
        <v>0.99981169999999997</v>
      </c>
      <c r="N562">
        <v>0</v>
      </c>
      <c r="O562">
        <v>-3.0121140000000002E-3</v>
      </c>
      <c r="P562">
        <v>0.99333470000000001</v>
      </c>
      <c r="Q562">
        <v>0.1084548</v>
      </c>
      <c r="R562">
        <v>-3.9039049999999999E-2</v>
      </c>
      <c r="S562">
        <v>3.0477599999999998</v>
      </c>
      <c r="T562">
        <v>-0.23024800000000001</v>
      </c>
      <c r="U562">
        <v>5.6152340000000002E-2</v>
      </c>
      <c r="V562">
        <v>3.6050949999999998E-2</v>
      </c>
      <c r="W562">
        <v>0.12747829999999999</v>
      </c>
      <c r="X562">
        <v>0.99118600000000001</v>
      </c>
      <c r="Y562">
        <v>-2.1363650000000001E-2</v>
      </c>
      <c r="Z562">
        <v>1.033015E-3</v>
      </c>
      <c r="AA562">
        <v>0.99977119999999997</v>
      </c>
      <c r="AB562">
        <v>34</v>
      </c>
      <c r="AC562">
        <v>14.8986999999999</v>
      </c>
      <c r="AD562">
        <v>-1.150217</v>
      </c>
      <c r="AE562">
        <v>0.28210000000001301</v>
      </c>
      <c r="AF562">
        <v>-0.32504689182048702</v>
      </c>
      <c r="AG562">
        <v>-1.150217</v>
      </c>
      <c r="AH562">
        <v>14.809545891136199</v>
      </c>
      <c r="AI562">
        <v>94.440026189194199</v>
      </c>
      <c r="AJ562">
        <v>91.257352889990599</v>
      </c>
      <c r="AK562">
        <v>14.8577018455291</v>
      </c>
      <c r="AL562">
        <v>82.676103170107794</v>
      </c>
      <c r="AM562">
        <v>87.916983122649697</v>
      </c>
      <c r="AN562">
        <v>1.00000003728139</v>
      </c>
    </row>
    <row r="563" spans="1:40" x14ac:dyDescent="0.25">
      <c r="A563" t="str">
        <f>"20190312164229383"</f>
        <v>20190312164229383</v>
      </c>
      <c r="B563" t="str">
        <f>"1552380149374701"</f>
        <v>1552380149374701</v>
      </c>
      <c r="C563" t="s">
        <v>40</v>
      </c>
      <c r="D563">
        <v>4.3981949999999896</v>
      </c>
      <c r="E563">
        <v>0.48158869999999998</v>
      </c>
      <c r="F563" t="s">
        <v>43</v>
      </c>
      <c r="G563">
        <v>-302.80119999999999</v>
      </c>
      <c r="H563">
        <v>-0.05</v>
      </c>
      <c r="I563">
        <v>367.5582</v>
      </c>
      <c r="J563">
        <v>-317.61880000000002</v>
      </c>
      <c r="K563">
        <v>1.0991120000000001</v>
      </c>
      <c r="L563">
        <v>367.27249999999998</v>
      </c>
      <c r="M563">
        <v>0.9998049</v>
      </c>
      <c r="N563">
        <v>0</v>
      </c>
      <c r="O563">
        <v>-3.0122600000000001E-3</v>
      </c>
      <c r="P563">
        <v>0.99339319999999998</v>
      </c>
      <c r="Q563">
        <v>0.1079697</v>
      </c>
      <c r="R563">
        <v>-3.88955E-2</v>
      </c>
      <c r="S563">
        <v>3.0479430000000001</v>
      </c>
      <c r="T563">
        <v>-0.2336049</v>
      </c>
      <c r="U563">
        <v>5.7891850000000002E-2</v>
      </c>
      <c r="V563">
        <v>3.5907210000000002E-2</v>
      </c>
      <c r="W563">
        <v>0.12735150000000001</v>
      </c>
      <c r="X563">
        <v>0.99120750000000002</v>
      </c>
      <c r="Y563">
        <v>-2.192939E-2</v>
      </c>
      <c r="Z563">
        <v>1.069623E-3</v>
      </c>
      <c r="AA563">
        <v>0.99975899999999995</v>
      </c>
      <c r="AB563">
        <v>35</v>
      </c>
      <c r="AC563">
        <v>14.817600000000001</v>
      </c>
      <c r="AD563">
        <v>-1.1491119999999999</v>
      </c>
      <c r="AE563">
        <v>0.28570000000001899</v>
      </c>
      <c r="AF563">
        <v>-0.328367580336624</v>
      </c>
      <c r="AG563">
        <v>-1.1491119999999999</v>
      </c>
      <c r="AH563">
        <v>14.728128798115</v>
      </c>
      <c r="AI563">
        <v>94.460165982878493</v>
      </c>
      <c r="AJ563">
        <v>91.277213168680504</v>
      </c>
      <c r="AK563">
        <v>14.776537535912301</v>
      </c>
      <c r="AL563">
        <v>82.683427849572098</v>
      </c>
      <c r="AM563">
        <v>87.925326082107702</v>
      </c>
      <c r="AN563">
        <v>1.0000000201692401</v>
      </c>
    </row>
    <row r="564" spans="1:40" x14ac:dyDescent="0.25">
      <c r="A564" t="str">
        <f>"20190312164229403"</f>
        <v>20190312164229403</v>
      </c>
      <c r="B564" t="str">
        <f>"1552380149394220"</f>
        <v>1552380149394220</v>
      </c>
      <c r="C564" t="s">
        <v>40</v>
      </c>
      <c r="D564">
        <v>4.579618</v>
      </c>
      <c r="E564">
        <v>0.48164560000000001</v>
      </c>
      <c r="F564" t="s">
        <v>43</v>
      </c>
      <c r="G564">
        <v>-302.82600000000002</v>
      </c>
      <c r="H564">
        <v>-0.05</v>
      </c>
      <c r="I564">
        <v>367.565</v>
      </c>
      <c r="J564">
        <v>-317.29790000000003</v>
      </c>
      <c r="K564">
        <v>1.09711</v>
      </c>
      <c r="L564">
        <v>367.27159999999998</v>
      </c>
      <c r="M564">
        <v>0.99979510000000005</v>
      </c>
      <c r="N564">
        <v>0</v>
      </c>
      <c r="O564">
        <v>-3.011896E-3</v>
      </c>
      <c r="P564">
        <v>0.99348049999999999</v>
      </c>
      <c r="Q564">
        <v>0.1072174</v>
      </c>
      <c r="R564">
        <v>-3.8745370000000001E-2</v>
      </c>
      <c r="S564">
        <v>3.048035</v>
      </c>
      <c r="T564">
        <v>-0.2367716</v>
      </c>
      <c r="U564">
        <v>6.0272220000000001E-2</v>
      </c>
      <c r="V564">
        <v>3.5757200000000003E-2</v>
      </c>
      <c r="W564">
        <v>0.12708989999999901</v>
      </c>
      <c r="X564">
        <v>0.99124650000000003</v>
      </c>
      <c r="Y564">
        <v>-2.2704640000000002E-2</v>
      </c>
      <c r="Z564">
        <v>1.114075E-3</v>
      </c>
      <c r="AA564">
        <v>0.99974160000000001</v>
      </c>
      <c r="AB564">
        <v>35</v>
      </c>
      <c r="AC564">
        <v>14.4719</v>
      </c>
      <c r="AD564">
        <v>-1.1471100000000001</v>
      </c>
      <c r="AE564">
        <v>0.29340000000001898</v>
      </c>
      <c r="AF564">
        <v>-0.33489203827893299</v>
      </c>
      <c r="AG564">
        <v>-1.1471100000000001</v>
      </c>
      <c r="AH564">
        <v>14.3806357239812</v>
      </c>
      <c r="AI564">
        <v>94.559463955860494</v>
      </c>
      <c r="AJ564">
        <v>91.334046229860206</v>
      </c>
      <c r="AK564">
        <v>14.4302008944868</v>
      </c>
      <c r="AL564">
        <v>82.698539226303396</v>
      </c>
      <c r="AM564">
        <v>87.934067162045395</v>
      </c>
      <c r="AN564">
        <v>1.00000002189804</v>
      </c>
    </row>
    <row r="565" spans="1:40" x14ac:dyDescent="0.25">
      <c r="A565" t="str">
        <f>"20190312164229427"</f>
        <v>20190312164229427</v>
      </c>
      <c r="B565" t="str">
        <f>"1552380149414717"</f>
        <v>1552380149414717</v>
      </c>
      <c r="C565" t="s">
        <v>40</v>
      </c>
      <c r="D565">
        <v>4.4838279999999999</v>
      </c>
      <c r="E565">
        <v>0.48177890000000001</v>
      </c>
      <c r="F565" t="s">
        <v>43</v>
      </c>
      <c r="G565">
        <v>-302.7491</v>
      </c>
      <c r="H565">
        <v>-0.05</v>
      </c>
      <c r="I565">
        <v>367.55739999999997</v>
      </c>
      <c r="J565">
        <v>-316.94310000000002</v>
      </c>
      <c r="K565">
        <v>1.0947</v>
      </c>
      <c r="L565">
        <v>367.27050000000003</v>
      </c>
      <c r="M565">
        <v>0.99978900000000004</v>
      </c>
      <c r="N565">
        <v>0</v>
      </c>
      <c r="O565">
        <v>-3.0113119999999999E-3</v>
      </c>
      <c r="P565">
        <v>0.99352249999999998</v>
      </c>
      <c r="Q565">
        <v>0.10704139999999999</v>
      </c>
      <c r="R565">
        <v>-3.8150469999999999E-2</v>
      </c>
      <c r="S565">
        <v>3.0480040000000002</v>
      </c>
      <c r="T565">
        <v>-0.2403228</v>
      </c>
      <c r="U565">
        <v>5.9875490000000003E-2</v>
      </c>
      <c r="V565">
        <v>3.5162760000000001E-2</v>
      </c>
      <c r="W565">
        <v>0.12720770000000001</v>
      </c>
      <c r="X565">
        <v>0.99125269999999999</v>
      </c>
      <c r="Y565">
        <v>-2.257226E-2</v>
      </c>
      <c r="Z565">
        <v>1.1254909999999999E-3</v>
      </c>
      <c r="AA565">
        <v>0.99974459999999998</v>
      </c>
      <c r="AB565">
        <v>35</v>
      </c>
      <c r="AC565">
        <v>14.194000000000001</v>
      </c>
      <c r="AD565">
        <v>-1.1447000000000001</v>
      </c>
      <c r="AE565">
        <v>0.28689999999994598</v>
      </c>
      <c r="AF565">
        <v>-0.32752079573046999</v>
      </c>
      <c r="AG565">
        <v>-1.1447000000000001</v>
      </c>
      <c r="AH565">
        <v>14.1013949058237</v>
      </c>
      <c r="AI565">
        <v>94.639641376088306</v>
      </c>
      <c r="AJ565">
        <v>91.330519862476294</v>
      </c>
      <c r="AK565">
        <v>14.151570451777699</v>
      </c>
      <c r="AL565">
        <v>82.691734885553601</v>
      </c>
      <c r="AM565">
        <v>87.968395613678396</v>
      </c>
      <c r="AN565">
        <v>1.0000000669436899</v>
      </c>
    </row>
    <row r="566" spans="1:40" x14ac:dyDescent="0.25">
      <c r="A566" t="str">
        <f>"20190312164229449"</f>
        <v>20190312164229449</v>
      </c>
      <c r="B566" t="str">
        <f>"1552380149443997"</f>
        <v>1552380149443997</v>
      </c>
      <c r="C566" t="s">
        <v>40</v>
      </c>
      <c r="D566">
        <v>4.5575789999999996</v>
      </c>
      <c r="E566">
        <v>0.48167090000000001</v>
      </c>
      <c r="F566" t="s">
        <v>43</v>
      </c>
      <c r="G566">
        <v>-302.52409999999998</v>
      </c>
      <c r="H566">
        <v>-0.05</v>
      </c>
      <c r="I566">
        <v>367.55599999999998</v>
      </c>
      <c r="J566">
        <v>-316.59449999999998</v>
      </c>
      <c r="K566">
        <v>1.092152</v>
      </c>
      <c r="L566">
        <v>367.26940000000002</v>
      </c>
      <c r="M566">
        <v>0.99978900000000004</v>
      </c>
      <c r="N566">
        <v>0</v>
      </c>
      <c r="O566">
        <v>-3.0107329999999998E-3</v>
      </c>
      <c r="P566">
        <v>0.99349390000000004</v>
      </c>
      <c r="Q566">
        <v>0.1075277</v>
      </c>
      <c r="R566">
        <v>-3.7519650000000002E-2</v>
      </c>
      <c r="S566">
        <v>3.0479430000000001</v>
      </c>
      <c r="T566">
        <v>-0.24197160000000001</v>
      </c>
      <c r="U566">
        <v>6.0363769999999997E-2</v>
      </c>
      <c r="V566">
        <v>3.4533149999999999E-2</v>
      </c>
      <c r="W566">
        <v>0.1276929</v>
      </c>
      <c r="X566">
        <v>0.99121239999999999</v>
      </c>
      <c r="Y566">
        <v>-2.2730589999999998E-2</v>
      </c>
      <c r="Z566">
        <v>1.139438E-3</v>
      </c>
      <c r="AA566">
        <v>0.99974099999999999</v>
      </c>
      <c r="AB566">
        <v>35</v>
      </c>
      <c r="AC566">
        <v>14.070399999999999</v>
      </c>
      <c r="AD566">
        <v>-1.1421520000000001</v>
      </c>
      <c r="AE566">
        <v>0.28659999999996399</v>
      </c>
      <c r="AF566">
        <v>-0.32681708521129899</v>
      </c>
      <c r="AG566">
        <v>-1.1421520000000001</v>
      </c>
      <c r="AH566">
        <v>13.977410915611699</v>
      </c>
      <c r="AI566">
        <v>94.670225030579203</v>
      </c>
      <c r="AJ566">
        <v>91.339434639917499</v>
      </c>
      <c r="AK566">
        <v>14.027805833492</v>
      </c>
      <c r="AL566">
        <v>82.663706044391702</v>
      </c>
      <c r="AM566">
        <v>88.004661964665104</v>
      </c>
      <c r="AN566">
        <v>1.0000000185365401</v>
      </c>
    </row>
    <row r="567" spans="1:40" x14ac:dyDescent="0.25">
      <c r="A567" t="str">
        <f>"20190312164229471"</f>
        <v>20190312164229471</v>
      </c>
      <c r="B567" t="str">
        <f>"1552380149464493"</f>
        <v>1552380149464493</v>
      </c>
      <c r="C567" t="s">
        <v>40</v>
      </c>
      <c r="D567">
        <v>4.4694900000000004</v>
      </c>
      <c r="E567">
        <v>0.48155559999999997</v>
      </c>
      <c r="F567" t="s">
        <v>43</v>
      </c>
      <c r="G567">
        <v>-302.14019999999999</v>
      </c>
      <c r="H567">
        <v>-0.05</v>
      </c>
      <c r="I567">
        <v>367.56880000000001</v>
      </c>
      <c r="J567">
        <v>-316.24380000000002</v>
      </c>
      <c r="K567">
        <v>1.0894469999999901</v>
      </c>
      <c r="L567">
        <v>367.26839999999999</v>
      </c>
      <c r="M567">
        <v>0.99979289999999998</v>
      </c>
      <c r="N567">
        <v>0</v>
      </c>
      <c r="O567">
        <v>-3.009467E-3</v>
      </c>
      <c r="P567">
        <v>0.99351599999999995</v>
      </c>
      <c r="Q567">
        <v>0.1075441</v>
      </c>
      <c r="R567">
        <v>-3.688876E-2</v>
      </c>
      <c r="S567">
        <v>3.0481259999999999</v>
      </c>
      <c r="T567">
        <v>-0.24085690000000001</v>
      </c>
      <c r="U567">
        <v>6.3140870000000002E-2</v>
      </c>
      <c r="V567">
        <v>3.3903389999999999E-2</v>
      </c>
      <c r="W567">
        <v>0.12752550000000001</v>
      </c>
      <c r="X567">
        <v>0.99125560000000001</v>
      </c>
      <c r="Y567">
        <v>-2.3636529999999999E-2</v>
      </c>
      <c r="Z567">
        <v>1.1697599999999999E-3</v>
      </c>
      <c r="AA567">
        <v>0.99971989999999999</v>
      </c>
      <c r="AB567">
        <v>35</v>
      </c>
      <c r="AC567">
        <v>14.1036</v>
      </c>
      <c r="AD567">
        <v>-1.1394470000000001</v>
      </c>
      <c r="AE567">
        <v>0.30040000000002398</v>
      </c>
      <c r="AF567">
        <v>-0.34062920383697398</v>
      </c>
      <c r="AG567">
        <v>-1.1394470000000001</v>
      </c>
      <c r="AH567">
        <v>14.011219032551701</v>
      </c>
      <c r="AI567">
        <v>94.6479175754572</v>
      </c>
      <c r="AJ567">
        <v>91.392653422000095</v>
      </c>
      <c r="AK567">
        <v>14.0616011356621</v>
      </c>
      <c r="AL567">
        <v>82.673375756277593</v>
      </c>
      <c r="AM567">
        <v>88.041106421148697</v>
      </c>
      <c r="AN567">
        <v>0.99999992876754795</v>
      </c>
    </row>
    <row r="568" spans="1:40" x14ac:dyDescent="0.25">
      <c r="A568" t="str">
        <f>"20190312164229484"</f>
        <v>20190312164229484</v>
      </c>
      <c r="B568" t="str">
        <f>"1552380149474253"</f>
        <v>1552380149474253</v>
      </c>
      <c r="C568" t="s">
        <v>40</v>
      </c>
      <c r="D568">
        <v>4.2652260000000002</v>
      </c>
      <c r="E568">
        <v>0.48150999999999999</v>
      </c>
      <c r="F568" t="s">
        <v>43</v>
      </c>
      <c r="G568">
        <v>-301.80399999999997</v>
      </c>
      <c r="H568">
        <v>-0.05</v>
      </c>
      <c r="I568">
        <v>367.58280000000002</v>
      </c>
      <c r="J568">
        <v>-316.05540000000002</v>
      </c>
      <c r="K568">
        <v>1.0879719999999999</v>
      </c>
      <c r="L568">
        <v>367.26780000000002</v>
      </c>
      <c r="M568">
        <v>0.9997952</v>
      </c>
      <c r="N568">
        <v>0</v>
      </c>
      <c r="O568">
        <v>-3.008218E-3</v>
      </c>
      <c r="P568">
        <v>0.99358020000000002</v>
      </c>
      <c r="Q568">
        <v>0.1069918</v>
      </c>
      <c r="R568">
        <v>-3.6760840000000003E-2</v>
      </c>
      <c r="S568">
        <v>3.0480960000000001</v>
      </c>
      <c r="T568">
        <v>-0.2405262</v>
      </c>
      <c r="U568">
        <v>6.6375729999999994E-2</v>
      </c>
      <c r="V568">
        <v>3.37767E-2</v>
      </c>
      <c r="W568">
        <v>0.12686239999999999</v>
      </c>
      <c r="X568">
        <v>0.99134500000000003</v>
      </c>
      <c r="Y568">
        <v>-2.4692909999999998E-2</v>
      </c>
      <c r="Z568">
        <v>1.2096679999999999E-3</v>
      </c>
      <c r="AA568">
        <v>0.99969430000000004</v>
      </c>
      <c r="AB568">
        <v>35</v>
      </c>
      <c r="AC568">
        <v>14.251399999999901</v>
      </c>
      <c r="AD568">
        <v>-1.137972</v>
      </c>
      <c r="AE568">
        <v>0.314999999999997</v>
      </c>
      <c r="AF568">
        <v>-0.35561220478914402</v>
      </c>
      <c r="AG568">
        <v>-1.137972</v>
      </c>
      <c r="AH568">
        <v>14.1601467484177</v>
      </c>
      <c r="AI568">
        <v>94.593225654926201</v>
      </c>
      <c r="AJ568">
        <v>91.438600671926196</v>
      </c>
      <c r="AK568">
        <v>14.2102496899141</v>
      </c>
      <c r="AL568">
        <v>82.711679647799201</v>
      </c>
      <c r="AM568">
        <v>88.048596591193601</v>
      </c>
      <c r="AN568">
        <v>0.99999992151082195</v>
      </c>
    </row>
    <row r="569" spans="1:40" x14ac:dyDescent="0.25">
      <c r="A569" t="str">
        <f>"20190312164229504"</f>
        <v>20190312164229504</v>
      </c>
      <c r="B569" t="str">
        <f>"1552380149494749"</f>
        <v>1552380149494749</v>
      </c>
      <c r="C569" t="s">
        <v>40</v>
      </c>
      <c r="D569">
        <v>4.2405710000000001</v>
      </c>
      <c r="E569">
        <v>0.48139310000000002</v>
      </c>
      <c r="F569" t="s">
        <v>43</v>
      </c>
      <c r="G569">
        <v>-301.71190000000001</v>
      </c>
      <c r="H569">
        <v>-0.05</v>
      </c>
      <c r="I569">
        <v>367.58339999999998</v>
      </c>
      <c r="J569">
        <v>-315.73790000000002</v>
      </c>
      <c r="K569">
        <v>1.085458</v>
      </c>
      <c r="L569">
        <v>367.26679999999999</v>
      </c>
      <c r="M569">
        <v>0.99979969999999996</v>
      </c>
      <c r="N569">
        <v>0</v>
      </c>
      <c r="O569">
        <v>-3.00593E-3</v>
      </c>
      <c r="P569">
        <v>0.99357070000000003</v>
      </c>
      <c r="Q569">
        <v>0.1071628</v>
      </c>
      <c r="R569">
        <v>-3.6514890000000001E-2</v>
      </c>
      <c r="S569">
        <v>3.0479430000000001</v>
      </c>
      <c r="T569">
        <v>-0.24181630000000001</v>
      </c>
      <c r="U569">
        <v>6.7077639999999994E-2</v>
      </c>
      <c r="V569">
        <v>3.3533239999999999E-2</v>
      </c>
      <c r="W569">
        <v>0.12680469999999999</v>
      </c>
      <c r="X569">
        <v>0.99136069999999998</v>
      </c>
      <c r="Y569">
        <v>-2.4920169999999998E-2</v>
      </c>
      <c r="Z569">
        <v>1.225011E-3</v>
      </c>
      <c r="AA569">
        <v>0.99968869999999999</v>
      </c>
      <c r="AB569">
        <v>35</v>
      </c>
      <c r="AC569">
        <v>14.026</v>
      </c>
      <c r="AD569">
        <v>-1.1354580000000001</v>
      </c>
      <c r="AE569">
        <v>0.316599999999993</v>
      </c>
      <c r="AF569">
        <v>-0.35643329688533398</v>
      </c>
      <c r="AG569">
        <v>-1.1354580000000001</v>
      </c>
      <c r="AH569">
        <v>13.9337163891113</v>
      </c>
      <c r="AI569">
        <v>94.657219909163203</v>
      </c>
      <c r="AJ569">
        <v>91.465342786785698</v>
      </c>
      <c r="AK569">
        <v>13.9844471459218</v>
      </c>
      <c r="AL569">
        <v>82.715012913963903</v>
      </c>
      <c r="AM569">
        <v>88.062682065829904</v>
      </c>
      <c r="AN569">
        <v>0.99999997381573802</v>
      </c>
    </row>
    <row r="570" spans="1:40" x14ac:dyDescent="0.25">
      <c r="A570" t="str">
        <f>"20190312164229526"</f>
        <v>20190312164229526</v>
      </c>
      <c r="B570" t="str">
        <f>"1552380149514269"</f>
        <v>1552380149514269</v>
      </c>
      <c r="C570" t="s">
        <v>40</v>
      </c>
      <c r="D570">
        <v>4.1941030000000001</v>
      </c>
      <c r="E570">
        <v>0.48123680000000002</v>
      </c>
      <c r="F570" t="s">
        <v>43</v>
      </c>
      <c r="G570">
        <v>-301.3879</v>
      </c>
      <c r="H570">
        <v>-0.05</v>
      </c>
      <c r="I570">
        <v>367.5908</v>
      </c>
      <c r="J570">
        <v>-315.39589999999998</v>
      </c>
      <c r="K570">
        <v>1.082765</v>
      </c>
      <c r="L570">
        <v>367.26580000000001</v>
      </c>
      <c r="M570">
        <v>0.9998068</v>
      </c>
      <c r="N570">
        <v>0</v>
      </c>
      <c r="O570">
        <v>-3.004891E-3</v>
      </c>
      <c r="P570">
        <v>0.993533</v>
      </c>
      <c r="Q570">
        <v>0.1074688</v>
      </c>
      <c r="R570">
        <v>-3.6641750000000001E-2</v>
      </c>
      <c r="S570">
        <v>3.047974</v>
      </c>
      <c r="T570">
        <v>-0.24117269999999999</v>
      </c>
      <c r="U570">
        <v>6.8817139999999999E-2</v>
      </c>
      <c r="V570">
        <v>3.3661190000000001E-2</v>
      </c>
      <c r="W570">
        <v>0.12675219999999901</v>
      </c>
      <c r="X570">
        <v>0.99136310000000005</v>
      </c>
      <c r="Y570">
        <v>-2.5487820000000001E-2</v>
      </c>
      <c r="Z570">
        <v>1.2440769999999999E-3</v>
      </c>
      <c r="AA570">
        <v>0.99967439999999996</v>
      </c>
      <c r="AB570">
        <v>35</v>
      </c>
      <c r="AC570">
        <v>14.0079999999999</v>
      </c>
      <c r="AD570">
        <v>-1.132765</v>
      </c>
      <c r="AE570">
        <v>0.32499999999998802</v>
      </c>
      <c r="AF570">
        <v>-0.36471531060496298</v>
      </c>
      <c r="AG570">
        <v>-1.132765</v>
      </c>
      <c r="AH570">
        <v>13.9160087760166</v>
      </c>
      <c r="AI570">
        <v>94.652033640733706</v>
      </c>
      <c r="AJ570">
        <v>91.501282864722796</v>
      </c>
      <c r="AK570">
        <v>13.966798991078299</v>
      </c>
      <c r="AL570">
        <v>82.7180455737833</v>
      </c>
      <c r="AM570">
        <v>88.055300372104199</v>
      </c>
      <c r="AN570">
        <v>0.99999999597933298</v>
      </c>
    </row>
    <row r="571" spans="1:40" x14ac:dyDescent="0.25">
      <c r="A571" t="str">
        <f>"20190312164229538"</f>
        <v>20190312164229538</v>
      </c>
      <c r="B571" t="str">
        <f>"1552380149534765"</f>
        <v>1552380149534765</v>
      </c>
      <c r="C571" t="s">
        <v>40</v>
      </c>
      <c r="D571">
        <v>4.3604640000000003</v>
      </c>
      <c r="E571">
        <v>0.48112009999999999</v>
      </c>
      <c r="F571" t="s">
        <v>43</v>
      </c>
      <c r="G571">
        <v>-301.02300000000002</v>
      </c>
      <c r="H571">
        <v>-0.05</v>
      </c>
      <c r="I571">
        <v>367.59390000000002</v>
      </c>
      <c r="J571">
        <v>-315.20209999999997</v>
      </c>
      <c r="K571">
        <v>1.0812569999999999</v>
      </c>
      <c r="L571">
        <v>367.26519999999999</v>
      </c>
      <c r="M571">
        <v>0.99981160000000002</v>
      </c>
      <c r="N571">
        <v>0</v>
      </c>
      <c r="O571">
        <v>-3.004928E-3</v>
      </c>
      <c r="P571">
        <v>0.9935136</v>
      </c>
      <c r="Q571">
        <v>0.1075369</v>
      </c>
      <c r="R571">
        <v>-3.6967519999999997E-2</v>
      </c>
      <c r="S571">
        <v>3.048035</v>
      </c>
      <c r="T571">
        <v>-0.24022279999999999</v>
      </c>
      <c r="U571">
        <v>6.9580080000000002E-2</v>
      </c>
      <c r="V571">
        <v>3.3986639999999999E-2</v>
      </c>
      <c r="W571">
        <v>0.12656729999999999</v>
      </c>
      <c r="X571">
        <v>0.99137560000000002</v>
      </c>
      <c r="Y571">
        <v>-2.573742E-2</v>
      </c>
      <c r="Z571">
        <v>1.2489860000000001E-3</v>
      </c>
      <c r="AA571">
        <v>0.99966790000000005</v>
      </c>
      <c r="AB571">
        <v>35</v>
      </c>
      <c r="AC571">
        <v>14.1791</v>
      </c>
      <c r="AD571">
        <v>-1.131257</v>
      </c>
      <c r="AE571">
        <v>0.32870000000002603</v>
      </c>
      <c r="AF571">
        <v>-0.36896617302907597</v>
      </c>
      <c r="AG571">
        <v>-1.131257</v>
      </c>
      <c r="AH571">
        <v>14.0884179088187</v>
      </c>
      <c r="AI571">
        <v>94.589259844197002</v>
      </c>
      <c r="AJ571">
        <v>91.500194940431896</v>
      </c>
      <c r="AK571">
        <v>14.1385783447422</v>
      </c>
      <c r="AL571">
        <v>82.728725436923099</v>
      </c>
      <c r="AM571">
        <v>88.036537614061004</v>
      </c>
      <c r="AN571">
        <v>0.99999997670156904</v>
      </c>
    </row>
    <row r="572" spans="1:40" x14ac:dyDescent="0.25">
      <c r="A572" t="str">
        <f>"20190312164229560"</f>
        <v>20190312164229560</v>
      </c>
      <c r="B572" t="str">
        <f>"1552380149554288"</f>
        <v>1552380149554288</v>
      </c>
      <c r="C572" t="s">
        <v>40</v>
      </c>
      <c r="D572">
        <v>4.195881</v>
      </c>
      <c r="E572">
        <v>0.48097050000000002</v>
      </c>
      <c r="F572" t="s">
        <v>43</v>
      </c>
      <c r="G572">
        <v>-300.85140000000001</v>
      </c>
      <c r="H572">
        <v>-0.05</v>
      </c>
      <c r="I572">
        <v>367.59359999999998</v>
      </c>
      <c r="J572">
        <v>-314.86700000000002</v>
      </c>
      <c r="K572">
        <v>1.0787580000000001</v>
      </c>
      <c r="L572">
        <v>367.26420000000002</v>
      </c>
      <c r="M572">
        <v>0.99982150000000003</v>
      </c>
      <c r="N572">
        <v>0</v>
      </c>
      <c r="O572">
        <v>-3.0059969999999998E-3</v>
      </c>
      <c r="P572">
        <v>0.99347839999999998</v>
      </c>
      <c r="Q572">
        <v>0.10771500000000001</v>
      </c>
      <c r="R572">
        <v>-3.7395119999999997E-2</v>
      </c>
      <c r="S572">
        <v>3.048187</v>
      </c>
      <c r="T572">
        <v>-0.2402871</v>
      </c>
      <c r="U572">
        <v>6.9763179999999994E-2</v>
      </c>
      <c r="V572">
        <v>3.4413069999999997E-2</v>
      </c>
      <c r="W572">
        <v>0.12623289999999901</v>
      </c>
      <c r="X572">
        <v>0.99140360000000005</v>
      </c>
      <c r="Y572">
        <v>-2.5797110000000002E-2</v>
      </c>
      <c r="Z572">
        <v>1.2516859999999999E-3</v>
      </c>
      <c r="AA572">
        <v>0.99966639999999996</v>
      </c>
      <c r="AB572">
        <v>35</v>
      </c>
      <c r="AC572">
        <v>14.015599999999999</v>
      </c>
      <c r="AD572">
        <v>-1.1287579999999999</v>
      </c>
      <c r="AE572">
        <v>0.329399999999964</v>
      </c>
      <c r="AF572">
        <v>-0.36914374207534201</v>
      </c>
      <c r="AG572">
        <v>-1.1287579999999999</v>
      </c>
      <c r="AH572">
        <v>13.924282985429301</v>
      </c>
      <c r="AI572">
        <v>94.632870167128402</v>
      </c>
      <c r="AJ572">
        <v>91.518600676349294</v>
      </c>
      <c r="AK572">
        <v>13.9748351826843</v>
      </c>
      <c r="AL572">
        <v>82.748040605755307</v>
      </c>
      <c r="AM572">
        <v>88.0119778236337</v>
      </c>
      <c r="AN572">
        <v>1.00000005126109</v>
      </c>
    </row>
    <row r="573" spans="1:40" x14ac:dyDescent="0.25">
      <c r="A573" t="str">
        <f>"20190312164229583"</f>
        <v>20190312164229583</v>
      </c>
      <c r="B573" t="str">
        <f>"1552380149574781"</f>
        <v>1552380149574781</v>
      </c>
      <c r="C573" t="s">
        <v>40</v>
      </c>
      <c r="D573">
        <v>4.1786599999999998</v>
      </c>
      <c r="E573">
        <v>0.48077720000000002</v>
      </c>
      <c r="F573" t="s">
        <v>43</v>
      </c>
      <c r="G573">
        <v>-300.52569999999997</v>
      </c>
      <c r="H573">
        <v>-0.05</v>
      </c>
      <c r="I573">
        <v>367.59010000000001</v>
      </c>
      <c r="J573">
        <v>-314.52100000000002</v>
      </c>
      <c r="K573">
        <v>1.07637</v>
      </c>
      <c r="L573">
        <v>367.26319999999998</v>
      </c>
      <c r="M573">
        <v>0.99983200000000005</v>
      </c>
      <c r="N573">
        <v>0</v>
      </c>
      <c r="O573">
        <v>-3.0075219999999999E-3</v>
      </c>
      <c r="P573">
        <v>0.99340119999999998</v>
      </c>
      <c r="Q573">
        <v>0.108349399999999</v>
      </c>
      <c r="R573">
        <v>-3.7613059999999997E-2</v>
      </c>
      <c r="S573">
        <v>3.0483090000000002</v>
      </c>
      <c r="T573">
        <v>-0.23992289999999999</v>
      </c>
      <c r="U573">
        <v>6.9274899999999903E-2</v>
      </c>
      <c r="V573">
        <v>3.4629720000000003E-2</v>
      </c>
      <c r="W573">
        <v>0.12629769999999901</v>
      </c>
      <c r="X573">
        <v>0.99138769999999998</v>
      </c>
      <c r="Y573">
        <v>-2.563841E-2</v>
      </c>
      <c r="Z573">
        <v>1.2436299999999999E-3</v>
      </c>
      <c r="AA573">
        <v>0.99967050000000002</v>
      </c>
      <c r="AB573">
        <v>35</v>
      </c>
      <c r="AC573">
        <v>13.995299999999901</v>
      </c>
      <c r="AD573">
        <v>-1.1263700000000001</v>
      </c>
      <c r="AE573">
        <v>0.32690000000002301</v>
      </c>
      <c r="AF573">
        <v>-0.36662312244904999</v>
      </c>
      <c r="AG573">
        <v>-1.1263700000000001</v>
      </c>
      <c r="AH573">
        <v>13.9042397725597</v>
      </c>
      <c r="AI573">
        <v>94.629764172423506</v>
      </c>
      <c r="AJ573">
        <v>91.510409183362896</v>
      </c>
      <c r="AK573">
        <v>13.9546051733341</v>
      </c>
      <c r="AL573">
        <v>82.744297139522303</v>
      </c>
      <c r="AM573">
        <v>87.999440163741099</v>
      </c>
      <c r="AN573">
        <v>0.99999994912192702</v>
      </c>
    </row>
    <row r="574" spans="1:40" x14ac:dyDescent="0.25">
      <c r="A574" t="str">
        <f>"20190312164229605"</f>
        <v>20190312164229605</v>
      </c>
      <c r="B574" t="str">
        <f>"1552380149594301"</f>
        <v>1552380149594301</v>
      </c>
      <c r="C574" t="s">
        <v>40</v>
      </c>
      <c r="D574">
        <v>4.3728759999999998</v>
      </c>
      <c r="E574">
        <v>0.48076999999999998</v>
      </c>
      <c r="F574" t="s">
        <v>43</v>
      </c>
      <c r="G574">
        <v>-300.14510000000001</v>
      </c>
      <c r="H574">
        <v>-0.05</v>
      </c>
      <c r="I574">
        <v>367.59370000000001</v>
      </c>
      <c r="J574">
        <v>-314.18439999999998</v>
      </c>
      <c r="K574">
        <v>1.074233</v>
      </c>
      <c r="L574">
        <v>367.26209999999998</v>
      </c>
      <c r="M574">
        <v>0.99984189999999995</v>
      </c>
      <c r="N574">
        <v>0</v>
      </c>
      <c r="O574">
        <v>-3.0079640000000001E-3</v>
      </c>
      <c r="P574">
        <v>0.99329970000000001</v>
      </c>
      <c r="Q574">
        <v>0.1091695</v>
      </c>
      <c r="R574">
        <v>-3.7921160000000002E-2</v>
      </c>
      <c r="S574">
        <v>3.0486149999999999</v>
      </c>
      <c r="T574">
        <v>-0.2388623</v>
      </c>
      <c r="U574">
        <v>7.0098880000000002E-2</v>
      </c>
      <c r="V574">
        <v>3.4937660000000002E-2</v>
      </c>
      <c r="W574">
        <v>0.12656729999999999</v>
      </c>
      <c r="X574">
        <v>0.99134250000000002</v>
      </c>
      <c r="Y574">
        <v>-2.5906559999999999E-2</v>
      </c>
      <c r="Z574">
        <v>1.2485420000000001E-3</v>
      </c>
      <c r="AA574">
        <v>0.99966359999999999</v>
      </c>
      <c r="AB574">
        <v>35</v>
      </c>
      <c r="AC574">
        <v>14.0392999999999</v>
      </c>
      <c r="AD574">
        <v>-1.124233</v>
      </c>
      <c r="AE574">
        <v>0.33160000000003698</v>
      </c>
      <c r="AF574">
        <v>-0.37145410432975701</v>
      </c>
      <c r="AG574">
        <v>-1.124233</v>
      </c>
      <c r="AH574">
        <v>13.948842949294701</v>
      </c>
      <c r="AI574">
        <v>94.606274031808496</v>
      </c>
      <c r="AJ574">
        <v>91.525411379127803</v>
      </c>
      <c r="AK574">
        <v>13.9990034507461</v>
      </c>
      <c r="AL574">
        <v>82.728725146030897</v>
      </c>
      <c r="AM574">
        <v>87.981573161070003</v>
      </c>
      <c r="AN574">
        <v>0.99999993691090505</v>
      </c>
    </row>
    <row r="575" spans="1:40" x14ac:dyDescent="0.25">
      <c r="A575" t="str">
        <f>"20190312164229628"</f>
        <v>20190312164229628</v>
      </c>
      <c r="B575" t="str">
        <f>"1552380149624156"</f>
        <v>1552380149624156</v>
      </c>
      <c r="C575" t="s">
        <v>40</v>
      </c>
      <c r="D575">
        <v>4.4240240000000002</v>
      </c>
      <c r="E575">
        <v>0.49665219999999999</v>
      </c>
      <c r="F575" t="s">
        <v>43</v>
      </c>
      <c r="G575">
        <v>-299.64089999999999</v>
      </c>
      <c r="H575">
        <v>-0.05</v>
      </c>
      <c r="I575">
        <v>367.59309999999999</v>
      </c>
      <c r="J575">
        <v>-313.83089999999999</v>
      </c>
      <c r="K575">
        <v>1.0722160000000001</v>
      </c>
      <c r="L575">
        <v>367.26100000000002</v>
      </c>
      <c r="M575">
        <v>0.9998515</v>
      </c>
      <c r="N575">
        <v>0</v>
      </c>
      <c r="O575">
        <v>-3.0077680000000001E-3</v>
      </c>
      <c r="P575">
        <v>0.99330569999999896</v>
      </c>
      <c r="Q575">
        <v>0.1089957</v>
      </c>
      <c r="R575">
        <v>-3.8260849999999999E-2</v>
      </c>
      <c r="S575">
        <v>3.048737</v>
      </c>
      <c r="T575">
        <v>-0.23567160000000001</v>
      </c>
      <c r="U575">
        <v>6.9396970000000002E-2</v>
      </c>
      <c r="V575">
        <v>3.5277740000000002E-2</v>
      </c>
      <c r="W575">
        <v>0.12583549999999999</v>
      </c>
      <c r="X575">
        <v>0.99142370000000002</v>
      </c>
      <c r="Y575">
        <v>-2.567842E-2</v>
      </c>
      <c r="Z575">
        <v>1.2230469999999999E-3</v>
      </c>
      <c r="AA575">
        <v>0.99966949999999999</v>
      </c>
      <c r="AB575">
        <v>35</v>
      </c>
      <c r="AC575">
        <v>14.1899999999999</v>
      </c>
      <c r="AD575">
        <v>-1.1222159999999901</v>
      </c>
      <c r="AE575">
        <v>0.33210000000002499</v>
      </c>
      <c r="AF575">
        <v>-0.372456640305872</v>
      </c>
      <c r="AG575">
        <v>-1.1222159999999901</v>
      </c>
      <c r="AH575">
        <v>14.100792553344499</v>
      </c>
      <c r="AI575">
        <v>94.548731937500506</v>
      </c>
      <c r="AJ575">
        <v>91.513052019504997</v>
      </c>
      <c r="AK575">
        <v>14.1502806803264</v>
      </c>
      <c r="AL575">
        <v>82.770992762728994</v>
      </c>
      <c r="AM575">
        <v>87.962109248051505</v>
      </c>
      <c r="AN575">
        <v>1.00000002246072</v>
      </c>
    </row>
    <row r="576" spans="1:40" x14ac:dyDescent="0.25">
      <c r="A576" t="str">
        <f>"20190312164229650"</f>
        <v>20190312164229650</v>
      </c>
      <c r="B576" t="str">
        <f>"1552380149644653"</f>
        <v>1552380149644653</v>
      </c>
      <c r="C576" t="s">
        <v>40</v>
      </c>
      <c r="D576">
        <v>4.184361</v>
      </c>
      <c r="E576">
        <v>0.51456990000000002</v>
      </c>
      <c r="F576" t="s">
        <v>43</v>
      </c>
      <c r="G576">
        <v>-294.78699999999998</v>
      </c>
      <c r="H576">
        <v>-0.05</v>
      </c>
      <c r="I576">
        <v>366.87630000000001</v>
      </c>
      <c r="J576">
        <v>-313.46910000000003</v>
      </c>
      <c r="K576">
        <v>1.0703879999999999</v>
      </c>
      <c r="L576">
        <v>367.25990000000002</v>
      </c>
      <c r="M576">
        <v>0.99986039999999998</v>
      </c>
      <c r="N576">
        <v>0</v>
      </c>
      <c r="O576">
        <v>-3.0074469999999999E-3</v>
      </c>
      <c r="P576">
        <v>0.99333389999999999</v>
      </c>
      <c r="Q576">
        <v>0.1087241</v>
      </c>
      <c r="R576">
        <v>-3.8305319999999997E-2</v>
      </c>
      <c r="S576">
        <v>3.037506</v>
      </c>
      <c r="T576">
        <v>-0.1789935</v>
      </c>
      <c r="U576">
        <v>-6.1370849999999998E-2</v>
      </c>
      <c r="V576">
        <v>3.5322289999999999E-2</v>
      </c>
      <c r="W576">
        <v>0.1250445</v>
      </c>
      <c r="X576">
        <v>0.99152209999999996</v>
      </c>
      <c r="Y576">
        <v>1.7168349999999999E-2</v>
      </c>
      <c r="Z576">
        <v>-3.2828339999999999E-4</v>
      </c>
      <c r="AA576">
        <v>0.99985250000000003</v>
      </c>
      <c r="AB576">
        <v>35</v>
      </c>
      <c r="AC576">
        <v>18.682099999999899</v>
      </c>
      <c r="AD576">
        <v>-1.1203879999999999</v>
      </c>
      <c r="AE576">
        <v>-0.383600000000001</v>
      </c>
      <c r="AF576">
        <v>0.32623243356292397</v>
      </c>
      <c r="AG576">
        <v>-1.1203879999999999</v>
      </c>
      <c r="AH576">
        <v>18.616243359359501</v>
      </c>
      <c r="AI576">
        <v>93.443570648400197</v>
      </c>
      <c r="AJ576">
        <v>88.996047257960598</v>
      </c>
      <c r="AK576">
        <v>18.6527803205353</v>
      </c>
      <c r="AL576">
        <v>82.8166739093068</v>
      </c>
      <c r="AM576">
        <v>87.959740227359703</v>
      </c>
      <c r="AN576">
        <v>0.99999993296974898</v>
      </c>
    </row>
    <row r="577" spans="1:40" x14ac:dyDescent="0.25">
      <c r="A577" t="str">
        <f>"20190312164229671"</f>
        <v>20190312164229671</v>
      </c>
      <c r="B577" t="str">
        <f>"1552380149664176"</f>
        <v>1552380149664176</v>
      </c>
      <c r="C577" t="s">
        <v>40</v>
      </c>
      <c r="D577">
        <v>4.244389</v>
      </c>
      <c r="E577">
        <v>0.51194659999999903</v>
      </c>
      <c r="F577" t="s">
        <v>43</v>
      </c>
      <c r="G577">
        <v>-286.4753</v>
      </c>
      <c r="H577">
        <v>-0.05</v>
      </c>
      <c r="I577">
        <v>365.40780000000001</v>
      </c>
      <c r="J577">
        <v>-313.13470000000001</v>
      </c>
      <c r="K577">
        <v>1.068902</v>
      </c>
      <c r="L577">
        <v>367.25889999999998</v>
      </c>
      <c r="M577">
        <v>0.99986730000000001</v>
      </c>
      <c r="N577">
        <v>0</v>
      </c>
      <c r="O577">
        <v>-3.007086E-3</v>
      </c>
      <c r="P577">
        <v>0.99330289999999999</v>
      </c>
      <c r="Q577">
        <v>0.1090623</v>
      </c>
      <c r="R577">
        <v>-3.8144400000000002E-2</v>
      </c>
      <c r="S577">
        <v>3.0258790000000002</v>
      </c>
      <c r="T577">
        <v>-0.12559020000000001</v>
      </c>
      <c r="U577">
        <v>-0.20761109999999999</v>
      </c>
      <c r="V577">
        <v>3.5162039999999999E-2</v>
      </c>
      <c r="W577">
        <v>0.1249589</v>
      </c>
      <c r="X577">
        <v>0.99153860000000005</v>
      </c>
      <c r="Y577">
        <v>6.539673E-2</v>
      </c>
      <c r="Z577">
        <v>-1.23036E-3</v>
      </c>
      <c r="AA577">
        <v>0.99785860000000004</v>
      </c>
      <c r="AB577">
        <v>35</v>
      </c>
      <c r="AC577">
        <v>26.659400000000002</v>
      </c>
      <c r="AD577">
        <v>-1.1189020000000001</v>
      </c>
      <c r="AE577">
        <v>-1.85109999999997</v>
      </c>
      <c r="AF577">
        <v>1.7678151728379501</v>
      </c>
      <c r="AG577">
        <v>-1.1189020000000001</v>
      </c>
      <c r="AH577">
        <v>26.618183531379199</v>
      </c>
      <c r="AI577">
        <v>92.401740628336597</v>
      </c>
      <c r="AJ577">
        <v>86.200348517230296</v>
      </c>
      <c r="AK577">
        <v>26.700277277232601</v>
      </c>
      <c r="AL577">
        <v>82.821617291491705</v>
      </c>
      <c r="AM577">
        <v>87.969022468068204</v>
      </c>
      <c r="AN577">
        <v>0.99999994551806404</v>
      </c>
    </row>
    <row r="578" spans="1:40" x14ac:dyDescent="0.25">
      <c r="A578" t="str">
        <f>"20190312164229694"</f>
        <v>20190312164229694</v>
      </c>
      <c r="B578" t="str">
        <f>"1552380149684673"</f>
        <v>1552380149684673</v>
      </c>
      <c r="C578" t="s">
        <v>40</v>
      </c>
      <c r="D578">
        <v>4.1565629999999896</v>
      </c>
      <c r="E578">
        <v>0.51153369999999998</v>
      </c>
      <c r="F578" t="s">
        <v>43</v>
      </c>
      <c r="G578">
        <v>-288.89679999999998</v>
      </c>
      <c r="H578">
        <v>-0.05</v>
      </c>
      <c r="I578">
        <v>365.77510000000001</v>
      </c>
      <c r="J578">
        <v>-312.8</v>
      </c>
      <c r="K578">
        <v>1.067609</v>
      </c>
      <c r="L578">
        <v>367.25790000000001</v>
      </c>
      <c r="M578">
        <v>0.99987300000000001</v>
      </c>
      <c r="N578">
        <v>0</v>
      </c>
      <c r="O578">
        <v>-3.006955E-3</v>
      </c>
      <c r="P578">
        <v>0.99326800000000004</v>
      </c>
      <c r="Q578">
        <v>0.109306399999999</v>
      </c>
      <c r="R578">
        <v>-3.8353379999999999E-2</v>
      </c>
      <c r="S578">
        <v>3.0285030000000002</v>
      </c>
      <c r="T578">
        <v>-0.13980580000000001</v>
      </c>
      <c r="U578">
        <v>-0.18539430000000001</v>
      </c>
      <c r="V578">
        <v>3.5371270000000003E-2</v>
      </c>
      <c r="W578">
        <v>0.124843</v>
      </c>
      <c r="X578">
        <v>0.99154580000000003</v>
      </c>
      <c r="Y578">
        <v>5.8041710000000003E-2</v>
      </c>
      <c r="Z578">
        <v>-1.1991149999999999E-3</v>
      </c>
      <c r="AA578">
        <v>0.99831340000000002</v>
      </c>
      <c r="AB578">
        <v>35</v>
      </c>
      <c r="AC578">
        <v>23.903199999999998</v>
      </c>
      <c r="AD578">
        <v>-1.1176090000000001</v>
      </c>
      <c r="AE578">
        <v>-1.4827999999999899</v>
      </c>
      <c r="AF578">
        <v>1.40784277309642</v>
      </c>
      <c r="AG578">
        <v>-1.1176090000000001</v>
      </c>
      <c r="AH578">
        <v>23.855600634249601</v>
      </c>
      <c r="AI578">
        <v>92.677631891334201</v>
      </c>
      <c r="AJ578">
        <v>86.622596057501596</v>
      </c>
      <c r="AK578">
        <v>23.923226219961499</v>
      </c>
      <c r="AL578">
        <v>82.82831058635</v>
      </c>
      <c r="AM578">
        <v>87.956962269717494</v>
      </c>
      <c r="AN578">
        <v>0.99999998744402596</v>
      </c>
    </row>
    <row r="579" spans="1:40" x14ac:dyDescent="0.25">
      <c r="A579" t="str">
        <f>"20190312164229716"</f>
        <v>20190312164229716</v>
      </c>
      <c r="B579" t="str">
        <f>"1552380149704189"</f>
        <v>1552380149704189</v>
      </c>
      <c r="C579" t="s">
        <v>40</v>
      </c>
      <c r="D579">
        <v>4.1666800000000004</v>
      </c>
      <c r="E579">
        <v>0.51120659999999996</v>
      </c>
      <c r="F579" t="s">
        <v>43</v>
      </c>
      <c r="G579">
        <v>-289.4366</v>
      </c>
      <c r="H579">
        <v>-0.05</v>
      </c>
      <c r="I579">
        <v>365.84989999999999</v>
      </c>
      <c r="J579">
        <v>-312.45639999999997</v>
      </c>
      <c r="K579">
        <v>1.0664629999999999</v>
      </c>
      <c r="L579">
        <v>367.2568</v>
      </c>
      <c r="M579">
        <v>0.99987749999999997</v>
      </c>
      <c r="N579">
        <v>0</v>
      </c>
      <c r="O579">
        <v>-3.007277E-3</v>
      </c>
      <c r="P579">
        <v>0.99319659999999999</v>
      </c>
      <c r="Q579">
        <v>0.1099513</v>
      </c>
      <c r="R579">
        <v>-3.8358919999999998E-2</v>
      </c>
      <c r="S579">
        <v>3.029236</v>
      </c>
      <c r="T579">
        <v>-0.14490639999999999</v>
      </c>
      <c r="U579">
        <v>-0.1825562</v>
      </c>
      <c r="V579">
        <v>3.5376419999999999E-2</v>
      </c>
      <c r="W579">
        <v>0.12519359999999999</v>
      </c>
      <c r="X579">
        <v>0.99150150000000004</v>
      </c>
      <c r="Y579">
        <v>5.7091549999999998E-2</v>
      </c>
      <c r="Z579">
        <v>-1.2198420000000001E-3</v>
      </c>
      <c r="AA579">
        <v>0.99836820000000004</v>
      </c>
      <c r="AB579">
        <v>35</v>
      </c>
      <c r="AC579">
        <v>23.019799999999901</v>
      </c>
      <c r="AD579">
        <v>-1.116463</v>
      </c>
      <c r="AE579">
        <v>-1.4069</v>
      </c>
      <c r="AF579">
        <v>1.3345310695513499</v>
      </c>
      <c r="AG579">
        <v>-1.116463</v>
      </c>
      <c r="AH579">
        <v>22.970096721277098</v>
      </c>
      <c r="AI579">
        <v>92.777997853356993</v>
      </c>
      <c r="AJ579">
        <v>86.674931746755306</v>
      </c>
      <c r="AK579">
        <v>23.035902547779401</v>
      </c>
      <c r="AL579">
        <v>82.8080644826709</v>
      </c>
      <c r="AM579">
        <v>87.956573840627499</v>
      </c>
      <c r="AN579">
        <v>1.00000007653761</v>
      </c>
    </row>
    <row r="580" spans="1:40" x14ac:dyDescent="0.25">
      <c r="A580" t="str">
        <f>"20190312164229738"</f>
        <v>20190312164229738</v>
      </c>
      <c r="B580" t="str">
        <f>"1552380149734045"</f>
        <v>1552380149734045</v>
      </c>
      <c r="C580" t="s">
        <v>40</v>
      </c>
      <c r="D580">
        <v>4.3866940000000003</v>
      </c>
      <c r="E580">
        <v>0.51021419999999995</v>
      </c>
      <c r="F580" t="s">
        <v>43</v>
      </c>
      <c r="G580">
        <v>-289.20179999999999</v>
      </c>
      <c r="H580">
        <v>-0.05</v>
      </c>
      <c r="I580">
        <v>365.8777</v>
      </c>
      <c r="J580">
        <v>-312.10739999999998</v>
      </c>
      <c r="K580">
        <v>1.0654680000000001</v>
      </c>
      <c r="L580">
        <v>367.25580000000002</v>
      </c>
      <c r="M580">
        <v>0.99988089999999996</v>
      </c>
      <c r="N580">
        <v>0</v>
      </c>
      <c r="O580">
        <v>-3.0078980000000002E-3</v>
      </c>
      <c r="P580">
        <v>0.99316780000000005</v>
      </c>
      <c r="Q580">
        <v>0.1101616</v>
      </c>
      <c r="R580">
        <v>-3.8501729999999998E-2</v>
      </c>
      <c r="S580">
        <v>3.0297550000000002</v>
      </c>
      <c r="T580">
        <v>-0.14546039999999999</v>
      </c>
      <c r="U580">
        <v>-0.1796875</v>
      </c>
      <c r="V580">
        <v>3.5518760000000003E-2</v>
      </c>
      <c r="W580">
        <v>0.12518979999999999</v>
      </c>
      <c r="X580">
        <v>0.99149679999999996</v>
      </c>
      <c r="Y580">
        <v>5.6139359999999999E-2</v>
      </c>
      <c r="Z580">
        <v>-1.2014720000000001E-3</v>
      </c>
      <c r="AA580">
        <v>0.99842220000000004</v>
      </c>
      <c r="AB580">
        <v>35</v>
      </c>
      <c r="AC580">
        <v>22.9056</v>
      </c>
      <c r="AD580">
        <v>-1.1154679999999999</v>
      </c>
      <c r="AE580">
        <v>-1.3781000000000101</v>
      </c>
      <c r="AF580">
        <v>1.3061018568236999</v>
      </c>
      <c r="AG580">
        <v>-1.1154679999999999</v>
      </c>
      <c r="AH580">
        <v>22.855634405185501</v>
      </c>
      <c r="AI580">
        <v>92.789556464684097</v>
      </c>
      <c r="AJ580">
        <v>86.729348149593804</v>
      </c>
      <c r="AK580">
        <v>22.920082787436002</v>
      </c>
      <c r="AL580">
        <v>82.808283281262604</v>
      </c>
      <c r="AM580">
        <v>87.948349238827205</v>
      </c>
      <c r="AN580">
        <v>0.99999998637310805</v>
      </c>
    </row>
    <row r="581" spans="1:40" x14ac:dyDescent="0.25">
      <c r="A581" t="str">
        <f>"20190312164229762"</f>
        <v>20190312164229762</v>
      </c>
      <c r="B581" t="str">
        <f>"1552380149754541"</f>
        <v>1552380149754541</v>
      </c>
      <c r="C581" t="s">
        <v>40</v>
      </c>
      <c r="D581">
        <v>4.1557890000000004</v>
      </c>
      <c r="E581">
        <v>0.51034539999999995</v>
      </c>
      <c r="F581" t="s">
        <v>43</v>
      </c>
      <c r="G581">
        <v>-289.3716</v>
      </c>
      <c r="H581">
        <v>-0.05</v>
      </c>
      <c r="I581">
        <v>365.96190000000001</v>
      </c>
      <c r="J581">
        <v>-311.75</v>
      </c>
      <c r="K581">
        <v>1.0646070000000001</v>
      </c>
      <c r="L581">
        <v>367.25479999999999</v>
      </c>
      <c r="M581">
        <v>0.99988290000000002</v>
      </c>
      <c r="N581">
        <v>0</v>
      </c>
      <c r="O581">
        <v>-3.0081909999999999E-3</v>
      </c>
      <c r="P581">
        <v>0.99317569999999999</v>
      </c>
      <c r="Q581">
        <v>0.1101818</v>
      </c>
      <c r="R581">
        <v>-3.8242789999999999E-2</v>
      </c>
      <c r="S581">
        <v>3.0304570000000002</v>
      </c>
      <c r="T581">
        <v>-0.1486806</v>
      </c>
      <c r="U581">
        <v>-0.17245479999999899</v>
      </c>
      <c r="V581">
        <v>3.5259480000000003E-2</v>
      </c>
      <c r="W581">
        <v>0.1250762</v>
      </c>
      <c r="X581">
        <v>0.99152039999999997</v>
      </c>
      <c r="Y581">
        <v>5.3750529999999998E-2</v>
      </c>
      <c r="Z581">
        <v>-1.169308E-3</v>
      </c>
      <c r="AA581">
        <v>0.99855369999999999</v>
      </c>
      <c r="AB581">
        <v>35</v>
      </c>
      <c r="AC581">
        <v>22.378399999999999</v>
      </c>
      <c r="AD581">
        <v>-1.1146069999999999</v>
      </c>
      <c r="AE581">
        <v>-1.29289999999997</v>
      </c>
      <c r="AF581">
        <v>1.2225453112173501</v>
      </c>
      <c r="AG581">
        <v>-1.1146069999999999</v>
      </c>
      <c r="AH581">
        <v>22.326984733293401</v>
      </c>
      <c r="AI581">
        <v>92.853677654571698</v>
      </c>
      <c r="AJ581">
        <v>86.865819233400202</v>
      </c>
      <c r="AK581">
        <v>22.388193609202698</v>
      </c>
      <c r="AL581">
        <v>82.814843710122005</v>
      </c>
      <c r="AM581">
        <v>87.963361664830799</v>
      </c>
      <c r="AN581">
        <v>0.99999999517623495</v>
      </c>
    </row>
    <row r="582" spans="1:40" x14ac:dyDescent="0.25">
      <c r="A582" t="str">
        <f>"20190312164229782"</f>
        <v>20190312164229782</v>
      </c>
      <c r="B582" t="str">
        <f>"1552380149774065"</f>
        <v>1552380149774065</v>
      </c>
      <c r="C582" t="s">
        <v>40</v>
      </c>
      <c r="D582">
        <v>4.2298460000000002</v>
      </c>
      <c r="E582">
        <v>0.51019320000000001</v>
      </c>
      <c r="F582" t="s">
        <v>43</v>
      </c>
      <c r="G582">
        <v>-289.44150000000002</v>
      </c>
      <c r="H582">
        <v>-0.05</v>
      </c>
      <c r="I582">
        <v>365.98160000000001</v>
      </c>
      <c r="J582">
        <v>-311.42099999999999</v>
      </c>
      <c r="K582">
        <v>1.0639400000000001</v>
      </c>
      <c r="L582">
        <v>367.25380000000001</v>
      </c>
      <c r="M582">
        <v>0.999884</v>
      </c>
      <c r="N582">
        <v>0</v>
      </c>
      <c r="O582">
        <v>-3.0081499999999998E-3</v>
      </c>
      <c r="P582">
        <v>0.99318079999999997</v>
      </c>
      <c r="Q582">
        <v>0.1102426</v>
      </c>
      <c r="R582">
        <v>-3.7931739999999999E-2</v>
      </c>
      <c r="S582">
        <v>3.0307620000000002</v>
      </c>
      <c r="T582">
        <v>-0.151426799999999</v>
      </c>
      <c r="U582">
        <v>-0.17297360000000001</v>
      </c>
      <c r="V582">
        <v>3.4948510000000002E-2</v>
      </c>
      <c r="W582">
        <v>0.12506819999999999</v>
      </c>
      <c r="X582">
        <v>0.99153239999999998</v>
      </c>
      <c r="Y582">
        <v>5.3912790000000002E-2</v>
      </c>
      <c r="Z582">
        <v>-1.1948029999999999E-3</v>
      </c>
      <c r="AA582">
        <v>0.99854489999999996</v>
      </c>
      <c r="AB582">
        <v>35</v>
      </c>
      <c r="AC582">
        <v>21.979499999999899</v>
      </c>
      <c r="AD582">
        <v>-1.1139399999999999</v>
      </c>
      <c r="AE582">
        <v>-1.27219999999999</v>
      </c>
      <c r="AF582">
        <v>1.2029896172249801</v>
      </c>
      <c r="AG582">
        <v>-1.1139399999999999</v>
      </c>
      <c r="AH582">
        <v>21.927095150125101</v>
      </c>
      <c r="AI582">
        <v>92.903879742105104</v>
      </c>
      <c r="AJ582">
        <v>86.859720960608897</v>
      </c>
      <c r="AK582">
        <v>21.988304801994001</v>
      </c>
      <c r="AL582">
        <v>82.815305570122206</v>
      </c>
      <c r="AM582">
        <v>87.981333223591307</v>
      </c>
      <c r="AN582">
        <v>0.99999997662610896</v>
      </c>
    </row>
    <row r="583" spans="1:40" x14ac:dyDescent="0.25">
      <c r="A583" t="str">
        <f>"20190312164229805"</f>
        <v>20190312164229805</v>
      </c>
      <c r="B583" t="str">
        <f>"1552380149794558"</f>
        <v>1552380149794558</v>
      </c>
      <c r="C583" t="s">
        <v>40</v>
      </c>
      <c r="D583">
        <v>4.186407</v>
      </c>
      <c r="E583">
        <v>0.51032630000000001</v>
      </c>
      <c r="F583" t="s">
        <v>43</v>
      </c>
      <c r="G583">
        <v>-289.42399999999998</v>
      </c>
      <c r="H583">
        <v>-0.05</v>
      </c>
      <c r="I583">
        <v>366.0136</v>
      </c>
      <c r="J583">
        <v>-311.08120000000002</v>
      </c>
      <c r="K583">
        <v>1.0633539999999999</v>
      </c>
      <c r="L583">
        <v>367.25279999999998</v>
      </c>
      <c r="M583">
        <v>0.99988469999999996</v>
      </c>
      <c r="N583">
        <v>0</v>
      </c>
      <c r="O583">
        <v>-3.007694E-3</v>
      </c>
      <c r="P583">
        <v>0.99316890000000002</v>
      </c>
      <c r="Q583">
        <v>0.1104459</v>
      </c>
      <c r="R583">
        <v>-3.7653609999999997E-2</v>
      </c>
      <c r="S583">
        <v>3.0310969999999999</v>
      </c>
      <c r="T583">
        <v>-0.1534971</v>
      </c>
      <c r="U583">
        <v>-0.17089840000000001</v>
      </c>
      <c r="V583">
        <v>3.4671019999999997E-2</v>
      </c>
      <c r="W583">
        <v>0.12522619999999901</v>
      </c>
      <c r="X583">
        <v>0.99152229999999997</v>
      </c>
      <c r="Y583">
        <v>5.3224649999999998E-2</v>
      </c>
      <c r="Z583">
        <v>-1.193632E-3</v>
      </c>
      <c r="AA583">
        <v>0.99858179999999996</v>
      </c>
      <c r="AB583">
        <v>34</v>
      </c>
      <c r="AC583">
        <v>21.6571999999999</v>
      </c>
      <c r="AD583">
        <v>-1.113354</v>
      </c>
      <c r="AE583">
        <v>-1.2391999999999801</v>
      </c>
      <c r="AF583">
        <v>1.17096443734093</v>
      </c>
      <c r="AG583">
        <v>-1.113354</v>
      </c>
      <c r="AH583">
        <v>21.603921352317499</v>
      </c>
      <c r="AI583">
        <v>92.945801047484295</v>
      </c>
      <c r="AJ583">
        <v>86.897519927161397</v>
      </c>
      <c r="AK583">
        <v>21.6642593374422</v>
      </c>
      <c r="AL583">
        <v>82.806181821204305</v>
      </c>
      <c r="AM583">
        <v>87.997327883744106</v>
      </c>
      <c r="AN583">
        <v>1.0000000760957799</v>
      </c>
    </row>
    <row r="584" spans="1:40" x14ac:dyDescent="0.25">
      <c r="A584" t="str">
        <f>"20190312164229829"</f>
        <v>20190312164229829</v>
      </c>
      <c r="B584" t="str">
        <f>"1552380149824814"</f>
        <v>1552380149824814</v>
      </c>
      <c r="C584" t="s">
        <v>40</v>
      </c>
      <c r="D584">
        <v>4.5441799999999999</v>
      </c>
      <c r="E584">
        <v>0.51055419999999996</v>
      </c>
      <c r="F584" t="s">
        <v>43</v>
      </c>
      <c r="G584">
        <v>-289.30239999999998</v>
      </c>
      <c r="H584">
        <v>-0.05</v>
      </c>
      <c r="I584">
        <v>366.0256</v>
      </c>
      <c r="J584">
        <v>-310.70999999999998</v>
      </c>
      <c r="K584">
        <v>1.0628089999999999</v>
      </c>
      <c r="L584">
        <v>367.25170000000003</v>
      </c>
      <c r="M584">
        <v>0.99988520000000003</v>
      </c>
      <c r="N584">
        <v>0</v>
      </c>
      <c r="O584">
        <v>-3.007558E-3</v>
      </c>
      <c r="P584">
        <v>0.9931681</v>
      </c>
      <c r="Q584">
        <v>0.11047360000000001</v>
      </c>
      <c r="R584">
        <v>-3.7589009999999999E-2</v>
      </c>
      <c r="S584">
        <v>3.0314030000000001</v>
      </c>
      <c r="T584">
        <v>-0.15496840000000001</v>
      </c>
      <c r="U584">
        <v>-0.17080689999999901</v>
      </c>
      <c r="V584">
        <v>3.4606440000000002E-2</v>
      </c>
      <c r="W584">
        <v>0.1252201</v>
      </c>
      <c r="X584">
        <v>0.9915252</v>
      </c>
      <c r="Y584">
        <v>5.3187900000000003E-2</v>
      </c>
      <c r="Z584">
        <v>-1.204007E-3</v>
      </c>
      <c r="AA584">
        <v>0.99858380000000002</v>
      </c>
      <c r="AB584">
        <v>34</v>
      </c>
      <c r="AC584">
        <v>21.407599999999999</v>
      </c>
      <c r="AD584">
        <v>-1.1128089999999999</v>
      </c>
      <c r="AE584">
        <v>-1.2261000000000299</v>
      </c>
      <c r="AF584">
        <v>1.1585823564766999</v>
      </c>
      <c r="AG584">
        <v>-1.1128089999999999</v>
      </c>
      <c r="AH584">
        <v>21.353679495508299</v>
      </c>
      <c r="AI584">
        <v>92.978795611633103</v>
      </c>
      <c r="AJ584">
        <v>86.894359319564501</v>
      </c>
      <c r="AK584">
        <v>21.4140207561334</v>
      </c>
      <c r="AL584">
        <v>82.806533191432194</v>
      </c>
      <c r="AM584">
        <v>88.001060975086105</v>
      </c>
      <c r="AN584">
        <v>0.99999995068425995</v>
      </c>
    </row>
    <row r="585" spans="1:40" x14ac:dyDescent="0.25">
      <c r="A585" t="str">
        <f>"20190312164229851"</f>
        <v>20190312164229851</v>
      </c>
      <c r="B585" t="str">
        <f>"1552380149844333"</f>
        <v>1552380149844333</v>
      </c>
      <c r="C585" t="s">
        <v>40</v>
      </c>
      <c r="D585">
        <v>4.4862909999999996</v>
      </c>
      <c r="E585">
        <v>0.51090219999999997</v>
      </c>
      <c r="F585" t="s">
        <v>43</v>
      </c>
      <c r="G585">
        <v>-288.75880000000001</v>
      </c>
      <c r="H585">
        <v>-0.05</v>
      </c>
      <c r="I585">
        <v>366.00220000000002</v>
      </c>
      <c r="J585">
        <v>-310.37369999999999</v>
      </c>
      <c r="K585">
        <v>1.0623940000000001</v>
      </c>
      <c r="L585">
        <v>367.25069999999999</v>
      </c>
      <c r="M585">
        <v>0.99988540000000004</v>
      </c>
      <c r="N585">
        <v>0</v>
      </c>
      <c r="O585">
        <v>-3.0076249999999999E-3</v>
      </c>
      <c r="P585">
        <v>0.99313839999999998</v>
      </c>
      <c r="Q585">
        <v>0.1108259</v>
      </c>
      <c r="R585">
        <v>-3.7334689999999997E-2</v>
      </c>
      <c r="S585">
        <v>3.0312190000000001</v>
      </c>
      <c r="T585">
        <v>-0.153667</v>
      </c>
      <c r="U585">
        <v>-0.17254639999999999</v>
      </c>
      <c r="V585">
        <v>3.435216E-2</v>
      </c>
      <c r="W585">
        <v>0.1255493</v>
      </c>
      <c r="X585">
        <v>0.9914925</v>
      </c>
      <c r="Y585">
        <v>5.3762770000000001E-2</v>
      </c>
      <c r="Z585">
        <v>-1.208509E-3</v>
      </c>
      <c r="AA585">
        <v>0.99855300000000002</v>
      </c>
      <c r="AB585">
        <v>34</v>
      </c>
      <c r="AC585">
        <v>21.614899999999899</v>
      </c>
      <c r="AD585">
        <v>-1.1123940000000001</v>
      </c>
      <c r="AE585">
        <v>-1.24849999999997</v>
      </c>
      <c r="AF585">
        <v>1.1803618108199601</v>
      </c>
      <c r="AG585">
        <v>-1.1123940000000001</v>
      </c>
      <c r="AH585">
        <v>21.5616401168914</v>
      </c>
      <c r="AI585">
        <v>92.948940205551494</v>
      </c>
      <c r="AJ585">
        <v>86.866550415127307</v>
      </c>
      <c r="AK585">
        <v>21.622557641177</v>
      </c>
      <c r="AL585">
        <v>82.787522012502393</v>
      </c>
      <c r="AM585">
        <v>88.015671535510293</v>
      </c>
      <c r="AN585">
        <v>1.0000000375917</v>
      </c>
    </row>
    <row r="586" spans="1:40" x14ac:dyDescent="0.25">
      <c r="A586" t="str">
        <f>"20190312164229873"</f>
        <v>20190312164229873</v>
      </c>
      <c r="B586" t="str">
        <f>"1552380149864829"</f>
        <v>1552380149864829</v>
      </c>
      <c r="C586" t="s">
        <v>40</v>
      </c>
      <c r="D586">
        <v>4.2648140000000003</v>
      </c>
      <c r="E586">
        <v>0.51126349999999998</v>
      </c>
      <c r="F586" t="s">
        <v>43</v>
      </c>
      <c r="G586">
        <v>-287.97579999999999</v>
      </c>
      <c r="H586">
        <v>-0.05</v>
      </c>
      <c r="I586">
        <v>365.96140000000003</v>
      </c>
      <c r="J586">
        <v>-310.04180000000002</v>
      </c>
      <c r="K586">
        <v>1.0620419999999999</v>
      </c>
      <c r="L586">
        <v>367.24970000000002</v>
      </c>
      <c r="M586">
        <v>0.99988569999999999</v>
      </c>
      <c r="N586">
        <v>0</v>
      </c>
      <c r="O586">
        <v>-3.007614E-3</v>
      </c>
      <c r="P586">
        <v>0.99312400000000001</v>
      </c>
      <c r="Q586">
        <v>0.11102239999999999</v>
      </c>
      <c r="R586">
        <v>-3.7130539999999997E-2</v>
      </c>
      <c r="S586">
        <v>3.030945</v>
      </c>
      <c r="T586">
        <v>-0.15053250000000001</v>
      </c>
      <c r="U586">
        <v>-0.17446900000000001</v>
      </c>
      <c r="V586">
        <v>3.4148150000000002E-2</v>
      </c>
      <c r="W586">
        <v>0.12572809999999901</v>
      </c>
      <c r="X586">
        <v>0.99147680000000005</v>
      </c>
      <c r="Y586">
        <v>5.4401079999999997E-2</v>
      </c>
      <c r="Z586">
        <v>-1.1998029999999999E-3</v>
      </c>
      <c r="AA586">
        <v>0.99851849999999998</v>
      </c>
      <c r="AB586">
        <v>34</v>
      </c>
      <c r="AC586">
        <v>22.065999999999999</v>
      </c>
      <c r="AD586">
        <v>-1.112042</v>
      </c>
      <c r="AE586">
        <v>-1.28829999999999</v>
      </c>
      <c r="AF586">
        <v>1.2188358229998999</v>
      </c>
      <c r="AG586">
        <v>-1.112042</v>
      </c>
      <c r="AH586">
        <v>22.014054511779701</v>
      </c>
      <c r="AI586">
        <v>92.887428788495896</v>
      </c>
      <c r="AJ586">
        <v>86.830982568910699</v>
      </c>
      <c r="AK586">
        <v>22.075796570470601</v>
      </c>
      <c r="AL586">
        <v>82.777195052716195</v>
      </c>
      <c r="AM586">
        <v>88.027415482319896</v>
      </c>
      <c r="AN586">
        <v>0.99999994810813397</v>
      </c>
    </row>
    <row r="587" spans="1:40" x14ac:dyDescent="0.25">
      <c r="A587" t="str">
        <f>"20190312164229895"</f>
        <v>20190312164229895</v>
      </c>
      <c r="B587" t="str">
        <f>"1552380149884350"</f>
        <v>1552380149884350</v>
      </c>
      <c r="C587" t="s">
        <v>40</v>
      </c>
      <c r="D587">
        <v>4.510942</v>
      </c>
      <c r="E587">
        <v>0.51155519999999999</v>
      </c>
      <c r="F587" t="s">
        <v>43</v>
      </c>
      <c r="G587">
        <v>-287.38099999999997</v>
      </c>
      <c r="H587">
        <v>-0.05</v>
      </c>
      <c r="I587">
        <v>365.92630000000003</v>
      </c>
      <c r="J587">
        <v>-309.70870000000002</v>
      </c>
      <c r="K587">
        <v>1.0617540000000001</v>
      </c>
      <c r="L587">
        <v>367.24869999999999</v>
      </c>
      <c r="M587">
        <v>0.99988589999999999</v>
      </c>
      <c r="N587">
        <v>0</v>
      </c>
      <c r="O587">
        <v>-3.0078610000000001E-3</v>
      </c>
      <c r="P587">
        <v>0.99313450000000003</v>
      </c>
      <c r="Q587">
        <v>0.11081290000000001</v>
      </c>
      <c r="R587">
        <v>-3.7480319999999998E-2</v>
      </c>
      <c r="S587">
        <v>3.0307919999999999</v>
      </c>
      <c r="T587">
        <v>-0.14873169999999999</v>
      </c>
      <c r="U587">
        <v>-0.17700199999999999</v>
      </c>
      <c r="V587">
        <v>3.4497470000000002E-2</v>
      </c>
      <c r="W587">
        <v>0.12550439999999999</v>
      </c>
      <c r="X587">
        <v>0.99149310000000002</v>
      </c>
      <c r="Y587">
        <v>5.5235899999999998E-2</v>
      </c>
      <c r="Z587">
        <v>-1.20594E-3</v>
      </c>
      <c r="AA587">
        <v>0.99847260000000004</v>
      </c>
      <c r="AB587">
        <v>34</v>
      </c>
      <c r="AC587">
        <v>22.3277</v>
      </c>
      <c r="AD587">
        <v>-1.1117539999999999</v>
      </c>
      <c r="AE587">
        <v>-1.3223999999999501</v>
      </c>
      <c r="AF587">
        <v>1.25213447105991</v>
      </c>
      <c r="AG587">
        <v>-1.1117539999999999</v>
      </c>
      <c r="AH587">
        <v>22.276539798890099</v>
      </c>
      <c r="AI587">
        <v>92.852591469424596</v>
      </c>
      <c r="AJ587">
        <v>86.782866195292499</v>
      </c>
      <c r="AK587">
        <v>22.339383677748799</v>
      </c>
      <c r="AL587">
        <v>82.790114821071498</v>
      </c>
      <c r="AM587">
        <v>88.007285762928902</v>
      </c>
      <c r="AN587">
        <v>0.99999999860168498</v>
      </c>
    </row>
    <row r="588" spans="1:40" x14ac:dyDescent="0.25">
      <c r="A588" t="str">
        <f>"20190312164229917"</f>
        <v>20190312164229917</v>
      </c>
      <c r="B588" t="str">
        <f>"1552380149914605"</f>
        <v>1552380149914605</v>
      </c>
      <c r="C588" t="s">
        <v>40</v>
      </c>
      <c r="D588">
        <v>4.2364920000000001</v>
      </c>
      <c r="E588">
        <v>0.51194170000000006</v>
      </c>
      <c r="F588" t="s">
        <v>43</v>
      </c>
      <c r="G588">
        <v>-287.07499999999999</v>
      </c>
      <c r="H588">
        <v>-0.05</v>
      </c>
      <c r="I588">
        <v>365.9042</v>
      </c>
      <c r="J588">
        <v>-309.363</v>
      </c>
      <c r="K588">
        <v>1.0614950000000001</v>
      </c>
      <c r="L588">
        <v>367.24770000000001</v>
      </c>
      <c r="M588">
        <v>0.99988600000000005</v>
      </c>
      <c r="N588">
        <v>0</v>
      </c>
      <c r="O588">
        <v>-3.0077569999999998E-3</v>
      </c>
      <c r="P588">
        <v>0.99309429999999999</v>
      </c>
      <c r="Q588">
        <v>0.1112484</v>
      </c>
      <c r="R588">
        <v>-3.7247839999999997E-2</v>
      </c>
      <c r="S588">
        <v>3.0305789999999999</v>
      </c>
      <c r="T588">
        <v>-0.14885999999999999</v>
      </c>
      <c r="U588">
        <v>-0.18002319999999999</v>
      </c>
      <c r="V588">
        <v>3.4265299999999999E-2</v>
      </c>
      <c r="W588">
        <v>0.12592539999999999</v>
      </c>
      <c r="X588">
        <v>0.99144770000000004</v>
      </c>
      <c r="Y588">
        <v>5.6230740000000001E-2</v>
      </c>
      <c r="Z588">
        <v>-1.2314299999999999E-3</v>
      </c>
      <c r="AA588">
        <v>0.998417</v>
      </c>
      <c r="AB588">
        <v>34</v>
      </c>
      <c r="AC588">
        <v>22.288</v>
      </c>
      <c r="AD588">
        <v>-1.1114949999999999</v>
      </c>
      <c r="AE588">
        <v>-1.3434999999999999</v>
      </c>
      <c r="AF588">
        <v>1.2732944966028401</v>
      </c>
      <c r="AG588">
        <v>-1.1114949999999999</v>
      </c>
      <c r="AH588">
        <v>22.236838104781398</v>
      </c>
      <c r="AI588">
        <v>92.856841746063097</v>
      </c>
      <c r="AJ588">
        <v>86.722788411543803</v>
      </c>
      <c r="AK588">
        <v>22.300979102011699</v>
      </c>
      <c r="AL588">
        <v>82.765799894401297</v>
      </c>
      <c r="AM588">
        <v>88.020595579572301</v>
      </c>
      <c r="AN588">
        <v>0.99999992949226701</v>
      </c>
    </row>
    <row r="589" spans="1:40" x14ac:dyDescent="0.25">
      <c r="A589" t="str">
        <f>"20190312164229939"</f>
        <v>20190312164229939</v>
      </c>
      <c r="B589" t="str">
        <f>"1552380149934129"</f>
        <v>1552380149934129</v>
      </c>
      <c r="C589" t="s">
        <v>40</v>
      </c>
      <c r="D589">
        <v>4.3451550000000001</v>
      </c>
      <c r="E589">
        <v>0.51214680000000001</v>
      </c>
      <c r="F589" t="s">
        <v>43</v>
      </c>
      <c r="G589">
        <v>-286.38720000000001</v>
      </c>
      <c r="H589">
        <v>-0.05</v>
      </c>
      <c r="I589">
        <v>365.86099999999999</v>
      </c>
      <c r="J589">
        <v>-309.01350000000002</v>
      </c>
      <c r="K589">
        <v>1.0612839999999999</v>
      </c>
      <c r="L589">
        <v>367.2466</v>
      </c>
      <c r="M589">
        <v>0.99988639999999995</v>
      </c>
      <c r="N589">
        <v>0</v>
      </c>
      <c r="O589">
        <v>-3.0080129999999999E-3</v>
      </c>
      <c r="P589">
        <v>0.99306640000000002</v>
      </c>
      <c r="Q589">
        <v>0.111396</v>
      </c>
      <c r="R589">
        <v>-3.7555959999999999E-2</v>
      </c>
      <c r="S589">
        <v>3.0304259999999998</v>
      </c>
      <c r="T589">
        <v>-0.14660190000000001</v>
      </c>
      <c r="U589">
        <v>-0.18289179999999999</v>
      </c>
      <c r="V589">
        <v>3.4573039999999999E-2</v>
      </c>
      <c r="W589">
        <v>0.1260588</v>
      </c>
      <c r="X589">
        <v>0.99142010000000003</v>
      </c>
      <c r="Y589">
        <v>5.7175990000000003E-2</v>
      </c>
      <c r="Z589">
        <v>-1.2356170000000001E-3</v>
      </c>
      <c r="AA589">
        <v>0.99836340000000001</v>
      </c>
      <c r="AB589">
        <v>34</v>
      </c>
      <c r="AC589">
        <v>22.626300000000001</v>
      </c>
      <c r="AD589">
        <v>-1.1112839999999999</v>
      </c>
      <c r="AE589">
        <v>-1.3856000000000099</v>
      </c>
      <c r="AF589">
        <v>1.3143673588156399</v>
      </c>
      <c r="AG589">
        <v>-1.1112839999999999</v>
      </c>
      <c r="AH589">
        <v>22.5761101268285</v>
      </c>
      <c r="AI589">
        <v>92.813290565549494</v>
      </c>
      <c r="AJ589">
        <v>86.668035835199007</v>
      </c>
      <c r="AK589">
        <v>22.641626755630099</v>
      </c>
      <c r="AL589">
        <v>82.758095501925098</v>
      </c>
      <c r="AM589">
        <v>88.002777133973595</v>
      </c>
      <c r="AN589">
        <v>0.99999996541814495</v>
      </c>
    </row>
    <row r="590" spans="1:40" x14ac:dyDescent="0.25">
      <c r="A590" t="str">
        <f>"20190312164229962"</f>
        <v>20190312164229962</v>
      </c>
      <c r="B590" t="str">
        <f>"1552380149954625"</f>
        <v>1552380149954625</v>
      </c>
      <c r="C590" t="s">
        <v>40</v>
      </c>
      <c r="D590">
        <v>4.2354139999999996</v>
      </c>
      <c r="E590">
        <v>0.51228269999999998</v>
      </c>
      <c r="F590" t="s">
        <v>43</v>
      </c>
      <c r="G590">
        <v>-285.98250000000002</v>
      </c>
      <c r="H590">
        <v>-0.05</v>
      </c>
      <c r="I590">
        <v>365.83499999999998</v>
      </c>
      <c r="J590">
        <v>-308.68270000000001</v>
      </c>
      <c r="K590">
        <v>1.0611090000000001</v>
      </c>
      <c r="L590">
        <v>367.24560000000002</v>
      </c>
      <c r="M590">
        <v>0.99988659999999996</v>
      </c>
      <c r="N590">
        <v>0</v>
      </c>
      <c r="O590">
        <v>-3.007918E-3</v>
      </c>
      <c r="P590">
        <v>0.9930061</v>
      </c>
      <c r="Q590">
        <v>0.11176030000000001</v>
      </c>
      <c r="R590">
        <v>-3.8063119999999999E-2</v>
      </c>
      <c r="S590">
        <v>3.0303040000000001</v>
      </c>
      <c r="T590">
        <v>-0.14621719999999999</v>
      </c>
      <c r="U590">
        <v>-0.18573000000000001</v>
      </c>
      <c r="V590">
        <v>3.5080840000000002E-2</v>
      </c>
      <c r="W590">
        <v>0.12640979999999999</v>
      </c>
      <c r="X590">
        <v>0.99135759999999995</v>
      </c>
      <c r="Y590">
        <v>5.8109330000000001E-2</v>
      </c>
      <c r="Z590">
        <v>-1.254881E-3</v>
      </c>
      <c r="AA590">
        <v>0.99830940000000001</v>
      </c>
      <c r="AB590">
        <v>34</v>
      </c>
      <c r="AC590">
        <v>22.700199999999899</v>
      </c>
      <c r="AD590">
        <v>-1.1111089999999999</v>
      </c>
      <c r="AE590">
        <v>-1.41060000000004</v>
      </c>
      <c r="AF590">
        <v>1.3391099184408599</v>
      </c>
      <c r="AG590">
        <v>-1.1111089999999999</v>
      </c>
      <c r="AH590">
        <v>22.650283481660999</v>
      </c>
      <c r="AI590">
        <v>92.803504104622604</v>
      </c>
      <c r="AJ590">
        <v>86.616548271851002</v>
      </c>
      <c r="AK590">
        <v>22.7170227006788</v>
      </c>
      <c r="AL590">
        <v>82.737822738160403</v>
      </c>
      <c r="AM590">
        <v>87.973339060079695</v>
      </c>
      <c r="AN590">
        <v>0.99999999697445197</v>
      </c>
    </row>
    <row r="591" spans="1:40" x14ac:dyDescent="0.25">
      <c r="A591" t="str">
        <f>"20190312164229985"</f>
        <v>20190312164229985</v>
      </c>
      <c r="B591" t="str">
        <f>"1552380149974142"</f>
        <v>1552380149974142</v>
      </c>
      <c r="C591" t="s">
        <v>40</v>
      </c>
      <c r="D591">
        <v>4.6205679999999996</v>
      </c>
      <c r="E591">
        <v>0.5124187</v>
      </c>
      <c r="F591" t="s">
        <v>43</v>
      </c>
      <c r="G591">
        <v>-285.35590000000002</v>
      </c>
      <c r="H591">
        <v>-0.05</v>
      </c>
      <c r="I591">
        <v>365.79660000000001</v>
      </c>
      <c r="J591">
        <v>-308.32569999999998</v>
      </c>
      <c r="K591">
        <v>1.0609580000000001</v>
      </c>
      <c r="L591">
        <v>367.24459999999999</v>
      </c>
      <c r="M591">
        <v>0.99988679999999996</v>
      </c>
      <c r="N591">
        <v>0</v>
      </c>
      <c r="O591">
        <v>-3.007933E-3</v>
      </c>
      <c r="P591">
        <v>0.99296910000000005</v>
      </c>
      <c r="Q591">
        <v>0.11205610000000001</v>
      </c>
      <c r="R591">
        <v>-3.8156889999999999E-2</v>
      </c>
      <c r="S591">
        <v>3.0301209999999998</v>
      </c>
      <c r="T591">
        <v>-0.14433190000000001</v>
      </c>
      <c r="U591">
        <v>-0.18823239999999999</v>
      </c>
      <c r="V591">
        <v>3.5174560000000001E-2</v>
      </c>
      <c r="W591">
        <v>0.12669069999999999</v>
      </c>
      <c r="X591">
        <v>0.99131840000000004</v>
      </c>
      <c r="Y591">
        <v>5.8935000000000001E-2</v>
      </c>
      <c r="Z591">
        <v>-1.258395E-3</v>
      </c>
      <c r="AA591">
        <v>0.99826099999999995</v>
      </c>
      <c r="AB591">
        <v>34</v>
      </c>
      <c r="AC591">
        <v>22.9697999999999</v>
      </c>
      <c r="AD591">
        <v>-1.1109579999999999</v>
      </c>
      <c r="AE591">
        <v>-1.44799999999997</v>
      </c>
      <c r="AF591">
        <v>1.37568894563686</v>
      </c>
      <c r="AG591">
        <v>-1.1109579999999999</v>
      </c>
      <c r="AH591">
        <v>22.9206466136045</v>
      </c>
      <c r="AI591">
        <v>92.769963440261705</v>
      </c>
      <c r="AJ591">
        <v>86.565248417846107</v>
      </c>
      <c r="AK591">
        <v>22.9887535316435</v>
      </c>
      <c r="AL591">
        <v>82.721597760504196</v>
      </c>
      <c r="AM591">
        <v>87.967848992354206</v>
      </c>
      <c r="AN591">
        <v>0.99999997665812101</v>
      </c>
    </row>
    <row r="592" spans="1:40" x14ac:dyDescent="0.25">
      <c r="A592" t="str">
        <f>"20190312164230007"</f>
        <v>20190312164230007</v>
      </c>
      <c r="B592" t="str">
        <f>"1552380150004398"</f>
        <v>1552380150004398</v>
      </c>
      <c r="C592" t="s">
        <v>40</v>
      </c>
      <c r="D592">
        <v>4.3244040000000004</v>
      </c>
      <c r="E592">
        <v>0.52501009999999904</v>
      </c>
      <c r="F592" t="s">
        <v>43</v>
      </c>
      <c r="G592">
        <v>-284.91550000000001</v>
      </c>
      <c r="H592">
        <v>-0.05</v>
      </c>
      <c r="I592">
        <v>365.7783</v>
      </c>
      <c r="J592">
        <v>-307.99979999999999</v>
      </c>
      <c r="K592">
        <v>1.060846</v>
      </c>
      <c r="L592">
        <v>367.24360000000001</v>
      </c>
      <c r="M592">
        <v>0.99988699999999997</v>
      </c>
      <c r="N592">
        <v>0</v>
      </c>
      <c r="O592">
        <v>-3.0080749999999998E-3</v>
      </c>
      <c r="P592">
        <v>0.99294579999999999</v>
      </c>
      <c r="Q592">
        <v>0.112345899999999</v>
      </c>
      <c r="R592">
        <v>-3.7913330000000002E-2</v>
      </c>
      <c r="S592">
        <v>3.0301819999999999</v>
      </c>
      <c r="T592">
        <v>-0.14380119999999999</v>
      </c>
      <c r="U592">
        <v>-0.18978880000000001</v>
      </c>
      <c r="V592">
        <v>3.4930830000000003E-2</v>
      </c>
      <c r="W592">
        <v>0.12696749999999901</v>
      </c>
      <c r="X592">
        <v>0.99129160000000005</v>
      </c>
      <c r="Y592">
        <v>5.9444259999999999E-2</v>
      </c>
      <c r="Z592">
        <v>-1.265787E-3</v>
      </c>
      <c r="AA592">
        <v>0.99823079999999997</v>
      </c>
      <c r="AB592">
        <v>34</v>
      </c>
      <c r="AC592">
        <v>23.084299999999899</v>
      </c>
      <c r="AD592">
        <v>-1.110846</v>
      </c>
      <c r="AE592">
        <v>-1.46530000000001</v>
      </c>
      <c r="AF592">
        <v>1.39263460714695</v>
      </c>
      <c r="AG592">
        <v>-1.110846</v>
      </c>
      <c r="AH592">
        <v>23.035475545216599</v>
      </c>
      <c r="AI592">
        <v>92.755827355540603</v>
      </c>
      <c r="AJ592">
        <v>86.540332490290993</v>
      </c>
      <c r="AK592">
        <v>23.104253798359501</v>
      </c>
      <c r="AL592">
        <v>82.705609143940507</v>
      </c>
      <c r="AM592">
        <v>87.981863884635899</v>
      </c>
      <c r="AN592">
        <v>0.99999997258564899</v>
      </c>
    </row>
    <row r="593" spans="1:40" x14ac:dyDescent="0.25">
      <c r="A593" t="str">
        <f>"20190312164230030"</f>
        <v>20190312164230030</v>
      </c>
      <c r="B593" t="str">
        <f>"1552380150024894"</f>
        <v>1552380150024894</v>
      </c>
      <c r="C593" t="s">
        <v>40</v>
      </c>
      <c r="D593">
        <v>4.2952709999999996</v>
      </c>
      <c r="E593">
        <v>0.52825119999999903</v>
      </c>
      <c r="F593" t="s">
        <v>43</v>
      </c>
      <c r="G593">
        <v>-286.73079999999999</v>
      </c>
      <c r="H593">
        <v>-0.05</v>
      </c>
      <c r="I593">
        <v>365.21140000000003</v>
      </c>
      <c r="J593">
        <v>-307.63979999999998</v>
      </c>
      <c r="K593">
        <v>1.0607439999999999</v>
      </c>
      <c r="L593">
        <v>367.24250000000001</v>
      </c>
      <c r="M593">
        <v>0.99988699999999997</v>
      </c>
      <c r="N593">
        <v>0</v>
      </c>
      <c r="O593">
        <v>-3.0079669999999998E-3</v>
      </c>
      <c r="P593">
        <v>0.99290699999999998</v>
      </c>
      <c r="Q593">
        <v>0.1127476</v>
      </c>
      <c r="R593">
        <v>-3.7733500000000003E-2</v>
      </c>
      <c r="S593">
        <v>3.0281980000000002</v>
      </c>
      <c r="T593">
        <v>-0.158158299999999</v>
      </c>
      <c r="U593">
        <v>-0.28933720000000002</v>
      </c>
      <c r="V593">
        <v>3.4751280000000002E-2</v>
      </c>
      <c r="W593">
        <v>0.12735389999999999</v>
      </c>
      <c r="X593">
        <v>0.99124840000000003</v>
      </c>
      <c r="Y593">
        <v>9.1999170000000005E-2</v>
      </c>
      <c r="Z593">
        <v>-2.2387599999999998E-3</v>
      </c>
      <c r="AA593">
        <v>0.99575659999999999</v>
      </c>
      <c r="AB593">
        <v>34</v>
      </c>
      <c r="AC593">
        <v>20.908999999999899</v>
      </c>
      <c r="AD593">
        <v>-1.110744</v>
      </c>
      <c r="AE593">
        <v>-2.0310999999999799</v>
      </c>
      <c r="AF593">
        <v>1.9627033755790999</v>
      </c>
      <c r="AG593">
        <v>-1.110744</v>
      </c>
      <c r="AH593">
        <v>20.856707510512599</v>
      </c>
      <c r="AI593">
        <v>93.035078100760998</v>
      </c>
      <c r="AJ593">
        <v>84.624059355096406</v>
      </c>
      <c r="AK593">
        <v>20.9782793611183</v>
      </c>
      <c r="AL593">
        <v>82.683289275101998</v>
      </c>
      <c r="AM593">
        <v>87.992141482123799</v>
      </c>
      <c r="AN593">
        <v>1.0000000289047</v>
      </c>
    </row>
    <row r="594" spans="1:40" x14ac:dyDescent="0.25">
      <c r="A594" t="str">
        <f>"20190312164230053"</f>
        <v>20190312164230053</v>
      </c>
      <c r="B594" t="str">
        <f>"1552380150044414"</f>
        <v>1552380150044414</v>
      </c>
      <c r="C594" t="s">
        <v>40</v>
      </c>
      <c r="D594">
        <v>4.5031699999999999</v>
      </c>
      <c r="E594">
        <v>0.52899090000000004</v>
      </c>
      <c r="F594" t="s">
        <v>43</v>
      </c>
      <c r="G594">
        <v>-286.80119999999999</v>
      </c>
      <c r="H594">
        <v>-0.05</v>
      </c>
      <c r="I594">
        <v>365.08319999999998</v>
      </c>
      <c r="J594">
        <v>-307.29599999999999</v>
      </c>
      <c r="K594">
        <v>1.0606640000000001</v>
      </c>
      <c r="L594">
        <v>367.24149999999997</v>
      </c>
      <c r="M594">
        <v>0.99988730000000003</v>
      </c>
      <c r="N594">
        <v>0</v>
      </c>
      <c r="O594">
        <v>-3.0079849999999999E-3</v>
      </c>
      <c r="P594">
        <v>0.9929521</v>
      </c>
      <c r="Q594">
        <v>0.1123046</v>
      </c>
      <c r="R594">
        <v>-3.7866980000000001E-2</v>
      </c>
      <c r="S594">
        <v>3.0278320000000001</v>
      </c>
      <c r="T594">
        <v>-0.1613908</v>
      </c>
      <c r="U594">
        <v>-0.31375120000000001</v>
      </c>
      <c r="V594">
        <v>3.4884650000000003E-2</v>
      </c>
      <c r="W594">
        <v>0.12689829999999999</v>
      </c>
      <c r="X594">
        <v>0.99130209999999996</v>
      </c>
      <c r="Y594">
        <v>9.9941630000000004E-2</v>
      </c>
      <c r="Z594">
        <v>-2.4947820000000001E-3</v>
      </c>
      <c r="AA594">
        <v>0.99499020000000005</v>
      </c>
      <c r="AB594">
        <v>34</v>
      </c>
      <c r="AC594">
        <v>20.494800000000001</v>
      </c>
      <c r="AD594">
        <v>-1.1106639999999901</v>
      </c>
      <c r="AE594">
        <v>-2.1582999999999899</v>
      </c>
      <c r="AF594">
        <v>2.0905632377841501</v>
      </c>
      <c r="AG594">
        <v>-1.1106639999999901</v>
      </c>
      <c r="AH594">
        <v>20.441824525341499</v>
      </c>
      <c r="AI594">
        <v>93.0938833897889</v>
      </c>
      <c r="AJ594">
        <v>84.160723790988996</v>
      </c>
      <c r="AK594">
        <v>20.578440638127201</v>
      </c>
      <c r="AL594">
        <v>82.709606438099897</v>
      </c>
      <c r="AM594">
        <v>87.984551072582605</v>
      </c>
      <c r="AN594">
        <v>0.99999998540646096</v>
      </c>
    </row>
    <row r="595" spans="1:40" x14ac:dyDescent="0.25">
      <c r="A595" t="str">
        <f>"20190312164230074"</f>
        <v>20190312164230074</v>
      </c>
      <c r="B595" t="str">
        <f>"1552380150064910"</f>
        <v>1552380150064910</v>
      </c>
      <c r="C595" t="s">
        <v>40</v>
      </c>
      <c r="D595">
        <v>4.3605970000000003</v>
      </c>
      <c r="E595">
        <v>0.52980179999999999</v>
      </c>
      <c r="F595" t="s">
        <v>43</v>
      </c>
      <c r="G595">
        <v>-286.66789999999997</v>
      </c>
      <c r="H595">
        <v>-0.05</v>
      </c>
      <c r="I595">
        <v>365.06259999999997</v>
      </c>
      <c r="J595">
        <v>-306.97469999999998</v>
      </c>
      <c r="K595">
        <v>1.060595</v>
      </c>
      <c r="L595">
        <v>367.2405</v>
      </c>
      <c r="M595">
        <v>0.99988759999999999</v>
      </c>
      <c r="N595">
        <v>0</v>
      </c>
      <c r="O595">
        <v>-3.0080110000000001E-3</v>
      </c>
      <c r="P595">
        <v>0.99299210000000004</v>
      </c>
      <c r="Q595">
        <v>0.112084</v>
      </c>
      <c r="R595">
        <v>-3.7468519999999998E-2</v>
      </c>
      <c r="S595">
        <v>3.0275270000000001</v>
      </c>
      <c r="T595">
        <v>-0.1630086</v>
      </c>
      <c r="U595">
        <v>-0.31979370000000001</v>
      </c>
      <c r="V595">
        <v>3.448611E-2</v>
      </c>
      <c r="W595">
        <v>0.12666569999999999</v>
      </c>
      <c r="X595">
        <v>0.99134580000000005</v>
      </c>
      <c r="Y595">
        <v>0.1019105</v>
      </c>
      <c r="Z595">
        <v>-2.5725629999999999E-3</v>
      </c>
      <c r="AA595">
        <v>0.99479030000000002</v>
      </c>
      <c r="AB595">
        <v>34</v>
      </c>
      <c r="AC595">
        <v>20.306799999999999</v>
      </c>
      <c r="AD595">
        <v>-1.110595</v>
      </c>
      <c r="AE595">
        <v>-2.1779000000000202</v>
      </c>
      <c r="AF595">
        <v>2.1105594069794602</v>
      </c>
      <c r="AG595">
        <v>-1.110595</v>
      </c>
      <c r="AH595">
        <v>20.2533693514135</v>
      </c>
      <c r="AI595">
        <v>93.121804150060498</v>
      </c>
      <c r="AJ595">
        <v>84.050804524071694</v>
      </c>
      <c r="AK595">
        <v>20.39330410574</v>
      </c>
      <c r="AL595">
        <v>82.723041909761506</v>
      </c>
      <c r="AM595">
        <v>88.007645680707299</v>
      </c>
      <c r="AN595">
        <v>0.99999999325853095</v>
      </c>
    </row>
    <row r="596" spans="1:40" x14ac:dyDescent="0.25">
      <c r="A596" t="str">
        <f>"20190312164230096"</f>
        <v>20190312164230096</v>
      </c>
      <c r="B596" t="str">
        <f>"1552380150084430"</f>
        <v>1552380150084430</v>
      </c>
      <c r="C596" t="s">
        <v>40</v>
      </c>
      <c r="D596">
        <v>4.5535819999999996</v>
      </c>
      <c r="E596">
        <v>0.5300781</v>
      </c>
      <c r="F596" t="s">
        <v>43</v>
      </c>
      <c r="G596">
        <v>-286.24270000000001</v>
      </c>
      <c r="H596">
        <v>-0.05</v>
      </c>
      <c r="I596">
        <v>365.00959999999998</v>
      </c>
      <c r="J596">
        <v>-306.64550000000003</v>
      </c>
      <c r="K596">
        <v>1.060541</v>
      </c>
      <c r="L596">
        <v>367.23950000000002</v>
      </c>
      <c r="M596">
        <v>0.99988779999999999</v>
      </c>
      <c r="N596">
        <v>0</v>
      </c>
      <c r="O596">
        <v>-3.0079159999999998E-3</v>
      </c>
      <c r="P596">
        <v>0.99302060000000003</v>
      </c>
      <c r="Q596">
        <v>0.1119275</v>
      </c>
      <c r="R596">
        <v>-3.7183939999999999E-2</v>
      </c>
      <c r="S596">
        <v>3.0272220000000001</v>
      </c>
      <c r="T596">
        <v>-0.162166</v>
      </c>
      <c r="U596">
        <v>-0.3257446</v>
      </c>
      <c r="V596">
        <v>3.4201460000000003E-2</v>
      </c>
      <c r="W596">
        <v>0.12649679999999999</v>
      </c>
      <c r="X596">
        <v>0.99137719999999896</v>
      </c>
      <c r="Y596">
        <v>0.1038531</v>
      </c>
      <c r="Z596">
        <v>-2.611127E-3</v>
      </c>
      <c r="AA596">
        <v>0.99458919999999995</v>
      </c>
      <c r="AB596">
        <v>34</v>
      </c>
      <c r="AC596">
        <v>20.402799999999999</v>
      </c>
      <c r="AD596">
        <v>-1.110541</v>
      </c>
      <c r="AE596">
        <v>-2.2299000000000402</v>
      </c>
      <c r="AF596">
        <v>2.16218308047661</v>
      </c>
      <c r="AG596">
        <v>-1.110541</v>
      </c>
      <c r="AH596">
        <v>20.349836701571899</v>
      </c>
      <c r="AI596">
        <v>93.106224496680397</v>
      </c>
      <c r="AJ596">
        <v>83.935041553409803</v>
      </c>
      <c r="AK596">
        <v>20.4944917176987</v>
      </c>
      <c r="AL596">
        <v>82.732797444056203</v>
      </c>
      <c r="AM596">
        <v>88.024140112623499</v>
      </c>
      <c r="AN596">
        <v>0.99999996647810496</v>
      </c>
    </row>
    <row r="597" spans="1:40" x14ac:dyDescent="0.25">
      <c r="A597" t="str">
        <f>"20190312164230109"</f>
        <v>20190312164230109</v>
      </c>
      <c r="B597" t="str">
        <f>"1552380150104926"</f>
        <v>1552380150104926</v>
      </c>
      <c r="C597" t="s">
        <v>40</v>
      </c>
      <c r="D597">
        <v>4.3501250000000002</v>
      </c>
      <c r="E597">
        <v>0.53024389999999999</v>
      </c>
      <c r="F597" t="s">
        <v>43</v>
      </c>
      <c r="G597">
        <v>-286.08620000000002</v>
      </c>
      <c r="H597">
        <v>-0.05</v>
      </c>
      <c r="I597">
        <v>365.0206</v>
      </c>
      <c r="J597">
        <v>-306.43849999999998</v>
      </c>
      <c r="K597">
        <v>1.0605100000000001</v>
      </c>
      <c r="L597">
        <v>367.2389</v>
      </c>
      <c r="M597">
        <v>0.99988779999999999</v>
      </c>
      <c r="N597">
        <v>0</v>
      </c>
      <c r="O597">
        <v>-3.008096E-3</v>
      </c>
      <c r="P597">
        <v>0.99298439999999999</v>
      </c>
      <c r="Q597">
        <v>0.11227289999999999</v>
      </c>
      <c r="R597">
        <v>-3.7106439999999997E-2</v>
      </c>
      <c r="S597">
        <v>3.0272519999999998</v>
      </c>
      <c r="T597">
        <v>-0.16352120000000001</v>
      </c>
      <c r="U597">
        <v>-0.32672119999999999</v>
      </c>
      <c r="V597">
        <v>3.4123809999999997E-2</v>
      </c>
      <c r="W597">
        <v>0.12683410000000001</v>
      </c>
      <c r="X597">
        <v>0.99133680000000002</v>
      </c>
      <c r="Y597">
        <v>0.1041662</v>
      </c>
      <c r="Z597">
        <v>-2.6412599999999999E-3</v>
      </c>
      <c r="AA597">
        <v>0.99455640000000001</v>
      </c>
      <c r="AB597">
        <v>34</v>
      </c>
      <c r="AC597">
        <v>20.3522999999999</v>
      </c>
      <c r="AD597">
        <v>-1.1105100000000001</v>
      </c>
      <c r="AE597">
        <v>-2.2183000000000002</v>
      </c>
      <c r="AF597">
        <v>2.1507335636459102</v>
      </c>
      <c r="AG597">
        <v>-1.1105100000000001</v>
      </c>
      <c r="AH597">
        <v>20.299154995208202</v>
      </c>
      <c r="AI597">
        <v>93.113975349997801</v>
      </c>
      <c r="AJ597">
        <v>83.951968621582395</v>
      </c>
      <c r="AK597">
        <v>20.442959199719098</v>
      </c>
      <c r="AL597">
        <v>82.713314804305398</v>
      </c>
      <c r="AM597">
        <v>88.028542227573794</v>
      </c>
      <c r="AN597">
        <v>0.999999987182983</v>
      </c>
    </row>
    <row r="598" spans="1:40" x14ac:dyDescent="0.25">
      <c r="A598" t="str">
        <f>"20190312164230131"</f>
        <v>20190312164230131</v>
      </c>
      <c r="B598" t="str">
        <f>"1552380150124446"</f>
        <v>1552380150124446</v>
      </c>
      <c r="C598" t="s">
        <v>40</v>
      </c>
      <c r="D598">
        <v>4.5774970000000001</v>
      </c>
      <c r="E598">
        <v>0.53028690000000001</v>
      </c>
      <c r="F598" t="s">
        <v>43</v>
      </c>
      <c r="G598">
        <v>-285.8843</v>
      </c>
      <c r="H598">
        <v>-0.05</v>
      </c>
      <c r="I598">
        <v>365.01260000000002</v>
      </c>
      <c r="J598">
        <v>-306.12299999999999</v>
      </c>
      <c r="K598">
        <v>1.0604769999999999</v>
      </c>
      <c r="L598">
        <v>367.23790000000002</v>
      </c>
      <c r="M598">
        <v>0.99988790000000005</v>
      </c>
      <c r="N598">
        <v>0</v>
      </c>
      <c r="O598">
        <v>-3.008129E-3</v>
      </c>
      <c r="P598">
        <v>0.99298609999999998</v>
      </c>
      <c r="Q598">
        <v>0.1124144</v>
      </c>
      <c r="R598">
        <v>-3.6631190000000001E-2</v>
      </c>
      <c r="S598">
        <v>3.0274350000000001</v>
      </c>
      <c r="T598">
        <v>-0.16356770000000001</v>
      </c>
      <c r="U598">
        <v>-0.32791140000000002</v>
      </c>
      <c r="V598">
        <v>3.3648369999999997E-2</v>
      </c>
      <c r="W598">
        <v>0.12696360000000001</v>
      </c>
      <c r="X598">
        <v>0.99133649999999995</v>
      </c>
      <c r="Y598">
        <v>0.1045456</v>
      </c>
      <c r="Z598">
        <v>-2.6520070000000001E-3</v>
      </c>
      <c r="AA598">
        <v>0.99451659999999997</v>
      </c>
      <c r="AB598">
        <v>34</v>
      </c>
      <c r="AC598">
        <v>20.238699999999898</v>
      </c>
      <c r="AD598">
        <v>-1.1104769999999999</v>
      </c>
      <c r="AE598">
        <v>-2.2252999999999998</v>
      </c>
      <c r="AF598">
        <v>2.1579835272618801</v>
      </c>
      <c r="AG598">
        <v>-1.1104769999999999</v>
      </c>
      <c r="AH598">
        <v>20.185259168104999</v>
      </c>
      <c r="AI598">
        <v>93.131103556133198</v>
      </c>
      <c r="AJ598">
        <v>83.897750300715899</v>
      </c>
      <c r="AK598">
        <v>20.330635498061302</v>
      </c>
      <c r="AL598">
        <v>82.705834712470505</v>
      </c>
      <c r="AM598">
        <v>88.055988329231297</v>
      </c>
      <c r="AN598">
        <v>1.00000001238043</v>
      </c>
    </row>
    <row r="599" spans="1:40" x14ac:dyDescent="0.25">
      <c r="A599" t="str">
        <f>"20190312164230143"</f>
        <v>20190312164230143</v>
      </c>
      <c r="B599" t="str">
        <f>"1552380150134206"</f>
        <v>1552380150134206</v>
      </c>
      <c r="C599" t="s">
        <v>40</v>
      </c>
      <c r="D599">
        <v>4.3675850000000001</v>
      </c>
      <c r="E599">
        <v>0.53034729999999997</v>
      </c>
      <c r="F599" t="s">
        <v>43</v>
      </c>
      <c r="G599">
        <v>-285.50360000000001</v>
      </c>
      <c r="H599">
        <v>-0.05</v>
      </c>
      <c r="I599">
        <v>365.01280000000003</v>
      </c>
      <c r="J599">
        <v>-305.9135</v>
      </c>
      <c r="K599">
        <v>1.060457</v>
      </c>
      <c r="L599">
        <v>367.2373</v>
      </c>
      <c r="M599">
        <v>0.99988809999999995</v>
      </c>
      <c r="N599">
        <v>0</v>
      </c>
      <c r="O599">
        <v>-3.0083110000000001E-3</v>
      </c>
      <c r="P599">
        <v>0.99297550000000001</v>
      </c>
      <c r="Q599">
        <v>0.11251849999999999</v>
      </c>
      <c r="R599">
        <v>-3.6597749999999998E-2</v>
      </c>
      <c r="S599">
        <v>3.0275880000000002</v>
      </c>
      <c r="T599">
        <v>-0.1630539</v>
      </c>
      <c r="U599">
        <v>-0.32672119999999999</v>
      </c>
      <c r="V599">
        <v>3.3614940000000003E-2</v>
      </c>
      <c r="W599">
        <v>0.12706010000000001</v>
      </c>
      <c r="X599">
        <v>0.99132529999999996</v>
      </c>
      <c r="Y599">
        <v>0.1041551</v>
      </c>
      <c r="Z599">
        <v>-2.6331240000000001E-3</v>
      </c>
      <c r="AA599">
        <v>0.99455760000000004</v>
      </c>
      <c r="AB599">
        <v>34</v>
      </c>
      <c r="AC599">
        <v>20.4099</v>
      </c>
      <c r="AD599">
        <v>-1.110457</v>
      </c>
      <c r="AE599">
        <v>-2.2244999999999702</v>
      </c>
      <c r="AF599">
        <v>2.1567744696719502</v>
      </c>
      <c r="AG599">
        <v>-1.110457</v>
      </c>
      <c r="AH599">
        <v>20.356947041423201</v>
      </c>
      <c r="AI599">
        <v>93.105005707601293</v>
      </c>
      <c r="AJ599">
        <v>83.952197603949401</v>
      </c>
      <c r="AK599">
        <v>20.5009776281324</v>
      </c>
      <c r="AL599">
        <v>82.700260741598598</v>
      </c>
      <c r="AM599">
        <v>88.057896320133196</v>
      </c>
      <c r="AN599">
        <v>1.0000000418116499</v>
      </c>
    </row>
    <row r="600" spans="1:40" x14ac:dyDescent="0.25">
      <c r="A600" t="str">
        <f>"20190312164230163"</f>
        <v>20190312164230163</v>
      </c>
      <c r="B600" t="str">
        <f>"1552380150154705"</f>
        <v>1552380150154705</v>
      </c>
      <c r="C600" t="s">
        <v>40</v>
      </c>
      <c r="D600">
        <v>4.3778920000000001</v>
      </c>
      <c r="E600">
        <v>0.53049299999999999</v>
      </c>
      <c r="F600" t="s">
        <v>43</v>
      </c>
      <c r="G600">
        <v>-285.34199999999998</v>
      </c>
      <c r="H600">
        <v>-0.05</v>
      </c>
      <c r="I600">
        <v>365.01609999999999</v>
      </c>
      <c r="J600">
        <v>-305.62720000000002</v>
      </c>
      <c r="K600">
        <v>1.060427</v>
      </c>
      <c r="L600">
        <v>367.2364</v>
      </c>
      <c r="M600">
        <v>0.9998882</v>
      </c>
      <c r="N600">
        <v>0</v>
      </c>
      <c r="O600">
        <v>-3.007998E-3</v>
      </c>
      <c r="P600">
        <v>0.99295520000000004</v>
      </c>
      <c r="Q600">
        <v>0.1127737</v>
      </c>
      <c r="R600">
        <v>-3.6361049999999999E-2</v>
      </c>
      <c r="S600">
        <v>3.027679</v>
      </c>
      <c r="T600">
        <v>-0.1634361</v>
      </c>
      <c r="U600">
        <v>-0.32690429999999998</v>
      </c>
      <c r="V600">
        <v>3.3378529999999997E-2</v>
      </c>
      <c r="W600">
        <v>0.12730469999999999</v>
      </c>
      <c r="X600">
        <v>0.99130189999999996</v>
      </c>
      <c r="Y600">
        <v>0.1042109</v>
      </c>
      <c r="Z600">
        <v>-2.640716E-3</v>
      </c>
      <c r="AA600">
        <v>0.99455170000000004</v>
      </c>
      <c r="AB600">
        <v>34</v>
      </c>
      <c r="AC600">
        <v>20.2852</v>
      </c>
      <c r="AD600">
        <v>-1.1104270000000001</v>
      </c>
      <c r="AE600">
        <v>-2.2202999999999999</v>
      </c>
      <c r="AF600">
        <v>2.1528906947529798</v>
      </c>
      <c r="AG600">
        <v>-1.1104270000000001</v>
      </c>
      <c r="AH600">
        <v>20.231879470283701</v>
      </c>
      <c r="AI600">
        <v>93.123926246918103</v>
      </c>
      <c r="AJ600">
        <v>83.925966792562406</v>
      </c>
      <c r="AK600">
        <v>20.376381753539398</v>
      </c>
      <c r="AL600">
        <v>82.686131404803703</v>
      </c>
      <c r="AM600">
        <v>88.071499074511394</v>
      </c>
      <c r="AN600">
        <v>1.00000003492532</v>
      </c>
    </row>
    <row r="601" spans="1:40" x14ac:dyDescent="0.25">
      <c r="A601" t="str">
        <f>"20190312164230184"</f>
        <v>20190312164230184</v>
      </c>
      <c r="B601" t="str">
        <f>"1552380150174222"</f>
        <v>1552380150174222</v>
      </c>
      <c r="C601" t="s">
        <v>40</v>
      </c>
      <c r="D601">
        <v>4.3840389999999996</v>
      </c>
      <c r="E601">
        <v>0.53067339999999996</v>
      </c>
      <c r="F601" t="s">
        <v>43</v>
      </c>
      <c r="G601">
        <v>-285.05849999999998</v>
      </c>
      <c r="H601">
        <v>-0.05</v>
      </c>
      <c r="I601">
        <v>365.00920000000002</v>
      </c>
      <c r="J601">
        <v>-305.29790000000003</v>
      </c>
      <c r="K601">
        <v>1.060406</v>
      </c>
      <c r="L601">
        <v>367.23540000000003</v>
      </c>
      <c r="M601">
        <v>0.99988849999999996</v>
      </c>
      <c r="N601">
        <v>0</v>
      </c>
      <c r="O601">
        <v>-3.0081560000000001E-3</v>
      </c>
      <c r="P601">
        <v>0.99295520000000004</v>
      </c>
      <c r="Q601">
        <v>0.1127638</v>
      </c>
      <c r="R601">
        <v>-3.639966E-2</v>
      </c>
      <c r="S601">
        <v>3.0278320000000001</v>
      </c>
      <c r="T601">
        <v>-0.163461299999999</v>
      </c>
      <c r="U601">
        <v>-0.32785029999999998</v>
      </c>
      <c r="V601">
        <v>3.3417040000000002E-2</v>
      </c>
      <c r="W601">
        <v>0.12728429999999999</v>
      </c>
      <c r="X601">
        <v>0.99130320000000005</v>
      </c>
      <c r="Y601">
        <v>0.1045121</v>
      </c>
      <c r="Z601">
        <v>-2.6490400000000001E-3</v>
      </c>
      <c r="AA601">
        <v>0.99452010000000002</v>
      </c>
      <c r="AB601">
        <v>34</v>
      </c>
      <c r="AC601">
        <v>20.2394</v>
      </c>
      <c r="AD601">
        <v>-1.110406</v>
      </c>
      <c r="AE601">
        <v>-2.2262</v>
      </c>
      <c r="AF601">
        <v>2.1588795637862099</v>
      </c>
      <c r="AG601">
        <v>-1.110406</v>
      </c>
      <c r="AH601">
        <v>20.185972167647499</v>
      </c>
      <c r="AI601">
        <v>93.130779978697802</v>
      </c>
      <c r="AJ601">
        <v>83.895449659084406</v>
      </c>
      <c r="AK601">
        <v>20.331434647087999</v>
      </c>
      <c r="AL601">
        <v>82.687309663647298</v>
      </c>
      <c r="AM601">
        <v>88.069278307277898</v>
      </c>
      <c r="AN601">
        <v>1.0000000129595401</v>
      </c>
    </row>
    <row r="602" spans="1:40" x14ac:dyDescent="0.25">
      <c r="A602" t="str">
        <f>"20190312164230208"</f>
        <v>20190312164230208</v>
      </c>
      <c r="B602" t="str">
        <f>"1552380150204478"</f>
        <v>1552380150204478</v>
      </c>
      <c r="C602" t="s">
        <v>40</v>
      </c>
      <c r="D602">
        <v>4.3020990000000001</v>
      </c>
      <c r="E602">
        <v>0.53048439999999997</v>
      </c>
      <c r="F602" t="s">
        <v>43</v>
      </c>
      <c r="G602">
        <v>-284.81189999999998</v>
      </c>
      <c r="H602">
        <v>-0.05</v>
      </c>
      <c r="I602">
        <v>365.00819999999999</v>
      </c>
      <c r="J602">
        <v>-304.95949999999999</v>
      </c>
      <c r="K602">
        <v>1.060392</v>
      </c>
      <c r="L602">
        <v>367.23439999999999</v>
      </c>
      <c r="M602">
        <v>0.99988849999999996</v>
      </c>
      <c r="N602">
        <v>0</v>
      </c>
      <c r="O602">
        <v>-3.0078380000000001E-3</v>
      </c>
      <c r="P602">
        <v>0.99290610000000001</v>
      </c>
      <c r="Q602">
        <v>0.113137</v>
      </c>
      <c r="R602">
        <v>-3.6569900000000002E-2</v>
      </c>
      <c r="S602">
        <v>3.0278930000000002</v>
      </c>
      <c r="T602">
        <v>-0.16412160000000001</v>
      </c>
      <c r="U602">
        <v>-0.32919310000000002</v>
      </c>
      <c r="V602">
        <v>3.3587869999999999E-2</v>
      </c>
      <c r="W602">
        <v>0.1276456</v>
      </c>
      <c r="X602">
        <v>0.99125090000000005</v>
      </c>
      <c r="Y602">
        <v>0.10494439999999999</v>
      </c>
      <c r="Z602">
        <v>-2.6712989999999998E-3</v>
      </c>
      <c r="AA602">
        <v>0.99447450000000004</v>
      </c>
      <c r="AB602">
        <v>34</v>
      </c>
      <c r="AC602">
        <v>20.147600000000001</v>
      </c>
      <c r="AD602">
        <v>-1.110392</v>
      </c>
      <c r="AE602">
        <v>-2.2262</v>
      </c>
      <c r="AF602">
        <v>2.1591037074503499</v>
      </c>
      <c r="AG602">
        <v>-1.110392</v>
      </c>
      <c r="AH602">
        <v>20.093907982503701</v>
      </c>
      <c r="AI602">
        <v>93.144889248147393</v>
      </c>
      <c r="AJ602">
        <v>83.867061259910599</v>
      </c>
      <c r="AK602">
        <v>20.2400552672792</v>
      </c>
      <c r="AL602">
        <v>82.666437956198905</v>
      </c>
      <c r="AM602">
        <v>88.059313554394805</v>
      </c>
      <c r="AN602">
        <v>0.99999994548065196</v>
      </c>
    </row>
    <row r="603" spans="1:40" x14ac:dyDescent="0.25">
      <c r="A603" t="str">
        <f>"20190312164230222"</f>
        <v>20190312164230222</v>
      </c>
      <c r="B603" t="str">
        <f>"1552380150214239"</f>
        <v>1552380150214239</v>
      </c>
      <c r="C603" t="s">
        <v>40</v>
      </c>
      <c r="D603">
        <v>4.5309330000000001</v>
      </c>
      <c r="E603">
        <v>0.48438920000000002</v>
      </c>
      <c r="F603" t="s">
        <v>43</v>
      </c>
      <c r="G603">
        <v>-284.26440000000002</v>
      </c>
      <c r="H603">
        <v>-0.05</v>
      </c>
      <c r="I603">
        <v>364.9896</v>
      </c>
      <c r="J603">
        <v>-304.74549999999999</v>
      </c>
      <c r="K603">
        <v>1.0603849999999999</v>
      </c>
      <c r="L603">
        <v>367.23379999999997</v>
      </c>
      <c r="M603">
        <v>0.99988869999999996</v>
      </c>
      <c r="N603">
        <v>0</v>
      </c>
      <c r="O603">
        <v>-3.0077900000000002E-3</v>
      </c>
      <c r="P603">
        <v>0.99288489999999996</v>
      </c>
      <c r="Q603">
        <v>0.11337510000000001</v>
      </c>
      <c r="R603">
        <v>-3.6408879999999998E-2</v>
      </c>
      <c r="S603">
        <v>3.027863</v>
      </c>
      <c r="T603">
        <v>-0.16245950000000001</v>
      </c>
      <c r="U603">
        <v>-0.32843020000000001</v>
      </c>
      <c r="V603">
        <v>3.3426940000000002E-2</v>
      </c>
      <c r="W603">
        <v>0.12787689999999999</v>
      </c>
      <c r="X603">
        <v>0.99122659999999996</v>
      </c>
      <c r="Y603">
        <v>0.10470119999999999</v>
      </c>
      <c r="Z603">
        <v>-2.637847E-3</v>
      </c>
      <c r="AA603">
        <v>0.99450019999999995</v>
      </c>
      <c r="AB603">
        <v>34</v>
      </c>
      <c r="AC603">
        <v>20.481099999999898</v>
      </c>
      <c r="AD603">
        <v>-1.110385</v>
      </c>
      <c r="AE603">
        <v>-2.24419999999997</v>
      </c>
      <c r="AF603">
        <v>2.1762596787192101</v>
      </c>
      <c r="AG603">
        <v>-1.110385</v>
      </c>
      <c r="AH603">
        <v>20.428425698427901</v>
      </c>
      <c r="AI603">
        <v>93.093773113263197</v>
      </c>
      <c r="AJ603">
        <v>83.919160242241006</v>
      </c>
      <c r="AK603">
        <v>20.574003926159701</v>
      </c>
      <c r="AL603">
        <v>82.653076469156204</v>
      </c>
      <c r="AM603">
        <v>88.068557618981004</v>
      </c>
      <c r="AN603">
        <v>1.0000000172094601</v>
      </c>
    </row>
    <row r="604" spans="1:40" x14ac:dyDescent="0.25">
      <c r="A604" t="str">
        <f>"20190312164230243"</f>
        <v>20190312164230243</v>
      </c>
      <c r="B604" t="str">
        <f>"1552380150234733"</f>
        <v>1552380150234733</v>
      </c>
      <c r="C604" t="s">
        <v>40</v>
      </c>
      <c r="D604">
        <v>4.3922100000000004</v>
      </c>
      <c r="E604">
        <v>0.46092319999999998</v>
      </c>
      <c r="F604" t="s">
        <v>42</v>
      </c>
      <c r="G604">
        <v>-278.22370000000001</v>
      </c>
      <c r="H604" s="1">
        <v>-1.1363339999999999E-6</v>
      </c>
      <c r="I604">
        <v>367.565</v>
      </c>
      <c r="J604">
        <v>-304.43029999999999</v>
      </c>
      <c r="K604">
        <v>1.060373</v>
      </c>
      <c r="L604">
        <v>367.2328</v>
      </c>
      <c r="M604">
        <v>0.99988869999999996</v>
      </c>
      <c r="N604">
        <v>0</v>
      </c>
      <c r="O604">
        <v>-3.0079600000000001E-3</v>
      </c>
      <c r="P604">
        <v>0.99284649999999997</v>
      </c>
      <c r="Q604">
        <v>0.1138156</v>
      </c>
      <c r="R604">
        <v>-3.6075639999999999E-2</v>
      </c>
      <c r="S604">
        <v>3.036743</v>
      </c>
      <c r="T604">
        <v>-0.1214141</v>
      </c>
      <c r="U604">
        <v>3.7933349999999998E-2</v>
      </c>
      <c r="V604">
        <v>3.3093839999999999E-2</v>
      </c>
      <c r="W604">
        <v>0.12830730000000001</v>
      </c>
      <c r="X604">
        <v>0.99118209999999995</v>
      </c>
      <c r="Y604">
        <v>-1.54837E-2</v>
      </c>
      <c r="Z604">
        <v>4.2962030000000002E-4</v>
      </c>
      <c r="AA604">
        <v>0.99987999999999999</v>
      </c>
      <c r="AB604">
        <v>34</v>
      </c>
      <c r="AC604">
        <v>26.206599999999899</v>
      </c>
      <c r="AD604">
        <v>-1.060374136334</v>
      </c>
      <c r="AE604">
        <v>0.3322</v>
      </c>
      <c r="AF604">
        <v>-0.41036358738192502</v>
      </c>
      <c r="AG604">
        <v>-1.060374136334</v>
      </c>
      <c r="AH604">
        <v>26.1626559260108</v>
      </c>
      <c r="AI604">
        <v>92.320646215313801</v>
      </c>
      <c r="AJ604">
        <v>90.898615714283693</v>
      </c>
      <c r="AK604">
        <v>26.187351081880799</v>
      </c>
      <c r="AL604">
        <v>82.628211114476898</v>
      </c>
      <c r="AM604">
        <v>88.087704326371096</v>
      </c>
      <c r="AN604">
        <v>0.99999996041982198</v>
      </c>
    </row>
    <row r="605" spans="1:40" x14ac:dyDescent="0.25">
      <c r="A605" t="str">
        <f>"20190312164230264"</f>
        <v>20190312164230264</v>
      </c>
      <c r="B605" t="str">
        <f>"1552380150254255"</f>
        <v>1552380150254255</v>
      </c>
      <c r="C605" t="s">
        <v>40</v>
      </c>
      <c r="D605">
        <v>4.4847219999999997</v>
      </c>
      <c r="E605">
        <v>0.45102579999999998</v>
      </c>
      <c r="F605" t="s">
        <v>42</v>
      </c>
      <c r="G605">
        <v>-275.96820000000002</v>
      </c>
      <c r="H605" s="1">
        <v>-1.759292E-6</v>
      </c>
      <c r="I605">
        <v>369.3494</v>
      </c>
      <c r="J605">
        <v>-304.09980000000002</v>
      </c>
      <c r="K605">
        <v>1.0603689999999999</v>
      </c>
      <c r="L605">
        <v>367.23180000000002</v>
      </c>
      <c r="M605">
        <v>0.99988889999999997</v>
      </c>
      <c r="N605">
        <v>0</v>
      </c>
      <c r="O605">
        <v>-3.008012E-3</v>
      </c>
      <c r="P605">
        <v>0.99280939999999995</v>
      </c>
      <c r="Q605">
        <v>0.1142267</v>
      </c>
      <c r="R605">
        <v>-3.5802359999999998E-2</v>
      </c>
      <c r="S605">
        <v>3.0428470000000001</v>
      </c>
      <c r="T605">
        <v>-0.1133629</v>
      </c>
      <c r="U605">
        <v>0.22628780000000001</v>
      </c>
      <c r="V605">
        <v>3.2820429999999998E-2</v>
      </c>
      <c r="W605">
        <v>0.12870879999999901</v>
      </c>
      <c r="X605">
        <v>0.9911392</v>
      </c>
      <c r="Y605">
        <v>-7.7106800000000003E-2</v>
      </c>
      <c r="Z605">
        <v>1.545739E-3</v>
      </c>
      <c r="AA605">
        <v>0.99702159999999995</v>
      </c>
      <c r="AB605">
        <v>34</v>
      </c>
      <c r="AC605">
        <v>28.131599999999899</v>
      </c>
      <c r="AD605">
        <v>-1.060370759292</v>
      </c>
      <c r="AE605">
        <v>2.1175999999999799</v>
      </c>
      <c r="AF605">
        <v>-2.1991127779628998</v>
      </c>
      <c r="AG605">
        <v>-1.060370759292</v>
      </c>
      <c r="AH605">
        <v>28.085423898624001</v>
      </c>
      <c r="AI605">
        <v>92.155594910547194</v>
      </c>
      <c r="AJ605">
        <v>94.4771736987841</v>
      </c>
      <c r="AK605">
        <v>28.191337654016401</v>
      </c>
      <c r="AL605">
        <v>82.605015001325697</v>
      </c>
      <c r="AM605">
        <v>88.103409447095302</v>
      </c>
      <c r="AN605">
        <v>1.00000002479973</v>
      </c>
    </row>
    <row r="606" spans="1:40" x14ac:dyDescent="0.25">
      <c r="A606" t="str">
        <f>"20190312164230286"</f>
        <v>20190312164230286</v>
      </c>
      <c r="B606" t="str">
        <f>"1552380150274750"</f>
        <v>1552380150274750</v>
      </c>
      <c r="C606" t="s">
        <v>40</v>
      </c>
      <c r="D606">
        <v>4.3232589999999904</v>
      </c>
      <c r="E606">
        <v>0.44603090000000001</v>
      </c>
      <c r="F606" t="s">
        <v>42</v>
      </c>
      <c r="G606">
        <v>-279.49310000000003</v>
      </c>
      <c r="H606" s="1">
        <v>-2.2421439999999999E-7</v>
      </c>
      <c r="I606">
        <v>369.7081</v>
      </c>
      <c r="J606">
        <v>-303.78489999999999</v>
      </c>
      <c r="K606">
        <v>1.0603640000000001</v>
      </c>
      <c r="L606">
        <v>367.23079999999999</v>
      </c>
      <c r="M606">
        <v>0.99988909999999998</v>
      </c>
      <c r="N606">
        <v>0</v>
      </c>
      <c r="O606">
        <v>-3.00819E-3</v>
      </c>
      <c r="P606">
        <v>0.99278809999999995</v>
      </c>
      <c r="Q606">
        <v>0.1145139</v>
      </c>
      <c r="R606">
        <v>-3.5474720000000001E-2</v>
      </c>
      <c r="S606">
        <v>3.0479129999999999</v>
      </c>
      <c r="T606">
        <v>-0.13134219999999999</v>
      </c>
      <c r="U606">
        <v>0.30673220000000001</v>
      </c>
      <c r="V606">
        <v>3.2492890000000003E-2</v>
      </c>
      <c r="W606">
        <v>0.12898769999999901</v>
      </c>
      <c r="X606">
        <v>0.99111369999999999</v>
      </c>
      <c r="Y606">
        <v>-0.10302649999999999</v>
      </c>
      <c r="Z606">
        <v>2.3424869999999999E-3</v>
      </c>
      <c r="AA606">
        <v>0.99467589999999995</v>
      </c>
      <c r="AB606">
        <v>34</v>
      </c>
      <c r="AC606">
        <v>24.291799999999899</v>
      </c>
      <c r="AD606">
        <v>-1.06036422421439</v>
      </c>
      <c r="AE606">
        <v>2.4773000000000098</v>
      </c>
      <c r="AF606">
        <v>-2.54557045690545</v>
      </c>
      <c r="AG606">
        <v>-1.06036422421439</v>
      </c>
      <c r="AH606">
        <v>24.238527886307601</v>
      </c>
      <c r="AI606">
        <v>92.491240928036802</v>
      </c>
      <c r="AJ606">
        <v>95.995320492022202</v>
      </c>
      <c r="AK606">
        <v>24.3948874835359</v>
      </c>
      <c r="AL606">
        <v>82.588900631001906</v>
      </c>
      <c r="AM606">
        <v>88.122275072170197</v>
      </c>
      <c r="AN606">
        <v>0.99999999048976596</v>
      </c>
    </row>
    <row r="607" spans="1:40" x14ac:dyDescent="0.25">
      <c r="A607" t="str">
        <f>"20190312164230309"</f>
        <v>20190312164230309</v>
      </c>
      <c r="B607" t="str">
        <f>"1552380150304030"</f>
        <v>1552380150304030</v>
      </c>
      <c r="C607" t="s">
        <v>40</v>
      </c>
      <c r="D607">
        <v>4.4416869999999999</v>
      </c>
      <c r="E607">
        <v>0.44252200000000003</v>
      </c>
      <c r="F607" t="s">
        <v>43</v>
      </c>
      <c r="G607">
        <v>-279.38749999999999</v>
      </c>
      <c r="H607">
        <v>-0.05</v>
      </c>
      <c r="I607">
        <v>370.01389999999998</v>
      </c>
      <c r="J607">
        <v>-303.43090000000001</v>
      </c>
      <c r="K607">
        <v>1.0603590000000001</v>
      </c>
      <c r="L607">
        <v>367.22969999999998</v>
      </c>
      <c r="M607">
        <v>0.99988909999999998</v>
      </c>
      <c r="N607">
        <v>0</v>
      </c>
      <c r="O607">
        <v>-3.0081259999999999E-3</v>
      </c>
      <c r="P607">
        <v>0.99276719999999896</v>
      </c>
      <c r="Q607">
        <v>0.11467479999999999</v>
      </c>
      <c r="R607">
        <v>-3.5544909999999999E-2</v>
      </c>
      <c r="S607">
        <v>3.050262</v>
      </c>
      <c r="T607">
        <v>-0.13882169999999999</v>
      </c>
      <c r="U607">
        <v>0.34796139999999998</v>
      </c>
      <c r="V607">
        <v>3.2563000000000002E-2</v>
      </c>
      <c r="W607">
        <v>0.12913949999999999</v>
      </c>
      <c r="X607">
        <v>0.99109170000000002</v>
      </c>
      <c r="Y607">
        <v>-0.11620750000000001</v>
      </c>
      <c r="Z607">
        <v>2.7708979999999999E-3</v>
      </c>
      <c r="AA607">
        <v>0.99322109999999997</v>
      </c>
      <c r="AB607">
        <v>34</v>
      </c>
      <c r="AC607">
        <v>24.043399999999998</v>
      </c>
      <c r="AD607">
        <v>-1.1103590000000001</v>
      </c>
      <c r="AE607">
        <v>2.78419999999999</v>
      </c>
      <c r="AF607">
        <v>-2.8505217317753799</v>
      </c>
      <c r="AG607">
        <v>-1.1103590000000001</v>
      </c>
      <c r="AH607">
        <v>23.984439684349098</v>
      </c>
      <c r="AI607">
        <v>92.632116198802805</v>
      </c>
      <c r="AJ607">
        <v>96.777741670355795</v>
      </c>
      <c r="AK607">
        <v>24.178745174726998</v>
      </c>
      <c r="AL607">
        <v>82.580130283283196</v>
      </c>
      <c r="AM607">
        <v>88.118184668509301</v>
      </c>
      <c r="AN607">
        <v>1.0000000586190601</v>
      </c>
    </row>
    <row r="608" spans="1:40" x14ac:dyDescent="0.25">
      <c r="A608" t="str">
        <f>"20190312164230331"</f>
        <v>20190312164230331</v>
      </c>
      <c r="B608" t="str">
        <f>"1552380150324526"</f>
        <v>1552380150324526</v>
      </c>
      <c r="C608" t="s">
        <v>40</v>
      </c>
      <c r="D608">
        <v>4.3548150000000003</v>
      </c>
      <c r="E608">
        <v>0.44075910000000001</v>
      </c>
      <c r="F608" t="s">
        <v>43</v>
      </c>
      <c r="G608">
        <v>-280.24439999999998</v>
      </c>
      <c r="H608">
        <v>-0.05</v>
      </c>
      <c r="I608">
        <v>370.09249999999997</v>
      </c>
      <c r="J608">
        <v>-303.1046</v>
      </c>
      <c r="K608">
        <v>1.0603549999999999</v>
      </c>
      <c r="L608">
        <v>367.22879999999998</v>
      </c>
      <c r="M608">
        <v>0.99988929999999998</v>
      </c>
      <c r="N608">
        <v>0</v>
      </c>
      <c r="O608">
        <v>-3.0078309999999999E-3</v>
      </c>
      <c r="P608">
        <v>0.99278659999999996</v>
      </c>
      <c r="Q608">
        <v>0.1145268</v>
      </c>
      <c r="R608">
        <v>-3.5475619999999999E-2</v>
      </c>
      <c r="S608">
        <v>3.0522459999999998</v>
      </c>
      <c r="T608">
        <v>-0.146166299999999</v>
      </c>
      <c r="U608">
        <v>0.37686160000000002</v>
      </c>
      <c r="V608">
        <v>3.2493800000000003E-2</v>
      </c>
      <c r="W608">
        <v>0.12898389999999901</v>
      </c>
      <c r="X608">
        <v>0.9911141</v>
      </c>
      <c r="Y608">
        <v>-0.12537970000000001</v>
      </c>
      <c r="Z608">
        <v>3.132485E-3</v>
      </c>
      <c r="AA608">
        <v>0.99210390000000004</v>
      </c>
      <c r="AB608">
        <v>33</v>
      </c>
      <c r="AC608">
        <v>22.860199999999999</v>
      </c>
      <c r="AD608">
        <v>-1.110355</v>
      </c>
      <c r="AE608">
        <v>2.8636999999999899</v>
      </c>
      <c r="AF608">
        <v>-2.9256584070443998</v>
      </c>
      <c r="AG608">
        <v>-1.110355</v>
      </c>
      <c r="AH608">
        <v>22.798526984991501</v>
      </c>
      <c r="AI608">
        <v>92.765625846653094</v>
      </c>
      <c r="AJ608">
        <v>97.312609062742695</v>
      </c>
      <c r="AK608">
        <v>23.012283633445001</v>
      </c>
      <c r="AL608">
        <v>82.589119711117903</v>
      </c>
      <c r="AM608">
        <v>88.122223279317893</v>
      </c>
      <c r="AN608">
        <v>0.99999992635822699</v>
      </c>
    </row>
    <row r="609" spans="1:40" x14ac:dyDescent="0.25">
      <c r="A609" t="str">
        <f>"20190312164230352"</f>
        <v>20190312164230352</v>
      </c>
      <c r="B609" t="str">
        <f>"1552380150344046"</f>
        <v>1552380150344046</v>
      </c>
      <c r="C609" t="s">
        <v>40</v>
      </c>
      <c r="D609">
        <v>4.3241509999999996</v>
      </c>
      <c r="E609">
        <v>0.43987349999999997</v>
      </c>
      <c r="F609" t="s">
        <v>43</v>
      </c>
      <c r="G609">
        <v>-280.43270000000001</v>
      </c>
      <c r="H609">
        <v>-0.05</v>
      </c>
      <c r="I609">
        <v>370.1309</v>
      </c>
      <c r="J609">
        <v>-302.78190000000001</v>
      </c>
      <c r="K609">
        <v>1.060354</v>
      </c>
      <c r="L609">
        <v>367.2278</v>
      </c>
      <c r="M609">
        <v>0.99988940000000004</v>
      </c>
      <c r="N609">
        <v>0</v>
      </c>
      <c r="O609">
        <v>-3.008017E-3</v>
      </c>
      <c r="P609">
        <v>0.99279530000000005</v>
      </c>
      <c r="Q609">
        <v>0.1143102</v>
      </c>
      <c r="R609">
        <v>-3.5927519999999998E-2</v>
      </c>
      <c r="S609">
        <v>3.0530400000000002</v>
      </c>
      <c r="T609">
        <v>-0.14952219999999999</v>
      </c>
      <c r="U609">
        <v>0.39080809999999999</v>
      </c>
      <c r="V609">
        <v>3.2945670000000003E-2</v>
      </c>
      <c r="W609">
        <v>0.12876070000000001</v>
      </c>
      <c r="X609">
        <v>0.99112829999999996</v>
      </c>
      <c r="Y609">
        <v>-0.129797</v>
      </c>
      <c r="Z609">
        <v>3.3102629999999999E-3</v>
      </c>
      <c r="AA609">
        <v>0.9915351</v>
      </c>
      <c r="AB609">
        <v>33</v>
      </c>
      <c r="AC609">
        <v>22.3492</v>
      </c>
      <c r="AD609">
        <v>-1.1103540000000001</v>
      </c>
      <c r="AE609">
        <v>2.90309999999999</v>
      </c>
      <c r="AF609">
        <v>-2.9631282241799002</v>
      </c>
      <c r="AG609">
        <v>-1.1103540000000001</v>
      </c>
      <c r="AH609">
        <v>22.286268829240601</v>
      </c>
      <c r="AI609">
        <v>92.827410499500203</v>
      </c>
      <c r="AJ609">
        <v>97.573488931590106</v>
      </c>
      <c r="AK609">
        <v>22.509793273316198</v>
      </c>
      <c r="AL609">
        <v>82.602016371358701</v>
      </c>
      <c r="AM609">
        <v>88.096156610867794</v>
      </c>
      <c r="AN609">
        <v>1.00000002104856</v>
      </c>
    </row>
    <row r="610" spans="1:40" x14ac:dyDescent="0.25">
      <c r="A610" t="str">
        <f>"20190312164230374"</f>
        <v>20190312164230374</v>
      </c>
      <c r="B610" t="str">
        <f>"1552380150364542"</f>
        <v>1552380150364542</v>
      </c>
      <c r="C610" t="s">
        <v>40</v>
      </c>
      <c r="D610">
        <v>4.4541729999999999</v>
      </c>
      <c r="E610">
        <v>0.4394981</v>
      </c>
      <c r="F610" t="s">
        <v>43</v>
      </c>
      <c r="G610">
        <v>-281.17500000000001</v>
      </c>
      <c r="H610">
        <v>-0.05</v>
      </c>
      <c r="I610">
        <v>370.03320000000002</v>
      </c>
      <c r="J610">
        <v>-302.45780000000002</v>
      </c>
      <c r="K610">
        <v>1.060346</v>
      </c>
      <c r="L610">
        <v>367.22680000000003</v>
      </c>
      <c r="M610">
        <v>0.99988960000000005</v>
      </c>
      <c r="N610">
        <v>0</v>
      </c>
      <c r="O610">
        <v>-3.0079669999999998E-3</v>
      </c>
      <c r="P610">
        <v>0.99281710000000001</v>
      </c>
      <c r="Q610">
        <v>0.1142687</v>
      </c>
      <c r="R610">
        <v>-3.5456689999999999E-2</v>
      </c>
      <c r="S610">
        <v>3.0541689999999999</v>
      </c>
      <c r="T610">
        <v>-0.15695010000000001</v>
      </c>
      <c r="U610">
        <v>0.39654539999999999</v>
      </c>
      <c r="V610">
        <v>3.2474790000000003E-2</v>
      </c>
      <c r="W610">
        <v>0.12871250000000001</v>
      </c>
      <c r="X610">
        <v>0.99115010000000003</v>
      </c>
      <c r="Y610">
        <v>-0.13156470000000001</v>
      </c>
      <c r="Z610">
        <v>3.5180099999999998E-3</v>
      </c>
      <c r="AA610">
        <v>0.9913014</v>
      </c>
      <c r="AB610">
        <v>33</v>
      </c>
      <c r="AC610">
        <v>21.282800000000002</v>
      </c>
      <c r="AD610">
        <v>-1.1103459999999901</v>
      </c>
      <c r="AE610">
        <v>2.8063999999999898</v>
      </c>
      <c r="AF610">
        <v>-2.8627533130420999</v>
      </c>
      <c r="AG610">
        <v>-1.1103459999999901</v>
      </c>
      <c r="AH610">
        <v>21.217498049778001</v>
      </c>
      <c r="AI610">
        <v>92.968796091732401</v>
      </c>
      <c r="AJ610">
        <v>97.684180751516294</v>
      </c>
      <c r="AK610">
        <v>21.438527194361601</v>
      </c>
      <c r="AL610">
        <v>82.604801194517194</v>
      </c>
      <c r="AM610">
        <v>88.123389172988496</v>
      </c>
      <c r="AN610">
        <v>1.0000000201859001</v>
      </c>
    </row>
    <row r="611" spans="1:40" x14ac:dyDescent="0.25">
      <c r="A611" t="str">
        <f>"20190312164230397"</f>
        <v>20190312164230397</v>
      </c>
      <c r="B611" t="str">
        <f>"1552380150394800"</f>
        <v>1552380150394800</v>
      </c>
      <c r="C611" t="s">
        <v>40</v>
      </c>
      <c r="D611">
        <v>4.3714519999999997</v>
      </c>
      <c r="E611">
        <v>0.43908380000000002</v>
      </c>
      <c r="F611" t="s">
        <v>43</v>
      </c>
      <c r="G611">
        <v>-281.85750000000002</v>
      </c>
      <c r="H611">
        <v>-0.05</v>
      </c>
      <c r="I611">
        <v>369.93310000000002</v>
      </c>
      <c r="J611">
        <v>-302.1223</v>
      </c>
      <c r="K611">
        <v>1.060349</v>
      </c>
      <c r="L611">
        <v>367.22590000000002</v>
      </c>
      <c r="M611">
        <v>0.99988969999999999</v>
      </c>
      <c r="N611">
        <v>0</v>
      </c>
      <c r="O611">
        <v>-3.0079170000000001E-3</v>
      </c>
      <c r="P611">
        <v>0.99285619999999997</v>
      </c>
      <c r="Q611">
        <v>0.1138643</v>
      </c>
      <c r="R611">
        <v>-3.5662720000000002E-2</v>
      </c>
      <c r="S611">
        <v>3.0549930000000001</v>
      </c>
      <c r="T611">
        <v>-0.16466329999999901</v>
      </c>
      <c r="U611">
        <v>0.40133669999999999</v>
      </c>
      <c r="V611">
        <v>3.268074E-2</v>
      </c>
      <c r="W611">
        <v>0.128302</v>
      </c>
      <c r="X611">
        <v>0.99119650000000004</v>
      </c>
      <c r="Y611">
        <v>-0.1330395</v>
      </c>
      <c r="Z611">
        <v>3.7288450000000002E-3</v>
      </c>
      <c r="AA611">
        <v>0.99110370000000003</v>
      </c>
      <c r="AB611">
        <v>33</v>
      </c>
      <c r="AC611">
        <v>20.264799999999902</v>
      </c>
      <c r="AD611">
        <v>-1.110349</v>
      </c>
      <c r="AE611">
        <v>2.7071999999999998</v>
      </c>
      <c r="AF611">
        <v>-2.7600083227026602</v>
      </c>
      <c r="AG611">
        <v>-1.110349</v>
      </c>
      <c r="AH611">
        <v>20.196992884456002</v>
      </c>
      <c r="AI611">
        <v>93.117803673724694</v>
      </c>
      <c r="AJ611">
        <v>97.781521834653304</v>
      </c>
      <c r="AK611">
        <v>20.4149220527034</v>
      </c>
      <c r="AL611">
        <v>82.628517367554096</v>
      </c>
      <c r="AM611">
        <v>88.111584934341707</v>
      </c>
      <c r="AN611">
        <v>0.99999996779159805</v>
      </c>
    </row>
    <row r="612" spans="1:40" x14ac:dyDescent="0.25">
      <c r="A612" t="str">
        <f>"20190312164230410"</f>
        <v>20190312164230410</v>
      </c>
      <c r="B612" t="str">
        <f>"1552380150404558"</f>
        <v>1552380150404558</v>
      </c>
      <c r="C612" t="s">
        <v>40</v>
      </c>
      <c r="D612">
        <v>4.3897589999999997</v>
      </c>
      <c r="E612">
        <v>0.43893569999999998</v>
      </c>
      <c r="F612" t="s">
        <v>43</v>
      </c>
      <c r="G612">
        <v>-281.02999999999997</v>
      </c>
      <c r="H612">
        <v>-0.05</v>
      </c>
      <c r="I612">
        <v>370.01659999999998</v>
      </c>
      <c r="J612">
        <v>-301.92849999999999</v>
      </c>
      <c r="K612">
        <v>1.0603479999999901</v>
      </c>
      <c r="L612">
        <v>367.2253</v>
      </c>
      <c r="M612">
        <v>0.99988969999999999</v>
      </c>
      <c r="N612">
        <v>0</v>
      </c>
      <c r="O612">
        <v>-3.00789E-3</v>
      </c>
      <c r="P612">
        <v>0.992838</v>
      </c>
      <c r="Q612">
        <v>0.1141025</v>
      </c>
      <c r="R612">
        <v>-3.5405989999999998E-2</v>
      </c>
      <c r="S612">
        <v>3.0545040000000001</v>
      </c>
      <c r="T612">
        <v>-0.16079649999999901</v>
      </c>
      <c r="U612">
        <v>0.40414430000000001</v>
      </c>
      <c r="V612">
        <v>3.2424109999999999E-2</v>
      </c>
      <c r="W612">
        <v>0.12853609999999999</v>
      </c>
      <c r="X612">
        <v>0.99117460000000002</v>
      </c>
      <c r="Y612">
        <v>-0.133963</v>
      </c>
      <c r="Z612">
        <v>3.6659449999999999E-3</v>
      </c>
      <c r="AA612">
        <v>0.99097959999999996</v>
      </c>
      <c r="AB612">
        <v>33</v>
      </c>
      <c r="AC612">
        <v>20.898499999999999</v>
      </c>
      <c r="AD612">
        <v>-1.1103479999999999</v>
      </c>
      <c r="AE612">
        <v>2.7912999999999699</v>
      </c>
      <c r="AF612">
        <v>-2.8462606593168398</v>
      </c>
      <c r="AG612">
        <v>-1.1103479999999999</v>
      </c>
      <c r="AH612">
        <v>20.832233022268898</v>
      </c>
      <c r="AI612">
        <v>93.022919237427701</v>
      </c>
      <c r="AJ612">
        <v>97.780020577045207</v>
      </c>
      <c r="AK612">
        <v>21.055070769674199</v>
      </c>
      <c r="AL612">
        <v>82.614992453518894</v>
      </c>
      <c r="AM612">
        <v>88.126361994614001</v>
      </c>
      <c r="AN612">
        <v>0.99999996979882999</v>
      </c>
    </row>
    <row r="613" spans="1:40" x14ac:dyDescent="0.25">
      <c r="A613" t="str">
        <f>"20190312164230422"</f>
        <v>20190312164230422</v>
      </c>
      <c r="B613" t="str">
        <f>"1552380150414318"</f>
        <v>1552380150414318</v>
      </c>
      <c r="C613" t="s">
        <v>40</v>
      </c>
      <c r="D613">
        <v>4.340497</v>
      </c>
      <c r="E613">
        <v>0.43861030000000001</v>
      </c>
      <c r="F613" t="s">
        <v>43</v>
      </c>
      <c r="G613">
        <v>-280.47710000000001</v>
      </c>
      <c r="H613">
        <v>-0.05</v>
      </c>
      <c r="I613">
        <v>370.07530000000003</v>
      </c>
      <c r="J613">
        <v>-301.74759999999998</v>
      </c>
      <c r="K613">
        <v>1.0603479999999901</v>
      </c>
      <c r="L613">
        <v>367.22480000000002</v>
      </c>
      <c r="M613">
        <v>0.99988969999999999</v>
      </c>
      <c r="N613">
        <v>0</v>
      </c>
      <c r="O613">
        <v>-3.0079849999999999E-3</v>
      </c>
      <c r="P613">
        <v>0.99281799999999998</v>
      </c>
      <c r="Q613">
        <v>0.1142551</v>
      </c>
      <c r="R613">
        <v>-3.5469290000000001E-2</v>
      </c>
      <c r="S613">
        <v>3.0542910000000001</v>
      </c>
      <c r="T613">
        <v>-0.1580927</v>
      </c>
      <c r="U613">
        <v>0.40579219999999999</v>
      </c>
      <c r="V613">
        <v>3.2487589999999997E-2</v>
      </c>
      <c r="W613">
        <v>0.1286851</v>
      </c>
      <c r="X613">
        <v>0.99115319999999996</v>
      </c>
      <c r="Y613">
        <v>-0.13450299999999901</v>
      </c>
      <c r="Z613">
        <v>3.6184170000000001E-3</v>
      </c>
      <c r="AA613">
        <v>0.99090659999999997</v>
      </c>
      <c r="AB613">
        <v>33</v>
      </c>
      <c r="AC613">
        <v>21.270499999999899</v>
      </c>
      <c r="AD613">
        <v>-1.1103479999999999</v>
      </c>
      <c r="AE613">
        <v>2.85050000000001</v>
      </c>
      <c r="AF613">
        <v>-2.90669427933571</v>
      </c>
      <c r="AG613">
        <v>-1.1103479999999999</v>
      </c>
      <c r="AH613">
        <v>21.205064704497101</v>
      </c>
      <c r="AI613">
        <v>92.969687358495193</v>
      </c>
      <c r="AJ613">
        <v>97.805202886641197</v>
      </c>
      <c r="AK613">
        <v>21.4321373977617</v>
      </c>
      <c r="AL613">
        <v>82.606383981419199</v>
      </c>
      <c r="AM613">
        <v>88.1226558999969</v>
      </c>
      <c r="AN613">
        <v>0.99999998216812802</v>
      </c>
    </row>
    <row r="614" spans="1:40" x14ac:dyDescent="0.25">
      <c r="A614" t="str">
        <f>"20190312164230443"</f>
        <v>20190312164230443</v>
      </c>
      <c r="B614" t="str">
        <f>"1552380150434814"</f>
        <v>1552380150434814</v>
      </c>
      <c r="C614" t="s">
        <v>40</v>
      </c>
      <c r="D614">
        <v>4.3503189999999998</v>
      </c>
      <c r="E614">
        <v>0.43804470000000001</v>
      </c>
      <c r="F614" t="s">
        <v>43</v>
      </c>
      <c r="G614">
        <v>-280.22210000000001</v>
      </c>
      <c r="H614">
        <v>-0.05</v>
      </c>
      <c r="I614">
        <v>370.10239999999999</v>
      </c>
      <c r="J614">
        <v>-301.43709999999999</v>
      </c>
      <c r="K614">
        <v>1.0603499999999999</v>
      </c>
      <c r="L614">
        <v>367.22379999999998</v>
      </c>
      <c r="M614">
        <v>0.9998899</v>
      </c>
      <c r="N614">
        <v>0</v>
      </c>
      <c r="O614">
        <v>-3.0080630000000001E-3</v>
      </c>
      <c r="P614">
        <v>0.99284300000000003</v>
      </c>
      <c r="Q614">
        <v>0.11408649999999999</v>
      </c>
      <c r="R614">
        <v>-3.5321369999999998E-2</v>
      </c>
      <c r="S614">
        <v>3.0544129999999998</v>
      </c>
      <c r="T614">
        <v>-0.15755549999999999</v>
      </c>
      <c r="U614">
        <v>0.4083252</v>
      </c>
      <c r="V614">
        <v>3.233925E-2</v>
      </c>
      <c r="W614">
        <v>0.1285115</v>
      </c>
      <c r="X614">
        <v>0.99118059999999997</v>
      </c>
      <c r="Y614">
        <v>-0.1353055</v>
      </c>
      <c r="Z614">
        <v>3.6263939999999998E-3</v>
      </c>
      <c r="AA614">
        <v>0.99079729999999999</v>
      </c>
      <c r="AB614">
        <v>33</v>
      </c>
      <c r="AC614">
        <v>21.2149999999999</v>
      </c>
      <c r="AD614">
        <v>-1.1103499999999999</v>
      </c>
      <c r="AE614">
        <v>2.8786</v>
      </c>
      <c r="AF614">
        <v>-2.9345166751518699</v>
      </c>
      <c r="AG614">
        <v>-1.1103499999999999</v>
      </c>
      <c r="AH614">
        <v>21.149357753950799</v>
      </c>
      <c r="AI614">
        <v>92.976826424769897</v>
      </c>
      <c r="AJ614">
        <v>97.899470462283006</v>
      </c>
      <c r="AK614">
        <v>21.380823151689999</v>
      </c>
      <c r="AL614">
        <v>82.616413995305095</v>
      </c>
      <c r="AM614">
        <v>88.131273480749599</v>
      </c>
      <c r="AN614">
        <v>1.00000000726958</v>
      </c>
    </row>
    <row r="615" spans="1:40" x14ac:dyDescent="0.25">
      <c r="A615" t="str">
        <f>"20190312164230466"</f>
        <v>20190312164230466</v>
      </c>
      <c r="B615" t="str">
        <f>"1552380150454335"</f>
        <v>1552380150454335</v>
      </c>
      <c r="C615" t="s">
        <v>40</v>
      </c>
      <c r="D615">
        <v>4.3646279999999997</v>
      </c>
      <c r="E615">
        <v>0.43759559999999997</v>
      </c>
      <c r="F615" t="s">
        <v>43</v>
      </c>
      <c r="G615">
        <v>-280.154</v>
      </c>
      <c r="H615">
        <v>-0.05</v>
      </c>
      <c r="I615">
        <v>370.10219999999998</v>
      </c>
      <c r="J615">
        <v>-301.11250000000001</v>
      </c>
      <c r="K615">
        <v>1.060346</v>
      </c>
      <c r="L615">
        <v>367.22289999999998</v>
      </c>
      <c r="M615">
        <v>0.9998899</v>
      </c>
      <c r="N615">
        <v>0</v>
      </c>
      <c r="O615">
        <v>-3.0080229999999999E-3</v>
      </c>
      <c r="P615">
        <v>0.99282250000000005</v>
      </c>
      <c r="Q615">
        <v>0.11417389999999999</v>
      </c>
      <c r="R615">
        <v>-3.5605070000000003E-2</v>
      </c>
      <c r="S615">
        <v>3.0546259999999998</v>
      </c>
      <c r="T615">
        <v>-0.1593617</v>
      </c>
      <c r="U615">
        <v>0.4131165</v>
      </c>
      <c r="V615">
        <v>3.2623180000000002E-2</v>
      </c>
      <c r="W615">
        <v>0.12859329999999999</v>
      </c>
      <c r="X615">
        <v>0.99116070000000001</v>
      </c>
      <c r="Y615">
        <v>-0.13681660000000001</v>
      </c>
      <c r="Z615">
        <v>3.7064870000000001E-3</v>
      </c>
      <c r="AA615">
        <v>0.99058939999999995</v>
      </c>
      <c r="AB615">
        <v>33</v>
      </c>
      <c r="AC615">
        <v>20.958500000000001</v>
      </c>
      <c r="AD615">
        <v>-1.1103459999999901</v>
      </c>
      <c r="AE615">
        <v>2.8793000000000002</v>
      </c>
      <c r="AF615">
        <v>-2.9342542561787899</v>
      </c>
      <c r="AG615">
        <v>-1.1103459999999901</v>
      </c>
      <c r="AH615">
        <v>20.8921913047126</v>
      </c>
      <c r="AI615">
        <v>93.012692672946798</v>
      </c>
      <c r="AJ615">
        <v>97.994751035390905</v>
      </c>
      <c r="AK615">
        <v>21.126437792309599</v>
      </c>
      <c r="AL615">
        <v>82.611688089203199</v>
      </c>
      <c r="AM615">
        <v>88.114840525025102</v>
      </c>
      <c r="AN615">
        <v>1.00000002095134</v>
      </c>
    </row>
    <row r="616" spans="1:40" x14ac:dyDescent="0.25">
      <c r="A616" t="str">
        <f>"20190312164230487"</f>
        <v>20190312164230487</v>
      </c>
      <c r="B616" t="str">
        <f>"1552380150484590"</f>
        <v>1552380150484590</v>
      </c>
      <c r="C616" t="s">
        <v>40</v>
      </c>
      <c r="D616">
        <v>4.2813829999999999</v>
      </c>
      <c r="E616">
        <v>0.43691590000000002</v>
      </c>
      <c r="F616" t="s">
        <v>43</v>
      </c>
      <c r="G616">
        <v>-279.93189999999998</v>
      </c>
      <c r="H616">
        <v>-0.05</v>
      </c>
      <c r="I616">
        <v>370.10730000000001</v>
      </c>
      <c r="J616">
        <v>-300.79169999999999</v>
      </c>
      <c r="K616">
        <v>1.060344</v>
      </c>
      <c r="L616">
        <v>367.22190000000001</v>
      </c>
      <c r="M616">
        <v>0.9998899</v>
      </c>
      <c r="N616">
        <v>0</v>
      </c>
      <c r="O616">
        <v>-3.0079849999999999E-3</v>
      </c>
      <c r="P616">
        <v>0.99282029999999999</v>
      </c>
      <c r="Q616">
        <v>0.1141766</v>
      </c>
      <c r="R616">
        <v>-3.5659459999999997E-2</v>
      </c>
      <c r="S616">
        <v>3.0550229999999998</v>
      </c>
      <c r="T616">
        <v>-0.16015270000000001</v>
      </c>
      <c r="U616">
        <v>0.41604609999999898</v>
      </c>
      <c r="V616">
        <v>3.2677350000000001E-2</v>
      </c>
      <c r="W616">
        <v>0.1285905</v>
      </c>
      <c r="X616">
        <v>0.99115929999999997</v>
      </c>
      <c r="Y616">
        <v>-0.1377292</v>
      </c>
      <c r="Z616">
        <v>3.7479340000000001E-3</v>
      </c>
      <c r="AA616">
        <v>0.99046279999999998</v>
      </c>
      <c r="AB616">
        <v>33</v>
      </c>
      <c r="AC616">
        <v>20.8598</v>
      </c>
      <c r="AD616">
        <v>-1.110344</v>
      </c>
      <c r="AE616">
        <v>2.8854000000000002</v>
      </c>
      <c r="AF616">
        <v>-2.9399660711649198</v>
      </c>
      <c r="AG616">
        <v>-1.110344</v>
      </c>
      <c r="AH616">
        <v>20.793217780179599</v>
      </c>
      <c r="AI616">
        <v>93.026606980102997</v>
      </c>
      <c r="AJ616">
        <v>98.047740759255902</v>
      </c>
      <c r="AK616">
        <v>21.029364468569</v>
      </c>
      <c r="AL616">
        <v>82.611850016367299</v>
      </c>
      <c r="AM616">
        <v>88.111709862398897</v>
      </c>
      <c r="AN616">
        <v>1.00000004193488</v>
      </c>
    </row>
    <row r="617" spans="1:40" x14ac:dyDescent="0.25">
      <c r="A617" t="str">
        <f>"20190312164230509"</f>
        <v>20190312164230509</v>
      </c>
      <c r="B617" t="str">
        <f>"1552380150504110"</f>
        <v>1552380150504110</v>
      </c>
      <c r="C617" t="s">
        <v>40</v>
      </c>
      <c r="D617">
        <v>4.256335</v>
      </c>
      <c r="E617">
        <v>0.43654150000000003</v>
      </c>
      <c r="F617" t="s">
        <v>43</v>
      </c>
      <c r="G617">
        <v>-279.76659999999998</v>
      </c>
      <c r="H617">
        <v>-0.05</v>
      </c>
      <c r="I617">
        <v>370.12079999999997</v>
      </c>
      <c r="J617">
        <v>-300.45890000000003</v>
      </c>
      <c r="K617">
        <v>1.060344</v>
      </c>
      <c r="L617">
        <v>367.22089999999997</v>
      </c>
      <c r="M617">
        <v>0.9998901</v>
      </c>
      <c r="N617">
        <v>0</v>
      </c>
      <c r="O617">
        <v>-3.0081859999999999E-3</v>
      </c>
      <c r="P617">
        <v>0.99283719999999998</v>
      </c>
      <c r="Q617">
        <v>0.11403580000000001</v>
      </c>
      <c r="R617">
        <v>-3.5644429999999998E-2</v>
      </c>
      <c r="S617">
        <v>3.0553889999999999</v>
      </c>
      <c r="T617">
        <v>-0.16135669999999999</v>
      </c>
      <c r="U617">
        <v>0.42126459999999999</v>
      </c>
      <c r="V617">
        <v>3.2662190000000001E-2</v>
      </c>
      <c r="W617">
        <v>0.128444899999999</v>
      </c>
      <c r="X617">
        <v>0.99117860000000002</v>
      </c>
      <c r="Y617">
        <v>-0.13936879999999999</v>
      </c>
      <c r="Z617">
        <v>3.8182619999999998E-3</v>
      </c>
      <c r="AA617">
        <v>0.99023320000000004</v>
      </c>
      <c r="AB617">
        <v>33</v>
      </c>
      <c r="AC617">
        <v>20.692299999999999</v>
      </c>
      <c r="AD617">
        <v>-1.110344</v>
      </c>
      <c r="AE617">
        <v>2.8999000000000001</v>
      </c>
      <c r="AF617">
        <v>-2.95379846780836</v>
      </c>
      <c r="AG617">
        <v>-1.110344</v>
      </c>
      <c r="AH617">
        <v>20.625238219472301</v>
      </c>
      <c r="AI617">
        <v>93.050436480997504</v>
      </c>
      <c r="AJ617">
        <v>98.150072416671605</v>
      </c>
      <c r="AK617">
        <v>20.865240012919699</v>
      </c>
      <c r="AL617">
        <v>82.620261462614593</v>
      </c>
      <c r="AM617">
        <v>88.112621987630504</v>
      </c>
      <c r="AN617">
        <v>0.99999996404478197</v>
      </c>
    </row>
    <row r="618" spans="1:40" x14ac:dyDescent="0.25">
      <c r="A618" t="str">
        <f>"20190312164230522"</f>
        <v>20190312164230522</v>
      </c>
      <c r="B618" t="str">
        <f>"1552380150514846"</f>
        <v>1552380150514846</v>
      </c>
      <c r="C618" t="s">
        <v>40</v>
      </c>
      <c r="D618">
        <v>4.2628969999999997</v>
      </c>
      <c r="E618">
        <v>0.43631490000000001</v>
      </c>
      <c r="F618" t="s">
        <v>43</v>
      </c>
      <c r="G618">
        <v>-279.48520000000002</v>
      </c>
      <c r="H618">
        <v>-0.05</v>
      </c>
      <c r="I618">
        <v>370.13080000000002</v>
      </c>
      <c r="J618">
        <v>-300.25729999999999</v>
      </c>
      <c r="K618">
        <v>1.060343</v>
      </c>
      <c r="L618">
        <v>367.22030000000001</v>
      </c>
      <c r="M618">
        <v>0.9998901</v>
      </c>
      <c r="N618">
        <v>0</v>
      </c>
      <c r="O618">
        <v>-3.0082830000000001E-3</v>
      </c>
      <c r="P618">
        <v>0.99284329999999998</v>
      </c>
      <c r="Q618">
        <v>0.1139797</v>
      </c>
      <c r="R618">
        <v>-3.5656779999999999E-2</v>
      </c>
      <c r="S618">
        <v>3.0555110000000001</v>
      </c>
      <c r="T618">
        <v>-0.16175870000000001</v>
      </c>
      <c r="U618">
        <v>0.42391970000000001</v>
      </c>
      <c r="V618">
        <v>3.2674469999999997E-2</v>
      </c>
      <c r="W618">
        <v>0.12838579999999999</v>
      </c>
      <c r="X618">
        <v>0.99118589999999995</v>
      </c>
      <c r="Y618">
        <v>-0.14020569999999999</v>
      </c>
      <c r="Z618">
        <v>3.8494200000000001E-3</v>
      </c>
      <c r="AA618">
        <v>0.99011490000000002</v>
      </c>
      <c r="AB618">
        <v>33</v>
      </c>
      <c r="AC618">
        <v>20.772099999999899</v>
      </c>
      <c r="AD618">
        <v>-1.1103430000000001</v>
      </c>
      <c r="AE618">
        <v>2.9105000000000101</v>
      </c>
      <c r="AF618">
        <v>-2.9646739535354598</v>
      </c>
      <c r="AG618">
        <v>-1.1103430000000001</v>
      </c>
      <c r="AH618">
        <v>20.705227834877199</v>
      </c>
      <c r="AI618">
        <v>93.038683180340001</v>
      </c>
      <c r="AJ618">
        <v>98.148499541164298</v>
      </c>
      <c r="AK618">
        <v>20.9458495392904</v>
      </c>
      <c r="AL618">
        <v>82.623676265298499</v>
      </c>
      <c r="AM618">
        <v>88.111926799366103</v>
      </c>
      <c r="AN618">
        <v>1.00000001149511</v>
      </c>
    </row>
    <row r="619" spans="1:40" x14ac:dyDescent="0.25">
      <c r="A619" t="str">
        <f>"20190312164230542"</f>
        <v>20190312164230542</v>
      </c>
      <c r="B619" t="str">
        <f>"1552380150534370"</f>
        <v>1552380150534370</v>
      </c>
      <c r="C619" t="s">
        <v>40</v>
      </c>
      <c r="D619">
        <v>4.2233289999999997</v>
      </c>
      <c r="E619">
        <v>0.43596570000000001</v>
      </c>
      <c r="F619" t="s">
        <v>43</v>
      </c>
      <c r="G619">
        <v>-279.21839999999997</v>
      </c>
      <c r="H619">
        <v>-0.05</v>
      </c>
      <c r="I619">
        <v>370.14940000000001</v>
      </c>
      <c r="J619">
        <v>-299.9701</v>
      </c>
      <c r="K619">
        <v>1.0603419999999999</v>
      </c>
      <c r="L619">
        <v>367.21949999999998</v>
      </c>
      <c r="M619">
        <v>0.99988999999999995</v>
      </c>
      <c r="N619">
        <v>0</v>
      </c>
      <c r="O619">
        <v>-3.0081330000000001E-3</v>
      </c>
      <c r="P619">
        <v>0.99284190000000005</v>
      </c>
      <c r="Q619">
        <v>0.1140525</v>
      </c>
      <c r="R619">
        <v>-3.5454479999999997E-2</v>
      </c>
      <c r="S619">
        <v>3.0554199999999998</v>
      </c>
      <c r="T619">
        <v>-0.16125200000000001</v>
      </c>
      <c r="U619">
        <v>0.4253845</v>
      </c>
      <c r="V619">
        <v>3.2472380000000002E-2</v>
      </c>
      <c r="W619">
        <v>0.12845429999999999</v>
      </c>
      <c r="X619">
        <v>0.99118360000000005</v>
      </c>
      <c r="Y619">
        <v>-0.14067579999999999</v>
      </c>
      <c r="Z619">
        <v>3.8496979999999999E-3</v>
      </c>
      <c r="AA619">
        <v>0.99004820000000004</v>
      </c>
      <c r="AB619">
        <v>33</v>
      </c>
      <c r="AC619">
        <v>20.7517</v>
      </c>
      <c r="AD619">
        <v>-1.1103419999999999</v>
      </c>
      <c r="AE619">
        <v>2.9299000000000301</v>
      </c>
      <c r="AF619">
        <v>-2.98394143749519</v>
      </c>
      <c r="AG619">
        <v>-1.1103419999999999</v>
      </c>
      <c r="AH619">
        <v>20.6847307130964</v>
      </c>
      <c r="AI619">
        <v>93.041227081687097</v>
      </c>
      <c r="AJ619">
        <v>98.208754463852102</v>
      </c>
      <c r="AK619">
        <v>20.9283265105617</v>
      </c>
      <c r="AL619">
        <v>82.619718247871504</v>
      </c>
      <c r="AM619">
        <v>88.123591714966395</v>
      </c>
      <c r="AN619">
        <v>0.99999994578015505</v>
      </c>
    </row>
    <row r="620" spans="1:40" x14ac:dyDescent="0.25">
      <c r="A620" t="str">
        <f>"20190312164230564"</f>
        <v>20190312164230564</v>
      </c>
      <c r="B620" t="str">
        <f>"1552380150554862"</f>
        <v>1552380150554862</v>
      </c>
      <c r="C620" t="s">
        <v>40</v>
      </c>
      <c r="D620">
        <v>4.1951340000000004</v>
      </c>
      <c r="E620">
        <v>0.43571090000000001</v>
      </c>
      <c r="F620" t="s">
        <v>42</v>
      </c>
      <c r="G620">
        <v>-279.79079999999999</v>
      </c>
      <c r="H620" s="1">
        <v>-1.880269E-7</v>
      </c>
      <c r="I620">
        <v>370.05200000000002</v>
      </c>
      <c r="J620">
        <v>-299.64339999999999</v>
      </c>
      <c r="K620">
        <v>1.0603400000000001</v>
      </c>
      <c r="L620">
        <v>367.21839999999997</v>
      </c>
      <c r="M620">
        <v>0.99989019999999995</v>
      </c>
      <c r="N620">
        <v>0</v>
      </c>
      <c r="O620">
        <v>-3.008218E-3</v>
      </c>
      <c r="P620">
        <v>0.99285409999999996</v>
      </c>
      <c r="Q620">
        <v>0.11415119999999999</v>
      </c>
      <c r="R620">
        <v>-3.4790399999999999E-2</v>
      </c>
      <c r="S620">
        <v>3.0554199999999998</v>
      </c>
      <c r="T620">
        <v>-0.1605492</v>
      </c>
      <c r="U620">
        <v>0.428894</v>
      </c>
      <c r="V620">
        <v>3.1808210000000003E-2</v>
      </c>
      <c r="W620">
        <v>0.12854889999999999</v>
      </c>
      <c r="X620">
        <v>0.99119290000000004</v>
      </c>
      <c r="Y620">
        <v>-0.14179149999999999</v>
      </c>
      <c r="Z620">
        <v>3.8617920000000002E-3</v>
      </c>
      <c r="AA620">
        <v>0.98988900000000002</v>
      </c>
      <c r="AB620">
        <v>33</v>
      </c>
      <c r="AC620">
        <v>19.852599999999899</v>
      </c>
      <c r="AD620">
        <v>-1.0603401880268899</v>
      </c>
      <c r="AE620">
        <v>2.8335999999999899</v>
      </c>
      <c r="AF620">
        <v>-2.8852480060630201</v>
      </c>
      <c r="AG620">
        <v>-1.0603401880268899</v>
      </c>
      <c r="AH620">
        <v>19.7886611962433</v>
      </c>
      <c r="AI620">
        <v>93.035128579746498</v>
      </c>
      <c r="AJ620">
        <v>98.295448392845003</v>
      </c>
      <c r="AK620">
        <v>20.025985351800799</v>
      </c>
      <c r="AL620">
        <v>82.614252959662494</v>
      </c>
      <c r="AM620">
        <v>88.161961244322995</v>
      </c>
      <c r="AN620">
        <v>0.99999997346251102</v>
      </c>
    </row>
    <row r="621" spans="1:40" x14ac:dyDescent="0.25">
      <c r="A621" t="str">
        <f>"20190312164230587"</f>
        <v>20190312164230587</v>
      </c>
      <c r="B621" t="str">
        <f>"1552380150584143"</f>
        <v>1552380150584143</v>
      </c>
      <c r="C621" t="s">
        <v>40</v>
      </c>
      <c r="D621">
        <v>4.1865940000000004</v>
      </c>
      <c r="E621">
        <v>0.43563059999999998</v>
      </c>
      <c r="F621" t="s">
        <v>42</v>
      </c>
      <c r="G621">
        <v>-279.36660000000001</v>
      </c>
      <c r="H621" s="1">
        <v>-3.796586E-7</v>
      </c>
      <c r="I621">
        <v>370.0883</v>
      </c>
      <c r="J621">
        <v>-299.31650000000002</v>
      </c>
      <c r="K621">
        <v>1.0603389999999999</v>
      </c>
      <c r="L621">
        <v>367.21749999999997</v>
      </c>
      <c r="M621">
        <v>0.99989039999999996</v>
      </c>
      <c r="N621">
        <v>0</v>
      </c>
      <c r="O621">
        <v>-3.008185E-3</v>
      </c>
      <c r="P621">
        <v>0.99286260000000004</v>
      </c>
      <c r="Q621">
        <v>0.114131</v>
      </c>
      <c r="R621">
        <v>-3.4616029999999999E-2</v>
      </c>
      <c r="S621">
        <v>3.0551149999999998</v>
      </c>
      <c r="T621">
        <v>-0.15976070000000001</v>
      </c>
      <c r="U621">
        <v>0.4324036</v>
      </c>
      <c r="V621">
        <v>3.163382E-2</v>
      </c>
      <c r="W621">
        <v>0.1285239</v>
      </c>
      <c r="X621">
        <v>0.99120180000000002</v>
      </c>
      <c r="Y621">
        <v>-0.1429203</v>
      </c>
      <c r="Z621">
        <v>3.872272E-3</v>
      </c>
      <c r="AA621">
        <v>0.98972660000000001</v>
      </c>
      <c r="AB621">
        <v>33</v>
      </c>
      <c r="AC621">
        <v>19.9499</v>
      </c>
      <c r="AD621">
        <v>-1.06033937965859</v>
      </c>
      <c r="AE621">
        <v>2.8708000000000302</v>
      </c>
      <c r="AF621">
        <v>-2.9227173217651399</v>
      </c>
      <c r="AG621">
        <v>-1.06033937965859</v>
      </c>
      <c r="AH621">
        <v>19.886135563744201</v>
      </c>
      <c r="AI621">
        <v>93.019771578565297</v>
      </c>
      <c r="AJ621">
        <v>98.361051170043993</v>
      </c>
      <c r="AK621">
        <v>20.127716805505099</v>
      </c>
      <c r="AL621">
        <v>82.615697903031602</v>
      </c>
      <c r="AM621">
        <v>88.172047924445295</v>
      </c>
      <c r="AN621">
        <v>1.0000000498811199</v>
      </c>
    </row>
    <row r="622" spans="1:40" x14ac:dyDescent="0.25">
      <c r="A622" t="str">
        <f>"20190312164230610"</f>
        <v>20190312164230610</v>
      </c>
      <c r="B622" t="str">
        <f>"1552380150604638"</f>
        <v>1552380150604638</v>
      </c>
      <c r="C622" t="s">
        <v>40</v>
      </c>
      <c r="D622">
        <v>4.4572079999999996</v>
      </c>
      <c r="E622">
        <v>0.4811859</v>
      </c>
      <c r="F622" t="s">
        <v>42</v>
      </c>
      <c r="G622">
        <v>-278.9871</v>
      </c>
      <c r="H622" s="1">
        <v>-5.468385E-7</v>
      </c>
      <c r="I622">
        <v>370.10480000000001</v>
      </c>
      <c r="J622">
        <v>-298.97269999999997</v>
      </c>
      <c r="K622">
        <v>1.0603400000000001</v>
      </c>
      <c r="L622">
        <v>367.21640000000002</v>
      </c>
      <c r="M622">
        <v>0.99989030000000001</v>
      </c>
      <c r="N622">
        <v>0</v>
      </c>
      <c r="O622">
        <v>-3.008152E-3</v>
      </c>
      <c r="P622">
        <v>0.99291189999999996</v>
      </c>
      <c r="Q622">
        <v>0.1137374</v>
      </c>
      <c r="R622">
        <v>-3.4494950000000003E-2</v>
      </c>
      <c r="S622">
        <v>3.0550540000000002</v>
      </c>
      <c r="T622">
        <v>-0.1593446</v>
      </c>
      <c r="U622">
        <v>0.43389889999999998</v>
      </c>
      <c r="V622">
        <v>3.1512579999999998E-2</v>
      </c>
      <c r="W622">
        <v>0.12812660000000001</v>
      </c>
      <c r="X622">
        <v>0.9912571</v>
      </c>
      <c r="Y622">
        <v>-0.14339830000000001</v>
      </c>
      <c r="Z622">
        <v>3.8745379999999999E-3</v>
      </c>
      <c r="AA622">
        <v>0.98965749999999997</v>
      </c>
      <c r="AB622">
        <v>33</v>
      </c>
      <c r="AC622">
        <v>19.985599999999899</v>
      </c>
      <c r="AD622">
        <v>-1.0603405468385001</v>
      </c>
      <c r="AE622">
        <v>2.8883999999999901</v>
      </c>
      <c r="AF622">
        <v>-2.9404054962563499</v>
      </c>
      <c r="AG622">
        <v>-1.0603405468385001</v>
      </c>
      <c r="AH622">
        <v>19.921889954956601</v>
      </c>
      <c r="AI622">
        <v>93.014094536986093</v>
      </c>
      <c r="AJ622">
        <v>98.396050256875697</v>
      </c>
      <c r="AK622">
        <v>20.165614444769201</v>
      </c>
      <c r="AL622">
        <v>82.638651316121894</v>
      </c>
      <c r="AM622">
        <v>88.179150539044201</v>
      </c>
      <c r="AN622">
        <v>1.0000000533131099</v>
      </c>
    </row>
    <row r="623" spans="1:40" x14ac:dyDescent="0.25">
      <c r="A623" t="str">
        <f>"20190312164230633"</f>
        <v>20190312164230633</v>
      </c>
      <c r="B623" t="str">
        <f>"1552380150624158"</f>
        <v>1552380150624158</v>
      </c>
      <c r="C623" t="s">
        <v>40</v>
      </c>
      <c r="D623">
        <v>4.1066830000000003</v>
      </c>
      <c r="E623">
        <v>0.4970928</v>
      </c>
      <c r="F623" t="s">
        <v>43</v>
      </c>
      <c r="G623">
        <v>-281.12290000000002</v>
      </c>
      <c r="H623">
        <v>-0.05</v>
      </c>
      <c r="I623">
        <v>367.63749999999999</v>
      </c>
      <c r="J623">
        <v>-298.63490000000002</v>
      </c>
      <c r="K623">
        <v>1.0603370000000001</v>
      </c>
      <c r="L623">
        <v>367.21539999999999</v>
      </c>
      <c r="M623">
        <v>0.99989030000000001</v>
      </c>
      <c r="N623">
        <v>0</v>
      </c>
      <c r="O623">
        <v>-3.00812E-3</v>
      </c>
      <c r="P623">
        <v>0.99290659999999997</v>
      </c>
      <c r="Q623">
        <v>0.11367240000000001</v>
      </c>
      <c r="R623">
        <v>-3.4861660000000003E-2</v>
      </c>
      <c r="S623">
        <v>3.0455930000000002</v>
      </c>
      <c r="T623">
        <v>-0.1894506</v>
      </c>
      <c r="U623">
        <v>7.1838379999999993E-2</v>
      </c>
      <c r="V623">
        <v>3.1879320000000003E-2</v>
      </c>
      <c r="W623">
        <v>0.12805710000000001</v>
      </c>
      <c r="X623">
        <v>0.99125430000000003</v>
      </c>
      <c r="Y623">
        <v>-2.6531519999999999E-2</v>
      </c>
      <c r="Z623">
        <v>1.0112179999999999E-3</v>
      </c>
      <c r="AA623">
        <v>0.99964739999999996</v>
      </c>
      <c r="AB623">
        <v>33</v>
      </c>
      <c r="AC623">
        <v>17.512</v>
      </c>
      <c r="AD623">
        <v>-1.1103369999999999</v>
      </c>
      <c r="AE623">
        <v>0.42209999999999998</v>
      </c>
      <c r="AF623">
        <v>-0.47288189405966502</v>
      </c>
      <c r="AG623">
        <v>-1.1103369999999999</v>
      </c>
      <c r="AH623">
        <v>17.440578526523598</v>
      </c>
      <c r="AI623">
        <v>93.641427671522493</v>
      </c>
      <c r="AJ623">
        <v>91.553130825836604</v>
      </c>
      <c r="AK623">
        <v>17.482283743239499</v>
      </c>
      <c r="AL623">
        <v>82.642666050524696</v>
      </c>
      <c r="AM623">
        <v>88.157969005027198</v>
      </c>
      <c r="AN623">
        <v>0.99999999958628105</v>
      </c>
    </row>
    <row r="624" spans="1:40" x14ac:dyDescent="0.25">
      <c r="A624" t="str">
        <f>"20190312164230654"</f>
        <v>20190312164230654</v>
      </c>
      <c r="B624" t="str">
        <f>"1552380150644655"</f>
        <v>1552380150644655</v>
      </c>
      <c r="C624" t="s">
        <v>40</v>
      </c>
      <c r="D624">
        <v>4.1347870000000002</v>
      </c>
      <c r="E624">
        <v>0.56612839999999998</v>
      </c>
      <c r="F624" t="s">
        <v>43</v>
      </c>
      <c r="G624">
        <v>-281.6223</v>
      </c>
      <c r="H624">
        <v>-0.05</v>
      </c>
      <c r="I624">
        <v>366.904</v>
      </c>
      <c r="J624">
        <v>-298.3236</v>
      </c>
      <c r="K624">
        <v>1.060338</v>
      </c>
      <c r="L624">
        <v>367.21449999999999</v>
      </c>
      <c r="M624">
        <v>0.99989039999999996</v>
      </c>
      <c r="N624">
        <v>0</v>
      </c>
      <c r="O624">
        <v>-3.008092E-3</v>
      </c>
      <c r="P624">
        <v>0.99289119999999997</v>
      </c>
      <c r="Q624">
        <v>0.1135685</v>
      </c>
      <c r="R624">
        <v>-3.5628E-2</v>
      </c>
      <c r="S624">
        <v>3.0422060000000002</v>
      </c>
      <c r="T624">
        <v>-0.1985517</v>
      </c>
      <c r="U624">
        <v>-5.569458E-2</v>
      </c>
      <c r="V624">
        <v>3.2645639999999997E-2</v>
      </c>
      <c r="W624">
        <v>0.12794929999999999</v>
      </c>
      <c r="X624">
        <v>0.99124330000000005</v>
      </c>
      <c r="Y624">
        <v>1.527017E-2</v>
      </c>
      <c r="Z624">
        <v>-3.0161890000000001E-4</v>
      </c>
      <c r="AA624">
        <v>0.99988339999999998</v>
      </c>
      <c r="AB624">
        <v>33</v>
      </c>
      <c r="AC624">
        <v>16.7013</v>
      </c>
      <c r="AD624">
        <v>-1.1103379999999901</v>
      </c>
      <c r="AE624">
        <v>-0.31049999999999001</v>
      </c>
      <c r="AF624">
        <v>0.25910943330001901</v>
      </c>
      <c r="AG624">
        <v>-1.1103379999999901</v>
      </c>
      <c r="AH624">
        <v>16.6286872312231</v>
      </c>
      <c r="AI624">
        <v>93.819645965654203</v>
      </c>
      <c r="AJ624">
        <v>89.107285175472896</v>
      </c>
      <c r="AK624">
        <v>16.6677301156009</v>
      </c>
      <c r="AL624">
        <v>82.6488939207794</v>
      </c>
      <c r="AM624">
        <v>88.113700675656105</v>
      </c>
      <c r="AN624">
        <v>1.00000002048819</v>
      </c>
    </row>
    <row r="625" spans="1:40" x14ac:dyDescent="0.25">
      <c r="A625" t="str">
        <f>"20190312164230676"</f>
        <v>20190312164230676</v>
      </c>
      <c r="B625" t="str">
        <f>"1552380150664174"</f>
        <v>1552380150664174</v>
      </c>
      <c r="C625" t="s">
        <v>40</v>
      </c>
      <c r="D625">
        <v>4.0818089999999998</v>
      </c>
      <c r="E625">
        <v>0.56530760000000002</v>
      </c>
      <c r="F625" t="s">
        <v>43</v>
      </c>
      <c r="G625">
        <v>-283.96780000000001</v>
      </c>
      <c r="H625">
        <v>-0.05</v>
      </c>
      <c r="I625">
        <v>364.33260000000001</v>
      </c>
      <c r="J625">
        <v>-298.00099999999998</v>
      </c>
      <c r="K625">
        <v>1.0603400000000001</v>
      </c>
      <c r="L625">
        <v>367.21350000000001</v>
      </c>
      <c r="M625">
        <v>0.99989059999999996</v>
      </c>
      <c r="N625">
        <v>0</v>
      </c>
      <c r="O625">
        <v>-3.0083010000000001E-3</v>
      </c>
      <c r="P625">
        <v>0.99289680000000002</v>
      </c>
      <c r="Q625">
        <v>0.1133381</v>
      </c>
      <c r="R625">
        <v>-3.6202659999999998E-2</v>
      </c>
      <c r="S625">
        <v>3.026459</v>
      </c>
      <c r="T625">
        <v>-0.23407800000000001</v>
      </c>
      <c r="U625">
        <v>-0.60754390000000003</v>
      </c>
      <c r="V625">
        <v>3.322021E-2</v>
      </c>
      <c r="W625">
        <v>0.12771469999999999</v>
      </c>
      <c r="X625">
        <v>0.99125439999999998</v>
      </c>
      <c r="Y625">
        <v>0.19332070000000001</v>
      </c>
      <c r="Z625">
        <v>-7.1614829999999997E-3</v>
      </c>
      <c r="AA625">
        <v>0.98110949999999997</v>
      </c>
      <c r="AB625">
        <v>33</v>
      </c>
      <c r="AC625">
        <v>14.0331999999999</v>
      </c>
      <c r="AD625">
        <v>-1.1103399999999899</v>
      </c>
      <c r="AE625">
        <v>-2.8808999999999898</v>
      </c>
      <c r="AF625">
        <v>2.8217158935617199</v>
      </c>
      <c r="AG625">
        <v>-1.1103399999999899</v>
      </c>
      <c r="AH625">
        <v>13.957956080424401</v>
      </c>
      <c r="AI625">
        <v>94.458422007062296</v>
      </c>
      <c r="AJ625">
        <v>78.571214831091496</v>
      </c>
      <c r="AK625">
        <v>14.283538547665099</v>
      </c>
      <c r="AL625">
        <v>82.662446225566697</v>
      </c>
      <c r="AM625">
        <v>88.080547516574697</v>
      </c>
      <c r="AN625">
        <v>0.999999956233946</v>
      </c>
    </row>
    <row r="626" spans="1:40" x14ac:dyDescent="0.25">
      <c r="A626" t="str">
        <f>"20190312164230699"</f>
        <v>20190312164230699</v>
      </c>
      <c r="B626" t="str">
        <f>"1552380150694430"</f>
        <v>1552380150694430</v>
      </c>
      <c r="C626" t="s">
        <v>40</v>
      </c>
      <c r="D626">
        <v>4.0741829999999997</v>
      </c>
      <c r="E626">
        <v>0.56323979999999996</v>
      </c>
      <c r="F626" t="s">
        <v>43</v>
      </c>
      <c r="G626">
        <v>-284.62630000000001</v>
      </c>
      <c r="H626">
        <v>-0.05</v>
      </c>
      <c r="I626">
        <v>364.55489999999998</v>
      </c>
      <c r="J626">
        <v>-297.66989999999998</v>
      </c>
      <c r="K626">
        <v>1.060346</v>
      </c>
      <c r="L626">
        <v>367.21249999999998</v>
      </c>
      <c r="M626">
        <v>0.99989059999999996</v>
      </c>
      <c r="N626">
        <v>0</v>
      </c>
      <c r="O626">
        <v>-3.0082720000000002E-3</v>
      </c>
      <c r="P626">
        <v>0.99281699999999995</v>
      </c>
      <c r="Q626">
        <v>0.1138245</v>
      </c>
      <c r="R626">
        <v>-3.6860240000000002E-2</v>
      </c>
      <c r="S626">
        <v>3.0281980000000002</v>
      </c>
      <c r="T626">
        <v>-0.25139420000000001</v>
      </c>
      <c r="U626">
        <v>-0.60192869999999998</v>
      </c>
      <c r="V626">
        <v>3.387805E-2</v>
      </c>
      <c r="W626">
        <v>0.12819610000000001</v>
      </c>
      <c r="X626">
        <v>0.99117</v>
      </c>
      <c r="Y626">
        <v>0.19138520000000001</v>
      </c>
      <c r="Z626">
        <v>-7.607188E-3</v>
      </c>
      <c r="AA626">
        <v>0.98148550000000001</v>
      </c>
      <c r="AB626">
        <v>33</v>
      </c>
      <c r="AC626">
        <v>13.0435999999999</v>
      </c>
      <c r="AD626">
        <v>-1.1103459999999901</v>
      </c>
      <c r="AE626">
        <v>-2.6576</v>
      </c>
      <c r="AF626">
        <v>2.6002537361492601</v>
      </c>
      <c r="AG626">
        <v>-1.1103459999999901</v>
      </c>
      <c r="AH626">
        <v>12.9613571570974</v>
      </c>
      <c r="AI626">
        <v>94.801137493857993</v>
      </c>
      <c r="AJ626">
        <v>78.656142855677999</v>
      </c>
      <c r="AK626">
        <v>13.266158716294401</v>
      </c>
      <c r="AL626">
        <v>82.634635498373697</v>
      </c>
      <c r="AM626">
        <v>88.042400476617303</v>
      </c>
      <c r="AN626">
        <v>0.99999996561350502</v>
      </c>
    </row>
    <row r="627" spans="1:40" x14ac:dyDescent="0.25">
      <c r="A627" t="str">
        <f>"20190312164230722"</f>
        <v>20190312164230722</v>
      </c>
      <c r="B627" t="str">
        <f>"1552380150714926"</f>
        <v>1552380150714926</v>
      </c>
      <c r="C627" t="s">
        <v>40</v>
      </c>
      <c r="D627">
        <v>4.1010460000000002</v>
      </c>
      <c r="E627">
        <v>0.56281719999999902</v>
      </c>
      <c r="F627" t="s">
        <v>43</v>
      </c>
      <c r="G627">
        <v>-283.83440000000002</v>
      </c>
      <c r="H627">
        <v>-0.05</v>
      </c>
      <c r="I627">
        <v>364.52719999999999</v>
      </c>
      <c r="J627">
        <v>-297.3383</v>
      </c>
      <c r="K627">
        <v>1.0603479999999901</v>
      </c>
      <c r="L627">
        <v>367.2115</v>
      </c>
      <c r="M627">
        <v>0.99989059999999996</v>
      </c>
      <c r="N627">
        <v>0</v>
      </c>
      <c r="O627">
        <v>-3.0083639999999999E-3</v>
      </c>
      <c r="P627">
        <v>0.99283679999999996</v>
      </c>
      <c r="Q627">
        <v>0.1132976</v>
      </c>
      <c r="R627">
        <v>-3.7933639999999998E-2</v>
      </c>
      <c r="S627">
        <v>3.0277099999999999</v>
      </c>
      <c r="T627">
        <v>-0.24298349999999999</v>
      </c>
      <c r="U627">
        <v>-0.58764649999999996</v>
      </c>
      <c r="V627">
        <v>3.4951299999999998E-2</v>
      </c>
      <c r="W627">
        <v>0.12766549999999999</v>
      </c>
      <c r="X627">
        <v>0.99120129999999995</v>
      </c>
      <c r="Y627">
        <v>0.18700929999999999</v>
      </c>
      <c r="Z627">
        <v>-7.1842399999999997E-3</v>
      </c>
      <c r="AA627">
        <v>0.98233190000000004</v>
      </c>
      <c r="AB627">
        <v>33</v>
      </c>
      <c r="AC627">
        <v>13.5038999999999</v>
      </c>
      <c r="AD627">
        <v>-1.1103479999999999</v>
      </c>
      <c r="AE627">
        <v>-2.6842999999999999</v>
      </c>
      <c r="AF627">
        <v>2.6265761166061199</v>
      </c>
      <c r="AG627">
        <v>-1.1103479999999999</v>
      </c>
      <c r="AH627">
        <v>13.424603626791001</v>
      </c>
      <c r="AI627">
        <v>94.640575420081603</v>
      </c>
      <c r="AJ627">
        <v>78.929701919755701</v>
      </c>
      <c r="AK627">
        <v>13.724130475694199</v>
      </c>
      <c r="AL627">
        <v>82.665289100187195</v>
      </c>
      <c r="AM627">
        <v>87.980498394136603</v>
      </c>
      <c r="AN627">
        <v>1.0000000451918101</v>
      </c>
    </row>
    <row r="628" spans="1:40" x14ac:dyDescent="0.25">
      <c r="A628" t="str">
        <f>"20190312164230743"</f>
        <v>20190312164230743</v>
      </c>
      <c r="B628" t="str">
        <f>"1552380150734446"</f>
        <v>1552380150734446</v>
      </c>
      <c r="C628" t="s">
        <v>40</v>
      </c>
      <c r="D628">
        <v>4.0738529999999997</v>
      </c>
      <c r="E628">
        <v>0.56238469999999996</v>
      </c>
      <c r="F628" t="s">
        <v>43</v>
      </c>
      <c r="G628">
        <v>-283.98399999999998</v>
      </c>
      <c r="H628">
        <v>-0.05</v>
      </c>
      <c r="I628">
        <v>364.62329999999997</v>
      </c>
      <c r="J628">
        <v>-297.0256</v>
      </c>
      <c r="K628">
        <v>1.060344</v>
      </c>
      <c r="L628">
        <v>367.2106</v>
      </c>
      <c r="M628">
        <v>0.99989070000000002</v>
      </c>
      <c r="N628">
        <v>0</v>
      </c>
      <c r="O628">
        <v>-3.008218E-3</v>
      </c>
      <c r="P628">
        <v>0.99279130000000004</v>
      </c>
      <c r="Q628">
        <v>0.11354939999999999</v>
      </c>
      <c r="R628">
        <v>-3.8370109999999999E-2</v>
      </c>
      <c r="S628">
        <v>3.0279539999999998</v>
      </c>
      <c r="T628">
        <v>-0.25176189999999998</v>
      </c>
      <c r="U628">
        <v>-0.58685299999999996</v>
      </c>
      <c r="V628">
        <v>3.5387969999999998E-2</v>
      </c>
      <c r="W628">
        <v>0.12791330000000001</v>
      </c>
      <c r="X628">
        <v>0.99115379999999997</v>
      </c>
      <c r="Y628">
        <v>0.18670580000000001</v>
      </c>
      <c r="Z628">
        <v>-7.4300640000000001E-3</v>
      </c>
      <c r="AA628">
        <v>0.98238780000000003</v>
      </c>
      <c r="AB628">
        <v>33</v>
      </c>
      <c r="AC628">
        <v>13.041599999999899</v>
      </c>
      <c r="AD628">
        <v>-1.110344</v>
      </c>
      <c r="AE628">
        <v>-2.5873000000000199</v>
      </c>
      <c r="AF628">
        <v>2.5304049046733401</v>
      </c>
      <c r="AG628">
        <v>-1.110344</v>
      </c>
      <c r="AH628">
        <v>12.958947944901</v>
      </c>
      <c r="AI628">
        <v>94.806892794168405</v>
      </c>
      <c r="AJ628">
        <v>78.951267037111506</v>
      </c>
      <c r="AK628">
        <v>13.2502884730327</v>
      </c>
      <c r="AL628">
        <v>82.650973417828794</v>
      </c>
      <c r="AM628">
        <v>87.955190785206298</v>
      </c>
      <c r="AN628">
        <v>0.99999998799602496</v>
      </c>
    </row>
    <row r="629" spans="1:40" x14ac:dyDescent="0.25">
      <c r="A629" t="str">
        <f>"20190312164230765"</f>
        <v>20190312164230765</v>
      </c>
      <c r="B629" t="str">
        <f>"1552380150754943"</f>
        <v>1552380150754943</v>
      </c>
      <c r="C629" t="s">
        <v>40</v>
      </c>
      <c r="D629">
        <v>4.0922769999999904</v>
      </c>
      <c r="E629">
        <v>0.56185889999999905</v>
      </c>
      <c r="F629" t="s">
        <v>43</v>
      </c>
      <c r="G629">
        <v>-283.99979999999999</v>
      </c>
      <c r="H629">
        <v>-0.05</v>
      </c>
      <c r="I629">
        <v>364.69740000000002</v>
      </c>
      <c r="J629">
        <v>-296.69889999999998</v>
      </c>
      <c r="K629">
        <v>1.060351</v>
      </c>
      <c r="L629">
        <v>367.20960000000002</v>
      </c>
      <c r="M629">
        <v>0.99989070000000002</v>
      </c>
      <c r="N629">
        <v>0</v>
      </c>
      <c r="O629">
        <v>-3.0083100000000002E-3</v>
      </c>
      <c r="P629">
        <v>0.99279720000000005</v>
      </c>
      <c r="Q629">
        <v>0.113159</v>
      </c>
      <c r="R629">
        <v>-3.935611E-2</v>
      </c>
      <c r="S629">
        <v>3.0287480000000002</v>
      </c>
      <c r="T629">
        <v>-0.2581754</v>
      </c>
      <c r="U629">
        <v>-0.58435059999999905</v>
      </c>
      <c r="V629">
        <v>3.637394E-2</v>
      </c>
      <c r="W629">
        <v>0.1275194</v>
      </c>
      <c r="X629">
        <v>0.99116890000000002</v>
      </c>
      <c r="Y629">
        <v>0.18584690000000001</v>
      </c>
      <c r="Z629">
        <v>-7.5811000000000003E-3</v>
      </c>
      <c r="AA629">
        <v>0.98254949999999996</v>
      </c>
      <c r="AB629">
        <v>33</v>
      </c>
      <c r="AC629">
        <v>12.6990999999999</v>
      </c>
      <c r="AD629">
        <v>-1.1103510000000001</v>
      </c>
      <c r="AE629">
        <v>-2.5122</v>
      </c>
      <c r="AF629">
        <v>2.45591355535276</v>
      </c>
      <c r="AG629">
        <v>-1.1103510000000001</v>
      </c>
      <c r="AH629">
        <v>12.6138006204226</v>
      </c>
      <c r="AI629">
        <v>94.938330811071395</v>
      </c>
      <c r="AJ629">
        <v>78.982322231650699</v>
      </c>
      <c r="AK629">
        <v>12.898540879740599</v>
      </c>
      <c r="AL629">
        <v>82.673728843509906</v>
      </c>
      <c r="AM629">
        <v>87.898301258435097</v>
      </c>
      <c r="AN629">
        <v>1.0000000246073399</v>
      </c>
    </row>
    <row r="630" spans="1:40" x14ac:dyDescent="0.25">
      <c r="A630" t="str">
        <f>"20190312164230789"</f>
        <v>20190312164230789</v>
      </c>
      <c r="B630" t="str">
        <f>"1552380150784222"</f>
        <v>1552380150784222</v>
      </c>
      <c r="C630" t="s">
        <v>40</v>
      </c>
      <c r="D630">
        <v>4.2821280000000002</v>
      </c>
      <c r="E630">
        <v>0.56184789999999996</v>
      </c>
      <c r="F630" t="s">
        <v>43</v>
      </c>
      <c r="G630">
        <v>-283.82229999999998</v>
      </c>
      <c r="H630">
        <v>-0.05</v>
      </c>
      <c r="I630">
        <v>364.73</v>
      </c>
      <c r="J630">
        <v>-296.36759999999998</v>
      </c>
      <c r="K630">
        <v>1.060354</v>
      </c>
      <c r="L630">
        <v>367.20859999999999</v>
      </c>
      <c r="M630">
        <v>0.99989070000000002</v>
      </c>
      <c r="N630">
        <v>0</v>
      </c>
      <c r="O630">
        <v>-3.0082830000000001E-3</v>
      </c>
      <c r="P630">
        <v>0.99280880000000005</v>
      </c>
      <c r="Q630">
        <v>0.1127148</v>
      </c>
      <c r="R630">
        <v>-4.0328799999999998E-2</v>
      </c>
      <c r="S630">
        <v>3.0284119999999999</v>
      </c>
      <c r="T630">
        <v>-0.26114179999999998</v>
      </c>
      <c r="U630">
        <v>-0.58316040000000002</v>
      </c>
      <c r="V630">
        <v>3.7346329999999997E-2</v>
      </c>
      <c r="W630">
        <v>0.12707199999999999</v>
      </c>
      <c r="X630">
        <v>0.99119020000000002</v>
      </c>
      <c r="Y630">
        <v>0.18548120000000001</v>
      </c>
      <c r="Z630">
        <v>-7.6534169999999896E-3</v>
      </c>
      <c r="AA630">
        <v>0.98261799999999999</v>
      </c>
      <c r="AB630">
        <v>33</v>
      </c>
      <c r="AC630">
        <v>12.5452999999999</v>
      </c>
      <c r="AD630">
        <v>-1.1103540000000001</v>
      </c>
      <c r="AE630">
        <v>-2.4785999999999699</v>
      </c>
      <c r="AF630">
        <v>2.4225804647204399</v>
      </c>
      <c r="AG630">
        <v>-1.1103540000000001</v>
      </c>
      <c r="AH630">
        <v>12.458769983896101</v>
      </c>
      <c r="AI630">
        <v>94.999720475888296</v>
      </c>
      <c r="AJ630">
        <v>78.996273669007195</v>
      </c>
      <c r="AK630">
        <v>12.740593848992701</v>
      </c>
      <c r="AL630">
        <v>82.699573241769201</v>
      </c>
      <c r="AM630">
        <v>87.842214978835699</v>
      </c>
      <c r="AN630">
        <v>1.00000002706225</v>
      </c>
    </row>
    <row r="631" spans="1:40" x14ac:dyDescent="0.25">
      <c r="A631" t="str">
        <f>"20190312164230811"</f>
        <v>20190312164230811</v>
      </c>
      <c r="B631" t="str">
        <f>"1552380150804718"</f>
        <v>1552380150804718</v>
      </c>
      <c r="C631" t="s">
        <v>40</v>
      </c>
      <c r="D631">
        <v>4.0800269999999896</v>
      </c>
      <c r="E631">
        <v>0.56199779999999999</v>
      </c>
      <c r="F631" t="s">
        <v>43</v>
      </c>
      <c r="G631">
        <v>-283.71289999999999</v>
      </c>
      <c r="H631">
        <v>-0.05</v>
      </c>
      <c r="I631">
        <v>364.75970000000001</v>
      </c>
      <c r="J631">
        <v>-296.03559999999999</v>
      </c>
      <c r="K631">
        <v>1.0603549999999999</v>
      </c>
      <c r="L631">
        <v>367.20749999999998</v>
      </c>
      <c r="M631">
        <v>0.99989090000000003</v>
      </c>
      <c r="N631">
        <v>0</v>
      </c>
      <c r="O631">
        <v>-3.008256E-3</v>
      </c>
      <c r="P631">
        <v>0.99276070000000005</v>
      </c>
      <c r="Q631">
        <v>0.1127195</v>
      </c>
      <c r="R631">
        <v>-4.1481289999999997E-2</v>
      </c>
      <c r="S631">
        <v>3.028076</v>
      </c>
      <c r="T631">
        <v>-0.2656908</v>
      </c>
      <c r="U631">
        <v>-0.58596800000000004</v>
      </c>
      <c r="V631">
        <v>3.849926E-2</v>
      </c>
      <c r="W631">
        <v>0.12707199999999999</v>
      </c>
      <c r="X631">
        <v>0.99114610000000003</v>
      </c>
      <c r="Y631">
        <v>0.18635360000000001</v>
      </c>
      <c r="Z631">
        <v>-7.8242639999999992E-3</v>
      </c>
      <c r="AA631">
        <v>0.98245159999999998</v>
      </c>
      <c r="AB631">
        <v>33</v>
      </c>
      <c r="AC631">
        <v>12.3226999999999</v>
      </c>
      <c r="AD631">
        <v>-1.110355</v>
      </c>
      <c r="AE631">
        <v>-2.4477999999999702</v>
      </c>
      <c r="AF631">
        <v>2.39203113184618</v>
      </c>
      <c r="AG631">
        <v>-1.110355</v>
      </c>
      <c r="AH631">
        <v>12.2344457545606</v>
      </c>
      <c r="AI631">
        <v>95.089903671048603</v>
      </c>
      <c r="AJ631">
        <v>78.937306576731302</v>
      </c>
      <c r="AK631">
        <v>12.5154450213739</v>
      </c>
      <c r="AL631">
        <v>82.699573328476106</v>
      </c>
      <c r="AM631">
        <v>87.775568376503102</v>
      </c>
      <c r="AN631">
        <v>1.00000003887487</v>
      </c>
    </row>
    <row r="632" spans="1:40" x14ac:dyDescent="0.25">
      <c r="A632" t="str">
        <f>"20190312164230833"</f>
        <v>20190312164230833</v>
      </c>
      <c r="B632" t="str">
        <f>"1552380150824238"</f>
        <v>1552380150824238</v>
      </c>
      <c r="C632" t="s">
        <v>40</v>
      </c>
      <c r="D632">
        <v>4.1290300000000002</v>
      </c>
      <c r="E632">
        <v>0.56233230000000001</v>
      </c>
      <c r="F632" t="s">
        <v>43</v>
      </c>
      <c r="G632">
        <v>-283.53089999999997</v>
      </c>
      <c r="H632">
        <v>-0.05</v>
      </c>
      <c r="I632">
        <v>364.76670000000001</v>
      </c>
      <c r="J632">
        <v>-295.71730000000002</v>
      </c>
      <c r="K632">
        <v>1.060354</v>
      </c>
      <c r="L632">
        <v>367.20659999999998</v>
      </c>
      <c r="M632">
        <v>0.99989070000000002</v>
      </c>
      <c r="N632">
        <v>0</v>
      </c>
      <c r="O632">
        <v>-3.00811E-3</v>
      </c>
      <c r="P632">
        <v>0.99265329999999996</v>
      </c>
      <c r="Q632">
        <v>0.11325399999999999</v>
      </c>
      <c r="R632">
        <v>-4.2579350000000002E-2</v>
      </c>
      <c r="S632">
        <v>3.0277099999999999</v>
      </c>
      <c r="T632">
        <v>-0.26884570000000002</v>
      </c>
      <c r="U632">
        <v>-0.59097290000000002</v>
      </c>
      <c r="V632">
        <v>3.9597729999999998E-2</v>
      </c>
      <c r="W632">
        <v>0.1276012</v>
      </c>
      <c r="X632">
        <v>0.99103479999999999</v>
      </c>
      <c r="Y632">
        <v>0.18791849999999999</v>
      </c>
      <c r="Z632">
        <v>-7.9852389999999999E-3</v>
      </c>
      <c r="AA632">
        <v>0.98215220000000003</v>
      </c>
      <c r="AB632">
        <v>33</v>
      </c>
      <c r="AC632">
        <v>12.186400000000001</v>
      </c>
      <c r="AD632">
        <v>-1.1103540000000001</v>
      </c>
      <c r="AE632">
        <v>-2.4398999999999602</v>
      </c>
      <c r="AF632">
        <v>2.3841968179122999</v>
      </c>
      <c r="AG632">
        <v>-1.1103540000000001</v>
      </c>
      <c r="AH632">
        <v>12.097127819941599</v>
      </c>
      <c r="AI632">
        <v>95.145846572007699</v>
      </c>
      <c r="AJ632">
        <v>78.850593886265898</v>
      </c>
      <c r="AK632">
        <v>12.37973270971</v>
      </c>
      <c r="AL632">
        <v>82.6690033432467</v>
      </c>
      <c r="AM632">
        <v>87.711910208390606</v>
      </c>
      <c r="AN632">
        <v>1.0000000106368101</v>
      </c>
    </row>
    <row r="633" spans="1:40" x14ac:dyDescent="0.25">
      <c r="A633" t="str">
        <f>"20190312164230856"</f>
        <v>20190312164230856</v>
      </c>
      <c r="B633" t="str">
        <f>"1552380150844735"</f>
        <v>1552380150844735</v>
      </c>
      <c r="C633" t="s">
        <v>40</v>
      </c>
      <c r="D633">
        <v>4.2703410000000002</v>
      </c>
      <c r="E633">
        <v>0.56247219999999998</v>
      </c>
      <c r="F633" t="s">
        <v>43</v>
      </c>
      <c r="G633">
        <v>-283.28899999999999</v>
      </c>
      <c r="H633">
        <v>-0.05</v>
      </c>
      <c r="I633">
        <v>364.75670000000002</v>
      </c>
      <c r="J633">
        <v>-295.39420000000001</v>
      </c>
      <c r="K633">
        <v>1.0603549999999999</v>
      </c>
      <c r="L633">
        <v>367.2056</v>
      </c>
      <c r="M633">
        <v>0.99989099999999997</v>
      </c>
      <c r="N633">
        <v>0</v>
      </c>
      <c r="O633">
        <v>-3.008204E-3</v>
      </c>
      <c r="P633">
        <v>0.99262340000000004</v>
      </c>
      <c r="Q633">
        <v>0.1129159</v>
      </c>
      <c r="R633">
        <v>-4.4148659999999999E-2</v>
      </c>
      <c r="S633">
        <v>3.027466</v>
      </c>
      <c r="T633">
        <v>-0.27047510000000002</v>
      </c>
      <c r="U633">
        <v>-0.59677119999999995</v>
      </c>
      <c r="V633">
        <v>4.1167049999999997E-2</v>
      </c>
      <c r="W633">
        <v>0.12725919999999999</v>
      </c>
      <c r="X633">
        <v>0.99101479999999997</v>
      </c>
      <c r="Y633">
        <v>0.18972910000000001</v>
      </c>
      <c r="Z633">
        <v>-8.1125729999999997E-3</v>
      </c>
      <c r="AA633">
        <v>0.98180290000000003</v>
      </c>
      <c r="AB633">
        <v>32</v>
      </c>
      <c r="AC633">
        <v>12.1052</v>
      </c>
      <c r="AD633">
        <v>-1.110355</v>
      </c>
      <c r="AE633">
        <v>-2.4488999999999801</v>
      </c>
      <c r="AF633">
        <v>2.39312711712348</v>
      </c>
      <c r="AG633">
        <v>-1.110355</v>
      </c>
      <c r="AH633">
        <v>12.015395161083999</v>
      </c>
      <c r="AI633">
        <v>95.1786185081193</v>
      </c>
      <c r="AJ633">
        <v>78.735705566070294</v>
      </c>
      <c r="AK633">
        <v>12.301612353742</v>
      </c>
      <c r="AL633">
        <v>82.688759350278801</v>
      </c>
      <c r="AM633">
        <v>87.621283857091797</v>
      </c>
      <c r="AN633">
        <v>0.99999998190469097</v>
      </c>
    </row>
    <row r="634" spans="1:40" x14ac:dyDescent="0.25">
      <c r="A634" t="str">
        <f>"20190312164230878"</f>
        <v>20190312164230878</v>
      </c>
      <c r="B634" t="str">
        <f>"1552380150874014"</f>
        <v>1552380150874014</v>
      </c>
      <c r="C634" t="s">
        <v>40</v>
      </c>
      <c r="D634">
        <v>4.4819969999999998</v>
      </c>
      <c r="E634">
        <v>0.5628552</v>
      </c>
      <c r="F634" t="s">
        <v>43</v>
      </c>
      <c r="G634">
        <v>-283.02100000000002</v>
      </c>
      <c r="H634">
        <v>-0.05</v>
      </c>
      <c r="I634">
        <v>364.74380000000002</v>
      </c>
      <c r="J634">
        <v>-295.06790000000001</v>
      </c>
      <c r="K634">
        <v>1.0603479999999901</v>
      </c>
      <c r="L634">
        <v>367.20460000000003</v>
      </c>
      <c r="M634">
        <v>0.99989119999999998</v>
      </c>
      <c r="N634">
        <v>0</v>
      </c>
      <c r="O634">
        <v>-3.0082970000000001E-3</v>
      </c>
      <c r="P634">
        <v>0.99261809999999995</v>
      </c>
      <c r="Q634">
        <v>0.1124725</v>
      </c>
      <c r="R634">
        <v>-4.5383689999999997E-2</v>
      </c>
      <c r="S634">
        <v>3.0264280000000001</v>
      </c>
      <c r="T634">
        <v>-0.27158769999999999</v>
      </c>
      <c r="U634">
        <v>-0.60214230000000002</v>
      </c>
      <c r="V634">
        <v>4.240178E-2</v>
      </c>
      <c r="W634">
        <v>0.12681229999999999</v>
      </c>
      <c r="X634">
        <v>0.99102000000000001</v>
      </c>
      <c r="Y634">
        <v>0.1914566</v>
      </c>
      <c r="Z634">
        <v>-8.2237609999999996E-3</v>
      </c>
      <c r="AA634">
        <v>0.98146670000000003</v>
      </c>
      <c r="AB634">
        <v>32</v>
      </c>
      <c r="AC634">
        <v>12.046900000000001</v>
      </c>
      <c r="AD634">
        <v>-1.1103479999999999</v>
      </c>
      <c r="AE634">
        <v>-2.4607999999999999</v>
      </c>
      <c r="AF634">
        <v>2.4049326408036702</v>
      </c>
      <c r="AG634">
        <v>-1.1103479999999999</v>
      </c>
      <c r="AH634">
        <v>11.9567439882826</v>
      </c>
      <c r="AI634">
        <v>95.201893290923707</v>
      </c>
      <c r="AJ634">
        <v>78.627492076911906</v>
      </c>
      <c r="AK634">
        <v>12.2466444583502</v>
      </c>
      <c r="AL634">
        <v>82.714573787169201</v>
      </c>
      <c r="AM634">
        <v>87.550037149420504</v>
      </c>
      <c r="AN634">
        <v>0.99999995538922803</v>
      </c>
    </row>
    <row r="635" spans="1:40" x14ac:dyDescent="0.25">
      <c r="A635" t="str">
        <f>"20190312164230900"</f>
        <v>20190312164230900</v>
      </c>
      <c r="B635" t="str">
        <f>"1552380150894510"</f>
        <v>1552380150894510</v>
      </c>
      <c r="C635" t="s">
        <v>40</v>
      </c>
      <c r="D635">
        <v>4.1817919999999997</v>
      </c>
      <c r="E635">
        <v>0.56289409999999995</v>
      </c>
      <c r="F635" t="s">
        <v>43</v>
      </c>
      <c r="G635">
        <v>-282.59809999999999</v>
      </c>
      <c r="H635">
        <v>-0.05</v>
      </c>
      <c r="I635">
        <v>364.69170000000003</v>
      </c>
      <c r="J635">
        <v>-294.74299999999999</v>
      </c>
      <c r="K635">
        <v>1.0603499999999999</v>
      </c>
      <c r="L635">
        <v>367.20359999999999</v>
      </c>
      <c r="M635">
        <v>0.99989119999999998</v>
      </c>
      <c r="N635">
        <v>0</v>
      </c>
      <c r="O635">
        <v>-3.0082709999999999E-3</v>
      </c>
      <c r="P635">
        <v>0.9925889</v>
      </c>
      <c r="Q635">
        <v>0.1122329</v>
      </c>
      <c r="R635">
        <v>-4.6598630000000002E-2</v>
      </c>
      <c r="S635">
        <v>3.0249329999999999</v>
      </c>
      <c r="T635">
        <v>-0.26934920000000001</v>
      </c>
      <c r="U635">
        <v>-0.60955809999999999</v>
      </c>
      <c r="V635">
        <v>4.3616889999999998E-2</v>
      </c>
      <c r="W635">
        <v>0.12656869999999901</v>
      </c>
      <c r="X635">
        <v>0.99099839999999995</v>
      </c>
      <c r="Y635">
        <v>0.1938647</v>
      </c>
      <c r="Z635">
        <v>-8.2641880000000004E-3</v>
      </c>
      <c r="AA635">
        <v>0.98099340000000002</v>
      </c>
      <c r="AB635">
        <v>32</v>
      </c>
      <c r="AC635">
        <v>12.1449</v>
      </c>
      <c r="AD635">
        <v>-1.1103499999999999</v>
      </c>
      <c r="AE635">
        <v>-2.5118999999999598</v>
      </c>
      <c r="AF635">
        <v>2.45566584731402</v>
      </c>
      <c r="AG635">
        <v>-1.1103499999999999</v>
      </c>
      <c r="AH635">
        <v>12.055767165335199</v>
      </c>
      <c r="AI635">
        <v>95.156857055237595</v>
      </c>
      <c r="AJ635">
        <v>78.486801164997402</v>
      </c>
      <c r="AK635">
        <v>12.353327236859601</v>
      </c>
      <c r="AL635">
        <v>82.728644368956694</v>
      </c>
      <c r="AM635">
        <v>87.479862835794705</v>
      </c>
      <c r="AN635">
        <v>0.999999948857759</v>
      </c>
    </row>
    <row r="636" spans="1:40" x14ac:dyDescent="0.25">
      <c r="A636" t="str">
        <f>"20190312164230922"</f>
        <v>20190312164230922</v>
      </c>
      <c r="B636" t="str">
        <f>"1552380150914034"</f>
        <v>1552380150914034</v>
      </c>
      <c r="C636" t="s">
        <v>40</v>
      </c>
      <c r="D636">
        <v>4.4981619999999998</v>
      </c>
      <c r="E636">
        <v>0.56289369999999905</v>
      </c>
      <c r="F636" t="s">
        <v>43</v>
      </c>
      <c r="G636">
        <v>-282.44110000000001</v>
      </c>
      <c r="H636">
        <v>-0.05</v>
      </c>
      <c r="I636">
        <v>364.70940000000002</v>
      </c>
      <c r="J636">
        <v>-294.42910000000001</v>
      </c>
      <c r="K636">
        <v>1.0603479999999901</v>
      </c>
      <c r="L636">
        <v>367.20260000000002</v>
      </c>
      <c r="M636">
        <v>0.99989119999999998</v>
      </c>
      <c r="N636">
        <v>0</v>
      </c>
      <c r="O636">
        <v>-3.0082469999999999E-3</v>
      </c>
      <c r="P636">
        <v>0.99254219999999904</v>
      </c>
      <c r="Q636">
        <v>0.1121178</v>
      </c>
      <c r="R636">
        <v>-4.7853010000000001E-2</v>
      </c>
      <c r="S636">
        <v>3.0244749999999998</v>
      </c>
      <c r="T636">
        <v>-0.27298309999999998</v>
      </c>
      <c r="U636">
        <v>-0.61318969999999995</v>
      </c>
      <c r="V636">
        <v>4.4871559999999998E-2</v>
      </c>
      <c r="W636">
        <v>0.12644949999999999</v>
      </c>
      <c r="X636">
        <v>0.99095770000000005</v>
      </c>
      <c r="Y636">
        <v>0.1950009</v>
      </c>
      <c r="Z636">
        <v>-8.4261679999999995E-3</v>
      </c>
      <c r="AA636">
        <v>0.9807669</v>
      </c>
      <c r="AB636">
        <v>32</v>
      </c>
      <c r="AC636">
        <v>11.988</v>
      </c>
      <c r="AD636">
        <v>-1.1103479999999999</v>
      </c>
      <c r="AE636">
        <v>-2.4931999999999999</v>
      </c>
      <c r="AF636">
        <v>2.43708175319854</v>
      </c>
      <c r="AG636">
        <v>-1.1103479999999999</v>
      </c>
      <c r="AH636">
        <v>11.897611583756699</v>
      </c>
      <c r="AI636">
        <v>95.223853930455505</v>
      </c>
      <c r="AJ636">
        <v>78.423787219372301</v>
      </c>
      <c r="AK636">
        <v>12.1953024378578</v>
      </c>
      <c r="AL636">
        <v>82.735530068529798</v>
      </c>
      <c r="AM636">
        <v>87.407360542623493</v>
      </c>
      <c r="AN636">
        <v>1.0000000480681801</v>
      </c>
    </row>
    <row r="637" spans="1:40" x14ac:dyDescent="0.25">
      <c r="A637" t="str">
        <f>"20190312164230944"</f>
        <v>20190312164230944</v>
      </c>
      <c r="B637" t="str">
        <f>"1552380150934527"</f>
        <v>1552380150934527</v>
      </c>
      <c r="C637" t="s">
        <v>40</v>
      </c>
      <c r="D637">
        <v>4.1634589999999996</v>
      </c>
      <c r="E637">
        <v>0.5630773</v>
      </c>
      <c r="F637" t="s">
        <v>43</v>
      </c>
      <c r="G637">
        <v>-282.19349999999997</v>
      </c>
      <c r="H637">
        <v>-0.05</v>
      </c>
      <c r="I637">
        <v>364.70859999999999</v>
      </c>
      <c r="J637">
        <v>-294.10759999999999</v>
      </c>
      <c r="K637">
        <v>1.060343</v>
      </c>
      <c r="L637">
        <v>367.20170000000002</v>
      </c>
      <c r="M637">
        <v>0.99989110000000003</v>
      </c>
      <c r="N637">
        <v>0</v>
      </c>
      <c r="O637">
        <v>-3.0082220000000001E-3</v>
      </c>
      <c r="P637">
        <v>0.9925505</v>
      </c>
      <c r="Q637">
        <v>0.1117156</v>
      </c>
      <c r="R637">
        <v>-4.8610939999999998E-2</v>
      </c>
      <c r="S637">
        <v>3.0238339999999999</v>
      </c>
      <c r="T637">
        <v>-0.27440490000000001</v>
      </c>
      <c r="U637">
        <v>-0.61636349999999995</v>
      </c>
      <c r="V637">
        <v>4.5629500000000003E-2</v>
      </c>
      <c r="W637">
        <v>0.12604409999999999</v>
      </c>
      <c r="X637">
        <v>0.99097469999999999</v>
      </c>
      <c r="Y637">
        <v>0.19601789999999999</v>
      </c>
      <c r="Z637">
        <v>-8.5163469999999901E-3</v>
      </c>
      <c r="AA637">
        <v>0.98056330000000003</v>
      </c>
      <c r="AB637">
        <v>32</v>
      </c>
      <c r="AC637">
        <v>11.914099999999999</v>
      </c>
      <c r="AD637">
        <v>-1.1103430000000001</v>
      </c>
      <c r="AE637">
        <v>-2.4931000000000201</v>
      </c>
      <c r="AF637">
        <v>2.4369665357078798</v>
      </c>
      <c r="AG637">
        <v>-1.1103430000000001</v>
      </c>
      <c r="AH637">
        <v>11.8231652121107</v>
      </c>
      <c r="AI637">
        <v>95.255220519291598</v>
      </c>
      <c r="AJ637">
        <v>78.353416984644099</v>
      </c>
      <c r="AK637">
        <v>12.1226607271949</v>
      </c>
      <c r="AL637">
        <v>82.758944855433398</v>
      </c>
      <c r="AM637">
        <v>87.363673870763805</v>
      </c>
      <c r="AN637">
        <v>1.00000001122757</v>
      </c>
    </row>
    <row r="638" spans="1:40" x14ac:dyDescent="0.25">
      <c r="A638" t="str">
        <f>"20190312164230966"</f>
        <v>20190312164230966</v>
      </c>
      <c r="B638" t="str">
        <f>"1552380150954047"</f>
        <v>1552380150954047</v>
      </c>
      <c r="C638" t="s">
        <v>40</v>
      </c>
      <c r="D638">
        <v>4.1680619999999999</v>
      </c>
      <c r="E638">
        <v>0.56282159999999903</v>
      </c>
      <c r="F638" t="s">
        <v>43</v>
      </c>
      <c r="G638">
        <v>-281.88819999999998</v>
      </c>
      <c r="H638">
        <v>-0.05</v>
      </c>
      <c r="I638">
        <v>364.6961</v>
      </c>
      <c r="J638">
        <v>-293.791</v>
      </c>
      <c r="K638">
        <v>1.0603450000000001</v>
      </c>
      <c r="L638">
        <v>367.20069999999998</v>
      </c>
      <c r="M638">
        <v>0.99989130000000004</v>
      </c>
      <c r="N638">
        <v>0</v>
      </c>
      <c r="O638">
        <v>-3.0084349999999998E-3</v>
      </c>
      <c r="P638">
        <v>0.99252099999999999</v>
      </c>
      <c r="Q638">
        <v>0.1116993</v>
      </c>
      <c r="R638">
        <v>-4.9250530000000001E-2</v>
      </c>
      <c r="S638">
        <v>3.0230410000000001</v>
      </c>
      <c r="T638">
        <v>-0.27469500000000002</v>
      </c>
      <c r="U638">
        <v>-0.61987300000000001</v>
      </c>
      <c r="V638">
        <v>4.6268650000000001E-2</v>
      </c>
      <c r="W638">
        <v>0.1260242</v>
      </c>
      <c r="X638">
        <v>0.99094760000000004</v>
      </c>
      <c r="Y638">
        <v>0.1971543</v>
      </c>
      <c r="Z638">
        <v>-8.5775030000000002E-3</v>
      </c>
      <c r="AA638">
        <v>0.98033490000000001</v>
      </c>
      <c r="AB638">
        <v>32</v>
      </c>
      <c r="AC638">
        <v>11.902799999999999</v>
      </c>
      <c r="AD638">
        <v>-1.1103449999999999</v>
      </c>
      <c r="AE638">
        <v>-2.50459999999998</v>
      </c>
      <c r="AF638">
        <v>2.4483738100076602</v>
      </c>
      <c r="AG638">
        <v>-1.1103449999999999</v>
      </c>
      <c r="AH638">
        <v>11.8118535462098</v>
      </c>
      <c r="AI638">
        <v>95.259028498093102</v>
      </c>
      <c r="AJ638">
        <v>78.289504742686105</v>
      </c>
      <c r="AK638">
        <v>12.113929359611801</v>
      </c>
      <c r="AL638">
        <v>82.760094244496699</v>
      </c>
      <c r="AM638">
        <v>87.326726032132697</v>
      </c>
      <c r="AN638">
        <v>1.0000000164521099</v>
      </c>
    </row>
    <row r="639" spans="1:40" x14ac:dyDescent="0.25">
      <c r="A639" t="str">
        <f>"20190312164230990"</f>
        <v>20190312164230990</v>
      </c>
      <c r="B639" t="str">
        <f>"1552380150984302"</f>
        <v>1552380150984302</v>
      </c>
      <c r="C639" t="s">
        <v>40</v>
      </c>
      <c r="D639">
        <v>4.6118870000000003</v>
      </c>
      <c r="E639">
        <v>0.54272310000000001</v>
      </c>
      <c r="F639" t="s">
        <v>43</v>
      </c>
      <c r="G639">
        <v>-281.52539999999999</v>
      </c>
      <c r="H639">
        <v>-0.05</v>
      </c>
      <c r="I639">
        <v>364.6848</v>
      </c>
      <c r="J639">
        <v>-293.4529</v>
      </c>
      <c r="K639">
        <v>1.0603479999999901</v>
      </c>
      <c r="L639">
        <v>367.19970000000001</v>
      </c>
      <c r="M639">
        <v>0.99989130000000004</v>
      </c>
      <c r="N639">
        <v>0</v>
      </c>
      <c r="O639">
        <v>-3.0081679999999999E-3</v>
      </c>
      <c r="P639">
        <v>0.99248270000000005</v>
      </c>
      <c r="Q639">
        <v>0.1118802</v>
      </c>
      <c r="R639">
        <v>-4.9606619999999997E-2</v>
      </c>
      <c r="S639">
        <v>3.0226139999999999</v>
      </c>
      <c r="T639">
        <v>-0.27362259999999899</v>
      </c>
      <c r="U639">
        <v>-0.61999510000000002</v>
      </c>
      <c r="V639">
        <v>4.6625409999999999E-2</v>
      </c>
      <c r="W639">
        <v>0.1262007</v>
      </c>
      <c r="X639">
        <v>0.99090840000000002</v>
      </c>
      <c r="Y639">
        <v>0.19722529999999999</v>
      </c>
      <c r="Z639">
        <v>-8.5484930000000008E-3</v>
      </c>
      <c r="AA639">
        <v>0.98032090000000005</v>
      </c>
      <c r="AB639">
        <v>32</v>
      </c>
      <c r="AC639">
        <v>11.9275</v>
      </c>
      <c r="AD639">
        <v>-1.1103479999999999</v>
      </c>
      <c r="AE639">
        <v>-2.5149000000000101</v>
      </c>
      <c r="AF639">
        <v>2.4586055486871699</v>
      </c>
      <c r="AG639">
        <v>-1.1103479999999999</v>
      </c>
      <c r="AH639">
        <v>11.8368003960395</v>
      </c>
      <c r="AI639">
        <v>95.247576958441996</v>
      </c>
      <c r="AJ639">
        <v>78.266019529362893</v>
      </c>
      <c r="AK639">
        <v>12.140323617631401</v>
      </c>
      <c r="AL639">
        <v>82.749900039452797</v>
      </c>
      <c r="AM639">
        <v>87.306037267788099</v>
      </c>
      <c r="AN639">
        <v>1.00000000136435</v>
      </c>
    </row>
    <row r="640" spans="1:40" x14ac:dyDescent="0.25">
      <c r="A640" t="str">
        <f>"20190312164231012"</f>
        <v>20190312164231012</v>
      </c>
      <c r="B640" t="str">
        <f>"1552380151004799"</f>
        <v>1552380151004799</v>
      </c>
      <c r="C640" t="s">
        <v>40</v>
      </c>
      <c r="D640">
        <v>4.6528900000000002</v>
      </c>
      <c r="E640">
        <v>0.54336149999999905</v>
      </c>
      <c r="F640" t="s">
        <v>42</v>
      </c>
      <c r="G640">
        <v>-275.88189999999997</v>
      </c>
      <c r="H640" s="1">
        <v>-2.7502770000000002E-6</v>
      </c>
      <c r="I640">
        <v>364.49439999999998</v>
      </c>
      <c r="J640">
        <v>-293.13920000000002</v>
      </c>
      <c r="K640">
        <v>1.060354</v>
      </c>
      <c r="L640">
        <v>367.19880000000001</v>
      </c>
      <c r="M640">
        <v>0.99989130000000004</v>
      </c>
      <c r="N640">
        <v>0</v>
      </c>
      <c r="O640">
        <v>-3.008143E-3</v>
      </c>
      <c r="P640">
        <v>0.99243020000000004</v>
      </c>
      <c r="Q640">
        <v>0.11217100000000001</v>
      </c>
      <c r="R640">
        <v>-5.0001589999999999E-2</v>
      </c>
      <c r="S640">
        <v>3.0200200000000001</v>
      </c>
      <c r="T640">
        <v>-0.18224679999999999</v>
      </c>
      <c r="U640">
        <v>-0.46496579999999899</v>
      </c>
      <c r="V640">
        <v>4.702054E-2</v>
      </c>
      <c r="W640">
        <v>0.12648690000000001</v>
      </c>
      <c r="X640">
        <v>0.99085330000000005</v>
      </c>
      <c r="Y640">
        <v>0.14893489999999901</v>
      </c>
      <c r="Z640">
        <v>-4.2832060000000003E-3</v>
      </c>
      <c r="AA640">
        <v>0.98883770000000004</v>
      </c>
      <c r="AB640">
        <v>32</v>
      </c>
      <c r="AC640">
        <v>17.257300000000001</v>
      </c>
      <c r="AD640">
        <v>-1.0603567502769999</v>
      </c>
      <c r="AE640">
        <v>-2.7044000000000201</v>
      </c>
      <c r="AF640">
        <v>2.64273181436277</v>
      </c>
      <c r="AG640">
        <v>-1.0603567502769999</v>
      </c>
      <c r="AH640">
        <v>17.201971016505301</v>
      </c>
      <c r="AI640">
        <v>93.486537472685299</v>
      </c>
      <c r="AJ640">
        <v>81.265959236573195</v>
      </c>
      <c r="AK640">
        <v>17.436060183802699</v>
      </c>
      <c r="AL640">
        <v>82.733369982133198</v>
      </c>
      <c r="AM640">
        <v>87.283090321341206</v>
      </c>
      <c r="AN640">
        <v>1.00000006458719</v>
      </c>
    </row>
    <row r="641" spans="1:40" x14ac:dyDescent="0.25">
      <c r="A641" t="str">
        <f>"20190312164231034"</f>
        <v>20190312164231034</v>
      </c>
      <c r="B641" t="str">
        <f>"1552380151024319"</f>
        <v>1552380151024319</v>
      </c>
      <c r="C641" t="s">
        <v>40</v>
      </c>
      <c r="D641">
        <v>4.2056279999999999</v>
      </c>
      <c r="E641">
        <v>0.54054930000000001</v>
      </c>
      <c r="F641" t="s">
        <v>42</v>
      </c>
      <c r="G641">
        <v>-275.04860000000002</v>
      </c>
      <c r="H641" s="1">
        <v>-3.0649660000000002E-6</v>
      </c>
      <c r="I641">
        <v>364.37740000000002</v>
      </c>
      <c r="J641">
        <v>-292.8193</v>
      </c>
      <c r="K641">
        <v>1.0603579999999999</v>
      </c>
      <c r="L641">
        <v>367.19779999999997</v>
      </c>
      <c r="M641">
        <v>0.99989130000000004</v>
      </c>
      <c r="N641">
        <v>0</v>
      </c>
      <c r="O641">
        <v>-3.0081180000000002E-3</v>
      </c>
      <c r="P641">
        <v>0.99235890000000004</v>
      </c>
      <c r="Q641">
        <v>0.1127504</v>
      </c>
      <c r="R641">
        <v>-5.0115270000000003E-2</v>
      </c>
      <c r="S641">
        <v>3.0191650000000001</v>
      </c>
      <c r="T641">
        <v>-0.1769646</v>
      </c>
      <c r="U641">
        <v>-0.47085569999999999</v>
      </c>
      <c r="V641">
        <v>4.7134349999999998E-2</v>
      </c>
      <c r="W641">
        <v>0.12706199999999901</v>
      </c>
      <c r="X641">
        <v>0.99077420000000005</v>
      </c>
      <c r="Y641">
        <v>0.15087200000000001</v>
      </c>
      <c r="Z641">
        <v>-4.2162049999999998E-3</v>
      </c>
      <c r="AA641">
        <v>0.98854430000000004</v>
      </c>
      <c r="AB641">
        <v>32</v>
      </c>
      <c r="AC641">
        <v>17.770699999999898</v>
      </c>
      <c r="AD641">
        <v>-1.060361064966</v>
      </c>
      <c r="AE641">
        <v>-2.8203999999999398</v>
      </c>
      <c r="AF641">
        <v>2.7573492575099401</v>
      </c>
      <c r="AG641">
        <v>-1.060361064966</v>
      </c>
      <c r="AH641">
        <v>17.717572887491102</v>
      </c>
      <c r="AI641">
        <v>93.384309325377103</v>
      </c>
      <c r="AJ641">
        <v>81.154136501229104</v>
      </c>
      <c r="AK641">
        <v>17.962174966844799</v>
      </c>
      <c r="AL641">
        <v>82.700150368249794</v>
      </c>
      <c r="AM641">
        <v>87.276307010974193</v>
      </c>
      <c r="AN641">
        <v>0.99999995708977996</v>
      </c>
    </row>
    <row r="642" spans="1:40" x14ac:dyDescent="0.25">
      <c r="A642" t="str">
        <f>"20190312164231057"</f>
        <v>20190312164231057</v>
      </c>
      <c r="B642" t="str">
        <f>"1552380151044814"</f>
        <v>1552380151044814</v>
      </c>
      <c r="C642" t="s">
        <v>40</v>
      </c>
      <c r="D642">
        <v>4.2810449999999998</v>
      </c>
      <c r="E642">
        <v>0.53895190000000004</v>
      </c>
      <c r="F642" t="s">
        <v>42</v>
      </c>
      <c r="G642">
        <v>-275.42169999999999</v>
      </c>
      <c r="H642" s="1">
        <v>-2.8748739999999999E-6</v>
      </c>
      <c r="I642">
        <v>364.61470000000003</v>
      </c>
      <c r="J642">
        <v>-292.49829999999997</v>
      </c>
      <c r="K642">
        <v>1.0603640000000001</v>
      </c>
      <c r="L642">
        <v>367.19690000000003</v>
      </c>
      <c r="M642">
        <v>0.99989139999999999</v>
      </c>
      <c r="N642">
        <v>0</v>
      </c>
      <c r="O642">
        <v>-3.0080929999999999E-3</v>
      </c>
      <c r="P642">
        <v>0.99235050000000002</v>
      </c>
      <c r="Q642">
        <v>0.1130355</v>
      </c>
      <c r="R642">
        <v>-4.9631700000000001E-2</v>
      </c>
      <c r="S642">
        <v>3.0213619999999999</v>
      </c>
      <c r="T642">
        <v>-0.18414659999999999</v>
      </c>
      <c r="U642">
        <v>-0.44857789999999997</v>
      </c>
      <c r="V642">
        <v>4.6650980000000002E-2</v>
      </c>
      <c r="W642">
        <v>0.1273434</v>
      </c>
      <c r="X642">
        <v>0.990761</v>
      </c>
      <c r="Y642">
        <v>0.14362720000000001</v>
      </c>
      <c r="Z642">
        <v>-4.1669020000000001E-3</v>
      </c>
      <c r="AA642">
        <v>0.98962309999999998</v>
      </c>
      <c r="AB642">
        <v>32</v>
      </c>
      <c r="AC642">
        <v>17.0765999999999</v>
      </c>
      <c r="AD642">
        <v>-1.0603668748739901</v>
      </c>
      <c r="AE642">
        <v>-2.5821999999999998</v>
      </c>
      <c r="AF642">
        <v>2.52131072673484</v>
      </c>
      <c r="AG642">
        <v>-1.0603668748739901</v>
      </c>
      <c r="AH642">
        <v>17.020132562167898</v>
      </c>
      <c r="AI642">
        <v>93.526576093551299</v>
      </c>
      <c r="AJ642">
        <v>81.573658146630805</v>
      </c>
      <c r="AK642">
        <v>17.238512062351699</v>
      </c>
      <c r="AL642">
        <v>82.683895660240395</v>
      </c>
      <c r="AM642">
        <v>87.304161619801306</v>
      </c>
      <c r="AN642">
        <v>1.0000000072897599</v>
      </c>
    </row>
    <row r="643" spans="1:40" x14ac:dyDescent="0.25">
      <c r="A643" t="str">
        <f>"20190312164231079"</f>
        <v>20190312164231079</v>
      </c>
      <c r="B643" t="str">
        <f>"1552380151074094"</f>
        <v>1552380151074094</v>
      </c>
      <c r="C643" t="s">
        <v>40</v>
      </c>
      <c r="D643">
        <v>4.7900839999999896</v>
      </c>
      <c r="E643">
        <v>0.538636</v>
      </c>
      <c r="F643" t="s">
        <v>42</v>
      </c>
      <c r="G643">
        <v>-276.49529999999999</v>
      </c>
      <c r="H643" s="1">
        <v>-2.4330650000000001E-6</v>
      </c>
      <c r="I643">
        <v>364.90210000000002</v>
      </c>
      <c r="J643">
        <v>-292.173</v>
      </c>
      <c r="K643">
        <v>1.060365</v>
      </c>
      <c r="L643">
        <v>367.19589999999999</v>
      </c>
      <c r="M643">
        <v>0.99989159999999999</v>
      </c>
      <c r="N643">
        <v>0</v>
      </c>
      <c r="O643">
        <v>-3.0083060000000001E-3</v>
      </c>
      <c r="P643">
        <v>0.99236219999999997</v>
      </c>
      <c r="Q643">
        <v>0.1130168</v>
      </c>
      <c r="R643">
        <v>-4.9446799999999999E-2</v>
      </c>
      <c r="S643">
        <v>3.0242610000000001</v>
      </c>
      <c r="T643">
        <v>-0.20038810000000001</v>
      </c>
      <c r="U643">
        <v>-0.43365480000000001</v>
      </c>
      <c r="V643">
        <v>4.6465920000000001E-2</v>
      </c>
      <c r="W643">
        <v>0.1273212</v>
      </c>
      <c r="X643">
        <v>0.99077249999999994</v>
      </c>
      <c r="Y643">
        <v>0.13866989999999901</v>
      </c>
      <c r="Z643">
        <v>-4.3677270000000001E-3</v>
      </c>
      <c r="AA643">
        <v>0.99032900000000001</v>
      </c>
      <c r="AB643">
        <v>32</v>
      </c>
      <c r="AC643">
        <v>15.6777</v>
      </c>
      <c r="AD643">
        <v>-1.0603674330649999</v>
      </c>
      <c r="AE643">
        <v>-2.2937999999999699</v>
      </c>
      <c r="AF643">
        <v>2.2366043785593499</v>
      </c>
      <c r="AG643">
        <v>-1.0603674330649999</v>
      </c>
      <c r="AH643">
        <v>15.614597525004999</v>
      </c>
      <c r="AI643">
        <v>93.845786497146904</v>
      </c>
      <c r="AJ643">
        <v>81.848511343396794</v>
      </c>
      <c r="AK643">
        <v>15.809567802668999</v>
      </c>
      <c r="AL643">
        <v>82.685177704293096</v>
      </c>
      <c r="AM643">
        <v>87.314871192841096</v>
      </c>
      <c r="AN643">
        <v>0.99999995822356702</v>
      </c>
    </row>
    <row r="644" spans="1:40" x14ac:dyDescent="0.25">
      <c r="A644" t="str">
        <f>"20190312164231103"</f>
        <v>20190312164231103</v>
      </c>
      <c r="B644" t="str">
        <f>"1552380151094591"</f>
        <v>1552380151094591</v>
      </c>
      <c r="C644" t="s">
        <v>40</v>
      </c>
      <c r="D644">
        <v>4.8685679999999998</v>
      </c>
      <c r="E644">
        <v>0.53867949999999998</v>
      </c>
      <c r="F644" t="s">
        <v>42</v>
      </c>
      <c r="G644">
        <v>-275.22989999999999</v>
      </c>
      <c r="H644" s="1">
        <v>-2.8955979999999998E-6</v>
      </c>
      <c r="I644">
        <v>364.78199999999998</v>
      </c>
      <c r="J644">
        <v>-291.84559999999999</v>
      </c>
      <c r="K644">
        <v>1.06036</v>
      </c>
      <c r="L644">
        <v>367.19490000000002</v>
      </c>
      <c r="M644">
        <v>0.99989150000000004</v>
      </c>
      <c r="N644">
        <v>0</v>
      </c>
      <c r="O644">
        <v>-3.0082799999999999E-3</v>
      </c>
      <c r="P644">
        <v>0.99231340000000001</v>
      </c>
      <c r="Q644">
        <v>0.113521</v>
      </c>
      <c r="R644">
        <v>-4.9265700000000003E-2</v>
      </c>
      <c r="S644">
        <v>3.0231629999999998</v>
      </c>
      <c r="T644">
        <v>-0.18920120000000001</v>
      </c>
      <c r="U644">
        <v>-0.43069459999999998</v>
      </c>
      <c r="V644">
        <v>4.6285140000000002E-2</v>
      </c>
      <c r="W644">
        <v>0.12782160000000001</v>
      </c>
      <c r="X644">
        <v>0.99071659999999995</v>
      </c>
      <c r="Y644">
        <v>0.13780319999999999</v>
      </c>
      <c r="Z644">
        <v>-4.0991839999999996E-3</v>
      </c>
      <c r="AA644">
        <v>0.99045119999999998</v>
      </c>
      <c r="AB644">
        <v>32</v>
      </c>
      <c r="AC644">
        <v>16.6157</v>
      </c>
      <c r="AD644">
        <v>-1.060362895598</v>
      </c>
      <c r="AE644">
        <v>-2.4129000000000298</v>
      </c>
      <c r="AF644">
        <v>2.3535122448340999</v>
      </c>
      <c r="AG644">
        <v>-1.060362895598</v>
      </c>
      <c r="AH644">
        <v>16.5568474200082</v>
      </c>
      <c r="AI644">
        <v>93.628061179668094</v>
      </c>
      <c r="AJ644">
        <v>81.909755491566301</v>
      </c>
      <c r="AK644">
        <v>16.756866826658701</v>
      </c>
      <c r="AL644">
        <v>82.656271226276303</v>
      </c>
      <c r="AM644">
        <v>87.325152039525705</v>
      </c>
      <c r="AN644">
        <v>1.00000002856346</v>
      </c>
    </row>
    <row r="645" spans="1:40" x14ac:dyDescent="0.25">
      <c r="A645" t="str">
        <f>"20190312164231123"</f>
        <v>20190312164231123</v>
      </c>
      <c r="B645" t="str">
        <f>"1552380151114110"</f>
        <v>1552380151114110</v>
      </c>
      <c r="C645" t="s">
        <v>40</v>
      </c>
      <c r="D645">
        <v>4.7842190000000002</v>
      </c>
      <c r="E645">
        <v>0.53863989999999995</v>
      </c>
      <c r="F645" t="s">
        <v>42</v>
      </c>
      <c r="G645">
        <v>-274.43959999999998</v>
      </c>
      <c r="H645" s="1">
        <v>-3.2370530000000001E-6</v>
      </c>
      <c r="I645">
        <v>364.71530000000001</v>
      </c>
      <c r="J645">
        <v>-291.5421</v>
      </c>
      <c r="K645">
        <v>1.0603610000000001</v>
      </c>
      <c r="L645">
        <v>367.19400000000002</v>
      </c>
      <c r="M645">
        <v>0.99989159999999999</v>
      </c>
      <c r="N645">
        <v>0</v>
      </c>
      <c r="O645">
        <v>-3.0083750000000002E-3</v>
      </c>
      <c r="P645">
        <v>0.99227710000000002</v>
      </c>
      <c r="Q645">
        <v>0.11394940000000001</v>
      </c>
      <c r="R645">
        <v>-4.9009999999999998E-2</v>
      </c>
      <c r="S645">
        <v>3.0229490000000001</v>
      </c>
      <c r="T645">
        <v>-0.18415570000000001</v>
      </c>
      <c r="U645">
        <v>-0.4306335</v>
      </c>
      <c r="V645">
        <v>4.6029170000000001E-2</v>
      </c>
      <c r="W645">
        <v>0.12824579999999999</v>
      </c>
      <c r="X645">
        <v>0.99067369999999999</v>
      </c>
      <c r="Y645">
        <v>0.13780680000000001</v>
      </c>
      <c r="Z645">
        <v>-3.9904600000000004E-3</v>
      </c>
      <c r="AA645">
        <v>0.99045110000000003</v>
      </c>
      <c r="AB645">
        <v>32</v>
      </c>
      <c r="AC645">
        <v>17.102499999999999</v>
      </c>
      <c r="AD645">
        <v>-1.060364237053</v>
      </c>
      <c r="AE645">
        <v>-2.4786999999999999</v>
      </c>
      <c r="AF645">
        <v>2.41812849147647</v>
      </c>
      <c r="AG645">
        <v>-1.060364237053</v>
      </c>
      <c r="AH645">
        <v>17.0457034522078</v>
      </c>
      <c r="AI645">
        <v>93.524421978970096</v>
      </c>
      <c r="AJ645">
        <v>81.925812506974296</v>
      </c>
      <c r="AK645">
        <v>17.248991967565001</v>
      </c>
      <c r="AL645">
        <v>82.631764635687304</v>
      </c>
      <c r="AM645">
        <v>87.339808377451604</v>
      </c>
      <c r="AN645">
        <v>1.0000000247901</v>
      </c>
    </row>
    <row r="646" spans="1:40" x14ac:dyDescent="0.25">
      <c r="A646" t="str">
        <f>"20190312164231145"</f>
        <v>20190312164231145</v>
      </c>
      <c r="B646" t="str">
        <f>"1552380151134607"</f>
        <v>1552380151134607</v>
      </c>
      <c r="C646" t="s">
        <v>40</v>
      </c>
      <c r="D646">
        <v>4.5816429999999997</v>
      </c>
      <c r="E646">
        <v>0.53865949999999996</v>
      </c>
      <c r="F646" t="s">
        <v>42</v>
      </c>
      <c r="G646">
        <v>-273.6739</v>
      </c>
      <c r="H646" s="1">
        <v>-3.5763930000000002E-6</v>
      </c>
      <c r="I646">
        <v>364.65410000000003</v>
      </c>
      <c r="J646">
        <v>-291.23059999999998</v>
      </c>
      <c r="K646">
        <v>1.0603590000000001</v>
      </c>
      <c r="L646">
        <v>367.19310000000002</v>
      </c>
      <c r="M646">
        <v>0.99989150000000004</v>
      </c>
      <c r="N646">
        <v>0</v>
      </c>
      <c r="O646">
        <v>-3.0083520000000002E-3</v>
      </c>
      <c r="P646">
        <v>0.99231360000000002</v>
      </c>
      <c r="Q646">
        <v>0.11386250000000001</v>
      </c>
      <c r="R646">
        <v>-4.8470029999999997E-2</v>
      </c>
      <c r="S646">
        <v>3.0227360000000001</v>
      </c>
      <c r="T646">
        <v>-0.1793795</v>
      </c>
      <c r="U646">
        <v>-0.42965700000000001</v>
      </c>
      <c r="V646">
        <v>4.5489090000000003E-2</v>
      </c>
      <c r="W646">
        <v>0.128156399999999</v>
      </c>
      <c r="X646">
        <v>0.99071019999999999</v>
      </c>
      <c r="Y646">
        <v>0.1375159</v>
      </c>
      <c r="Z646">
        <v>-3.8789250000000001E-3</v>
      </c>
      <c r="AA646">
        <v>0.99049200000000004</v>
      </c>
      <c r="AB646">
        <v>32</v>
      </c>
      <c r="AC646">
        <v>17.5566999999999</v>
      </c>
      <c r="AD646">
        <v>-1.060362576393</v>
      </c>
      <c r="AE646">
        <v>-2.5389999999999802</v>
      </c>
      <c r="AF646">
        <v>2.4773148209134201</v>
      </c>
      <c r="AG646">
        <v>-1.060362576393</v>
      </c>
      <c r="AH646">
        <v>17.501725759217901</v>
      </c>
      <c r="AI646">
        <v>93.432957001225802</v>
      </c>
      <c r="AJ646">
        <v>81.943481719014301</v>
      </c>
      <c r="AK646">
        <v>17.707960415197601</v>
      </c>
      <c r="AL646">
        <v>82.636929390240795</v>
      </c>
      <c r="AM646">
        <v>87.371074217700894</v>
      </c>
      <c r="AN646">
        <v>1.0000000102770099</v>
      </c>
    </row>
    <row r="647" spans="1:40" x14ac:dyDescent="0.25">
      <c r="A647" t="str">
        <f>"20190312164231167"</f>
        <v>20190312164231167</v>
      </c>
      <c r="B647" t="str">
        <f>"1552380151164863"</f>
        <v>1552380151164863</v>
      </c>
      <c r="C647" t="s">
        <v>40</v>
      </c>
      <c r="D647">
        <v>4.6201489999999996</v>
      </c>
      <c r="E647">
        <v>0.53861979999999998</v>
      </c>
      <c r="F647" t="s">
        <v>42</v>
      </c>
      <c r="G647">
        <v>-273.23540000000003</v>
      </c>
      <c r="H647" s="1">
        <v>-3.7663190000000002E-6</v>
      </c>
      <c r="I647">
        <v>364.64389999999997</v>
      </c>
      <c r="J647">
        <v>-290.91340000000002</v>
      </c>
      <c r="K647">
        <v>1.060357</v>
      </c>
      <c r="L647">
        <v>367.19209999999998</v>
      </c>
      <c r="M647">
        <v>0.99989170000000005</v>
      </c>
      <c r="N647">
        <v>0</v>
      </c>
      <c r="O647">
        <v>-3.0085659999999998E-3</v>
      </c>
      <c r="P647">
        <v>0.99235379999999995</v>
      </c>
      <c r="Q647">
        <v>0.1135872</v>
      </c>
      <c r="R647">
        <v>-4.8292349999999998E-2</v>
      </c>
      <c r="S647">
        <v>3.0227659999999998</v>
      </c>
      <c r="T647">
        <v>-0.1781152</v>
      </c>
      <c r="U647">
        <v>-0.42819210000000002</v>
      </c>
      <c r="V647">
        <v>4.5311259999999999E-2</v>
      </c>
      <c r="W647">
        <v>0.12787789999999999</v>
      </c>
      <c r="X647">
        <v>0.99075429999999998</v>
      </c>
      <c r="Y647">
        <v>0.1370478</v>
      </c>
      <c r="Z647">
        <v>-3.838003E-3</v>
      </c>
      <c r="AA647">
        <v>0.99055700000000002</v>
      </c>
      <c r="AB647">
        <v>32</v>
      </c>
      <c r="AC647">
        <v>17.677999999999901</v>
      </c>
      <c r="AD647">
        <v>-1.060360766319</v>
      </c>
      <c r="AE647">
        <v>-2.5482</v>
      </c>
      <c r="AF647">
        <v>2.4862345340208698</v>
      </c>
      <c r="AG647">
        <v>-1.060360766319</v>
      </c>
      <c r="AH647">
        <v>17.6234715182784</v>
      </c>
      <c r="AI647">
        <v>93.4095141968902</v>
      </c>
      <c r="AJ647">
        <v>81.969979109833304</v>
      </c>
      <c r="AK647">
        <v>17.829539407075998</v>
      </c>
      <c r="AL647">
        <v>82.653018389328594</v>
      </c>
      <c r="AM647">
        <v>87.381453512887802</v>
      </c>
      <c r="AN647">
        <v>0.99999997527984297</v>
      </c>
    </row>
    <row r="648" spans="1:40" x14ac:dyDescent="0.25">
      <c r="A648" t="str">
        <f>"20190312164231191"</f>
        <v>20190312164231191</v>
      </c>
      <c r="B648" t="str">
        <f>"1552380151184386"</f>
        <v>1552380151184386</v>
      </c>
      <c r="C648" t="s">
        <v>40</v>
      </c>
      <c r="D648">
        <v>4.4173790000000004</v>
      </c>
      <c r="E648">
        <v>0.53841439999999996</v>
      </c>
      <c r="F648" t="s">
        <v>42</v>
      </c>
      <c r="G648">
        <v>-272.88119999999998</v>
      </c>
      <c r="H648" s="1">
        <v>-3.91889E-6</v>
      </c>
      <c r="I648">
        <v>364.64049999999997</v>
      </c>
      <c r="J648">
        <v>-290.58760000000001</v>
      </c>
      <c r="K648">
        <v>1.0603560000000001</v>
      </c>
      <c r="L648">
        <v>367.19119999999998</v>
      </c>
      <c r="M648">
        <v>0.9998918</v>
      </c>
      <c r="N648">
        <v>0</v>
      </c>
      <c r="O648">
        <v>-3.0086589999999999E-3</v>
      </c>
      <c r="P648">
        <v>0.99236840000000004</v>
      </c>
      <c r="Q648">
        <v>0.1134994</v>
      </c>
      <c r="R648">
        <v>-4.8198629999999999E-2</v>
      </c>
      <c r="S648">
        <v>3.0226440000000001</v>
      </c>
      <c r="T648">
        <v>-0.17774209999999999</v>
      </c>
      <c r="U648">
        <v>-0.42770390000000003</v>
      </c>
      <c r="V648">
        <v>4.5217340000000002E-2</v>
      </c>
      <c r="W648">
        <v>0.12778709999999999</v>
      </c>
      <c r="X648">
        <v>0.99077029999999999</v>
      </c>
      <c r="Y648">
        <v>0.13689760000000001</v>
      </c>
      <c r="Z648">
        <v>-3.825775E-3</v>
      </c>
      <c r="AA648">
        <v>0.99057779999999995</v>
      </c>
      <c r="AB648">
        <v>32</v>
      </c>
      <c r="AC648">
        <v>17.706399999999999</v>
      </c>
      <c r="AD648">
        <v>-1.0603599188899999</v>
      </c>
      <c r="AE648">
        <v>-2.5507</v>
      </c>
      <c r="AF648">
        <v>2.4886667629958699</v>
      </c>
      <c r="AG648">
        <v>-1.0603599188899999</v>
      </c>
      <c r="AH648">
        <v>17.651976619334</v>
      </c>
      <c r="AI648">
        <v>93.404060899847494</v>
      </c>
      <c r="AJ648">
        <v>81.975036617391396</v>
      </c>
      <c r="AK648">
        <v>17.858054316871701</v>
      </c>
      <c r="AL648">
        <v>82.6582638355613</v>
      </c>
      <c r="AM648">
        <v>87.386915777662097</v>
      </c>
      <c r="AN648">
        <v>0.99999996906258704</v>
      </c>
    </row>
    <row r="649" spans="1:40" x14ac:dyDescent="0.25">
      <c r="A649" t="str">
        <f>"20190312164231212"</f>
        <v>20190312164231212</v>
      </c>
      <c r="B649" t="str">
        <f>"1552380151204878"</f>
        <v>1552380151204878</v>
      </c>
      <c r="C649" t="s">
        <v>40</v>
      </c>
      <c r="D649">
        <v>4.8477139999999999</v>
      </c>
      <c r="E649">
        <v>0.53816889999999995</v>
      </c>
      <c r="F649" t="s">
        <v>42</v>
      </c>
      <c r="G649">
        <v>-272.40010000000001</v>
      </c>
      <c r="H649" s="1">
        <v>-4.1273509999999998E-6</v>
      </c>
      <c r="I649">
        <v>364.62880000000001</v>
      </c>
      <c r="J649">
        <v>-290.27449999999999</v>
      </c>
      <c r="K649">
        <v>1.0603499999999999</v>
      </c>
      <c r="L649">
        <v>367.1902</v>
      </c>
      <c r="M649">
        <v>0.99989189999999994</v>
      </c>
      <c r="N649">
        <v>0</v>
      </c>
      <c r="O649">
        <v>-3.008635E-3</v>
      </c>
      <c r="P649">
        <v>0.99247479999999999</v>
      </c>
      <c r="Q649">
        <v>0.112815</v>
      </c>
      <c r="R649">
        <v>-4.761261E-2</v>
      </c>
      <c r="S649">
        <v>3.0225219999999999</v>
      </c>
      <c r="T649">
        <v>-0.17621679999999901</v>
      </c>
      <c r="U649">
        <v>-0.42581180000000002</v>
      </c>
      <c r="V649">
        <v>4.4630870000000003E-2</v>
      </c>
      <c r="W649">
        <v>0.12710080000000001</v>
      </c>
      <c r="X649">
        <v>0.99088520000000002</v>
      </c>
      <c r="Y649">
        <v>0.1363</v>
      </c>
      <c r="Z649">
        <v>-3.775998E-3</v>
      </c>
      <c r="AA649">
        <v>0.9906604</v>
      </c>
      <c r="AB649">
        <v>32</v>
      </c>
      <c r="AC649">
        <v>17.874399999999898</v>
      </c>
      <c r="AD649">
        <v>-1.060354127351</v>
      </c>
      <c r="AE649">
        <v>-2.5613999999999901</v>
      </c>
      <c r="AF649">
        <v>2.4989879092418099</v>
      </c>
      <c r="AG649">
        <v>-1.060354127351</v>
      </c>
      <c r="AH649">
        <v>17.820574659869699</v>
      </c>
      <c r="AI649">
        <v>93.372261904656099</v>
      </c>
      <c r="AJ649">
        <v>82.017437798804806</v>
      </c>
      <c r="AK649">
        <v>18.026152463959601</v>
      </c>
      <c r="AL649">
        <v>82.697909463085693</v>
      </c>
      <c r="AM649">
        <v>87.421060152017603</v>
      </c>
      <c r="AN649">
        <v>1.0000000037483101</v>
      </c>
    </row>
    <row r="650" spans="1:40" x14ac:dyDescent="0.25">
      <c r="A650" t="str">
        <f>"20190312164231235"</f>
        <v>20190312164231235</v>
      </c>
      <c r="B650" t="str">
        <f>"1552380151224399"</f>
        <v>1552380151224399</v>
      </c>
      <c r="C650" t="s">
        <v>40</v>
      </c>
      <c r="D650">
        <v>4.6122759999999996</v>
      </c>
      <c r="E650">
        <v>0.50012760000000001</v>
      </c>
      <c r="F650" t="s">
        <v>42</v>
      </c>
      <c r="G650">
        <v>-272.26499999999999</v>
      </c>
      <c r="H650" s="1">
        <v>-4.1768969999999999E-6</v>
      </c>
      <c r="I650">
        <v>364.67610000000002</v>
      </c>
      <c r="J650">
        <v>-289.95830000000001</v>
      </c>
      <c r="K650">
        <v>1.0603499999999999</v>
      </c>
      <c r="L650">
        <v>367.1893</v>
      </c>
      <c r="M650">
        <v>0.9998918</v>
      </c>
      <c r="N650">
        <v>0</v>
      </c>
      <c r="O650">
        <v>-3.0086100000000001E-3</v>
      </c>
      <c r="P650">
        <v>0.99250210000000005</v>
      </c>
      <c r="Q650">
        <v>0.1127269</v>
      </c>
      <c r="R650">
        <v>-4.7245790000000003E-2</v>
      </c>
      <c r="S650">
        <v>3.0227360000000001</v>
      </c>
      <c r="T650">
        <v>-0.1779703</v>
      </c>
      <c r="U650">
        <v>-0.42196660000000002</v>
      </c>
      <c r="V650">
        <v>4.426414E-2</v>
      </c>
      <c r="W650">
        <v>0.1270095</v>
      </c>
      <c r="X650">
        <v>0.9909133</v>
      </c>
      <c r="Y650">
        <v>0.13505200000000001</v>
      </c>
      <c r="Z650">
        <v>-3.7770450000000001E-3</v>
      </c>
      <c r="AA650">
        <v>0.99083129999999997</v>
      </c>
      <c r="AB650">
        <v>32</v>
      </c>
      <c r="AC650">
        <v>17.693300000000001</v>
      </c>
      <c r="AD650">
        <v>-1.060354176897</v>
      </c>
      <c r="AE650">
        <v>-2.5131999999999799</v>
      </c>
      <c r="AF650">
        <v>2.4513208950876799</v>
      </c>
      <c r="AG650">
        <v>-1.060354176897</v>
      </c>
      <c r="AH650">
        <v>17.638684262255001</v>
      </c>
      <c r="AI650">
        <v>93.407540178045295</v>
      </c>
      <c r="AJ650">
        <v>82.088045521936806</v>
      </c>
      <c r="AK650">
        <v>17.839745166752799</v>
      </c>
      <c r="AL650">
        <v>82.703182897229198</v>
      </c>
      <c r="AM650">
        <v>87.442295370454104</v>
      </c>
      <c r="AN650">
        <v>0.99999994764853795</v>
      </c>
    </row>
    <row r="651" spans="1:40" x14ac:dyDescent="0.25">
      <c r="A651" t="str">
        <f>"20190312164231248"</f>
        <v>20190312164231248</v>
      </c>
      <c r="B651" t="str">
        <f>"1552380151244896"</f>
        <v>1552380151244896</v>
      </c>
      <c r="C651" t="s">
        <v>40</v>
      </c>
      <c r="D651">
        <v>4.5452300000000001</v>
      </c>
      <c r="E651">
        <v>0.49653589999999997</v>
      </c>
      <c r="F651" t="s">
        <v>42</v>
      </c>
      <c r="G651">
        <v>-270.93040000000002</v>
      </c>
      <c r="H651" s="1">
        <v>-4.4349940000000001E-6</v>
      </c>
      <c r="I651">
        <v>366.44889999999998</v>
      </c>
      <c r="J651">
        <v>-289.7792</v>
      </c>
      <c r="K651">
        <v>1.060351</v>
      </c>
      <c r="L651">
        <v>367.18869999999998</v>
      </c>
      <c r="M651">
        <v>0.9998918</v>
      </c>
      <c r="N651">
        <v>0</v>
      </c>
      <c r="O651">
        <v>-3.0085960000000001E-3</v>
      </c>
      <c r="P651">
        <v>0.9925254</v>
      </c>
      <c r="Q651">
        <v>0.1126118</v>
      </c>
      <c r="R651">
        <v>-4.7028970000000003E-2</v>
      </c>
      <c r="S651">
        <v>3.0362239999999998</v>
      </c>
      <c r="T651">
        <v>-0.1691966</v>
      </c>
      <c r="U651">
        <v>-0.1181335</v>
      </c>
      <c r="V651">
        <v>4.4047299999999998E-2</v>
      </c>
      <c r="W651">
        <v>0.12689320000000001</v>
      </c>
      <c r="X651">
        <v>0.99093790000000004</v>
      </c>
      <c r="Y651">
        <v>3.5820989999999997E-2</v>
      </c>
      <c r="Z651">
        <v>-8.2945139999999996E-4</v>
      </c>
      <c r="AA651">
        <v>0.99935790000000002</v>
      </c>
      <c r="AB651">
        <v>32</v>
      </c>
      <c r="AC651">
        <v>18.848799999999901</v>
      </c>
      <c r="AD651">
        <v>-1.0603554349940001</v>
      </c>
      <c r="AE651">
        <v>-0.73980000000000201</v>
      </c>
      <c r="AF651">
        <v>0.68093070546669299</v>
      </c>
      <c r="AG651">
        <v>-1.0603554349940001</v>
      </c>
      <c r="AH651">
        <v>18.7915620747353</v>
      </c>
      <c r="AI651">
        <v>93.227502451377902</v>
      </c>
      <c r="AJ651">
        <v>87.924739150516004</v>
      </c>
      <c r="AK651">
        <v>18.833768223135799</v>
      </c>
      <c r="AL651">
        <v>82.709901026880203</v>
      </c>
      <c r="AM651">
        <v>87.454871570360694</v>
      </c>
      <c r="AN651">
        <v>0.99999998524996903</v>
      </c>
    </row>
    <row r="652" spans="1:40" x14ac:dyDescent="0.25">
      <c r="A652" t="str">
        <f>"20190312164231263"</f>
        <v>20190312164231263</v>
      </c>
      <c r="B652" t="str">
        <f>"1552380151254656"</f>
        <v>1552380151254656</v>
      </c>
      <c r="C652" t="s">
        <v>40</v>
      </c>
      <c r="D652">
        <v>4.54331</v>
      </c>
      <c r="E652">
        <v>0.49582540000000003</v>
      </c>
      <c r="F652" t="s">
        <v>42</v>
      </c>
      <c r="G652">
        <v>-271.67669999999998</v>
      </c>
      <c r="H652" s="1">
        <v>-4.0767950000000002E-6</v>
      </c>
      <c r="I652">
        <v>366.66340000000002</v>
      </c>
      <c r="J652">
        <v>-289.5702</v>
      </c>
      <c r="K652">
        <v>1.0603499999999999</v>
      </c>
      <c r="L652">
        <v>367.18810000000002</v>
      </c>
      <c r="M652">
        <v>0.9998918</v>
      </c>
      <c r="N652">
        <v>0</v>
      </c>
      <c r="O652">
        <v>-3.0085799999999998E-3</v>
      </c>
      <c r="P652">
        <v>0.99251480000000003</v>
      </c>
      <c r="Q652">
        <v>0.11274670000000001</v>
      </c>
      <c r="R652">
        <v>-4.6927410000000003E-2</v>
      </c>
      <c r="S652">
        <v>3.038605</v>
      </c>
      <c r="T652">
        <v>-0.17798539999999999</v>
      </c>
      <c r="U652">
        <v>-8.8165279999999999E-2</v>
      </c>
      <c r="V652">
        <v>4.3945819999999997E-2</v>
      </c>
      <c r="W652">
        <v>0.1270251</v>
      </c>
      <c r="X652">
        <v>0.99092550000000001</v>
      </c>
      <c r="Y652">
        <v>2.5955800000000001E-2</v>
      </c>
      <c r="Z652">
        <v>-5.8331140000000001E-4</v>
      </c>
      <c r="AA652">
        <v>0.99966290000000002</v>
      </c>
      <c r="AB652">
        <v>32</v>
      </c>
      <c r="AC652">
        <v>17.8935</v>
      </c>
      <c r="AD652">
        <v>-1.0603540767949999</v>
      </c>
      <c r="AE652">
        <v>-0.52469999999999495</v>
      </c>
      <c r="AF652">
        <v>0.469211725075523</v>
      </c>
      <c r="AG652">
        <v>-1.0603540767949999</v>
      </c>
      <c r="AH652">
        <v>17.8324303122149</v>
      </c>
      <c r="AI652">
        <v>93.401746956712699</v>
      </c>
      <c r="AJ652">
        <v>88.492765740016594</v>
      </c>
      <c r="AK652">
        <v>17.870089010722001</v>
      </c>
      <c r="AL652">
        <v>82.702282013309798</v>
      </c>
      <c r="AM652">
        <v>87.460695840911697</v>
      </c>
      <c r="AN652">
        <v>0.99999997883786595</v>
      </c>
    </row>
    <row r="653" spans="1:40" x14ac:dyDescent="0.25">
      <c r="A653" t="str">
        <f>"20190312164231280"</f>
        <v>20190312164231280</v>
      </c>
      <c r="B653" t="str">
        <f>"1552380151275151"</f>
        <v>1552380151275151</v>
      </c>
      <c r="C653" t="s">
        <v>40</v>
      </c>
      <c r="D653">
        <v>4.5467969999999998</v>
      </c>
      <c r="E653">
        <v>0.49509110000000001</v>
      </c>
      <c r="F653" t="s">
        <v>42</v>
      </c>
      <c r="G653">
        <v>-271.58569999999997</v>
      </c>
      <c r="H653" s="1">
        <v>-4.1091930000000004E-6</v>
      </c>
      <c r="I653">
        <v>366.70080000000002</v>
      </c>
      <c r="J653">
        <v>-289.315</v>
      </c>
      <c r="K653">
        <v>1.060351</v>
      </c>
      <c r="L653">
        <v>367.18729999999999</v>
      </c>
      <c r="M653">
        <v>0.99989189999999994</v>
      </c>
      <c r="N653">
        <v>0</v>
      </c>
      <c r="O653">
        <v>-3.0085590000000001E-3</v>
      </c>
      <c r="P653">
        <v>0.99253119999999995</v>
      </c>
      <c r="Q653">
        <v>0.1127036</v>
      </c>
      <c r="R653">
        <v>-4.668841E-2</v>
      </c>
      <c r="S653">
        <v>3.0390929999999998</v>
      </c>
      <c r="T653">
        <v>-0.1791816</v>
      </c>
      <c r="U653">
        <v>-8.2336430000000002E-2</v>
      </c>
      <c r="V653">
        <v>4.370661E-2</v>
      </c>
      <c r="W653">
        <v>0.1269797</v>
      </c>
      <c r="X653">
        <v>0.99094190000000004</v>
      </c>
      <c r="Y653">
        <v>2.403812E-2</v>
      </c>
      <c r="Z653">
        <v>-5.3067469999999999E-4</v>
      </c>
      <c r="AA653">
        <v>0.99971089999999996</v>
      </c>
      <c r="AB653">
        <v>32</v>
      </c>
      <c r="AC653">
        <v>17.729299999999999</v>
      </c>
      <c r="AD653">
        <v>-1.0603551091929999</v>
      </c>
      <c r="AE653">
        <v>-0.48649999999997801</v>
      </c>
      <c r="AF653">
        <v>0.431609918535034</v>
      </c>
      <c r="AG653">
        <v>-1.0603551091929999</v>
      </c>
      <c r="AH653">
        <v>17.667534261171198</v>
      </c>
      <c r="AI653">
        <v>93.433587655303498</v>
      </c>
      <c r="AJ653">
        <v>88.600568217843303</v>
      </c>
      <c r="AK653">
        <v>17.7045871725106</v>
      </c>
      <c r="AL653">
        <v>82.7049044901202</v>
      </c>
      <c r="AM653">
        <v>87.474541816346402</v>
      </c>
      <c r="AN653">
        <v>0.99999998057269501</v>
      </c>
    </row>
    <row r="654" spans="1:40" x14ac:dyDescent="0.25">
      <c r="A654" t="str">
        <f>"20190312164231304"</f>
        <v>20190312164231304</v>
      </c>
      <c r="B654" t="str">
        <f>"1552380151294671"</f>
        <v>1552380151294671</v>
      </c>
      <c r="C654" t="s">
        <v>40</v>
      </c>
      <c r="D654">
        <v>4.5253300000000003</v>
      </c>
      <c r="E654">
        <v>0.49410369999999998</v>
      </c>
      <c r="F654" t="s">
        <v>42</v>
      </c>
      <c r="G654">
        <v>-271.36840000000001</v>
      </c>
      <c r="H654" s="1">
        <v>-4.1956649999999996E-6</v>
      </c>
      <c r="I654">
        <v>366.73880000000003</v>
      </c>
      <c r="J654">
        <v>-288.98610000000002</v>
      </c>
      <c r="K654">
        <v>1.060357</v>
      </c>
      <c r="L654">
        <v>367.18630000000002</v>
      </c>
      <c r="M654">
        <v>0.99989209999999995</v>
      </c>
      <c r="N654">
        <v>0</v>
      </c>
      <c r="O654">
        <v>-3.0087719999999998E-3</v>
      </c>
      <c r="P654">
        <v>0.99254819999999999</v>
      </c>
      <c r="Q654">
        <v>0.11269650000000001</v>
      </c>
      <c r="R654">
        <v>-4.6344419999999997E-2</v>
      </c>
      <c r="S654">
        <v>3.0393979999999998</v>
      </c>
      <c r="T654">
        <v>-0.17957879999999901</v>
      </c>
      <c r="U654">
        <v>-7.5958250000000005E-2</v>
      </c>
      <c r="V654">
        <v>4.3362539999999998E-2</v>
      </c>
      <c r="W654">
        <v>0.12696930000000001</v>
      </c>
      <c r="X654">
        <v>0.99095840000000002</v>
      </c>
      <c r="Y654">
        <v>2.1942159999999999E-2</v>
      </c>
      <c r="Z654">
        <v>-4.699428E-4</v>
      </c>
      <c r="AA654">
        <v>0.99975910000000001</v>
      </c>
      <c r="AB654">
        <v>32</v>
      </c>
      <c r="AC654">
        <v>17.617699999999999</v>
      </c>
      <c r="AD654">
        <v>-1.0603611956649901</v>
      </c>
      <c r="AE654">
        <v>-0.44749999999999002</v>
      </c>
      <c r="AF654">
        <v>0.393061900029894</v>
      </c>
      <c r="AG654">
        <v>-1.0603611956649901</v>
      </c>
      <c r="AH654">
        <v>17.555413201252101</v>
      </c>
      <c r="AI654">
        <v>93.455648263419604</v>
      </c>
      <c r="AJ654">
        <v>88.717374203000801</v>
      </c>
      <c r="AK654">
        <v>17.5917991174645</v>
      </c>
      <c r="AL654">
        <v>82.705505604147206</v>
      </c>
      <c r="AM654">
        <v>87.494439120276795</v>
      </c>
      <c r="AN654">
        <v>1.00000003177415</v>
      </c>
    </row>
    <row r="655" spans="1:40" x14ac:dyDescent="0.25">
      <c r="A655" t="str">
        <f>"20190312164231325"</f>
        <v>20190312164231325</v>
      </c>
      <c r="B655" t="str">
        <f>"1552380151314192"</f>
        <v>1552380151314192</v>
      </c>
      <c r="C655" t="s">
        <v>40</v>
      </c>
      <c r="D655">
        <v>4.7459110000000004</v>
      </c>
      <c r="E655">
        <v>0.49366389999999999</v>
      </c>
      <c r="F655" t="s">
        <v>42</v>
      </c>
      <c r="G655">
        <v>-271.99220000000003</v>
      </c>
      <c r="H655" s="1">
        <v>-3.9146219999999999E-6</v>
      </c>
      <c r="I655">
        <v>366.81470000000002</v>
      </c>
      <c r="J655">
        <v>-288.68689999999998</v>
      </c>
      <c r="K655">
        <v>1.0603590000000001</v>
      </c>
      <c r="L655">
        <v>367.18549999999999</v>
      </c>
      <c r="M655">
        <v>0.99989209999999995</v>
      </c>
      <c r="N655">
        <v>0</v>
      </c>
      <c r="O655">
        <v>-3.0087489999999998E-3</v>
      </c>
      <c r="P655">
        <v>0.99260150000000003</v>
      </c>
      <c r="Q655">
        <v>0.1123688</v>
      </c>
      <c r="R655">
        <v>-4.5997749999999997E-2</v>
      </c>
      <c r="S655">
        <v>3.040985</v>
      </c>
      <c r="T655">
        <v>-0.1897451</v>
      </c>
      <c r="U655">
        <v>-6.6497799999999996E-2</v>
      </c>
      <c r="V655">
        <v>4.3015690000000002E-2</v>
      </c>
      <c r="W655">
        <v>0.12663920000000001</v>
      </c>
      <c r="X655">
        <v>0.99101570000000005</v>
      </c>
      <c r="Y655">
        <v>1.8822789999999999E-2</v>
      </c>
      <c r="Z655">
        <v>-3.9904559999999999E-4</v>
      </c>
      <c r="AA655">
        <v>0.99982269999999895</v>
      </c>
      <c r="AB655">
        <v>32</v>
      </c>
      <c r="AC655">
        <v>16.694699999999902</v>
      </c>
      <c r="AD655">
        <v>-1.0603629146219999</v>
      </c>
      <c r="AE655">
        <v>-0.37079999999997398</v>
      </c>
      <c r="AF655">
        <v>0.31927559646332099</v>
      </c>
      <c r="AG655">
        <v>-1.0603629146219999</v>
      </c>
      <c r="AH655">
        <v>16.628690656719399</v>
      </c>
      <c r="AI655">
        <v>93.647973492921494</v>
      </c>
      <c r="AJ655">
        <v>88.900039869325099</v>
      </c>
      <c r="AK655">
        <v>16.665523075321399</v>
      </c>
      <c r="AL655">
        <v>82.7245724559709</v>
      </c>
      <c r="AM655">
        <v>87.514598996473595</v>
      </c>
      <c r="AN655">
        <v>0.99999997710465205</v>
      </c>
    </row>
    <row r="656" spans="1:40" x14ac:dyDescent="0.25">
      <c r="A656" t="str">
        <f>"20190312164231347"</f>
        <v>20190312164231347</v>
      </c>
      <c r="B656" t="str">
        <f>"1552380151334687"</f>
        <v>1552380151334687</v>
      </c>
      <c r="C656" t="s">
        <v>40</v>
      </c>
      <c r="D656">
        <v>4.7369089999999998</v>
      </c>
      <c r="E656">
        <v>0.49348189999999997</v>
      </c>
      <c r="F656" t="s">
        <v>42</v>
      </c>
      <c r="G656">
        <v>-272.15109999999999</v>
      </c>
      <c r="H656" s="1">
        <v>-3.840518E-6</v>
      </c>
      <c r="I656">
        <v>366.84809999999999</v>
      </c>
      <c r="J656">
        <v>-288.38240000000002</v>
      </c>
      <c r="K656">
        <v>1.0603590000000001</v>
      </c>
      <c r="L656">
        <v>367.18450000000001</v>
      </c>
      <c r="M656">
        <v>0.99989189999999994</v>
      </c>
      <c r="N656">
        <v>0</v>
      </c>
      <c r="O656">
        <v>-3.0087239999999999E-3</v>
      </c>
      <c r="P656">
        <v>0.99266580000000004</v>
      </c>
      <c r="Q656">
        <v>0.11210199999999999</v>
      </c>
      <c r="R656">
        <v>-4.5251600000000003E-2</v>
      </c>
      <c r="S656">
        <v>3.0415649999999999</v>
      </c>
      <c r="T656">
        <v>-0.19503999999999999</v>
      </c>
      <c r="U656">
        <v>-6.2042239999999999E-2</v>
      </c>
      <c r="V656">
        <v>4.2269210000000002E-2</v>
      </c>
      <c r="W656">
        <v>0.12637000000000001</v>
      </c>
      <c r="X656">
        <v>0.99108220000000002</v>
      </c>
      <c r="Y656">
        <v>1.735594E-2</v>
      </c>
      <c r="Z656">
        <v>-3.6311070000000001E-4</v>
      </c>
      <c r="AA656">
        <v>0.99984930000000005</v>
      </c>
      <c r="AB656">
        <v>32</v>
      </c>
      <c r="AC656">
        <v>16.231300000000001</v>
      </c>
      <c r="AD656">
        <v>-1.0603628405179999</v>
      </c>
      <c r="AE656">
        <v>-0.33640000000002601</v>
      </c>
      <c r="AF656">
        <v>0.28633641943365401</v>
      </c>
      <c r="AG656">
        <v>-1.0603628405179999</v>
      </c>
      <c r="AH656">
        <v>16.163286964592402</v>
      </c>
      <c r="AI656">
        <v>93.752819101905203</v>
      </c>
      <c r="AJ656">
        <v>88.985097987920696</v>
      </c>
      <c r="AK656">
        <v>16.200561823541999</v>
      </c>
      <c r="AL656">
        <v>82.740121531361595</v>
      </c>
      <c r="AM656">
        <v>87.557840809821798</v>
      </c>
      <c r="AN656">
        <v>0.99999999508543203</v>
      </c>
    </row>
    <row r="657" spans="1:40" x14ac:dyDescent="0.25">
      <c r="A657" t="str">
        <f>"20190312164231369"</f>
        <v>20190312164231369</v>
      </c>
      <c r="B657" t="str">
        <f>"1552380151364943"</f>
        <v>1552380151364943</v>
      </c>
      <c r="C657" t="s">
        <v>40</v>
      </c>
      <c r="D657">
        <v>4.5308650000000004</v>
      </c>
      <c r="E657">
        <v>0.49349510000000002</v>
      </c>
      <c r="F657" t="s">
        <v>42</v>
      </c>
      <c r="G657">
        <v>-271.76620000000003</v>
      </c>
      <c r="H657" s="1">
        <v>-4.0025810000000001E-6</v>
      </c>
      <c r="I657">
        <v>366.86520000000002</v>
      </c>
      <c r="J657">
        <v>-288.0659</v>
      </c>
      <c r="K657">
        <v>1.0603590000000001</v>
      </c>
      <c r="L657">
        <v>367.18360000000001</v>
      </c>
      <c r="M657">
        <v>0.99989209999999995</v>
      </c>
      <c r="N657">
        <v>0</v>
      </c>
      <c r="O657">
        <v>-3.0087E-3</v>
      </c>
      <c r="P657">
        <v>0.99268619999999996</v>
      </c>
      <c r="Q657">
        <v>0.1122432</v>
      </c>
      <c r="R657">
        <v>-4.4450730000000001E-2</v>
      </c>
      <c r="S657">
        <v>3.0414119999999998</v>
      </c>
      <c r="T657">
        <v>-0.19408729999999999</v>
      </c>
      <c r="U657">
        <v>-5.8441159999999999E-2</v>
      </c>
      <c r="V657">
        <v>4.1468409999999997E-2</v>
      </c>
      <c r="W657">
        <v>0.12650810000000001</v>
      </c>
      <c r="X657">
        <v>0.99109840000000005</v>
      </c>
      <c r="Y657">
        <v>1.6176280000000001E-2</v>
      </c>
      <c r="Z657">
        <v>-3.2376619999999998E-4</v>
      </c>
      <c r="AA657">
        <v>0.99986909999999896</v>
      </c>
      <c r="AB657">
        <v>32</v>
      </c>
      <c r="AC657">
        <v>16.299699999999898</v>
      </c>
      <c r="AD657">
        <v>-1.060363002581</v>
      </c>
      <c r="AE657">
        <v>-0.31839999999999602</v>
      </c>
      <c r="AF657">
        <v>0.26821790482470398</v>
      </c>
      <c r="AG657">
        <v>-1.060363002581</v>
      </c>
      <c r="AH657">
        <v>16.231916339043099</v>
      </c>
      <c r="AI657">
        <v>93.737073582429304</v>
      </c>
      <c r="AJ657">
        <v>89.053324626445999</v>
      </c>
      <c r="AK657">
        <v>16.268725167615401</v>
      </c>
      <c r="AL657">
        <v>82.732144882168001</v>
      </c>
      <c r="AM657">
        <v>87.604092761791804</v>
      </c>
      <c r="AN657">
        <v>0.99999998343804897</v>
      </c>
    </row>
    <row r="658" spans="1:40" x14ac:dyDescent="0.25">
      <c r="A658" t="str">
        <f>"20190312164231382"</f>
        <v>20190312164231382</v>
      </c>
      <c r="B658" t="str">
        <f>"1552380151374719"</f>
        <v>1552380151374719</v>
      </c>
      <c r="C658" t="s">
        <v>40</v>
      </c>
      <c r="D658">
        <v>4.7335739999999999</v>
      </c>
      <c r="E658">
        <v>0.49348570000000003</v>
      </c>
      <c r="F658" t="s">
        <v>42</v>
      </c>
      <c r="G658">
        <v>-271.23899999999998</v>
      </c>
      <c r="H658" s="1">
        <v>-4.2277920000000002E-6</v>
      </c>
      <c r="I658">
        <v>366.87049999999999</v>
      </c>
      <c r="J658">
        <v>-287.88440000000003</v>
      </c>
      <c r="K658">
        <v>1.0603590000000001</v>
      </c>
      <c r="L658">
        <v>367.18299999999999</v>
      </c>
      <c r="M658">
        <v>0.99989220000000001</v>
      </c>
      <c r="N658">
        <v>0</v>
      </c>
      <c r="O658">
        <v>-3.0088049999999998E-3</v>
      </c>
      <c r="P658">
        <v>0.99270950000000002</v>
      </c>
      <c r="Q658">
        <v>0.1121776</v>
      </c>
      <c r="R658">
        <v>-4.4099190000000003E-2</v>
      </c>
      <c r="S658">
        <v>3.041229</v>
      </c>
      <c r="T658">
        <v>-0.1916455</v>
      </c>
      <c r="U658">
        <v>-5.6579589999999999E-2</v>
      </c>
      <c r="V658">
        <v>4.1116550000000002E-2</v>
      </c>
      <c r="W658">
        <v>0.126441</v>
      </c>
      <c r="X658">
        <v>0.99112160000000005</v>
      </c>
      <c r="Y658">
        <v>1.556739E-2</v>
      </c>
      <c r="Z658">
        <v>-3.005514E-4</v>
      </c>
      <c r="AA658">
        <v>0.99987879999999996</v>
      </c>
      <c r="AB658">
        <v>31</v>
      </c>
      <c r="AC658">
        <v>16.645399999999899</v>
      </c>
      <c r="AD658">
        <v>-1.0603632277920001</v>
      </c>
      <c r="AE658">
        <v>-0.31250000000005601</v>
      </c>
      <c r="AF658">
        <v>0.26135044180002298</v>
      </c>
      <c r="AG658">
        <v>-1.0603632277920001</v>
      </c>
      <c r="AH658">
        <v>16.579009708209298</v>
      </c>
      <c r="AI658">
        <v>93.659095647714906</v>
      </c>
      <c r="AJ658">
        <v>89.096867825048903</v>
      </c>
      <c r="AK658">
        <v>16.614940178441199</v>
      </c>
      <c r="AL658">
        <v>82.736020391569397</v>
      </c>
      <c r="AM658">
        <v>87.6244542196862</v>
      </c>
      <c r="AN658">
        <v>0.99999996157573001</v>
      </c>
    </row>
    <row r="659" spans="1:40" x14ac:dyDescent="0.25">
      <c r="A659" t="str">
        <f>"20190312164231394"</f>
        <v>20190312164231394</v>
      </c>
      <c r="B659" t="str">
        <f>"1552380151384463"</f>
        <v>1552380151384463</v>
      </c>
      <c r="C659" t="s">
        <v>40</v>
      </c>
      <c r="D659">
        <v>4.8089529999999998</v>
      </c>
      <c r="E659">
        <v>0.4934229</v>
      </c>
      <c r="F659" t="s">
        <v>42</v>
      </c>
      <c r="G659">
        <v>-271.06130000000002</v>
      </c>
      <c r="H659" s="1">
        <v>-4.3031390000000004E-6</v>
      </c>
      <c r="I659">
        <v>366.87549999999999</v>
      </c>
      <c r="J659">
        <v>-287.71050000000002</v>
      </c>
      <c r="K659">
        <v>1.0603590000000001</v>
      </c>
      <c r="L659">
        <v>367.1825</v>
      </c>
      <c r="M659">
        <v>0.99989220000000001</v>
      </c>
      <c r="N659">
        <v>0</v>
      </c>
      <c r="O659">
        <v>-3.008672E-3</v>
      </c>
      <c r="P659">
        <v>0.99273109999999998</v>
      </c>
      <c r="Q659">
        <v>0.112161999999999</v>
      </c>
      <c r="R659">
        <v>-4.3644420000000003E-2</v>
      </c>
      <c r="S659">
        <v>3.0411990000000002</v>
      </c>
      <c r="T659">
        <v>-0.19168689999999999</v>
      </c>
      <c r="U659">
        <v>-5.5572509999999999E-2</v>
      </c>
      <c r="V659">
        <v>4.0662009999999998E-2</v>
      </c>
      <c r="W659">
        <v>0.12642400000000001</v>
      </c>
      <c r="X659">
        <v>0.99114259999999998</v>
      </c>
      <c r="Y659">
        <v>1.523735E-2</v>
      </c>
      <c r="Z659">
        <v>-2.902386E-4</v>
      </c>
      <c r="AA659">
        <v>0.99988390000000005</v>
      </c>
      <c r="AB659">
        <v>31</v>
      </c>
      <c r="AC659">
        <v>16.6492</v>
      </c>
      <c r="AD659">
        <v>-1.0603633031389901</v>
      </c>
      <c r="AE659">
        <v>-0.30700000000001598</v>
      </c>
      <c r="AF659">
        <v>0.25586396415455298</v>
      </c>
      <c r="AG659">
        <v>-1.0603633031389901</v>
      </c>
      <c r="AH659">
        <v>16.582807557660299</v>
      </c>
      <c r="AI659">
        <v>93.658279191733698</v>
      </c>
      <c r="AJ659">
        <v>89.116026521158503</v>
      </c>
      <c r="AK659">
        <v>16.618644445236502</v>
      </c>
      <c r="AL659">
        <v>82.737002873470502</v>
      </c>
      <c r="AM659">
        <v>87.650735809783498</v>
      </c>
      <c r="AN659">
        <v>1.0000000401839899</v>
      </c>
    </row>
    <row r="660" spans="1:40" x14ac:dyDescent="0.25">
      <c r="A660" t="str">
        <f>"20190312164231413"</f>
        <v>20190312164231413</v>
      </c>
      <c r="B660" t="str">
        <f>"1552380151404959"</f>
        <v>1552380151404959</v>
      </c>
      <c r="C660" t="s">
        <v>40</v>
      </c>
      <c r="D660">
        <v>4.5607139999999999</v>
      </c>
      <c r="E660">
        <v>0.49323820000000002</v>
      </c>
      <c r="F660" t="s">
        <v>42</v>
      </c>
      <c r="G660">
        <v>-270.90249999999997</v>
      </c>
      <c r="H660" s="1">
        <v>-4.3697629999999997E-6</v>
      </c>
      <c r="I660">
        <v>366.88409999999999</v>
      </c>
      <c r="J660">
        <v>-287.43669999999997</v>
      </c>
      <c r="K660">
        <v>1.0603659999999999</v>
      </c>
      <c r="L660">
        <v>367.18169999999998</v>
      </c>
      <c r="M660">
        <v>0.99989220000000001</v>
      </c>
      <c r="N660">
        <v>0</v>
      </c>
      <c r="O660">
        <v>-3.0086510000000002E-3</v>
      </c>
      <c r="P660">
        <v>0.99277199999999999</v>
      </c>
      <c r="Q660">
        <v>0.1120625</v>
      </c>
      <c r="R660">
        <v>-4.2966320000000002E-2</v>
      </c>
      <c r="S660">
        <v>3.04129</v>
      </c>
      <c r="T660">
        <v>-0.19186439999999999</v>
      </c>
      <c r="U660">
        <v>-5.3985600000000002E-2</v>
      </c>
      <c r="V660">
        <v>3.9983730000000002E-2</v>
      </c>
      <c r="W660">
        <v>0.1263223</v>
      </c>
      <c r="X660">
        <v>0.99118309999999998</v>
      </c>
      <c r="Y660">
        <v>1.471626E-2</v>
      </c>
      <c r="Z660">
        <v>-2.7408119999999998E-4</v>
      </c>
      <c r="AA660">
        <v>0.99989170000000005</v>
      </c>
      <c r="AB660">
        <v>31</v>
      </c>
      <c r="AC660">
        <v>16.534199999999998</v>
      </c>
      <c r="AD660">
        <v>-1.06037036976299</v>
      </c>
      <c r="AE660">
        <v>-0.29759999999998799</v>
      </c>
      <c r="AF660">
        <v>0.24683300529341901</v>
      </c>
      <c r="AG660">
        <v>-1.06037036976299</v>
      </c>
      <c r="AH660">
        <v>16.467314036105499</v>
      </c>
      <c r="AI660">
        <v>93.683915202963107</v>
      </c>
      <c r="AJ660">
        <v>89.141242440028194</v>
      </c>
      <c r="AK660">
        <v>16.503264629075399</v>
      </c>
      <c r="AL660">
        <v>82.742876508187607</v>
      </c>
      <c r="AM660">
        <v>87.689975187004904</v>
      </c>
      <c r="AN660">
        <v>0.99999997993380596</v>
      </c>
    </row>
    <row r="661" spans="1:40" x14ac:dyDescent="0.25">
      <c r="A661" t="str">
        <f>"20190312164231436"</f>
        <v>20190312164231436</v>
      </c>
      <c r="B661" t="str">
        <f>"1552380151424479"</f>
        <v>1552380151424479</v>
      </c>
      <c r="C661" t="s">
        <v>40</v>
      </c>
      <c r="D661">
        <v>4.5514830000000002</v>
      </c>
      <c r="E661">
        <v>0.49309160000000002</v>
      </c>
      <c r="F661" t="s">
        <v>42</v>
      </c>
      <c r="G661">
        <v>-270.80619999999999</v>
      </c>
      <c r="H661" s="1">
        <v>-4.4069080000000003E-6</v>
      </c>
      <c r="I661">
        <v>366.9076</v>
      </c>
      <c r="J661">
        <v>-287.13170000000002</v>
      </c>
      <c r="K661">
        <v>1.060365</v>
      </c>
      <c r="L661">
        <v>367.18079999999998</v>
      </c>
      <c r="M661">
        <v>0.99989240000000001</v>
      </c>
      <c r="N661">
        <v>0</v>
      </c>
      <c r="O661">
        <v>-3.0087460000000001E-3</v>
      </c>
      <c r="P661">
        <v>0.99284879999999998</v>
      </c>
      <c r="Q661">
        <v>0.111656199999999</v>
      </c>
      <c r="R661">
        <v>-4.2243849999999999E-2</v>
      </c>
      <c r="S661">
        <v>3.041595</v>
      </c>
      <c r="T661">
        <v>-0.19393250000000001</v>
      </c>
      <c r="U661">
        <v>-5.0109859999999999E-2</v>
      </c>
      <c r="V661">
        <v>3.9260980000000001E-2</v>
      </c>
      <c r="W661">
        <v>0.12591350000000001</v>
      </c>
      <c r="X661">
        <v>0.99126400000000003</v>
      </c>
      <c r="Y661">
        <v>1.344272E-2</v>
      </c>
      <c r="Z661">
        <v>-2.3644240000000001E-4</v>
      </c>
      <c r="AA661">
        <v>0.99990959999999995</v>
      </c>
      <c r="AB661">
        <v>31</v>
      </c>
      <c r="AC661">
        <v>16.325500000000002</v>
      </c>
      <c r="AD661">
        <v>-1.0603694069079901</v>
      </c>
      <c r="AE661">
        <v>-0.27319999999997402</v>
      </c>
      <c r="AF661">
        <v>0.22313334188175399</v>
      </c>
      <c r="AG661">
        <v>-1.0603694069079901</v>
      </c>
      <c r="AH661">
        <v>16.257680654872502</v>
      </c>
      <c r="AI661">
        <v>93.731347971212102</v>
      </c>
      <c r="AJ661">
        <v>89.213676515391697</v>
      </c>
      <c r="AK661">
        <v>16.293751932663699</v>
      </c>
      <c r="AL661">
        <v>82.766487521962105</v>
      </c>
      <c r="AM661">
        <v>87.731872344913398</v>
      </c>
      <c r="AN661">
        <v>0.99999997586440403</v>
      </c>
    </row>
    <row r="662" spans="1:40" x14ac:dyDescent="0.25">
      <c r="A662" t="str">
        <f>"20190312164231458"</f>
        <v>20190312164231458</v>
      </c>
      <c r="B662" t="str">
        <f>"1552380151454739"</f>
        <v>1552380151454739</v>
      </c>
      <c r="C662" t="s">
        <v>40</v>
      </c>
      <c r="D662">
        <v>4.6356710000000003</v>
      </c>
      <c r="E662">
        <v>0.49295830000000002</v>
      </c>
      <c r="F662" t="s">
        <v>42</v>
      </c>
      <c r="G662">
        <v>-270.92899999999997</v>
      </c>
      <c r="H662" s="1">
        <v>-4.3499499999999997E-6</v>
      </c>
      <c r="I662">
        <v>366.93169999999998</v>
      </c>
      <c r="J662">
        <v>-286.81439999999998</v>
      </c>
      <c r="K662">
        <v>1.0603659999999999</v>
      </c>
      <c r="L662">
        <v>367.1798</v>
      </c>
      <c r="M662">
        <v>0.99989220000000001</v>
      </c>
      <c r="N662">
        <v>0</v>
      </c>
      <c r="O662">
        <v>-3.008602E-3</v>
      </c>
      <c r="P662">
        <v>0.99290789999999995</v>
      </c>
      <c r="Q662">
        <v>0.1113654</v>
      </c>
      <c r="R662">
        <v>-4.1614169999999999E-2</v>
      </c>
      <c r="S662">
        <v>3.041992</v>
      </c>
      <c r="T662">
        <v>-0.1990789</v>
      </c>
      <c r="U662">
        <v>-4.6752929999999998E-2</v>
      </c>
      <c r="V662">
        <v>3.8631279999999997E-2</v>
      </c>
      <c r="W662">
        <v>0.12562029999999999</v>
      </c>
      <c r="X662">
        <v>0.99132600000000004</v>
      </c>
      <c r="Y662">
        <v>1.2338790000000001E-2</v>
      </c>
      <c r="Z662">
        <v>-2.066015E-4</v>
      </c>
      <c r="AA662">
        <v>0.99992380000000003</v>
      </c>
      <c r="AB662">
        <v>31</v>
      </c>
      <c r="AC662">
        <v>15.885399999999899</v>
      </c>
      <c r="AD662">
        <v>-1.0603703499499999</v>
      </c>
      <c r="AE662">
        <v>-0.248100000000022</v>
      </c>
      <c r="AF662">
        <v>0.19941278166065499</v>
      </c>
      <c r="AG662">
        <v>-1.0603703499499999</v>
      </c>
      <c r="AH662">
        <v>15.815621650941001</v>
      </c>
      <c r="AI662">
        <v>93.835394597211206</v>
      </c>
      <c r="AJ662">
        <v>89.277618950634604</v>
      </c>
      <c r="AK662">
        <v>15.852382752831099</v>
      </c>
      <c r="AL662">
        <v>82.783421543617294</v>
      </c>
      <c r="AM662">
        <v>87.768352803690505</v>
      </c>
      <c r="AN662">
        <v>1.00000003692126</v>
      </c>
    </row>
    <row r="663" spans="1:40" x14ac:dyDescent="0.25">
      <c r="A663" t="str">
        <f>"20190312164231483"</f>
        <v>20190312164231483</v>
      </c>
      <c r="B663" t="str">
        <f>"1552380151474259"</f>
        <v>1552380151474259</v>
      </c>
      <c r="C663" t="s">
        <v>40</v>
      </c>
      <c r="D663">
        <v>4.6612920000000004</v>
      </c>
      <c r="E663">
        <v>0.49285630000000002</v>
      </c>
      <c r="F663" t="s">
        <v>42</v>
      </c>
      <c r="G663">
        <v>-271.03489999999999</v>
      </c>
      <c r="H663" s="1">
        <v>-4.3009230000000002E-6</v>
      </c>
      <c r="I663">
        <v>366.952</v>
      </c>
      <c r="J663">
        <v>-286.48329999999999</v>
      </c>
      <c r="K663">
        <v>1.0603720000000001</v>
      </c>
      <c r="L663">
        <v>367.17869999999999</v>
      </c>
      <c r="M663">
        <v>0.99989240000000001</v>
      </c>
      <c r="N663">
        <v>0</v>
      </c>
      <c r="O663">
        <v>-3.0088150000000002E-3</v>
      </c>
      <c r="P663">
        <v>0.99293500000000001</v>
      </c>
      <c r="Q663">
        <v>0.1112158</v>
      </c>
      <c r="R663">
        <v>-4.1366460000000001E-2</v>
      </c>
      <c r="S663">
        <v>3.0425110000000002</v>
      </c>
      <c r="T663">
        <v>-0.2044533</v>
      </c>
      <c r="U663">
        <v>-4.3914790000000002E-2</v>
      </c>
      <c r="V663">
        <v>3.8383149999999998E-2</v>
      </c>
      <c r="W663">
        <v>0.12546789999999999</v>
      </c>
      <c r="X663">
        <v>0.99135490000000004</v>
      </c>
      <c r="Y663">
        <v>1.140442E-2</v>
      </c>
      <c r="Z663">
        <v>-1.8076050000000001E-4</v>
      </c>
      <c r="AA663">
        <v>0.99993500000000002</v>
      </c>
      <c r="AB663">
        <v>31</v>
      </c>
      <c r="AC663">
        <v>15.4483999999999</v>
      </c>
      <c r="AD663">
        <v>-1.0603763009229901</v>
      </c>
      <c r="AE663">
        <v>-0.22669999999999299</v>
      </c>
      <c r="AF663">
        <v>0.17936790659747701</v>
      </c>
      <c r="AG663">
        <v>-1.0603763009229901</v>
      </c>
      <c r="AH663">
        <v>15.376582089356599</v>
      </c>
      <c r="AI663">
        <v>93.944630791141293</v>
      </c>
      <c r="AJ663">
        <v>89.331674759260906</v>
      </c>
      <c r="AK663">
        <v>15.414144397150199</v>
      </c>
      <c r="AL663">
        <v>82.792222782137998</v>
      </c>
      <c r="AM663">
        <v>87.782736969627607</v>
      </c>
      <c r="AN663">
        <v>0.99999999894417102</v>
      </c>
    </row>
    <row r="664" spans="1:40" x14ac:dyDescent="0.25">
      <c r="A664" t="str">
        <f>"20190312164231503"</f>
        <v>20190312164231503</v>
      </c>
      <c r="B664" t="str">
        <f>"1552380151494754"</f>
        <v>1552380151494754</v>
      </c>
      <c r="C664" t="s">
        <v>40</v>
      </c>
      <c r="D664">
        <v>4.7487059999999897</v>
      </c>
      <c r="E664">
        <v>0.4928997</v>
      </c>
      <c r="F664" t="s">
        <v>41</v>
      </c>
      <c r="G664">
        <v>-285.48439999999999</v>
      </c>
      <c r="H664">
        <v>0.99231919999999996</v>
      </c>
      <c r="I664">
        <v>367.16489999999999</v>
      </c>
      <c r="J664">
        <v>-286.18239999999997</v>
      </c>
      <c r="K664">
        <v>1.0603670000000001</v>
      </c>
      <c r="L664">
        <v>367.17779999999999</v>
      </c>
      <c r="M664">
        <v>0.99989240000000001</v>
      </c>
      <c r="N664">
        <v>0</v>
      </c>
      <c r="O664">
        <v>-3.0087909999999998E-3</v>
      </c>
      <c r="P664">
        <v>0.99296090000000004</v>
      </c>
      <c r="Q664">
        <v>0.1111543</v>
      </c>
      <c r="R664">
        <v>-4.0904700000000002E-2</v>
      </c>
      <c r="S664">
        <v>3.0428160000000002</v>
      </c>
      <c r="T664">
        <v>-0.20719270000000001</v>
      </c>
      <c r="U664">
        <v>-4.2358399999999997E-2</v>
      </c>
      <c r="V664">
        <v>3.7921539999999997E-2</v>
      </c>
      <c r="W664">
        <v>0.12540309999999999</v>
      </c>
      <c r="X664">
        <v>0.99138090000000001</v>
      </c>
      <c r="Y664">
        <v>1.089232E-2</v>
      </c>
      <c r="Z664">
        <v>-1.6574649999999999E-4</v>
      </c>
      <c r="AA664">
        <v>0.99994059999999996</v>
      </c>
      <c r="AB664">
        <v>31</v>
      </c>
      <c r="AC664">
        <v>0.69799999999997897</v>
      </c>
      <c r="AD664">
        <v>-6.8047800000000103E-2</v>
      </c>
      <c r="AE664">
        <v>-1.29000000000019E-2</v>
      </c>
      <c r="AF664">
        <v>1.0697947856472399E-2</v>
      </c>
      <c r="AG664">
        <v>-6.8047800000000103E-2</v>
      </c>
      <c r="AH664">
        <v>0.69146604294945502</v>
      </c>
      <c r="AI664">
        <v>95.619763897019496</v>
      </c>
      <c r="AJ664">
        <v>89.113624784590399</v>
      </c>
      <c r="AK664">
        <v>0.69488865131426503</v>
      </c>
      <c r="AL664">
        <v>82.795965365936794</v>
      </c>
      <c r="AM664">
        <v>87.809433855786295</v>
      </c>
      <c r="AN664">
        <v>1.0000000347851901</v>
      </c>
    </row>
    <row r="665" spans="1:40" x14ac:dyDescent="0.25">
      <c r="A665" t="str">
        <f>"20190312164231525"</f>
        <v>20190312164231525</v>
      </c>
      <c r="B665" t="str">
        <f>"1552380151514275"</f>
        <v>1552380151514275</v>
      </c>
      <c r="C665" t="s">
        <v>40</v>
      </c>
      <c r="D665">
        <v>4.5322339999999999</v>
      </c>
      <c r="E665">
        <v>0.49287779999999998</v>
      </c>
      <c r="F665" t="s">
        <v>41</v>
      </c>
      <c r="G665">
        <v>-285.20460000000003</v>
      </c>
      <c r="H665">
        <v>0.99345839999999996</v>
      </c>
      <c r="I665">
        <v>367.16419999999999</v>
      </c>
      <c r="J665">
        <v>-285.88310000000001</v>
      </c>
      <c r="K665">
        <v>1.060368</v>
      </c>
      <c r="L665">
        <v>367.17700000000002</v>
      </c>
      <c r="M665">
        <v>0.99989249999999996</v>
      </c>
      <c r="N665">
        <v>0</v>
      </c>
      <c r="O665">
        <v>-3.0090059999999998E-3</v>
      </c>
      <c r="P665">
        <v>0.99300109999999997</v>
      </c>
      <c r="Q665">
        <v>0.1109528</v>
      </c>
      <c r="R665">
        <v>-4.0480410000000001E-2</v>
      </c>
      <c r="S665">
        <v>3.0428769999999998</v>
      </c>
      <c r="T665">
        <v>-0.20837320000000001</v>
      </c>
      <c r="U665">
        <v>-4.144287E-2</v>
      </c>
      <c r="V665">
        <v>3.7496719999999997E-2</v>
      </c>
      <c r="W665">
        <v>0.12519919999999901</v>
      </c>
      <c r="X665">
        <v>0.99142280000000005</v>
      </c>
      <c r="Y665">
        <v>1.059152E-2</v>
      </c>
      <c r="Z665">
        <v>-1.5638429999999999E-4</v>
      </c>
      <c r="AA665">
        <v>0.9999439</v>
      </c>
      <c r="AB665">
        <v>31</v>
      </c>
      <c r="AC665">
        <v>0.678499999999985</v>
      </c>
      <c r="AD665">
        <v>-6.6909599999999902E-2</v>
      </c>
      <c r="AE665">
        <v>-1.2799999999970099E-2</v>
      </c>
      <c r="AF665">
        <v>1.0654545594791801E-2</v>
      </c>
      <c r="AG665">
        <v>-6.6909599999999902E-2</v>
      </c>
      <c r="AH665">
        <v>0.672002732666793</v>
      </c>
      <c r="AI665">
        <v>95.685344446459197</v>
      </c>
      <c r="AJ665">
        <v>89.091656445609004</v>
      </c>
      <c r="AK665">
        <v>0.67540956953957199</v>
      </c>
      <c r="AL665">
        <v>82.807740571984297</v>
      </c>
      <c r="AM665">
        <v>87.834041849348793</v>
      </c>
      <c r="AN665">
        <v>1.00000000602561</v>
      </c>
    </row>
    <row r="666" spans="1:40" x14ac:dyDescent="0.25">
      <c r="A666" t="str">
        <f>"20190312164231559"</f>
        <v>20190312164231559</v>
      </c>
      <c r="B666" t="str">
        <f>"1552380151554290"</f>
        <v>1552380151554290</v>
      </c>
      <c r="C666" t="s">
        <v>40</v>
      </c>
      <c r="D666">
        <v>4.7004580000000002</v>
      </c>
      <c r="E666">
        <v>0.49292540000000001</v>
      </c>
      <c r="F666" t="s">
        <v>41</v>
      </c>
      <c r="G666">
        <v>-284.92020000000002</v>
      </c>
      <c r="H666">
        <v>0.99369799999999997</v>
      </c>
      <c r="I666">
        <v>367.16399999999999</v>
      </c>
      <c r="J666">
        <v>-285.41120000000001</v>
      </c>
      <c r="K666">
        <v>1.060368</v>
      </c>
      <c r="L666">
        <v>367.17559999999997</v>
      </c>
      <c r="M666">
        <v>0.99989260000000002</v>
      </c>
      <c r="N666">
        <v>0</v>
      </c>
      <c r="O666">
        <v>-3.0089700000000001E-3</v>
      </c>
      <c r="P666">
        <v>0.99296580000000001</v>
      </c>
      <c r="Q666">
        <v>0.1113214</v>
      </c>
      <c r="R666">
        <v>-4.033627E-2</v>
      </c>
      <c r="S666">
        <v>3.0430299999999999</v>
      </c>
      <c r="T666">
        <v>-0.21086070000000001</v>
      </c>
      <c r="U666">
        <v>-4.0344240000000003E-2</v>
      </c>
      <c r="V666">
        <v>3.735281E-2</v>
      </c>
      <c r="W666">
        <v>0.1255616</v>
      </c>
      <c r="X666">
        <v>0.9913824</v>
      </c>
      <c r="Y666">
        <v>1.0230370000000001E-2</v>
      </c>
      <c r="Z666">
        <v>-1.4574459999999999E-4</v>
      </c>
      <c r="AA666">
        <v>0.99994769999999999</v>
      </c>
      <c r="AB666">
        <v>31</v>
      </c>
      <c r="AC666">
        <v>0.490999999999985</v>
      </c>
      <c r="AD666">
        <v>-6.6669999999999993E-2</v>
      </c>
      <c r="AE666">
        <v>-1.15999999999871E-2</v>
      </c>
      <c r="AF666">
        <v>9.9392404203836899E-3</v>
      </c>
      <c r="AG666">
        <v>-6.6669999999999993E-2</v>
      </c>
      <c r="AH666">
        <v>0.48214812147336</v>
      </c>
      <c r="AI666">
        <v>97.871113866318595</v>
      </c>
      <c r="AJ666">
        <v>88.819043660869099</v>
      </c>
      <c r="AK666">
        <v>0.48683722992436002</v>
      </c>
      <c r="AL666">
        <v>82.786811419788407</v>
      </c>
      <c r="AM666">
        <v>87.842258941627904</v>
      </c>
      <c r="AN666">
        <v>1.0000000054196001</v>
      </c>
    </row>
    <row r="667" spans="1:40" x14ac:dyDescent="0.25">
      <c r="A667" t="str">
        <f>"20190312164231581"</f>
        <v>20190312164231581</v>
      </c>
      <c r="B667" t="str">
        <f>"1552380151574786"</f>
        <v>1552380151574786</v>
      </c>
      <c r="C667" t="s">
        <v>40</v>
      </c>
      <c r="D667">
        <v>4.4936210000000001</v>
      </c>
      <c r="E667">
        <v>0.49309809999999998</v>
      </c>
      <c r="F667" t="s">
        <v>42</v>
      </c>
      <c r="G667">
        <v>-270.17340000000002</v>
      </c>
      <c r="H667" s="1">
        <v>-4.6661589999999998E-6</v>
      </c>
      <c r="I667">
        <v>366.97640000000001</v>
      </c>
      <c r="J667">
        <v>-285.09480000000002</v>
      </c>
      <c r="K667">
        <v>1.0603739999999999</v>
      </c>
      <c r="L667">
        <v>367.1746</v>
      </c>
      <c r="M667">
        <v>0.99989249999999996</v>
      </c>
      <c r="N667">
        <v>0</v>
      </c>
      <c r="O667">
        <v>-3.0089460000000002E-3</v>
      </c>
      <c r="P667">
        <v>0.9929308</v>
      </c>
      <c r="Q667">
        <v>0.1114334</v>
      </c>
      <c r="R667">
        <v>-4.0880270000000003E-2</v>
      </c>
      <c r="S667">
        <v>3.0433650000000001</v>
      </c>
      <c r="T667">
        <v>-0.21178140000000001</v>
      </c>
      <c r="U667">
        <v>-3.9764399999999998E-2</v>
      </c>
      <c r="V667">
        <v>3.7896850000000003E-2</v>
      </c>
      <c r="W667">
        <v>0.12567</v>
      </c>
      <c r="X667">
        <v>0.99134800000000001</v>
      </c>
      <c r="Y667">
        <v>1.0038760000000001E-2</v>
      </c>
      <c r="Z667">
        <v>-1.397069E-4</v>
      </c>
      <c r="AA667">
        <v>0.99994959999999999</v>
      </c>
      <c r="AB667">
        <v>31</v>
      </c>
      <c r="AC667">
        <v>14.9214</v>
      </c>
      <c r="AD667">
        <v>-1.060378666159</v>
      </c>
      <c r="AE667">
        <v>-0.198199999999985</v>
      </c>
      <c r="AF667">
        <v>0.15252664805128499</v>
      </c>
      <c r="AG667">
        <v>-1.060378666159</v>
      </c>
      <c r="AH667">
        <v>14.846962961884699</v>
      </c>
      <c r="AI667">
        <v>94.084946249238001</v>
      </c>
      <c r="AJ667">
        <v>89.4114065080892</v>
      </c>
      <c r="AK667">
        <v>14.885562686226701</v>
      </c>
      <c r="AL667">
        <v>82.780550846140898</v>
      </c>
      <c r="AM667">
        <v>87.810786123390699</v>
      </c>
      <c r="AN667">
        <v>0.99999998862196104</v>
      </c>
    </row>
    <row r="668" spans="1:40" x14ac:dyDescent="0.25">
      <c r="A668" t="str">
        <f>"20190312164231603"</f>
        <v>20190312164231603</v>
      </c>
      <c r="B668" t="str">
        <f>"1552380151594307"</f>
        <v>1552380151594307</v>
      </c>
      <c r="C668" t="s">
        <v>40</v>
      </c>
      <c r="D668">
        <v>4.5176730000000003</v>
      </c>
      <c r="E668">
        <v>0.4932571</v>
      </c>
      <c r="F668" t="s">
        <v>41</v>
      </c>
      <c r="G668">
        <v>-284.09469999999999</v>
      </c>
      <c r="H668">
        <v>0.99114760000000002</v>
      </c>
      <c r="I668">
        <v>367.16030000000001</v>
      </c>
      <c r="J668">
        <v>-284.79910000000001</v>
      </c>
      <c r="K668">
        <v>1.0603689999999999</v>
      </c>
      <c r="L668">
        <v>367.1737</v>
      </c>
      <c r="M668">
        <v>0.99989269999999997</v>
      </c>
      <c r="N668">
        <v>0</v>
      </c>
      <c r="O668">
        <v>-3.009042E-3</v>
      </c>
      <c r="P668">
        <v>0.99291410000000002</v>
      </c>
      <c r="Q668">
        <v>0.11156190000000001</v>
      </c>
      <c r="R668">
        <v>-4.0939900000000001E-2</v>
      </c>
      <c r="S668">
        <v>3.0433349999999999</v>
      </c>
      <c r="T668">
        <v>-0.21105599999999999</v>
      </c>
      <c r="U668">
        <v>-4.2480469999999999E-2</v>
      </c>
      <c r="V668">
        <v>3.7956379999999998E-2</v>
      </c>
      <c r="W668">
        <v>0.1257953</v>
      </c>
      <c r="X668">
        <v>0.99132980000000004</v>
      </c>
      <c r="Y668">
        <v>1.0929029999999999E-2</v>
      </c>
      <c r="Z668">
        <v>-1.7005500000000001E-4</v>
      </c>
      <c r="AA668">
        <v>0.9999403</v>
      </c>
      <c r="AB668">
        <v>31</v>
      </c>
      <c r="AC668">
        <v>0.70440000000002101</v>
      </c>
      <c r="AD668">
        <v>-6.92214000000001E-2</v>
      </c>
      <c r="AE668">
        <v>-1.339999999999E-2</v>
      </c>
      <c r="AF668">
        <v>1.1172300449498501E-2</v>
      </c>
      <c r="AG668">
        <v>-6.92214000000001E-2</v>
      </c>
      <c r="AH668">
        <v>0.69770186877276896</v>
      </c>
      <c r="AI668">
        <v>95.665247545123904</v>
      </c>
      <c r="AJ668">
        <v>89.082601054388206</v>
      </c>
      <c r="AK668">
        <v>0.70121631484464697</v>
      </c>
      <c r="AL668">
        <v>82.773314036368902</v>
      </c>
      <c r="AM668">
        <v>87.807310350179407</v>
      </c>
      <c r="AN668">
        <v>0.99999995832641597</v>
      </c>
    </row>
    <row r="669" spans="1:40" x14ac:dyDescent="0.25">
      <c r="A669" t="str">
        <f>"20190312164231626"</f>
        <v>20190312164231626</v>
      </c>
      <c r="B669" t="str">
        <f>"1552380151614803"</f>
        <v>1552380151614803</v>
      </c>
      <c r="C669" t="s">
        <v>40</v>
      </c>
      <c r="D669">
        <v>4.4756049999999998</v>
      </c>
      <c r="E669">
        <v>0.49344060000000001</v>
      </c>
      <c r="F669" t="s">
        <v>41</v>
      </c>
      <c r="G669">
        <v>-283.81630000000001</v>
      </c>
      <c r="H669">
        <v>0.99261860000000002</v>
      </c>
      <c r="I669">
        <v>367.15949999999998</v>
      </c>
      <c r="J669">
        <v>-284.47949999999997</v>
      </c>
      <c r="K669">
        <v>1.060371</v>
      </c>
      <c r="L669">
        <v>367.1728</v>
      </c>
      <c r="M669">
        <v>0.99989269999999997</v>
      </c>
      <c r="N669">
        <v>0</v>
      </c>
      <c r="O669">
        <v>-3.0081769999999999E-3</v>
      </c>
      <c r="P669">
        <v>0.99288900000000002</v>
      </c>
      <c r="Q669">
        <v>0.1117018</v>
      </c>
      <c r="R669">
        <v>-4.1164949999999999E-2</v>
      </c>
      <c r="S669">
        <v>3.0432130000000002</v>
      </c>
      <c r="T669">
        <v>-0.20979629999999999</v>
      </c>
      <c r="U669">
        <v>-4.3884279999999998E-2</v>
      </c>
      <c r="V669">
        <v>3.8182220000000003E-2</v>
      </c>
      <c r="W669">
        <v>0.12593099999999999</v>
      </c>
      <c r="X669">
        <v>0.99130390000000002</v>
      </c>
      <c r="Y669">
        <v>1.139075E-2</v>
      </c>
      <c r="Z669">
        <v>-1.8500379999999999E-4</v>
      </c>
      <c r="AA669">
        <v>0.99993509999999997</v>
      </c>
      <c r="AB669">
        <v>31</v>
      </c>
      <c r="AC669">
        <v>0.66319999999996004</v>
      </c>
      <c r="AD669">
        <v>-6.7752399999999893E-2</v>
      </c>
      <c r="AE669">
        <v>-1.33000000000151E-2</v>
      </c>
      <c r="AF669">
        <v>1.11879937425173E-2</v>
      </c>
      <c r="AG669">
        <v>-6.7752399999999893E-2</v>
      </c>
      <c r="AH669">
        <v>0.65638927284041704</v>
      </c>
      <c r="AI669">
        <v>95.892341506255207</v>
      </c>
      <c r="AJ669">
        <v>89.023502085754501</v>
      </c>
      <c r="AK669">
        <v>0.65997154212110898</v>
      </c>
      <c r="AL669">
        <v>82.765476688239204</v>
      </c>
      <c r="AM669">
        <v>87.794219149238302</v>
      </c>
      <c r="AN669">
        <v>0.99999996042016803</v>
      </c>
    </row>
    <row r="670" spans="1:40" x14ac:dyDescent="0.25">
      <c r="A670" t="str">
        <f>"20190312164231648"</f>
        <v>20190312164231648</v>
      </c>
      <c r="B670" t="str">
        <f>"1552380151645060"</f>
        <v>1552380151645060</v>
      </c>
      <c r="C670" t="s">
        <v>40</v>
      </c>
      <c r="D670">
        <v>4.4676220000000004</v>
      </c>
      <c r="E670">
        <v>0.49366379999999999</v>
      </c>
      <c r="F670" t="s">
        <v>42</v>
      </c>
      <c r="G670">
        <v>-269.04599999999999</v>
      </c>
      <c r="H670" s="1">
        <v>-1.022976E-6</v>
      </c>
      <c r="I670">
        <v>366.9393</v>
      </c>
      <c r="J670">
        <v>-284.16849999999999</v>
      </c>
      <c r="K670">
        <v>1.060376</v>
      </c>
      <c r="L670">
        <v>367.17189999999999</v>
      </c>
      <c r="M670">
        <v>0.99989280000000003</v>
      </c>
      <c r="N670">
        <v>0</v>
      </c>
      <c r="O670">
        <v>-3.0025059999999998E-3</v>
      </c>
      <c r="P670">
        <v>0.99280650000000004</v>
      </c>
      <c r="Q670">
        <v>0.1123773</v>
      </c>
      <c r="R670">
        <v>-4.1317689999999997E-2</v>
      </c>
      <c r="S670">
        <v>3.043091</v>
      </c>
      <c r="T670">
        <v>-0.2090774</v>
      </c>
      <c r="U670">
        <v>-4.6020510000000001E-2</v>
      </c>
      <c r="V670">
        <v>3.834017E-2</v>
      </c>
      <c r="W670">
        <v>0.12660279999999999</v>
      </c>
      <c r="X670">
        <v>0.99121219999999999</v>
      </c>
      <c r="Y670">
        <v>1.209725E-2</v>
      </c>
      <c r="Z670">
        <v>-2.0900730000000001E-4</v>
      </c>
      <c r="AA670">
        <v>0.9999268</v>
      </c>
      <c r="AB670">
        <v>31</v>
      </c>
      <c r="AC670">
        <v>15.1225</v>
      </c>
      <c r="AD670">
        <v>-1.0603770229759999</v>
      </c>
      <c r="AE670">
        <v>-0.23259999999999001</v>
      </c>
      <c r="AF670">
        <v>0.186273258573496</v>
      </c>
      <c r="AG670">
        <v>-1.0603770229759999</v>
      </c>
      <c r="AH670">
        <v>15.049155640196</v>
      </c>
      <c r="AI670">
        <v>94.030143156159895</v>
      </c>
      <c r="AJ670">
        <v>89.290848814556497</v>
      </c>
      <c r="AK670">
        <v>15.087616864188901</v>
      </c>
      <c r="AL670">
        <v>82.726674611599094</v>
      </c>
      <c r="AM670">
        <v>87.784898769133804</v>
      </c>
      <c r="AN670">
        <v>0.99999993151615196</v>
      </c>
    </row>
    <row r="671" spans="1:40" x14ac:dyDescent="0.25">
      <c r="A671" t="str">
        <f>"20190312164231672"</f>
        <v>20190312164231672</v>
      </c>
      <c r="B671" t="str">
        <f>"1552380151664579"</f>
        <v>1552380151664579</v>
      </c>
      <c r="C671" t="s">
        <v>40</v>
      </c>
      <c r="D671">
        <v>4.765028</v>
      </c>
      <c r="E671">
        <v>0.49379980000000001</v>
      </c>
      <c r="F671" t="s">
        <v>42</v>
      </c>
      <c r="G671">
        <v>-268.47919999999999</v>
      </c>
      <c r="H671" s="1">
        <v>-1.2203199999999999E-6</v>
      </c>
      <c r="I671">
        <v>366.92259999999999</v>
      </c>
      <c r="J671">
        <v>-283.84379999999999</v>
      </c>
      <c r="K671">
        <v>1.0603899999999999</v>
      </c>
      <c r="L671">
        <v>367.17090000000002</v>
      </c>
      <c r="M671">
        <v>0.99989280000000003</v>
      </c>
      <c r="N671">
        <v>0</v>
      </c>
      <c r="O671">
        <v>-2.9832740000000002E-3</v>
      </c>
      <c r="P671">
        <v>0.99279030000000001</v>
      </c>
      <c r="Q671">
        <v>0.1124349</v>
      </c>
      <c r="R671">
        <v>-4.1543959999999998E-2</v>
      </c>
      <c r="S671">
        <v>3.0429379999999999</v>
      </c>
      <c r="T671">
        <v>-0.2056597</v>
      </c>
      <c r="U671">
        <v>-4.8339840000000002E-2</v>
      </c>
      <c r="V671">
        <v>3.858342E-2</v>
      </c>
      <c r="W671">
        <v>0.1266572</v>
      </c>
      <c r="X671">
        <v>0.99119590000000002</v>
      </c>
      <c r="Y671">
        <v>1.287806E-2</v>
      </c>
      <c r="Z671">
        <v>-2.332604E-4</v>
      </c>
      <c r="AA671">
        <v>0.99991699999999994</v>
      </c>
      <c r="AB671">
        <v>31</v>
      </c>
      <c r="AC671">
        <v>15.3645999999999</v>
      </c>
      <c r="AD671">
        <v>-1.0603912203200001</v>
      </c>
      <c r="AE671">
        <v>-0.248300000000028</v>
      </c>
      <c r="AF671">
        <v>0.20149786896775501</v>
      </c>
      <c r="AG671">
        <v>-1.0603912203200001</v>
      </c>
      <c r="AH671">
        <v>15.292451971877901</v>
      </c>
      <c r="AI671">
        <v>93.966244191499698</v>
      </c>
      <c r="AJ671">
        <v>89.245097552874</v>
      </c>
      <c r="AK671">
        <v>15.330496346939499</v>
      </c>
      <c r="AL671">
        <v>82.723533069348804</v>
      </c>
      <c r="AM671">
        <v>87.770822525769304</v>
      </c>
      <c r="AN671">
        <v>1.0000000193937699</v>
      </c>
    </row>
    <row r="672" spans="1:40" x14ac:dyDescent="0.25">
      <c r="A672" t="str">
        <f>"20190312164231693"</f>
        <v>20190312164231693</v>
      </c>
      <c r="B672" t="str">
        <f>"1552380151684099"</f>
        <v>1552380151684099</v>
      </c>
      <c r="C672" t="s">
        <v>40</v>
      </c>
      <c r="D672">
        <v>4.6317729999999999</v>
      </c>
      <c r="E672">
        <v>0.51321379999999905</v>
      </c>
      <c r="F672" t="s">
        <v>42</v>
      </c>
      <c r="G672">
        <v>-268.12009999999998</v>
      </c>
      <c r="H672" s="1">
        <v>-1.343581E-6</v>
      </c>
      <c r="I672">
        <v>366.91860000000003</v>
      </c>
      <c r="J672">
        <v>-283.54349999999999</v>
      </c>
      <c r="K672">
        <v>1.0604089999999999</v>
      </c>
      <c r="L672">
        <v>367.17</v>
      </c>
      <c r="M672">
        <v>0.99989300000000003</v>
      </c>
      <c r="N672">
        <v>0</v>
      </c>
      <c r="O672">
        <v>-2.9469069999999999E-3</v>
      </c>
      <c r="P672">
        <v>0.99277499999999996</v>
      </c>
      <c r="Q672">
        <v>0.1123598</v>
      </c>
      <c r="R672">
        <v>-4.2111490000000001E-2</v>
      </c>
      <c r="S672">
        <v>3.0429379999999999</v>
      </c>
      <c r="T672">
        <v>-0.20521300000000001</v>
      </c>
      <c r="U672">
        <v>-4.8828129999999997E-2</v>
      </c>
      <c r="V672">
        <v>3.9183030000000001E-2</v>
      </c>
      <c r="W672">
        <v>0.12657959999999999</v>
      </c>
      <c r="X672">
        <v>0.99118229999999996</v>
      </c>
      <c r="Y672">
        <v>1.307441E-2</v>
      </c>
      <c r="Z672">
        <v>-2.4181730000000001E-4</v>
      </c>
      <c r="AA672">
        <v>0.99991450000000004</v>
      </c>
      <c r="AB672">
        <v>31</v>
      </c>
      <c r="AC672">
        <v>15.423400000000001</v>
      </c>
      <c r="AD672">
        <v>-1.0604103435809999</v>
      </c>
      <c r="AE672">
        <v>-0.25139999999998902</v>
      </c>
      <c r="AF672">
        <v>0.204974255791251</v>
      </c>
      <c r="AG672">
        <v>-1.0604103435809999</v>
      </c>
      <c r="AH672">
        <v>15.351526209827901</v>
      </c>
      <c r="AI672">
        <v>93.951091959298296</v>
      </c>
      <c r="AJ672">
        <v>89.235029678811301</v>
      </c>
      <c r="AK672">
        <v>15.389471774994201</v>
      </c>
      <c r="AL672">
        <v>82.728015362837596</v>
      </c>
      <c r="AM672">
        <v>87.736184479042507</v>
      </c>
      <c r="AN672">
        <v>1.0000000284047099</v>
      </c>
    </row>
    <row r="673" spans="1:40" x14ac:dyDescent="0.25">
      <c r="A673" t="str">
        <f>"20190312164231715"</f>
        <v>20190312164231715</v>
      </c>
      <c r="B673" t="str">
        <f>"1552380151704595"</f>
        <v>1552380151704595</v>
      </c>
      <c r="C673" t="s">
        <v>40</v>
      </c>
      <c r="D673">
        <v>4.5320539999999996</v>
      </c>
      <c r="E673">
        <v>0.51573780000000002</v>
      </c>
      <c r="F673" t="s">
        <v>41</v>
      </c>
      <c r="G673">
        <v>-282.70319999999998</v>
      </c>
      <c r="H673">
        <v>1.002248</v>
      </c>
      <c r="I673">
        <v>367.11329999999998</v>
      </c>
      <c r="J673">
        <v>-283.25259999999997</v>
      </c>
      <c r="K673">
        <v>1.060425</v>
      </c>
      <c r="L673">
        <v>367.16930000000002</v>
      </c>
      <c r="M673">
        <v>0.99989320000000004</v>
      </c>
      <c r="N673">
        <v>0</v>
      </c>
      <c r="O673">
        <v>-2.8905580000000001E-3</v>
      </c>
      <c r="P673">
        <v>0.99276719999999896</v>
      </c>
      <c r="Q673">
        <v>0.11223909999999999</v>
      </c>
      <c r="R673">
        <v>-4.2612990000000003E-2</v>
      </c>
      <c r="S673">
        <v>3.0369570000000001</v>
      </c>
      <c r="T673">
        <v>-0.21030270000000001</v>
      </c>
      <c r="U673">
        <v>-0.2053528</v>
      </c>
      <c r="V673">
        <v>3.9735359999999997E-2</v>
      </c>
      <c r="W673">
        <v>0.1264575</v>
      </c>
      <c r="X673">
        <v>0.9911759</v>
      </c>
      <c r="Y673">
        <v>6.4432639999999999E-2</v>
      </c>
      <c r="Z673">
        <v>-2.0259969999999999E-3</v>
      </c>
      <c r="AA673">
        <v>0.99792000000000003</v>
      </c>
      <c r="AB673">
        <v>31</v>
      </c>
      <c r="AC673">
        <v>0.54939999999999101</v>
      </c>
      <c r="AD673">
        <v>-5.8176999999999902E-2</v>
      </c>
      <c r="AE673">
        <v>-5.6000000000039997E-2</v>
      </c>
      <c r="AF673">
        <v>5.3814310579168897E-2</v>
      </c>
      <c r="AG673">
        <v>-5.8176999999999902E-2</v>
      </c>
      <c r="AH673">
        <v>0.54352763708167395</v>
      </c>
      <c r="AI673">
        <v>96.079944572972707</v>
      </c>
      <c r="AJ673">
        <v>84.345611220657801</v>
      </c>
      <c r="AK673">
        <v>0.54927482704352903</v>
      </c>
      <c r="AL673">
        <v>82.735067871572497</v>
      </c>
      <c r="AM673">
        <v>87.704292486344897</v>
      </c>
      <c r="AN673">
        <v>1.0000000314406901</v>
      </c>
    </row>
    <row r="674" spans="1:40" x14ac:dyDescent="0.25">
      <c r="A674" t="str">
        <f>"20190312164231738"</f>
        <v>20190312164231738</v>
      </c>
      <c r="B674" t="str">
        <f>"1552380151734382"</f>
        <v>1552380151734382</v>
      </c>
      <c r="C674" t="s">
        <v>40</v>
      </c>
      <c r="D674">
        <v>4.6320790000000001</v>
      </c>
      <c r="E674">
        <v>0.51706249999999998</v>
      </c>
      <c r="F674" t="s">
        <v>41</v>
      </c>
      <c r="G674">
        <v>-282.42129999999997</v>
      </c>
      <c r="H674">
        <v>1.0031330000000001</v>
      </c>
      <c r="I674">
        <v>367.10649999999998</v>
      </c>
      <c r="J674">
        <v>-282.94569999999999</v>
      </c>
      <c r="K674">
        <v>1.060433</v>
      </c>
      <c r="L674">
        <v>367.16840000000002</v>
      </c>
      <c r="M674">
        <v>0.99989349999999999</v>
      </c>
      <c r="N674">
        <v>0</v>
      </c>
      <c r="O674">
        <v>-2.8067439999999999E-3</v>
      </c>
      <c r="P674">
        <v>0.99283999999999994</v>
      </c>
      <c r="Q674">
        <v>0.1114441</v>
      </c>
      <c r="R674">
        <v>-4.3003779999999998E-2</v>
      </c>
      <c r="S674">
        <v>3.0357669999999999</v>
      </c>
      <c r="T674">
        <v>-0.2095793</v>
      </c>
      <c r="U674">
        <v>-0.22772220000000001</v>
      </c>
      <c r="V674">
        <v>4.0202830000000002E-2</v>
      </c>
      <c r="W674">
        <v>0.12566240000000001</v>
      </c>
      <c r="X674">
        <v>0.99125810000000003</v>
      </c>
      <c r="Y674">
        <v>7.1840070000000006E-2</v>
      </c>
      <c r="Z674">
        <v>-2.2801090000000002E-3</v>
      </c>
      <c r="AA674">
        <v>0.99741360000000001</v>
      </c>
      <c r="AB674">
        <v>31</v>
      </c>
      <c r="AC674">
        <v>0.52440000000001397</v>
      </c>
      <c r="AD674">
        <v>-5.72999999999999E-2</v>
      </c>
      <c r="AE674">
        <v>-6.1900000000036898E-2</v>
      </c>
      <c r="AF674">
        <v>5.9724471021254E-2</v>
      </c>
      <c r="AG674">
        <v>-5.72999999999999E-2</v>
      </c>
      <c r="AH674">
        <v>0.51846655513639095</v>
      </c>
      <c r="AI674">
        <v>96.265532308049998</v>
      </c>
      <c r="AJ674">
        <v>83.428807948434198</v>
      </c>
      <c r="AK674">
        <v>0.52503130500358197</v>
      </c>
      <c r="AL674">
        <v>82.780989591780298</v>
      </c>
      <c r="AM674">
        <v>87.677506247081894</v>
      </c>
      <c r="AN674">
        <v>0.99999996356468801</v>
      </c>
    </row>
    <row r="675" spans="1:40" x14ac:dyDescent="0.25">
      <c r="A675" t="str">
        <f>"20190312164231760"</f>
        <v>20190312164231760</v>
      </c>
      <c r="B675" t="str">
        <f>"1552380151754878"</f>
        <v>1552380151754878</v>
      </c>
      <c r="C675" t="s">
        <v>40</v>
      </c>
      <c r="D675">
        <v>4.8346739999999997</v>
      </c>
      <c r="E675">
        <v>0.517978299999999</v>
      </c>
      <c r="F675" t="s">
        <v>42</v>
      </c>
      <c r="G675">
        <v>-267.65010000000001</v>
      </c>
      <c r="H675" s="1">
        <v>-1.757863E-6</v>
      </c>
      <c r="I675">
        <v>365.96280000000002</v>
      </c>
      <c r="J675">
        <v>-282.62599999999998</v>
      </c>
      <c r="K675">
        <v>1.060451</v>
      </c>
      <c r="L675">
        <v>367.16770000000002</v>
      </c>
      <c r="M675">
        <v>0.99989399999999995</v>
      </c>
      <c r="N675">
        <v>0</v>
      </c>
      <c r="O675">
        <v>-2.6956419999999998E-3</v>
      </c>
      <c r="P675">
        <v>0.99287380000000003</v>
      </c>
      <c r="Q675">
        <v>0.11112379999999999</v>
      </c>
      <c r="R675">
        <v>-4.3051529999999998E-2</v>
      </c>
      <c r="S675">
        <v>3.0348820000000001</v>
      </c>
      <c r="T675">
        <v>-0.21040449999999999</v>
      </c>
      <c r="U675">
        <v>-0.23919679999999999</v>
      </c>
      <c r="V675">
        <v>4.0354830000000001E-2</v>
      </c>
      <c r="W675">
        <v>0.1253407</v>
      </c>
      <c r="X675">
        <v>0.99129270000000003</v>
      </c>
      <c r="Y675">
        <v>7.5710169999999993E-2</v>
      </c>
      <c r="Z675">
        <v>-2.430869E-3</v>
      </c>
      <c r="AA675">
        <v>0.99712690000000004</v>
      </c>
      <c r="AB675">
        <v>31</v>
      </c>
      <c r="AC675">
        <v>14.9758999999999</v>
      </c>
      <c r="AD675">
        <v>-1.0604527578630001</v>
      </c>
      <c r="AE675">
        <v>-1.2049000000000001</v>
      </c>
      <c r="AF675">
        <v>1.15874905702432</v>
      </c>
      <c r="AG675">
        <v>-1.0604527578630001</v>
      </c>
      <c r="AH675">
        <v>14.9048395398511</v>
      </c>
      <c r="AI675">
        <v>94.0574328669545</v>
      </c>
      <c r="AJ675">
        <v>85.554587705632699</v>
      </c>
      <c r="AK675">
        <v>14.987378060805799</v>
      </c>
      <c r="AL675">
        <v>82.799568878466701</v>
      </c>
      <c r="AM675">
        <v>87.6688162473543</v>
      </c>
      <c r="AN675">
        <v>1.0000000102270501</v>
      </c>
    </row>
    <row r="676" spans="1:40" x14ac:dyDescent="0.25">
      <c r="A676" t="str">
        <f>"20190312164231783"</f>
        <v>20190312164231783</v>
      </c>
      <c r="B676" t="str">
        <f>"1552380151774401"</f>
        <v>1552380151774401</v>
      </c>
      <c r="C676" t="s">
        <v>40</v>
      </c>
      <c r="D676">
        <v>4.7540290000000001</v>
      </c>
      <c r="E676">
        <v>0.51847829999999995</v>
      </c>
      <c r="F676" t="s">
        <v>42</v>
      </c>
      <c r="G676">
        <v>-266.87290000000002</v>
      </c>
      <c r="H676" s="1">
        <v>-2.0436860000000001E-6</v>
      </c>
      <c r="I676">
        <v>365.88249999999999</v>
      </c>
      <c r="J676">
        <v>-282.32380000000001</v>
      </c>
      <c r="K676">
        <v>1.0604690000000001</v>
      </c>
      <c r="L676">
        <v>367.1669</v>
      </c>
      <c r="M676">
        <v>0.99989430000000001</v>
      </c>
      <c r="N676">
        <v>0</v>
      </c>
      <c r="O676">
        <v>-2.5702120000000001E-3</v>
      </c>
      <c r="P676">
        <v>0.9929152</v>
      </c>
      <c r="Q676">
        <v>0.1108372</v>
      </c>
      <c r="R676">
        <v>-4.2832479999999999E-2</v>
      </c>
      <c r="S676">
        <v>3.0336609999999999</v>
      </c>
      <c r="T676">
        <v>-0.20421600000000001</v>
      </c>
      <c r="U676">
        <v>-0.24746699999999999</v>
      </c>
      <c r="V676">
        <v>4.0256260000000002E-2</v>
      </c>
      <c r="W676">
        <v>0.1250531</v>
      </c>
      <c r="X676">
        <v>0.99133300000000002</v>
      </c>
      <c r="Y676">
        <v>7.8570570000000006E-2</v>
      </c>
      <c r="Z676">
        <v>-2.464651E-3</v>
      </c>
      <c r="AA676">
        <v>0.9969055</v>
      </c>
      <c r="AB676">
        <v>31</v>
      </c>
      <c r="AC676">
        <v>15.450899999999899</v>
      </c>
      <c r="AD676">
        <v>-1.0604710436859901</v>
      </c>
      <c r="AE676">
        <v>-1.2844</v>
      </c>
      <c r="AF676">
        <v>1.2388835822847</v>
      </c>
      <c r="AG676">
        <v>-1.0604710436859901</v>
      </c>
      <c r="AH676">
        <v>15.382186129567501</v>
      </c>
      <c r="AI676">
        <v>93.931127532609807</v>
      </c>
      <c r="AJ676">
        <v>85.395328542606194</v>
      </c>
      <c r="AK676">
        <v>15.468389751024899</v>
      </c>
      <c r="AL676">
        <v>82.816177611114696</v>
      </c>
      <c r="AM676">
        <v>87.674598529916096</v>
      </c>
      <c r="AN676">
        <v>0.99999998058889805</v>
      </c>
    </row>
    <row r="677" spans="1:40" x14ac:dyDescent="0.25">
      <c r="A677" t="str">
        <f>"20190312164231804"</f>
        <v>20190312164231804</v>
      </c>
      <c r="B677" t="str">
        <f>"1552380151794894"</f>
        <v>1552380151794894</v>
      </c>
      <c r="C677" t="s">
        <v>40</v>
      </c>
      <c r="D677">
        <v>4.704828</v>
      </c>
      <c r="E677">
        <v>0.51818999999999904</v>
      </c>
      <c r="F677" t="s">
        <v>41</v>
      </c>
      <c r="G677">
        <v>-281.33890000000002</v>
      </c>
      <c r="H677">
        <v>0.99477850000000001</v>
      </c>
      <c r="I677">
        <v>367.08499999999998</v>
      </c>
      <c r="J677">
        <v>-282.02640000000002</v>
      </c>
      <c r="K677">
        <v>1.0604819999999999</v>
      </c>
      <c r="L677">
        <v>367.16629999999998</v>
      </c>
      <c r="M677">
        <v>0.99989450000000002</v>
      </c>
      <c r="N677">
        <v>0</v>
      </c>
      <c r="O677">
        <v>-2.434491E-3</v>
      </c>
      <c r="P677">
        <v>0.99292840000000004</v>
      </c>
      <c r="Q677">
        <v>0.1109743</v>
      </c>
      <c r="R677">
        <v>-4.2162959999999999E-2</v>
      </c>
      <c r="S677">
        <v>3.0332029999999999</v>
      </c>
      <c r="T677">
        <v>-0.20267950000000001</v>
      </c>
      <c r="U677">
        <v>-0.25109860000000001</v>
      </c>
      <c r="V677">
        <v>3.9718509999999999E-2</v>
      </c>
      <c r="W677">
        <v>0.12518789999999999</v>
      </c>
      <c r="X677">
        <v>0.99133769999999999</v>
      </c>
      <c r="Y677">
        <v>7.9902860000000006E-2</v>
      </c>
      <c r="Z677">
        <v>-2.499827E-3</v>
      </c>
      <c r="AA677">
        <v>0.99679949999999995</v>
      </c>
      <c r="AB677">
        <v>31</v>
      </c>
      <c r="AC677">
        <v>0.6875</v>
      </c>
      <c r="AD677">
        <v>-6.5703499999999901E-2</v>
      </c>
      <c r="AE677">
        <v>-8.1299999999998804E-2</v>
      </c>
      <c r="AF677">
        <v>7.8915053748894501E-2</v>
      </c>
      <c r="AG677">
        <v>-6.5703499999999901E-2</v>
      </c>
      <c r="AH677">
        <v>0.68155683755988195</v>
      </c>
      <c r="AI677">
        <v>95.470095473097302</v>
      </c>
      <c r="AJ677">
        <v>83.395334870448707</v>
      </c>
      <c r="AK677">
        <v>0.68924905400375303</v>
      </c>
      <c r="AL677">
        <v>82.808393125887207</v>
      </c>
      <c r="AM677">
        <v>87.705639085088293</v>
      </c>
      <c r="AN677">
        <v>1.0000000028921501</v>
      </c>
    </row>
    <row r="678" spans="1:40" x14ac:dyDescent="0.25">
      <c r="A678" t="str">
        <f>"20190312164231827"</f>
        <v>20190312164231827</v>
      </c>
      <c r="B678" t="str">
        <f>"1552380151814414"</f>
        <v>1552380151814414</v>
      </c>
      <c r="C678" t="s">
        <v>40</v>
      </c>
      <c r="D678">
        <v>4.5703740000000002</v>
      </c>
      <c r="E678">
        <v>0.51823710000000001</v>
      </c>
      <c r="F678" t="s">
        <v>41</v>
      </c>
      <c r="G678">
        <v>-281.0652</v>
      </c>
      <c r="H678">
        <v>0.99478100000000003</v>
      </c>
      <c r="I678">
        <v>367.08800000000002</v>
      </c>
      <c r="J678">
        <v>-281.72199999999998</v>
      </c>
      <c r="K678">
        <v>1.0604960000000001</v>
      </c>
      <c r="L678">
        <v>367.16570000000002</v>
      </c>
      <c r="M678">
        <v>0.99989490000000003</v>
      </c>
      <c r="N678">
        <v>0</v>
      </c>
      <c r="O678">
        <v>-2.2894090000000001E-3</v>
      </c>
      <c r="P678">
        <v>0.99287320000000001</v>
      </c>
      <c r="Q678">
        <v>0.11140849999999999</v>
      </c>
      <c r="R678">
        <v>-4.2320330000000003E-2</v>
      </c>
      <c r="S678">
        <v>3.034119</v>
      </c>
      <c r="T678">
        <v>-0.20747959999999999</v>
      </c>
      <c r="U678">
        <v>-0.2467346</v>
      </c>
      <c r="V678">
        <v>4.0018039999999998E-2</v>
      </c>
      <c r="W678">
        <v>0.12561839999999999</v>
      </c>
      <c r="X678">
        <v>0.99127120000000002</v>
      </c>
      <c r="Y678">
        <v>7.8593129999999997E-2</v>
      </c>
      <c r="Z678">
        <v>-2.523515E-3</v>
      </c>
      <c r="AA678">
        <v>0.9969036</v>
      </c>
      <c r="AB678">
        <v>31</v>
      </c>
      <c r="AC678">
        <v>0.65679999999997496</v>
      </c>
      <c r="AD678">
        <v>-6.5714999999999898E-2</v>
      </c>
      <c r="AE678">
        <v>-7.7699999999992997E-2</v>
      </c>
      <c r="AF678">
        <v>7.5451068160522106E-2</v>
      </c>
      <c r="AG678">
        <v>-6.5714999999999898E-2</v>
      </c>
      <c r="AH678">
        <v>0.65055359712401395</v>
      </c>
      <c r="AI678">
        <v>95.729957349664005</v>
      </c>
      <c r="AJ678">
        <v>83.384404801170405</v>
      </c>
      <c r="AK678">
        <v>0.658203089967343</v>
      </c>
      <c r="AL678">
        <v>82.783531071876794</v>
      </c>
      <c r="AM678">
        <v>87.688200365376701</v>
      </c>
      <c r="AN678">
        <v>1.00000000894672</v>
      </c>
    </row>
    <row r="679" spans="1:40" x14ac:dyDescent="0.25">
      <c r="A679" t="str">
        <f>"20190312164231850"</f>
        <v>20190312164231850</v>
      </c>
      <c r="B679" t="str">
        <f>"1552380151844670"</f>
        <v>1552380151844670</v>
      </c>
      <c r="C679" t="s">
        <v>40</v>
      </c>
      <c r="D679">
        <v>4.5678099999999997</v>
      </c>
      <c r="E679">
        <v>0.51916969999999996</v>
      </c>
      <c r="F679" t="s">
        <v>41</v>
      </c>
      <c r="G679">
        <v>-280.78910000000002</v>
      </c>
      <c r="H679">
        <v>0.99757030000000002</v>
      </c>
      <c r="I679">
        <v>367.08949999999999</v>
      </c>
      <c r="J679">
        <v>-281.4042</v>
      </c>
      <c r="K679">
        <v>1.060505</v>
      </c>
      <c r="L679">
        <v>367.16520000000003</v>
      </c>
      <c r="M679">
        <v>0.99989550000000005</v>
      </c>
      <c r="N679">
        <v>0</v>
      </c>
      <c r="O679">
        <v>-2.134833E-3</v>
      </c>
      <c r="P679">
        <v>0.99281079999999999</v>
      </c>
      <c r="Q679">
        <v>0.11203970000000001</v>
      </c>
      <c r="R679">
        <v>-4.2120329999999997E-2</v>
      </c>
      <c r="S679">
        <v>3.034027</v>
      </c>
      <c r="T679">
        <v>-0.204924</v>
      </c>
      <c r="U679">
        <v>-0.24691769999999999</v>
      </c>
      <c r="V679">
        <v>3.9970249999999999E-2</v>
      </c>
      <c r="W679">
        <v>0.12624560000000001</v>
      </c>
      <c r="X679">
        <v>0.9911934</v>
      </c>
      <c r="Y679">
        <v>7.8812919999999995E-2</v>
      </c>
      <c r="Z679">
        <v>-2.5103859999999999E-3</v>
      </c>
      <c r="AA679">
        <v>0.9968863</v>
      </c>
      <c r="AB679">
        <v>31</v>
      </c>
      <c r="AC679">
        <v>0.61509999999998399</v>
      </c>
      <c r="AD679">
        <v>-6.2934699999999899E-2</v>
      </c>
      <c r="AE679">
        <v>-7.5700000000040193E-2</v>
      </c>
      <c r="AF679">
        <v>7.3627282429529997E-2</v>
      </c>
      <c r="AG679">
        <v>-6.2934699999999899E-2</v>
      </c>
      <c r="AH679">
        <v>0.60898016589759596</v>
      </c>
      <c r="AI679">
        <v>95.857894851898706</v>
      </c>
      <c r="AJ679">
        <v>83.106251276104501</v>
      </c>
      <c r="AK679">
        <v>0.61663489654633596</v>
      </c>
      <c r="AL679">
        <v>82.747306447003695</v>
      </c>
      <c r="AM679">
        <v>87.690777109478702</v>
      </c>
      <c r="AN679">
        <v>0.99999996430398996</v>
      </c>
    </row>
    <row r="680" spans="1:40" x14ac:dyDescent="0.25">
      <c r="A680" t="str">
        <f>"20190312164231871"</f>
        <v>20190312164231871</v>
      </c>
      <c r="B680" t="str">
        <f>"1552380151864190"</f>
        <v>1552380151864190</v>
      </c>
      <c r="C680" t="s">
        <v>40</v>
      </c>
      <c r="D680">
        <v>4.5313780000000001</v>
      </c>
      <c r="E680">
        <v>0.51965519999999998</v>
      </c>
      <c r="F680" t="s">
        <v>41</v>
      </c>
      <c r="G680">
        <v>-280.51100000000002</v>
      </c>
      <c r="H680">
        <v>1.002982</v>
      </c>
      <c r="I680">
        <v>367.09019999999998</v>
      </c>
      <c r="J680">
        <v>-281.10520000000002</v>
      </c>
      <c r="K680">
        <v>1.0606420000000001</v>
      </c>
      <c r="L680">
        <v>367.16469999999998</v>
      </c>
      <c r="M680">
        <v>0.99988869999999996</v>
      </c>
      <c r="N680">
        <v>0</v>
      </c>
      <c r="O680">
        <v>-1.9989439999999999E-3</v>
      </c>
      <c r="P680">
        <v>0.99279649999999997</v>
      </c>
      <c r="Q680">
        <v>0.11199149999999999</v>
      </c>
      <c r="R680">
        <v>-4.258079E-2</v>
      </c>
      <c r="S680">
        <v>3.0329899999999999</v>
      </c>
      <c r="T680">
        <v>-0.1954641</v>
      </c>
      <c r="U680">
        <v>-0.25411990000000001</v>
      </c>
      <c r="V680">
        <v>4.0566049999999999E-2</v>
      </c>
      <c r="W680">
        <v>0.1266747</v>
      </c>
      <c r="X680">
        <v>0.99111450000000001</v>
      </c>
      <c r="Y680">
        <v>8.1336950000000005E-2</v>
      </c>
      <c r="Z680">
        <v>-2.4851640000000002E-3</v>
      </c>
      <c r="AA680">
        <v>0.99668350000000006</v>
      </c>
      <c r="AB680">
        <v>31</v>
      </c>
      <c r="AC680">
        <v>0.59420000000005702</v>
      </c>
      <c r="AD680">
        <v>-5.7660000000000003E-2</v>
      </c>
      <c r="AE680">
        <v>-7.4500000000000399E-2</v>
      </c>
      <c r="AF680">
        <v>7.2638542451881394E-2</v>
      </c>
      <c r="AG680">
        <v>-5.7660000000000003E-2</v>
      </c>
      <c r="AH680">
        <v>0.58888837378463499</v>
      </c>
      <c r="AI680">
        <v>95.550393886808394</v>
      </c>
      <c r="AJ680">
        <v>82.968166435658901</v>
      </c>
      <c r="AK680">
        <v>0.59614641677044899</v>
      </c>
      <c r="AL680">
        <v>82.722522241849603</v>
      </c>
      <c r="AM680">
        <v>87.656207373018006</v>
      </c>
      <c r="AN680">
        <v>1.0000000180714701</v>
      </c>
    </row>
    <row r="681" spans="1:40" x14ac:dyDescent="0.25">
      <c r="A681" t="str">
        <f>"20190312164231895"</f>
        <v>20190312164231895</v>
      </c>
      <c r="B681" t="str">
        <f>"1552380151884686"</f>
        <v>1552380151884686</v>
      </c>
      <c r="C681" t="s">
        <v>40</v>
      </c>
      <c r="D681">
        <v>4.695125</v>
      </c>
      <c r="E681">
        <v>0.52005579999999996</v>
      </c>
      <c r="F681" t="s">
        <v>42</v>
      </c>
      <c r="G681">
        <v>-264.3922</v>
      </c>
      <c r="H681" s="1">
        <v>-3.077163E-6</v>
      </c>
      <c r="I681">
        <v>365.73149999999998</v>
      </c>
      <c r="J681">
        <v>-280.7953</v>
      </c>
      <c r="K681">
        <v>1.0611600000000001</v>
      </c>
      <c r="L681">
        <v>367.16419999999999</v>
      </c>
      <c r="M681">
        <v>0.9998707</v>
      </c>
      <c r="N681">
        <v>0</v>
      </c>
      <c r="O681">
        <v>-1.870968E-3</v>
      </c>
      <c r="P681">
        <v>0.99284709999999998</v>
      </c>
      <c r="Q681">
        <v>0.11148189999999999</v>
      </c>
      <c r="R681">
        <v>-4.2741290000000001E-2</v>
      </c>
      <c r="S681">
        <v>3.0322879999999999</v>
      </c>
      <c r="T681">
        <v>-0.1924351</v>
      </c>
      <c r="U681">
        <v>-0.26000980000000001</v>
      </c>
      <c r="V681">
        <v>4.0855309999999999E-2</v>
      </c>
      <c r="W681">
        <v>0.12734110000000001</v>
      </c>
      <c r="X681">
        <v>0.99101719999999904</v>
      </c>
      <c r="Y681">
        <v>8.3406220000000003E-2</v>
      </c>
      <c r="Z681">
        <v>-2.5206650000000001E-3</v>
      </c>
      <c r="AA681">
        <v>0.99651239999999996</v>
      </c>
      <c r="AB681">
        <v>31</v>
      </c>
      <c r="AC681">
        <v>16.403099999999899</v>
      </c>
      <c r="AD681">
        <v>-1.0611630771630001</v>
      </c>
      <c r="AE681">
        <v>-1.4327000000000101</v>
      </c>
      <c r="AF681">
        <v>1.39620479715368</v>
      </c>
      <c r="AG681">
        <v>-1.0611630771630001</v>
      </c>
      <c r="AH681">
        <v>16.337893098234101</v>
      </c>
      <c r="AI681">
        <v>93.702741950135206</v>
      </c>
      <c r="AJ681">
        <v>85.115480927491404</v>
      </c>
      <c r="AK681">
        <v>16.431743845412502</v>
      </c>
      <c r="AL681">
        <v>82.684028478859005</v>
      </c>
      <c r="AM681">
        <v>87.6392820839405</v>
      </c>
      <c r="AN681">
        <v>1.00000000140012</v>
      </c>
    </row>
    <row r="682" spans="1:40" x14ac:dyDescent="0.25">
      <c r="A682" t="str">
        <f>"20190312164231915"</f>
        <v>20190312164231915</v>
      </c>
      <c r="B682" t="str">
        <f>"1552380151904206"</f>
        <v>1552380151904206</v>
      </c>
      <c r="C682" t="s">
        <v>40</v>
      </c>
      <c r="D682">
        <v>4.4239350000000002</v>
      </c>
      <c r="E682">
        <v>0.52040390000000003</v>
      </c>
      <c r="F682" t="s">
        <v>42</v>
      </c>
      <c r="G682">
        <v>-263.89179999999999</v>
      </c>
      <c r="H682" s="1">
        <v>-3.298934E-6</v>
      </c>
      <c r="I682">
        <v>365.69130000000001</v>
      </c>
      <c r="J682">
        <v>-280.51690000000002</v>
      </c>
      <c r="K682">
        <v>1.0617989999999999</v>
      </c>
      <c r="L682">
        <v>367.16379999999998</v>
      </c>
      <c r="M682">
        <v>0.99986739999999996</v>
      </c>
      <c r="N682">
        <v>0</v>
      </c>
      <c r="O682">
        <v>-1.749165E-3</v>
      </c>
      <c r="P682">
        <v>0.99277820000000006</v>
      </c>
      <c r="Q682">
        <v>0.11207350000000001</v>
      </c>
      <c r="R682">
        <v>-4.2794749999999999E-2</v>
      </c>
      <c r="S682">
        <v>3.0316770000000002</v>
      </c>
      <c r="T682">
        <v>-0.1903212</v>
      </c>
      <c r="U682">
        <v>-0.26416020000000001</v>
      </c>
      <c r="V682">
        <v>4.1029080000000002E-2</v>
      </c>
      <c r="W682">
        <v>0.12814739999999999</v>
      </c>
      <c r="X682">
        <v>0.99090610000000001</v>
      </c>
      <c r="Y682">
        <v>8.4899080000000002E-2</v>
      </c>
      <c r="Z682">
        <v>-2.547732E-3</v>
      </c>
      <c r="AA682">
        <v>0.99638629999999995</v>
      </c>
      <c r="AB682">
        <v>30</v>
      </c>
      <c r="AC682">
        <v>16.6251</v>
      </c>
      <c r="AD682">
        <v>-1.0618022989339999</v>
      </c>
      <c r="AE682">
        <v>-1.47249999999996</v>
      </c>
      <c r="AF682">
        <v>1.4375955149913699</v>
      </c>
      <c r="AG682">
        <v>-1.0618022989339999</v>
      </c>
      <c r="AH682">
        <v>16.5606247682279</v>
      </c>
      <c r="AI682">
        <v>93.654851632681897</v>
      </c>
      <c r="AJ682">
        <v>85.038702438988494</v>
      </c>
      <c r="AK682">
        <v>16.6567823333557</v>
      </c>
      <c r="AL682">
        <v>82.637449413482699</v>
      </c>
      <c r="AM682">
        <v>87.6289871645386</v>
      </c>
      <c r="AN682">
        <v>1.0000000202748001</v>
      </c>
    </row>
    <row r="683" spans="1:40" x14ac:dyDescent="0.25">
      <c r="A683" t="str">
        <f>"20190312164231938"</f>
        <v>20190312164231938</v>
      </c>
      <c r="B683" t="str">
        <f>"1552380151934463"</f>
        <v>1552380151934463</v>
      </c>
      <c r="C683" t="s">
        <v>40</v>
      </c>
      <c r="D683">
        <v>4.5347289999999996</v>
      </c>
      <c r="E683">
        <v>0.52089300000000005</v>
      </c>
      <c r="F683" t="s">
        <v>42</v>
      </c>
      <c r="G683">
        <v>-263.25220000000002</v>
      </c>
      <c r="H683" s="1">
        <v>-3.5827680000000002E-6</v>
      </c>
      <c r="I683">
        <v>365.63810000000001</v>
      </c>
      <c r="J683">
        <v>-280.21749999999997</v>
      </c>
      <c r="K683">
        <v>1.06247</v>
      </c>
      <c r="L683">
        <v>367.1635</v>
      </c>
      <c r="M683">
        <v>0.99988999999999995</v>
      </c>
      <c r="N683">
        <v>0</v>
      </c>
      <c r="O683">
        <v>-1.617086E-3</v>
      </c>
      <c r="P683">
        <v>0.99248950000000002</v>
      </c>
      <c r="Q683">
        <v>0.11453579999999999</v>
      </c>
      <c r="R683">
        <v>-4.2967569999999997E-2</v>
      </c>
      <c r="S683">
        <v>3.031342</v>
      </c>
      <c r="T683">
        <v>-0.18643129999999999</v>
      </c>
      <c r="U683">
        <v>-0.26788329999999999</v>
      </c>
      <c r="V683">
        <v>4.1330970000000002E-2</v>
      </c>
      <c r="W683">
        <v>0.12916649999999999</v>
      </c>
      <c r="X683">
        <v>0.99076120000000001</v>
      </c>
      <c r="Y683">
        <v>8.6258370000000001E-2</v>
      </c>
      <c r="Z683">
        <v>-2.5456810000000002E-3</v>
      </c>
      <c r="AA683">
        <v>0.99626950000000003</v>
      </c>
      <c r="AB683">
        <v>30</v>
      </c>
      <c r="AC683">
        <v>16.9652999999999</v>
      </c>
      <c r="AD683">
        <v>-1.0624735827680001</v>
      </c>
      <c r="AE683">
        <v>-1.5253999999999901</v>
      </c>
      <c r="AF683">
        <v>1.4921552978006301</v>
      </c>
      <c r="AG683">
        <v>-1.0624735827680001</v>
      </c>
      <c r="AH683">
        <v>16.901985956580599</v>
      </c>
      <c r="AI683">
        <v>93.583030721284501</v>
      </c>
      <c r="AJ683">
        <v>84.954845889865297</v>
      </c>
      <c r="AK683">
        <v>17.000956056154099</v>
      </c>
      <c r="AL683">
        <v>82.578569753711506</v>
      </c>
      <c r="AM683">
        <v>87.611212588712903</v>
      </c>
      <c r="AN683">
        <v>0.99999999461441502</v>
      </c>
    </row>
    <row r="684" spans="1:40" x14ac:dyDescent="0.25">
      <c r="A684" t="str">
        <f>"20190312164231961"</f>
        <v>20190312164231961</v>
      </c>
      <c r="B684" t="str">
        <f>"1552380151954958"</f>
        <v>1552380151954958</v>
      </c>
      <c r="C684" t="s">
        <v>40</v>
      </c>
      <c r="D684">
        <v>4.5171599999999996</v>
      </c>
      <c r="E684">
        <v>0.5211249</v>
      </c>
      <c r="F684" t="s">
        <v>42</v>
      </c>
      <c r="G684">
        <v>-261.89109999999999</v>
      </c>
      <c r="H684" s="1">
        <v>-4.1876280000000003E-6</v>
      </c>
      <c r="I684">
        <v>365.52</v>
      </c>
      <c r="J684">
        <v>-279.90429999999998</v>
      </c>
      <c r="K684">
        <v>1.06345499999999</v>
      </c>
      <c r="L684">
        <v>367.16309999999999</v>
      </c>
      <c r="M684">
        <v>0.99992020000000004</v>
      </c>
      <c r="N684">
        <v>0</v>
      </c>
      <c r="O684">
        <v>-1.4838609999999999E-3</v>
      </c>
      <c r="P684">
        <v>0.99219559999999996</v>
      </c>
      <c r="Q684">
        <v>0.1169163</v>
      </c>
      <c r="R684">
        <v>-4.3343949999999999E-2</v>
      </c>
      <c r="S684">
        <v>3.0312190000000001</v>
      </c>
      <c r="T684">
        <v>-0.17573440000000001</v>
      </c>
      <c r="U684">
        <v>-0.27182009999999901</v>
      </c>
      <c r="V684">
        <v>4.1838409999999999E-2</v>
      </c>
      <c r="W684">
        <v>0.12937169999999901</v>
      </c>
      <c r="X684">
        <v>0.99071310000000001</v>
      </c>
      <c r="Y684">
        <v>8.7693389999999996E-2</v>
      </c>
      <c r="Z684">
        <v>-2.4490110000000001E-3</v>
      </c>
      <c r="AA684">
        <v>0.99614449999999999</v>
      </c>
      <c r="AB684">
        <v>30</v>
      </c>
      <c r="AC684">
        <v>18.013199999999902</v>
      </c>
      <c r="AD684">
        <v>-1.06345918762799</v>
      </c>
      <c r="AE684">
        <v>-1.6431</v>
      </c>
      <c r="AF684">
        <v>1.61079895779853</v>
      </c>
      <c r="AG684">
        <v>-1.06345918762799</v>
      </c>
      <c r="AH684">
        <v>17.953558473657999</v>
      </c>
      <c r="AI684">
        <v>93.376360604550001</v>
      </c>
      <c r="AJ684">
        <v>84.873131736512406</v>
      </c>
      <c r="AK684">
        <v>18.0570174888671</v>
      </c>
      <c r="AL684">
        <v>82.566712978052806</v>
      </c>
      <c r="AM684">
        <v>87.581801649466996</v>
      </c>
      <c r="AN684">
        <v>0.99999996791191303</v>
      </c>
    </row>
    <row r="685" spans="1:40" x14ac:dyDescent="0.25">
      <c r="A685" t="str">
        <f>"20190312164231984"</f>
        <v>20190312164231984</v>
      </c>
      <c r="B685" t="str">
        <f>"1552380151974478"</f>
        <v>1552380151974478</v>
      </c>
      <c r="C685" t="s">
        <v>40</v>
      </c>
      <c r="D685">
        <v>4.5668620000000004</v>
      </c>
      <c r="E685">
        <v>0.52135489999999995</v>
      </c>
      <c r="F685" t="s">
        <v>41</v>
      </c>
      <c r="G685">
        <v>-278.9015</v>
      </c>
      <c r="H685">
        <v>1.008237</v>
      </c>
      <c r="I685">
        <v>367.0718</v>
      </c>
      <c r="J685">
        <v>-279.60829999999999</v>
      </c>
      <c r="K685">
        <v>1.0647899999999999</v>
      </c>
      <c r="L685">
        <v>367.16289999999998</v>
      </c>
      <c r="M685">
        <v>0.99994190000000005</v>
      </c>
      <c r="N685">
        <v>0</v>
      </c>
      <c r="O685">
        <v>-1.348967E-3</v>
      </c>
      <c r="P685">
        <v>0.9920272</v>
      </c>
      <c r="Q685">
        <v>0.11840150000000001</v>
      </c>
      <c r="R685">
        <v>-4.3166870000000003E-2</v>
      </c>
      <c r="S685">
        <v>3.0312190000000001</v>
      </c>
      <c r="T685">
        <v>-0.16696449999999999</v>
      </c>
      <c r="U685">
        <v>-0.27572629999999998</v>
      </c>
      <c r="V685">
        <v>4.1797059999999997E-2</v>
      </c>
      <c r="W685">
        <v>0.12901989999999999</v>
      </c>
      <c r="X685">
        <v>0.99076070000000005</v>
      </c>
      <c r="Y685">
        <v>8.9112659999999996E-2</v>
      </c>
      <c r="Z685">
        <v>-2.3732390000000001E-3</v>
      </c>
      <c r="AA685">
        <v>0.99601870000000003</v>
      </c>
      <c r="AB685">
        <v>30</v>
      </c>
      <c r="AC685">
        <v>0.70679999999998699</v>
      </c>
      <c r="AD685">
        <v>-5.6552999999999798E-2</v>
      </c>
      <c r="AE685">
        <v>-9.1099999999983E-2</v>
      </c>
      <c r="AF685">
        <v>8.9582275523575006E-2</v>
      </c>
      <c r="AG685">
        <v>-5.6552999999999798E-2</v>
      </c>
      <c r="AH685">
        <v>0.70249832806353796</v>
      </c>
      <c r="AI685">
        <v>94.565724300403105</v>
      </c>
      <c r="AJ685">
        <v>82.732888951604096</v>
      </c>
      <c r="AK685">
        <v>0.71044150134198103</v>
      </c>
      <c r="AL685">
        <v>82.587039834862907</v>
      </c>
      <c r="AM685">
        <v>87.584304712944501</v>
      </c>
      <c r="AN685">
        <v>0.99999994674256998</v>
      </c>
    </row>
    <row r="686" spans="1:40" x14ac:dyDescent="0.25">
      <c r="A686" t="str">
        <f>"20190312164232005"</f>
        <v>20190312164232005</v>
      </c>
      <c r="B686" t="str">
        <f>"1552380151994975"</f>
        <v>1552380151994975</v>
      </c>
      <c r="C686" t="s">
        <v>40</v>
      </c>
      <c r="D686">
        <v>4.6479210000000002</v>
      </c>
      <c r="E686">
        <v>0.52148229999999995</v>
      </c>
      <c r="F686" t="s">
        <v>42</v>
      </c>
      <c r="G686">
        <v>-259.61700000000002</v>
      </c>
      <c r="H686" s="1">
        <v>-1.255874E-6</v>
      </c>
      <c r="I686">
        <v>365.3338</v>
      </c>
      <c r="J686">
        <v>-279.31630000000001</v>
      </c>
      <c r="K686">
        <v>1.066289</v>
      </c>
      <c r="L686">
        <v>367.16269999999997</v>
      </c>
      <c r="M686">
        <v>0.99995889999999998</v>
      </c>
      <c r="N686">
        <v>0</v>
      </c>
      <c r="O686">
        <v>-1.201829E-3</v>
      </c>
      <c r="P686">
        <v>0.99180420000000002</v>
      </c>
      <c r="Q686">
        <v>0.1201696</v>
      </c>
      <c r="R686">
        <v>-4.3400510000000003E-2</v>
      </c>
      <c r="S686">
        <v>3.0313110000000001</v>
      </c>
      <c r="T686">
        <v>-0.1614556</v>
      </c>
      <c r="U686">
        <v>-0.27734379999999997</v>
      </c>
      <c r="V686">
        <v>4.2179630000000003E-2</v>
      </c>
      <c r="W686">
        <v>0.1290828</v>
      </c>
      <c r="X686">
        <v>0.99073639999999996</v>
      </c>
      <c r="Y686">
        <v>8.9790980000000006E-2</v>
      </c>
      <c r="Z686">
        <v>-2.320754E-3</v>
      </c>
      <c r="AA686">
        <v>0.99595789999999995</v>
      </c>
      <c r="AB686">
        <v>30</v>
      </c>
      <c r="AC686">
        <v>19.699299999999901</v>
      </c>
      <c r="AD686">
        <v>-1.0662902558739999</v>
      </c>
      <c r="AE686">
        <v>-1.82889999999997</v>
      </c>
      <c r="AF686">
        <v>1.7999938419768999</v>
      </c>
      <c r="AG686">
        <v>-1.0662902558739999</v>
      </c>
      <c r="AH686">
        <v>19.6444200219156</v>
      </c>
      <c r="AI686">
        <v>93.094004283685393</v>
      </c>
      <c r="AJ686">
        <v>84.764677750823495</v>
      </c>
      <c r="AK686">
        <v>19.755510389214599</v>
      </c>
      <c r="AL686">
        <v>82.583406327596904</v>
      </c>
      <c r="AM686">
        <v>87.562160601062601</v>
      </c>
      <c r="AN686">
        <v>1.0000000523638599</v>
      </c>
    </row>
    <row r="687" spans="1:40" x14ac:dyDescent="0.25">
      <c r="A687" t="str">
        <f>"20190312164232028"</f>
        <v>20190312164232028</v>
      </c>
      <c r="B687" t="str">
        <f>"1552380152024255"</f>
        <v>1552380152024255</v>
      </c>
      <c r="C687" t="s">
        <v>40</v>
      </c>
      <c r="D687">
        <v>4.7286149999999996</v>
      </c>
      <c r="E687">
        <v>0.52163769999999998</v>
      </c>
      <c r="F687" t="s">
        <v>42</v>
      </c>
      <c r="G687">
        <v>-258.95389999999998</v>
      </c>
      <c r="H687" s="1">
        <v>-1.4927370000000001E-6</v>
      </c>
      <c r="I687">
        <v>365.29169999999999</v>
      </c>
      <c r="J687">
        <v>-279.0172</v>
      </c>
      <c r="K687">
        <v>1.067885</v>
      </c>
      <c r="L687">
        <v>367.16250000000002</v>
      </c>
      <c r="M687">
        <v>0.99997320000000001</v>
      </c>
      <c r="N687">
        <v>0</v>
      </c>
      <c r="O687">
        <v>-1.047365E-3</v>
      </c>
      <c r="P687">
        <v>0.99161489999999997</v>
      </c>
      <c r="Q687">
        <v>0.1218224</v>
      </c>
      <c r="R687">
        <v>-4.3119970000000001E-2</v>
      </c>
      <c r="S687">
        <v>3.0317989999999999</v>
      </c>
      <c r="T687">
        <v>-0.1587616</v>
      </c>
      <c r="U687">
        <v>-0.27856449999999999</v>
      </c>
      <c r="V687">
        <v>4.2054399999999999E-2</v>
      </c>
      <c r="W687">
        <v>0.12901940000000001</v>
      </c>
      <c r="X687">
        <v>0.99075000000000002</v>
      </c>
      <c r="Y687">
        <v>9.0331149999999999E-2</v>
      </c>
      <c r="Z687">
        <v>-2.3038469999999999E-3</v>
      </c>
      <c r="AA687">
        <v>0.99590909999999999</v>
      </c>
      <c r="AB687">
        <v>30</v>
      </c>
      <c r="AC687">
        <v>20.063300000000002</v>
      </c>
      <c r="AD687">
        <v>-1.067886492737</v>
      </c>
      <c r="AE687">
        <v>-1.87080000000003</v>
      </c>
      <c r="AF687">
        <v>1.84460411821707</v>
      </c>
      <c r="AG687">
        <v>-1.067886492737</v>
      </c>
      <c r="AH687">
        <v>20.009051570074899</v>
      </c>
      <c r="AI687">
        <v>93.042111845527899</v>
      </c>
      <c r="AJ687">
        <v>84.732876578478198</v>
      </c>
      <c r="AK687">
        <v>20.122253617530799</v>
      </c>
      <c r="AL687">
        <v>82.587069645411205</v>
      </c>
      <c r="AM687">
        <v>87.569423101296493</v>
      </c>
      <c r="AN687">
        <v>1.00000007031785</v>
      </c>
    </row>
    <row r="688" spans="1:40" x14ac:dyDescent="0.25">
      <c r="A688" t="str">
        <f>"20190312164232050"</f>
        <v>20190312164232050</v>
      </c>
      <c r="B688" t="str">
        <f>"1552380152044751"</f>
        <v>1552380152044751</v>
      </c>
      <c r="C688" t="s">
        <v>40</v>
      </c>
      <c r="D688">
        <v>4.8353320000000002</v>
      </c>
      <c r="E688">
        <v>0.52184809999999904</v>
      </c>
      <c r="F688" t="s">
        <v>42</v>
      </c>
      <c r="G688">
        <v>-258.0917</v>
      </c>
      <c r="H688" s="1">
        <v>-1.799858E-6</v>
      </c>
      <c r="I688">
        <v>365.24009999999998</v>
      </c>
      <c r="J688">
        <v>-278.70530000000002</v>
      </c>
      <c r="K688">
        <v>1.069561</v>
      </c>
      <c r="L688">
        <v>367.16230000000002</v>
      </c>
      <c r="M688">
        <v>0.9999844</v>
      </c>
      <c r="N688">
        <v>0</v>
      </c>
      <c r="O688">
        <v>-8.9130019999999999E-4</v>
      </c>
      <c r="P688">
        <v>0.9914328</v>
      </c>
      <c r="Q688">
        <v>0.1233351</v>
      </c>
      <c r="R688">
        <v>-4.3012950000000001E-2</v>
      </c>
      <c r="S688">
        <v>3.0322879999999999</v>
      </c>
      <c r="T688">
        <v>-0.1547462</v>
      </c>
      <c r="U688">
        <v>-0.27856449999999999</v>
      </c>
      <c r="V688">
        <v>4.210303E-2</v>
      </c>
      <c r="W688">
        <v>0.12883829999999999</v>
      </c>
      <c r="X688">
        <v>0.99077139999999997</v>
      </c>
      <c r="Y688">
        <v>9.0477669999999996E-2</v>
      </c>
      <c r="Z688">
        <v>-2.2569650000000001E-3</v>
      </c>
      <c r="AA688">
        <v>0.99589589999999995</v>
      </c>
      <c r="AB688">
        <v>30</v>
      </c>
      <c r="AC688">
        <v>20.613600000000002</v>
      </c>
      <c r="AD688">
        <v>-1.069562799858</v>
      </c>
      <c r="AE688">
        <v>-1.9222000000000301</v>
      </c>
      <c r="AF688">
        <v>1.8987583088561399</v>
      </c>
      <c r="AG688">
        <v>-1.069562799858</v>
      </c>
      <c r="AH688">
        <v>20.5604297785166</v>
      </c>
      <c r="AI688">
        <v>92.965272755528702</v>
      </c>
      <c r="AJ688">
        <v>84.723693243759101</v>
      </c>
      <c r="AK688">
        <v>20.675602055940299</v>
      </c>
      <c r="AL688">
        <v>82.597532493401502</v>
      </c>
      <c r="AM688">
        <v>87.5666683537914</v>
      </c>
      <c r="AN688">
        <v>0.99999996987001405</v>
      </c>
    </row>
    <row r="689" spans="1:40" x14ac:dyDescent="0.25">
      <c r="A689" t="str">
        <f>"20190312164232073"</f>
        <v>20190312164232073</v>
      </c>
      <c r="B689" t="str">
        <f>"1552380152064273"</f>
        <v>1552380152064273</v>
      </c>
      <c r="C689" t="s">
        <v>40</v>
      </c>
      <c r="D689">
        <v>4.5844639999999997</v>
      </c>
      <c r="E689">
        <v>0.52186849999999996</v>
      </c>
      <c r="F689" t="s">
        <v>42</v>
      </c>
      <c r="G689">
        <v>-257.03050000000002</v>
      </c>
      <c r="H689" s="1">
        <v>-2.1820940000000001E-6</v>
      </c>
      <c r="I689">
        <v>365.16090000000003</v>
      </c>
      <c r="J689">
        <v>-278.41359999999997</v>
      </c>
      <c r="K689">
        <v>1.0712079999999999</v>
      </c>
      <c r="L689">
        <v>367.16210000000001</v>
      </c>
      <c r="M689">
        <v>0.99998969999999998</v>
      </c>
      <c r="N689">
        <v>0</v>
      </c>
      <c r="O689">
        <v>-7.4666009999999896E-4</v>
      </c>
      <c r="P689">
        <v>0.99129389999999995</v>
      </c>
      <c r="Q689">
        <v>0.1245296</v>
      </c>
      <c r="R689">
        <v>-4.2767220000000002E-2</v>
      </c>
      <c r="S689">
        <v>3.0323790000000002</v>
      </c>
      <c r="T689">
        <v>-0.14963460000000001</v>
      </c>
      <c r="U689">
        <v>-0.27999879999999999</v>
      </c>
      <c r="V689">
        <v>4.2001299999999998E-2</v>
      </c>
      <c r="W689">
        <v>0.12897919999999999</v>
      </c>
      <c r="X689">
        <v>0.99075740000000001</v>
      </c>
      <c r="Y689">
        <v>9.1092679999999995E-2</v>
      </c>
      <c r="Z689">
        <v>-2.2046430000000001E-3</v>
      </c>
      <c r="AA689">
        <v>0.99583999999999995</v>
      </c>
      <c r="AB689">
        <v>30</v>
      </c>
      <c r="AC689">
        <v>21.383099999999899</v>
      </c>
      <c r="AD689">
        <v>-1.0712101820940001</v>
      </c>
      <c r="AE689">
        <v>-2.0011999999999799</v>
      </c>
      <c r="AF689">
        <v>1.9803067074933001</v>
      </c>
      <c r="AG689">
        <v>-1.0712101820940001</v>
      </c>
      <c r="AH689">
        <v>21.3315190705171</v>
      </c>
      <c r="AI689">
        <v>92.862533428707096</v>
      </c>
      <c r="AJ689">
        <v>84.696161199589596</v>
      </c>
      <c r="AK689">
        <v>21.450007267266798</v>
      </c>
      <c r="AL689">
        <v>82.589391702503306</v>
      </c>
      <c r="AM689">
        <v>87.572506505737806</v>
      </c>
      <c r="AN689">
        <v>0.99999998444454496</v>
      </c>
    </row>
    <row r="690" spans="1:40" x14ac:dyDescent="0.25">
      <c r="A690" t="str">
        <f>"20190312164232095"</f>
        <v>20190312164232095</v>
      </c>
      <c r="B690" t="str">
        <f>"1552380152084767"</f>
        <v>1552380152084767</v>
      </c>
      <c r="C690" t="s">
        <v>40</v>
      </c>
      <c r="D690">
        <v>4.6314260000000003</v>
      </c>
      <c r="E690">
        <v>0.52205630000000003</v>
      </c>
      <c r="F690" t="s">
        <v>42</v>
      </c>
      <c r="G690">
        <v>-256.54050000000001</v>
      </c>
      <c r="H690" s="1">
        <v>-2.3530690000000002E-6</v>
      </c>
      <c r="I690">
        <v>365.14499999999998</v>
      </c>
      <c r="J690">
        <v>-278.11160000000001</v>
      </c>
      <c r="K690">
        <v>1.0733079999999999</v>
      </c>
      <c r="L690">
        <v>367.16210000000001</v>
      </c>
      <c r="M690">
        <v>0.99999020000000005</v>
      </c>
      <c r="N690">
        <v>0</v>
      </c>
      <c r="O690">
        <v>-5.9152230000000003E-4</v>
      </c>
      <c r="P690">
        <v>0.99125940000000001</v>
      </c>
      <c r="Q690">
        <v>0.1247726</v>
      </c>
      <c r="R690">
        <v>-4.2855520000000001E-2</v>
      </c>
      <c r="S690">
        <v>3.0329280000000001</v>
      </c>
      <c r="T690">
        <v>-0.14853369999999999</v>
      </c>
      <c r="U690">
        <v>-0.27969359999999999</v>
      </c>
      <c r="V690">
        <v>4.2244370000000003E-2</v>
      </c>
      <c r="W690">
        <v>0.12913859999999999</v>
      </c>
      <c r="X690">
        <v>0.99072629999999995</v>
      </c>
      <c r="Y690">
        <v>9.1132699999999997E-2</v>
      </c>
      <c r="Z690">
        <v>-2.196613E-3</v>
      </c>
      <c r="AA690">
        <v>0.99583630000000001</v>
      </c>
      <c r="AB690">
        <v>30</v>
      </c>
      <c r="AC690">
        <v>21.571100000000001</v>
      </c>
      <c r="AD690">
        <v>-1.073310353069</v>
      </c>
      <c r="AE690">
        <v>-2.0171000000000201</v>
      </c>
      <c r="AF690">
        <v>1.99943255920109</v>
      </c>
      <c r="AG690">
        <v>-1.073310353069</v>
      </c>
      <c r="AH690">
        <v>21.519474462371701</v>
      </c>
      <c r="AI690">
        <v>92.843106272311502</v>
      </c>
      <c r="AJ690">
        <v>84.691734209798597</v>
      </c>
      <c r="AK690">
        <v>21.6387963345808</v>
      </c>
      <c r="AL690">
        <v>82.580181721867902</v>
      </c>
      <c r="AM690">
        <v>87.558398512941494</v>
      </c>
      <c r="AN690">
        <v>0.99999998315917304</v>
      </c>
    </row>
    <row r="691" spans="1:40" x14ac:dyDescent="0.25">
      <c r="A691" t="str">
        <f>"20190312164232117"</f>
        <v>20190312164232117</v>
      </c>
      <c r="B691" t="str">
        <f>"1552380152115023"</f>
        <v>1552380152115023</v>
      </c>
      <c r="C691" t="s">
        <v>40</v>
      </c>
      <c r="D691">
        <v>4.8696809999999999</v>
      </c>
      <c r="E691">
        <v>0.52227699999999999</v>
      </c>
      <c r="F691" t="s">
        <v>42</v>
      </c>
      <c r="G691">
        <v>-256.06959999999998</v>
      </c>
      <c r="H691" s="1">
        <v>-2.5214239999999999E-6</v>
      </c>
      <c r="I691">
        <v>365.11450000000002</v>
      </c>
      <c r="J691">
        <v>-277.81959999999998</v>
      </c>
      <c r="K691">
        <v>1.0757080000000001</v>
      </c>
      <c r="L691">
        <v>367.16199999999998</v>
      </c>
      <c r="M691">
        <v>0.99998909999999996</v>
      </c>
      <c r="N691">
        <v>0</v>
      </c>
      <c r="O691">
        <v>-4.414957E-4</v>
      </c>
      <c r="P691">
        <v>0.99126449999999999</v>
      </c>
      <c r="Q691">
        <v>0.1246811</v>
      </c>
      <c r="R691">
        <v>-4.300358E-2</v>
      </c>
      <c r="S691">
        <v>3.0329280000000001</v>
      </c>
      <c r="T691">
        <v>-0.14768410000000001</v>
      </c>
      <c r="U691">
        <v>-0.2817383</v>
      </c>
      <c r="V691">
        <v>4.2540269999999998E-2</v>
      </c>
      <c r="W691">
        <v>0.12929789999999999</v>
      </c>
      <c r="X691">
        <v>0.99069289999999999</v>
      </c>
      <c r="Y691">
        <v>9.1947829999999994E-2</v>
      </c>
      <c r="Z691">
        <v>-2.2110720000000001E-3</v>
      </c>
      <c r="AA691">
        <v>0.99576140000000002</v>
      </c>
      <c r="AB691">
        <v>30</v>
      </c>
      <c r="AC691">
        <v>21.75</v>
      </c>
      <c r="AD691">
        <v>-1.0757105214239999</v>
      </c>
      <c r="AE691">
        <v>-2.0474999999999501</v>
      </c>
      <c r="AF691">
        <v>2.0329680256663401</v>
      </c>
      <c r="AG691">
        <v>-1.0757105214239999</v>
      </c>
      <c r="AH691">
        <v>21.698292116806801</v>
      </c>
      <c r="AI691">
        <v>92.825805745502706</v>
      </c>
      <c r="AJ691">
        <v>84.647438706705799</v>
      </c>
      <c r="AK691">
        <v>21.819853182493301</v>
      </c>
      <c r="AL691">
        <v>82.570977624872199</v>
      </c>
      <c r="AM691">
        <v>87.541234480019597</v>
      </c>
      <c r="AN691">
        <v>1.0000000218132401</v>
      </c>
    </row>
    <row r="692" spans="1:40" x14ac:dyDescent="0.25">
      <c r="A692" t="str">
        <f>"20190312164232140"</f>
        <v>20190312164232140</v>
      </c>
      <c r="B692" t="str">
        <f>"1552380152134543"</f>
        <v>1552380152134543</v>
      </c>
      <c r="C692" t="s">
        <v>40</v>
      </c>
      <c r="D692">
        <v>4.8012069999999998</v>
      </c>
      <c r="E692">
        <v>0.52246749999999997</v>
      </c>
      <c r="F692" t="s">
        <v>42</v>
      </c>
      <c r="G692">
        <v>-255.68819999999999</v>
      </c>
      <c r="H692" s="1">
        <v>-2.6573509999999999E-6</v>
      </c>
      <c r="I692">
        <v>365.0915</v>
      </c>
      <c r="J692">
        <v>-277.51920000000001</v>
      </c>
      <c r="K692">
        <v>1.078349</v>
      </c>
      <c r="L692">
        <v>367.16199999999998</v>
      </c>
      <c r="M692">
        <v>0.99998920000000002</v>
      </c>
      <c r="N692">
        <v>0</v>
      </c>
      <c r="O692">
        <v>-2.8961170000000002E-4</v>
      </c>
      <c r="P692">
        <v>0.99124869999999998</v>
      </c>
      <c r="Q692">
        <v>0.1249151</v>
      </c>
      <c r="R692">
        <v>-4.2687700000000002E-2</v>
      </c>
      <c r="S692">
        <v>3.0326840000000002</v>
      </c>
      <c r="T692">
        <v>-0.14740490000000001</v>
      </c>
      <c r="U692">
        <v>-0.28372190000000003</v>
      </c>
      <c r="V692">
        <v>4.2373399999999999E-2</v>
      </c>
      <c r="W692">
        <v>0.1295376</v>
      </c>
      <c r="X692">
        <v>0.99066869999999996</v>
      </c>
      <c r="Y692">
        <v>9.2751410000000006E-2</v>
      </c>
      <c r="Z692">
        <v>-2.233844E-3</v>
      </c>
      <c r="AA692">
        <v>0.99568679999999998</v>
      </c>
      <c r="AB692">
        <v>29</v>
      </c>
      <c r="AC692">
        <v>21.831</v>
      </c>
      <c r="AD692">
        <v>-1.0783516573509999</v>
      </c>
      <c r="AE692">
        <v>-2.07049999999998</v>
      </c>
      <c r="AF692">
        <v>2.0591978679912102</v>
      </c>
      <c r="AG692">
        <v>-1.0783516573509999</v>
      </c>
      <c r="AH692">
        <v>21.778933846407501</v>
      </c>
      <c r="AI692">
        <v>92.822035235624398</v>
      </c>
      <c r="AJ692">
        <v>84.598741925072005</v>
      </c>
      <c r="AK692">
        <v>21.902627642423301</v>
      </c>
      <c r="AL692">
        <v>82.557127065156294</v>
      </c>
      <c r="AM692">
        <v>87.550807800752807</v>
      </c>
      <c r="AN692">
        <v>0.99999998400050405</v>
      </c>
    </row>
    <row r="693" spans="1:40" x14ac:dyDescent="0.25">
      <c r="A693" t="str">
        <f>"20190312164232162"</f>
        <v>20190312164232162</v>
      </c>
      <c r="B693" t="str">
        <f>"1552380152155042"</f>
        <v>1552380152155042</v>
      </c>
      <c r="C693" t="s">
        <v>40</v>
      </c>
      <c r="D693">
        <v>4.8610490000000004</v>
      </c>
      <c r="E693">
        <v>0.52266570000000001</v>
      </c>
      <c r="F693" t="s">
        <v>42</v>
      </c>
      <c r="G693">
        <v>-255.22040000000001</v>
      </c>
      <c r="H693" s="1">
        <v>-2.839413E-6</v>
      </c>
      <c r="I693">
        <v>365.06889999999999</v>
      </c>
      <c r="J693">
        <v>-277.22430000000003</v>
      </c>
      <c r="K693">
        <v>1.0810930000000001</v>
      </c>
      <c r="L693">
        <v>367.16210000000001</v>
      </c>
      <c r="M693">
        <v>0.99998929999999997</v>
      </c>
      <c r="N693">
        <v>0</v>
      </c>
      <c r="O693">
        <v>-1.4745940000000001E-4</v>
      </c>
      <c r="P693">
        <v>0.99125589999999997</v>
      </c>
      <c r="Q693">
        <v>0.12499</v>
      </c>
      <c r="R693">
        <v>-4.229956E-2</v>
      </c>
      <c r="S693">
        <v>3.0326840000000002</v>
      </c>
      <c r="T693">
        <v>-0.14665729999999999</v>
      </c>
      <c r="U693">
        <v>-0.28466799999999998</v>
      </c>
      <c r="V693">
        <v>4.2125599999999999E-2</v>
      </c>
      <c r="W693">
        <v>0.1295925</v>
      </c>
      <c r="X693">
        <v>0.99067210000000006</v>
      </c>
      <c r="Y693">
        <v>9.3201249999999999E-2</v>
      </c>
      <c r="Z693">
        <v>-2.2401980000000001E-3</v>
      </c>
      <c r="AA693">
        <v>0.99564470000000005</v>
      </c>
      <c r="AB693">
        <v>29</v>
      </c>
      <c r="AC693">
        <v>22.003900000000002</v>
      </c>
      <c r="AD693">
        <v>-1.0810958394129999</v>
      </c>
      <c r="AE693">
        <v>-2.0932000000000199</v>
      </c>
      <c r="AF693">
        <v>2.08496738197791</v>
      </c>
      <c r="AG693">
        <v>-1.0810958394129999</v>
      </c>
      <c r="AH693">
        <v>21.951693272121801</v>
      </c>
      <c r="AI693">
        <v>92.806861906924198</v>
      </c>
      <c r="AJ693">
        <v>84.574334667889701</v>
      </c>
      <c r="AK693">
        <v>22.0769720458043</v>
      </c>
      <c r="AL693">
        <v>82.553954877108296</v>
      </c>
      <c r="AM693">
        <v>87.565121754939796</v>
      </c>
      <c r="AN693">
        <v>0.99999999597500999</v>
      </c>
    </row>
    <row r="694" spans="1:40" x14ac:dyDescent="0.25">
      <c r="A694" t="str">
        <f>"20190312164232184"</f>
        <v>20190312164232184</v>
      </c>
      <c r="B694" t="str">
        <f>"1552380152174559"</f>
        <v>1552380152174559</v>
      </c>
      <c r="C694" t="s">
        <v>40</v>
      </c>
      <c r="D694">
        <v>4.6648839999999998</v>
      </c>
      <c r="E694">
        <v>0.5226056</v>
      </c>
      <c r="F694" t="s">
        <v>42</v>
      </c>
      <c r="G694">
        <v>-254.86349999999999</v>
      </c>
      <c r="H694" s="1">
        <v>-2.9935070000000002E-6</v>
      </c>
      <c r="I694">
        <v>365.06319999999999</v>
      </c>
      <c r="J694">
        <v>-276.93669999999997</v>
      </c>
      <c r="K694">
        <v>1.083869</v>
      </c>
      <c r="L694">
        <v>367.16219999999998</v>
      </c>
      <c r="M694">
        <v>0.9999884</v>
      </c>
      <c r="N694">
        <v>0</v>
      </c>
      <c r="O694" s="1">
        <v>-1.723292E-5</v>
      </c>
      <c r="P694">
        <v>0.9912801</v>
      </c>
      <c r="Q694">
        <v>0.12496500000000001</v>
      </c>
      <c r="R694">
        <v>-4.1809159999999998E-2</v>
      </c>
      <c r="S694">
        <v>3.0327760000000001</v>
      </c>
      <c r="T694">
        <v>-0.146627799999999</v>
      </c>
      <c r="U694">
        <v>-0.28466799999999998</v>
      </c>
      <c r="V694">
        <v>4.1764210000000003E-2</v>
      </c>
      <c r="W694">
        <v>0.12975419999999999</v>
      </c>
      <c r="X694">
        <v>0.9906663</v>
      </c>
      <c r="Y694">
        <v>9.3327889999999997E-2</v>
      </c>
      <c r="Z694">
        <v>-2.2490119999999999E-3</v>
      </c>
      <c r="AA694">
        <v>0.99563290000000004</v>
      </c>
      <c r="AB694">
        <v>30</v>
      </c>
      <c r="AC694">
        <v>22.0731999999999</v>
      </c>
      <c r="AD694">
        <v>-1.083871993507</v>
      </c>
      <c r="AE694">
        <v>-2.0989999999999802</v>
      </c>
      <c r="AF694">
        <v>2.0936168103045998</v>
      </c>
      <c r="AG694">
        <v>-1.083871993507</v>
      </c>
      <c r="AH694">
        <v>22.020616833196499</v>
      </c>
      <c r="AI694">
        <v>92.805239119956198</v>
      </c>
      <c r="AJ694">
        <v>84.568911597121698</v>
      </c>
      <c r="AK694">
        <v>22.146457404315299</v>
      </c>
      <c r="AL694">
        <v>82.544611737752007</v>
      </c>
      <c r="AM694">
        <v>87.585971321674094</v>
      </c>
      <c r="AN694">
        <v>1.00000005980512</v>
      </c>
    </row>
    <row r="695" spans="1:40" x14ac:dyDescent="0.25">
      <c r="A695" t="str">
        <f>"20190312164232206"</f>
        <v>20190312164232206</v>
      </c>
      <c r="B695" t="str">
        <f>"1552380152195055"</f>
        <v>1552380152195055</v>
      </c>
      <c r="C695" t="s">
        <v>40</v>
      </c>
      <c r="D695">
        <v>4.6942170000000001</v>
      </c>
      <c r="E695">
        <v>0.52261359999999901</v>
      </c>
      <c r="F695" t="s">
        <v>42</v>
      </c>
      <c r="G695">
        <v>-254.6611</v>
      </c>
      <c r="H695" s="1">
        <v>-3.0762860000000001E-6</v>
      </c>
      <c r="I695">
        <v>365.08609999999999</v>
      </c>
      <c r="J695">
        <v>-276.63630000000001</v>
      </c>
      <c r="K695">
        <v>1.0867800000000001</v>
      </c>
      <c r="L695">
        <v>367.16230000000002</v>
      </c>
      <c r="M695">
        <v>0.99998620000000005</v>
      </c>
      <c r="N695">
        <v>0</v>
      </c>
      <c r="O695">
        <v>1.1404049999999999E-4</v>
      </c>
      <c r="P695">
        <v>0.99137470000000005</v>
      </c>
      <c r="Q695">
        <v>0.1243272</v>
      </c>
      <c r="R695">
        <v>-4.146159E-2</v>
      </c>
      <c r="S695">
        <v>3.033112</v>
      </c>
      <c r="T695">
        <v>-0.1475823</v>
      </c>
      <c r="U695">
        <v>-0.2826843</v>
      </c>
      <c r="V695">
        <v>4.1547380000000002E-2</v>
      </c>
      <c r="W695">
        <v>0.12954280000000001</v>
      </c>
      <c r="X695">
        <v>0.990703</v>
      </c>
      <c r="Y695">
        <v>9.280186E-2</v>
      </c>
      <c r="Z695">
        <v>-2.2570619999999998E-3</v>
      </c>
      <c r="AA695">
        <v>0.99568210000000001</v>
      </c>
      <c r="AB695">
        <v>30</v>
      </c>
      <c r="AC695">
        <v>21.975200000000001</v>
      </c>
      <c r="AD695">
        <v>-1.08678307628599</v>
      </c>
      <c r="AE695">
        <v>-2.07620000000002</v>
      </c>
      <c r="AF695">
        <v>2.07367916158484</v>
      </c>
      <c r="AG695">
        <v>-1.08678307628599</v>
      </c>
      <c r="AH695">
        <v>21.921821163401201</v>
      </c>
      <c r="AI695">
        <v>92.825544784761604</v>
      </c>
      <c r="AJ695">
        <v>84.596225799337006</v>
      </c>
      <c r="AK695">
        <v>22.046484659469801</v>
      </c>
      <c r="AL695">
        <v>82.5568265505716</v>
      </c>
      <c r="AM695">
        <v>87.598578539894604</v>
      </c>
      <c r="AN695">
        <v>0.99999997801285201</v>
      </c>
    </row>
    <row r="696" spans="1:40" x14ac:dyDescent="0.25">
      <c r="A696" t="str">
        <f>"20190312164232220"</f>
        <v>20190312164232220</v>
      </c>
      <c r="B696" t="str">
        <f>"1552380152214575"</f>
        <v>1552380152214575</v>
      </c>
      <c r="C696" t="s">
        <v>40</v>
      </c>
      <c r="D696">
        <v>5.0767040000000003</v>
      </c>
      <c r="E696">
        <v>0.52275740000000004</v>
      </c>
      <c r="F696" t="s">
        <v>42</v>
      </c>
      <c r="G696">
        <v>-254.92250000000001</v>
      </c>
      <c r="H696" s="1">
        <v>-2.953823E-6</v>
      </c>
      <c r="I696">
        <v>365.14420000000001</v>
      </c>
      <c r="J696">
        <v>-276.44580000000002</v>
      </c>
      <c r="K696">
        <v>1.088598</v>
      </c>
      <c r="L696">
        <v>367.16239999999999</v>
      </c>
      <c r="M696">
        <v>0.99998430000000005</v>
      </c>
      <c r="N696">
        <v>0</v>
      </c>
      <c r="O696">
        <v>1.9639279999999999E-4</v>
      </c>
      <c r="P696">
        <v>0.99148700000000001</v>
      </c>
      <c r="Q696">
        <v>0.1235642</v>
      </c>
      <c r="R696">
        <v>-4.1055019999999998E-2</v>
      </c>
      <c r="S696">
        <v>3.0333860000000001</v>
      </c>
      <c r="T696">
        <v>-0.1518214</v>
      </c>
      <c r="U696">
        <v>-0.28192139999999999</v>
      </c>
      <c r="V696">
        <v>4.1222830000000002E-2</v>
      </c>
      <c r="W696">
        <v>0.1291253</v>
      </c>
      <c r="X696">
        <v>0.99077110000000002</v>
      </c>
      <c r="Y696">
        <v>9.2621049999999996E-2</v>
      </c>
      <c r="Z696">
        <v>-2.3212290000000002E-3</v>
      </c>
      <c r="AA696">
        <v>0.99569879999999999</v>
      </c>
      <c r="AB696">
        <v>30</v>
      </c>
      <c r="AC696">
        <v>21.523299999999999</v>
      </c>
      <c r="AD696">
        <v>-1.0886009538229999</v>
      </c>
      <c r="AE696">
        <v>-2.0181999999999798</v>
      </c>
      <c r="AF696">
        <v>2.0173115161030699</v>
      </c>
      <c r="AG696">
        <v>-1.0886009538229999</v>
      </c>
      <c r="AH696">
        <v>21.4684631295132</v>
      </c>
      <c r="AI696">
        <v>92.890100277661006</v>
      </c>
      <c r="AJ696">
        <v>84.631891506089303</v>
      </c>
      <c r="AK696">
        <v>21.5904957546818</v>
      </c>
      <c r="AL696">
        <v>82.580950455002494</v>
      </c>
      <c r="AM696">
        <v>87.617479274998203</v>
      </c>
      <c r="AN696">
        <v>1.0000000187042499</v>
      </c>
    </row>
    <row r="697" spans="1:40" x14ac:dyDescent="0.25">
      <c r="A697" t="str">
        <f>"20190312164232232"</f>
        <v>20190312164232232</v>
      </c>
      <c r="B697" t="str">
        <f>"1552380152224335"</f>
        <v>1552380152224335</v>
      </c>
      <c r="C697" t="s">
        <v>40</v>
      </c>
      <c r="D697">
        <v>4.6963540000000004</v>
      </c>
      <c r="E697">
        <v>0.52274359999999997</v>
      </c>
      <c r="F697" t="s">
        <v>42</v>
      </c>
      <c r="G697">
        <v>-255.24770000000001</v>
      </c>
      <c r="H697" s="1">
        <v>-2.8055839999999999E-6</v>
      </c>
      <c r="I697">
        <v>365.1934</v>
      </c>
      <c r="J697">
        <v>-276.29199999999997</v>
      </c>
      <c r="K697">
        <v>1.0899920000000001</v>
      </c>
      <c r="L697">
        <v>367.16250000000002</v>
      </c>
      <c r="M697">
        <v>0.9999825</v>
      </c>
      <c r="N697">
        <v>0</v>
      </c>
      <c r="O697">
        <v>2.6106049999999998E-4</v>
      </c>
      <c r="P697">
        <v>0.99155260000000001</v>
      </c>
      <c r="Q697">
        <v>0.12307849999999999</v>
      </c>
      <c r="R697">
        <v>-4.0930139999999997E-2</v>
      </c>
      <c r="S697">
        <v>3.0335079999999999</v>
      </c>
      <c r="T697">
        <v>-0.1557817</v>
      </c>
      <c r="U697">
        <v>-0.28176879999999999</v>
      </c>
      <c r="V697">
        <v>4.1162379999999998E-2</v>
      </c>
      <c r="W697">
        <v>0.128958399999999</v>
      </c>
      <c r="X697">
        <v>0.99079530000000005</v>
      </c>
      <c r="Y697">
        <v>9.2625940000000004E-2</v>
      </c>
      <c r="Z697">
        <v>-2.3850500000000001E-3</v>
      </c>
      <c r="AA697">
        <v>0.99569810000000003</v>
      </c>
      <c r="AB697">
        <v>30</v>
      </c>
      <c r="AC697">
        <v>21.0443</v>
      </c>
      <c r="AD697">
        <v>-1.0899948055840001</v>
      </c>
      <c r="AE697">
        <v>-1.9691000000000201</v>
      </c>
      <c r="AF697">
        <v>1.9693564320264401</v>
      </c>
      <c r="AG697">
        <v>-1.0899948055840001</v>
      </c>
      <c r="AH697">
        <v>20.987968475466801</v>
      </c>
      <c r="AI697">
        <v>92.959964747305804</v>
      </c>
      <c r="AJ697">
        <v>84.639481480611707</v>
      </c>
      <c r="AK697">
        <v>21.108322390937499</v>
      </c>
      <c r="AL697">
        <v>82.590593372340805</v>
      </c>
      <c r="AM697">
        <v>87.621027075471801</v>
      </c>
      <c r="AN697">
        <v>0.99999996847995598</v>
      </c>
    </row>
    <row r="698" spans="1:40" x14ac:dyDescent="0.25">
      <c r="A698" t="str">
        <f>"20190312164232243"</f>
        <v>20190312164232243</v>
      </c>
      <c r="B698" t="str">
        <f>"1552380152235071"</f>
        <v>1552380152235071</v>
      </c>
      <c r="C698" t="s">
        <v>40</v>
      </c>
      <c r="D698">
        <v>4.9015829999999996</v>
      </c>
      <c r="E698">
        <v>0.52280099999999996</v>
      </c>
      <c r="F698" t="s">
        <v>42</v>
      </c>
      <c r="G698">
        <v>-255.44669999999999</v>
      </c>
      <c r="H698" s="1">
        <v>-2.7135369999999999E-6</v>
      </c>
      <c r="I698">
        <v>365.2312</v>
      </c>
      <c r="J698">
        <v>-276.13650000000001</v>
      </c>
      <c r="K698">
        <v>1.0913809999999999</v>
      </c>
      <c r="L698">
        <v>367.1626</v>
      </c>
      <c r="M698">
        <v>0.99998039999999999</v>
      </c>
      <c r="N698">
        <v>0</v>
      </c>
      <c r="O698">
        <v>3.260049E-4</v>
      </c>
      <c r="P698">
        <v>0.9916005</v>
      </c>
      <c r="Q698">
        <v>0.12268660000000001</v>
      </c>
      <c r="R698">
        <v>-4.0948520000000002E-2</v>
      </c>
      <c r="S698">
        <v>3.03363</v>
      </c>
      <c r="T698">
        <v>-0.15862689999999999</v>
      </c>
      <c r="U698">
        <v>-0.28106690000000001</v>
      </c>
      <c r="V698">
        <v>4.1245110000000001E-2</v>
      </c>
      <c r="W698">
        <v>0.1288955</v>
      </c>
      <c r="X698">
        <v>0.99080009999999996</v>
      </c>
      <c r="Y698">
        <v>9.2454179999999997E-2</v>
      </c>
      <c r="Z698">
        <v>-2.4273879999999999E-3</v>
      </c>
      <c r="AA698">
        <v>0.99571399999999999</v>
      </c>
      <c r="AB698">
        <v>30</v>
      </c>
      <c r="AC698">
        <v>20.689800000000002</v>
      </c>
      <c r="AD698">
        <v>-1.0913837135369999</v>
      </c>
      <c r="AE698">
        <v>-1.93139999999999</v>
      </c>
      <c r="AF698">
        <v>1.9328133251995401</v>
      </c>
      <c r="AG698">
        <v>-1.0913837135369999</v>
      </c>
      <c r="AH698">
        <v>20.632255010711201</v>
      </c>
      <c r="AI698">
        <v>93.014775786284105</v>
      </c>
      <c r="AJ698">
        <v>84.648195682303594</v>
      </c>
      <c r="AK698">
        <v>20.751309177670301</v>
      </c>
      <c r="AL698">
        <v>82.594228018395896</v>
      </c>
      <c r="AM698">
        <v>87.616262753754199</v>
      </c>
      <c r="AN698">
        <v>1.0000000235895801</v>
      </c>
    </row>
    <row r="699" spans="1:40" x14ac:dyDescent="0.25">
      <c r="A699" t="str">
        <f>"20190312164232263"</f>
        <v>20190312164232263</v>
      </c>
      <c r="B699" t="str">
        <f>"1552380152254591"</f>
        <v>1552380152254591</v>
      </c>
      <c r="C699" t="s">
        <v>40</v>
      </c>
      <c r="D699">
        <v>4.8304609999999997</v>
      </c>
      <c r="E699">
        <v>0.5228718</v>
      </c>
      <c r="F699" t="s">
        <v>41</v>
      </c>
      <c r="G699">
        <v>-275.16550000000001</v>
      </c>
      <c r="H699">
        <v>1.0401469999999999</v>
      </c>
      <c r="I699">
        <v>367.07240000000002</v>
      </c>
      <c r="J699">
        <v>-275.88310000000001</v>
      </c>
      <c r="K699">
        <v>1.0935109999999999</v>
      </c>
      <c r="L699">
        <v>367.1628</v>
      </c>
      <c r="M699">
        <v>0.99997659999999999</v>
      </c>
      <c r="N699">
        <v>0</v>
      </c>
      <c r="O699">
        <v>4.2989299999999999E-4</v>
      </c>
      <c r="P699">
        <v>0.99175020000000003</v>
      </c>
      <c r="Q699">
        <v>0.1215305</v>
      </c>
      <c r="R699">
        <v>-4.0769060000000003E-2</v>
      </c>
      <c r="S699">
        <v>3.0335999999999999</v>
      </c>
      <c r="T699">
        <v>-0.160109</v>
      </c>
      <c r="U699">
        <v>-0.28155520000000001</v>
      </c>
      <c r="V699">
        <v>4.1169079999999997E-2</v>
      </c>
      <c r="W699">
        <v>0.12829969999999999</v>
      </c>
      <c r="X699">
        <v>0.99088050000000005</v>
      </c>
      <c r="Y699">
        <v>9.2714569999999996E-2</v>
      </c>
      <c r="Z699">
        <v>-2.462363E-3</v>
      </c>
      <c r="AA699">
        <v>0.99568970000000001</v>
      </c>
      <c r="AB699">
        <v>30</v>
      </c>
      <c r="AC699">
        <v>0.71760000000000401</v>
      </c>
      <c r="AD699">
        <v>-5.3364000000000099E-2</v>
      </c>
      <c r="AE699">
        <v>-9.0399999999988198E-2</v>
      </c>
      <c r="AF699">
        <v>9.0217374130519001E-2</v>
      </c>
      <c r="AG699">
        <v>-5.3364000000000099E-2</v>
      </c>
      <c r="AH699">
        <v>0.71367603535878599</v>
      </c>
      <c r="AI699">
        <v>94.242604405297399</v>
      </c>
      <c r="AJ699">
        <v>82.795327967188399</v>
      </c>
      <c r="AK699">
        <v>0.721332360660772</v>
      </c>
      <c r="AL699">
        <v>82.628650008360196</v>
      </c>
      <c r="AM699">
        <v>87.620844647163295</v>
      </c>
      <c r="AN699">
        <v>0.99999993572419099</v>
      </c>
    </row>
    <row r="700" spans="1:40" x14ac:dyDescent="0.25">
      <c r="A700" t="str">
        <f>"20190312164232286"</f>
        <v>20190312164232286</v>
      </c>
      <c r="B700" t="str">
        <f>"1552380152274111"</f>
        <v>1552380152274111</v>
      </c>
      <c r="C700" t="s">
        <v>40</v>
      </c>
      <c r="D700">
        <v>4.8875789999999997</v>
      </c>
      <c r="E700">
        <v>0.52297470000000001</v>
      </c>
      <c r="F700" t="s">
        <v>41</v>
      </c>
      <c r="G700">
        <v>-274.9042</v>
      </c>
      <c r="H700">
        <v>1.040707</v>
      </c>
      <c r="I700">
        <v>367.07159999999999</v>
      </c>
      <c r="J700">
        <v>-275.57929999999999</v>
      </c>
      <c r="K700">
        <v>1.095844</v>
      </c>
      <c r="L700">
        <v>367.16300000000001</v>
      </c>
      <c r="M700">
        <v>0.99997170000000002</v>
      </c>
      <c r="N700">
        <v>0</v>
      </c>
      <c r="O700">
        <v>5.5137519999999996E-4</v>
      </c>
      <c r="P700">
        <v>0.99191149999999995</v>
      </c>
      <c r="Q700">
        <v>0.1201859</v>
      </c>
      <c r="R700">
        <v>-4.0828490000000002E-2</v>
      </c>
      <c r="S700">
        <v>3.0335079999999999</v>
      </c>
      <c r="T700">
        <v>-0.1639581</v>
      </c>
      <c r="U700">
        <v>-0.28155520000000001</v>
      </c>
      <c r="V700">
        <v>4.1349280000000002E-2</v>
      </c>
      <c r="W700">
        <v>0.12763289999999999</v>
      </c>
      <c r="X700">
        <v>0.99095919999999904</v>
      </c>
      <c r="Y700">
        <v>9.2831709999999998E-2</v>
      </c>
      <c r="Z700">
        <v>-2.5312529999999998E-3</v>
      </c>
      <c r="AA700">
        <v>0.99567859999999997</v>
      </c>
      <c r="AB700">
        <v>30</v>
      </c>
      <c r="AC700">
        <v>0.67509999999998604</v>
      </c>
      <c r="AD700">
        <v>-5.5136999999999901E-2</v>
      </c>
      <c r="AE700">
        <v>-9.1400000000021395E-2</v>
      </c>
      <c r="AF700">
        <v>9.1175005745572094E-2</v>
      </c>
      <c r="AG700">
        <v>-5.5136999999999901E-2</v>
      </c>
      <c r="AH700">
        <v>0.67065649464501897</v>
      </c>
      <c r="AI700">
        <v>94.657265149039503</v>
      </c>
      <c r="AJ700">
        <v>82.258164703526504</v>
      </c>
      <c r="AK700">
        <v>0.67906782006751698</v>
      </c>
      <c r="AL700">
        <v>82.667172222573697</v>
      </c>
      <c r="AM700">
        <v>87.610632513390399</v>
      </c>
      <c r="AN700">
        <v>1.00000002809178</v>
      </c>
    </row>
    <row r="701" spans="1:40" x14ac:dyDescent="0.25">
      <c r="A701" t="str">
        <f>"20190312164232308"</f>
        <v>20190312164232308</v>
      </c>
      <c r="B701" t="str">
        <f>"1552380152304366"</f>
        <v>1552380152304366</v>
      </c>
      <c r="C701" t="s">
        <v>40</v>
      </c>
      <c r="D701">
        <v>4.7238670000000003</v>
      </c>
      <c r="E701">
        <v>0.52293049999999996</v>
      </c>
      <c r="F701" t="s">
        <v>41</v>
      </c>
      <c r="G701">
        <v>-274.63310000000001</v>
      </c>
      <c r="H701">
        <v>1.0434380000000001</v>
      </c>
      <c r="I701">
        <v>367.07479999999998</v>
      </c>
      <c r="J701">
        <v>-275.28809999999999</v>
      </c>
      <c r="K701">
        <v>1.0978589999999999</v>
      </c>
      <c r="L701">
        <v>367.16329999999999</v>
      </c>
      <c r="M701">
        <v>0.99996669999999999</v>
      </c>
      <c r="N701">
        <v>0</v>
      </c>
      <c r="O701">
        <v>6.664323E-4</v>
      </c>
      <c r="P701">
        <v>0.99207630000000002</v>
      </c>
      <c r="Q701">
        <v>0.11874120000000001</v>
      </c>
      <c r="R701">
        <v>-4.105309E-2</v>
      </c>
      <c r="S701">
        <v>3.0332029999999999</v>
      </c>
      <c r="T701">
        <v>-0.16820560000000001</v>
      </c>
      <c r="U701">
        <v>-0.28216550000000001</v>
      </c>
      <c r="V701">
        <v>4.1688330000000003E-2</v>
      </c>
      <c r="W701">
        <v>0.12681889999999901</v>
      </c>
      <c r="X701">
        <v>0.99104950000000003</v>
      </c>
      <c r="Y701">
        <v>9.3146350000000003E-2</v>
      </c>
      <c r="Z701">
        <v>-2.6120269999999998E-3</v>
      </c>
      <c r="AA701">
        <v>0.99564900000000001</v>
      </c>
      <c r="AB701">
        <v>30</v>
      </c>
      <c r="AC701">
        <v>0.65499999999997205</v>
      </c>
      <c r="AD701">
        <v>-5.4420999999999997E-2</v>
      </c>
      <c r="AE701">
        <v>-8.8500000000010404E-2</v>
      </c>
      <c r="AF701">
        <v>8.8337628747773594E-2</v>
      </c>
      <c r="AG701">
        <v>-5.4420999999999997E-2</v>
      </c>
      <c r="AH701">
        <v>0.65053064324965804</v>
      </c>
      <c r="AI701">
        <v>94.738729144819601</v>
      </c>
      <c r="AJ701">
        <v>82.266924145038004</v>
      </c>
      <c r="AK701">
        <v>0.65875283657878403</v>
      </c>
      <c r="AL701">
        <v>82.714193109869498</v>
      </c>
      <c r="AM701">
        <v>87.591282734037705</v>
      </c>
      <c r="AN701">
        <v>1.0000000308528201</v>
      </c>
    </row>
    <row r="702" spans="1:40" x14ac:dyDescent="0.25">
      <c r="A702" t="str">
        <f>"20190312164232330"</f>
        <v>20190312164232330</v>
      </c>
      <c r="B702" t="str">
        <f>"1552380152324862"</f>
        <v>1552380152324862</v>
      </c>
      <c r="C702" t="s">
        <v>40</v>
      </c>
      <c r="D702">
        <v>4.9796709999999997</v>
      </c>
      <c r="E702">
        <v>0.52289859999999999</v>
      </c>
      <c r="F702" t="s">
        <v>41</v>
      </c>
      <c r="G702">
        <v>-274.3655</v>
      </c>
      <c r="H702">
        <v>1.0449949999999999</v>
      </c>
      <c r="I702">
        <v>367.07709999999997</v>
      </c>
      <c r="J702">
        <v>-274.98660000000001</v>
      </c>
      <c r="K702">
        <v>1.099709</v>
      </c>
      <c r="L702">
        <v>367.16359999999997</v>
      </c>
      <c r="M702">
        <v>0.99996130000000005</v>
      </c>
      <c r="N702">
        <v>0</v>
      </c>
      <c r="O702">
        <v>7.8604229999999905E-4</v>
      </c>
      <c r="P702">
        <v>0.99223910000000004</v>
      </c>
      <c r="Q702">
        <v>0.1173278</v>
      </c>
      <c r="R702">
        <v>-4.1181669999999997E-2</v>
      </c>
      <c r="S702">
        <v>3.033112</v>
      </c>
      <c r="T702">
        <v>-0.1739832</v>
      </c>
      <c r="U702">
        <v>-0.2823792</v>
      </c>
      <c r="V702">
        <v>4.1936010000000003E-2</v>
      </c>
      <c r="W702">
        <v>0.1260242</v>
      </c>
      <c r="X702">
        <v>0.99114040000000003</v>
      </c>
      <c r="Y702">
        <v>9.332725E-2</v>
      </c>
      <c r="Z702">
        <v>-2.7136880000000001E-3</v>
      </c>
      <c r="AA702">
        <v>0.99563179999999996</v>
      </c>
      <c r="AB702">
        <v>30</v>
      </c>
      <c r="AC702">
        <v>0.62110000000001198</v>
      </c>
      <c r="AD702">
        <v>-5.4713999999999902E-2</v>
      </c>
      <c r="AE702">
        <v>-8.6500000000000896E-2</v>
      </c>
      <c r="AF702">
        <v>8.6331002535186802E-2</v>
      </c>
      <c r="AG702">
        <v>-5.4713999999999902E-2</v>
      </c>
      <c r="AH702">
        <v>0.61633988548351404</v>
      </c>
      <c r="AI702">
        <v>95.024195908287297</v>
      </c>
      <c r="AJ702">
        <v>82.026430985615093</v>
      </c>
      <c r="AK702">
        <v>0.624757167411917</v>
      </c>
      <c r="AL702">
        <v>82.760094199107897</v>
      </c>
      <c r="AM702">
        <v>87.577210949815907</v>
      </c>
      <c r="AN702">
        <v>1.0000000102162601</v>
      </c>
    </row>
    <row r="703" spans="1:40" x14ac:dyDescent="0.25">
      <c r="A703" t="str">
        <f>"20190312164232352"</f>
        <v>20190312164232352</v>
      </c>
      <c r="B703" t="str">
        <f>"1552380152344382"</f>
        <v>1552380152344382</v>
      </c>
      <c r="C703" t="s">
        <v>40</v>
      </c>
      <c r="D703">
        <v>4.9012960000000003</v>
      </c>
      <c r="E703">
        <v>0.5228971</v>
      </c>
      <c r="F703" t="s">
        <v>42</v>
      </c>
      <c r="G703">
        <v>-256.2672</v>
      </c>
      <c r="H703" s="1">
        <v>-2.3731280000000001E-6</v>
      </c>
      <c r="I703">
        <v>365.41919999999999</v>
      </c>
      <c r="J703">
        <v>-274.697</v>
      </c>
      <c r="K703">
        <v>1.1012740000000001</v>
      </c>
      <c r="L703">
        <v>367.16399999999999</v>
      </c>
      <c r="M703">
        <v>0.99995630000000002</v>
      </c>
      <c r="N703">
        <v>0</v>
      </c>
      <c r="O703">
        <v>9.0134639999999995E-4</v>
      </c>
      <c r="P703">
        <v>0.99239239999999995</v>
      </c>
      <c r="Q703">
        <v>0.11601880000000001</v>
      </c>
      <c r="R703">
        <v>-4.1196040000000003E-2</v>
      </c>
      <c r="S703">
        <v>3.0328059999999999</v>
      </c>
      <c r="T703">
        <v>-0.17816760000000001</v>
      </c>
      <c r="U703">
        <v>-0.28262330000000002</v>
      </c>
      <c r="V703">
        <v>4.2065400000000003E-2</v>
      </c>
      <c r="W703">
        <v>0.1252683</v>
      </c>
      <c r="X703">
        <v>0.99123070000000002</v>
      </c>
      <c r="Y703">
        <v>9.3522759999999996E-2</v>
      </c>
      <c r="Z703">
        <v>-2.791591E-3</v>
      </c>
      <c r="AA703">
        <v>0.99561319999999998</v>
      </c>
      <c r="AB703">
        <v>30</v>
      </c>
      <c r="AC703">
        <v>18.4298</v>
      </c>
      <c r="AD703">
        <v>-1.101276373128</v>
      </c>
      <c r="AE703">
        <v>-1.7447999999999899</v>
      </c>
      <c r="AF703">
        <v>1.75520005384377</v>
      </c>
      <c r="AG703">
        <v>-1.101276373128</v>
      </c>
      <c r="AH703">
        <v>18.363232948768999</v>
      </c>
      <c r="AI703">
        <v>93.416487303745697</v>
      </c>
      <c r="AJ703">
        <v>84.540124355542005</v>
      </c>
      <c r="AK703">
        <v>18.479768970681999</v>
      </c>
      <c r="AL703">
        <v>82.803749776274898</v>
      </c>
      <c r="AM703">
        <v>87.569965716900001</v>
      </c>
      <c r="AN703">
        <v>0.99999997274226904</v>
      </c>
    </row>
    <row r="704" spans="1:40" x14ac:dyDescent="0.25">
      <c r="A704" t="str">
        <f>"20190312164232374"</f>
        <v>20190312164232374</v>
      </c>
      <c r="B704" t="str">
        <f>"1552380152364879"</f>
        <v>1552380152364879</v>
      </c>
      <c r="C704" t="s">
        <v>40</v>
      </c>
      <c r="D704">
        <v>4.9571069999999997</v>
      </c>
      <c r="E704">
        <v>0.5228855</v>
      </c>
      <c r="F704" t="s">
        <v>42</v>
      </c>
      <c r="G704">
        <v>-256.36259999999999</v>
      </c>
      <c r="H704" s="1">
        <v>-2.3303669999999999E-6</v>
      </c>
      <c r="I704">
        <v>365.45780000000002</v>
      </c>
      <c r="J704">
        <v>-274.41050000000001</v>
      </c>
      <c r="K704">
        <v>1.1026290000000001</v>
      </c>
      <c r="L704">
        <v>367.1644</v>
      </c>
      <c r="M704">
        <v>0.99995129999999999</v>
      </c>
      <c r="N704">
        <v>0</v>
      </c>
      <c r="O704">
        <v>1.015894E-3</v>
      </c>
      <c r="P704">
        <v>0.99248360000000002</v>
      </c>
      <c r="Q704">
        <v>0.1151046</v>
      </c>
      <c r="R704">
        <v>-4.1562519999999999E-2</v>
      </c>
      <c r="S704">
        <v>3.0325009999999999</v>
      </c>
      <c r="T704">
        <v>-0.18214959999999999</v>
      </c>
      <c r="U704">
        <v>-0.282196</v>
      </c>
      <c r="V704">
        <v>4.2546090000000002E-2</v>
      </c>
      <c r="W704">
        <v>0.1248586</v>
      </c>
      <c r="X704">
        <v>0.99126190000000003</v>
      </c>
      <c r="Y704">
        <v>9.3499509999999994E-2</v>
      </c>
      <c r="Z704">
        <v>-2.8603410000000002E-3</v>
      </c>
      <c r="AA704">
        <v>0.99561520000000003</v>
      </c>
      <c r="AB704">
        <v>30</v>
      </c>
      <c r="AC704">
        <v>18.047899999999998</v>
      </c>
      <c r="AD704">
        <v>-1.1026313303669999</v>
      </c>
      <c r="AE704">
        <v>-1.7065999999999799</v>
      </c>
      <c r="AF704">
        <v>1.7185769058567399</v>
      </c>
      <c r="AG704">
        <v>-1.1026313303669999</v>
      </c>
      <c r="AH704">
        <v>17.979641456166899</v>
      </c>
      <c r="AI704">
        <v>93.493480622182005</v>
      </c>
      <c r="AJ704">
        <v>84.539993590734795</v>
      </c>
      <c r="AK704">
        <v>18.095215094725098</v>
      </c>
      <c r="AL704">
        <v>82.827409792878697</v>
      </c>
      <c r="AM704">
        <v>87.542308337221101</v>
      </c>
      <c r="AN704">
        <v>0.99999999707992904</v>
      </c>
    </row>
    <row r="705" spans="1:40" x14ac:dyDescent="0.25">
      <c r="A705" t="str">
        <f>"20190312164232390"</f>
        <v>20190312164232390</v>
      </c>
      <c r="B705" t="str">
        <f>"1552380152384398"</f>
        <v>1552380152384398</v>
      </c>
      <c r="C705" t="s">
        <v>40</v>
      </c>
      <c r="D705">
        <v>4.8596069999999996</v>
      </c>
      <c r="E705">
        <v>0.52284679999999994</v>
      </c>
      <c r="F705" t="s">
        <v>42</v>
      </c>
      <c r="G705">
        <v>-256.35140000000001</v>
      </c>
      <c r="H705" s="1">
        <v>-2.329166E-6</v>
      </c>
      <c r="I705">
        <v>365.47660000000002</v>
      </c>
      <c r="J705">
        <v>-274.20159999999998</v>
      </c>
      <c r="K705">
        <v>1.103505</v>
      </c>
      <c r="L705">
        <v>367.16460000000001</v>
      </c>
      <c r="M705">
        <v>0.99994780000000005</v>
      </c>
      <c r="N705">
        <v>0</v>
      </c>
      <c r="O705">
        <v>1.0994990000000001E-3</v>
      </c>
      <c r="P705">
        <v>0.99255629999999995</v>
      </c>
      <c r="Q705">
        <v>0.1144082</v>
      </c>
      <c r="R705">
        <v>-4.1750910000000002E-2</v>
      </c>
      <c r="S705">
        <v>3.0323180000000001</v>
      </c>
      <c r="T705">
        <v>-0.18514349999999999</v>
      </c>
      <c r="U705">
        <v>-0.28338619999999998</v>
      </c>
      <c r="V705">
        <v>4.2817769999999998E-2</v>
      </c>
      <c r="W705">
        <v>0.1245019</v>
      </c>
      <c r="X705">
        <v>0.99129509999999998</v>
      </c>
      <c r="Y705">
        <v>9.3969070000000002E-2</v>
      </c>
      <c r="Z705">
        <v>-2.9267690000000001E-3</v>
      </c>
      <c r="AA705">
        <v>0.99557079999999998</v>
      </c>
      <c r="AB705">
        <v>30</v>
      </c>
      <c r="AC705">
        <v>17.850199999999901</v>
      </c>
      <c r="AD705">
        <v>-1.103507329166</v>
      </c>
      <c r="AE705">
        <v>-1.68799999999998</v>
      </c>
      <c r="AF705">
        <v>1.70118237023525</v>
      </c>
      <c r="AG705">
        <v>-1.103507329166</v>
      </c>
      <c r="AH705">
        <v>17.780980683102001</v>
      </c>
      <c r="AI705">
        <v>93.535183082798596</v>
      </c>
      <c r="AJ705">
        <v>84.5349025800015</v>
      </c>
      <c r="AK705">
        <v>17.896229321708201</v>
      </c>
      <c r="AL705">
        <v>82.848008161380804</v>
      </c>
      <c r="AM705">
        <v>87.526716796806895</v>
      </c>
      <c r="AN705">
        <v>1.0000000299076901</v>
      </c>
    </row>
    <row r="706" spans="1:40" x14ac:dyDescent="0.25">
      <c r="A706" t="str">
        <f>"20190312164232407"</f>
        <v>20190312164232407</v>
      </c>
      <c r="B706" t="str">
        <f>"1552380152394159"</f>
        <v>1552380152394159</v>
      </c>
      <c r="C706" t="s">
        <v>40</v>
      </c>
      <c r="D706">
        <v>5.0798350000000001</v>
      </c>
      <c r="E706">
        <v>0.52283939999999995</v>
      </c>
      <c r="F706" t="s">
        <v>41</v>
      </c>
      <c r="G706">
        <v>-273.31450000000001</v>
      </c>
      <c r="H706">
        <v>1.048346</v>
      </c>
      <c r="I706">
        <v>367.08139999999997</v>
      </c>
      <c r="J706">
        <v>-273.96899999999999</v>
      </c>
      <c r="K706">
        <v>1.1043889999999901</v>
      </c>
      <c r="L706">
        <v>367.16500000000002</v>
      </c>
      <c r="M706">
        <v>0.99994400000000006</v>
      </c>
      <c r="N706">
        <v>0</v>
      </c>
      <c r="O706">
        <v>1.1930489999999901E-3</v>
      </c>
      <c r="P706">
        <v>0.99259529999999996</v>
      </c>
      <c r="Q706">
        <v>0.11396340000000001</v>
      </c>
      <c r="R706">
        <v>-4.2039630000000001E-2</v>
      </c>
      <c r="S706">
        <v>3.0323180000000001</v>
      </c>
      <c r="T706">
        <v>-0.18875320000000001</v>
      </c>
      <c r="U706">
        <v>-0.28366089999999999</v>
      </c>
      <c r="V706">
        <v>4.3199599999999998E-2</v>
      </c>
      <c r="W706">
        <v>0.12440909999999999</v>
      </c>
      <c r="X706">
        <v>0.99129020000000001</v>
      </c>
      <c r="Y706">
        <v>9.4144199999999997E-2</v>
      </c>
      <c r="Z706">
        <v>-2.994951E-3</v>
      </c>
      <c r="AA706">
        <v>0.9955541</v>
      </c>
      <c r="AB706">
        <v>30</v>
      </c>
      <c r="AC706">
        <v>0.65449999999998398</v>
      </c>
      <c r="AD706">
        <v>-5.6042999999999801E-2</v>
      </c>
      <c r="AE706">
        <v>-8.3600000000046706E-2</v>
      </c>
      <c r="AF706">
        <v>8.3776444701115602E-2</v>
      </c>
      <c r="AG706">
        <v>-5.6042999999999801E-2</v>
      </c>
      <c r="AH706">
        <v>0.64971255961650798</v>
      </c>
      <c r="AI706">
        <v>94.889741172452602</v>
      </c>
      <c r="AJ706">
        <v>82.652602641218905</v>
      </c>
      <c r="AK706">
        <v>0.65748438814864096</v>
      </c>
      <c r="AL706">
        <v>82.853366981727405</v>
      </c>
      <c r="AM706">
        <v>87.504676583939997</v>
      </c>
      <c r="AN706">
        <v>1.0000000451094999</v>
      </c>
    </row>
    <row r="707" spans="1:40" x14ac:dyDescent="0.25">
      <c r="A707" t="str">
        <f>"20190312164232421"</f>
        <v>20190312164232421</v>
      </c>
      <c r="B707" t="str">
        <f>"1552380152414656"</f>
        <v>1552380152414656</v>
      </c>
      <c r="C707" t="s">
        <v>40</v>
      </c>
      <c r="D707">
        <v>4.7429069999999998</v>
      </c>
      <c r="E707">
        <v>0.52282870000000004</v>
      </c>
      <c r="F707" t="s">
        <v>41</v>
      </c>
      <c r="G707">
        <v>-273.05259999999998</v>
      </c>
      <c r="H707">
        <v>1.046942</v>
      </c>
      <c r="I707">
        <v>367.07900000000001</v>
      </c>
      <c r="J707">
        <v>-273.7824</v>
      </c>
      <c r="K707">
        <v>1.1050310000000001</v>
      </c>
      <c r="L707">
        <v>367.1653</v>
      </c>
      <c r="M707">
        <v>0.99994110000000003</v>
      </c>
      <c r="N707">
        <v>0</v>
      </c>
      <c r="O707">
        <v>1.2677539999999901E-3</v>
      </c>
      <c r="P707">
        <v>0.99264969999999997</v>
      </c>
      <c r="Q707">
        <v>0.1135274</v>
      </c>
      <c r="R707">
        <v>-4.1931330000000003E-2</v>
      </c>
      <c r="S707">
        <v>3.0321660000000001</v>
      </c>
      <c r="T707">
        <v>-0.19023860000000001</v>
      </c>
      <c r="U707">
        <v>-0.28408810000000001</v>
      </c>
      <c r="V707">
        <v>4.3165589999999997E-2</v>
      </c>
      <c r="W707">
        <v>0.1242398</v>
      </c>
      <c r="X707">
        <v>0.99131290000000005</v>
      </c>
      <c r="Y707">
        <v>9.4358810000000001E-2</v>
      </c>
      <c r="Z707">
        <v>-3.029988E-3</v>
      </c>
      <c r="AA707">
        <v>0.99553360000000002</v>
      </c>
      <c r="AB707">
        <v>30</v>
      </c>
      <c r="AC707">
        <v>0.729800000000011</v>
      </c>
      <c r="AD707">
        <v>-5.8088999999999801E-2</v>
      </c>
      <c r="AE707">
        <v>-8.6299999999994201E-2</v>
      </c>
      <c r="AF707">
        <v>8.6683582016645805E-2</v>
      </c>
      <c r="AG707">
        <v>-5.8088999999999801E-2</v>
      </c>
      <c r="AH707">
        <v>0.72515912019467599</v>
      </c>
      <c r="AI707">
        <v>94.547670386201204</v>
      </c>
      <c r="AJ707">
        <v>83.183360979519705</v>
      </c>
      <c r="AK707">
        <v>0.73262823103792096</v>
      </c>
      <c r="AL707">
        <v>82.863142900815504</v>
      </c>
      <c r="AM707">
        <v>87.506695634700407</v>
      </c>
      <c r="AN707">
        <v>1.0000000308852399</v>
      </c>
    </row>
    <row r="708" spans="1:40" x14ac:dyDescent="0.25">
      <c r="A708" t="str">
        <f>"20190312164232441"</f>
        <v>20190312164232441</v>
      </c>
      <c r="B708" t="str">
        <f>"1552380152434178"</f>
        <v>1552380152434178</v>
      </c>
      <c r="C708" t="s">
        <v>40</v>
      </c>
      <c r="D708">
        <v>4.86822</v>
      </c>
      <c r="E708">
        <v>0.52284179999999902</v>
      </c>
      <c r="F708" t="s">
        <v>41</v>
      </c>
      <c r="G708">
        <v>-272.79329999999999</v>
      </c>
      <c r="H708">
        <v>1.042662</v>
      </c>
      <c r="I708">
        <v>367.07240000000002</v>
      </c>
      <c r="J708">
        <v>-273.51799999999997</v>
      </c>
      <c r="K708">
        <v>1.1058220000000001</v>
      </c>
      <c r="L708">
        <v>367.16579999999999</v>
      </c>
      <c r="M708">
        <v>0.99993710000000002</v>
      </c>
      <c r="N708">
        <v>0</v>
      </c>
      <c r="O708">
        <v>1.373705E-3</v>
      </c>
      <c r="P708">
        <v>0.99268290000000003</v>
      </c>
      <c r="Q708">
        <v>0.11334089999999999</v>
      </c>
      <c r="R708">
        <v>-4.1647789999999997E-2</v>
      </c>
      <c r="S708">
        <v>3.0321349999999998</v>
      </c>
      <c r="T708">
        <v>-0.19149659999999999</v>
      </c>
      <c r="U708">
        <v>-0.2836304</v>
      </c>
      <c r="V708">
        <v>4.2987499999999998E-2</v>
      </c>
      <c r="W708">
        <v>0.1243964</v>
      </c>
      <c r="X708">
        <v>0.99130099999999999</v>
      </c>
      <c r="Y708">
        <v>9.4313640000000004E-2</v>
      </c>
      <c r="Z708">
        <v>-3.0552869999999998E-3</v>
      </c>
      <c r="AA708">
        <v>0.99553780000000003</v>
      </c>
      <c r="AB708">
        <v>29</v>
      </c>
      <c r="AC708">
        <v>0.72469999999998402</v>
      </c>
      <c r="AD708">
        <v>-6.31599999999998E-2</v>
      </c>
      <c r="AE708">
        <v>-9.3399999999974101E-2</v>
      </c>
      <c r="AF708">
        <v>9.3695443321702293E-2</v>
      </c>
      <c r="AG708">
        <v>-6.31599999999998E-2</v>
      </c>
      <c r="AH708">
        <v>0.71919745333382201</v>
      </c>
      <c r="AI708">
        <v>94.977001769738393</v>
      </c>
      <c r="AJ708">
        <v>82.577437645225103</v>
      </c>
      <c r="AK708">
        <v>0.72801991633547003</v>
      </c>
      <c r="AL708">
        <v>82.854100233897</v>
      </c>
      <c r="AM708">
        <v>87.516939688679102</v>
      </c>
      <c r="AN708">
        <v>1.0000000310451</v>
      </c>
    </row>
    <row r="709" spans="1:40" x14ac:dyDescent="0.25">
      <c r="A709" t="str">
        <f>"20190312164232463"</f>
        <v>20190312164232463</v>
      </c>
      <c r="B709" t="str">
        <f>"1552380152454670"</f>
        <v>1552380152454670</v>
      </c>
      <c r="C709" t="s">
        <v>40</v>
      </c>
      <c r="D709">
        <v>4.75589</v>
      </c>
      <c r="E709">
        <v>0.52271999999999996</v>
      </c>
      <c r="F709" t="s">
        <v>41</v>
      </c>
      <c r="G709">
        <v>-272.53050000000002</v>
      </c>
      <c r="H709">
        <v>1.042835</v>
      </c>
      <c r="I709">
        <v>367.07350000000002</v>
      </c>
      <c r="J709">
        <v>-273.23419999999999</v>
      </c>
      <c r="K709">
        <v>1.1065529999999999</v>
      </c>
      <c r="L709">
        <v>367.16629999999998</v>
      </c>
      <c r="M709">
        <v>0.99993310000000002</v>
      </c>
      <c r="N709">
        <v>0</v>
      </c>
      <c r="O709">
        <v>1.4872259999999999E-3</v>
      </c>
      <c r="P709">
        <v>0.99279799999999996</v>
      </c>
      <c r="Q709">
        <v>0.11234040000000001</v>
      </c>
      <c r="R709">
        <v>-4.1616930000000003E-2</v>
      </c>
      <c r="S709">
        <v>3.032349</v>
      </c>
      <c r="T709">
        <v>-0.1935625</v>
      </c>
      <c r="U709">
        <v>-0.28286739999999999</v>
      </c>
      <c r="V709">
        <v>4.3069719999999999E-2</v>
      </c>
      <c r="W709">
        <v>0.1237297</v>
      </c>
      <c r="X709">
        <v>0.99138079999999995</v>
      </c>
      <c r="Y709">
        <v>9.4167840000000003E-2</v>
      </c>
      <c r="Z709">
        <v>-3.0905870000000001E-3</v>
      </c>
      <c r="AA709">
        <v>0.99555150000000003</v>
      </c>
      <c r="AB709">
        <v>29</v>
      </c>
      <c r="AC709">
        <v>0.70369999999996902</v>
      </c>
      <c r="AD709">
        <v>-6.3718000000000094E-2</v>
      </c>
      <c r="AE709">
        <v>-9.2799999999954197E-2</v>
      </c>
      <c r="AF709">
        <v>9.3096298317200704E-2</v>
      </c>
      <c r="AG709">
        <v>-6.3718000000000094E-2</v>
      </c>
      <c r="AH709">
        <v>0.69793678210154297</v>
      </c>
      <c r="AI709">
        <v>95.170800675496594</v>
      </c>
      <c r="AJ709">
        <v>82.402286709758897</v>
      </c>
      <c r="AK709">
        <v>0.70699551348974099</v>
      </c>
      <c r="AL709">
        <v>82.892596269041604</v>
      </c>
      <c r="AM709">
        <v>87.512396428261496</v>
      </c>
      <c r="AN709">
        <v>0.99999996502580302</v>
      </c>
    </row>
    <row r="710" spans="1:40" x14ac:dyDescent="0.25">
      <c r="A710" t="str">
        <f>"20190312164232485"</f>
        <v>20190312164232485</v>
      </c>
      <c r="B710" t="str">
        <f>"1552380152474191"</f>
        <v>1552380152474191</v>
      </c>
      <c r="C710" t="s">
        <v>40</v>
      </c>
      <c r="D710">
        <v>4.7603239999999998</v>
      </c>
      <c r="E710">
        <v>0.52259339999999999</v>
      </c>
      <c r="F710" t="s">
        <v>41</v>
      </c>
      <c r="G710">
        <v>-272.2679</v>
      </c>
      <c r="H710">
        <v>1.0433490000000001</v>
      </c>
      <c r="I710">
        <v>367.07639999999998</v>
      </c>
      <c r="J710">
        <v>-272.94</v>
      </c>
      <c r="K710">
        <v>1.107194</v>
      </c>
      <c r="L710">
        <v>367.16680000000002</v>
      </c>
      <c r="M710">
        <v>0.99992930000000002</v>
      </c>
      <c r="N710">
        <v>0</v>
      </c>
      <c r="O710">
        <v>1.604875E-3</v>
      </c>
      <c r="P710">
        <v>0.99295089999999997</v>
      </c>
      <c r="Q710">
        <v>0.11101229999999999</v>
      </c>
      <c r="R710">
        <v>-4.1530879999999999E-2</v>
      </c>
      <c r="S710">
        <v>3.0324710000000001</v>
      </c>
      <c r="T710">
        <v>-0.19858990000000001</v>
      </c>
      <c r="U710">
        <v>-0.28125</v>
      </c>
      <c r="V710">
        <v>4.3101149999999998E-2</v>
      </c>
      <c r="W710">
        <v>0.1227118</v>
      </c>
      <c r="X710">
        <v>0.991506</v>
      </c>
      <c r="Y710">
        <v>9.3745309999999998E-2</v>
      </c>
      <c r="Z710">
        <v>-3.1645319999999998E-3</v>
      </c>
      <c r="AA710">
        <v>0.99559120000000001</v>
      </c>
      <c r="AB710">
        <v>29</v>
      </c>
      <c r="AC710">
        <v>0.67210000000000003</v>
      </c>
      <c r="AD710">
        <v>-6.3844999999999902E-2</v>
      </c>
      <c r="AE710">
        <v>-9.0400000000045097E-2</v>
      </c>
      <c r="AF710">
        <v>9.06749089231218E-2</v>
      </c>
      <c r="AG710">
        <v>-6.3844999999999902E-2</v>
      </c>
      <c r="AH710">
        <v>0.66605058537123596</v>
      </c>
      <c r="AI710">
        <v>95.425674733751606</v>
      </c>
      <c r="AJ710">
        <v>82.247516711561602</v>
      </c>
      <c r="AK710">
        <v>0.67521959791358499</v>
      </c>
      <c r="AL710">
        <v>82.951365911537394</v>
      </c>
      <c r="AM710">
        <v>87.510897339496907</v>
      </c>
      <c r="AN710">
        <v>1.00000002151328</v>
      </c>
    </row>
    <row r="711" spans="1:40" x14ac:dyDescent="0.25">
      <c r="A711" t="str">
        <f>"20190312164232509"</f>
        <v>20190312164232509</v>
      </c>
      <c r="B711" t="str">
        <f>"1552380152504447"</f>
        <v>1552380152504447</v>
      </c>
      <c r="C711" t="s">
        <v>40</v>
      </c>
      <c r="D711">
        <v>4.798667</v>
      </c>
      <c r="E711">
        <v>0.5015307</v>
      </c>
      <c r="F711" t="s">
        <v>41</v>
      </c>
      <c r="G711">
        <v>-272.00529999999998</v>
      </c>
      <c r="H711">
        <v>1.0441590000000001</v>
      </c>
      <c r="I711">
        <v>367.08049999999997</v>
      </c>
      <c r="J711">
        <v>-272.64159999999998</v>
      </c>
      <c r="K711">
        <v>1.107737</v>
      </c>
      <c r="L711">
        <v>367.16739999999999</v>
      </c>
      <c r="M711">
        <v>0.99992570000000003</v>
      </c>
      <c r="N711">
        <v>0</v>
      </c>
      <c r="O711">
        <v>1.721099E-3</v>
      </c>
      <c r="P711">
        <v>0.99313799999999997</v>
      </c>
      <c r="Q711">
        <v>0.1094482</v>
      </c>
      <c r="R711">
        <v>-4.120882E-2</v>
      </c>
      <c r="S711">
        <v>3.0324399999999998</v>
      </c>
      <c r="T711">
        <v>-0.20447280000000001</v>
      </c>
      <c r="U711">
        <v>-0.28015139999999999</v>
      </c>
      <c r="V711">
        <v>4.2895200000000001E-2</v>
      </c>
      <c r="W711">
        <v>0.1214307</v>
      </c>
      <c r="X711">
        <v>0.99167260000000002</v>
      </c>
      <c r="Y711">
        <v>9.3492480000000003E-2</v>
      </c>
      <c r="Z711">
        <v>-3.2574700000000002E-3</v>
      </c>
      <c r="AA711">
        <v>0.99561460000000002</v>
      </c>
      <c r="AB711">
        <v>29</v>
      </c>
      <c r="AC711">
        <v>0.63630000000000497</v>
      </c>
      <c r="AD711">
        <v>-6.3577999999999898E-2</v>
      </c>
      <c r="AE711">
        <v>-8.6900000000014105E-2</v>
      </c>
      <c r="AF711">
        <v>8.7141029238659601E-2</v>
      </c>
      <c r="AG711">
        <v>-6.3577999999999898E-2</v>
      </c>
      <c r="AH711">
        <v>0.62997518407716502</v>
      </c>
      <c r="AI711">
        <v>95.708867130914498</v>
      </c>
      <c r="AJ711">
        <v>82.124562454027696</v>
      </c>
      <c r="AK711">
        <v>0.63914353130876</v>
      </c>
      <c r="AL711">
        <v>83.025320324915597</v>
      </c>
      <c r="AM711">
        <v>87.523191806486906</v>
      </c>
      <c r="AN711">
        <v>0.999999979338144</v>
      </c>
    </row>
    <row r="712" spans="1:40" x14ac:dyDescent="0.25">
      <c r="A712" t="str">
        <f>"20190312164232542"</f>
        <v>20190312164232542</v>
      </c>
      <c r="B712" t="str">
        <f>"1552380152534703"</f>
        <v>1552380152534703</v>
      </c>
      <c r="C712" t="s">
        <v>40</v>
      </c>
      <c r="D712">
        <v>4.7418699999999996</v>
      </c>
      <c r="E712">
        <v>0.49008550000000001</v>
      </c>
      <c r="F712" t="s">
        <v>41</v>
      </c>
      <c r="G712">
        <v>-271.74950000000001</v>
      </c>
      <c r="H712">
        <v>1.0339419999999999</v>
      </c>
      <c r="I712">
        <v>367.1352</v>
      </c>
      <c r="J712">
        <v>-272.20150000000001</v>
      </c>
      <c r="K712">
        <v>1.108398</v>
      </c>
      <c r="L712">
        <v>367.16840000000002</v>
      </c>
      <c r="M712">
        <v>0.99992099999999995</v>
      </c>
      <c r="N712">
        <v>0</v>
      </c>
      <c r="O712">
        <v>1.8898669999999999E-3</v>
      </c>
      <c r="P712">
        <v>0.99325350000000001</v>
      </c>
      <c r="Q712">
        <v>0.1084619</v>
      </c>
      <c r="R712">
        <v>-4.1031980000000003E-2</v>
      </c>
      <c r="S712">
        <v>3.0439759999999998</v>
      </c>
      <c r="T712">
        <v>-0.25199660000000002</v>
      </c>
      <c r="U712">
        <v>-0.1093445</v>
      </c>
      <c r="V712">
        <v>4.2886979999999998E-2</v>
      </c>
      <c r="W712">
        <v>0.12080539999999899</v>
      </c>
      <c r="X712">
        <v>0.99174929999999994</v>
      </c>
      <c r="Y712">
        <v>3.7652079999999997E-2</v>
      </c>
      <c r="Z712">
        <v>-1.7115100000000001E-3</v>
      </c>
      <c r="AA712">
        <v>0.99928950000000005</v>
      </c>
      <c r="AB712">
        <v>29</v>
      </c>
      <c r="AC712">
        <v>0.45199999999999801</v>
      </c>
      <c r="AD712">
        <v>-7.4455999999999994E-2</v>
      </c>
      <c r="AE712">
        <v>-3.3200000000022101E-2</v>
      </c>
      <c r="AF712">
        <v>3.3159292514300401E-2</v>
      </c>
      <c r="AG712">
        <v>-7.4455999999999994E-2</v>
      </c>
      <c r="AH712">
        <v>0.44005970100619302</v>
      </c>
      <c r="AI712">
        <v>99.576580280188594</v>
      </c>
      <c r="AJ712">
        <v>85.690803038989301</v>
      </c>
      <c r="AK712">
        <v>0.447544159905711</v>
      </c>
      <c r="AL712">
        <v>83.061412924637395</v>
      </c>
      <c r="AM712">
        <v>87.523857122503799</v>
      </c>
      <c r="AN712">
        <v>0.99999995588658397</v>
      </c>
    </row>
    <row r="713" spans="1:40" x14ac:dyDescent="0.25">
      <c r="A713" t="str">
        <f>"20190312164232563"</f>
        <v>20190312164232563</v>
      </c>
      <c r="B713" t="str">
        <f>"1552380152555200"</f>
        <v>1552380152555200</v>
      </c>
      <c r="C713" t="s">
        <v>40</v>
      </c>
      <c r="D713">
        <v>4.6916599999999997</v>
      </c>
      <c r="E713">
        <v>0.48720010000000002</v>
      </c>
      <c r="F713" t="s">
        <v>41</v>
      </c>
      <c r="G713">
        <v>-271.22930000000002</v>
      </c>
      <c r="H713">
        <v>1.0277639999999999</v>
      </c>
      <c r="I713">
        <v>367.1626</v>
      </c>
      <c r="J713">
        <v>-271.9178</v>
      </c>
      <c r="K713">
        <v>1.1087340000000001</v>
      </c>
      <c r="L713">
        <v>367.16910000000001</v>
      </c>
      <c r="M713">
        <v>0.99991839999999999</v>
      </c>
      <c r="N713">
        <v>0</v>
      </c>
      <c r="O713">
        <v>1.9945000000000002E-3</v>
      </c>
      <c r="P713">
        <v>0.99331809999999998</v>
      </c>
      <c r="Q713">
        <v>0.1079567</v>
      </c>
      <c r="R713">
        <v>-4.0803350000000002E-2</v>
      </c>
      <c r="S713">
        <v>3.0473020000000002</v>
      </c>
      <c r="T713">
        <v>-0.25296249999999998</v>
      </c>
      <c r="U713">
        <v>-1.7456050000000001E-2</v>
      </c>
      <c r="V713">
        <v>4.2763229999999999E-2</v>
      </c>
      <c r="W713">
        <v>0.1205001</v>
      </c>
      <c r="X713">
        <v>0.9917918</v>
      </c>
      <c r="Y713">
        <v>7.6895760000000001E-3</v>
      </c>
      <c r="Z713">
        <v>-4.839078E-4</v>
      </c>
      <c r="AA713">
        <v>0.99997029999999998</v>
      </c>
      <c r="AB713">
        <v>29</v>
      </c>
      <c r="AC713">
        <v>0.68849999999997602</v>
      </c>
      <c r="AD713">
        <v>-8.0970000000000195E-2</v>
      </c>
      <c r="AE713">
        <v>-6.5000000000168196E-3</v>
      </c>
      <c r="AF713">
        <v>7.7659121545115501E-3</v>
      </c>
      <c r="AG713">
        <v>-8.0970000000000195E-2</v>
      </c>
      <c r="AH713">
        <v>0.67909423504500399</v>
      </c>
      <c r="AI713">
        <v>96.7989702263732</v>
      </c>
      <c r="AJ713">
        <v>89.344811702423996</v>
      </c>
      <c r="AK713">
        <v>0.68394841206259904</v>
      </c>
      <c r="AL713">
        <v>83.079034160114304</v>
      </c>
      <c r="AM713">
        <v>87.531098826499601</v>
      </c>
      <c r="AN713">
        <v>0.99999997124364104</v>
      </c>
    </row>
    <row r="714" spans="1:40" x14ac:dyDescent="0.25">
      <c r="A714" t="str">
        <f>"20190312164232586"</f>
        <v>20190312164232586</v>
      </c>
      <c r="B714" t="str">
        <f>"1552380152574719"</f>
        <v>1552380152574719</v>
      </c>
      <c r="C714" t="s">
        <v>40</v>
      </c>
      <c r="D714">
        <v>4.6879379999999999</v>
      </c>
      <c r="E714">
        <v>0.4855314</v>
      </c>
      <c r="F714" t="s">
        <v>41</v>
      </c>
      <c r="G714">
        <v>-270.96660000000003</v>
      </c>
      <c r="H714">
        <v>1.030861</v>
      </c>
      <c r="I714">
        <v>367.17079999999999</v>
      </c>
      <c r="J714">
        <v>-271.63040000000001</v>
      </c>
      <c r="K714">
        <v>1.1090230000000001</v>
      </c>
      <c r="L714">
        <v>367.16980000000001</v>
      </c>
      <c r="M714">
        <v>0.99991589999999997</v>
      </c>
      <c r="N714">
        <v>0</v>
      </c>
      <c r="O714">
        <v>2.0970260000000001E-3</v>
      </c>
      <c r="P714">
        <v>0.9933959</v>
      </c>
      <c r="Q714">
        <v>0.1073373</v>
      </c>
      <c r="R714">
        <v>-4.0541649999999999E-2</v>
      </c>
      <c r="S714">
        <v>3.0475460000000001</v>
      </c>
      <c r="T714">
        <v>-0.2495822</v>
      </c>
      <c r="U714">
        <v>5.7983399999999999E-3</v>
      </c>
      <c r="V714">
        <v>4.2604549999999998E-2</v>
      </c>
      <c r="W714">
        <v>0.1200608</v>
      </c>
      <c r="X714">
        <v>0.99185190000000001</v>
      </c>
      <c r="Y714">
        <v>1.8692949999999999E-4</v>
      </c>
      <c r="Z714">
        <v>-1.7910659999999999E-4</v>
      </c>
      <c r="AA714">
        <v>0.99999990000000005</v>
      </c>
      <c r="AB714">
        <v>29</v>
      </c>
      <c r="AC714">
        <v>0.66379999999997996</v>
      </c>
      <c r="AD714">
        <v>-7.8161999999999801E-2</v>
      </c>
      <c r="AE714">
        <v>9.9999999997635292E-4</v>
      </c>
      <c r="AF714">
        <v>3.86759700531557E-4</v>
      </c>
      <c r="AG714">
        <v>-7.8161999999999801E-2</v>
      </c>
      <c r="AH714">
        <v>0.65472298740727297</v>
      </c>
      <c r="AI714">
        <v>96.807851492863193</v>
      </c>
      <c r="AJ714">
        <v>89.966154089019497</v>
      </c>
      <c r="AK714">
        <v>0.65937215445192299</v>
      </c>
      <c r="AL714">
        <v>83.104388242789099</v>
      </c>
      <c r="AM714">
        <v>87.540397679695502</v>
      </c>
      <c r="AN714">
        <v>0.99999996745547504</v>
      </c>
    </row>
    <row r="715" spans="1:40" x14ac:dyDescent="0.25">
      <c r="A715" t="str">
        <f>"20190312164232608"</f>
        <v>20190312164232608</v>
      </c>
      <c r="B715" t="str">
        <f>"1552380152604975"</f>
        <v>1552380152604975</v>
      </c>
      <c r="C715" t="s">
        <v>40</v>
      </c>
      <c r="D715">
        <v>4.6473570000000004</v>
      </c>
      <c r="E715">
        <v>0.48410829999999999</v>
      </c>
      <c r="F715" t="s">
        <v>41</v>
      </c>
      <c r="G715">
        <v>-270.70310000000001</v>
      </c>
      <c r="H715">
        <v>1.0333399999999999</v>
      </c>
      <c r="I715">
        <v>367.17559999999997</v>
      </c>
      <c r="J715">
        <v>-271.3322</v>
      </c>
      <c r="K715">
        <v>1.109275</v>
      </c>
      <c r="L715">
        <v>367.1705</v>
      </c>
      <c r="M715">
        <v>0.99991350000000001</v>
      </c>
      <c r="N715">
        <v>0</v>
      </c>
      <c r="O715">
        <v>2.1981230000000002E-3</v>
      </c>
      <c r="P715">
        <v>0.9934077</v>
      </c>
      <c r="Q715">
        <v>0.1073141</v>
      </c>
      <c r="R715">
        <v>-4.0313420000000003E-2</v>
      </c>
      <c r="S715">
        <v>3.0476679999999998</v>
      </c>
      <c r="T715">
        <v>-0.2490048</v>
      </c>
      <c r="U715">
        <v>1.9897459999999999E-2</v>
      </c>
      <c r="V715">
        <v>4.2477910000000001E-2</v>
      </c>
      <c r="W715">
        <v>0.1202028</v>
      </c>
      <c r="X715">
        <v>0.99184019999999995</v>
      </c>
      <c r="Y715">
        <v>-4.3232519999999997E-3</v>
      </c>
      <c r="Z715" s="1">
        <v>-2.9916409999999999E-6</v>
      </c>
      <c r="AA715">
        <v>0.99999059999999995</v>
      </c>
      <c r="AB715">
        <v>29</v>
      </c>
      <c r="AC715">
        <v>0.629099999999994</v>
      </c>
      <c r="AD715">
        <v>-7.5935000000000002E-2</v>
      </c>
      <c r="AE715">
        <v>5.0999999999703496E-3</v>
      </c>
      <c r="AF715">
        <v>-3.66365805791799E-3</v>
      </c>
      <c r="AG715">
        <v>-7.5935000000000002E-2</v>
      </c>
      <c r="AH715">
        <v>0.620076086922835</v>
      </c>
      <c r="AI715">
        <v>96.981602759354303</v>
      </c>
      <c r="AJ715">
        <v>90.338522491278297</v>
      </c>
      <c r="AK715">
        <v>0.62471905700794905</v>
      </c>
      <c r="AL715">
        <v>83.096193353380301</v>
      </c>
      <c r="AM715">
        <v>87.547670899296307</v>
      </c>
      <c r="AN715">
        <v>1.0000000341509201</v>
      </c>
    </row>
    <row r="716" spans="1:40" x14ac:dyDescent="0.25">
      <c r="A716" t="str">
        <f>"20190312164232631"</f>
        <v>20190312164232631</v>
      </c>
      <c r="B716" t="str">
        <f>"1552380152624495"</f>
        <v>1552380152624495</v>
      </c>
      <c r="C716" t="s">
        <v>40</v>
      </c>
      <c r="D716">
        <v>4.6478999999999999</v>
      </c>
      <c r="E716">
        <v>0.48360510000000001</v>
      </c>
      <c r="F716" t="s">
        <v>41</v>
      </c>
      <c r="G716">
        <v>-270.43979999999999</v>
      </c>
      <c r="H716">
        <v>1.0361800000000001</v>
      </c>
      <c r="I716">
        <v>367.17970000000003</v>
      </c>
      <c r="J716">
        <v>-271.03750000000002</v>
      </c>
      <c r="K716">
        <v>1.109478</v>
      </c>
      <c r="L716">
        <v>367.17129999999997</v>
      </c>
      <c r="M716">
        <v>0.99991129999999995</v>
      </c>
      <c r="N716">
        <v>0</v>
      </c>
      <c r="O716">
        <v>2.2917609999999998E-3</v>
      </c>
      <c r="P716">
        <v>0.99339429999999995</v>
      </c>
      <c r="Q716">
        <v>0.1073426</v>
      </c>
      <c r="R716">
        <v>-4.0564780000000002E-2</v>
      </c>
      <c r="S716">
        <v>3.0482179999999999</v>
      </c>
      <c r="T716">
        <v>-0.24977540000000001</v>
      </c>
      <c r="U716">
        <v>3.1799319999999999E-2</v>
      </c>
      <c r="V716">
        <v>4.2823460000000001E-2</v>
      </c>
      <c r="W716">
        <v>0.1203751</v>
      </c>
      <c r="X716">
        <v>0.99180440000000003</v>
      </c>
      <c r="Y716">
        <v>-8.1201420000000003E-3</v>
      </c>
      <c r="Z716">
        <v>1.4463599999999999E-4</v>
      </c>
      <c r="AA716">
        <v>0.99996700000000005</v>
      </c>
      <c r="AB716">
        <v>29</v>
      </c>
      <c r="AC716">
        <v>0.59770000000003098</v>
      </c>
      <c r="AD716">
        <v>-7.3298000000000002E-2</v>
      </c>
      <c r="AE716">
        <v>8.4000000000514705E-3</v>
      </c>
      <c r="AF716">
        <v>-6.9259361820129999E-3</v>
      </c>
      <c r="AG716">
        <v>-7.3298000000000002E-2</v>
      </c>
      <c r="AH716">
        <v>0.58886353753024701</v>
      </c>
      <c r="AI716">
        <v>97.094835636650004</v>
      </c>
      <c r="AJ716">
        <v>90.673854960396199</v>
      </c>
      <c r="AK716">
        <v>0.59344825488717501</v>
      </c>
      <c r="AL716">
        <v>83.086248782523398</v>
      </c>
      <c r="AM716">
        <v>87.527657177495698</v>
      </c>
      <c r="AN716">
        <v>0.99999999064287004</v>
      </c>
    </row>
    <row r="717" spans="1:40" x14ac:dyDescent="0.25">
      <c r="A717" t="str">
        <f>"20190312164232652"</f>
        <v>20190312164232652</v>
      </c>
      <c r="B717" t="str">
        <f>"1552380152644991"</f>
        <v>1552380152644991</v>
      </c>
      <c r="C717" t="s">
        <v>40</v>
      </c>
      <c r="D717">
        <v>4.6538409999999999</v>
      </c>
      <c r="E717">
        <v>0.48324240000000002</v>
      </c>
      <c r="F717" t="s">
        <v>41</v>
      </c>
      <c r="G717">
        <v>-270.17759999999998</v>
      </c>
      <c r="H717">
        <v>1.03735</v>
      </c>
      <c r="I717">
        <v>367.18099999999998</v>
      </c>
      <c r="J717">
        <v>-270.75700000000001</v>
      </c>
      <c r="K717">
        <v>1.10964</v>
      </c>
      <c r="L717">
        <v>367.17200000000003</v>
      </c>
      <c r="M717">
        <v>0.99990959999999995</v>
      </c>
      <c r="N717">
        <v>0</v>
      </c>
      <c r="O717">
        <v>2.3737229999999999E-3</v>
      </c>
      <c r="P717">
        <v>0.99335419999999996</v>
      </c>
      <c r="Q717">
        <v>0.10774789999999999</v>
      </c>
      <c r="R717">
        <v>-4.0475570000000002E-2</v>
      </c>
      <c r="S717">
        <v>3.0491329999999999</v>
      </c>
      <c r="T717">
        <v>-0.25603289999999901</v>
      </c>
      <c r="U717">
        <v>3.5644530000000001E-2</v>
      </c>
      <c r="V717">
        <v>4.2816949999999999E-2</v>
      </c>
      <c r="W717">
        <v>0.1209015</v>
      </c>
      <c r="X717">
        <v>0.99174059999999997</v>
      </c>
      <c r="Y717">
        <v>-9.2911160000000003E-3</v>
      </c>
      <c r="Z717">
        <v>1.9040579999999999E-4</v>
      </c>
      <c r="AA717">
        <v>0.99995679999999998</v>
      </c>
      <c r="AB717">
        <v>29</v>
      </c>
      <c r="AC717">
        <v>0.57940000000002101</v>
      </c>
      <c r="AD717">
        <v>-7.2289999999999896E-2</v>
      </c>
      <c r="AE717">
        <v>9.0000000000145502E-3</v>
      </c>
      <c r="AF717">
        <v>-7.5076767252801099E-3</v>
      </c>
      <c r="AG717">
        <v>-7.2289999999999896E-2</v>
      </c>
      <c r="AH717">
        <v>0.57054038464406198</v>
      </c>
      <c r="AI717">
        <v>97.220532383095602</v>
      </c>
      <c r="AJ717">
        <v>90.753905203312797</v>
      </c>
      <c r="AK717">
        <v>0.57515088439435202</v>
      </c>
      <c r="AL717">
        <v>83.055866038786206</v>
      </c>
      <c r="AM717">
        <v>87.527873727810302</v>
      </c>
      <c r="AN717">
        <v>0.99999994079895405</v>
      </c>
    </row>
    <row r="718" spans="1:40" x14ac:dyDescent="0.25">
      <c r="A718" t="str">
        <f>"20190312164232675"</f>
        <v>20190312164232675</v>
      </c>
      <c r="B718" t="str">
        <f>"1552380152664511"</f>
        <v>1552380152664511</v>
      </c>
      <c r="C718" t="s">
        <v>40</v>
      </c>
      <c r="D718">
        <v>4.5985110000000002</v>
      </c>
      <c r="E718">
        <v>0.4829503</v>
      </c>
      <c r="F718" t="s">
        <v>41</v>
      </c>
      <c r="G718">
        <v>-269.91390000000001</v>
      </c>
      <c r="H718">
        <v>1.0373330000000001</v>
      </c>
      <c r="I718">
        <v>367.18270000000001</v>
      </c>
      <c r="J718">
        <v>-270.46940000000001</v>
      </c>
      <c r="K718">
        <v>1.1097809999999999</v>
      </c>
      <c r="L718">
        <v>367.1728</v>
      </c>
      <c r="M718">
        <v>0.99990789999999996</v>
      </c>
      <c r="N718">
        <v>0</v>
      </c>
      <c r="O718">
        <v>2.451211E-3</v>
      </c>
      <c r="P718">
        <v>0.99327330000000003</v>
      </c>
      <c r="Q718">
        <v>0.1086183</v>
      </c>
      <c r="R718">
        <v>-4.0127490000000002E-2</v>
      </c>
      <c r="S718">
        <v>3.0500790000000002</v>
      </c>
      <c r="T718">
        <v>-0.26191969999999998</v>
      </c>
      <c r="U718">
        <v>3.9489749999999997E-2</v>
      </c>
      <c r="V718">
        <v>4.2547250000000002E-2</v>
      </c>
      <c r="W718">
        <v>0.1218803</v>
      </c>
      <c r="X718">
        <v>0.99163250000000003</v>
      </c>
      <c r="Y718">
        <v>-1.046529E-2</v>
      </c>
      <c r="Z718">
        <v>2.383838E-4</v>
      </c>
      <c r="AA718">
        <v>0.99994519999999998</v>
      </c>
      <c r="AB718">
        <v>29</v>
      </c>
      <c r="AC718">
        <v>0.555499999999995</v>
      </c>
      <c r="AD718">
        <v>-7.2447999999999804E-2</v>
      </c>
      <c r="AE718">
        <v>9.9000000000160002E-3</v>
      </c>
      <c r="AF718">
        <v>-8.3954464691155008E-3</v>
      </c>
      <c r="AG718">
        <v>-7.2447999999999804E-2</v>
      </c>
      <c r="AH718">
        <v>0.54623452099138603</v>
      </c>
      <c r="AI718">
        <v>97.554258056412095</v>
      </c>
      <c r="AJ718">
        <v>90.880548115850004</v>
      </c>
      <c r="AK718">
        <v>0.55108197951675397</v>
      </c>
      <c r="AL718">
        <v>82.999367838869205</v>
      </c>
      <c r="AM718">
        <v>87.543158816947496</v>
      </c>
      <c r="AN718">
        <v>1.0000000455334499</v>
      </c>
    </row>
    <row r="719" spans="1:40" x14ac:dyDescent="0.25">
      <c r="A719" t="str">
        <f>"20190312164232698"</f>
        <v>20190312164232698</v>
      </c>
      <c r="B719" t="str">
        <f>"1552380152694767"</f>
        <v>1552380152694767</v>
      </c>
      <c r="C719" t="s">
        <v>40</v>
      </c>
      <c r="D719">
        <v>4.9177379999999999</v>
      </c>
      <c r="E719">
        <v>0.48254750000000002</v>
      </c>
      <c r="F719" t="s">
        <v>42</v>
      </c>
      <c r="G719">
        <v>-257.7133</v>
      </c>
      <c r="H719" s="1">
        <v>-1.3663909999999999E-6</v>
      </c>
      <c r="I719">
        <v>367.35329999999999</v>
      </c>
      <c r="J719">
        <v>-270.1671</v>
      </c>
      <c r="K719">
        <v>1.1099079999999999</v>
      </c>
      <c r="L719">
        <v>367.17360000000002</v>
      </c>
      <c r="M719">
        <v>0.99990639999999997</v>
      </c>
      <c r="N719">
        <v>0</v>
      </c>
      <c r="O719">
        <v>2.5260080000000002E-3</v>
      </c>
      <c r="P719">
        <v>0.99325450000000004</v>
      </c>
      <c r="Q719">
        <v>0.1088339</v>
      </c>
      <c r="R719">
        <v>-4.001151E-2</v>
      </c>
      <c r="S719">
        <v>3.0510860000000002</v>
      </c>
      <c r="T719">
        <v>-0.26544380000000001</v>
      </c>
      <c r="U719">
        <v>4.3182369999999998E-2</v>
      </c>
      <c r="V719">
        <v>4.2507160000000002E-2</v>
      </c>
      <c r="W719">
        <v>0.1221969</v>
      </c>
      <c r="X719">
        <v>0.99159520000000001</v>
      </c>
      <c r="Y719">
        <v>-1.159144E-2</v>
      </c>
      <c r="Z719">
        <v>2.8389490000000001E-4</v>
      </c>
      <c r="AA719">
        <v>0.99993279999999995</v>
      </c>
      <c r="AB719">
        <v>29</v>
      </c>
      <c r="AC719">
        <v>12.453799999999999</v>
      </c>
      <c r="AD719">
        <v>-1.10990936639099</v>
      </c>
      <c r="AE719">
        <v>0.179699999999968</v>
      </c>
      <c r="AF719">
        <v>-0.14707028345326001</v>
      </c>
      <c r="AG719">
        <v>-1.10990936639099</v>
      </c>
      <c r="AH719">
        <v>12.356093212709499</v>
      </c>
      <c r="AI719">
        <v>95.132563735851704</v>
      </c>
      <c r="AJ719">
        <v>90.681939548844198</v>
      </c>
      <c r="AK719">
        <v>12.4067146316438</v>
      </c>
      <c r="AL719">
        <v>82.981091000026794</v>
      </c>
      <c r="AM719">
        <v>87.545378717476495</v>
      </c>
      <c r="AN719">
        <v>0.99999999084195701</v>
      </c>
    </row>
    <row r="720" spans="1:40" x14ac:dyDescent="0.25">
      <c r="A720" t="str">
        <f>"20190312164232721"</f>
        <v>20190312164232721</v>
      </c>
      <c r="B720" t="str">
        <f>"1552380152714287"</f>
        <v>1552380152714287</v>
      </c>
      <c r="C720" t="s">
        <v>40</v>
      </c>
      <c r="D720">
        <v>4.7611059999999998</v>
      </c>
      <c r="E720">
        <v>0.48272670000000001</v>
      </c>
      <c r="F720" t="s">
        <v>42</v>
      </c>
      <c r="G720">
        <v>-257.43209999999999</v>
      </c>
      <c r="H720" s="1">
        <v>-1.4825030000000001E-6</v>
      </c>
      <c r="I720">
        <v>367.36959999999999</v>
      </c>
      <c r="J720">
        <v>-269.87479999999999</v>
      </c>
      <c r="K720">
        <v>1.110004</v>
      </c>
      <c r="L720">
        <v>367.17439999999999</v>
      </c>
      <c r="M720">
        <v>0.99990489999999999</v>
      </c>
      <c r="N720">
        <v>0</v>
      </c>
      <c r="O720">
        <v>2.594014E-3</v>
      </c>
      <c r="P720">
        <v>0.99328459999999996</v>
      </c>
      <c r="Q720">
        <v>0.1084812</v>
      </c>
      <c r="R720">
        <v>-4.0224250000000003E-2</v>
      </c>
      <c r="S720">
        <v>3.0514220000000001</v>
      </c>
      <c r="T720">
        <v>-0.26594200000000001</v>
      </c>
      <c r="U720">
        <v>4.6966550000000003E-2</v>
      </c>
      <c r="V720">
        <v>4.2788680000000003E-2</v>
      </c>
      <c r="W720">
        <v>0.1219305</v>
      </c>
      <c r="X720">
        <v>0.99161589999999999</v>
      </c>
      <c r="Y720">
        <v>-1.2757360000000001E-2</v>
      </c>
      <c r="Z720">
        <v>3.29184E-4</v>
      </c>
      <c r="AA720">
        <v>0.99991859999999999</v>
      </c>
      <c r="AB720">
        <v>29</v>
      </c>
      <c r="AC720">
        <v>12.4427</v>
      </c>
      <c r="AD720">
        <v>-1.1100054825029999</v>
      </c>
      <c r="AE720">
        <v>0.19519999999999901</v>
      </c>
      <c r="AF720">
        <v>-0.16163382796436601</v>
      </c>
      <c r="AG720">
        <v>-1.1100054825029999</v>
      </c>
      <c r="AH720">
        <v>12.344943780407</v>
      </c>
      <c r="AI720">
        <v>95.137540930077805</v>
      </c>
      <c r="AJ720">
        <v>90.750137642418593</v>
      </c>
      <c r="AK720">
        <v>12.3958006843826</v>
      </c>
      <c r="AL720">
        <v>82.996469696391102</v>
      </c>
      <c r="AM720">
        <v>87.529193641872794</v>
      </c>
      <c r="AN720">
        <v>1.0000000055495999</v>
      </c>
    </row>
    <row r="721" spans="1:40" x14ac:dyDescent="0.25">
      <c r="A721" t="str">
        <f>"20190312164232743"</f>
        <v>20190312164232743</v>
      </c>
      <c r="B721" t="str">
        <f>"1552380152734783"</f>
        <v>1552380152734783</v>
      </c>
      <c r="C721" t="s">
        <v>40</v>
      </c>
      <c r="D721">
        <v>4.7185389999999998</v>
      </c>
      <c r="E721">
        <v>0.48253970000000002</v>
      </c>
      <c r="F721" t="s">
        <v>42</v>
      </c>
      <c r="G721">
        <v>-257.24090000000001</v>
      </c>
      <c r="H721" s="1">
        <v>-1.565842E-6</v>
      </c>
      <c r="I721">
        <v>367.36200000000002</v>
      </c>
      <c r="J721">
        <v>-269.596</v>
      </c>
      <c r="K721">
        <v>1.1100680000000001</v>
      </c>
      <c r="L721">
        <v>367.17520000000002</v>
      </c>
      <c r="M721">
        <v>0.99990380000000001</v>
      </c>
      <c r="N721">
        <v>0</v>
      </c>
      <c r="O721">
        <v>2.655826E-3</v>
      </c>
      <c r="P721">
        <v>0.9933052</v>
      </c>
      <c r="Q721">
        <v>0.1081212</v>
      </c>
      <c r="R721">
        <v>-4.0680870000000001E-2</v>
      </c>
      <c r="S721">
        <v>3.051361</v>
      </c>
      <c r="T721">
        <v>-0.26808920000000003</v>
      </c>
      <c r="U721">
        <v>4.5318600000000001E-2</v>
      </c>
      <c r="V721">
        <v>4.3307650000000003E-2</v>
      </c>
      <c r="W721">
        <v>0.12164320000000001</v>
      </c>
      <c r="X721">
        <v>0.99162859999999997</v>
      </c>
      <c r="Y721">
        <v>-1.2157869999999999E-2</v>
      </c>
      <c r="Z721">
        <v>3.0013559999999997E-4</v>
      </c>
      <c r="AA721">
        <v>0.99992599999999998</v>
      </c>
      <c r="AB721">
        <v>29</v>
      </c>
      <c r="AC721">
        <v>12.355099999999901</v>
      </c>
      <c r="AD721">
        <v>-1.1100695658419999</v>
      </c>
      <c r="AE721">
        <v>0.18679999999994801</v>
      </c>
      <c r="AF721">
        <v>-0.15275050799118101</v>
      </c>
      <c r="AG721">
        <v>-1.1100695658419999</v>
      </c>
      <c r="AH721">
        <v>12.256633554656901</v>
      </c>
      <c r="AI721">
        <v>95.174695740715904</v>
      </c>
      <c r="AJ721">
        <v>90.714022028651499</v>
      </c>
      <c r="AK721">
        <v>12.3077476920776</v>
      </c>
      <c r="AL721">
        <v>83.013053837871993</v>
      </c>
      <c r="AM721">
        <v>87.499295837472005</v>
      </c>
      <c r="AN721">
        <v>0.99999995049636003</v>
      </c>
    </row>
    <row r="722" spans="1:40" x14ac:dyDescent="0.25">
      <c r="A722" t="str">
        <f>"20190312164232765"</f>
        <v>20190312164232765</v>
      </c>
      <c r="B722" t="str">
        <f>"1552380152754303"</f>
        <v>1552380152754303</v>
      </c>
      <c r="C722" t="s">
        <v>40</v>
      </c>
      <c r="D722">
        <v>4.7304620000000002</v>
      </c>
      <c r="E722">
        <v>0.4824253</v>
      </c>
      <c r="F722" t="s">
        <v>41</v>
      </c>
      <c r="G722">
        <v>-268.63479999999998</v>
      </c>
      <c r="H722">
        <v>1.0247539999999999</v>
      </c>
      <c r="I722">
        <v>367.1893</v>
      </c>
      <c r="J722">
        <v>-269.30720000000002</v>
      </c>
      <c r="K722">
        <v>1.110133</v>
      </c>
      <c r="L722">
        <v>367.17599999999999</v>
      </c>
      <c r="M722">
        <v>0.99990270000000003</v>
      </c>
      <c r="N722">
        <v>0</v>
      </c>
      <c r="O722">
        <v>2.7176380000000001E-3</v>
      </c>
      <c r="P722">
        <v>0.99335399999999996</v>
      </c>
      <c r="Q722">
        <v>0.10771550000000001</v>
      </c>
      <c r="R722">
        <v>-4.0567600000000002E-2</v>
      </c>
      <c r="S722">
        <v>3.0516049999999999</v>
      </c>
      <c r="T722">
        <v>-0.27118949999999997</v>
      </c>
      <c r="U722">
        <v>4.5654300000000002E-2</v>
      </c>
      <c r="V722">
        <v>4.325619E-2</v>
      </c>
      <c r="W722">
        <v>0.1213038</v>
      </c>
      <c r="X722">
        <v>0.99167249999999996</v>
      </c>
      <c r="Y722">
        <v>-1.2204059999999999E-2</v>
      </c>
      <c r="Z722">
        <v>3.0013400000000002E-4</v>
      </c>
      <c r="AA722">
        <v>0.99992550000000002</v>
      </c>
      <c r="AB722">
        <v>29</v>
      </c>
      <c r="AC722">
        <v>0.67240000000003797</v>
      </c>
      <c r="AD722">
        <v>-8.5378999999999802E-2</v>
      </c>
      <c r="AE722">
        <v>1.33000000000151E-2</v>
      </c>
      <c r="AF722">
        <v>-1.12904745279213E-2</v>
      </c>
      <c r="AG722">
        <v>-8.5378999999999802E-2</v>
      </c>
      <c r="AH722">
        <v>0.66176812853769396</v>
      </c>
      <c r="AI722">
        <v>97.350432608965306</v>
      </c>
      <c r="AJ722">
        <v>90.977432662519305</v>
      </c>
      <c r="AK722">
        <v>0.66734856289973898</v>
      </c>
      <c r="AL722">
        <v>83.0326456528325</v>
      </c>
      <c r="AM722">
        <v>87.502373946937993</v>
      </c>
      <c r="AN722">
        <v>1.0000000285620001</v>
      </c>
    </row>
    <row r="723" spans="1:40" x14ac:dyDescent="0.25">
      <c r="A723" t="str">
        <f>"20190312164232787"</f>
        <v>20190312164232787</v>
      </c>
      <c r="B723" t="str">
        <f>"1552380152774799"</f>
        <v>1552380152774799</v>
      </c>
      <c r="C723" t="s">
        <v>40</v>
      </c>
      <c r="D723">
        <v>4.7078430000000004</v>
      </c>
      <c r="E723">
        <v>0.48251169999999999</v>
      </c>
      <c r="F723" t="s">
        <v>41</v>
      </c>
      <c r="G723">
        <v>-268.375</v>
      </c>
      <c r="H723">
        <v>1.0271669999999999</v>
      </c>
      <c r="I723">
        <v>367.19009999999997</v>
      </c>
      <c r="J723">
        <v>-269.0249</v>
      </c>
      <c r="K723">
        <v>1.1101840000000001</v>
      </c>
      <c r="L723">
        <v>367.17680000000001</v>
      </c>
      <c r="M723">
        <v>0.99990179999999995</v>
      </c>
      <c r="N723">
        <v>0</v>
      </c>
      <c r="O723">
        <v>2.777678E-3</v>
      </c>
      <c r="P723">
        <v>0.99338729999999997</v>
      </c>
      <c r="Q723">
        <v>0.1074068</v>
      </c>
      <c r="R723">
        <v>-4.0562870000000001E-2</v>
      </c>
      <c r="S723">
        <v>3.0514220000000001</v>
      </c>
      <c r="T723">
        <v>-0.27173259999999899</v>
      </c>
      <c r="U723">
        <v>4.6356199999999903E-2</v>
      </c>
      <c r="V723">
        <v>4.3311509999999998E-2</v>
      </c>
      <c r="W723">
        <v>0.1210516</v>
      </c>
      <c r="X723">
        <v>0.9917009</v>
      </c>
      <c r="Y723">
        <v>-1.237427E-2</v>
      </c>
      <c r="Z723">
        <v>3.0297750000000002E-4</v>
      </c>
      <c r="AA723">
        <v>0.99992340000000002</v>
      </c>
      <c r="AB723">
        <v>29</v>
      </c>
      <c r="AC723">
        <v>0.64990000000000203</v>
      </c>
      <c r="AD723">
        <v>-8.3017000000000105E-2</v>
      </c>
      <c r="AE723">
        <v>1.32999999999583E-2</v>
      </c>
      <c r="AF723">
        <v>-1.1310095563816401E-2</v>
      </c>
      <c r="AG723">
        <v>-8.3017000000000105E-2</v>
      </c>
      <c r="AH723">
        <v>0.63950400403640795</v>
      </c>
      <c r="AI723">
        <v>97.3953259382684</v>
      </c>
      <c r="AJ723">
        <v>91.013212093350703</v>
      </c>
      <c r="AK723">
        <v>0.64496907811868098</v>
      </c>
      <c r="AL723">
        <v>83.047202904520304</v>
      </c>
      <c r="AM723">
        <v>87.499255332025598</v>
      </c>
      <c r="AN723">
        <v>1.0000000259109201</v>
      </c>
    </row>
    <row r="724" spans="1:40" x14ac:dyDescent="0.25">
      <c r="A724" t="str">
        <f>"20190312164232809"</f>
        <v>20190312164232809</v>
      </c>
      <c r="B724" t="str">
        <f>"1552380152805055"</f>
        <v>1552380152805055</v>
      </c>
      <c r="C724" t="s">
        <v>40</v>
      </c>
      <c r="D724">
        <v>4.6425489999999998</v>
      </c>
      <c r="E724">
        <v>0.48241250000000002</v>
      </c>
      <c r="F724" t="s">
        <v>41</v>
      </c>
      <c r="G724">
        <v>-268.11649999999997</v>
      </c>
      <c r="H724">
        <v>1.028543</v>
      </c>
      <c r="I724">
        <v>367.1902</v>
      </c>
      <c r="J724">
        <v>-268.72489999999999</v>
      </c>
      <c r="K724">
        <v>1.1102289999999999</v>
      </c>
      <c r="L724">
        <v>367.17770000000002</v>
      </c>
      <c r="M724">
        <v>0.99990089999999998</v>
      </c>
      <c r="N724">
        <v>0</v>
      </c>
      <c r="O724">
        <v>2.8416259999999999E-3</v>
      </c>
      <c r="P724">
        <v>0.99343099999999995</v>
      </c>
      <c r="Q724">
        <v>0.10701430000000001</v>
      </c>
      <c r="R724">
        <v>-4.0533970000000002E-2</v>
      </c>
      <c r="S724">
        <v>3.0515140000000001</v>
      </c>
      <c r="T724">
        <v>-0.27446379999999998</v>
      </c>
      <c r="U724">
        <v>4.5776369999999997E-2</v>
      </c>
      <c r="V724">
        <v>4.3346229999999999E-2</v>
      </c>
      <c r="W724">
        <v>0.12071170000000001</v>
      </c>
      <c r="X724">
        <v>0.99174079999999998</v>
      </c>
      <c r="Y724">
        <v>-1.212043E-2</v>
      </c>
      <c r="Z724">
        <v>2.8886910000000001E-4</v>
      </c>
      <c r="AA724">
        <v>0.99992650000000005</v>
      </c>
      <c r="AB724">
        <v>29</v>
      </c>
      <c r="AC724">
        <v>0.60840000000001704</v>
      </c>
      <c r="AD724">
        <v>-8.1686000000000106E-2</v>
      </c>
      <c r="AE724">
        <v>1.24999999999886E-2</v>
      </c>
      <c r="AF724">
        <v>-1.0580292350364E-2</v>
      </c>
      <c r="AG724">
        <v>-8.1686000000000106E-2</v>
      </c>
      <c r="AH724">
        <v>0.59766369345591897</v>
      </c>
      <c r="AI724">
        <v>97.781504772691804</v>
      </c>
      <c r="AJ724">
        <v>91.014187059444097</v>
      </c>
      <c r="AK724">
        <v>0.60331288371589598</v>
      </c>
      <c r="AL724">
        <v>83.066821509957904</v>
      </c>
      <c r="AM724">
        <v>87.497353760088203</v>
      </c>
      <c r="AN724">
        <v>1.0000000122783701</v>
      </c>
    </row>
    <row r="725" spans="1:40" x14ac:dyDescent="0.25">
      <c r="A725" t="str">
        <f>"20190312164232831"</f>
        <v>20190312164232831</v>
      </c>
      <c r="B725" t="str">
        <f>"1552380152824575"</f>
        <v>1552380152824575</v>
      </c>
      <c r="C725" t="s">
        <v>40</v>
      </c>
      <c r="D725">
        <v>4.4497119999999999</v>
      </c>
      <c r="E725">
        <v>0.48234450000000001</v>
      </c>
      <c r="F725" t="s">
        <v>41</v>
      </c>
      <c r="G725">
        <v>-267.85629999999998</v>
      </c>
      <c r="H725">
        <v>1.0321100000000001</v>
      </c>
      <c r="I725">
        <v>367.1909</v>
      </c>
      <c r="J725">
        <v>-268.447</v>
      </c>
      <c r="K725">
        <v>1.1102639999999999</v>
      </c>
      <c r="L725">
        <v>367.17860000000002</v>
      </c>
      <c r="M725">
        <v>0.99990009999999996</v>
      </c>
      <c r="N725">
        <v>0</v>
      </c>
      <c r="O725">
        <v>2.9020640000000002E-3</v>
      </c>
      <c r="P725">
        <v>0.9934345</v>
      </c>
      <c r="Q725">
        <v>0.1070846</v>
      </c>
      <c r="R725">
        <v>-4.025956E-2</v>
      </c>
      <c r="S725">
        <v>3.0513309999999998</v>
      </c>
      <c r="T725">
        <v>-0.27458680000000002</v>
      </c>
      <c r="U725">
        <v>4.6813960000000002E-2</v>
      </c>
      <c r="V725">
        <v>4.3132230000000001E-2</v>
      </c>
      <c r="W725">
        <v>0.120824399999999</v>
      </c>
      <c r="X725">
        <v>0.99173639999999996</v>
      </c>
      <c r="Y725">
        <v>-1.239991E-2</v>
      </c>
      <c r="Z725">
        <v>2.9613570000000002E-4</v>
      </c>
      <c r="AA725">
        <v>0.99992309999999995</v>
      </c>
      <c r="AB725">
        <v>29</v>
      </c>
      <c r="AC725">
        <v>0.59070000000002598</v>
      </c>
      <c r="AD725">
        <v>-7.8153999999999793E-2</v>
      </c>
      <c r="AE725">
        <v>1.22999999999819E-2</v>
      </c>
      <c r="AF725">
        <v>-1.0403497968375501E-2</v>
      </c>
      <c r="AG725">
        <v>-7.8153999999999793E-2</v>
      </c>
      <c r="AH725">
        <v>0.58057450984537695</v>
      </c>
      <c r="AI725">
        <v>97.665562989851907</v>
      </c>
      <c r="AJ725">
        <v>91.026591294505906</v>
      </c>
      <c r="AK725">
        <v>0.58590361149951697</v>
      </c>
      <c r="AL725">
        <v>83.060316621283803</v>
      </c>
      <c r="AM725">
        <v>87.509682676953105</v>
      </c>
      <c r="AN725">
        <v>1.00000000599254</v>
      </c>
    </row>
    <row r="726" spans="1:40" x14ac:dyDescent="0.25">
      <c r="A726" t="str">
        <f>"20190312164232853"</f>
        <v>20190312164232853</v>
      </c>
      <c r="B726" t="str">
        <f>"1552380152844095"</f>
        <v>1552380152844095</v>
      </c>
      <c r="C726" t="s">
        <v>40</v>
      </c>
      <c r="D726">
        <v>4.4107310000000002</v>
      </c>
      <c r="E726">
        <v>0.48227209999999998</v>
      </c>
      <c r="F726" t="s">
        <v>41</v>
      </c>
      <c r="G726">
        <v>-267.59750000000003</v>
      </c>
      <c r="H726">
        <v>1.034297</v>
      </c>
      <c r="I726">
        <v>367.1918</v>
      </c>
      <c r="J726">
        <v>-268.16129999999998</v>
      </c>
      <c r="K726">
        <v>1.110295</v>
      </c>
      <c r="L726">
        <v>367.17950000000002</v>
      </c>
      <c r="M726">
        <v>0.99989939999999999</v>
      </c>
      <c r="N726">
        <v>0</v>
      </c>
      <c r="O726">
        <v>2.9647359999999999E-3</v>
      </c>
      <c r="P726">
        <v>0.99340799999999996</v>
      </c>
      <c r="Q726">
        <v>0.107503</v>
      </c>
      <c r="R726">
        <v>-3.9797060000000002E-2</v>
      </c>
      <c r="S726">
        <v>3.0512389999999998</v>
      </c>
      <c r="T726">
        <v>-0.27321040000000002</v>
      </c>
      <c r="U726">
        <v>4.840088E-2</v>
      </c>
      <c r="V726">
        <v>4.273188E-2</v>
      </c>
      <c r="W726">
        <v>0.1212797</v>
      </c>
      <c r="X726">
        <v>0.99169810000000003</v>
      </c>
      <c r="Y726">
        <v>-1.285642E-2</v>
      </c>
      <c r="Z726">
        <v>3.0946000000000001E-4</v>
      </c>
      <c r="AA726">
        <v>0.99991730000000001</v>
      </c>
      <c r="AB726">
        <v>29</v>
      </c>
      <c r="AC726">
        <v>0.563799999999957</v>
      </c>
      <c r="AD726">
        <v>-7.5997999999999996E-2</v>
      </c>
      <c r="AE726">
        <v>1.22999999999819E-2</v>
      </c>
      <c r="AF726">
        <v>-1.04386865731132E-2</v>
      </c>
      <c r="AG726">
        <v>-7.5997999999999996E-2</v>
      </c>
      <c r="AH726">
        <v>0.55377667331783897</v>
      </c>
      <c r="AI726">
        <v>97.812850093510406</v>
      </c>
      <c r="AJ726">
        <v>91.079897167335204</v>
      </c>
      <c r="AK726">
        <v>0.55906463498628201</v>
      </c>
      <c r="AL726">
        <v>83.034036204331699</v>
      </c>
      <c r="AM726">
        <v>87.532673742911896</v>
      </c>
      <c r="AN726">
        <v>0.99999995037201606</v>
      </c>
    </row>
    <row r="727" spans="1:40" x14ac:dyDescent="0.25">
      <c r="A727" t="str">
        <f>"20190312164232877"</f>
        <v>20190312164232877</v>
      </c>
      <c r="B727" t="str">
        <f>"1552380152864591"</f>
        <v>1552380152864591</v>
      </c>
      <c r="C727" t="s">
        <v>40</v>
      </c>
      <c r="D727">
        <v>4.3926470000000002</v>
      </c>
      <c r="E727">
        <v>0.48212179999999999</v>
      </c>
      <c r="F727" t="s">
        <v>41</v>
      </c>
      <c r="G727">
        <v>-267.33089999999999</v>
      </c>
      <c r="H727">
        <v>1.03651</v>
      </c>
      <c r="I727">
        <v>367.19310000000002</v>
      </c>
      <c r="J727">
        <v>-267.87040000000002</v>
      </c>
      <c r="K727">
        <v>1.1103240000000001</v>
      </c>
      <c r="L727">
        <v>367.18049999999999</v>
      </c>
      <c r="M727">
        <v>0.99989859999999997</v>
      </c>
      <c r="N727">
        <v>0</v>
      </c>
      <c r="O727">
        <v>3.0293479999999998E-3</v>
      </c>
      <c r="P727">
        <v>0.99346120000000004</v>
      </c>
      <c r="Q727">
        <v>0.1070194</v>
      </c>
      <c r="R727">
        <v>-3.97671E-2</v>
      </c>
      <c r="S727">
        <v>3.0512999999999999</v>
      </c>
      <c r="T727">
        <v>-0.2713276</v>
      </c>
      <c r="U727">
        <v>5.0567630000000002E-2</v>
      </c>
      <c r="V727">
        <v>4.2766350000000002E-2</v>
      </c>
      <c r="W727">
        <v>0.12083049999999999</v>
      </c>
      <c r="X727">
        <v>0.99175150000000001</v>
      </c>
      <c r="Y727">
        <v>-1.349961E-2</v>
      </c>
      <c r="Z727">
        <v>3.3013230000000001E-4</v>
      </c>
      <c r="AA727">
        <v>0.99990880000000004</v>
      </c>
      <c r="AB727">
        <v>29</v>
      </c>
      <c r="AC727">
        <v>0.53950000000003195</v>
      </c>
      <c r="AD727">
        <v>-7.3814000000000005E-2</v>
      </c>
      <c r="AE727">
        <v>1.26000000000203E-2</v>
      </c>
      <c r="AF727">
        <v>-1.0764062513785101E-2</v>
      </c>
      <c r="AG727">
        <v>-7.3814000000000005E-2</v>
      </c>
      <c r="AH727">
        <v>0.52962674677813204</v>
      </c>
      <c r="AI727">
        <v>97.932579140945904</v>
      </c>
      <c r="AJ727">
        <v>91.164311396875604</v>
      </c>
      <c r="AK727">
        <v>0.53485405723485702</v>
      </c>
      <c r="AL727">
        <v>83.059964524211097</v>
      </c>
      <c r="AM727">
        <v>87.530818711315007</v>
      </c>
      <c r="AN727">
        <v>1.00000000408741</v>
      </c>
    </row>
    <row r="728" spans="1:40" x14ac:dyDescent="0.25">
      <c r="A728" t="str">
        <f>"20190312164232899"</f>
        <v>20190312164232899</v>
      </c>
      <c r="B728" t="str">
        <f>"1552380152894847"</f>
        <v>1552380152894847</v>
      </c>
      <c r="C728" t="s">
        <v>40</v>
      </c>
      <c r="D728">
        <v>4.3486840000000004</v>
      </c>
      <c r="E728">
        <v>0.48199009999999998</v>
      </c>
      <c r="F728" t="s">
        <v>42</v>
      </c>
      <c r="G728">
        <v>-255.49359999999999</v>
      </c>
      <c r="H728" s="1">
        <v>-2.3103289999999999E-6</v>
      </c>
      <c r="I728">
        <v>367.39080000000001</v>
      </c>
      <c r="J728">
        <v>-267.57900000000001</v>
      </c>
      <c r="K728">
        <v>1.1103479999999999</v>
      </c>
      <c r="L728">
        <v>367.1814</v>
      </c>
      <c r="M728">
        <v>0.99989819999999996</v>
      </c>
      <c r="N728">
        <v>0</v>
      </c>
      <c r="O728">
        <v>3.0941110000000001E-3</v>
      </c>
      <c r="P728">
        <v>0.99351730000000005</v>
      </c>
      <c r="Q728">
        <v>0.106638</v>
      </c>
      <c r="R728">
        <v>-3.9394579999999998E-2</v>
      </c>
      <c r="S728">
        <v>3.0512999999999999</v>
      </c>
      <c r="T728">
        <v>-0.27373219999999998</v>
      </c>
      <c r="U728">
        <v>5.1849369999999999E-2</v>
      </c>
      <c r="V728">
        <v>4.2458170000000003E-2</v>
      </c>
      <c r="W728">
        <v>0.1204788</v>
      </c>
      <c r="X728">
        <v>0.99180749999999995</v>
      </c>
      <c r="Y728">
        <v>-1.385286E-2</v>
      </c>
      <c r="Z728">
        <v>3.43059E-4</v>
      </c>
      <c r="AA728">
        <v>0.99990400000000002</v>
      </c>
      <c r="AB728">
        <v>29</v>
      </c>
      <c r="AC728">
        <v>12.0854</v>
      </c>
      <c r="AD728">
        <v>-1.110350310329</v>
      </c>
      <c r="AE728">
        <v>0.20940000000001599</v>
      </c>
      <c r="AF728">
        <v>-0.17056250087993799</v>
      </c>
      <c r="AG728">
        <v>-1.110350310329</v>
      </c>
      <c r="AH728">
        <v>11.9848553565215</v>
      </c>
      <c r="AI728">
        <v>95.292588940494198</v>
      </c>
      <c r="AJ728">
        <v>90.815349995671994</v>
      </c>
      <c r="AK728">
        <v>12.0373887241002</v>
      </c>
      <c r="AL728">
        <v>83.080263558382399</v>
      </c>
      <c r="AM728">
        <v>87.548728418581106</v>
      </c>
      <c r="AN728">
        <v>0.99999997725271905</v>
      </c>
    </row>
    <row r="729" spans="1:40" x14ac:dyDescent="0.25">
      <c r="A729" t="str">
        <f>"20190312164232923"</f>
        <v>20190312164232923</v>
      </c>
      <c r="B729" t="str">
        <f>"1552380152914367"</f>
        <v>1552380152914367</v>
      </c>
      <c r="C729" t="s">
        <v>40</v>
      </c>
      <c r="D729">
        <v>4.3327070000000001</v>
      </c>
      <c r="E729">
        <v>0.4822612</v>
      </c>
      <c r="F729" t="s">
        <v>42</v>
      </c>
      <c r="G729">
        <v>-255.27799999999999</v>
      </c>
      <c r="H729" s="1">
        <v>-2.4011179999999998E-6</v>
      </c>
      <c r="I729">
        <v>367.40039999999999</v>
      </c>
      <c r="J729">
        <v>-267.28460000000001</v>
      </c>
      <c r="K729">
        <v>1.110365</v>
      </c>
      <c r="L729">
        <v>367.18239999999997</v>
      </c>
      <c r="M729">
        <v>0.99989749999999999</v>
      </c>
      <c r="N729">
        <v>0</v>
      </c>
      <c r="O729">
        <v>3.1595569999999999E-3</v>
      </c>
      <c r="P729">
        <v>0.99350179999999999</v>
      </c>
      <c r="Q729">
        <v>0.1068229</v>
      </c>
      <c r="R729">
        <v>-3.9284939999999997E-2</v>
      </c>
      <c r="S729">
        <v>3.0512999999999999</v>
      </c>
      <c r="T729">
        <v>-0.27542410000000001</v>
      </c>
      <c r="U729">
        <v>5.4321290000000001E-2</v>
      </c>
      <c r="V729">
        <v>4.2413520000000003E-2</v>
      </c>
      <c r="W729">
        <v>0.1206885</v>
      </c>
      <c r="X729">
        <v>0.99178390000000005</v>
      </c>
      <c r="Y729">
        <v>-1.459393E-2</v>
      </c>
      <c r="Z729">
        <v>3.7264859999999999E-4</v>
      </c>
      <c r="AA729">
        <v>0.99989340000000004</v>
      </c>
      <c r="AB729">
        <v>29</v>
      </c>
      <c r="AC729">
        <v>12.006600000000001</v>
      </c>
      <c r="AD729">
        <v>-1.110367401118</v>
      </c>
      <c r="AE729">
        <v>0.21800000000001701</v>
      </c>
      <c r="AF729">
        <v>-0.17853327175756001</v>
      </c>
      <c r="AG729">
        <v>-1.110367401118</v>
      </c>
      <c r="AH729">
        <v>11.9054411237701</v>
      </c>
      <c r="AI729">
        <v>95.327712595235596</v>
      </c>
      <c r="AJ729">
        <v>90.859139631751503</v>
      </c>
      <c r="AK729">
        <v>11.958441296680199</v>
      </c>
      <c r="AL729">
        <v>83.068160215097095</v>
      </c>
      <c r="AM729">
        <v>87.551244896330203</v>
      </c>
      <c r="AN729">
        <v>0.99999996250512402</v>
      </c>
    </row>
    <row r="730" spans="1:40" x14ac:dyDescent="0.25">
      <c r="A730" t="str">
        <f>"20190312164232943"</f>
        <v>20190312164232943</v>
      </c>
      <c r="B730" t="str">
        <f>"1552380152934863"</f>
        <v>1552380152934863</v>
      </c>
      <c r="C730" t="s">
        <v>40</v>
      </c>
      <c r="D730">
        <v>4.306781</v>
      </c>
      <c r="E730">
        <v>0.48246919999999999</v>
      </c>
      <c r="F730" t="s">
        <v>41</v>
      </c>
      <c r="G730">
        <v>-266.32510000000002</v>
      </c>
      <c r="H730">
        <v>1.024578</v>
      </c>
      <c r="I730">
        <v>367.19889999999998</v>
      </c>
      <c r="J730">
        <v>-267.01909999999998</v>
      </c>
      <c r="K730">
        <v>1.1103829999999999</v>
      </c>
      <c r="L730">
        <v>367.18329999999997</v>
      </c>
      <c r="M730">
        <v>0.99989720000000004</v>
      </c>
      <c r="N730">
        <v>0</v>
      </c>
      <c r="O730">
        <v>3.2190180000000001E-3</v>
      </c>
      <c r="P730">
        <v>0.99352260000000003</v>
      </c>
      <c r="Q730">
        <v>0.1067776</v>
      </c>
      <c r="R730">
        <v>-3.8881489999999998E-2</v>
      </c>
      <c r="S730">
        <v>3.0510250000000001</v>
      </c>
      <c r="T730">
        <v>-0.2728814</v>
      </c>
      <c r="U730">
        <v>5.2490229999999999E-2</v>
      </c>
      <c r="V730">
        <v>4.2069389999999998E-2</v>
      </c>
      <c r="W730">
        <v>0.12066250000000001</v>
      </c>
      <c r="X730">
        <v>0.99180170000000001</v>
      </c>
      <c r="Y730">
        <v>-1.393986E-2</v>
      </c>
      <c r="Z730">
        <v>3.3476010000000001E-4</v>
      </c>
      <c r="AA730">
        <v>0.99990279999999998</v>
      </c>
      <c r="AB730">
        <v>29</v>
      </c>
      <c r="AC730">
        <v>0.69399999999995898</v>
      </c>
      <c r="AD730">
        <v>-8.5804999999999895E-2</v>
      </c>
      <c r="AE730">
        <v>1.5600000000006199E-2</v>
      </c>
      <c r="AF730">
        <v>-1.31645649147249E-2</v>
      </c>
      <c r="AG730">
        <v>-8.5804999999999895E-2</v>
      </c>
      <c r="AH730">
        <v>0.68360206325494899</v>
      </c>
      <c r="AI730">
        <v>97.152977090617995</v>
      </c>
      <c r="AJ730">
        <v>91.103245334475801</v>
      </c>
      <c r="AK730">
        <v>0.68909185503880199</v>
      </c>
      <c r="AL730">
        <v>83.0696607315096</v>
      </c>
      <c r="AM730">
        <v>87.571132974480093</v>
      </c>
      <c r="AN730">
        <v>0.99999994230205402</v>
      </c>
    </row>
    <row r="731" spans="1:40" x14ac:dyDescent="0.25">
      <c r="A731" t="str">
        <f>"20190312164232966"</f>
        <v>20190312164232966</v>
      </c>
      <c r="B731" t="str">
        <f>"1552380152954383"</f>
        <v>1552380152954383</v>
      </c>
      <c r="C731" t="s">
        <v>40</v>
      </c>
      <c r="D731">
        <v>4.3095540000000003</v>
      </c>
      <c r="E731">
        <v>0.49340820000000002</v>
      </c>
      <c r="F731" t="s">
        <v>41</v>
      </c>
      <c r="G731">
        <v>-266.06920000000002</v>
      </c>
      <c r="H731">
        <v>1.0257130000000001</v>
      </c>
      <c r="I731">
        <v>367.19909999999999</v>
      </c>
      <c r="J731">
        <v>-266.73149999999998</v>
      </c>
      <c r="K731">
        <v>1.1103989999999999</v>
      </c>
      <c r="L731">
        <v>367.18430000000001</v>
      </c>
      <c r="M731">
        <v>0.99989669999999997</v>
      </c>
      <c r="N731">
        <v>0</v>
      </c>
      <c r="O731">
        <v>3.2831430000000001E-3</v>
      </c>
      <c r="P731">
        <v>0.99357890000000004</v>
      </c>
      <c r="Q731">
        <v>0.1066758</v>
      </c>
      <c r="R731">
        <v>-3.7708850000000002E-2</v>
      </c>
      <c r="S731">
        <v>3.0507810000000002</v>
      </c>
      <c r="T731">
        <v>-0.27207989999999999</v>
      </c>
      <c r="U731">
        <v>5.1269530000000001E-2</v>
      </c>
      <c r="V731">
        <v>4.0960419999999997E-2</v>
      </c>
      <c r="W731">
        <v>0.1205792</v>
      </c>
      <c r="X731">
        <v>0.99185829999999997</v>
      </c>
      <c r="Y731">
        <v>-1.347946E-2</v>
      </c>
      <c r="Z731">
        <v>3.076129E-4</v>
      </c>
      <c r="AA731">
        <v>0.9999091</v>
      </c>
      <c r="AB731">
        <v>29</v>
      </c>
      <c r="AC731">
        <v>0.66229999999995903</v>
      </c>
      <c r="AD731">
        <v>-8.4685999999999997E-2</v>
      </c>
      <c r="AE731">
        <v>1.4799999999979699E-2</v>
      </c>
      <c r="AF731">
        <v>-1.24222806567451E-2</v>
      </c>
      <c r="AG731">
        <v>-8.4685999999999997E-2</v>
      </c>
      <c r="AH731">
        <v>0.65169522504057598</v>
      </c>
      <c r="AI731">
        <v>97.402609990758805</v>
      </c>
      <c r="AJ731">
        <v>91.092010564457198</v>
      </c>
      <c r="AK731">
        <v>0.65729194274188596</v>
      </c>
      <c r="AL731">
        <v>83.074468929430694</v>
      </c>
      <c r="AM731">
        <v>87.635220237345294</v>
      </c>
      <c r="AN731">
        <v>0.99999999337905299</v>
      </c>
    </row>
    <row r="732" spans="1:40" x14ac:dyDescent="0.25">
      <c r="A732" t="str">
        <f>"20190312164232989"</f>
        <v>20190312164232989</v>
      </c>
      <c r="B732" t="str">
        <f>"1552380152984640"</f>
        <v>1552380152984640</v>
      </c>
      <c r="C732" t="s">
        <v>40</v>
      </c>
      <c r="D732">
        <v>4.3866649999999998</v>
      </c>
      <c r="E732">
        <v>0.49361579999999999</v>
      </c>
      <c r="F732" t="s">
        <v>41</v>
      </c>
      <c r="G732">
        <v>-265.80279999999999</v>
      </c>
      <c r="H732">
        <v>1.044243</v>
      </c>
      <c r="I732">
        <v>367.17360000000002</v>
      </c>
      <c r="J732">
        <v>-266.4402</v>
      </c>
      <c r="K732">
        <v>1.1104099999999999</v>
      </c>
      <c r="L732">
        <v>367.18529999999998</v>
      </c>
      <c r="M732">
        <v>0.99989609999999995</v>
      </c>
      <c r="N732">
        <v>0</v>
      </c>
      <c r="O732">
        <v>3.3478819999999999E-3</v>
      </c>
      <c r="P732">
        <v>0.99362950000000005</v>
      </c>
      <c r="Q732">
        <v>0.1064819</v>
      </c>
      <c r="R732">
        <v>-3.6905729999999998E-2</v>
      </c>
      <c r="S732">
        <v>3.0413209999999999</v>
      </c>
      <c r="T732">
        <v>-0.21681420000000001</v>
      </c>
      <c r="U732">
        <v>-3.4851069999999998E-2</v>
      </c>
      <c r="V732">
        <v>4.022208E-2</v>
      </c>
      <c r="W732">
        <v>0.1204017</v>
      </c>
      <c r="X732">
        <v>0.99191010000000002</v>
      </c>
      <c r="Y732">
        <v>1.476041E-2</v>
      </c>
      <c r="Z732">
        <v>-7.6382990000000003E-4</v>
      </c>
      <c r="AA732">
        <v>0.99989070000000002</v>
      </c>
      <c r="AB732">
        <v>29</v>
      </c>
      <c r="AC732">
        <v>0.63740000000001296</v>
      </c>
      <c r="AD732">
        <v>-6.6167000000000004E-2</v>
      </c>
      <c r="AE732">
        <v>-1.1699999999961999E-2</v>
      </c>
      <c r="AF732">
        <v>1.3686646156820101E-2</v>
      </c>
      <c r="AG732">
        <v>-6.6167000000000004E-2</v>
      </c>
      <c r="AH732">
        <v>0.63056455955824398</v>
      </c>
      <c r="AI732">
        <v>95.988892854227601</v>
      </c>
      <c r="AJ732">
        <v>88.756568326457696</v>
      </c>
      <c r="AK732">
        <v>0.63417431353130704</v>
      </c>
      <c r="AL732">
        <v>83.084713723510305</v>
      </c>
      <c r="AM732">
        <v>87.677921078390398</v>
      </c>
      <c r="AN732">
        <v>1.00000001578221</v>
      </c>
    </row>
    <row r="733" spans="1:40" x14ac:dyDescent="0.25">
      <c r="A733" t="str">
        <f>"20190312164233010"</f>
        <v>20190312164233010</v>
      </c>
      <c r="B733" t="str">
        <f>"1552380153004162"</f>
        <v>1552380153004162</v>
      </c>
      <c r="C733" t="s">
        <v>40</v>
      </c>
      <c r="D733">
        <v>4.5450689999999998</v>
      </c>
      <c r="E733">
        <v>0.4942086</v>
      </c>
      <c r="F733" t="s">
        <v>41</v>
      </c>
      <c r="G733">
        <v>-265.54340000000002</v>
      </c>
      <c r="H733">
        <v>1.04484</v>
      </c>
      <c r="I733">
        <v>367.17509999999999</v>
      </c>
      <c r="J733">
        <v>-266.15260000000001</v>
      </c>
      <c r="K733">
        <v>1.110411</v>
      </c>
      <c r="L733">
        <v>367.18639999999999</v>
      </c>
      <c r="M733">
        <v>0.9998958</v>
      </c>
      <c r="N733">
        <v>0</v>
      </c>
      <c r="O733">
        <v>3.411861E-3</v>
      </c>
      <c r="P733">
        <v>0.99362309999999998</v>
      </c>
      <c r="Q733">
        <v>0.106833</v>
      </c>
      <c r="R733">
        <v>-3.6054570000000001E-2</v>
      </c>
      <c r="S733">
        <v>3.0418400000000001</v>
      </c>
      <c r="T733">
        <v>-0.22257279999999999</v>
      </c>
      <c r="U733">
        <v>-3.3966059999999999E-2</v>
      </c>
      <c r="V733">
        <v>3.943427E-2</v>
      </c>
      <c r="W733">
        <v>0.1207661</v>
      </c>
      <c r="X733">
        <v>0.99189740000000004</v>
      </c>
      <c r="Y733">
        <v>1.452955E-2</v>
      </c>
      <c r="Z733">
        <v>-7.8017270000000001E-4</v>
      </c>
      <c r="AA733">
        <v>0.99989410000000001</v>
      </c>
      <c r="AB733">
        <v>28</v>
      </c>
      <c r="AC733">
        <v>0.60919999999998697</v>
      </c>
      <c r="AD733">
        <v>-6.5571000000000004E-2</v>
      </c>
      <c r="AE733">
        <v>-1.1300000000005601E-2</v>
      </c>
      <c r="AF733">
        <v>1.32254772372291E-2</v>
      </c>
      <c r="AG733">
        <v>-6.5571000000000004E-2</v>
      </c>
      <c r="AH733">
        <v>0.60218386996870599</v>
      </c>
      <c r="AI733">
        <v>96.212891081428495</v>
      </c>
      <c r="AJ733">
        <v>88.741842376833503</v>
      </c>
      <c r="AK733">
        <v>0.60588768145559802</v>
      </c>
      <c r="AL733">
        <v>83.063681440649802</v>
      </c>
      <c r="AM733">
        <v>87.723325036695698</v>
      </c>
      <c r="AN733">
        <v>0.99999998234320098</v>
      </c>
    </row>
    <row r="734" spans="1:40" x14ac:dyDescent="0.25">
      <c r="A734" t="str">
        <f>"20190312164233032"</f>
        <v>20190312164233032</v>
      </c>
      <c r="B734" t="str">
        <f>"1552380153024655"</f>
        <v>1552380153024655</v>
      </c>
      <c r="C734" t="s">
        <v>40</v>
      </c>
      <c r="D734">
        <v>4.5003080000000004</v>
      </c>
      <c r="E734">
        <v>0.49470789999999998</v>
      </c>
      <c r="F734" t="s">
        <v>42</v>
      </c>
      <c r="G734">
        <v>-250.43369999999999</v>
      </c>
      <c r="H734" s="1">
        <v>-4.550182E-6</v>
      </c>
      <c r="I734">
        <v>367.00069999999999</v>
      </c>
      <c r="J734">
        <v>-265.88220000000001</v>
      </c>
      <c r="K734">
        <v>1.110419</v>
      </c>
      <c r="L734">
        <v>367.18729999999999</v>
      </c>
      <c r="M734">
        <v>0.99989550000000005</v>
      </c>
      <c r="N734">
        <v>0</v>
      </c>
      <c r="O734">
        <v>3.474745E-3</v>
      </c>
      <c r="P734">
        <v>0.99353270000000005</v>
      </c>
      <c r="Q734">
        <v>0.1075706</v>
      </c>
      <c r="R734">
        <v>-3.6354049999999999E-2</v>
      </c>
      <c r="S734">
        <v>3.0410460000000001</v>
      </c>
      <c r="T734">
        <v>-0.2148255</v>
      </c>
      <c r="U734">
        <v>-3.5919189999999997E-2</v>
      </c>
      <c r="V734">
        <v>3.9795629999999999E-2</v>
      </c>
      <c r="W734">
        <v>0.121513</v>
      </c>
      <c r="X734">
        <v>0.9917918</v>
      </c>
      <c r="Y734">
        <v>1.523878E-2</v>
      </c>
      <c r="Z734">
        <v>-7.8273440000000002E-4</v>
      </c>
      <c r="AA734">
        <v>0.99988359999999998</v>
      </c>
      <c r="AB734">
        <v>28</v>
      </c>
      <c r="AC734">
        <v>15.448499999999999</v>
      </c>
      <c r="AD734">
        <v>-1.1104235501819999</v>
      </c>
      <c r="AE734">
        <v>-0.18659999999999799</v>
      </c>
      <c r="AF734">
        <v>0.23904886806533501</v>
      </c>
      <c r="AG734">
        <v>-1.1104235501819999</v>
      </c>
      <c r="AH734">
        <v>15.3683676699392</v>
      </c>
      <c r="AI734">
        <v>94.132160171304406</v>
      </c>
      <c r="AJ734">
        <v>89.108858722694904</v>
      </c>
      <c r="AK734">
        <v>15.410285839677201</v>
      </c>
      <c r="AL734">
        <v>83.020570114277305</v>
      </c>
      <c r="AM734">
        <v>87.702240382897102</v>
      </c>
      <c r="AN734">
        <v>1.00000003794166</v>
      </c>
    </row>
    <row r="735" spans="1:40" x14ac:dyDescent="0.25">
      <c r="A735" t="str">
        <f>"20190312164233054"</f>
        <v>20190312164233054</v>
      </c>
      <c r="B735" t="str">
        <f>"1552380153044175"</f>
        <v>1552380153044175</v>
      </c>
      <c r="C735" t="s">
        <v>40</v>
      </c>
      <c r="D735">
        <v>4.4687400000000004</v>
      </c>
      <c r="E735">
        <v>0.49482579999999998</v>
      </c>
      <c r="F735" t="s">
        <v>42</v>
      </c>
      <c r="G735">
        <v>-249.60429999999999</v>
      </c>
      <c r="H735" s="1">
        <v>-8.4071249999999998E-7</v>
      </c>
      <c r="I735">
        <v>366.96839999999997</v>
      </c>
      <c r="J735">
        <v>-265.59879999999998</v>
      </c>
      <c r="K735">
        <v>1.1104259999999999</v>
      </c>
      <c r="L735">
        <v>367.1884</v>
      </c>
      <c r="M735">
        <v>0.99989510000000004</v>
      </c>
      <c r="N735">
        <v>0</v>
      </c>
      <c r="O735">
        <v>3.5474550000000001E-3</v>
      </c>
      <c r="P735">
        <v>0.99350680000000002</v>
      </c>
      <c r="Q735">
        <v>0.1076802</v>
      </c>
      <c r="R735">
        <v>-3.6738079999999999E-2</v>
      </c>
      <c r="S735">
        <v>3.0404969999999998</v>
      </c>
      <c r="T735">
        <v>-0.2074125</v>
      </c>
      <c r="U735">
        <v>-4.0893550000000001E-2</v>
      </c>
      <c r="V735">
        <v>4.025049E-2</v>
      </c>
      <c r="W735">
        <v>0.1216314</v>
      </c>
      <c r="X735">
        <v>0.9917589</v>
      </c>
      <c r="Y735">
        <v>1.6948189999999998E-2</v>
      </c>
      <c r="Z735">
        <v>-8.19106E-4</v>
      </c>
      <c r="AA735">
        <v>0.99985610000000003</v>
      </c>
      <c r="AB735">
        <v>28</v>
      </c>
      <c r="AC735">
        <v>15.994499999999899</v>
      </c>
      <c r="AD735">
        <v>-1.1104268407125</v>
      </c>
      <c r="AE735">
        <v>-0.22000000000002701</v>
      </c>
      <c r="AF735">
        <v>0.27541674820592199</v>
      </c>
      <c r="AG735">
        <v>-1.1104268407125</v>
      </c>
      <c r="AH735">
        <v>15.916915298672601</v>
      </c>
      <c r="AI735">
        <v>93.990118485417298</v>
      </c>
      <c r="AJ735">
        <v>89.008687150725194</v>
      </c>
      <c r="AK735">
        <v>15.9579790317849</v>
      </c>
      <c r="AL735">
        <v>83.013735386611103</v>
      </c>
      <c r="AM735">
        <v>87.675928848082407</v>
      </c>
      <c r="AN735">
        <v>1.0000000075702</v>
      </c>
    </row>
    <row r="736" spans="1:40" x14ac:dyDescent="0.25">
      <c r="A736" t="str">
        <f>"20190312164233069"</f>
        <v>20190312164233069</v>
      </c>
      <c r="B736" t="str">
        <f>"1552380153064672"</f>
        <v>1552380153064672</v>
      </c>
      <c r="C736" t="s">
        <v>40</v>
      </c>
      <c r="D736">
        <v>4.446733</v>
      </c>
      <c r="E736">
        <v>0.49515520000000002</v>
      </c>
      <c r="F736" t="s">
        <v>42</v>
      </c>
      <c r="G736">
        <v>-249.108</v>
      </c>
      <c r="H736" s="1">
        <v>-1.0351259999999999E-6</v>
      </c>
      <c r="I736">
        <v>366.95420000000001</v>
      </c>
      <c r="J736">
        <v>-265.41550000000001</v>
      </c>
      <c r="K736">
        <v>1.1104320000000001</v>
      </c>
      <c r="L736">
        <v>367.1891</v>
      </c>
      <c r="M736">
        <v>0.99989470000000003</v>
      </c>
      <c r="N736">
        <v>0</v>
      </c>
      <c r="O736">
        <v>3.5998139999999998E-3</v>
      </c>
      <c r="P736">
        <v>0.99354260000000005</v>
      </c>
      <c r="Q736">
        <v>0.10721310000000001</v>
      </c>
      <c r="R736">
        <v>-3.7127710000000001E-2</v>
      </c>
      <c r="S736">
        <v>3.0401919999999998</v>
      </c>
      <c r="T736">
        <v>-0.2047139</v>
      </c>
      <c r="U736">
        <v>-4.3182369999999998E-2</v>
      </c>
      <c r="V736">
        <v>4.0691360000000003E-2</v>
      </c>
      <c r="W736">
        <v>0.1211704</v>
      </c>
      <c r="X736">
        <v>0.99179729999999999</v>
      </c>
      <c r="Y736">
        <v>1.7753769999999999E-2</v>
      </c>
      <c r="Z736">
        <v>-8.3916229999999995E-4</v>
      </c>
      <c r="AA736">
        <v>0.99984200000000001</v>
      </c>
      <c r="AB736">
        <v>28</v>
      </c>
      <c r="AC736">
        <v>16.307500000000001</v>
      </c>
      <c r="AD736">
        <v>-1.1104330351259999</v>
      </c>
      <c r="AE736">
        <v>-0.23489999999998101</v>
      </c>
      <c r="AF736">
        <v>0.29225343277641702</v>
      </c>
      <c r="AG736">
        <v>-1.1104330351259999</v>
      </c>
      <c r="AH736">
        <v>16.231304391379101</v>
      </c>
      <c r="AI736">
        <v>93.913048542624693</v>
      </c>
      <c r="AJ736">
        <v>88.968469900336302</v>
      </c>
      <c r="AK736">
        <v>16.2718688490312</v>
      </c>
      <c r="AL736">
        <v>83.040345288050403</v>
      </c>
      <c r="AM736">
        <v>87.650592165957804</v>
      </c>
      <c r="AN736">
        <v>0.99999996845104899</v>
      </c>
    </row>
    <row r="737" spans="1:40" x14ac:dyDescent="0.25">
      <c r="A737" t="str">
        <f>"20190312164233090"</f>
        <v>20190312164233090</v>
      </c>
      <c r="B737" t="str">
        <f>"1552380153084191"</f>
        <v>1552380153084191</v>
      </c>
      <c r="C737" t="s">
        <v>40</v>
      </c>
      <c r="D737">
        <v>4.222874</v>
      </c>
      <c r="E737">
        <v>0.49550250000000001</v>
      </c>
      <c r="F737" t="s">
        <v>42</v>
      </c>
      <c r="G737">
        <v>-248.6943</v>
      </c>
      <c r="H737" s="1">
        <v>-1.2003420000000001E-6</v>
      </c>
      <c r="I737">
        <v>366.93020000000001</v>
      </c>
      <c r="J737">
        <v>-265.16750000000002</v>
      </c>
      <c r="K737">
        <v>1.110441</v>
      </c>
      <c r="L737">
        <v>367.19009999999997</v>
      </c>
      <c r="M737">
        <v>0.99989439999999996</v>
      </c>
      <c r="N737">
        <v>0</v>
      </c>
      <c r="O737">
        <v>3.6769469999999999E-3</v>
      </c>
      <c r="P737">
        <v>0.99356319999999998</v>
      </c>
      <c r="Q737">
        <v>0.106866</v>
      </c>
      <c r="R737">
        <v>-3.7578559999999997E-2</v>
      </c>
      <c r="S737">
        <v>3.03952</v>
      </c>
      <c r="T737">
        <v>-0.20185020000000001</v>
      </c>
      <c r="U737">
        <v>-4.705811E-2</v>
      </c>
      <c r="V737">
        <v>4.121698E-2</v>
      </c>
      <c r="W737">
        <v>0.12083049999999999</v>
      </c>
      <c r="X737">
        <v>0.99181710000000001</v>
      </c>
      <c r="Y737">
        <v>1.910682E-2</v>
      </c>
      <c r="Z737">
        <v>-8.7761539999999904E-4</v>
      </c>
      <c r="AA737">
        <v>0.99981710000000001</v>
      </c>
      <c r="AB737">
        <v>28</v>
      </c>
      <c r="AC737">
        <v>16.473199999999999</v>
      </c>
      <c r="AD737">
        <v>-1.110442200342</v>
      </c>
      <c r="AE737">
        <v>-0.259899999999959</v>
      </c>
      <c r="AF737">
        <v>0.31902602777314298</v>
      </c>
      <c r="AG737">
        <v>-1.110442200342</v>
      </c>
      <c r="AH737">
        <v>16.397640951230301</v>
      </c>
      <c r="AI737">
        <v>93.873403318739193</v>
      </c>
      <c r="AJ737">
        <v>88.885416553640198</v>
      </c>
      <c r="AK737">
        <v>16.438293349741699</v>
      </c>
      <c r="AL737">
        <v>83.059964527168702</v>
      </c>
      <c r="AM737">
        <v>87.620326424721696</v>
      </c>
      <c r="AN737">
        <v>1.0000000045114901</v>
      </c>
    </row>
    <row r="738" spans="1:40" x14ac:dyDescent="0.25">
      <c r="A738" t="str">
        <f>"20190312164233103"</f>
        <v>20190312164233103</v>
      </c>
      <c r="B738" t="str">
        <f>"1552380153094929"</f>
        <v>1552380153094929</v>
      </c>
      <c r="C738" t="s">
        <v>40</v>
      </c>
      <c r="D738">
        <v>4.4139119999999998</v>
      </c>
      <c r="E738">
        <v>0.49556159999999999</v>
      </c>
      <c r="F738" t="s">
        <v>42</v>
      </c>
      <c r="G738">
        <v>-248.3202</v>
      </c>
      <c r="H738" s="1">
        <v>-1.3510620000000001E-6</v>
      </c>
      <c r="I738">
        <v>366.90370000000001</v>
      </c>
      <c r="J738">
        <v>-264.98320000000001</v>
      </c>
      <c r="K738">
        <v>1.1104510000000001</v>
      </c>
      <c r="L738">
        <v>367.19080000000002</v>
      </c>
      <c r="M738">
        <v>0.99989410000000001</v>
      </c>
      <c r="N738">
        <v>0</v>
      </c>
      <c r="O738">
        <v>3.738758E-3</v>
      </c>
      <c r="P738">
        <v>0.99357960000000001</v>
      </c>
      <c r="Q738">
        <v>0.106707</v>
      </c>
      <c r="R738">
        <v>-3.7598760000000002E-2</v>
      </c>
      <c r="S738">
        <v>3.0390320000000002</v>
      </c>
      <c r="T738">
        <v>-0.2003093</v>
      </c>
      <c r="U738">
        <v>-5.1666259999999999E-2</v>
      </c>
      <c r="V738">
        <v>4.1296970000000002E-2</v>
      </c>
      <c r="W738">
        <v>0.1206762</v>
      </c>
      <c r="X738">
        <v>0.99183259999999995</v>
      </c>
      <c r="Y738">
        <v>2.068393E-2</v>
      </c>
      <c r="Z738">
        <v>-9.2704470000000005E-4</v>
      </c>
      <c r="AA738">
        <v>0.9997857</v>
      </c>
      <c r="AB738">
        <v>28</v>
      </c>
      <c r="AC738">
        <v>16.663</v>
      </c>
      <c r="AD738">
        <v>-1.1104523510619999</v>
      </c>
      <c r="AE738">
        <v>-0.28710000000000901</v>
      </c>
      <c r="AF738">
        <v>0.34785865322096898</v>
      </c>
      <c r="AG738">
        <v>-1.1104523510619999</v>
      </c>
      <c r="AH738">
        <v>16.588161696924999</v>
      </c>
      <c r="AI738">
        <v>93.828967118173495</v>
      </c>
      <c r="AJ738">
        <v>88.798666646636804</v>
      </c>
      <c r="AK738">
        <v>16.628927161724199</v>
      </c>
      <c r="AL738">
        <v>83.068870721407606</v>
      </c>
      <c r="AM738">
        <v>87.615750722629897</v>
      </c>
      <c r="AN738">
        <v>1.0000000457001801</v>
      </c>
    </row>
    <row r="739" spans="1:40" x14ac:dyDescent="0.25">
      <c r="A739" t="str">
        <f>"20190312164233123"</f>
        <v>20190312164233123</v>
      </c>
      <c r="B739" t="str">
        <f>"1552380153114447"</f>
        <v>1552380153114447</v>
      </c>
      <c r="C739" t="s">
        <v>40</v>
      </c>
      <c r="D739">
        <v>4.2448699999999997</v>
      </c>
      <c r="E739">
        <v>0.49526809999999899</v>
      </c>
      <c r="F739" t="s">
        <v>41</v>
      </c>
      <c r="G739">
        <v>-264.0215</v>
      </c>
      <c r="H739">
        <v>1.047134</v>
      </c>
      <c r="I739">
        <v>367.17399999999998</v>
      </c>
      <c r="J739">
        <v>-264.7396</v>
      </c>
      <c r="K739">
        <v>1.1104620000000001</v>
      </c>
      <c r="L739">
        <v>367.1918</v>
      </c>
      <c r="M739">
        <v>0.9998937</v>
      </c>
      <c r="N739">
        <v>0</v>
      </c>
      <c r="O739">
        <v>3.8265170000000002E-3</v>
      </c>
      <c r="P739">
        <v>0.99358210000000002</v>
      </c>
      <c r="Q739">
        <v>0.1065753</v>
      </c>
      <c r="R739">
        <v>-3.7900259999999998E-2</v>
      </c>
      <c r="S739">
        <v>3.03891</v>
      </c>
      <c r="T739">
        <v>-0.20033200000000001</v>
      </c>
      <c r="U739">
        <v>-5.2429199999999898E-2</v>
      </c>
      <c r="V739">
        <v>4.1683829999999998E-2</v>
      </c>
      <c r="W739">
        <v>0.1205498</v>
      </c>
      <c r="X739">
        <v>0.99183169999999998</v>
      </c>
      <c r="Y739">
        <v>2.1022349999999999E-2</v>
      </c>
      <c r="Z739">
        <v>-9.44106E-4</v>
      </c>
      <c r="AA739">
        <v>0.99977859999999996</v>
      </c>
      <c r="AB739">
        <v>28</v>
      </c>
      <c r="AC739">
        <v>0.71809999999999197</v>
      </c>
      <c r="AD739">
        <v>-6.3327999999999995E-2</v>
      </c>
      <c r="AE739">
        <v>-1.77999999999656E-2</v>
      </c>
      <c r="AF739">
        <v>2.03894883348439E-2</v>
      </c>
      <c r="AG739">
        <v>-6.3327999999999995E-2</v>
      </c>
      <c r="AH739">
        <v>0.71248887705325004</v>
      </c>
      <c r="AI739">
        <v>95.077193536165097</v>
      </c>
      <c r="AJ739">
        <v>88.360798441707999</v>
      </c>
      <c r="AK739">
        <v>0.71558826621399896</v>
      </c>
      <c r="AL739">
        <v>83.076165560841005</v>
      </c>
      <c r="AM739">
        <v>87.593439610535697</v>
      </c>
      <c r="AN739">
        <v>0.99999995854419799</v>
      </c>
    </row>
    <row r="740" spans="1:40" x14ac:dyDescent="0.25">
      <c r="A740" t="str">
        <f>"20190312164233144"</f>
        <v>20190312164233144</v>
      </c>
      <c r="B740" t="str">
        <f>"1552380153134944"</f>
        <v>1552380153134944</v>
      </c>
      <c r="C740" t="s">
        <v>40</v>
      </c>
      <c r="D740">
        <v>4.2090249999999996</v>
      </c>
      <c r="E740">
        <v>0.49557380000000001</v>
      </c>
      <c r="F740" t="s">
        <v>41</v>
      </c>
      <c r="G740">
        <v>-263.7749</v>
      </c>
      <c r="H740">
        <v>1.0461940000000001</v>
      </c>
      <c r="I740">
        <v>367.17540000000002</v>
      </c>
      <c r="J740">
        <v>-264.46679999999998</v>
      </c>
      <c r="K740">
        <v>1.110479</v>
      </c>
      <c r="L740">
        <v>367.19299999999998</v>
      </c>
      <c r="M740">
        <v>0.99989320000000004</v>
      </c>
      <c r="N740">
        <v>0</v>
      </c>
      <c r="O740">
        <v>3.932077E-3</v>
      </c>
      <c r="P740">
        <v>0.99353930000000001</v>
      </c>
      <c r="Q740">
        <v>0.1069444</v>
      </c>
      <c r="R740">
        <v>-3.7984860000000002E-2</v>
      </c>
      <c r="S740">
        <v>3.0391849999999998</v>
      </c>
      <c r="T740">
        <v>-0.2027564</v>
      </c>
      <c r="U740">
        <v>-5.1025389999999997E-2</v>
      </c>
      <c r="V740">
        <v>4.187134E-2</v>
      </c>
      <c r="W740">
        <v>0.1209223</v>
      </c>
      <c r="X740">
        <v>0.99177850000000001</v>
      </c>
      <c r="Y740">
        <v>2.066393E-2</v>
      </c>
      <c r="Z740">
        <v>-9.5051689999999997E-4</v>
      </c>
      <c r="AA740">
        <v>0.99978599999999995</v>
      </c>
      <c r="AB740">
        <v>28</v>
      </c>
      <c r="AC740">
        <v>0.69189999999997498</v>
      </c>
      <c r="AD740">
        <v>-6.4284999999999898E-2</v>
      </c>
      <c r="AE740">
        <v>-1.7600000000015801E-2</v>
      </c>
      <c r="AF740">
        <v>2.0146933185241099E-2</v>
      </c>
      <c r="AG740">
        <v>-6.4284999999999898E-2</v>
      </c>
      <c r="AH740">
        <v>0.68590821861972995</v>
      </c>
      <c r="AI740">
        <v>95.351965598951097</v>
      </c>
      <c r="AJ740">
        <v>88.317555594069105</v>
      </c>
      <c r="AK740">
        <v>0.68920863641705898</v>
      </c>
      <c r="AL740">
        <v>83.054665908272</v>
      </c>
      <c r="AM740">
        <v>87.582497267814006</v>
      </c>
      <c r="AN740">
        <v>1.0000000024064599</v>
      </c>
    </row>
    <row r="741" spans="1:40" x14ac:dyDescent="0.25">
      <c r="A741" t="str">
        <f>"20190312164233168"</f>
        <v>20190312164233168</v>
      </c>
      <c r="B741" t="str">
        <f>"1552380153164226"</f>
        <v>1552380153164226</v>
      </c>
      <c r="C741" t="s">
        <v>40</v>
      </c>
      <c r="D741">
        <v>4.3848120000000002</v>
      </c>
      <c r="E741">
        <v>0.49579240000000002</v>
      </c>
      <c r="F741" t="s">
        <v>41</v>
      </c>
      <c r="G741">
        <v>-263.51549999999997</v>
      </c>
      <c r="H741">
        <v>1.047361</v>
      </c>
      <c r="I741">
        <v>367.17590000000001</v>
      </c>
      <c r="J741">
        <v>-264.17110000000002</v>
      </c>
      <c r="K741">
        <v>1.110492</v>
      </c>
      <c r="L741">
        <v>367.1943</v>
      </c>
      <c r="M741">
        <v>0.99989289999999997</v>
      </c>
      <c r="N741">
        <v>0</v>
      </c>
      <c r="O741">
        <v>4.0519120000000004E-3</v>
      </c>
      <c r="P741">
        <v>0.99350950000000005</v>
      </c>
      <c r="Q741">
        <v>0.107234</v>
      </c>
      <c r="R741">
        <v>-3.7950690000000002E-2</v>
      </c>
      <c r="S741">
        <v>3.0391849999999998</v>
      </c>
      <c r="T741">
        <v>-0.2018983</v>
      </c>
      <c r="U741">
        <v>-5.36499E-2</v>
      </c>
      <c r="V741">
        <v>4.195513E-2</v>
      </c>
      <c r="W741">
        <v>0.1212149</v>
      </c>
      <c r="X741">
        <v>0.99173920000000004</v>
      </c>
      <c r="Y741">
        <v>2.1644900000000002E-2</v>
      </c>
      <c r="Z741">
        <v>-9.8699399999999994E-4</v>
      </c>
      <c r="AA741">
        <v>0.99976520000000002</v>
      </c>
      <c r="AB741">
        <v>28</v>
      </c>
      <c r="AC741">
        <v>0.65560000000004903</v>
      </c>
      <c r="AD741">
        <v>-6.3131000000000007E-2</v>
      </c>
      <c r="AE741">
        <v>-1.8399999999985501E-2</v>
      </c>
      <c r="AF741">
        <v>2.08632383174766E-2</v>
      </c>
      <c r="AG741">
        <v>-6.3131000000000007E-2</v>
      </c>
      <c r="AH741">
        <v>0.64950213916288202</v>
      </c>
      <c r="AI741">
        <v>95.548812522783194</v>
      </c>
      <c r="AJ741">
        <v>88.160183702265698</v>
      </c>
      <c r="AK741">
        <v>0.65289648999765004</v>
      </c>
      <c r="AL741">
        <v>83.037776653599593</v>
      </c>
      <c r="AM741">
        <v>87.577569410756396</v>
      </c>
      <c r="AN741">
        <v>0.99999996286598203</v>
      </c>
    </row>
    <row r="742" spans="1:40" x14ac:dyDescent="0.25">
      <c r="A742" t="str">
        <f>"20190312164233190"</f>
        <v>20190312164233190</v>
      </c>
      <c r="B742" t="str">
        <f>"1552380153184719"</f>
        <v>1552380153184719</v>
      </c>
      <c r="C742" t="s">
        <v>40</v>
      </c>
      <c r="D742">
        <v>4.5793699999999999</v>
      </c>
      <c r="E742">
        <v>0.49602190000000002</v>
      </c>
      <c r="F742" t="s">
        <v>42</v>
      </c>
      <c r="G742">
        <v>-247.36439999999999</v>
      </c>
      <c r="H742" s="1">
        <v>-1.721876E-6</v>
      </c>
      <c r="I742">
        <v>366.8895</v>
      </c>
      <c r="J742">
        <v>-263.8972</v>
      </c>
      <c r="K742">
        <v>1.1104969999999901</v>
      </c>
      <c r="L742">
        <v>367.19549999999998</v>
      </c>
      <c r="M742">
        <v>0.99989220000000001</v>
      </c>
      <c r="N742">
        <v>0</v>
      </c>
      <c r="O742">
        <v>4.16665E-3</v>
      </c>
      <c r="P742">
        <v>0.99344900000000003</v>
      </c>
      <c r="Q742">
        <v>0.1078027</v>
      </c>
      <c r="R742">
        <v>-3.7918010000000002E-2</v>
      </c>
      <c r="S742">
        <v>3.0391539999999999</v>
      </c>
      <c r="T742">
        <v>-0.2008113</v>
      </c>
      <c r="U742">
        <v>-5.5114749999999997E-2</v>
      </c>
      <c r="V742">
        <v>4.2035870000000003E-2</v>
      </c>
      <c r="W742">
        <v>0.1217847</v>
      </c>
      <c r="X742">
        <v>0.99166600000000005</v>
      </c>
      <c r="Y742">
        <v>2.2240570000000001E-2</v>
      </c>
      <c r="Z742">
        <v>-1.008927E-3</v>
      </c>
      <c r="AA742">
        <v>0.99975219999999998</v>
      </c>
      <c r="AB742">
        <v>28</v>
      </c>
      <c r="AC742">
        <v>16.532800000000002</v>
      </c>
      <c r="AD742">
        <v>-1.1104987218760001</v>
      </c>
      <c r="AE742">
        <v>-0.30599999999998301</v>
      </c>
      <c r="AF742">
        <v>0.37320732810588397</v>
      </c>
      <c r="AG742">
        <v>-1.1104987218760001</v>
      </c>
      <c r="AH742">
        <v>16.457156483303699</v>
      </c>
      <c r="AI742">
        <v>93.859372781728396</v>
      </c>
      <c r="AJ742">
        <v>88.700897062028105</v>
      </c>
      <c r="AK742">
        <v>16.498802703135301</v>
      </c>
      <c r="AL742">
        <v>83.004886045292295</v>
      </c>
      <c r="AM742">
        <v>87.572734223895097</v>
      </c>
      <c r="AN742">
        <v>0.99999999153837305</v>
      </c>
    </row>
    <row r="743" spans="1:40" x14ac:dyDescent="0.25">
      <c r="A743" t="str">
        <f>"20190312164233204"</f>
        <v>20190312164233204</v>
      </c>
      <c r="B743" t="str">
        <f>"1552380153194480"</f>
        <v>1552380153194480</v>
      </c>
      <c r="C743" t="s">
        <v>40</v>
      </c>
      <c r="D743">
        <v>4.1897349999999998</v>
      </c>
      <c r="E743">
        <v>0.52466519999999905</v>
      </c>
      <c r="F743" t="s">
        <v>42</v>
      </c>
      <c r="G743">
        <v>-247.02940000000001</v>
      </c>
      <c r="H743" s="1">
        <v>-1.870312E-6</v>
      </c>
      <c r="I743">
        <v>366.87880000000001</v>
      </c>
      <c r="J743">
        <v>-263.71929999999998</v>
      </c>
      <c r="K743">
        <v>1.110495</v>
      </c>
      <c r="L743">
        <v>367.19639999999998</v>
      </c>
      <c r="M743">
        <v>0.99989189999999994</v>
      </c>
      <c r="N743">
        <v>0</v>
      </c>
      <c r="O743">
        <v>4.2416290000000002E-3</v>
      </c>
      <c r="P743">
        <v>0.99345280000000002</v>
      </c>
      <c r="Q743">
        <v>0.1077602</v>
      </c>
      <c r="R743">
        <v>-3.7940790000000002E-2</v>
      </c>
      <c r="S743">
        <v>3.039307</v>
      </c>
      <c r="T743">
        <v>-0.20009360000000001</v>
      </c>
      <c r="U743">
        <v>-5.706787E-2</v>
      </c>
      <c r="V743">
        <v>4.2133009999999999E-2</v>
      </c>
      <c r="W743">
        <v>0.1217435</v>
      </c>
      <c r="X743">
        <v>0.99166690000000002</v>
      </c>
      <c r="Y743">
        <v>2.295558E-2</v>
      </c>
      <c r="Z743">
        <v>-1.0337129999999999E-3</v>
      </c>
      <c r="AA743">
        <v>0.99973599999999996</v>
      </c>
      <c r="AB743">
        <v>28</v>
      </c>
      <c r="AC743">
        <v>16.689899999999898</v>
      </c>
      <c r="AD743">
        <v>-1.110496870312</v>
      </c>
      <c r="AE743">
        <v>-0.31759999999997002</v>
      </c>
      <c r="AF743">
        <v>0.38668521721286597</v>
      </c>
      <c r="AG743">
        <v>-1.110496870312</v>
      </c>
      <c r="AH743">
        <v>16.614872149515602</v>
      </c>
      <c r="AI743">
        <v>93.822788553183997</v>
      </c>
      <c r="AJ743">
        <v>88.666770838706</v>
      </c>
      <c r="AK743">
        <v>16.656431349509798</v>
      </c>
      <c r="AL743">
        <v>83.007264074379606</v>
      </c>
      <c r="AM743">
        <v>87.567134032625503</v>
      </c>
      <c r="AN743">
        <v>0.99999995543975895</v>
      </c>
    </row>
    <row r="744" spans="1:40" x14ac:dyDescent="0.25">
      <c r="A744" t="str">
        <f>"20190312164233222"</f>
        <v>20190312164233222</v>
      </c>
      <c r="B744" t="str">
        <f>"1552380153214979"</f>
        <v>1552380153214979</v>
      </c>
      <c r="C744" t="s">
        <v>40</v>
      </c>
      <c r="D744">
        <v>4.3014140000000003</v>
      </c>
      <c r="E744">
        <v>0.53172269999999999</v>
      </c>
      <c r="F744" t="s">
        <v>41</v>
      </c>
      <c r="G744">
        <v>-262.77409999999998</v>
      </c>
      <c r="H744">
        <v>1.0422530000000001</v>
      </c>
      <c r="I744">
        <v>367.10739999999998</v>
      </c>
      <c r="J744">
        <v>-263.4853</v>
      </c>
      <c r="K744">
        <v>1.1104969999999901</v>
      </c>
      <c r="L744">
        <v>367.19740000000002</v>
      </c>
      <c r="M744">
        <v>0.99989150000000004</v>
      </c>
      <c r="N744">
        <v>0</v>
      </c>
      <c r="O744">
        <v>4.3400299999999999E-3</v>
      </c>
      <c r="P744">
        <v>0.99343190000000003</v>
      </c>
      <c r="Q744">
        <v>0.10806399999999999</v>
      </c>
      <c r="R744">
        <v>-3.7620720000000003E-2</v>
      </c>
      <c r="S744">
        <v>3.032654</v>
      </c>
      <c r="T744">
        <v>-0.2190629</v>
      </c>
      <c r="U744">
        <v>-0.28494259999999999</v>
      </c>
      <c r="V744">
        <v>4.1910469999999998E-2</v>
      </c>
      <c r="W744">
        <v>0.1220479</v>
      </c>
      <c r="X744">
        <v>0.99163900000000005</v>
      </c>
      <c r="Y744">
        <v>9.7603400000000007E-2</v>
      </c>
      <c r="Z744">
        <v>-3.8253390000000001E-3</v>
      </c>
      <c r="AA744">
        <v>0.99521800000000005</v>
      </c>
      <c r="AB744">
        <v>28</v>
      </c>
      <c r="AC744">
        <v>0.71120000000001904</v>
      </c>
      <c r="AD744">
        <v>-6.8243999999999694E-2</v>
      </c>
      <c r="AE744">
        <v>-9.0000000000031805E-2</v>
      </c>
      <c r="AF744">
        <v>9.2250075498492498E-2</v>
      </c>
      <c r="AG744">
        <v>-6.8243999999999694E-2</v>
      </c>
      <c r="AH744">
        <v>0.70441889655555701</v>
      </c>
      <c r="AI744">
        <v>95.486975816860493</v>
      </c>
      <c r="AJ744">
        <v>82.5390545292654</v>
      </c>
      <c r="AK744">
        <v>0.71370393146600097</v>
      </c>
      <c r="AL744">
        <v>82.989692812143304</v>
      </c>
      <c r="AM744">
        <v>87.579900726686802</v>
      </c>
      <c r="AN744">
        <v>1.0000000418555099</v>
      </c>
    </row>
    <row r="745" spans="1:40" x14ac:dyDescent="0.25">
      <c r="A745" t="str">
        <f>"20190312164233245"</f>
        <v>20190312164233245</v>
      </c>
      <c r="B745" t="str">
        <f>"1552380153234495"</f>
        <v>1552380153234495</v>
      </c>
      <c r="C745" t="s">
        <v>40</v>
      </c>
      <c r="D745">
        <v>4.4209370000000003</v>
      </c>
      <c r="E745">
        <v>0.53575499999999998</v>
      </c>
      <c r="F745" t="s">
        <v>41</v>
      </c>
      <c r="G745">
        <v>-262.52210000000002</v>
      </c>
      <c r="H745">
        <v>1.041717</v>
      </c>
      <c r="I745">
        <v>367.08879999999999</v>
      </c>
      <c r="J745">
        <v>-263.20740000000001</v>
      </c>
      <c r="K745">
        <v>1.110501</v>
      </c>
      <c r="L745">
        <v>367.19880000000001</v>
      </c>
      <c r="M745">
        <v>0.99989090000000003</v>
      </c>
      <c r="N745">
        <v>0</v>
      </c>
      <c r="O745">
        <v>4.4555970000000004E-3</v>
      </c>
      <c r="P745">
        <v>0.99344829999999995</v>
      </c>
      <c r="Q745">
        <v>0.10799889999999999</v>
      </c>
      <c r="R745">
        <v>-3.7371509999999997E-2</v>
      </c>
      <c r="S745">
        <v>3.0304869999999999</v>
      </c>
      <c r="T745">
        <v>-0.21665699999999999</v>
      </c>
      <c r="U745">
        <v>-0.3408813</v>
      </c>
      <c r="V745">
        <v>4.1776140000000003E-2</v>
      </c>
      <c r="W745">
        <v>0.121984</v>
      </c>
      <c r="X745">
        <v>0.99165250000000005</v>
      </c>
      <c r="Y745">
        <v>0.1159027</v>
      </c>
      <c r="Z745">
        <v>-4.4420390000000001E-3</v>
      </c>
      <c r="AA745">
        <v>0.99325070000000004</v>
      </c>
      <c r="AB745">
        <v>28</v>
      </c>
      <c r="AC745">
        <v>0.68529999999998303</v>
      </c>
      <c r="AD745">
        <v>-6.8783999999999901E-2</v>
      </c>
      <c r="AE745">
        <v>-0.110000000000013</v>
      </c>
      <c r="AF745">
        <v>0.111953114612204</v>
      </c>
      <c r="AG745">
        <v>-6.8783999999999901E-2</v>
      </c>
      <c r="AH745">
        <v>0.67814283835565103</v>
      </c>
      <c r="AI745">
        <v>95.714870385088005</v>
      </c>
      <c r="AJ745">
        <v>80.625717291169494</v>
      </c>
      <c r="AK745">
        <v>0.69075498386941203</v>
      </c>
      <c r="AL745">
        <v>82.993381360055395</v>
      </c>
      <c r="AM745">
        <v>87.587681169425494</v>
      </c>
      <c r="AN745">
        <v>1.0000000114427701</v>
      </c>
    </row>
    <row r="746" spans="1:40" x14ac:dyDescent="0.25">
      <c r="A746" t="str">
        <f>"20190312164233268"</f>
        <v>20190312164233268</v>
      </c>
      <c r="B746" t="str">
        <f>"1552380153264755"</f>
        <v>1552380153264755</v>
      </c>
      <c r="C746" t="s">
        <v>40</v>
      </c>
      <c r="D746">
        <v>4.2174339999999999</v>
      </c>
      <c r="E746">
        <v>0.53679569999999999</v>
      </c>
      <c r="F746" t="s">
        <v>41</v>
      </c>
      <c r="G746">
        <v>-262.26710000000003</v>
      </c>
      <c r="H746">
        <v>1.0457959999999999</v>
      </c>
      <c r="I746">
        <v>367.0829</v>
      </c>
      <c r="J746">
        <v>-262.91840000000002</v>
      </c>
      <c r="K746">
        <v>1.110501</v>
      </c>
      <c r="L746">
        <v>367.2002</v>
      </c>
      <c r="M746">
        <v>0.99989030000000001</v>
      </c>
      <c r="N746">
        <v>0</v>
      </c>
      <c r="O746">
        <v>4.5736739999999998E-3</v>
      </c>
      <c r="P746">
        <v>0.99351029999999996</v>
      </c>
      <c r="Q746">
        <v>0.10722810000000001</v>
      </c>
      <c r="R746">
        <v>-3.7941059999999999E-2</v>
      </c>
      <c r="S746">
        <v>3.0284420000000001</v>
      </c>
      <c r="T746">
        <v>-0.2085719</v>
      </c>
      <c r="U746">
        <v>-0.37268069999999998</v>
      </c>
      <c r="V746">
        <v>4.246308E-2</v>
      </c>
      <c r="W746">
        <v>0.1212144</v>
      </c>
      <c r="X746">
        <v>0.99171770000000004</v>
      </c>
      <c r="Y746">
        <v>0.12637180000000001</v>
      </c>
      <c r="Z746">
        <v>-4.6437500000000003E-3</v>
      </c>
      <c r="AA746">
        <v>0.99197210000000002</v>
      </c>
      <c r="AB746">
        <v>28</v>
      </c>
      <c r="AC746">
        <v>0.651299999999992</v>
      </c>
      <c r="AD746">
        <v>-6.4704999999999999E-2</v>
      </c>
      <c r="AE746">
        <v>-0.1173</v>
      </c>
      <c r="AF746">
        <v>0.119138954226249</v>
      </c>
      <c r="AG746">
        <v>-6.4704999999999999E-2</v>
      </c>
      <c r="AH746">
        <v>0.64459442798851896</v>
      </c>
      <c r="AI746">
        <v>95.637352487850194</v>
      </c>
      <c r="AJ746">
        <v>79.528323339362601</v>
      </c>
      <c r="AK746">
        <v>0.658697809342775</v>
      </c>
      <c r="AL746">
        <v>83.037805915529901</v>
      </c>
      <c r="AM746">
        <v>87.548223574146405</v>
      </c>
      <c r="AN746">
        <v>1.00000002021186</v>
      </c>
    </row>
    <row r="747" spans="1:40" x14ac:dyDescent="0.25">
      <c r="A747" t="str">
        <f>"20190312164233291"</f>
        <v>20190312164233291</v>
      </c>
      <c r="B747" t="str">
        <f>"1552380153284275"</f>
        <v>1552380153284275</v>
      </c>
      <c r="C747" t="s">
        <v>40</v>
      </c>
      <c r="D747">
        <v>4.5703719999999999</v>
      </c>
      <c r="E747">
        <v>0.53644480000000005</v>
      </c>
      <c r="F747" t="s">
        <v>42</v>
      </c>
      <c r="G747">
        <v>-245.94990000000001</v>
      </c>
      <c r="H747" s="1">
        <v>-2.7535750000000001E-6</v>
      </c>
      <c r="I747">
        <v>365.05349999999999</v>
      </c>
      <c r="J747">
        <v>-262.63369999999998</v>
      </c>
      <c r="K747">
        <v>1.1104959999999999</v>
      </c>
      <c r="L747">
        <v>367.20170000000002</v>
      </c>
      <c r="M747">
        <v>0.9998899</v>
      </c>
      <c r="N747">
        <v>0</v>
      </c>
      <c r="O747">
        <v>4.6895390000000004E-3</v>
      </c>
      <c r="P747">
        <v>0.99359600000000003</v>
      </c>
      <c r="Q747">
        <v>0.1061583</v>
      </c>
      <c r="R747">
        <v>-3.8704040000000002E-2</v>
      </c>
      <c r="S747">
        <v>3.0263369999999998</v>
      </c>
      <c r="T747">
        <v>-0.19805909999999999</v>
      </c>
      <c r="U747">
        <v>-0.38287349999999998</v>
      </c>
      <c r="V747">
        <v>4.334172E-2</v>
      </c>
      <c r="W747">
        <v>0.12014560000000001</v>
      </c>
      <c r="X747">
        <v>0.99180970000000002</v>
      </c>
      <c r="Y747">
        <v>0.12988150000000001</v>
      </c>
      <c r="Z747">
        <v>-4.5341359999999898E-3</v>
      </c>
      <c r="AA747">
        <v>0.99151920000000004</v>
      </c>
      <c r="AB747">
        <v>28</v>
      </c>
      <c r="AC747">
        <v>16.683799999999898</v>
      </c>
      <c r="AD747">
        <v>-1.1104987535749999</v>
      </c>
      <c r="AE747">
        <v>-2.1482000000000299</v>
      </c>
      <c r="AF747">
        <v>2.2167624120604401</v>
      </c>
      <c r="AG747">
        <v>-1.1104987535749999</v>
      </c>
      <c r="AH747">
        <v>16.601190486116199</v>
      </c>
      <c r="AI747">
        <v>93.793399336845198</v>
      </c>
      <c r="AJ747">
        <v>82.394267102672799</v>
      </c>
      <c r="AK747">
        <v>16.785314075987099</v>
      </c>
      <c r="AL747">
        <v>83.099494189543705</v>
      </c>
      <c r="AM747">
        <v>87.497787436531098</v>
      </c>
      <c r="AN747">
        <v>0.99999997545300301</v>
      </c>
    </row>
    <row r="748" spans="1:40" x14ac:dyDescent="0.25">
      <c r="A748" t="str">
        <f>"20190312164233313"</f>
        <v>20190312164233313</v>
      </c>
      <c r="B748" t="str">
        <f>"1552380153304771"</f>
        <v>1552380153304771</v>
      </c>
      <c r="C748" t="s">
        <v>40</v>
      </c>
      <c r="D748">
        <v>4.676215</v>
      </c>
      <c r="E748">
        <v>0.53623959999999904</v>
      </c>
      <c r="F748" t="s">
        <v>42</v>
      </c>
      <c r="G748">
        <v>-245.42939999999999</v>
      </c>
      <c r="H748" s="1">
        <v>-2.961619E-6</v>
      </c>
      <c r="I748">
        <v>365.02289999999999</v>
      </c>
      <c r="J748">
        <v>-262.35250000000002</v>
      </c>
      <c r="K748">
        <v>1.110498</v>
      </c>
      <c r="L748">
        <v>367.20310000000001</v>
      </c>
      <c r="M748">
        <v>0.99988949999999999</v>
      </c>
      <c r="N748">
        <v>0</v>
      </c>
      <c r="O748">
        <v>4.8036149999999998E-3</v>
      </c>
      <c r="P748">
        <v>0.99367300000000003</v>
      </c>
      <c r="Q748">
        <v>0.1051203</v>
      </c>
      <c r="R748">
        <v>-3.9547039999999999E-2</v>
      </c>
      <c r="S748">
        <v>3.0252690000000002</v>
      </c>
      <c r="T748">
        <v>-0.19527340000000001</v>
      </c>
      <c r="U748">
        <v>-0.38311770000000001</v>
      </c>
      <c r="V748">
        <v>4.4298839999999999E-2</v>
      </c>
      <c r="W748">
        <v>0.1191088</v>
      </c>
      <c r="X748">
        <v>0.99189249999999995</v>
      </c>
      <c r="Y748">
        <v>0.13012399999999999</v>
      </c>
      <c r="Z748">
        <v>-4.4871490000000002E-3</v>
      </c>
      <c r="AA748">
        <v>0.99148760000000002</v>
      </c>
      <c r="AB748">
        <v>28</v>
      </c>
      <c r="AC748">
        <v>16.923100000000002</v>
      </c>
      <c r="AD748">
        <v>-1.110500961619</v>
      </c>
      <c r="AE748">
        <v>-2.1802000000000099</v>
      </c>
      <c r="AF748">
        <v>2.2519363298683501</v>
      </c>
      <c r="AG748">
        <v>-1.110500961619</v>
      </c>
      <c r="AH748">
        <v>16.841096351026</v>
      </c>
      <c r="AI748">
        <v>93.739431959198996</v>
      </c>
      <c r="AJ748">
        <v>82.383774421519604</v>
      </c>
      <c r="AK748">
        <v>17.027241582948101</v>
      </c>
      <c r="AL748">
        <v>83.159328387330604</v>
      </c>
      <c r="AM748">
        <v>87.442816570495197</v>
      </c>
      <c r="AN748">
        <v>1.0000000125095101</v>
      </c>
    </row>
    <row r="749" spans="1:40" x14ac:dyDescent="0.25">
      <c r="A749" t="str">
        <f>"20190312164233336"</f>
        <v>20190312164233336</v>
      </c>
      <c r="B749" t="str">
        <f>"1552380153324291"</f>
        <v>1552380153324291</v>
      </c>
      <c r="C749" t="s">
        <v>40</v>
      </c>
      <c r="D749">
        <v>4.8154810000000001</v>
      </c>
      <c r="E749">
        <v>0.53606309999999902</v>
      </c>
      <c r="F749" t="s">
        <v>42</v>
      </c>
      <c r="G749">
        <v>-245.25309999999999</v>
      </c>
      <c r="H749" s="1">
        <v>-3.0380859999999998E-6</v>
      </c>
      <c r="I749">
        <v>365.029</v>
      </c>
      <c r="J749">
        <v>-262.07839999999999</v>
      </c>
      <c r="K749">
        <v>1.110492</v>
      </c>
      <c r="L749">
        <v>367.2045</v>
      </c>
      <c r="M749">
        <v>0.99988889999999997</v>
      </c>
      <c r="N749">
        <v>0</v>
      </c>
      <c r="O749">
        <v>4.9142389999999999E-3</v>
      </c>
      <c r="P749">
        <v>0.99367439999999996</v>
      </c>
      <c r="Q749">
        <v>0.1045922</v>
      </c>
      <c r="R749">
        <v>-4.0888540000000001E-2</v>
      </c>
      <c r="S749">
        <v>3.0245669999999998</v>
      </c>
      <c r="T749">
        <v>-0.1964273</v>
      </c>
      <c r="U749">
        <v>-0.384552</v>
      </c>
      <c r="V749">
        <v>4.5750279999999997E-2</v>
      </c>
      <c r="W749">
        <v>0.1185799</v>
      </c>
      <c r="X749">
        <v>0.99189000000000005</v>
      </c>
      <c r="Y749">
        <v>0.13072020000000001</v>
      </c>
      <c r="Z749">
        <v>-4.5409270000000002E-3</v>
      </c>
      <c r="AA749">
        <v>0.99140890000000004</v>
      </c>
      <c r="AB749">
        <v>28</v>
      </c>
      <c r="AC749">
        <v>16.825299999999999</v>
      </c>
      <c r="AD749">
        <v>-1.1104950380859999</v>
      </c>
      <c r="AE749">
        <v>-2.1754999999999902</v>
      </c>
      <c r="AF749">
        <v>2.2485314753299201</v>
      </c>
      <c r="AG749">
        <v>-1.1104950380859999</v>
      </c>
      <c r="AH749">
        <v>16.7426697150999</v>
      </c>
      <c r="AI749">
        <v>93.761044662497099</v>
      </c>
      <c r="AJ749">
        <v>82.350975537971195</v>
      </c>
      <c r="AK749">
        <v>16.929444238193</v>
      </c>
      <c r="AL749">
        <v>83.189848519154907</v>
      </c>
      <c r="AM749">
        <v>87.359141208696101</v>
      </c>
      <c r="AN749">
        <v>1.0000000264520399</v>
      </c>
    </row>
    <row r="750" spans="1:40" x14ac:dyDescent="0.25">
      <c r="A750" t="str">
        <f>"20190312164233357"</f>
        <v>20190312164233357</v>
      </c>
      <c r="B750" t="str">
        <f>"1552380153344787"</f>
        <v>1552380153344787</v>
      </c>
      <c r="C750" t="s">
        <v>40</v>
      </c>
      <c r="D750">
        <v>4.5820530000000002</v>
      </c>
      <c r="E750">
        <v>0.53597249999999996</v>
      </c>
      <c r="F750" t="s">
        <v>42</v>
      </c>
      <c r="G750">
        <v>-244.92230000000001</v>
      </c>
      <c r="H750" s="1">
        <v>-3.1980020000000002E-6</v>
      </c>
      <c r="I750">
        <v>365.00900000000001</v>
      </c>
      <c r="J750">
        <v>-261.81029999999998</v>
      </c>
      <c r="K750">
        <v>1.110492</v>
      </c>
      <c r="L750">
        <v>367.20589999999999</v>
      </c>
      <c r="M750">
        <v>0.9998882</v>
      </c>
      <c r="N750">
        <v>0</v>
      </c>
      <c r="O750">
        <v>5.0227179999999998E-3</v>
      </c>
      <c r="P750">
        <v>0.99372159999999998</v>
      </c>
      <c r="Q750">
        <v>0.1037363</v>
      </c>
      <c r="R750">
        <v>-4.1904450000000003E-2</v>
      </c>
      <c r="S750">
        <v>3.0237729999999998</v>
      </c>
      <c r="T750">
        <v>-0.19572539999999999</v>
      </c>
      <c r="U750">
        <v>-0.3869629</v>
      </c>
      <c r="V750">
        <v>4.6874550000000001E-2</v>
      </c>
      <c r="W750">
        <v>0.11772390000000001</v>
      </c>
      <c r="X750">
        <v>0.99193940000000003</v>
      </c>
      <c r="Y750">
        <v>0.1316378</v>
      </c>
      <c r="Z750">
        <v>-4.5622179999999998E-3</v>
      </c>
      <c r="AA750">
        <v>0.99128740000000004</v>
      </c>
      <c r="AB750">
        <v>28</v>
      </c>
      <c r="AC750">
        <v>16.887999999999899</v>
      </c>
      <c r="AD750">
        <v>-1.1104951980019999</v>
      </c>
      <c r="AE750">
        <v>-2.1968999999999701</v>
      </c>
      <c r="AF750">
        <v>2.27204372160634</v>
      </c>
      <c r="AG750">
        <v>-1.1104951980019999</v>
      </c>
      <c r="AH750">
        <v>16.805295998610301</v>
      </c>
      <c r="AI750">
        <v>93.746625032364406</v>
      </c>
      <c r="AJ750">
        <v>82.300406615599002</v>
      </c>
      <c r="AK750">
        <v>16.994509579819699</v>
      </c>
      <c r="AL750">
        <v>83.2392391913626</v>
      </c>
      <c r="AM750">
        <v>87.294474421088594</v>
      </c>
      <c r="AN750">
        <v>0.99999995667063502</v>
      </c>
    </row>
    <row r="751" spans="1:40" x14ac:dyDescent="0.25">
      <c r="A751" t="str">
        <f>"20190312164233379"</f>
        <v>20190312164233379</v>
      </c>
      <c r="B751" t="str">
        <f>"1552380153375044"</f>
        <v>1552380153375044</v>
      </c>
      <c r="C751" t="s">
        <v>40</v>
      </c>
      <c r="D751">
        <v>4.2957380000000001</v>
      </c>
      <c r="E751">
        <v>0.53573319999999902</v>
      </c>
      <c r="F751" t="s">
        <v>42</v>
      </c>
      <c r="G751">
        <v>-244.65209999999999</v>
      </c>
      <c r="H751" s="1">
        <v>-3.3280350000000001E-6</v>
      </c>
      <c r="I751">
        <v>364.99599999999998</v>
      </c>
      <c r="J751">
        <v>-261.52760000000001</v>
      </c>
      <c r="K751">
        <v>1.1104940000000001</v>
      </c>
      <c r="L751">
        <v>367.20749999999998</v>
      </c>
      <c r="M751">
        <v>0.99988779999999999</v>
      </c>
      <c r="N751">
        <v>0</v>
      </c>
      <c r="O751">
        <v>5.1367399999999999E-3</v>
      </c>
      <c r="P751">
        <v>0.99369019999999997</v>
      </c>
      <c r="Q751">
        <v>0.10364080000000001</v>
      </c>
      <c r="R751">
        <v>-4.287593E-2</v>
      </c>
      <c r="S751">
        <v>3.0229189999999999</v>
      </c>
      <c r="T751">
        <v>-0.1956463</v>
      </c>
      <c r="U751">
        <v>-0.3893433</v>
      </c>
      <c r="V751">
        <v>4.7959259999999997E-2</v>
      </c>
      <c r="W751">
        <v>0.1176263</v>
      </c>
      <c r="X751">
        <v>0.99189919999999998</v>
      </c>
      <c r="Y751">
        <v>0.132552</v>
      </c>
      <c r="Z751">
        <v>-4.5982000000000002E-3</v>
      </c>
      <c r="AA751">
        <v>0.99116539999999997</v>
      </c>
      <c r="AB751">
        <v>28</v>
      </c>
      <c r="AC751">
        <v>16.875499999999999</v>
      </c>
      <c r="AD751">
        <v>-1.1104973280349999</v>
      </c>
      <c r="AE751">
        <v>-2.2115</v>
      </c>
      <c r="AF751">
        <v>2.2884221272451799</v>
      </c>
      <c r="AG751">
        <v>-1.1104973280349999</v>
      </c>
      <c r="AH751">
        <v>16.792427138285401</v>
      </c>
      <c r="AI751">
        <v>93.748957619484798</v>
      </c>
      <c r="AJ751">
        <v>82.239705528053307</v>
      </c>
      <c r="AK751">
        <v>16.983983317898801</v>
      </c>
      <c r="AL751">
        <v>83.244870882146699</v>
      </c>
      <c r="AM751">
        <v>87.231850923351104</v>
      </c>
      <c r="AN751">
        <v>1.0000000300160301</v>
      </c>
    </row>
    <row r="752" spans="1:40" x14ac:dyDescent="0.25">
      <c r="A752" t="str">
        <f>"20190312164233402"</f>
        <v>20190312164233402</v>
      </c>
      <c r="B752" t="str">
        <f>"1552380153394563"</f>
        <v>1552380153394563</v>
      </c>
      <c r="C752" t="s">
        <v>40</v>
      </c>
      <c r="D752">
        <v>4.321269</v>
      </c>
      <c r="E752">
        <v>0.53554460000000004</v>
      </c>
      <c r="F752" t="s">
        <v>42</v>
      </c>
      <c r="G752">
        <v>-244.22479999999999</v>
      </c>
      <c r="H752" s="1">
        <v>-3.5344450000000002E-6</v>
      </c>
      <c r="I752">
        <v>364.97109999999998</v>
      </c>
      <c r="J752">
        <v>-261.24509999999998</v>
      </c>
      <c r="K752">
        <v>1.110492</v>
      </c>
      <c r="L752">
        <v>367.209</v>
      </c>
      <c r="M752">
        <v>0.99988730000000003</v>
      </c>
      <c r="N752">
        <v>0</v>
      </c>
      <c r="O752">
        <v>5.2507049999999996E-3</v>
      </c>
      <c r="P752">
        <v>0.99364490000000005</v>
      </c>
      <c r="Q752">
        <v>0.1037662</v>
      </c>
      <c r="R752">
        <v>-4.3618780000000003E-2</v>
      </c>
      <c r="S752">
        <v>3.0224299999999999</v>
      </c>
      <c r="T752">
        <v>-0.19398029999999999</v>
      </c>
      <c r="U752">
        <v>-0.39065549999999999</v>
      </c>
      <c r="V752">
        <v>4.8815249999999998E-2</v>
      </c>
      <c r="W752">
        <v>0.1177494</v>
      </c>
      <c r="X752">
        <v>0.99184280000000002</v>
      </c>
      <c r="Y752">
        <v>0.13311190000000001</v>
      </c>
      <c r="Z752">
        <v>-4.5848820000000002E-3</v>
      </c>
      <c r="AA752">
        <v>0.99109040000000004</v>
      </c>
      <c r="AB752">
        <v>28</v>
      </c>
      <c r="AC752">
        <v>17.020299999999899</v>
      </c>
      <c r="AD752">
        <v>-1.110495534445</v>
      </c>
      <c r="AE752">
        <v>-2.2379000000000202</v>
      </c>
      <c r="AF752">
        <v>2.3175485166888001</v>
      </c>
      <c r="AG752">
        <v>-1.110495534445</v>
      </c>
      <c r="AH752">
        <v>16.937437001414001</v>
      </c>
      <c r="AI752">
        <v>93.716670580669998</v>
      </c>
      <c r="AJ752">
        <v>82.208606035775404</v>
      </c>
      <c r="AK752">
        <v>17.1312872731765</v>
      </c>
      <c r="AL752">
        <v>83.237768175520301</v>
      </c>
      <c r="AM752">
        <v>87.182363198879003</v>
      </c>
      <c r="AN752">
        <v>0.999999994872381</v>
      </c>
    </row>
    <row r="753" spans="1:40" x14ac:dyDescent="0.25">
      <c r="A753" t="str">
        <f>"20190312164233423"</f>
        <v>20190312164233423</v>
      </c>
      <c r="B753" t="str">
        <f>"1552380153415062"</f>
        <v>1552380153415062</v>
      </c>
      <c r="C753" t="s">
        <v>40</v>
      </c>
      <c r="D753">
        <v>4.3284440000000002</v>
      </c>
      <c r="E753">
        <v>0.5353869</v>
      </c>
      <c r="F753" t="s">
        <v>42</v>
      </c>
      <c r="G753">
        <v>-243.89570000000001</v>
      </c>
      <c r="H753" s="1">
        <v>-3.6917909999999999E-6</v>
      </c>
      <c r="I753">
        <v>364.96100000000001</v>
      </c>
      <c r="J753">
        <v>-260.9769</v>
      </c>
      <c r="K753">
        <v>1.1104959999999999</v>
      </c>
      <c r="L753">
        <v>367.2106</v>
      </c>
      <c r="M753">
        <v>0.99988659999999996</v>
      </c>
      <c r="N753">
        <v>0</v>
      </c>
      <c r="O753">
        <v>5.3598379999999996E-3</v>
      </c>
      <c r="P753">
        <v>0.99356940000000005</v>
      </c>
      <c r="Q753">
        <v>0.1043758</v>
      </c>
      <c r="R753">
        <v>-4.3882110000000002E-2</v>
      </c>
      <c r="S753">
        <v>3.0222470000000001</v>
      </c>
      <c r="T753">
        <v>-0.1934469</v>
      </c>
      <c r="U753">
        <v>-0.39160159999999999</v>
      </c>
      <c r="V753">
        <v>4.9186529999999999E-2</v>
      </c>
      <c r="W753">
        <v>0.118356</v>
      </c>
      <c r="X753">
        <v>0.99175230000000003</v>
      </c>
      <c r="Y753">
        <v>0.13353329999999999</v>
      </c>
      <c r="Z753">
        <v>-4.5928480000000001E-3</v>
      </c>
      <c r="AA753">
        <v>0.99103370000000002</v>
      </c>
      <c r="AB753">
        <v>28</v>
      </c>
      <c r="AC753">
        <v>17.0811999999999</v>
      </c>
      <c r="AD753">
        <v>-1.1104996917909999</v>
      </c>
      <c r="AE753">
        <v>-2.2495999999999801</v>
      </c>
      <c r="AF753">
        <v>2.3314429405835999</v>
      </c>
      <c r="AG753">
        <v>-1.1104996917909999</v>
      </c>
      <c r="AH753">
        <v>16.9982744462569</v>
      </c>
      <c r="AI753">
        <v>93.703256663791606</v>
      </c>
      <c r="AJ753">
        <v>82.190177064194202</v>
      </c>
      <c r="AK753">
        <v>17.193317594371798</v>
      </c>
      <c r="AL753">
        <v>83.202768124059901</v>
      </c>
      <c r="AM753">
        <v>87.160709044398402</v>
      </c>
      <c r="AN753">
        <v>1.00000004101236</v>
      </c>
    </row>
    <row r="754" spans="1:40" x14ac:dyDescent="0.25">
      <c r="A754" t="str">
        <f>"20190312164233438"</f>
        <v>20190312164233438</v>
      </c>
      <c r="B754" t="str">
        <f>"1552380153434579"</f>
        <v>1552380153434579</v>
      </c>
      <c r="C754" t="s">
        <v>40</v>
      </c>
      <c r="D754">
        <v>4.4955730000000003</v>
      </c>
      <c r="E754">
        <v>0.53559679999999998</v>
      </c>
      <c r="F754" t="s">
        <v>42</v>
      </c>
      <c r="G754">
        <v>-243.36490000000001</v>
      </c>
      <c r="H754" s="1">
        <v>-3.9475580000000002E-6</v>
      </c>
      <c r="I754">
        <v>364.93380000000002</v>
      </c>
      <c r="J754">
        <v>-260.791</v>
      </c>
      <c r="K754">
        <v>1.110503</v>
      </c>
      <c r="L754">
        <v>367.21170000000001</v>
      </c>
      <c r="M754">
        <v>0.99988619999999995</v>
      </c>
      <c r="N754">
        <v>0</v>
      </c>
      <c r="O754">
        <v>5.4348259999999898E-3</v>
      </c>
      <c r="P754">
        <v>0.99351789999999995</v>
      </c>
      <c r="Q754">
        <v>0.104655399999999</v>
      </c>
      <c r="R754">
        <v>-4.4380500000000003E-2</v>
      </c>
      <c r="S754">
        <v>3.022186</v>
      </c>
      <c r="T754">
        <v>-0.1905596</v>
      </c>
      <c r="U754">
        <v>-0.39068599999999998</v>
      </c>
      <c r="V754">
        <v>4.9758910000000003E-2</v>
      </c>
      <c r="W754">
        <v>0.1186339</v>
      </c>
      <c r="X754">
        <v>0.99169050000000003</v>
      </c>
      <c r="Y754">
        <v>0.13332339999999901</v>
      </c>
      <c r="Z754">
        <v>-4.5227330000000001E-3</v>
      </c>
      <c r="AA754">
        <v>0.99106229999999995</v>
      </c>
      <c r="AB754">
        <v>28</v>
      </c>
      <c r="AC754">
        <v>17.426099999999899</v>
      </c>
      <c r="AD754">
        <v>-1.1105069475579901</v>
      </c>
      <c r="AE754">
        <v>-2.2778999999999798</v>
      </c>
      <c r="AF754">
        <v>2.36314783603805</v>
      </c>
      <c r="AG754">
        <v>-1.1105069475579901</v>
      </c>
      <c r="AH754">
        <v>17.3442083877964</v>
      </c>
      <c r="AI754">
        <v>93.630058464799902</v>
      </c>
      <c r="AJ754">
        <v>82.241227908711394</v>
      </c>
      <c r="AK754">
        <v>17.5396481713532</v>
      </c>
      <c r="AL754">
        <v>83.186732368425496</v>
      </c>
      <c r="AM754">
        <v>87.127544742675894</v>
      </c>
      <c r="AN754">
        <v>0.99999999957192398</v>
      </c>
    </row>
    <row r="755" spans="1:40" x14ac:dyDescent="0.25">
      <c r="A755" t="str">
        <f>"20190312164233457"</f>
        <v>20190312164233457</v>
      </c>
      <c r="B755" t="str">
        <f>"1552380153455076"</f>
        <v>1552380153455076</v>
      </c>
      <c r="C755" t="s">
        <v>40</v>
      </c>
      <c r="D755">
        <v>4.5177889999999996</v>
      </c>
      <c r="E755">
        <v>0.535444699999999</v>
      </c>
      <c r="F755" t="s">
        <v>42</v>
      </c>
      <c r="G755">
        <v>-243.06299999999999</v>
      </c>
      <c r="H755" s="1">
        <v>-4.0964780000000003E-6</v>
      </c>
      <c r="I755">
        <v>364.89879999999999</v>
      </c>
      <c r="J755">
        <v>-260.56459999999998</v>
      </c>
      <c r="K755">
        <v>1.110506</v>
      </c>
      <c r="L755">
        <v>367.21300000000002</v>
      </c>
      <c r="M755">
        <v>0.99988580000000005</v>
      </c>
      <c r="N755">
        <v>0</v>
      </c>
      <c r="O755">
        <v>5.5261470000000004E-3</v>
      </c>
      <c r="P755">
        <v>0.99338820000000005</v>
      </c>
      <c r="Q755">
        <v>0.10559010000000001</v>
      </c>
      <c r="R755">
        <v>-4.5067490000000002E-2</v>
      </c>
      <c r="S755">
        <v>3.0219119999999999</v>
      </c>
      <c r="T755">
        <v>-0.18929679999999999</v>
      </c>
      <c r="U755">
        <v>-0.39425660000000001</v>
      </c>
      <c r="V755">
        <v>5.053581E-2</v>
      </c>
      <c r="W755">
        <v>0.1195652</v>
      </c>
      <c r="X755">
        <v>0.99153939999999996</v>
      </c>
      <c r="Y755">
        <v>0.134577799999999</v>
      </c>
      <c r="Z755">
        <v>-4.5376640000000003E-3</v>
      </c>
      <c r="AA755">
        <v>0.99089260000000001</v>
      </c>
      <c r="AB755">
        <v>28</v>
      </c>
      <c r="AC755">
        <v>17.5015999999999</v>
      </c>
      <c r="AD755">
        <v>-1.1105100964779999</v>
      </c>
      <c r="AE755">
        <v>-2.31420000000002</v>
      </c>
      <c r="AF755">
        <v>2.4013884384636701</v>
      </c>
      <c r="AG755">
        <v>-1.1105100964779999</v>
      </c>
      <c r="AH755">
        <v>17.419614092292498</v>
      </c>
      <c r="AI755">
        <v>93.613618229814705</v>
      </c>
      <c r="AJ755">
        <v>82.150937532419604</v>
      </c>
      <c r="AK755">
        <v>17.6193885884603</v>
      </c>
      <c r="AL755">
        <v>83.132990590603697</v>
      </c>
      <c r="AM755">
        <v>87.082329371326793</v>
      </c>
      <c r="AN755">
        <v>1.00000004344787</v>
      </c>
    </row>
    <row r="756" spans="1:40" x14ac:dyDescent="0.25">
      <c r="A756" t="str">
        <f>"20190312164233480"</f>
        <v>20190312164233480</v>
      </c>
      <c r="B756" t="str">
        <f>"1552380153474598"</f>
        <v>1552380153474598</v>
      </c>
      <c r="C756" t="s">
        <v>40</v>
      </c>
      <c r="D756">
        <v>4.4545190000000003</v>
      </c>
      <c r="E756">
        <v>0.53536099999999998</v>
      </c>
      <c r="F756" t="s">
        <v>42</v>
      </c>
      <c r="G756">
        <v>-242.39879999999999</v>
      </c>
      <c r="H756" s="1">
        <v>-4.4214170000000004E-6</v>
      </c>
      <c r="I756">
        <v>364.83679999999998</v>
      </c>
      <c r="J756">
        <v>-260.27760000000001</v>
      </c>
      <c r="K756">
        <v>1.1105069999999999</v>
      </c>
      <c r="L756">
        <v>367.21480000000003</v>
      </c>
      <c r="M756">
        <v>0.99988509999999997</v>
      </c>
      <c r="N756">
        <v>0</v>
      </c>
      <c r="O756">
        <v>5.6429760000000001E-3</v>
      </c>
      <c r="P756">
        <v>0.99336550000000001</v>
      </c>
      <c r="Q756">
        <v>0.10577449999999999</v>
      </c>
      <c r="R756">
        <v>-4.5132140000000001E-2</v>
      </c>
      <c r="S756">
        <v>3.0216669999999999</v>
      </c>
      <c r="T756">
        <v>-0.18472050000000001</v>
      </c>
      <c r="U756">
        <v>-0.3952637</v>
      </c>
      <c r="V756">
        <v>5.071647E-2</v>
      </c>
      <c r="W756">
        <v>0.11974650000000001</v>
      </c>
      <c r="X756">
        <v>0.99150819999999995</v>
      </c>
      <c r="Y756">
        <v>0.135040299999999</v>
      </c>
      <c r="Z756">
        <v>-4.4495999999999997E-3</v>
      </c>
      <c r="AA756">
        <v>0.99083010000000005</v>
      </c>
      <c r="AB756">
        <v>28</v>
      </c>
      <c r="AC756">
        <v>17.878799999999998</v>
      </c>
      <c r="AD756">
        <v>-1.110511421417</v>
      </c>
      <c r="AE756">
        <v>-2.3780000000000401</v>
      </c>
      <c r="AF756">
        <v>2.4694998890178499</v>
      </c>
      <c r="AG756">
        <v>-1.110511421417</v>
      </c>
      <c r="AH756">
        <v>17.797624210069799</v>
      </c>
      <c r="AI756">
        <v>93.536638036326593</v>
      </c>
      <c r="AJ756">
        <v>82.100393397105194</v>
      </c>
      <c r="AK756">
        <v>18.002419083051599</v>
      </c>
      <c r="AL756">
        <v>83.122527032638601</v>
      </c>
      <c r="AM756">
        <v>87.071825158146694</v>
      </c>
      <c r="AN756">
        <v>0.99999994762937405</v>
      </c>
    </row>
    <row r="757" spans="1:40" x14ac:dyDescent="0.25">
      <c r="A757" t="str">
        <f>"20190312164233502"</f>
        <v>20190312164233502</v>
      </c>
      <c r="B757" t="str">
        <f>"1552380153495096"</f>
        <v>1552380153495096</v>
      </c>
      <c r="C757" t="s">
        <v>40</v>
      </c>
      <c r="D757">
        <v>4.4651350000000001</v>
      </c>
      <c r="E757">
        <v>0.53546800000000006</v>
      </c>
      <c r="F757" t="s">
        <v>42</v>
      </c>
      <c r="G757">
        <v>-242.00110000000001</v>
      </c>
      <c r="H757" s="1">
        <v>-4.6112309999999998E-6</v>
      </c>
      <c r="I757">
        <v>364.82659999999998</v>
      </c>
      <c r="J757">
        <v>-260.00450000000001</v>
      </c>
      <c r="K757">
        <v>1.1105149999999999</v>
      </c>
      <c r="L757">
        <v>367.21640000000002</v>
      </c>
      <c r="M757">
        <v>0.99988449999999995</v>
      </c>
      <c r="N757">
        <v>0</v>
      </c>
      <c r="O757">
        <v>5.7536100000000001E-3</v>
      </c>
      <c r="P757">
        <v>0.99330770000000002</v>
      </c>
      <c r="Q757">
        <v>0.1062853</v>
      </c>
      <c r="R757">
        <v>-4.5208030000000003E-2</v>
      </c>
      <c r="S757">
        <v>3.0216669999999999</v>
      </c>
      <c r="T757">
        <v>-0.18360209999999999</v>
      </c>
      <c r="U757">
        <v>-0.39483639999999998</v>
      </c>
      <c r="V757">
        <v>5.0901849999999998E-2</v>
      </c>
      <c r="W757">
        <v>0.120254</v>
      </c>
      <c r="X757">
        <v>0.99143729999999997</v>
      </c>
      <c r="Y757">
        <v>0.1350152</v>
      </c>
      <c r="Z757">
        <v>-4.4286780000000001E-3</v>
      </c>
      <c r="AA757">
        <v>0.99083359999999998</v>
      </c>
      <c r="AB757">
        <v>28</v>
      </c>
      <c r="AC757">
        <v>18.003399999999999</v>
      </c>
      <c r="AD757">
        <v>-1.1105196112309901</v>
      </c>
      <c r="AE757">
        <v>-2.3898000000000299</v>
      </c>
      <c r="AF757">
        <v>2.4840672547001699</v>
      </c>
      <c r="AG757">
        <v>-1.1105196112309901</v>
      </c>
      <c r="AH757">
        <v>17.922338650219999</v>
      </c>
      <c r="AI757">
        <v>93.512188430570703</v>
      </c>
      <c r="AJ757">
        <v>82.108979195079797</v>
      </c>
      <c r="AK757">
        <v>18.127715427653101</v>
      </c>
      <c r="AL757">
        <v>83.093237938986604</v>
      </c>
      <c r="AM757">
        <v>87.060930959302993</v>
      </c>
      <c r="AN757">
        <v>0.99999997134035501</v>
      </c>
    </row>
    <row r="758" spans="1:40" x14ac:dyDescent="0.25">
      <c r="A758" t="str">
        <f>"20190312164233517"</f>
        <v>20190312164233517</v>
      </c>
      <c r="B758" t="str">
        <f>"1552380153504851"</f>
        <v>1552380153504851</v>
      </c>
      <c r="C758" t="s">
        <v>40</v>
      </c>
      <c r="D758">
        <v>4.5200329999999997</v>
      </c>
      <c r="E758">
        <v>0.5357248</v>
      </c>
      <c r="F758" t="s">
        <v>42</v>
      </c>
      <c r="G758">
        <v>-241.57169999999999</v>
      </c>
      <c r="H758" s="1">
        <v>-4.8187589999999999E-6</v>
      </c>
      <c r="I758">
        <v>364.80090000000001</v>
      </c>
      <c r="J758">
        <v>-259.8211</v>
      </c>
      <c r="K758">
        <v>1.1105149999999999</v>
      </c>
      <c r="L758">
        <v>367.21749999999997</v>
      </c>
      <c r="M758">
        <v>0.99988410000000005</v>
      </c>
      <c r="N758">
        <v>0</v>
      </c>
      <c r="O758">
        <v>5.827708E-3</v>
      </c>
      <c r="P758">
        <v>0.99330260000000004</v>
      </c>
      <c r="Q758">
        <v>0.10643660000000001</v>
      </c>
      <c r="R758">
        <v>-4.4956749999999997E-2</v>
      </c>
      <c r="S758">
        <v>3.0216370000000001</v>
      </c>
      <c r="T758">
        <v>-0.1820447</v>
      </c>
      <c r="U758">
        <v>-0.39596559999999997</v>
      </c>
      <c r="V758">
        <v>5.0724199999999997E-2</v>
      </c>
      <c r="W758">
        <v>0.120404</v>
      </c>
      <c r="X758">
        <v>0.99142830000000004</v>
      </c>
      <c r="Y758">
        <v>0.135457299999999</v>
      </c>
      <c r="Z758">
        <v>-4.40881E-3</v>
      </c>
      <c r="AA758">
        <v>0.99077340000000003</v>
      </c>
      <c r="AB758">
        <v>28</v>
      </c>
      <c r="AC758">
        <v>18.249400000000001</v>
      </c>
      <c r="AD758">
        <v>-1.110519818759</v>
      </c>
      <c r="AE758">
        <v>-2.4165999999999599</v>
      </c>
      <c r="AF758">
        <v>2.5137735247772799</v>
      </c>
      <c r="AG758">
        <v>-1.110519818759</v>
      </c>
      <c r="AH758">
        <v>18.168885194005199</v>
      </c>
      <c r="AI758">
        <v>93.464762000786607</v>
      </c>
      <c r="AJ758">
        <v>82.122796265147997</v>
      </c>
      <c r="AK758">
        <v>18.375546272007</v>
      </c>
      <c r="AL758">
        <v>83.084581360262703</v>
      </c>
      <c r="AM758">
        <v>87.071144025489303</v>
      </c>
      <c r="AN758">
        <v>1.00000007086126</v>
      </c>
    </row>
    <row r="759" spans="1:40" x14ac:dyDescent="0.25">
      <c r="A759" t="str">
        <f>"20190312164233536"</f>
        <v>20190312164233536</v>
      </c>
      <c r="B759" t="str">
        <f>"1552380153524371"</f>
        <v>1552380153524371</v>
      </c>
      <c r="C759" t="s">
        <v>40</v>
      </c>
      <c r="D759">
        <v>4.4734059999999998</v>
      </c>
      <c r="E759">
        <v>0.53609359999999995</v>
      </c>
      <c r="F759" t="s">
        <v>42</v>
      </c>
      <c r="G759">
        <v>-241.37970000000001</v>
      </c>
      <c r="H759" s="1">
        <v>-4.9108679999999998E-6</v>
      </c>
      <c r="I759">
        <v>364.79349999999999</v>
      </c>
      <c r="J759">
        <v>-259.59039999999999</v>
      </c>
      <c r="K759">
        <v>1.110519</v>
      </c>
      <c r="L759">
        <v>367.21899999999999</v>
      </c>
      <c r="M759">
        <v>0.99988359999999998</v>
      </c>
      <c r="N759">
        <v>0</v>
      </c>
      <c r="O759">
        <v>5.9215309999999998E-3</v>
      </c>
      <c r="P759">
        <v>0.99324509999999999</v>
      </c>
      <c r="Q759">
        <v>0.1069444</v>
      </c>
      <c r="R759">
        <v>-4.5024080000000001E-2</v>
      </c>
      <c r="S759">
        <v>3.0217589999999999</v>
      </c>
      <c r="T759">
        <v>-0.1819664</v>
      </c>
      <c r="U759">
        <v>-0.39718629999999999</v>
      </c>
      <c r="V759">
        <v>5.0884270000000002E-2</v>
      </c>
      <c r="W759">
        <v>0.1209086</v>
      </c>
      <c r="X759">
        <v>0.99135859999999998</v>
      </c>
      <c r="Y759">
        <v>0.1359378</v>
      </c>
      <c r="Z759">
        <v>-4.4266409999999898E-3</v>
      </c>
      <c r="AA759">
        <v>0.99070749999999996</v>
      </c>
      <c r="AB759">
        <v>28</v>
      </c>
      <c r="AC759">
        <v>18.2106999999999</v>
      </c>
      <c r="AD759">
        <v>-1.1105239108679901</v>
      </c>
      <c r="AE759">
        <v>-2.4254999999999902</v>
      </c>
      <c r="AF759">
        <v>2.5240804223883502</v>
      </c>
      <c r="AG759">
        <v>-1.1105239108679901</v>
      </c>
      <c r="AH759">
        <v>18.1297708046907</v>
      </c>
      <c r="AI759">
        <v>93.471822711639902</v>
      </c>
      <c r="AJ759">
        <v>82.074059322506201</v>
      </c>
      <c r="AK759">
        <v>18.338288763292802</v>
      </c>
      <c r="AL759">
        <v>83.055456548847602</v>
      </c>
      <c r="AM759">
        <v>87.061711416600204</v>
      </c>
      <c r="AN759">
        <v>0.99999998614067598</v>
      </c>
    </row>
    <row r="760" spans="1:40" x14ac:dyDescent="0.25">
      <c r="A760" t="str">
        <f>"20190312164233559"</f>
        <v>20190312164233559</v>
      </c>
      <c r="B760" t="str">
        <f>"1552380153554161"</f>
        <v>1552380153554161</v>
      </c>
      <c r="C760" t="s">
        <v>40</v>
      </c>
      <c r="D760">
        <v>4.8415790000000003</v>
      </c>
      <c r="E760">
        <v>0.53594969999999997</v>
      </c>
      <c r="F760" t="s">
        <v>42</v>
      </c>
      <c r="G760">
        <v>-241.10079999999999</v>
      </c>
      <c r="H760" s="1">
        <v>-5.0467100000000002E-6</v>
      </c>
      <c r="I760">
        <v>364.77080000000001</v>
      </c>
      <c r="J760">
        <v>-259.3107</v>
      </c>
      <c r="K760">
        <v>1.1105179999999999</v>
      </c>
      <c r="L760">
        <v>367.2208</v>
      </c>
      <c r="M760">
        <v>0.99988290000000002</v>
      </c>
      <c r="N760">
        <v>0</v>
      </c>
      <c r="O760">
        <v>6.0349669999999996E-3</v>
      </c>
      <c r="P760">
        <v>0.99326080000000005</v>
      </c>
      <c r="Q760">
        <v>0.10679900000000001</v>
      </c>
      <c r="R760">
        <v>-4.5022960000000001E-2</v>
      </c>
      <c r="S760">
        <v>3.02182</v>
      </c>
      <c r="T760">
        <v>-0.18149689999999999</v>
      </c>
      <c r="U760">
        <v>-0.40011600000000003</v>
      </c>
      <c r="V760">
        <v>5.0996029999999998E-2</v>
      </c>
      <c r="W760">
        <v>0.1207609</v>
      </c>
      <c r="X760">
        <v>0.99137090000000005</v>
      </c>
      <c r="Y760">
        <v>0.1369909</v>
      </c>
      <c r="Z760">
        <v>-4.453111E-3</v>
      </c>
      <c r="AA760">
        <v>0.99056230000000001</v>
      </c>
      <c r="AB760">
        <v>28</v>
      </c>
      <c r="AC760">
        <v>18.209900000000001</v>
      </c>
      <c r="AD760">
        <v>-1.11052304671</v>
      </c>
      <c r="AE760">
        <v>-2.4499999999999802</v>
      </c>
      <c r="AF760">
        <v>2.5505452638048598</v>
      </c>
      <c r="AG760">
        <v>-1.11052304671</v>
      </c>
      <c r="AH760">
        <v>18.128557685375501</v>
      </c>
      <c r="AI760">
        <v>93.471353350144796</v>
      </c>
      <c r="AJ760">
        <v>81.991499903684797</v>
      </c>
      <c r="AK760">
        <v>18.3407509751368</v>
      </c>
      <c r="AL760">
        <v>83.063981877542901</v>
      </c>
      <c r="AM760">
        <v>87.055305704489498</v>
      </c>
      <c r="AN760">
        <v>1.00000002570569</v>
      </c>
    </row>
    <row r="761" spans="1:40" x14ac:dyDescent="0.25">
      <c r="A761" t="str">
        <f>"20190312164233581"</f>
        <v>20190312164233581</v>
      </c>
      <c r="B761" t="str">
        <f>"1552380153574656"</f>
        <v>1552380153574656</v>
      </c>
      <c r="C761" t="s">
        <v>40</v>
      </c>
      <c r="D761">
        <v>4.5149739999999996</v>
      </c>
      <c r="E761">
        <v>0.53584980000000004</v>
      </c>
      <c r="F761" t="s">
        <v>42</v>
      </c>
      <c r="G761">
        <v>-240.78049999999999</v>
      </c>
      <c r="H761" s="1">
        <v>-5.197699E-6</v>
      </c>
      <c r="I761">
        <v>364.77330000000001</v>
      </c>
      <c r="J761">
        <v>-259.03550000000001</v>
      </c>
      <c r="K761">
        <v>1.110517</v>
      </c>
      <c r="L761">
        <v>367.2226</v>
      </c>
      <c r="M761">
        <v>0.99988250000000001</v>
      </c>
      <c r="N761">
        <v>0</v>
      </c>
      <c r="O761">
        <v>6.1464369999999898E-3</v>
      </c>
      <c r="P761">
        <v>0.99339599999999995</v>
      </c>
      <c r="Q761">
        <v>0.1060149</v>
      </c>
      <c r="R761">
        <v>-4.3880740000000001E-2</v>
      </c>
      <c r="S761">
        <v>3.0217290000000001</v>
      </c>
      <c r="T761">
        <v>-0.1810929</v>
      </c>
      <c r="U761">
        <v>-0.39910889999999999</v>
      </c>
      <c r="V761">
        <v>4.9965540000000003E-2</v>
      </c>
      <c r="W761">
        <v>0.1199756</v>
      </c>
      <c r="X761">
        <v>0.99151869999999998</v>
      </c>
      <c r="Y761">
        <v>0.13678199999999999</v>
      </c>
      <c r="Z761">
        <v>-4.4438669999999998E-3</v>
      </c>
      <c r="AA761">
        <v>0.99059120000000001</v>
      </c>
      <c r="AB761">
        <v>28</v>
      </c>
      <c r="AC761">
        <v>18.254999999999999</v>
      </c>
      <c r="AD761">
        <v>-1.1105221976989901</v>
      </c>
      <c r="AE761">
        <v>-2.4492999999999898</v>
      </c>
      <c r="AF761">
        <v>2.55218997995041</v>
      </c>
      <c r="AG761">
        <v>-1.1105221976989901</v>
      </c>
      <c r="AH761">
        <v>18.1735326136825</v>
      </c>
      <c r="AI761">
        <v>93.462903605848993</v>
      </c>
      <c r="AJ761">
        <v>82.005977658157803</v>
      </c>
      <c r="AK761">
        <v>18.3854350208507</v>
      </c>
      <c r="AL761">
        <v>83.109305722926507</v>
      </c>
      <c r="AM761">
        <v>87.115137691614393</v>
      </c>
      <c r="AN761">
        <v>1.0000000161162701</v>
      </c>
    </row>
    <row r="762" spans="1:40" x14ac:dyDescent="0.25">
      <c r="A762" t="str">
        <f>"20190312164233602"</f>
        <v>20190312164233602</v>
      </c>
      <c r="B762" t="str">
        <f>"1552380153594180"</f>
        <v>1552380153594180</v>
      </c>
      <c r="C762" t="s">
        <v>40</v>
      </c>
      <c r="D762">
        <v>4.3022960000000001</v>
      </c>
      <c r="E762">
        <v>0.53580269999999997</v>
      </c>
      <c r="F762" t="s">
        <v>42</v>
      </c>
      <c r="G762">
        <v>-240.67240000000001</v>
      </c>
      <c r="H762" s="1">
        <v>-5.2398229999999998E-6</v>
      </c>
      <c r="I762">
        <v>364.82389999999998</v>
      </c>
      <c r="J762">
        <v>-258.77170000000001</v>
      </c>
      <c r="K762">
        <v>1.1105149999999999</v>
      </c>
      <c r="L762">
        <v>367.22430000000003</v>
      </c>
      <c r="M762">
        <v>0.99988169999999998</v>
      </c>
      <c r="N762">
        <v>0</v>
      </c>
      <c r="O762">
        <v>6.2536750000000002E-3</v>
      </c>
      <c r="P762">
        <v>0.99342730000000001</v>
      </c>
      <c r="Q762">
        <v>0.1059466</v>
      </c>
      <c r="R762">
        <v>-4.333062E-2</v>
      </c>
      <c r="S762">
        <v>3.0220030000000002</v>
      </c>
      <c r="T762">
        <v>-0.18275730000000001</v>
      </c>
      <c r="U762">
        <v>-0.39474490000000001</v>
      </c>
      <c r="V762">
        <v>4.9522280000000002E-2</v>
      </c>
      <c r="W762">
        <v>0.1199051</v>
      </c>
      <c r="X762">
        <v>0.99154940000000003</v>
      </c>
      <c r="Y762">
        <v>0.1354677</v>
      </c>
      <c r="Z762">
        <v>-4.4515689999999998E-3</v>
      </c>
      <c r="AA762">
        <v>0.99077179999999998</v>
      </c>
      <c r="AB762">
        <v>27</v>
      </c>
      <c r="AC762">
        <v>18.099299999999999</v>
      </c>
      <c r="AD762">
        <v>-1.1105202398230001</v>
      </c>
      <c r="AE762">
        <v>-2.4004000000000398</v>
      </c>
      <c r="AF762">
        <v>2.5042864651160501</v>
      </c>
      <c r="AG762">
        <v>-1.1105202398230001</v>
      </c>
      <c r="AH762">
        <v>18.017276155341602</v>
      </c>
      <c r="AI762">
        <v>93.493543795471595</v>
      </c>
      <c r="AJ762">
        <v>82.086950200278693</v>
      </c>
      <c r="AK762">
        <v>18.224350357701599</v>
      </c>
      <c r="AL762">
        <v>83.113373995951306</v>
      </c>
      <c r="AM762">
        <v>87.140775933751399</v>
      </c>
      <c r="AN762">
        <v>0.99999995093138305</v>
      </c>
    </row>
    <row r="763" spans="1:40" x14ac:dyDescent="0.25">
      <c r="A763" t="str">
        <f>"20190312164233625"</f>
        <v>20190312164233625</v>
      </c>
      <c r="B763" t="str">
        <f>"1552380153614673"</f>
        <v>1552380153614673</v>
      </c>
      <c r="C763" t="s">
        <v>40</v>
      </c>
      <c r="D763">
        <v>4.5669320000000004</v>
      </c>
      <c r="E763">
        <v>0.53592459999999997</v>
      </c>
      <c r="F763" t="s">
        <v>42</v>
      </c>
      <c r="G763">
        <v>-240.404</v>
      </c>
      <c r="H763" s="1">
        <v>-5.3641930000000003E-6</v>
      </c>
      <c r="I763">
        <v>364.83780000000002</v>
      </c>
      <c r="J763">
        <v>-258.5016</v>
      </c>
      <c r="K763">
        <v>1.1105119999999999</v>
      </c>
      <c r="L763">
        <v>367.22609999999997</v>
      </c>
      <c r="M763">
        <v>0.99988100000000002</v>
      </c>
      <c r="N763">
        <v>0</v>
      </c>
      <c r="O763">
        <v>6.3632369999999999E-3</v>
      </c>
      <c r="P763">
        <v>0.99344299999999996</v>
      </c>
      <c r="Q763">
        <v>0.10584739999999999</v>
      </c>
      <c r="R763">
        <v>-4.3213929999999998E-2</v>
      </c>
      <c r="S763">
        <v>3.0222020000000001</v>
      </c>
      <c r="T763">
        <v>-0.18272450000000001</v>
      </c>
      <c r="U763">
        <v>-0.39266970000000001</v>
      </c>
      <c r="V763">
        <v>4.9514629999999997E-2</v>
      </c>
      <c r="W763">
        <v>0.1198038</v>
      </c>
      <c r="X763">
        <v>0.9915621</v>
      </c>
      <c r="Y763">
        <v>0.13489989999999999</v>
      </c>
      <c r="Z763">
        <v>-4.4401930000000003E-3</v>
      </c>
      <c r="AA763">
        <v>0.99084930000000004</v>
      </c>
      <c r="AB763">
        <v>27</v>
      </c>
      <c r="AC763">
        <v>18.0975999999999</v>
      </c>
      <c r="AD763">
        <v>-1.110517364193</v>
      </c>
      <c r="AE763">
        <v>-2.3882999999999499</v>
      </c>
      <c r="AF763">
        <v>2.4941915112278799</v>
      </c>
      <c r="AG763">
        <v>-1.110517364193</v>
      </c>
      <c r="AH763">
        <v>18.0153611941343</v>
      </c>
      <c r="AI763">
        <v>93.494164004292401</v>
      </c>
      <c r="AJ763">
        <v>82.117619341307403</v>
      </c>
      <c r="AK763">
        <v>18.221072390668301</v>
      </c>
      <c r="AL763">
        <v>83.119220703785501</v>
      </c>
      <c r="AM763">
        <v>87.141253437054104</v>
      </c>
      <c r="AN763">
        <v>1.00000002361744</v>
      </c>
    </row>
    <row r="764" spans="1:40" x14ac:dyDescent="0.25">
      <c r="A764" t="str">
        <f>"20190312164233647"</f>
        <v>20190312164233647</v>
      </c>
      <c r="B764" t="str">
        <f>"1552380153635170"</f>
        <v>1552380153635170</v>
      </c>
      <c r="C764" t="s">
        <v>40</v>
      </c>
      <c r="D764">
        <v>4.6628270000000001</v>
      </c>
      <c r="E764">
        <v>0.53607590000000005</v>
      </c>
      <c r="F764" t="s">
        <v>42</v>
      </c>
      <c r="G764">
        <v>-240.2158</v>
      </c>
      <c r="H764" s="1">
        <v>-5.451662E-6</v>
      </c>
      <c r="I764">
        <v>364.84629999999999</v>
      </c>
      <c r="J764">
        <v>-258.22789999999998</v>
      </c>
      <c r="K764">
        <v>1.110509</v>
      </c>
      <c r="L764">
        <v>367.22800000000001</v>
      </c>
      <c r="M764">
        <v>0.9998804</v>
      </c>
      <c r="N764">
        <v>0</v>
      </c>
      <c r="O764">
        <v>6.4744669999999898E-3</v>
      </c>
      <c r="P764">
        <v>0.99342680000000005</v>
      </c>
      <c r="Q764">
        <v>0.1061194</v>
      </c>
      <c r="R764">
        <v>-4.291884E-2</v>
      </c>
      <c r="S764">
        <v>3.0222470000000001</v>
      </c>
      <c r="T764">
        <v>-0.1835446</v>
      </c>
      <c r="U764">
        <v>-0.3933411</v>
      </c>
      <c r="V764">
        <v>4.9329850000000001E-2</v>
      </c>
      <c r="W764">
        <v>0.1200726</v>
      </c>
      <c r="X764">
        <v>0.99153880000000005</v>
      </c>
      <c r="Y764">
        <v>0.13522149999999999</v>
      </c>
      <c r="Z764">
        <v>-4.4763950000000002E-3</v>
      </c>
      <c r="AA764">
        <v>0.9908053</v>
      </c>
      <c r="AB764">
        <v>27</v>
      </c>
      <c r="AC764">
        <v>18.012099999999901</v>
      </c>
      <c r="AD764">
        <v>-1.110514451662</v>
      </c>
      <c r="AE764">
        <v>-2.3817000000000199</v>
      </c>
      <c r="AF764">
        <v>2.4889818029601098</v>
      </c>
      <c r="AG764">
        <v>-1.110514451662</v>
      </c>
      <c r="AH764">
        <v>17.9293189879245</v>
      </c>
      <c r="AI764">
        <v>93.510703276410396</v>
      </c>
      <c r="AJ764">
        <v>82.096603892079997</v>
      </c>
      <c r="AK764">
        <v>18.135290241227601</v>
      </c>
      <c r="AL764">
        <v>83.103707643031598</v>
      </c>
      <c r="AM764">
        <v>87.151837367941894</v>
      </c>
      <c r="AN764">
        <v>1.0000000276386101</v>
      </c>
    </row>
    <row r="765" spans="1:40" x14ac:dyDescent="0.25">
      <c r="A765" t="str">
        <f>"20190312164233671"</f>
        <v>20190312164233671</v>
      </c>
      <c r="B765" t="str">
        <f>"1552380153664452"</f>
        <v>1552380153664452</v>
      </c>
      <c r="C765" t="s">
        <v>40</v>
      </c>
      <c r="D765">
        <v>4.6887589999999904</v>
      </c>
      <c r="E765">
        <v>0.53584449999999995</v>
      </c>
      <c r="F765" t="s">
        <v>42</v>
      </c>
      <c r="G765">
        <v>-239.87110000000001</v>
      </c>
      <c r="H765" s="1">
        <v>-1.3006370000000001E-6</v>
      </c>
      <c r="I765">
        <v>364.84059999999999</v>
      </c>
      <c r="J765">
        <v>-257.93009999999998</v>
      </c>
      <c r="K765">
        <v>1.1105100000000001</v>
      </c>
      <c r="L765">
        <v>367.23009999999999</v>
      </c>
      <c r="M765">
        <v>0.99987969999999904</v>
      </c>
      <c r="N765">
        <v>0</v>
      </c>
      <c r="O765">
        <v>6.5954749999999999E-3</v>
      </c>
      <c r="P765">
        <v>0.99340580000000001</v>
      </c>
      <c r="Q765">
        <v>0.10628079999999999</v>
      </c>
      <c r="R765">
        <v>-4.3004939999999998E-2</v>
      </c>
      <c r="S765">
        <v>3.0224000000000002</v>
      </c>
      <c r="T765">
        <v>-0.182842</v>
      </c>
      <c r="U765">
        <v>-0.39306639999999998</v>
      </c>
      <c r="V765">
        <v>4.9536089999999998E-2</v>
      </c>
      <c r="W765">
        <v>0.1202308</v>
      </c>
      <c r="X765">
        <v>0.99150930000000004</v>
      </c>
      <c r="Y765">
        <v>0.13524820000000001</v>
      </c>
      <c r="Z765">
        <v>-4.4671820000000001E-3</v>
      </c>
      <c r="AA765">
        <v>0.99080170000000001</v>
      </c>
      <c r="AB765">
        <v>27</v>
      </c>
      <c r="AC765">
        <v>18.058999999999902</v>
      </c>
      <c r="AD765">
        <v>-1.110511300637</v>
      </c>
      <c r="AE765">
        <v>-2.3894999999999902</v>
      </c>
      <c r="AF765">
        <v>2.49927915117761</v>
      </c>
      <c r="AG765">
        <v>-1.110511300637</v>
      </c>
      <c r="AH765">
        <v>17.976039775185399</v>
      </c>
      <c r="AI765">
        <v>93.501490632975106</v>
      </c>
      <c r="AJ765">
        <v>82.084685438992906</v>
      </c>
      <c r="AK765">
        <v>18.182894093719</v>
      </c>
      <c r="AL765">
        <v>83.094576981156195</v>
      </c>
      <c r="AM765">
        <v>87.139864444768804</v>
      </c>
      <c r="AN765">
        <v>0.99999998073380802</v>
      </c>
    </row>
    <row r="766" spans="1:40" x14ac:dyDescent="0.25">
      <c r="A766" t="str">
        <f>"20190312164233691"</f>
        <v>20190312164233691</v>
      </c>
      <c r="B766" t="str">
        <f>"1552380153684944"</f>
        <v>1552380153684944</v>
      </c>
      <c r="C766" t="s">
        <v>40</v>
      </c>
      <c r="D766">
        <v>4.4632889999999996</v>
      </c>
      <c r="E766">
        <v>0.50311909999999904</v>
      </c>
      <c r="F766" t="s">
        <v>42</v>
      </c>
      <c r="G766">
        <v>-239.56290000000001</v>
      </c>
      <c r="H766" s="1">
        <v>-1.402893E-6</v>
      </c>
      <c r="I766">
        <v>364.85050000000001</v>
      </c>
      <c r="J766">
        <v>-257.67860000000002</v>
      </c>
      <c r="K766">
        <v>1.1105119999999999</v>
      </c>
      <c r="L766">
        <v>367.23180000000002</v>
      </c>
      <c r="M766">
        <v>0.99987890000000001</v>
      </c>
      <c r="N766">
        <v>0</v>
      </c>
      <c r="O766">
        <v>6.6976459999999998E-3</v>
      </c>
      <c r="P766">
        <v>0.99342160000000002</v>
      </c>
      <c r="Q766">
        <v>0.10603609999999999</v>
      </c>
      <c r="R766">
        <v>-4.3243940000000002E-2</v>
      </c>
      <c r="S766">
        <v>3.0225070000000001</v>
      </c>
      <c r="T766">
        <v>-0.1827452</v>
      </c>
      <c r="U766">
        <v>-0.391571</v>
      </c>
      <c r="V766">
        <v>4.9876730000000001E-2</v>
      </c>
      <c r="W766">
        <v>0.1199836</v>
      </c>
      <c r="X766">
        <v>0.99152220000000002</v>
      </c>
      <c r="Y766">
        <v>0.1348637</v>
      </c>
      <c r="Z766">
        <v>-4.4593879999999999E-3</v>
      </c>
      <c r="AA766">
        <v>0.99085409999999996</v>
      </c>
      <c r="AB766">
        <v>27</v>
      </c>
      <c r="AC766">
        <v>18.1157</v>
      </c>
      <c r="AD766">
        <v>-1.1105134028929999</v>
      </c>
      <c r="AE766">
        <v>-2.3813</v>
      </c>
      <c r="AF766">
        <v>2.4933805402435198</v>
      </c>
      <c r="AG766">
        <v>-1.1105134028929999</v>
      </c>
      <c r="AH766">
        <v>18.0327299486299</v>
      </c>
      <c r="AI766">
        <v>93.490878703409294</v>
      </c>
      <c r="AJ766">
        <v>82.127644552161797</v>
      </c>
      <c r="AK766">
        <v>18.238134113354</v>
      </c>
      <c r="AL766">
        <v>83.108843998420298</v>
      </c>
      <c r="AM766">
        <v>87.120266827376696</v>
      </c>
      <c r="AN766">
        <v>1.0000000127786399</v>
      </c>
    </row>
    <row r="767" spans="1:40" x14ac:dyDescent="0.25">
      <c r="A767" t="str">
        <f>"20190312164233713"</f>
        <v>20190312164233713</v>
      </c>
      <c r="B767" t="str">
        <f>"1552380153704464"</f>
        <v>1552380153704464</v>
      </c>
      <c r="C767" t="s">
        <v>40</v>
      </c>
      <c r="D767">
        <v>4.7773110000000001</v>
      </c>
      <c r="E767">
        <v>0.49302829999999898</v>
      </c>
      <c r="F767" t="s">
        <v>41</v>
      </c>
      <c r="G767">
        <v>-256.83159999999998</v>
      </c>
      <c r="H767">
        <v>1.0496430000000001</v>
      </c>
      <c r="I767">
        <v>367.19560000000001</v>
      </c>
      <c r="J767">
        <v>-257.41539999999998</v>
      </c>
      <c r="K767">
        <v>1.110506</v>
      </c>
      <c r="L767">
        <v>367.2337</v>
      </c>
      <c r="M767">
        <v>0.99987820000000005</v>
      </c>
      <c r="N767">
        <v>0</v>
      </c>
      <c r="O767">
        <v>6.8046449999999998E-3</v>
      </c>
      <c r="P767">
        <v>0.99343530000000002</v>
      </c>
      <c r="Q767">
        <v>0.10587149999999999</v>
      </c>
      <c r="R767">
        <v>-4.3330479999999998E-2</v>
      </c>
      <c r="S767">
        <v>3.0375209999999999</v>
      </c>
      <c r="T767">
        <v>-0.21829879999999999</v>
      </c>
      <c r="U767">
        <v>-0.1296387</v>
      </c>
      <c r="V767">
        <v>5.0069790000000003E-2</v>
      </c>
      <c r="W767">
        <v>0.1198166</v>
      </c>
      <c r="X767">
        <v>0.99153270000000004</v>
      </c>
      <c r="Y767">
        <v>4.9293990000000003E-2</v>
      </c>
      <c r="Z767">
        <v>-2.2564769999999998E-3</v>
      </c>
      <c r="AA767">
        <v>0.99878169999999999</v>
      </c>
      <c r="AB767">
        <v>27</v>
      </c>
      <c r="AC767">
        <v>0.58379999999999599</v>
      </c>
      <c r="AD767">
        <v>-6.0862999999999799E-2</v>
      </c>
      <c r="AE767">
        <v>-3.8099999999985798E-2</v>
      </c>
      <c r="AF767">
        <v>4.1621606237916303E-2</v>
      </c>
      <c r="AG767">
        <v>-6.0862999999999799E-2</v>
      </c>
      <c r="AH767">
        <v>0.57727951716895098</v>
      </c>
      <c r="AI767">
        <v>96.003033181628794</v>
      </c>
      <c r="AJ767">
        <v>85.876134691224195</v>
      </c>
      <c r="AK767">
        <v>0.58196933236867499</v>
      </c>
      <c r="AL767">
        <v>83.118482167718099</v>
      </c>
      <c r="AM767">
        <v>87.109169553432395</v>
      </c>
      <c r="AN767">
        <v>1.00000004833774</v>
      </c>
    </row>
    <row r="768" spans="1:40" x14ac:dyDescent="0.25">
      <c r="A768" t="str">
        <f>"20190312164233737"</f>
        <v>20190312164233737</v>
      </c>
      <c r="B768" t="str">
        <f>"1552380153724961"</f>
        <v>1552380153724961</v>
      </c>
      <c r="C768" t="s">
        <v>40</v>
      </c>
      <c r="D768">
        <v>4.7653169999999996</v>
      </c>
      <c r="E768">
        <v>0.48945339999999998</v>
      </c>
      <c r="F768" t="s">
        <v>42</v>
      </c>
      <c r="G768">
        <v>-241.512</v>
      </c>
      <c r="H768" s="1">
        <v>-4.4612419999999996E-6</v>
      </c>
      <c r="I768">
        <v>366.97559999999999</v>
      </c>
      <c r="J768">
        <v>-257.13350000000003</v>
      </c>
      <c r="K768">
        <v>1.110506</v>
      </c>
      <c r="L768">
        <v>367.23570000000001</v>
      </c>
      <c r="M768">
        <v>0.99987749999999997</v>
      </c>
      <c r="N768">
        <v>0</v>
      </c>
      <c r="O768">
        <v>6.9187429999999998E-3</v>
      </c>
      <c r="P768">
        <v>0.99340119999999998</v>
      </c>
      <c r="Q768">
        <v>0.10600710000000001</v>
      </c>
      <c r="R768">
        <v>-4.3779289999999998E-2</v>
      </c>
      <c r="S768">
        <v>3.0402979999999999</v>
      </c>
      <c r="T768">
        <v>-0.21229970000000001</v>
      </c>
      <c r="U768">
        <v>-4.9346920000000002E-2</v>
      </c>
      <c r="V768">
        <v>5.0631700000000002E-2</v>
      </c>
      <c r="W768">
        <v>0.1199491</v>
      </c>
      <c r="X768">
        <v>0.99148809999999998</v>
      </c>
      <c r="Y768">
        <v>2.3073920000000001E-2</v>
      </c>
      <c r="Z768">
        <v>-1.287135E-3</v>
      </c>
      <c r="AA768">
        <v>0.99973290000000004</v>
      </c>
      <c r="AB768">
        <v>27</v>
      </c>
      <c r="AC768">
        <v>15.621499999999999</v>
      </c>
      <c r="AD768">
        <v>-1.110510461242</v>
      </c>
      <c r="AE768">
        <v>-0.26010000000002198</v>
      </c>
      <c r="AF768">
        <v>0.366334778951656</v>
      </c>
      <c r="AG768">
        <v>-1.110510461242</v>
      </c>
      <c r="AH768">
        <v>15.5408111944095</v>
      </c>
      <c r="AI768">
        <v>94.086145402492306</v>
      </c>
      <c r="AJ768">
        <v>88.649648973003806</v>
      </c>
      <c r="AK768">
        <v>15.5847440542051</v>
      </c>
      <c r="AL768">
        <v>83.110835021976598</v>
      </c>
      <c r="AM768">
        <v>87.076651797336595</v>
      </c>
      <c r="AN768">
        <v>1.0000000040386501</v>
      </c>
    </row>
    <row r="769" spans="1:40" x14ac:dyDescent="0.25">
      <c r="A769" t="str">
        <f>"20190312164233760"</f>
        <v>20190312164233760</v>
      </c>
      <c r="B769" t="str">
        <f>"1552380153755218"</f>
        <v>1552380153755218</v>
      </c>
      <c r="C769" t="s">
        <v>40</v>
      </c>
      <c r="D769">
        <v>4.499485</v>
      </c>
      <c r="E769">
        <v>0.4855795</v>
      </c>
      <c r="F769" t="s">
        <v>42</v>
      </c>
      <c r="G769">
        <v>-241.46340000000001</v>
      </c>
      <c r="H769" s="1">
        <v>-4.4580399999999998E-6</v>
      </c>
      <c r="I769">
        <v>367.1232</v>
      </c>
      <c r="J769">
        <v>-256.85750000000002</v>
      </c>
      <c r="K769">
        <v>1.1105080000000001</v>
      </c>
      <c r="L769">
        <v>367.23779999999999</v>
      </c>
      <c r="M769">
        <v>0.99987689999999996</v>
      </c>
      <c r="N769">
        <v>0</v>
      </c>
      <c r="O769">
        <v>7.0308109999999997E-3</v>
      </c>
      <c r="P769">
        <v>0.99336800000000003</v>
      </c>
      <c r="Q769">
        <v>0.1062471</v>
      </c>
      <c r="R769">
        <v>-4.3955880000000003E-2</v>
      </c>
      <c r="S769">
        <v>3.0419459999999998</v>
      </c>
      <c r="T769">
        <v>-0.2155774</v>
      </c>
      <c r="U769">
        <v>-2.185059E-2</v>
      </c>
      <c r="V769">
        <v>5.0919180000000001E-2</v>
      </c>
      <c r="W769">
        <v>0.12018529999999999</v>
      </c>
      <c r="X769">
        <v>0.99144480000000001</v>
      </c>
      <c r="Y769">
        <v>1.4160910000000001E-2</v>
      </c>
      <c r="Z769">
        <v>-9.9882409999999997E-4</v>
      </c>
      <c r="AA769">
        <v>0.99989919999999999</v>
      </c>
      <c r="AB769">
        <v>27</v>
      </c>
      <c r="AC769">
        <v>15.3941</v>
      </c>
      <c r="AD769">
        <v>-1.1105124580399901</v>
      </c>
      <c r="AE769">
        <v>-0.114599999999995</v>
      </c>
      <c r="AF769">
        <v>0.22168722470660299</v>
      </c>
      <c r="AG769">
        <v>-1.1105124580399901</v>
      </c>
      <c r="AH769">
        <v>15.3132278268675</v>
      </c>
      <c r="AI769">
        <v>94.147385174305697</v>
      </c>
      <c r="AJ769">
        <v>89.170595823221305</v>
      </c>
      <c r="AK769">
        <v>15.3550424819539</v>
      </c>
      <c r="AL769">
        <v>83.097203325101304</v>
      </c>
      <c r="AM769">
        <v>87.059954283449301</v>
      </c>
      <c r="AN769">
        <v>1.0000000303375001</v>
      </c>
    </row>
    <row r="770" spans="1:40" x14ac:dyDescent="0.25">
      <c r="A770" t="str">
        <f>"20190312164233782"</f>
        <v>20190312164233782</v>
      </c>
      <c r="B770" t="str">
        <f>"1552380153774737"</f>
        <v>1552380153774737</v>
      </c>
      <c r="C770" t="s">
        <v>40</v>
      </c>
      <c r="D770">
        <v>4.487463</v>
      </c>
      <c r="E770">
        <v>0.48433320000000002</v>
      </c>
      <c r="F770" t="s">
        <v>42</v>
      </c>
      <c r="G770">
        <v>-241.9409</v>
      </c>
      <c r="H770" s="1">
        <v>-4.2042210000000003E-6</v>
      </c>
      <c r="I770">
        <v>367.28160000000003</v>
      </c>
      <c r="J770">
        <v>-256.58589999999998</v>
      </c>
      <c r="K770">
        <v>1.1105179999999999</v>
      </c>
      <c r="L770">
        <v>367.2398</v>
      </c>
      <c r="M770">
        <v>0.99987619999999999</v>
      </c>
      <c r="N770">
        <v>0</v>
      </c>
      <c r="O770">
        <v>7.1410290000000001E-3</v>
      </c>
      <c r="P770">
        <v>0.99333830000000001</v>
      </c>
      <c r="Q770">
        <v>0.1065344</v>
      </c>
      <c r="R770">
        <v>-4.3930459999999998E-2</v>
      </c>
      <c r="S770">
        <v>3.0446620000000002</v>
      </c>
      <c r="T770">
        <v>-0.2266695</v>
      </c>
      <c r="U770">
        <v>8.9416500000000006E-3</v>
      </c>
      <c r="V770">
        <v>5.100317E-2</v>
      </c>
      <c r="W770">
        <v>0.1204693</v>
      </c>
      <c r="X770">
        <v>0.99140600000000001</v>
      </c>
      <c r="Y770">
        <v>4.1736469999999999E-3</v>
      </c>
      <c r="Z770">
        <v>-6.8609349999999999E-4</v>
      </c>
      <c r="AA770">
        <v>0.99999110000000002</v>
      </c>
      <c r="AB770">
        <v>27</v>
      </c>
      <c r="AC770">
        <v>14.6449999999999</v>
      </c>
      <c r="AD770">
        <v>-1.1105222042209999</v>
      </c>
      <c r="AE770">
        <v>4.1800000000023298E-2</v>
      </c>
      <c r="AF770">
        <v>6.2432725199690897E-2</v>
      </c>
      <c r="AG770">
        <v>-1.1105222042209999</v>
      </c>
      <c r="AH770">
        <v>14.5611973156779</v>
      </c>
      <c r="AI770">
        <v>94.361229170743698</v>
      </c>
      <c r="AJ770">
        <v>89.754339587606907</v>
      </c>
      <c r="AK770">
        <v>14.6036168354743</v>
      </c>
      <c r="AL770">
        <v>83.0808121327821</v>
      </c>
      <c r="AM770">
        <v>87.054998226728301</v>
      </c>
      <c r="AN770">
        <v>1.0000000162142599</v>
      </c>
    </row>
    <row r="771" spans="1:40" x14ac:dyDescent="0.25">
      <c r="A771" t="str">
        <f>"20190312164233804"</f>
        <v>20190312164233804</v>
      </c>
      <c r="B771" t="str">
        <f>"1552380153795233"</f>
        <v>1552380153795233</v>
      </c>
      <c r="C771" t="s">
        <v>40</v>
      </c>
      <c r="D771">
        <v>4.5223579999999997</v>
      </c>
      <c r="E771">
        <v>0.48358859999999898</v>
      </c>
      <c r="F771" t="s">
        <v>41</v>
      </c>
      <c r="G771">
        <v>-255.62190000000001</v>
      </c>
      <c r="H771">
        <v>1.0387120000000001</v>
      </c>
      <c r="I771">
        <v>367.24549999999999</v>
      </c>
      <c r="J771">
        <v>-256.32420000000002</v>
      </c>
      <c r="K771">
        <v>1.1105229999999999</v>
      </c>
      <c r="L771">
        <v>367.24180000000001</v>
      </c>
      <c r="M771">
        <v>0.99987539999999997</v>
      </c>
      <c r="N771">
        <v>0</v>
      </c>
      <c r="O771">
        <v>7.2473729999999997E-3</v>
      </c>
      <c r="P771">
        <v>0.99331429999999998</v>
      </c>
      <c r="Q771">
        <v>0.1066588</v>
      </c>
      <c r="R771">
        <v>-4.4171559999999999E-2</v>
      </c>
      <c r="S771">
        <v>3.0453030000000001</v>
      </c>
      <c r="T771">
        <v>-0.2271552</v>
      </c>
      <c r="U771">
        <v>1.8676760000000001E-2</v>
      </c>
      <c r="V771">
        <v>5.1349579999999999E-2</v>
      </c>
      <c r="W771">
        <v>0.120591</v>
      </c>
      <c r="X771">
        <v>0.99137330000000001</v>
      </c>
      <c r="Y771">
        <v>1.0920859999999999E-3</v>
      </c>
      <c r="Z771">
        <v>-5.8056109999999998E-4</v>
      </c>
      <c r="AA771">
        <v>0.99999919999999998</v>
      </c>
      <c r="AB771">
        <v>27</v>
      </c>
      <c r="AC771">
        <v>0.70230000000000803</v>
      </c>
      <c r="AD771">
        <v>-7.1810999999999806E-2</v>
      </c>
      <c r="AE771">
        <v>3.69999999998071E-3</v>
      </c>
      <c r="AF771">
        <v>1.37604127664673E-3</v>
      </c>
      <c r="AG771">
        <v>-7.1810999999999806E-2</v>
      </c>
      <c r="AH771">
        <v>0.69504170040518898</v>
      </c>
      <c r="AI771">
        <v>95.8987999067093</v>
      </c>
      <c r="AJ771">
        <v>89.886566152026205</v>
      </c>
      <c r="AK771">
        <v>0.69874292734361998</v>
      </c>
      <c r="AL771">
        <v>83.073787875939601</v>
      </c>
      <c r="AM771">
        <v>87.034933925142695</v>
      </c>
      <c r="AN771">
        <v>0.99999999430003295</v>
      </c>
    </row>
    <row r="772" spans="1:40" x14ac:dyDescent="0.25">
      <c r="A772" t="str">
        <f>"20190312164233826"</f>
        <v>20190312164233826</v>
      </c>
      <c r="B772" t="str">
        <f>"1552380153814753"</f>
        <v>1552380153814753</v>
      </c>
      <c r="C772" t="s">
        <v>40</v>
      </c>
      <c r="D772">
        <v>4.5391529999999998</v>
      </c>
      <c r="E772">
        <v>0.48280499999999998</v>
      </c>
      <c r="F772" t="s">
        <v>41</v>
      </c>
      <c r="G772">
        <v>-255.37889999999999</v>
      </c>
      <c r="H772">
        <v>1.039514</v>
      </c>
      <c r="I772">
        <v>367.2491</v>
      </c>
      <c r="J772">
        <v>-256.04750000000001</v>
      </c>
      <c r="K772">
        <v>1.1105240000000001</v>
      </c>
      <c r="L772">
        <v>367.24400000000003</v>
      </c>
      <c r="M772">
        <v>0.9998745</v>
      </c>
      <c r="N772">
        <v>0</v>
      </c>
      <c r="O772">
        <v>7.3600949999999997E-3</v>
      </c>
      <c r="P772">
        <v>0.99334129999999998</v>
      </c>
      <c r="Q772">
        <v>0.1063297</v>
      </c>
      <c r="R772">
        <v>-4.4356520000000003E-2</v>
      </c>
      <c r="S772">
        <v>3.045868</v>
      </c>
      <c r="T772">
        <v>-0.22901840000000001</v>
      </c>
      <c r="U772">
        <v>2.4230959999999999E-2</v>
      </c>
      <c r="V772">
        <v>5.1646839999999999E-2</v>
      </c>
      <c r="W772">
        <v>0.12025959999999999</v>
      </c>
      <c r="X772">
        <v>0.99139809999999995</v>
      </c>
      <c r="Y772">
        <v>-6.133461E-4</v>
      </c>
      <c r="Z772">
        <v>-5.2963670000000002E-4</v>
      </c>
      <c r="AA772">
        <v>0.99999959999999999</v>
      </c>
      <c r="AB772">
        <v>27</v>
      </c>
      <c r="AC772">
        <v>0.66860000000002595</v>
      </c>
      <c r="AD772">
        <v>-7.1010000000000004E-2</v>
      </c>
      <c r="AE772">
        <v>5.0999999999703496E-3</v>
      </c>
      <c r="AF772">
        <v>-1.7642801207355601E-4</v>
      </c>
      <c r="AG772">
        <v>-7.1010000000000004E-2</v>
      </c>
      <c r="AH772">
        <v>0.66116200193561103</v>
      </c>
      <c r="AI772">
        <v>96.130171831675796</v>
      </c>
      <c r="AJ772">
        <v>90.015289112517294</v>
      </c>
      <c r="AK772">
        <v>0.66496439305450705</v>
      </c>
      <c r="AL772">
        <v>83.092914797728596</v>
      </c>
      <c r="AM772">
        <v>87.017874675173402</v>
      </c>
      <c r="AN772">
        <v>0.99999998007887703</v>
      </c>
    </row>
    <row r="773" spans="1:40" x14ac:dyDescent="0.25">
      <c r="A773" t="str">
        <f>"20190312164233847"</f>
        <v>20190312164233847</v>
      </c>
      <c r="B773" t="str">
        <f>"1552380153845009"</f>
        <v>1552380153845009</v>
      </c>
      <c r="C773" t="s">
        <v>40</v>
      </c>
      <c r="D773">
        <v>4.8052149999999996</v>
      </c>
      <c r="E773">
        <v>0.48218870000000003</v>
      </c>
      <c r="F773" t="s">
        <v>41</v>
      </c>
      <c r="G773">
        <v>-255.1328</v>
      </c>
      <c r="H773">
        <v>1.04023</v>
      </c>
      <c r="I773">
        <v>367.25279999999998</v>
      </c>
      <c r="J773">
        <v>-255.78469999999999</v>
      </c>
      <c r="K773">
        <v>1.1105210000000001</v>
      </c>
      <c r="L773">
        <v>367.24599999999998</v>
      </c>
      <c r="M773">
        <v>0.99987380000000003</v>
      </c>
      <c r="N773">
        <v>0</v>
      </c>
      <c r="O773">
        <v>7.4670919999999998E-3</v>
      </c>
      <c r="P773">
        <v>0.99332220000000004</v>
      </c>
      <c r="Q773">
        <v>0.1064713</v>
      </c>
      <c r="R773">
        <v>-4.4440420000000001E-2</v>
      </c>
      <c r="S773">
        <v>3.0465550000000001</v>
      </c>
      <c r="T773">
        <v>-0.23443259999999999</v>
      </c>
      <c r="U773">
        <v>3.024292E-2</v>
      </c>
      <c r="V773">
        <v>5.1837029999999999E-2</v>
      </c>
      <c r="W773">
        <v>0.1203984</v>
      </c>
      <c r="X773">
        <v>0.99137129999999996</v>
      </c>
      <c r="Y773">
        <v>-2.4734639999999999E-3</v>
      </c>
      <c r="Z773">
        <v>-4.7875439999999999E-4</v>
      </c>
      <c r="AA773">
        <v>0.99999680000000002</v>
      </c>
      <c r="AB773">
        <v>27</v>
      </c>
      <c r="AC773">
        <v>0.65189999999998305</v>
      </c>
      <c r="AD773">
        <v>-7.0290999999999798E-2</v>
      </c>
      <c r="AE773">
        <v>6.7999999999983603E-3</v>
      </c>
      <c r="AF773">
        <v>-1.90933854904045E-3</v>
      </c>
      <c r="AG773">
        <v>-7.0290999999999798E-2</v>
      </c>
      <c r="AH773">
        <v>0.64444102346598497</v>
      </c>
      <c r="AI773">
        <v>96.2247777385886</v>
      </c>
      <c r="AJ773">
        <v>90.169754432820397</v>
      </c>
      <c r="AK773">
        <v>0.648265919959226</v>
      </c>
      <c r="AL773">
        <v>83.084903751842802</v>
      </c>
      <c r="AM773">
        <v>87.006832134834198</v>
      </c>
      <c r="AN773">
        <v>0.99999995343273396</v>
      </c>
    </row>
    <row r="774" spans="1:40" x14ac:dyDescent="0.25">
      <c r="A774" t="str">
        <f>"20190312164233871"</f>
        <v>20190312164233871</v>
      </c>
      <c r="B774" t="str">
        <f>"1552380153864529"</f>
        <v>1552380153864529</v>
      </c>
      <c r="C774" t="s">
        <v>40</v>
      </c>
      <c r="D774">
        <v>4.7572070000000002</v>
      </c>
      <c r="E774">
        <v>0.48194949999999998</v>
      </c>
      <c r="F774" t="s">
        <v>42</v>
      </c>
      <c r="G774">
        <v>-241.40860000000001</v>
      </c>
      <c r="H774" s="1">
        <v>-4.4331120000000003E-6</v>
      </c>
      <c r="I774">
        <v>367.40969999999999</v>
      </c>
      <c r="J774">
        <v>-255.50710000000001</v>
      </c>
      <c r="K774">
        <v>1.1105149999999999</v>
      </c>
      <c r="L774">
        <v>367.2482</v>
      </c>
      <c r="M774">
        <v>0.99987300000000001</v>
      </c>
      <c r="N774">
        <v>0</v>
      </c>
      <c r="O774">
        <v>7.579934E-3</v>
      </c>
      <c r="P774">
        <v>0.9933573</v>
      </c>
      <c r="Q774">
        <v>0.10624260000000001</v>
      </c>
      <c r="R774">
        <v>-4.4204180000000003E-2</v>
      </c>
      <c r="S774">
        <v>3.046967</v>
      </c>
      <c r="T774">
        <v>-0.23537240000000001</v>
      </c>
      <c r="U774">
        <v>3.4698489999999999E-2</v>
      </c>
      <c r="V774">
        <v>5.1713250000000002E-2</v>
      </c>
      <c r="W774">
        <v>0.12016689999999999</v>
      </c>
      <c r="X774">
        <v>0.99140589999999995</v>
      </c>
      <c r="Y774">
        <v>-3.8178349999999999E-3</v>
      </c>
      <c r="Z774">
        <v>-4.3745669999999999E-4</v>
      </c>
      <c r="AA774">
        <v>0.99999260000000001</v>
      </c>
      <c r="AB774">
        <v>27</v>
      </c>
      <c r="AC774">
        <v>14.0985</v>
      </c>
      <c r="AD774">
        <v>-1.1105194331120001</v>
      </c>
      <c r="AE774">
        <v>0.16149999999998901</v>
      </c>
      <c r="AF774">
        <v>-5.4282406588883197E-2</v>
      </c>
      <c r="AG774">
        <v>-1.1105194331120001</v>
      </c>
      <c r="AH774">
        <v>14.012390761196</v>
      </c>
      <c r="AI774">
        <v>94.531338536073704</v>
      </c>
      <c r="AJ774">
        <v>90.221956216785898</v>
      </c>
      <c r="AK774">
        <v>14.0564325074123</v>
      </c>
      <c r="AL774">
        <v>83.098265062457102</v>
      </c>
      <c r="AM774">
        <v>87.014070499044394</v>
      </c>
      <c r="AN774">
        <v>1.0000000013179899</v>
      </c>
    </row>
    <row r="775" spans="1:40" x14ac:dyDescent="0.25">
      <c r="A775" t="str">
        <f>"20190312164233892"</f>
        <v>20190312164233892</v>
      </c>
      <c r="B775" t="str">
        <f>"1552380153885025"</f>
        <v>1552380153885025</v>
      </c>
      <c r="C775" t="s">
        <v>40</v>
      </c>
      <c r="D775">
        <v>4.5551890000000004</v>
      </c>
      <c r="E775">
        <v>0.4817224</v>
      </c>
      <c r="F775" t="s">
        <v>42</v>
      </c>
      <c r="G775">
        <v>-241.25980000000001</v>
      </c>
      <c r="H775" s="1">
        <v>-4.5007120000000003E-6</v>
      </c>
      <c r="I775">
        <v>367.42509999999999</v>
      </c>
      <c r="J775">
        <v>-255.2474</v>
      </c>
      <c r="K775">
        <v>1.110517</v>
      </c>
      <c r="L775">
        <v>367.25020000000001</v>
      </c>
      <c r="M775">
        <v>0.99987219999999999</v>
      </c>
      <c r="N775">
        <v>0</v>
      </c>
      <c r="O775">
        <v>7.6852709999999996E-3</v>
      </c>
      <c r="P775">
        <v>0.99332169999999997</v>
      </c>
      <c r="Q775">
        <v>0.10658869999999999</v>
      </c>
      <c r="R775">
        <v>-4.4170439999999998E-2</v>
      </c>
      <c r="S775">
        <v>3.0471189999999999</v>
      </c>
      <c r="T775">
        <v>-0.23751120000000001</v>
      </c>
      <c r="U775">
        <v>3.7841800000000002E-2</v>
      </c>
      <c r="V775">
        <v>5.1783700000000002E-2</v>
      </c>
      <c r="W775">
        <v>0.1205101</v>
      </c>
      <c r="X775">
        <v>0.99136049999999998</v>
      </c>
      <c r="Y775">
        <v>-4.7410500000000001E-3</v>
      </c>
      <c r="Z775">
        <v>-4.1366800000000001E-4</v>
      </c>
      <c r="AA775">
        <v>0.99998869999999895</v>
      </c>
      <c r="AB775">
        <v>27</v>
      </c>
      <c r="AC775">
        <v>13.987599999999899</v>
      </c>
      <c r="AD775">
        <v>-1.110521500712</v>
      </c>
      <c r="AE775">
        <v>0.17489999999997899</v>
      </c>
      <c r="AF775">
        <v>-6.6963746631229004E-2</v>
      </c>
      <c r="AG775">
        <v>-1.110521500712</v>
      </c>
      <c r="AH775">
        <v>13.9009232186962</v>
      </c>
      <c r="AI775">
        <v>94.5675107340642</v>
      </c>
      <c r="AJ775">
        <v>90.276003998043393</v>
      </c>
      <c r="AK775">
        <v>13.9453722961774</v>
      </c>
      <c r="AL775">
        <v>83.078456767719601</v>
      </c>
      <c r="AM775">
        <v>87.009873403367607</v>
      </c>
      <c r="AN775">
        <v>0.99999993837397305</v>
      </c>
    </row>
    <row r="776" spans="1:40" x14ac:dyDescent="0.25">
      <c r="A776" t="str">
        <f>"20190312164233915"</f>
        <v>20190312164233915</v>
      </c>
      <c r="B776" t="str">
        <f>"1552380153904545"</f>
        <v>1552380153904545</v>
      </c>
      <c r="C776" t="s">
        <v>40</v>
      </c>
      <c r="D776">
        <v>4.7100429999999998</v>
      </c>
      <c r="E776">
        <v>0.48171079999999999</v>
      </c>
      <c r="F776" t="s">
        <v>42</v>
      </c>
      <c r="G776">
        <v>-241.02289999999999</v>
      </c>
      <c r="H776" s="1">
        <v>-4.6107139999999997E-6</v>
      </c>
      <c r="I776">
        <v>367.43630000000002</v>
      </c>
      <c r="J776">
        <v>-254.97669999999999</v>
      </c>
      <c r="K776">
        <v>1.1105179999999999</v>
      </c>
      <c r="L776">
        <v>367.2525</v>
      </c>
      <c r="M776">
        <v>0.99987139999999997</v>
      </c>
      <c r="N776">
        <v>0</v>
      </c>
      <c r="O776">
        <v>7.7956090000000002E-3</v>
      </c>
      <c r="P776">
        <v>0.99331340000000001</v>
      </c>
      <c r="Q776">
        <v>0.1065595</v>
      </c>
      <c r="R776">
        <v>-4.4427809999999998E-2</v>
      </c>
      <c r="S776">
        <v>3.047485</v>
      </c>
      <c r="T776">
        <v>-0.23792140000000001</v>
      </c>
      <c r="U776">
        <v>3.9855960000000003E-2</v>
      </c>
      <c r="V776">
        <v>5.215057E-2</v>
      </c>
      <c r="W776">
        <v>0.1204779</v>
      </c>
      <c r="X776">
        <v>0.99134520000000004</v>
      </c>
      <c r="Y776">
        <v>-5.2887139999999999E-3</v>
      </c>
      <c r="Z776">
        <v>-4.0158449999999998E-4</v>
      </c>
      <c r="AA776">
        <v>0.99998589999999998</v>
      </c>
      <c r="AB776">
        <v>27</v>
      </c>
      <c r="AC776">
        <v>13.953799999999999</v>
      </c>
      <c r="AD776">
        <v>-1.110522610714</v>
      </c>
      <c r="AE776">
        <v>0.183800000000019</v>
      </c>
      <c r="AF776">
        <v>-7.4533357353091204E-2</v>
      </c>
      <c r="AG776">
        <v>-1.110522610714</v>
      </c>
      <c r="AH776">
        <v>13.8669922602434</v>
      </c>
      <c r="AI776">
        <v>94.578631053778594</v>
      </c>
      <c r="AJ776">
        <v>90.307954717681696</v>
      </c>
      <c r="AK776">
        <v>13.911588336200699</v>
      </c>
      <c r="AL776">
        <v>83.080315354832393</v>
      </c>
      <c r="AM776">
        <v>86.988681829983804</v>
      </c>
      <c r="AN776">
        <v>0.99999995595138602</v>
      </c>
    </row>
    <row r="777" spans="1:40" x14ac:dyDescent="0.25">
      <c r="A777" t="str">
        <f>"20190312164233938"</f>
        <v>20190312164233938</v>
      </c>
      <c r="B777" t="str">
        <f>"1552380153925041"</f>
        <v>1552380153925041</v>
      </c>
      <c r="C777" t="s">
        <v>40</v>
      </c>
      <c r="D777">
        <v>4.5129210000000004</v>
      </c>
      <c r="E777">
        <v>0.48166550000000002</v>
      </c>
      <c r="F777" t="s">
        <v>42</v>
      </c>
      <c r="G777">
        <v>-240.72829999999999</v>
      </c>
      <c r="H777" s="1">
        <v>-4.7500189999999997E-6</v>
      </c>
      <c r="I777">
        <v>367.43619999999999</v>
      </c>
      <c r="J777">
        <v>-254.70519999999999</v>
      </c>
      <c r="K777">
        <v>1.110522</v>
      </c>
      <c r="L777">
        <v>367.25470000000001</v>
      </c>
      <c r="M777">
        <v>0.9998705</v>
      </c>
      <c r="N777">
        <v>0</v>
      </c>
      <c r="O777">
        <v>7.9057699999999995E-3</v>
      </c>
      <c r="P777">
        <v>0.99329970000000001</v>
      </c>
      <c r="Q777">
        <v>0.106895699999999</v>
      </c>
      <c r="R777">
        <v>-4.3922509999999998E-2</v>
      </c>
      <c r="S777">
        <v>3.0474549999999998</v>
      </c>
      <c r="T777">
        <v>-0.23751910000000001</v>
      </c>
      <c r="U777">
        <v>3.9306639999999997E-2</v>
      </c>
      <c r="V777">
        <v>5.1754500000000002E-2</v>
      </c>
      <c r="W777">
        <v>0.1208111</v>
      </c>
      <c r="X777">
        <v>0.99132540000000002</v>
      </c>
      <c r="Y777">
        <v>-4.999636E-3</v>
      </c>
      <c r="Z777">
        <v>-4.2073330000000001E-4</v>
      </c>
      <c r="AA777">
        <v>0.99998739999999997</v>
      </c>
      <c r="AB777">
        <v>27</v>
      </c>
      <c r="AC777">
        <v>13.976900000000001</v>
      </c>
      <c r="AD777">
        <v>-1.1105267500189999</v>
      </c>
      <c r="AE777">
        <v>0.18149999999997099</v>
      </c>
      <c r="AF777">
        <v>-7.05400681229158E-2</v>
      </c>
      <c r="AG777">
        <v>-1.1105267500189999</v>
      </c>
      <c r="AH777">
        <v>13.8902238506502</v>
      </c>
      <c r="AI777">
        <v>94.571029727749803</v>
      </c>
      <c r="AJ777">
        <v>90.290968201027297</v>
      </c>
      <c r="AK777">
        <v>13.9347251205358</v>
      </c>
      <c r="AL777">
        <v>83.061083883973893</v>
      </c>
      <c r="AM777">
        <v>87.011450810319303</v>
      </c>
      <c r="AN777">
        <v>0.99999994941930803</v>
      </c>
    </row>
    <row r="778" spans="1:40" x14ac:dyDescent="0.25">
      <c r="A778" t="str">
        <f>"20190312164233961"</f>
        <v>20190312164233961</v>
      </c>
      <c r="B778" t="str">
        <f>"1552380153954321"</f>
        <v>1552380153954321</v>
      </c>
      <c r="C778" t="s">
        <v>40</v>
      </c>
      <c r="D778">
        <v>4.5357440000000002</v>
      </c>
      <c r="E778">
        <v>0.4816684</v>
      </c>
      <c r="F778" t="s">
        <v>42</v>
      </c>
      <c r="G778">
        <v>-240.39859999999999</v>
      </c>
      <c r="H778" s="1">
        <v>-4.9036699999999998E-6</v>
      </c>
      <c r="I778">
        <v>367.44850000000002</v>
      </c>
      <c r="J778">
        <v>-254.43119999999999</v>
      </c>
      <c r="K778">
        <v>1.1105259999999999</v>
      </c>
      <c r="L778">
        <v>367.25700000000001</v>
      </c>
      <c r="M778">
        <v>0.99986969999999997</v>
      </c>
      <c r="N778">
        <v>0</v>
      </c>
      <c r="O778">
        <v>8.016591E-3</v>
      </c>
      <c r="P778">
        <v>0.9933208</v>
      </c>
      <c r="Q778">
        <v>0.1066653</v>
      </c>
      <c r="R778">
        <v>-4.4003929999999997E-2</v>
      </c>
      <c r="S778">
        <v>3.0475159999999999</v>
      </c>
      <c r="T778">
        <v>-0.2365593</v>
      </c>
      <c r="U778">
        <v>4.1290279999999999E-2</v>
      </c>
      <c r="V778">
        <v>5.1946369999999999E-2</v>
      </c>
      <c r="W778">
        <v>0.1205777</v>
      </c>
      <c r="X778">
        <v>0.99134389999999994</v>
      </c>
      <c r="Y778">
        <v>-5.5379699999999997E-3</v>
      </c>
      <c r="Z778">
        <v>-4.0675550000000003E-4</v>
      </c>
      <c r="AA778">
        <v>0.9999846</v>
      </c>
      <c r="AB778">
        <v>27</v>
      </c>
      <c r="AC778">
        <v>14.0326</v>
      </c>
      <c r="AD778">
        <v>-1.11053090367</v>
      </c>
      <c r="AE778">
        <v>0.191500000000075</v>
      </c>
      <c r="AF778">
        <v>-7.8497644394895899E-2</v>
      </c>
      <c r="AG778">
        <v>-1.11053090367</v>
      </c>
      <c r="AH778">
        <v>13.946354051320199</v>
      </c>
      <c r="AI778">
        <v>94.552713703153799</v>
      </c>
      <c r="AJ778">
        <v>90.322488315919799</v>
      </c>
      <c r="AK778">
        <v>13.9907194987591</v>
      </c>
      <c r="AL778">
        <v>83.074556021165506</v>
      </c>
      <c r="AM778">
        <v>87.000447402055997</v>
      </c>
      <c r="AN778">
        <v>1.00000006758033</v>
      </c>
    </row>
    <row r="779" spans="1:40" x14ac:dyDescent="0.25">
      <c r="A779" t="str">
        <f>"20190312164233983"</f>
        <v>20190312164233983</v>
      </c>
      <c r="B779" t="str">
        <f>"1552380153974816"</f>
        <v>1552380153974816</v>
      </c>
      <c r="C779" t="s">
        <v>40</v>
      </c>
      <c r="D779">
        <v>4.5481119999999997</v>
      </c>
      <c r="E779">
        <v>0.50398140000000002</v>
      </c>
      <c r="F779" t="s">
        <v>42</v>
      </c>
      <c r="G779">
        <v>-240.1773</v>
      </c>
      <c r="H779" s="1">
        <v>-5.0081770000000002E-6</v>
      </c>
      <c r="I779">
        <v>367.44909999999999</v>
      </c>
      <c r="J779">
        <v>-254.16380000000001</v>
      </c>
      <c r="K779">
        <v>1.1105229999999999</v>
      </c>
      <c r="L779">
        <v>367.25920000000002</v>
      </c>
      <c r="M779">
        <v>0.99986889999999995</v>
      </c>
      <c r="N779">
        <v>0</v>
      </c>
      <c r="O779">
        <v>8.1259100000000001E-3</v>
      </c>
      <c r="P779">
        <v>0.99334</v>
      </c>
      <c r="Q779">
        <v>0.1065951</v>
      </c>
      <c r="R779">
        <v>-4.3746710000000001E-2</v>
      </c>
      <c r="S779">
        <v>3.0474700000000001</v>
      </c>
      <c r="T779">
        <v>-0.23743130000000001</v>
      </c>
      <c r="U779">
        <v>4.1076660000000001E-2</v>
      </c>
      <c r="V779">
        <v>5.1797780000000002E-2</v>
      </c>
      <c r="W779">
        <v>0.1205053</v>
      </c>
      <c r="X779">
        <v>0.99136040000000003</v>
      </c>
      <c r="Y779">
        <v>-5.359684E-3</v>
      </c>
      <c r="Z779">
        <v>-4.2369530000000002E-4</v>
      </c>
      <c r="AA779">
        <v>0.99998560000000003</v>
      </c>
      <c r="AB779">
        <v>27</v>
      </c>
      <c r="AC779">
        <v>13.986499999999999</v>
      </c>
      <c r="AD779">
        <v>-1.1105280081769999</v>
      </c>
      <c r="AE779">
        <v>0.18989999999996601</v>
      </c>
      <c r="AF779">
        <v>-7.5752060405880395E-2</v>
      </c>
      <c r="AG779">
        <v>-1.1105280081769999</v>
      </c>
      <c r="AH779">
        <v>13.899967165022799</v>
      </c>
      <c r="AI779">
        <v>94.567835445620503</v>
      </c>
      <c r="AJ779">
        <v>90.312247527690005</v>
      </c>
      <c r="AK779">
        <v>13.944464780704701</v>
      </c>
      <c r="AL779">
        <v>83.078734165594994</v>
      </c>
      <c r="AM779">
        <v>87.009061562087098</v>
      </c>
      <c r="AN779">
        <v>0.99999999001458895</v>
      </c>
    </row>
    <row r="780" spans="1:40" x14ac:dyDescent="0.25">
      <c r="A780" t="str">
        <f>"20190312164234005"</f>
        <v>20190312164234005</v>
      </c>
      <c r="B780" t="str">
        <f>"1552380153994337"</f>
        <v>1552380153994337</v>
      </c>
      <c r="C780" t="s">
        <v>40</v>
      </c>
      <c r="D780">
        <v>4.426736</v>
      </c>
      <c r="E780">
        <v>0.50875249999999905</v>
      </c>
      <c r="F780" t="s">
        <v>41</v>
      </c>
      <c r="G780">
        <v>-253.2627</v>
      </c>
      <c r="H780">
        <v>0.9456736</v>
      </c>
      <c r="I780">
        <v>367.22379999999998</v>
      </c>
      <c r="J780">
        <v>-253.9014</v>
      </c>
      <c r="K780">
        <v>1.110525</v>
      </c>
      <c r="L780">
        <v>367.26150000000001</v>
      </c>
      <c r="M780">
        <v>0.99986819999999998</v>
      </c>
      <c r="N780">
        <v>0</v>
      </c>
      <c r="O780">
        <v>8.2327300000000006E-3</v>
      </c>
      <c r="P780">
        <v>0.99332229999999999</v>
      </c>
      <c r="Q780">
        <v>0.10675800000000001</v>
      </c>
      <c r="R780">
        <v>-4.3748769999999999E-2</v>
      </c>
      <c r="S780">
        <v>3.0752259999999998</v>
      </c>
      <c r="T780">
        <v>-0.56279709999999905</v>
      </c>
      <c r="U780">
        <v>-0.1196899</v>
      </c>
      <c r="V780">
        <v>5.1905989999999999E-2</v>
      </c>
      <c r="W780">
        <v>0.12066490000000001</v>
      </c>
      <c r="X780">
        <v>0.99133530000000003</v>
      </c>
      <c r="Y780">
        <v>4.6214239999999997E-2</v>
      </c>
      <c r="Z780">
        <v>-5.6863620000000004E-3</v>
      </c>
      <c r="AA780">
        <v>0.99891540000000001</v>
      </c>
      <c r="AB780">
        <v>27</v>
      </c>
      <c r="AC780">
        <v>0.63870000000000005</v>
      </c>
      <c r="AD780">
        <v>-0.16485140000000001</v>
      </c>
      <c r="AE780">
        <v>-3.77000000000293E-2</v>
      </c>
      <c r="AF780">
        <v>4.0283212831160001E-2</v>
      </c>
      <c r="AG780">
        <v>-0.16485140000000001</v>
      </c>
      <c r="AH780">
        <v>0.59862708106821505</v>
      </c>
      <c r="AI780">
        <v>105.36352301744</v>
      </c>
      <c r="AJ780">
        <v>86.150218180431295</v>
      </c>
      <c r="AK780">
        <v>0.62221628354311997</v>
      </c>
      <c r="AL780">
        <v>83.069522356851905</v>
      </c>
      <c r="AM780">
        <v>87.002748867705606</v>
      </c>
      <c r="AN780">
        <v>0.99999996345798903</v>
      </c>
    </row>
    <row r="781" spans="1:40" x14ac:dyDescent="0.25">
      <c r="A781" t="str">
        <f>"20190312164234027"</f>
        <v>20190312164234027</v>
      </c>
      <c r="B781" t="str">
        <f>"1552380154014833"</f>
        <v>1552380154014833</v>
      </c>
      <c r="C781" t="s">
        <v>40</v>
      </c>
      <c r="D781">
        <v>4.4397900000000003</v>
      </c>
      <c r="E781">
        <v>0.51130730000000002</v>
      </c>
      <c r="F781" t="s">
        <v>41</v>
      </c>
      <c r="G781">
        <v>-253.0301</v>
      </c>
      <c r="H781">
        <v>0.9324827</v>
      </c>
      <c r="I781">
        <v>367.21769999999998</v>
      </c>
      <c r="J781">
        <v>-253.6353</v>
      </c>
      <c r="K781">
        <v>1.1105259999999999</v>
      </c>
      <c r="L781">
        <v>367.2638</v>
      </c>
      <c r="M781">
        <v>0.99986719999999896</v>
      </c>
      <c r="N781">
        <v>0</v>
      </c>
      <c r="O781">
        <v>8.3413389999999997E-3</v>
      </c>
      <c r="P781">
        <v>0.99331499999999995</v>
      </c>
      <c r="Q781">
        <v>0.1068384</v>
      </c>
      <c r="R781">
        <v>-4.3718020000000003E-2</v>
      </c>
      <c r="S781">
        <v>3.0810550000000001</v>
      </c>
      <c r="T781">
        <v>-0.62972640000000002</v>
      </c>
      <c r="U781">
        <v>-0.154174799999999</v>
      </c>
      <c r="V781">
        <v>5.1983019999999998E-2</v>
      </c>
      <c r="W781">
        <v>0.120742</v>
      </c>
      <c r="X781">
        <v>0.99132189999999998</v>
      </c>
      <c r="Y781">
        <v>5.696027E-2</v>
      </c>
      <c r="Z781">
        <v>-7.4445419999999898E-3</v>
      </c>
      <c r="AA781">
        <v>0.99834869999999998</v>
      </c>
      <c r="AB781">
        <v>27</v>
      </c>
      <c r="AC781">
        <v>0.60519999999999596</v>
      </c>
      <c r="AD781">
        <v>-0.17804329999999999</v>
      </c>
      <c r="AE781">
        <v>-4.6100000000023997E-2</v>
      </c>
      <c r="AF781">
        <v>4.7094667095859903E-2</v>
      </c>
      <c r="AG781">
        <v>-0.17804329999999999</v>
      </c>
      <c r="AH781">
        <v>0.55687627736469703</v>
      </c>
      <c r="AI781">
        <v>107.670873155881</v>
      </c>
      <c r="AJ781">
        <v>85.166035169489703</v>
      </c>
      <c r="AK781">
        <v>0.586539438260824</v>
      </c>
      <c r="AL781">
        <v>83.065072481395106</v>
      </c>
      <c r="AM781">
        <v>86.998268487551101</v>
      </c>
      <c r="AN781">
        <v>0.99999998717596505</v>
      </c>
    </row>
    <row r="782" spans="1:40" x14ac:dyDescent="0.25">
      <c r="A782" t="str">
        <f>"20190312164234048"</f>
        <v>20190312164234048</v>
      </c>
      <c r="B782" t="str">
        <f>"1552380154045089"</f>
        <v>1552380154045089</v>
      </c>
      <c r="C782" t="s">
        <v>40</v>
      </c>
      <c r="D782">
        <v>4.3567070000000001</v>
      </c>
      <c r="E782">
        <v>0.51287829999999901</v>
      </c>
      <c r="F782" t="s">
        <v>41</v>
      </c>
      <c r="G782">
        <v>-252.79300000000001</v>
      </c>
      <c r="H782">
        <v>0.92881849999999999</v>
      </c>
      <c r="I782">
        <v>367.21629999999999</v>
      </c>
      <c r="J782">
        <v>-253.37090000000001</v>
      </c>
      <c r="K782">
        <v>1.1105229999999999</v>
      </c>
      <c r="L782">
        <v>367.26620000000003</v>
      </c>
      <c r="M782">
        <v>0.99986629999999999</v>
      </c>
      <c r="N782">
        <v>0</v>
      </c>
      <c r="O782">
        <v>8.4492939999999996E-3</v>
      </c>
      <c r="P782">
        <v>0.99330660000000004</v>
      </c>
      <c r="Q782">
        <v>0.107057</v>
      </c>
      <c r="R782">
        <v>-4.337324E-2</v>
      </c>
      <c r="S782">
        <v>3.0841370000000001</v>
      </c>
      <c r="T782">
        <v>-0.66544009999999998</v>
      </c>
      <c r="U782">
        <v>-0.17288210000000001</v>
      </c>
      <c r="V782">
        <v>5.1745409999999999E-2</v>
      </c>
      <c r="W782">
        <v>0.1209578</v>
      </c>
      <c r="X782">
        <v>0.99130799999999997</v>
      </c>
      <c r="Y782">
        <v>6.2768290000000004E-2</v>
      </c>
      <c r="Z782">
        <v>-8.4906110000000003E-3</v>
      </c>
      <c r="AA782">
        <v>0.99799199999999999</v>
      </c>
      <c r="AB782">
        <v>27</v>
      </c>
      <c r="AC782">
        <v>0.57789999999999897</v>
      </c>
      <c r="AD782">
        <v>-0.18170449999999999</v>
      </c>
      <c r="AE782">
        <v>-4.9900000000036401E-2</v>
      </c>
      <c r="AF782">
        <v>4.98862290160937E-2</v>
      </c>
      <c r="AG782">
        <v>-0.18170449999999999</v>
      </c>
      <c r="AH782">
        <v>0.52585570389051195</v>
      </c>
      <c r="AI782">
        <v>108.983019518251</v>
      </c>
      <c r="AJ782">
        <v>84.580753171236793</v>
      </c>
      <c r="AK782">
        <v>0.55859590267015202</v>
      </c>
      <c r="AL782">
        <v>83.052616598579604</v>
      </c>
      <c r="AM782">
        <v>87.011922406086995</v>
      </c>
      <c r="AN782">
        <v>0.99999996385045298</v>
      </c>
    </row>
    <row r="783" spans="1:40" x14ac:dyDescent="0.25">
      <c r="A783" t="str">
        <f>"20190312164234071"</f>
        <v>20190312164234071</v>
      </c>
      <c r="B783" t="str">
        <f>"1552380154064609"</f>
        <v>1552380154064609</v>
      </c>
      <c r="C783" t="s">
        <v>40</v>
      </c>
      <c r="D783">
        <v>4.309164</v>
      </c>
      <c r="E783">
        <v>0.51354339999999998</v>
      </c>
      <c r="F783" t="s">
        <v>41</v>
      </c>
      <c r="G783">
        <v>-252.55520000000001</v>
      </c>
      <c r="H783">
        <v>0.92719019999999996</v>
      </c>
      <c r="I783">
        <v>367.2176</v>
      </c>
      <c r="J783">
        <v>-253.1028</v>
      </c>
      <c r="K783">
        <v>1.11052</v>
      </c>
      <c r="L783">
        <v>367.26850000000002</v>
      </c>
      <c r="M783">
        <v>0.99986540000000002</v>
      </c>
      <c r="N783">
        <v>0</v>
      </c>
      <c r="O783">
        <v>8.5585599999999998E-3</v>
      </c>
      <c r="P783">
        <v>0.99328609999999995</v>
      </c>
      <c r="Q783">
        <v>0.1071271</v>
      </c>
      <c r="R783">
        <v>-4.366689E-2</v>
      </c>
      <c r="S783">
        <v>3.0869749999999998</v>
      </c>
      <c r="T783">
        <v>-0.69385929999999996</v>
      </c>
      <c r="U783">
        <v>-0.18356320000000001</v>
      </c>
      <c r="V783">
        <v>5.2147480000000003E-2</v>
      </c>
      <c r="W783">
        <v>0.1210251</v>
      </c>
      <c r="X783">
        <v>0.99127880000000002</v>
      </c>
      <c r="Y783">
        <v>6.6045950000000006E-2</v>
      </c>
      <c r="Z783">
        <v>-9.2235619999999994E-3</v>
      </c>
      <c r="AA783">
        <v>0.99777389999999999</v>
      </c>
      <c r="AB783">
        <v>27</v>
      </c>
      <c r="AC783">
        <v>0.54759999999998799</v>
      </c>
      <c r="AD783">
        <v>-0.18332979999999999</v>
      </c>
      <c r="AE783">
        <v>-5.0900000000012803E-2</v>
      </c>
      <c r="AF783">
        <v>5.0026210390514303E-2</v>
      </c>
      <c r="AG783">
        <v>-0.18332979999999999</v>
      </c>
      <c r="AH783">
        <v>0.49242466763642301</v>
      </c>
      <c r="AI783">
        <v>110.32431289064201</v>
      </c>
      <c r="AJ783">
        <v>84.199132030573296</v>
      </c>
      <c r="AK783">
        <v>0.52782050982404805</v>
      </c>
      <c r="AL783">
        <v>83.048732635120402</v>
      </c>
      <c r="AM783">
        <v>86.988658599232906</v>
      </c>
      <c r="AN783">
        <v>1.00000004691489</v>
      </c>
    </row>
    <row r="784" spans="1:40" x14ac:dyDescent="0.25">
      <c r="A784" t="str">
        <f>"20190312164234087"</f>
        <v>20190312164234087</v>
      </c>
      <c r="B784" t="str">
        <f>"1552380154074369"</f>
        <v>1552380154074369</v>
      </c>
      <c r="C784" t="s">
        <v>40</v>
      </c>
      <c r="D784">
        <v>4.2735719999999997</v>
      </c>
      <c r="E784">
        <v>0.51371489999999997</v>
      </c>
      <c r="F784" t="s">
        <v>41</v>
      </c>
      <c r="G784">
        <v>-252.315</v>
      </c>
      <c r="H784">
        <v>0.93105190000000004</v>
      </c>
      <c r="I784">
        <v>367.2199</v>
      </c>
      <c r="J784">
        <v>-252.9263</v>
      </c>
      <c r="K784">
        <v>1.1105229999999999</v>
      </c>
      <c r="L784">
        <v>367.27010000000001</v>
      </c>
      <c r="M784">
        <v>0.9998648</v>
      </c>
      <c r="N784">
        <v>0</v>
      </c>
      <c r="O784">
        <v>8.6304509999999904E-3</v>
      </c>
      <c r="P784">
        <v>0.99331179999999997</v>
      </c>
      <c r="Q784">
        <v>0.1069026</v>
      </c>
      <c r="R784">
        <v>-4.363264E-2</v>
      </c>
      <c r="S784">
        <v>3.0878139999999998</v>
      </c>
      <c r="T784">
        <v>-0.70356549999999995</v>
      </c>
      <c r="U784">
        <v>-0.18905640000000001</v>
      </c>
      <c r="V784">
        <v>5.2184899999999999E-2</v>
      </c>
      <c r="W784">
        <v>0.1207993</v>
      </c>
      <c r="X784">
        <v>0.99130430000000003</v>
      </c>
      <c r="Y784">
        <v>6.7773780000000006E-2</v>
      </c>
      <c r="Z784">
        <v>-9.5567819999999998E-3</v>
      </c>
      <c r="AA784">
        <v>0.99765490000000001</v>
      </c>
      <c r="AB784">
        <v>27</v>
      </c>
      <c r="AC784">
        <v>0.61129999999999995</v>
      </c>
      <c r="AD784">
        <v>-0.179471099999999</v>
      </c>
      <c r="AE784">
        <v>-5.0200000000018001E-2</v>
      </c>
      <c r="AF784">
        <v>5.1099446840483703E-2</v>
      </c>
      <c r="AG784">
        <v>-0.179471099999999</v>
      </c>
      <c r="AH784">
        <v>0.56266969883957396</v>
      </c>
      <c r="AI784">
        <v>107.62277568448999</v>
      </c>
      <c r="AJ784">
        <v>84.810857551491296</v>
      </c>
      <c r="AK784">
        <v>0.59280538053802301</v>
      </c>
      <c r="AL784">
        <v>83.061765140159395</v>
      </c>
      <c r="AM784">
        <v>86.986579077067304</v>
      </c>
      <c r="AN784">
        <v>0.99999997493349402</v>
      </c>
    </row>
    <row r="785" spans="1:40" x14ac:dyDescent="0.25">
      <c r="A785" t="str">
        <f>"20190312164234104"</f>
        <v>20190312164234104</v>
      </c>
      <c r="B785" t="str">
        <f>"1552380154094865"</f>
        <v>1552380154094865</v>
      </c>
      <c r="C785" t="s">
        <v>40</v>
      </c>
      <c r="D785">
        <v>4.2804760000000002</v>
      </c>
      <c r="E785">
        <v>0.51373679999999999</v>
      </c>
      <c r="F785" t="s">
        <v>41</v>
      </c>
      <c r="G785">
        <v>-252.08359999999999</v>
      </c>
      <c r="H785">
        <v>0.91735339999999999</v>
      </c>
      <c r="I785">
        <v>367.21850000000001</v>
      </c>
      <c r="J785">
        <v>-252.70650000000001</v>
      </c>
      <c r="K785">
        <v>1.110519</v>
      </c>
      <c r="L785">
        <v>367.27210000000002</v>
      </c>
      <c r="M785">
        <v>0.99986419999999998</v>
      </c>
      <c r="N785">
        <v>0</v>
      </c>
      <c r="O785">
        <v>8.7199259999999994E-3</v>
      </c>
      <c r="P785">
        <v>0.99335910000000005</v>
      </c>
      <c r="Q785">
        <v>0.10632179999999999</v>
      </c>
      <c r="R785">
        <v>-4.3974989999999999E-2</v>
      </c>
      <c r="S785">
        <v>3.0880890000000001</v>
      </c>
      <c r="T785">
        <v>-0.70785799999999999</v>
      </c>
      <c r="U785">
        <v>-0.1890869</v>
      </c>
      <c r="V785">
        <v>5.2616759999999999E-2</v>
      </c>
      <c r="W785">
        <v>0.12021660000000001</v>
      </c>
      <c r="X785">
        <v>0.99135229999999996</v>
      </c>
      <c r="Y785">
        <v>6.7840189999999995E-2</v>
      </c>
      <c r="Z785">
        <v>-9.6405250000000005E-3</v>
      </c>
      <c r="AA785">
        <v>0.99764960000000003</v>
      </c>
      <c r="AB785">
        <v>27</v>
      </c>
      <c r="AC785">
        <v>0.622900000000015</v>
      </c>
      <c r="AD785">
        <v>-0.19316559999999999</v>
      </c>
      <c r="AE785">
        <v>-5.3600000000017099E-2</v>
      </c>
      <c r="AF785">
        <v>5.3886187571758802E-2</v>
      </c>
      <c r="AG785">
        <v>-0.19316559999999999</v>
      </c>
      <c r="AH785">
        <v>0.56817152337338095</v>
      </c>
      <c r="AI785">
        <v>108.698843225978</v>
      </c>
      <c r="AJ785">
        <v>84.582192983605495</v>
      </c>
      <c r="AK785">
        <v>0.60252431503368198</v>
      </c>
      <c r="AL785">
        <v>83.095396440878901</v>
      </c>
      <c r="AM785">
        <v>86.961834657894897</v>
      </c>
      <c r="AN785">
        <v>0.99999996853187301</v>
      </c>
    </row>
    <row r="786" spans="1:40" x14ac:dyDescent="0.25">
      <c r="A786" t="str">
        <f>"20190312164234129"</f>
        <v>20190312164234129</v>
      </c>
      <c r="B786" t="str">
        <f>"1552380154125121"</f>
        <v>1552380154125121</v>
      </c>
      <c r="C786" t="s">
        <v>40</v>
      </c>
      <c r="D786">
        <v>4.179665</v>
      </c>
      <c r="E786">
        <v>0.51375649999999995</v>
      </c>
      <c r="F786" t="s">
        <v>41</v>
      </c>
      <c r="G786">
        <v>-251.84870000000001</v>
      </c>
      <c r="H786">
        <v>0.9110163</v>
      </c>
      <c r="I786">
        <v>367.2192</v>
      </c>
      <c r="J786">
        <v>-252.4323</v>
      </c>
      <c r="K786">
        <v>1.110519</v>
      </c>
      <c r="L786">
        <v>367.27460000000002</v>
      </c>
      <c r="M786">
        <v>0.9998631</v>
      </c>
      <c r="N786">
        <v>0</v>
      </c>
      <c r="O786">
        <v>8.8318719999999993E-3</v>
      </c>
      <c r="P786">
        <v>0.99336650000000004</v>
      </c>
      <c r="Q786">
        <v>0.1062964</v>
      </c>
      <c r="R786">
        <v>-4.386785E-2</v>
      </c>
      <c r="S786">
        <v>3.088562</v>
      </c>
      <c r="T786">
        <v>-0.71843619999999997</v>
      </c>
      <c r="U786">
        <v>-0.1894226</v>
      </c>
      <c r="V786">
        <v>5.2620930000000003E-2</v>
      </c>
      <c r="W786">
        <v>0.1201882</v>
      </c>
      <c r="X786">
        <v>0.99135549999999995</v>
      </c>
      <c r="Y786">
        <v>6.7985550000000006E-2</v>
      </c>
      <c r="Z786">
        <v>-9.8217430000000008E-3</v>
      </c>
      <c r="AA786">
        <v>0.99763800000000002</v>
      </c>
      <c r="AB786">
        <v>27</v>
      </c>
      <c r="AC786">
        <v>0.58359999999998902</v>
      </c>
      <c r="AD786">
        <v>-0.19950270000000001</v>
      </c>
      <c r="AE786">
        <v>-5.54000000000201E-2</v>
      </c>
      <c r="AF786">
        <v>5.4267540081604101E-2</v>
      </c>
      <c r="AG786">
        <v>-0.19950270000000001</v>
      </c>
      <c r="AH786">
        <v>0.52256605774772003</v>
      </c>
      <c r="AI786">
        <v>110.79342058779299</v>
      </c>
      <c r="AJ786">
        <v>84.071188945529599</v>
      </c>
      <c r="AK786">
        <v>0.56198005117956995</v>
      </c>
      <c r="AL786">
        <v>83.097035372835293</v>
      </c>
      <c r="AM786">
        <v>86.961604116709793</v>
      </c>
      <c r="AN786">
        <v>0.99999994653677604</v>
      </c>
    </row>
    <row r="787" spans="1:40" x14ac:dyDescent="0.25">
      <c r="A787" t="str">
        <f>"20190312164234151"</f>
        <v>20190312164234151</v>
      </c>
      <c r="B787" t="str">
        <f>"1552380154144641"</f>
        <v>1552380154144641</v>
      </c>
      <c r="C787" t="s">
        <v>40</v>
      </c>
      <c r="D787">
        <v>4.227563</v>
      </c>
      <c r="E787">
        <v>0.51389309999999999</v>
      </c>
      <c r="F787" t="s">
        <v>41</v>
      </c>
      <c r="G787">
        <v>-251.60820000000001</v>
      </c>
      <c r="H787">
        <v>0.91765859999999999</v>
      </c>
      <c r="I787">
        <v>367.22390000000001</v>
      </c>
      <c r="J787">
        <v>-252.16149999999999</v>
      </c>
      <c r="K787">
        <v>1.110517</v>
      </c>
      <c r="L787">
        <v>367.27710000000002</v>
      </c>
      <c r="M787">
        <v>0.99986229999999998</v>
      </c>
      <c r="N787">
        <v>0</v>
      </c>
      <c r="O787">
        <v>8.9421540000000008E-3</v>
      </c>
      <c r="P787">
        <v>0.99346760000000001</v>
      </c>
      <c r="Q787">
        <v>0.1053283</v>
      </c>
      <c r="R787">
        <v>-4.3911220000000001E-2</v>
      </c>
      <c r="S787">
        <v>3.089035</v>
      </c>
      <c r="T787">
        <v>-0.72301780000000004</v>
      </c>
      <c r="U787">
        <v>-0.18936159999999999</v>
      </c>
      <c r="V787">
        <v>5.2775030000000001E-2</v>
      </c>
      <c r="W787">
        <v>0.11921859999999999</v>
      </c>
      <c r="X787">
        <v>0.99146440000000002</v>
      </c>
      <c r="Y787">
        <v>6.8037050000000002E-2</v>
      </c>
      <c r="Z787">
        <v>-9.9126639999999999E-3</v>
      </c>
      <c r="AA787">
        <v>0.99763360000000001</v>
      </c>
      <c r="AB787">
        <v>27</v>
      </c>
      <c r="AC787">
        <v>0.55329999999997803</v>
      </c>
      <c r="AD787">
        <v>-0.19285840000000001</v>
      </c>
      <c r="AE787">
        <v>-5.3200000000003897E-2</v>
      </c>
      <c r="AF787">
        <v>5.1898444887235398E-2</v>
      </c>
      <c r="AG787">
        <v>-0.19285840000000001</v>
      </c>
      <c r="AH787">
        <v>0.49340530659272203</v>
      </c>
      <c r="AI787">
        <v>111.242482500279</v>
      </c>
      <c r="AJ787">
        <v>83.995468175869703</v>
      </c>
      <c r="AK787">
        <v>0.53229372305723499</v>
      </c>
      <c r="AL787">
        <v>83.152991852624297</v>
      </c>
      <c r="AM787">
        <v>86.953057017232396</v>
      </c>
      <c r="AN787">
        <v>0.99999996742241004</v>
      </c>
    </row>
    <row r="788" spans="1:40" x14ac:dyDescent="0.25">
      <c r="A788" t="str">
        <f>"20190312164234172"</f>
        <v>20190312164234172</v>
      </c>
      <c r="B788" t="str">
        <f>"1552380154165141"</f>
        <v>1552380154165141</v>
      </c>
      <c r="C788" t="s">
        <v>40</v>
      </c>
      <c r="D788">
        <v>4.5559079999999996</v>
      </c>
      <c r="E788">
        <v>0.51472659999999903</v>
      </c>
      <c r="F788" t="s">
        <v>41</v>
      </c>
      <c r="G788">
        <v>-251.36840000000001</v>
      </c>
      <c r="H788">
        <v>0.92316690000000001</v>
      </c>
      <c r="I788">
        <v>367.22800000000001</v>
      </c>
      <c r="J788">
        <v>-251.9024</v>
      </c>
      <c r="K788">
        <v>1.1105069999999999</v>
      </c>
      <c r="L788">
        <v>367.27960000000002</v>
      </c>
      <c r="M788">
        <v>0.99986120000000001</v>
      </c>
      <c r="N788">
        <v>0</v>
      </c>
      <c r="O788">
        <v>9.0480200000000004E-3</v>
      </c>
      <c r="P788">
        <v>0.9935678</v>
      </c>
      <c r="Q788">
        <v>0.10431609999999999</v>
      </c>
      <c r="R788">
        <v>-4.4057600000000002E-2</v>
      </c>
      <c r="S788">
        <v>3.0886840000000002</v>
      </c>
      <c r="T788">
        <v>-0.72977979999999998</v>
      </c>
      <c r="U788">
        <v>-0.19015499999999999</v>
      </c>
      <c r="V788">
        <v>5.3027640000000001E-2</v>
      </c>
      <c r="W788">
        <v>0.1182054</v>
      </c>
      <c r="X788">
        <v>0.99157229999999996</v>
      </c>
      <c r="Y788">
        <v>6.8354440000000002E-2</v>
      </c>
      <c r="Z788">
        <v>-1.0065549999999999E-2</v>
      </c>
      <c r="AA788">
        <v>0.99761029999999995</v>
      </c>
      <c r="AB788">
        <v>27</v>
      </c>
      <c r="AC788">
        <v>0.53399999999999104</v>
      </c>
      <c r="AD788">
        <v>-0.18734009999999901</v>
      </c>
      <c r="AE788">
        <v>-5.1600000000007598E-2</v>
      </c>
      <c r="AF788">
        <v>5.0296853884511099E-2</v>
      </c>
      <c r="AG788">
        <v>-0.18734009999999901</v>
      </c>
      <c r="AH788">
        <v>0.47552603480508499</v>
      </c>
      <c r="AI788">
        <v>111.394178125975</v>
      </c>
      <c r="AJ788">
        <v>83.962218463042205</v>
      </c>
      <c r="AK788">
        <v>0.51356703199887799</v>
      </c>
      <c r="AL788">
        <v>83.2114578386945</v>
      </c>
      <c r="AM788">
        <v>86.9388328787592</v>
      </c>
      <c r="AN788">
        <v>1.0000000366602</v>
      </c>
    </row>
    <row r="789" spans="1:40" x14ac:dyDescent="0.25">
      <c r="A789" t="str">
        <f>"20190312164234194"</f>
        <v>20190312164234194</v>
      </c>
      <c r="B789" t="str">
        <f>"1552380154184657"</f>
        <v>1552380154184657</v>
      </c>
      <c r="C789" t="s">
        <v>40</v>
      </c>
      <c r="D789">
        <v>4.5786470000000001</v>
      </c>
      <c r="E789">
        <v>0.54688329999999996</v>
      </c>
      <c r="F789" t="s">
        <v>41</v>
      </c>
      <c r="G789">
        <v>-251.1292</v>
      </c>
      <c r="H789">
        <v>0.92802549999999995</v>
      </c>
      <c r="I789">
        <v>367.2303</v>
      </c>
      <c r="J789">
        <v>-251.6473</v>
      </c>
      <c r="K789">
        <v>1.1105080000000001</v>
      </c>
      <c r="L789">
        <v>367.28199999999998</v>
      </c>
      <c r="M789">
        <v>0.99986030000000004</v>
      </c>
      <c r="N789">
        <v>0</v>
      </c>
      <c r="O789">
        <v>9.1520999999999998E-3</v>
      </c>
      <c r="P789">
        <v>0.99359989999999998</v>
      </c>
      <c r="Q789">
        <v>0.104099499999999</v>
      </c>
      <c r="R789">
        <v>-4.3850310000000003E-2</v>
      </c>
      <c r="S789">
        <v>3.0872039999999998</v>
      </c>
      <c r="T789">
        <v>-0.7286205</v>
      </c>
      <c r="U789">
        <v>-0.19702149999999999</v>
      </c>
      <c r="V789">
        <v>5.292401E-2</v>
      </c>
      <c r="W789">
        <v>0.1179866</v>
      </c>
      <c r="X789">
        <v>0.99160389999999998</v>
      </c>
      <c r="Y789">
        <v>7.0637259999999993E-2</v>
      </c>
      <c r="Z789">
        <v>-1.0343689999999999E-2</v>
      </c>
      <c r="AA789">
        <v>0.99744840000000001</v>
      </c>
      <c r="AB789">
        <v>27</v>
      </c>
      <c r="AC789">
        <v>0.518100000000004</v>
      </c>
      <c r="AD789">
        <v>-0.18248249999999999</v>
      </c>
      <c r="AE789">
        <v>-5.1699999999982503E-2</v>
      </c>
      <c r="AF789">
        <v>5.02657500048794E-2</v>
      </c>
      <c r="AG789">
        <v>-0.18248249999999999</v>
      </c>
      <c r="AH789">
        <v>0.46098170396890997</v>
      </c>
      <c r="AI789">
        <v>111.48081431096</v>
      </c>
      <c r="AJ789">
        <v>83.777016058697598</v>
      </c>
      <c r="AK789">
        <v>0.49832784371724897</v>
      </c>
      <c r="AL789">
        <v>83.224082533204793</v>
      </c>
      <c r="AM789">
        <v>86.944901039636505</v>
      </c>
      <c r="AN789">
        <v>1.00000004155462</v>
      </c>
    </row>
    <row r="790" spans="1:40" x14ac:dyDescent="0.25">
      <c r="A790" t="str">
        <f>"20190312164234216"</f>
        <v>20190312164234216</v>
      </c>
      <c r="B790" t="str">
        <f>"1552380154205154"</f>
        <v>1552380154205154</v>
      </c>
      <c r="C790" t="s">
        <v>40</v>
      </c>
      <c r="D790">
        <v>4.0144409999999997</v>
      </c>
      <c r="E790">
        <v>0.54593579999999997</v>
      </c>
      <c r="F790" t="s">
        <v>41</v>
      </c>
      <c r="G790">
        <v>-250.88560000000001</v>
      </c>
      <c r="H790">
        <v>0.93890110000000004</v>
      </c>
      <c r="I790">
        <v>367.1687</v>
      </c>
      <c r="J790">
        <v>-251.38800000000001</v>
      </c>
      <c r="K790">
        <v>1.1105050000000001</v>
      </c>
      <c r="L790">
        <v>367.28449999999998</v>
      </c>
      <c r="M790">
        <v>0.99985939999999995</v>
      </c>
      <c r="N790">
        <v>0</v>
      </c>
      <c r="O790">
        <v>9.2581450000000006E-3</v>
      </c>
      <c r="P790">
        <v>0.99364859999999999</v>
      </c>
      <c r="Q790">
        <v>0.10369979999999999</v>
      </c>
      <c r="R790">
        <v>-4.3690729999999997E-2</v>
      </c>
      <c r="S790">
        <v>3.071701</v>
      </c>
      <c r="T790">
        <v>-0.69219449999999905</v>
      </c>
      <c r="U790">
        <v>-0.45578000000000002</v>
      </c>
      <c r="V790">
        <v>5.2870500000000001E-2</v>
      </c>
      <c r="W790">
        <v>0.1175846</v>
      </c>
      <c r="X790">
        <v>0.99165449999999999</v>
      </c>
      <c r="Y790">
        <v>0.15196770000000001</v>
      </c>
      <c r="Z790">
        <v>-1.887202E-2</v>
      </c>
      <c r="AA790">
        <v>0.98820529999999995</v>
      </c>
      <c r="AB790">
        <v>26</v>
      </c>
      <c r="AC790">
        <v>0.50239999999999396</v>
      </c>
      <c r="AD790">
        <v>-0.171603899999999</v>
      </c>
      <c r="AE790">
        <v>-0.115799999999978</v>
      </c>
      <c r="AF790">
        <v>0.108434099054233</v>
      </c>
      <c r="AG790">
        <v>-0.171603899999999</v>
      </c>
      <c r="AH790">
        <v>0.45130880249919197</v>
      </c>
      <c r="AI790">
        <v>110.29008116470899</v>
      </c>
      <c r="AJ790">
        <v>76.489864368035597</v>
      </c>
      <c r="AK790">
        <v>0.49485905826423698</v>
      </c>
      <c r="AL790">
        <v>83.247276864054598</v>
      </c>
      <c r="AM790">
        <v>86.948139560055793</v>
      </c>
      <c r="AN790">
        <v>1.0000000376488201</v>
      </c>
    </row>
    <row r="791" spans="1:40" x14ac:dyDescent="0.25">
      <c r="A791" t="str">
        <f>"20190312164234239"</f>
        <v>20190312164234239</v>
      </c>
      <c r="B791" t="str">
        <f>"1552380154234437"</f>
        <v>1552380154234437</v>
      </c>
      <c r="C791" t="s">
        <v>40</v>
      </c>
      <c r="D791">
        <v>3.9819439999999999</v>
      </c>
      <c r="E791">
        <v>0.54519090000000003</v>
      </c>
      <c r="F791" t="s">
        <v>41</v>
      </c>
      <c r="G791">
        <v>-250.64760000000001</v>
      </c>
      <c r="H791">
        <v>0.9430077</v>
      </c>
      <c r="I791">
        <v>367.17630000000003</v>
      </c>
      <c r="J791">
        <v>-251.1165</v>
      </c>
      <c r="K791">
        <v>1.1105</v>
      </c>
      <c r="L791">
        <v>367.28719999999998</v>
      </c>
      <c r="M791">
        <v>0.99985849999999998</v>
      </c>
      <c r="N791">
        <v>0</v>
      </c>
      <c r="O791">
        <v>9.369077E-3</v>
      </c>
      <c r="P791">
        <v>0.99364010000000003</v>
      </c>
      <c r="Q791">
        <v>0.1038945</v>
      </c>
      <c r="R791">
        <v>-4.3426779999999998E-2</v>
      </c>
      <c r="S791">
        <v>3.0719759999999998</v>
      </c>
      <c r="T791">
        <v>-0.69498190000000004</v>
      </c>
      <c r="U791">
        <v>-0.44851679999999999</v>
      </c>
      <c r="V791">
        <v>5.2716550000000001E-2</v>
      </c>
      <c r="W791">
        <v>0.1177764</v>
      </c>
      <c r="X791">
        <v>0.99163990000000002</v>
      </c>
      <c r="Y791">
        <v>0.1497956</v>
      </c>
      <c r="Z791">
        <v>-1.873093E-2</v>
      </c>
      <c r="AA791">
        <v>0.98853950000000002</v>
      </c>
      <c r="AB791">
        <v>26</v>
      </c>
      <c r="AC791">
        <v>0.46889999999998999</v>
      </c>
      <c r="AD791">
        <v>-0.16749230000000001</v>
      </c>
      <c r="AE791">
        <v>-0.110899999999958</v>
      </c>
      <c r="AF791">
        <v>0.102859715789572</v>
      </c>
      <c r="AG791">
        <v>-0.16749230000000001</v>
      </c>
      <c r="AH791">
        <v>0.41740352696336602</v>
      </c>
      <c r="AI791">
        <v>111.286694666239</v>
      </c>
      <c r="AJ791">
        <v>76.156565456902698</v>
      </c>
      <c r="AK791">
        <v>0.46136698626262701</v>
      </c>
      <c r="AL791">
        <v>83.236210406003295</v>
      </c>
      <c r="AM791">
        <v>86.956964620511201</v>
      </c>
      <c r="AN791">
        <v>1.00000000315643</v>
      </c>
    </row>
    <row r="792" spans="1:40" x14ac:dyDescent="0.25">
      <c r="A792" t="str">
        <f>"20190312164234253"</f>
        <v>20190312164234253</v>
      </c>
      <c r="B792" t="str">
        <f>"1552380154245169"</f>
        <v>1552380154245169</v>
      </c>
      <c r="C792" t="s">
        <v>40</v>
      </c>
      <c r="D792">
        <v>3.9714309999999999</v>
      </c>
      <c r="E792">
        <v>0.54490050000000001</v>
      </c>
      <c r="F792" t="s">
        <v>41</v>
      </c>
      <c r="G792">
        <v>-250.40780000000001</v>
      </c>
      <c r="H792">
        <v>0.95140650000000004</v>
      </c>
      <c r="I792">
        <v>367.1848</v>
      </c>
      <c r="J792">
        <v>-250.94319999999999</v>
      </c>
      <c r="K792">
        <v>1.1105020000000001</v>
      </c>
      <c r="L792">
        <v>367.28890000000001</v>
      </c>
      <c r="M792">
        <v>0.99985789999999997</v>
      </c>
      <c r="N792">
        <v>0</v>
      </c>
      <c r="O792">
        <v>9.4395390000000003E-3</v>
      </c>
      <c r="P792">
        <v>0.9936739</v>
      </c>
      <c r="Q792">
        <v>0.1036995</v>
      </c>
      <c r="R792">
        <v>-4.3117019999999999E-2</v>
      </c>
      <c r="S792">
        <v>3.0720209999999999</v>
      </c>
      <c r="T792">
        <v>-0.68984630000000002</v>
      </c>
      <c r="U792">
        <v>-0.4422913</v>
      </c>
      <c r="V792">
        <v>5.2477280000000001E-2</v>
      </c>
      <c r="W792">
        <v>0.1175799</v>
      </c>
      <c r="X792">
        <v>0.99167590000000005</v>
      </c>
      <c r="Y792">
        <v>0.14799909999999999</v>
      </c>
      <c r="Z792">
        <v>-1.841547E-2</v>
      </c>
      <c r="AA792">
        <v>0.98881600000000003</v>
      </c>
      <c r="AB792">
        <v>26</v>
      </c>
      <c r="AC792">
        <v>0.535399999999981</v>
      </c>
      <c r="AD792">
        <v>-0.1590955</v>
      </c>
      <c r="AE792">
        <v>-0.104100000000016</v>
      </c>
      <c r="AF792">
        <v>0.10059117145314</v>
      </c>
      <c r="AG792">
        <v>-0.1590955</v>
      </c>
      <c r="AH792">
        <v>0.49249073572737101</v>
      </c>
      <c r="AI792">
        <v>107.562997985579</v>
      </c>
      <c r="AJ792">
        <v>78.456125476888801</v>
      </c>
      <c r="AK792">
        <v>0.52723532380887805</v>
      </c>
      <c r="AL792">
        <v>83.247547740670001</v>
      </c>
      <c r="AM792">
        <v>86.970860337648901</v>
      </c>
      <c r="AN792">
        <v>0.999999994220509</v>
      </c>
    </row>
    <row r="793" spans="1:40" x14ac:dyDescent="0.25">
      <c r="A793" t="str">
        <f>"20190312164234273"</f>
        <v>20190312164234273</v>
      </c>
      <c r="B793" t="str">
        <f>"1552380154264689"</f>
        <v>1552380154264689</v>
      </c>
      <c r="C793" t="s">
        <v>40</v>
      </c>
      <c r="D793">
        <v>3.9058899999999999</v>
      </c>
      <c r="E793">
        <v>0.54446759999999905</v>
      </c>
      <c r="F793" t="s">
        <v>41</v>
      </c>
      <c r="G793">
        <v>-250.17779999999999</v>
      </c>
      <c r="H793">
        <v>0.93863459999999999</v>
      </c>
      <c r="I793">
        <v>367.17939999999999</v>
      </c>
      <c r="J793">
        <v>-250.71729999999999</v>
      </c>
      <c r="K793">
        <v>1.110506</v>
      </c>
      <c r="L793">
        <v>367.29109999999997</v>
      </c>
      <c r="M793">
        <v>0.99985690000000005</v>
      </c>
      <c r="N793">
        <v>0</v>
      </c>
      <c r="O793">
        <v>9.5319949999999997E-3</v>
      </c>
      <c r="P793">
        <v>0.9936912</v>
      </c>
      <c r="Q793">
        <v>0.1037479</v>
      </c>
      <c r="R793">
        <v>-4.2595340000000002E-2</v>
      </c>
      <c r="S793">
        <v>3.0720369999999999</v>
      </c>
      <c r="T793">
        <v>-0.6898396</v>
      </c>
      <c r="U793">
        <v>-0.43930049999999998</v>
      </c>
      <c r="V793">
        <v>5.2047679999999999E-2</v>
      </c>
      <c r="W793">
        <v>0.1176263</v>
      </c>
      <c r="X793">
        <v>0.99169300000000005</v>
      </c>
      <c r="Y793">
        <v>0.14716409999999999</v>
      </c>
      <c r="Z793">
        <v>-1.834469E-2</v>
      </c>
      <c r="AA793">
        <v>0.98894199999999999</v>
      </c>
      <c r="AB793">
        <v>26</v>
      </c>
      <c r="AC793">
        <v>0.53950000000000298</v>
      </c>
      <c r="AD793">
        <v>-0.17187140000000001</v>
      </c>
      <c r="AE793">
        <v>-0.11169999999998401</v>
      </c>
      <c r="AF793">
        <v>0.106475866738434</v>
      </c>
      <c r="AG793">
        <v>-0.17187140000000001</v>
      </c>
      <c r="AH793">
        <v>0.49066033177385998</v>
      </c>
      <c r="AI793">
        <v>108.897025159249</v>
      </c>
      <c r="AJ793">
        <v>77.756349222421605</v>
      </c>
      <c r="AK793">
        <v>0.53068300284830605</v>
      </c>
      <c r="AL793">
        <v>83.244870385577698</v>
      </c>
      <c r="AM793">
        <v>86.995664179187003</v>
      </c>
      <c r="AN793">
        <v>0.99999995684703502</v>
      </c>
    </row>
    <row r="794" spans="1:40" x14ac:dyDescent="0.25">
      <c r="A794" t="str">
        <f>"20190312164234295"</f>
        <v>20190312164234295</v>
      </c>
      <c r="B794" t="str">
        <f>"1552380154284209"</f>
        <v>1552380154284209</v>
      </c>
      <c r="C794" t="s">
        <v>40</v>
      </c>
      <c r="D794">
        <v>4.3830879999999999</v>
      </c>
      <c r="E794">
        <v>0.54425449999999997</v>
      </c>
      <c r="F794" t="s">
        <v>41</v>
      </c>
      <c r="G794">
        <v>-249.94319999999999</v>
      </c>
      <c r="H794">
        <v>0.93697929999999996</v>
      </c>
      <c r="I794">
        <v>367.1816</v>
      </c>
      <c r="J794">
        <v>-250.45609999999999</v>
      </c>
      <c r="K794">
        <v>1.1105100000000001</v>
      </c>
      <c r="L794">
        <v>367.29379999999998</v>
      </c>
      <c r="M794">
        <v>0.99985590000000002</v>
      </c>
      <c r="N794">
        <v>0</v>
      </c>
      <c r="O794">
        <v>9.6387580000000007E-3</v>
      </c>
      <c r="P794">
        <v>0.99371069999999995</v>
      </c>
      <c r="Q794">
        <v>0.1038099</v>
      </c>
      <c r="R794">
        <v>-4.1984760000000003E-2</v>
      </c>
      <c r="S794">
        <v>3.0723569999999998</v>
      </c>
      <c r="T794">
        <v>-0.68882480000000001</v>
      </c>
      <c r="U794">
        <v>-0.43402099999999999</v>
      </c>
      <c r="V794">
        <v>5.1543409999999998E-2</v>
      </c>
      <c r="W794">
        <v>0.1176855</v>
      </c>
      <c r="X794">
        <v>0.99171229999999999</v>
      </c>
      <c r="Y794">
        <v>0.1456346</v>
      </c>
      <c r="Z794">
        <v>-1.817363E-2</v>
      </c>
      <c r="AA794">
        <v>0.98917149999999998</v>
      </c>
      <c r="AB794">
        <v>26</v>
      </c>
      <c r="AC794">
        <v>0.51290000000000102</v>
      </c>
      <c r="AD794">
        <v>-0.17353070000000001</v>
      </c>
      <c r="AE794">
        <v>-0.112199999999973</v>
      </c>
      <c r="AF794">
        <v>0.105602813043547</v>
      </c>
      <c r="AG794">
        <v>-0.17353070000000001</v>
      </c>
      <c r="AH794">
        <v>0.46139163031963598</v>
      </c>
      <c r="AI794">
        <v>110.134074985317</v>
      </c>
      <c r="AJ794">
        <v>77.108256935648598</v>
      </c>
      <c r="AK794">
        <v>0.50413003728622696</v>
      </c>
      <c r="AL794">
        <v>83.241454657701397</v>
      </c>
      <c r="AM794">
        <v>87.0247772805822</v>
      </c>
      <c r="AN794">
        <v>0.99999994299798201</v>
      </c>
    </row>
    <row r="795" spans="1:40" x14ac:dyDescent="0.25">
      <c r="A795" t="str">
        <f>"20190312164234318"</f>
        <v>20190312164234318</v>
      </c>
      <c r="B795" t="str">
        <f>"1552380154314467"</f>
        <v>1552380154314467</v>
      </c>
      <c r="C795" t="s">
        <v>40</v>
      </c>
      <c r="D795">
        <v>3.9122180000000002</v>
      </c>
      <c r="E795">
        <v>0.5442977</v>
      </c>
      <c r="F795" t="s">
        <v>41</v>
      </c>
      <c r="G795">
        <v>-249.7055</v>
      </c>
      <c r="H795">
        <v>0.94261980000000001</v>
      </c>
      <c r="I795">
        <v>367.1884</v>
      </c>
      <c r="J795">
        <v>-250.18950000000001</v>
      </c>
      <c r="K795">
        <v>1.1105080000000001</v>
      </c>
      <c r="L795">
        <v>367.29640000000001</v>
      </c>
      <c r="M795">
        <v>0.99985500000000005</v>
      </c>
      <c r="N795">
        <v>0</v>
      </c>
      <c r="O795">
        <v>9.7476090000000008E-3</v>
      </c>
      <c r="P795">
        <v>0.99371310000000002</v>
      </c>
      <c r="Q795">
        <v>0.1038579</v>
      </c>
      <c r="R795">
        <v>-4.1809720000000002E-2</v>
      </c>
      <c r="S795">
        <v>3.072632</v>
      </c>
      <c r="T795">
        <v>-0.68734899999999999</v>
      </c>
      <c r="U795">
        <v>-0.43041990000000002</v>
      </c>
      <c r="V795">
        <v>5.1476649999999999E-2</v>
      </c>
      <c r="W795">
        <v>0.11773</v>
      </c>
      <c r="X795">
        <v>0.99171050000000005</v>
      </c>
      <c r="Y795">
        <v>0.1446308</v>
      </c>
      <c r="Z795">
        <v>-1.8049019999999999E-2</v>
      </c>
      <c r="AA795">
        <v>0.98932109999999995</v>
      </c>
      <c r="AB795">
        <v>26</v>
      </c>
      <c r="AC795">
        <v>0.48400000000000798</v>
      </c>
      <c r="AD795">
        <v>-0.16788819999999999</v>
      </c>
      <c r="AE795">
        <v>-0.108000000000004</v>
      </c>
      <c r="AF795">
        <v>0.101122841810087</v>
      </c>
      <c r="AG795">
        <v>-0.16788819999999999</v>
      </c>
      <c r="AH795">
        <v>0.43326492177248299</v>
      </c>
      <c r="AI795">
        <v>110.674186080624</v>
      </c>
      <c r="AJ795">
        <v>76.862504608052802</v>
      </c>
      <c r="AK795">
        <v>0.47553209068737301</v>
      </c>
      <c r="AL795">
        <v>83.238887242556203</v>
      </c>
      <c r="AM795">
        <v>87.028618551664096</v>
      </c>
      <c r="AN795">
        <v>0.99999995710273504</v>
      </c>
    </row>
    <row r="796" spans="1:40" x14ac:dyDescent="0.25">
      <c r="A796" t="str">
        <f>"20190312164234341"</f>
        <v>20190312164234341</v>
      </c>
      <c r="B796" t="str">
        <f>"1552380154334961"</f>
        <v>1552380154334961</v>
      </c>
      <c r="C796" t="s">
        <v>40</v>
      </c>
      <c r="D796">
        <v>4.2676639999999999</v>
      </c>
      <c r="E796">
        <v>0.54416699999999996</v>
      </c>
      <c r="F796" t="s">
        <v>41</v>
      </c>
      <c r="G796">
        <v>-249.46770000000001</v>
      </c>
      <c r="H796">
        <v>0.94921279999999997</v>
      </c>
      <c r="I796">
        <v>367.19529999999997</v>
      </c>
      <c r="J796">
        <v>-249.92150000000001</v>
      </c>
      <c r="K796">
        <v>1.110509</v>
      </c>
      <c r="L796">
        <v>367.29919999999998</v>
      </c>
      <c r="M796">
        <v>0.99985400000000002</v>
      </c>
      <c r="N796">
        <v>0</v>
      </c>
      <c r="O796">
        <v>9.8571749999999993E-3</v>
      </c>
      <c r="P796">
        <v>0.9936239</v>
      </c>
      <c r="Q796">
        <v>0.10461910000000001</v>
      </c>
      <c r="R796">
        <v>-4.2028900000000001E-2</v>
      </c>
      <c r="S796">
        <v>3.072632</v>
      </c>
      <c r="T796">
        <v>-0.68665189999999998</v>
      </c>
      <c r="U796">
        <v>-0.42996220000000002</v>
      </c>
      <c r="V796">
        <v>5.1803910000000002E-2</v>
      </c>
      <c r="W796">
        <v>0.1184866</v>
      </c>
      <c r="X796">
        <v>0.99160340000000002</v>
      </c>
      <c r="Y796">
        <v>0.14460010000000001</v>
      </c>
      <c r="Z796">
        <v>-1.8052039999999998E-2</v>
      </c>
      <c r="AA796">
        <v>0.98932549999999997</v>
      </c>
      <c r="AB796">
        <v>26</v>
      </c>
      <c r="AC796">
        <v>0.45380000000000098</v>
      </c>
      <c r="AD796">
        <v>-0.161296199999999</v>
      </c>
      <c r="AE796">
        <v>-0.10390000000001</v>
      </c>
      <c r="AF796">
        <v>9.6754104539989103E-2</v>
      </c>
      <c r="AG796">
        <v>-0.161296199999999</v>
      </c>
      <c r="AH796">
        <v>0.40422953330381101</v>
      </c>
      <c r="AI796">
        <v>111.209243160238</v>
      </c>
      <c r="AJ796">
        <v>76.539249127398406</v>
      </c>
      <c r="AK796">
        <v>0.44584676344545998</v>
      </c>
      <c r="AL796">
        <v>83.195232065120905</v>
      </c>
      <c r="AM796">
        <v>87.009439950889004</v>
      </c>
      <c r="AN796">
        <v>1.0000000111812</v>
      </c>
    </row>
    <row r="797" spans="1:40" x14ac:dyDescent="0.25">
      <c r="A797" t="str">
        <f>"20190312164234364"</f>
        <v>20190312164234364</v>
      </c>
      <c r="B797" t="str">
        <f>"1552380154354481"</f>
        <v>1552380154354481</v>
      </c>
      <c r="C797" t="s">
        <v>40</v>
      </c>
      <c r="D797">
        <v>3.8792209999999998</v>
      </c>
      <c r="E797">
        <v>0.54417910000000003</v>
      </c>
      <c r="F797" t="s">
        <v>41</v>
      </c>
      <c r="G797">
        <v>-249.22980000000001</v>
      </c>
      <c r="H797">
        <v>0.95630990000000005</v>
      </c>
      <c r="I797">
        <v>367.20229999999998</v>
      </c>
      <c r="J797">
        <v>-249.6585</v>
      </c>
      <c r="K797">
        <v>1.1105119999999999</v>
      </c>
      <c r="L797">
        <v>367.30189999999999</v>
      </c>
      <c r="M797">
        <v>0.99985290000000004</v>
      </c>
      <c r="N797">
        <v>0</v>
      </c>
      <c r="O797">
        <v>9.9650680000000005E-3</v>
      </c>
      <c r="P797">
        <v>0.99361929999999998</v>
      </c>
      <c r="Q797">
        <v>0.1046107</v>
      </c>
      <c r="R797">
        <v>-4.2156989999999998E-2</v>
      </c>
      <c r="S797">
        <v>3.0731660000000001</v>
      </c>
      <c r="T797">
        <v>-0.68512819999999997</v>
      </c>
      <c r="U797">
        <v>-0.4303284</v>
      </c>
      <c r="V797">
        <v>5.203903E-2</v>
      </c>
      <c r="W797">
        <v>0.11847580000000001</v>
      </c>
      <c r="X797">
        <v>0.99159229999999998</v>
      </c>
      <c r="Y797">
        <v>0.14480889999999999</v>
      </c>
      <c r="Z797">
        <v>-1.8056309999999999E-2</v>
      </c>
      <c r="AA797">
        <v>0.98929489999999998</v>
      </c>
      <c r="AB797">
        <v>26</v>
      </c>
      <c r="AC797">
        <v>0.42869999999999198</v>
      </c>
      <c r="AD797">
        <v>-0.15420210000000001</v>
      </c>
      <c r="AE797">
        <v>-9.9600000000009403E-2</v>
      </c>
      <c r="AF797">
        <v>9.2511200297018495E-2</v>
      </c>
      <c r="AG797">
        <v>-0.15420210000000001</v>
      </c>
      <c r="AH797">
        <v>0.38092527308598101</v>
      </c>
      <c r="AI797">
        <v>111.47342435509</v>
      </c>
      <c r="AJ797">
        <v>76.349470527810496</v>
      </c>
      <c r="AK797">
        <v>0.42123707517315501</v>
      </c>
      <c r="AL797">
        <v>83.195854712015404</v>
      </c>
      <c r="AM797">
        <v>86.995858074128705</v>
      </c>
      <c r="AN797">
        <v>0.999999932624133</v>
      </c>
    </row>
    <row r="798" spans="1:40" x14ac:dyDescent="0.25">
      <c r="A798" t="str">
        <f>"20190312164234384"</f>
        <v>20190312164234384</v>
      </c>
      <c r="B798" t="str">
        <f>"1552380154374977"</f>
        <v>1552380154374977</v>
      </c>
      <c r="C798" t="s">
        <v>40</v>
      </c>
      <c r="D798">
        <v>3.9340929999999998</v>
      </c>
      <c r="E798">
        <v>0.54410839999999905</v>
      </c>
      <c r="F798" t="s">
        <v>41</v>
      </c>
      <c r="G798">
        <v>-248.77969999999999</v>
      </c>
      <c r="H798">
        <v>0.914574</v>
      </c>
      <c r="I798">
        <v>367.17849999999999</v>
      </c>
      <c r="J798">
        <v>-249.41059999999999</v>
      </c>
      <c r="K798">
        <v>1.1105149999999999</v>
      </c>
      <c r="L798">
        <v>367.30450000000002</v>
      </c>
      <c r="M798">
        <v>0.99985199999999996</v>
      </c>
      <c r="N798">
        <v>0</v>
      </c>
      <c r="O798">
        <v>1.00657E-2</v>
      </c>
      <c r="P798">
        <v>0.9936739</v>
      </c>
      <c r="Q798">
        <v>0.103982</v>
      </c>
      <c r="R798">
        <v>-4.2428420000000001E-2</v>
      </c>
      <c r="S798">
        <v>3.0731199999999999</v>
      </c>
      <c r="T798">
        <v>-0.68531200000000003</v>
      </c>
      <c r="U798">
        <v>-0.43099979999999899</v>
      </c>
      <c r="V798">
        <v>5.2411020000000003E-2</v>
      </c>
      <c r="W798">
        <v>0.11784459999999999</v>
      </c>
      <c r="X798">
        <v>0.99164799999999997</v>
      </c>
      <c r="Y798">
        <v>0.14511070000000001</v>
      </c>
      <c r="Z798">
        <v>-1.8116199999999999E-2</v>
      </c>
      <c r="AA798">
        <v>0.9892495</v>
      </c>
      <c r="AB798">
        <v>26</v>
      </c>
      <c r="AC798">
        <v>0.63089999999999602</v>
      </c>
      <c r="AD798">
        <v>-0.195940999999999</v>
      </c>
      <c r="AE798">
        <v>-0.126000000000033</v>
      </c>
      <c r="AF798">
        <v>0.121110875392216</v>
      </c>
      <c r="AG798">
        <v>-0.195940999999999</v>
      </c>
      <c r="AH798">
        <v>0.57615735042281502</v>
      </c>
      <c r="AI798">
        <v>108.407915828467</v>
      </c>
      <c r="AJ798">
        <v>78.128998521924203</v>
      </c>
      <c r="AK798">
        <v>0.62049819666579897</v>
      </c>
      <c r="AL798">
        <v>83.232275479872598</v>
      </c>
      <c r="AM798">
        <v>86.974592986848407</v>
      </c>
      <c r="AN798">
        <v>1.0000000103352999</v>
      </c>
    </row>
    <row r="799" spans="1:40" x14ac:dyDescent="0.25">
      <c r="A799" t="str">
        <f>"20190312164234407"</f>
        <v>20190312164234407</v>
      </c>
      <c r="B799" t="str">
        <f>"1552380154394497"</f>
        <v>1552380154394497</v>
      </c>
      <c r="C799" t="s">
        <v>40</v>
      </c>
      <c r="D799">
        <v>3.9038979999999999</v>
      </c>
      <c r="E799">
        <v>0.54176400000000002</v>
      </c>
      <c r="F799" t="s">
        <v>41</v>
      </c>
      <c r="G799">
        <v>-248.54519999999999</v>
      </c>
      <c r="H799">
        <v>0.91682909999999995</v>
      </c>
      <c r="I799">
        <v>367.1825</v>
      </c>
      <c r="J799">
        <v>-249.1525</v>
      </c>
      <c r="K799">
        <v>1.110514</v>
      </c>
      <c r="L799">
        <v>367.30720000000002</v>
      </c>
      <c r="M799">
        <v>0.99985100000000005</v>
      </c>
      <c r="N799">
        <v>0</v>
      </c>
      <c r="O799">
        <v>1.017121E-2</v>
      </c>
      <c r="P799">
        <v>0.99372760000000004</v>
      </c>
      <c r="Q799">
        <v>0.1033988</v>
      </c>
      <c r="R799">
        <v>-4.2594449999999999E-2</v>
      </c>
      <c r="S799">
        <v>3.072632</v>
      </c>
      <c r="T799">
        <v>-0.68785739999999995</v>
      </c>
      <c r="U799">
        <v>-0.43218990000000002</v>
      </c>
      <c r="V799">
        <v>5.268258E-2</v>
      </c>
      <c r="W799">
        <v>0.1172598</v>
      </c>
      <c r="X799">
        <v>0.99170290000000005</v>
      </c>
      <c r="Y799">
        <v>0.14557030000000001</v>
      </c>
      <c r="Z799">
        <v>-1.825802E-2</v>
      </c>
      <c r="AA799">
        <v>0.98917940000000004</v>
      </c>
      <c r="AB799">
        <v>26</v>
      </c>
      <c r="AC799">
        <v>0.60730000000000905</v>
      </c>
      <c r="AD799">
        <v>-0.19368489999999999</v>
      </c>
      <c r="AE799">
        <v>-0.124700000000018</v>
      </c>
      <c r="AF799">
        <v>0.119233903824289</v>
      </c>
      <c r="AG799">
        <v>-0.19368489999999999</v>
      </c>
      <c r="AH799">
        <v>0.55211383257485402</v>
      </c>
      <c r="AI799">
        <v>108.926896234293</v>
      </c>
      <c r="AJ799">
        <v>77.813615923027697</v>
      </c>
      <c r="AK799">
        <v>0.59712666029049799</v>
      </c>
      <c r="AL799">
        <v>83.2660157687164</v>
      </c>
      <c r="AM799">
        <v>86.959114667440005</v>
      </c>
      <c r="AN799">
        <v>0.99999997839995303</v>
      </c>
    </row>
    <row r="800" spans="1:40" x14ac:dyDescent="0.25">
      <c r="A800" t="str">
        <f>"20190312164234429"</f>
        <v>20190312164234429</v>
      </c>
      <c r="B800" t="str">
        <f>"1552380154424753"</f>
        <v>1552380154424753</v>
      </c>
      <c r="C800" t="s">
        <v>40</v>
      </c>
      <c r="D800">
        <v>4.2503320000000002</v>
      </c>
      <c r="E800">
        <v>0.49669540000000001</v>
      </c>
      <c r="F800" t="s">
        <v>41</v>
      </c>
      <c r="G800">
        <v>-248.30860000000001</v>
      </c>
      <c r="H800">
        <v>0.92494900000000002</v>
      </c>
      <c r="I800">
        <v>367.19290000000001</v>
      </c>
      <c r="J800">
        <v>-248.8886</v>
      </c>
      <c r="K800">
        <v>1.1105149999999999</v>
      </c>
      <c r="L800">
        <v>367.31</v>
      </c>
      <c r="M800">
        <v>0.99984989999999996</v>
      </c>
      <c r="N800">
        <v>0</v>
      </c>
      <c r="O800">
        <v>1.0278570000000001E-2</v>
      </c>
      <c r="P800">
        <v>0.99374180000000001</v>
      </c>
      <c r="Q800">
        <v>0.1033401</v>
      </c>
      <c r="R800">
        <v>-4.2408410000000001E-2</v>
      </c>
      <c r="S800">
        <v>3.0714109999999999</v>
      </c>
      <c r="T800">
        <v>-0.67553869999999905</v>
      </c>
      <c r="U800">
        <v>-0.41525269999999997</v>
      </c>
      <c r="V800">
        <v>5.260331E-2</v>
      </c>
      <c r="W800">
        <v>0.1171982</v>
      </c>
      <c r="X800">
        <v>0.9917144</v>
      </c>
      <c r="Y800">
        <v>0.1406162</v>
      </c>
      <c r="Z800">
        <v>-1.743923E-2</v>
      </c>
      <c r="AA800">
        <v>0.98991059999999997</v>
      </c>
      <c r="AB800">
        <v>26</v>
      </c>
      <c r="AC800">
        <v>0.57999999999998397</v>
      </c>
      <c r="AD800">
        <v>-0.18556599999999901</v>
      </c>
      <c r="AE800">
        <v>-0.117099999999993</v>
      </c>
      <c r="AF800">
        <v>0.112036768122269</v>
      </c>
      <c r="AG800">
        <v>-0.18556599999999901</v>
      </c>
      <c r="AH800">
        <v>0.52693934915498897</v>
      </c>
      <c r="AI800">
        <v>109.006697617398</v>
      </c>
      <c r="AJ800">
        <v>77.996634383840401</v>
      </c>
      <c r="AK800">
        <v>0.56978246327450899</v>
      </c>
      <c r="AL800">
        <v>83.269569763337401</v>
      </c>
      <c r="AM800">
        <v>86.963716777738497</v>
      </c>
      <c r="AN800">
        <v>0.99999998873677798</v>
      </c>
    </row>
    <row r="801" spans="1:40" x14ac:dyDescent="0.25">
      <c r="A801" t="str">
        <f>"20190312164234451"</f>
        <v>20190312164234451</v>
      </c>
      <c r="B801" t="str">
        <f>"1552380154444277"</f>
        <v>1552380154444277</v>
      </c>
      <c r="C801" t="s">
        <v>40</v>
      </c>
      <c r="D801">
        <v>3.949074</v>
      </c>
      <c r="E801">
        <v>0.50008790000000003</v>
      </c>
      <c r="F801" t="s">
        <v>42</v>
      </c>
      <c r="G801">
        <v>-228.70009999999999</v>
      </c>
      <c r="H801" s="1">
        <v>-1.1807950000000001E-6</v>
      </c>
      <c r="I801">
        <v>366.78870000000001</v>
      </c>
      <c r="J801">
        <v>-248.62790000000001</v>
      </c>
      <c r="K801">
        <v>1.1105119999999999</v>
      </c>
      <c r="L801">
        <v>367.31279999999998</v>
      </c>
      <c r="M801">
        <v>0.99984879999999998</v>
      </c>
      <c r="N801">
        <v>0</v>
      </c>
      <c r="O801">
        <v>1.038527E-2</v>
      </c>
      <c r="P801">
        <v>0.99380089999999999</v>
      </c>
      <c r="Q801">
        <v>0.10286969999999999</v>
      </c>
      <c r="R801">
        <v>-4.2164809999999997E-2</v>
      </c>
      <c r="S801">
        <v>3.0328979999999999</v>
      </c>
      <c r="T801">
        <v>-0.16683129999999999</v>
      </c>
      <c r="U801">
        <v>-7.830811E-2</v>
      </c>
      <c r="V801">
        <v>5.2466440000000003E-2</v>
      </c>
      <c r="W801">
        <v>0.1167261</v>
      </c>
      <c r="X801">
        <v>0.99177740000000003</v>
      </c>
      <c r="Y801">
        <v>3.6122120000000001E-2</v>
      </c>
      <c r="Z801">
        <v>-1.5633789999999999E-3</v>
      </c>
      <c r="AA801">
        <v>0.99934610000000001</v>
      </c>
      <c r="AB801">
        <v>26</v>
      </c>
      <c r="AC801">
        <v>19.927800000000001</v>
      </c>
      <c r="AD801">
        <v>-1.1105131807949999</v>
      </c>
      <c r="AE801">
        <v>-0.52409999999997503</v>
      </c>
      <c r="AF801">
        <v>0.72878578069381195</v>
      </c>
      <c r="AG801">
        <v>-1.1105131807949999</v>
      </c>
      <c r="AH801">
        <v>19.859650551366901</v>
      </c>
      <c r="AI801">
        <v>93.198387548449304</v>
      </c>
      <c r="AJ801">
        <v>87.898370839078297</v>
      </c>
      <c r="AK801">
        <v>19.9040219116958</v>
      </c>
      <c r="AL801">
        <v>83.296806523976699</v>
      </c>
      <c r="AM801">
        <v>86.971794254642802</v>
      </c>
      <c r="AN801">
        <v>1.0000000604491199</v>
      </c>
    </row>
    <row r="802" spans="1:40" x14ac:dyDescent="0.25">
      <c r="A802" t="str">
        <f>"20190312164234473"</f>
        <v>20190312164234473</v>
      </c>
      <c r="B802" t="str">
        <f>"1552380154464769"</f>
        <v>1552380154464769</v>
      </c>
      <c r="C802" t="s">
        <v>40</v>
      </c>
      <c r="D802">
        <v>3.97803</v>
      </c>
      <c r="E802">
        <v>0.50329179999999996</v>
      </c>
      <c r="F802" t="s">
        <v>42</v>
      </c>
      <c r="G802">
        <v>-229.452</v>
      </c>
      <c r="H802" s="1">
        <v>-9.607409000000001E-7</v>
      </c>
      <c r="I802">
        <v>366.65410000000003</v>
      </c>
      <c r="J802">
        <v>-248.37110000000001</v>
      </c>
      <c r="K802">
        <v>1.1105130000000001</v>
      </c>
      <c r="L802">
        <v>367.31560000000002</v>
      </c>
      <c r="M802">
        <v>0.99984779999999995</v>
      </c>
      <c r="N802">
        <v>0</v>
      </c>
      <c r="O802">
        <v>1.0490070000000001E-2</v>
      </c>
      <c r="P802">
        <v>0.99376520000000002</v>
      </c>
      <c r="Q802">
        <v>0.103184</v>
      </c>
      <c r="R802">
        <v>-4.2237780000000003E-2</v>
      </c>
      <c r="S802">
        <v>3.0324710000000001</v>
      </c>
      <c r="T802">
        <v>-0.17561479999999999</v>
      </c>
      <c r="U802">
        <v>-0.1041565</v>
      </c>
      <c r="V802">
        <v>5.2643309999999999E-2</v>
      </c>
      <c r="W802">
        <v>0.11703719999999999</v>
      </c>
      <c r="X802">
        <v>0.99173129999999998</v>
      </c>
      <c r="Y802">
        <v>4.4717449999999999E-2</v>
      </c>
      <c r="Z802">
        <v>-1.9002489999999999E-3</v>
      </c>
      <c r="AA802">
        <v>0.99899789999999999</v>
      </c>
      <c r="AB802">
        <v>26</v>
      </c>
      <c r="AC802">
        <v>18.9191</v>
      </c>
      <c r="AD802">
        <v>-1.11051396074089</v>
      </c>
      <c r="AE802">
        <v>-0.66149999999998899</v>
      </c>
      <c r="AF802">
        <v>0.85699642524124298</v>
      </c>
      <c r="AG802">
        <v>-1.11051396074089</v>
      </c>
      <c r="AH802">
        <v>18.846264223666701</v>
      </c>
      <c r="AI802">
        <v>93.368774738513196</v>
      </c>
      <c r="AJ802">
        <v>87.396381845812499</v>
      </c>
      <c r="AK802">
        <v>18.898395681066098</v>
      </c>
      <c r="AL802">
        <v>83.278858368765995</v>
      </c>
      <c r="AM802">
        <v>86.961463970670394</v>
      </c>
      <c r="AN802">
        <v>0.99999999783564297</v>
      </c>
    </row>
    <row r="803" spans="1:40" x14ac:dyDescent="0.25">
      <c r="A803" t="str">
        <f>"20190312164234496"</f>
        <v>20190312164234496</v>
      </c>
      <c r="B803" t="str">
        <f>"1552380154484289"</f>
        <v>1552380154484289</v>
      </c>
      <c r="C803" t="s">
        <v>40</v>
      </c>
      <c r="D803">
        <v>4.028969</v>
      </c>
      <c r="E803">
        <v>0.50534489999999999</v>
      </c>
      <c r="F803" t="s">
        <v>42</v>
      </c>
      <c r="G803">
        <v>-228.7073</v>
      </c>
      <c r="H803" s="1">
        <v>-1.2625369999999999E-6</v>
      </c>
      <c r="I803">
        <v>366.47239999999999</v>
      </c>
      <c r="J803">
        <v>-248.11590000000001</v>
      </c>
      <c r="K803">
        <v>1.1105130000000001</v>
      </c>
      <c r="L803">
        <v>367.3184</v>
      </c>
      <c r="M803">
        <v>0.99984680000000004</v>
      </c>
      <c r="N803">
        <v>0</v>
      </c>
      <c r="O803">
        <v>1.0594559999999999E-2</v>
      </c>
      <c r="P803">
        <v>0.99375020000000003</v>
      </c>
      <c r="Q803">
        <v>0.1033293</v>
      </c>
      <c r="R803">
        <v>-4.2237780000000003E-2</v>
      </c>
      <c r="S803">
        <v>3.0310670000000002</v>
      </c>
      <c r="T803">
        <v>-0.17117850000000001</v>
      </c>
      <c r="U803">
        <v>-0.12997439999999999</v>
      </c>
      <c r="V803">
        <v>5.2746899999999999E-2</v>
      </c>
      <c r="W803">
        <v>0.1171793</v>
      </c>
      <c r="X803">
        <v>0.99170899999999995</v>
      </c>
      <c r="Y803">
        <v>5.332315E-2</v>
      </c>
      <c r="Z803">
        <v>-2.101473E-3</v>
      </c>
      <c r="AA803">
        <v>0.99857510000000005</v>
      </c>
      <c r="AB803">
        <v>26</v>
      </c>
      <c r="AC803">
        <v>19.4086</v>
      </c>
      <c r="AD803">
        <v>-1.1105142625369999</v>
      </c>
      <c r="AE803">
        <v>-0.84600000000000297</v>
      </c>
      <c r="AF803">
        <v>1.0481729871880801</v>
      </c>
      <c r="AG803">
        <v>-1.1105142625369999</v>
      </c>
      <c r="AH803">
        <v>19.3353654334332</v>
      </c>
      <c r="AI803">
        <v>93.282326091909994</v>
      </c>
      <c r="AJ803">
        <v>86.897024649496103</v>
      </c>
      <c r="AK803">
        <v>19.395573334727001</v>
      </c>
      <c r="AL803">
        <v>83.270660122942999</v>
      </c>
      <c r="AM803">
        <v>86.955427732496901</v>
      </c>
      <c r="AN803">
        <v>0.999999982244549</v>
      </c>
    </row>
    <row r="804" spans="1:40" x14ac:dyDescent="0.25">
      <c r="A804" t="str">
        <f>"20190312164234519"</f>
        <v>20190312164234519</v>
      </c>
      <c r="B804" t="str">
        <f>"1552380154514546"</f>
        <v>1552380154514546</v>
      </c>
      <c r="C804" t="s">
        <v>40</v>
      </c>
      <c r="D804">
        <v>4.1084050000000003</v>
      </c>
      <c r="E804">
        <v>0.50559609999999899</v>
      </c>
      <c r="F804" t="s">
        <v>42</v>
      </c>
      <c r="G804">
        <v>-228.57769999999999</v>
      </c>
      <c r="H804" s="1">
        <v>-1.3333340000000001E-6</v>
      </c>
      <c r="I804">
        <v>366.37200000000001</v>
      </c>
      <c r="J804">
        <v>-247.85050000000001</v>
      </c>
      <c r="K804">
        <v>1.1105119999999999</v>
      </c>
      <c r="L804">
        <v>367.32139999999998</v>
      </c>
      <c r="M804">
        <v>0.9998456</v>
      </c>
      <c r="N804">
        <v>0</v>
      </c>
      <c r="O804">
        <v>1.070341E-2</v>
      </c>
      <c r="P804">
        <v>0.99374680000000004</v>
      </c>
      <c r="Q804">
        <v>0.1033497</v>
      </c>
      <c r="R804">
        <v>-4.2266030000000003E-2</v>
      </c>
      <c r="S804">
        <v>3.030548</v>
      </c>
      <c r="T804">
        <v>-0.1722496</v>
      </c>
      <c r="U804">
        <v>-0.14678959999999999</v>
      </c>
      <c r="V804">
        <v>5.2883289999999999E-2</v>
      </c>
      <c r="W804">
        <v>0.1171968</v>
      </c>
      <c r="X804">
        <v>0.99169969999999996</v>
      </c>
      <c r="Y804">
        <v>5.8956870000000001E-2</v>
      </c>
      <c r="Z804">
        <v>-2.2807600000000002E-3</v>
      </c>
      <c r="AA804">
        <v>0.99825790000000003</v>
      </c>
      <c r="AB804">
        <v>26</v>
      </c>
      <c r="AC804">
        <v>19.2728</v>
      </c>
      <c r="AD804">
        <v>-1.110513333334</v>
      </c>
      <c r="AE804">
        <v>-0.949400000000025</v>
      </c>
      <c r="AF804">
        <v>1.1518353093843801</v>
      </c>
      <c r="AG804">
        <v>-1.110513333334</v>
      </c>
      <c r="AH804">
        <v>19.1979471791992</v>
      </c>
      <c r="AI804">
        <v>93.3046797853969</v>
      </c>
      <c r="AJ804">
        <v>86.566493112508994</v>
      </c>
      <c r="AK804">
        <v>19.2645046741093</v>
      </c>
      <c r="AL804">
        <v>83.269650702404803</v>
      </c>
      <c r="AM804">
        <v>86.947541544124505</v>
      </c>
      <c r="AN804">
        <v>1.0000000136357701</v>
      </c>
    </row>
    <row r="805" spans="1:40" x14ac:dyDescent="0.25">
      <c r="A805" t="str">
        <f>"20190312164234541"</f>
        <v>20190312164234541</v>
      </c>
      <c r="B805" t="str">
        <f>"1552380154535041"</f>
        <v>1552380154535041</v>
      </c>
      <c r="C805" t="s">
        <v>40</v>
      </c>
      <c r="D805">
        <v>4.0338479999999999</v>
      </c>
      <c r="E805">
        <v>0.50599439999999996</v>
      </c>
      <c r="F805" t="s">
        <v>42</v>
      </c>
      <c r="G805">
        <v>-229.4718</v>
      </c>
      <c r="H805" s="1">
        <v>-1.016212E-6</v>
      </c>
      <c r="I805">
        <v>366.4203</v>
      </c>
      <c r="J805">
        <v>-247.58090000000001</v>
      </c>
      <c r="K805">
        <v>1.1105130000000001</v>
      </c>
      <c r="L805">
        <v>367.32440000000003</v>
      </c>
      <c r="M805">
        <v>0.99984439999999997</v>
      </c>
      <c r="N805">
        <v>0</v>
      </c>
      <c r="O805">
        <v>1.0813390000000001E-2</v>
      </c>
      <c r="P805">
        <v>0.99377700000000002</v>
      </c>
      <c r="Q805">
        <v>0.10309450000000001</v>
      </c>
      <c r="R805">
        <v>-4.2181339999999998E-2</v>
      </c>
      <c r="S805">
        <v>3.0315699999999999</v>
      </c>
      <c r="T805">
        <v>-0.18317839999999999</v>
      </c>
      <c r="U805">
        <v>-0.14862059999999999</v>
      </c>
      <c r="V805">
        <v>5.2908230000000001E-2</v>
      </c>
      <c r="W805">
        <v>0.11693969999999999</v>
      </c>
      <c r="X805">
        <v>0.99172870000000002</v>
      </c>
      <c r="Y805">
        <v>5.9635899999999999E-2</v>
      </c>
      <c r="Z805">
        <v>-2.4514850000000002E-3</v>
      </c>
      <c r="AA805">
        <v>0.99821720000000003</v>
      </c>
      <c r="AB805">
        <v>26</v>
      </c>
      <c r="AC805">
        <v>18.109100000000002</v>
      </c>
      <c r="AD805">
        <v>-1.110514016212</v>
      </c>
      <c r="AE805">
        <v>-0.90410000000002799</v>
      </c>
      <c r="AF805">
        <v>1.0957764078188601</v>
      </c>
      <c r="AG805">
        <v>-1.110514016212</v>
      </c>
      <c r="AH805">
        <v>18.030626731573602</v>
      </c>
      <c r="AI805">
        <v>93.517945393550306</v>
      </c>
      <c r="AJ805">
        <v>86.5222373429486</v>
      </c>
      <c r="AK805">
        <v>18.097996232994198</v>
      </c>
      <c r="AL805">
        <v>83.2844833086465</v>
      </c>
      <c r="AM805">
        <v>86.946193847684995</v>
      </c>
      <c r="AN805">
        <v>0.99999999432075604</v>
      </c>
    </row>
    <row r="806" spans="1:40" x14ac:dyDescent="0.25">
      <c r="A806" t="str">
        <f>"20190312164234564"</f>
        <v>20190312164234564</v>
      </c>
      <c r="B806" t="str">
        <f>"1552380154554561"</f>
        <v>1552380154554561</v>
      </c>
      <c r="C806" t="s">
        <v>40</v>
      </c>
      <c r="D806">
        <v>4.0981940000000003</v>
      </c>
      <c r="E806">
        <v>0.50614570000000003</v>
      </c>
      <c r="F806" t="s">
        <v>41</v>
      </c>
      <c r="G806">
        <v>-246.6198</v>
      </c>
      <c r="H806">
        <v>1.050856</v>
      </c>
      <c r="I806">
        <v>367.27609999999999</v>
      </c>
      <c r="J806">
        <v>-247.32830000000001</v>
      </c>
      <c r="K806">
        <v>1.1105149999999999</v>
      </c>
      <c r="L806">
        <v>367.3272</v>
      </c>
      <c r="M806">
        <v>0.99984329999999999</v>
      </c>
      <c r="N806">
        <v>0</v>
      </c>
      <c r="O806">
        <v>1.091717E-2</v>
      </c>
      <c r="P806">
        <v>0.99371169999999998</v>
      </c>
      <c r="Q806">
        <v>0.10379770000000001</v>
      </c>
      <c r="R806">
        <v>-4.198913E-2</v>
      </c>
      <c r="S806">
        <v>3.0319370000000001</v>
      </c>
      <c r="T806">
        <v>-0.1885626</v>
      </c>
      <c r="U806">
        <v>-0.15136720000000001</v>
      </c>
      <c r="V806">
        <v>5.2818539999999997E-2</v>
      </c>
      <c r="W806">
        <v>0.1176391</v>
      </c>
      <c r="X806">
        <v>0.99165080000000005</v>
      </c>
      <c r="Y806">
        <v>6.0625930000000001E-2</v>
      </c>
      <c r="Z806">
        <v>-2.560227E-3</v>
      </c>
      <c r="AA806">
        <v>0.99815730000000003</v>
      </c>
      <c r="AB806">
        <v>26</v>
      </c>
      <c r="AC806">
        <v>0.70850000000001501</v>
      </c>
      <c r="AD806">
        <v>-5.96589999999999E-2</v>
      </c>
      <c r="AE806">
        <v>-5.1100000000019401E-2</v>
      </c>
      <c r="AF806">
        <v>5.84204381320289E-2</v>
      </c>
      <c r="AG806">
        <v>-5.96589999999999E-2</v>
      </c>
      <c r="AH806">
        <v>0.70294148727482098</v>
      </c>
      <c r="AI806">
        <v>94.834508713092603</v>
      </c>
      <c r="AJ806">
        <v>85.249149639618807</v>
      </c>
      <c r="AK806">
        <v>0.70788337909903998</v>
      </c>
      <c r="AL806">
        <v>83.244132386213593</v>
      </c>
      <c r="AM806">
        <v>86.9511218476447</v>
      </c>
      <c r="AN806">
        <v>1.00000003257859</v>
      </c>
    </row>
    <row r="807" spans="1:40" x14ac:dyDescent="0.25">
      <c r="A807" t="str">
        <f>"20190312164234596"</f>
        <v>20190312164234596</v>
      </c>
      <c r="B807" t="str">
        <f>"1552380154584817"</f>
        <v>1552380154584817</v>
      </c>
      <c r="C807" t="s">
        <v>40</v>
      </c>
      <c r="D807">
        <v>4.2021360000000003</v>
      </c>
      <c r="E807">
        <v>0.50626150000000003</v>
      </c>
      <c r="F807" t="s">
        <v>41</v>
      </c>
      <c r="G807">
        <v>-246.38890000000001</v>
      </c>
      <c r="H807">
        <v>1.0506150000000001</v>
      </c>
      <c r="I807">
        <v>367.2801</v>
      </c>
      <c r="J807">
        <v>-246.95150000000001</v>
      </c>
      <c r="K807">
        <v>1.1105229999999999</v>
      </c>
      <c r="L807">
        <v>367.33150000000001</v>
      </c>
      <c r="M807">
        <v>0.9998416</v>
      </c>
      <c r="N807">
        <v>0</v>
      </c>
      <c r="O807">
        <v>1.1070969999999999E-2</v>
      </c>
      <c r="P807">
        <v>0.99367939999999999</v>
      </c>
      <c r="Q807">
        <v>0.1041567</v>
      </c>
      <c r="R807">
        <v>-4.18672E-2</v>
      </c>
      <c r="S807">
        <v>3.032791</v>
      </c>
      <c r="T807">
        <v>-0.1934456</v>
      </c>
      <c r="U807">
        <v>-0.1517029</v>
      </c>
      <c r="V807">
        <v>5.2848770000000003E-2</v>
      </c>
      <c r="W807">
        <v>0.1179933</v>
      </c>
      <c r="X807">
        <v>0.99160709999999996</v>
      </c>
      <c r="Y807">
        <v>6.086772E-2</v>
      </c>
      <c r="Z807">
        <v>-2.6431430000000001E-3</v>
      </c>
      <c r="AA807">
        <v>0.99814239999999999</v>
      </c>
      <c r="AB807">
        <v>26</v>
      </c>
      <c r="AC807">
        <v>0.56260000000000299</v>
      </c>
      <c r="AD807">
        <v>-5.9908000000000003E-2</v>
      </c>
      <c r="AE807">
        <v>-5.1400000000000903E-2</v>
      </c>
      <c r="AF807">
        <v>5.6985182484172198E-2</v>
      </c>
      <c r="AG807">
        <v>-5.9908000000000003E-2</v>
      </c>
      <c r="AH807">
        <v>0.55574702516359897</v>
      </c>
      <c r="AI807">
        <v>96.1207221908344</v>
      </c>
      <c r="AJ807">
        <v>84.145467026878705</v>
      </c>
      <c r="AK807">
        <v>0.56186389407484105</v>
      </c>
      <c r="AL807">
        <v>83.223695845604198</v>
      </c>
      <c r="AM807">
        <v>86.949245970707807</v>
      </c>
      <c r="AN807">
        <v>1.0000000260529001</v>
      </c>
    </row>
    <row r="808" spans="1:40" x14ac:dyDescent="0.25">
      <c r="A808" t="str">
        <f>"20190312164234618"</f>
        <v>20190312164234618</v>
      </c>
      <c r="B808" t="str">
        <f>"1552380154615074"</f>
        <v>1552380154615074</v>
      </c>
      <c r="C808" t="s">
        <v>40</v>
      </c>
      <c r="D808">
        <v>4.1802449999999904</v>
      </c>
      <c r="E808">
        <v>0.50644120000000004</v>
      </c>
      <c r="F808" t="s">
        <v>42</v>
      </c>
      <c r="G808">
        <v>-229.99639999999999</v>
      </c>
      <c r="H808" s="1">
        <v>-4.830073E-6</v>
      </c>
      <c r="I808">
        <v>366.48050000000001</v>
      </c>
      <c r="J808">
        <v>-246.6917</v>
      </c>
      <c r="K808">
        <v>1.1105259999999999</v>
      </c>
      <c r="L808">
        <v>367.33449999999999</v>
      </c>
      <c r="M808">
        <v>0.99984059999999997</v>
      </c>
      <c r="N808">
        <v>0</v>
      </c>
      <c r="O808">
        <v>1.1177070000000001E-2</v>
      </c>
      <c r="P808">
        <v>0.99366030000000005</v>
      </c>
      <c r="Q808">
        <v>0.1044482</v>
      </c>
      <c r="R808">
        <v>-4.1598999999999997E-2</v>
      </c>
      <c r="S808">
        <v>3.0335079999999999</v>
      </c>
      <c r="T808">
        <v>-0.1986887</v>
      </c>
      <c r="U808">
        <v>-0.1522522</v>
      </c>
      <c r="V808">
        <v>5.2685820000000001E-2</v>
      </c>
      <c r="W808">
        <v>0.1182821</v>
      </c>
      <c r="X808">
        <v>0.9915813</v>
      </c>
      <c r="Y808">
        <v>6.1133439999999997E-2</v>
      </c>
      <c r="Z808">
        <v>-2.7296070000000002E-3</v>
      </c>
      <c r="AA808">
        <v>0.99812590000000001</v>
      </c>
      <c r="AB808">
        <v>26</v>
      </c>
      <c r="AC808">
        <v>16.6953</v>
      </c>
      <c r="AD808">
        <v>-1.1105308300729999</v>
      </c>
      <c r="AE808">
        <v>-0.85399999999998499</v>
      </c>
      <c r="AF808">
        <v>1.03599737160469</v>
      </c>
      <c r="AG808">
        <v>-1.1105308300729999</v>
      </c>
      <c r="AH808">
        <v>16.611403976461499</v>
      </c>
      <c r="AI808">
        <v>93.817338488274501</v>
      </c>
      <c r="AJ808">
        <v>86.431277197099405</v>
      </c>
      <c r="AK808">
        <v>16.680686776860099</v>
      </c>
      <c r="AL808">
        <v>83.2070316999243</v>
      </c>
      <c r="AM808">
        <v>86.958555768949097</v>
      </c>
      <c r="AN808">
        <v>0.99999996265958502</v>
      </c>
    </row>
    <row r="809" spans="1:40" x14ac:dyDescent="0.25">
      <c r="A809" t="str">
        <f>"20190312164234642"</f>
        <v>20190312164234642</v>
      </c>
      <c r="B809" t="str">
        <f>"1552380154634598"</f>
        <v>1552380154634598</v>
      </c>
      <c r="C809" t="s">
        <v>40</v>
      </c>
      <c r="D809">
        <v>4.1859219999999997</v>
      </c>
      <c r="E809">
        <v>0.50667890000000004</v>
      </c>
      <c r="F809" t="s">
        <v>42</v>
      </c>
      <c r="G809">
        <v>-230.2124</v>
      </c>
      <c r="H809" s="1">
        <v>-4.7328779999999999E-6</v>
      </c>
      <c r="I809">
        <v>366.5061</v>
      </c>
      <c r="J809">
        <v>-246.42439999999999</v>
      </c>
      <c r="K809">
        <v>1.1105229999999999</v>
      </c>
      <c r="L809">
        <v>367.33760000000001</v>
      </c>
      <c r="M809">
        <v>0.99983940000000004</v>
      </c>
      <c r="N809">
        <v>0</v>
      </c>
      <c r="O809">
        <v>1.12867E-2</v>
      </c>
      <c r="P809">
        <v>0.99366030000000005</v>
      </c>
      <c r="Q809">
        <v>0.10444920000000001</v>
      </c>
      <c r="R809">
        <v>-4.159123E-2</v>
      </c>
      <c r="S809">
        <v>3.0342410000000002</v>
      </c>
      <c r="T809">
        <v>-0.20447499999999999</v>
      </c>
      <c r="U809">
        <v>-0.15252689999999999</v>
      </c>
      <c r="V809">
        <v>5.2787130000000002E-2</v>
      </c>
      <c r="W809">
        <v>0.1182802</v>
      </c>
      <c r="X809">
        <v>0.99157620000000002</v>
      </c>
      <c r="Y809">
        <v>6.1311240000000003E-2</v>
      </c>
      <c r="Z809">
        <v>-2.8215969999999999E-3</v>
      </c>
      <c r="AA809">
        <v>0.99811470000000002</v>
      </c>
      <c r="AB809">
        <v>26</v>
      </c>
      <c r="AC809">
        <v>16.2119999999999</v>
      </c>
      <c r="AD809">
        <v>-1.1105277328780001</v>
      </c>
      <c r="AE809">
        <v>-0.83150000000000501</v>
      </c>
      <c r="AF809">
        <v>1.0097192647450299</v>
      </c>
      <c r="AG809">
        <v>-1.1105277328780001</v>
      </c>
      <c r="AH809">
        <v>16.126111348929399</v>
      </c>
      <c r="AI809">
        <v>93.931789571718198</v>
      </c>
      <c r="AJ809">
        <v>86.417163158883497</v>
      </c>
      <c r="AK809">
        <v>16.195810324808001</v>
      </c>
      <c r="AL809">
        <v>83.207141747458707</v>
      </c>
      <c r="AM809">
        <v>86.952702718989002</v>
      </c>
      <c r="AN809">
        <v>1.00000002360605</v>
      </c>
    </row>
    <row r="810" spans="1:40" x14ac:dyDescent="0.25">
      <c r="A810" t="str">
        <f>"20190312164234663"</f>
        <v>20190312164234663</v>
      </c>
      <c r="B810" t="str">
        <f>"1552380154655093"</f>
        <v>1552380154655093</v>
      </c>
      <c r="C810" t="s">
        <v>40</v>
      </c>
      <c r="D810">
        <v>4.7060019999999998</v>
      </c>
      <c r="E810">
        <v>0.50683650000000002</v>
      </c>
      <c r="F810" t="s">
        <v>41</v>
      </c>
      <c r="G810">
        <v>-245.47229999999999</v>
      </c>
      <c r="H810">
        <v>1.0450170000000001</v>
      </c>
      <c r="I810">
        <v>367.28899999999999</v>
      </c>
      <c r="J810">
        <v>-246.17910000000001</v>
      </c>
      <c r="K810">
        <v>1.1105210000000001</v>
      </c>
      <c r="L810">
        <v>367.34050000000002</v>
      </c>
      <c r="M810">
        <v>0.99983820000000001</v>
      </c>
      <c r="N810">
        <v>0</v>
      </c>
      <c r="O810">
        <v>1.1387319999999999E-2</v>
      </c>
      <c r="P810">
        <v>0.99369240000000003</v>
      </c>
      <c r="Q810">
        <v>0.1041849</v>
      </c>
      <c r="R810">
        <v>-4.1488400000000002E-2</v>
      </c>
      <c r="S810">
        <v>3.0346679999999999</v>
      </c>
      <c r="T810">
        <v>-0.2090147</v>
      </c>
      <c r="U810">
        <v>-0.154174799999999</v>
      </c>
      <c r="V810">
        <v>5.2784690000000002E-2</v>
      </c>
      <c r="W810">
        <v>0.1180141</v>
      </c>
      <c r="X810">
        <v>0.99160800000000004</v>
      </c>
      <c r="Y810">
        <v>6.1936239999999997E-2</v>
      </c>
      <c r="Z810">
        <v>-2.9120550000000002E-3</v>
      </c>
      <c r="AA810">
        <v>0.99807579999999996</v>
      </c>
      <c r="AB810">
        <v>26</v>
      </c>
      <c r="AC810">
        <v>0.70680000000001497</v>
      </c>
      <c r="AD810">
        <v>-6.5503999999999701E-2</v>
      </c>
      <c r="AE810">
        <v>-5.15000000000327E-2</v>
      </c>
      <c r="AF810">
        <v>5.9041568512106103E-2</v>
      </c>
      <c r="AG810">
        <v>-6.5503999999999701E-2</v>
      </c>
      <c r="AH810">
        <v>0.70018552690432301</v>
      </c>
      <c r="AI810">
        <v>95.325807552105204</v>
      </c>
      <c r="AJ810">
        <v>85.180064549993205</v>
      </c>
      <c r="AK810">
        <v>0.70571697791299703</v>
      </c>
      <c r="AL810">
        <v>83.222495452407799</v>
      </c>
      <c r="AM810">
        <v>86.952940845434597</v>
      </c>
      <c r="AN810">
        <v>0.99999998848060301</v>
      </c>
    </row>
    <row r="811" spans="1:40" x14ac:dyDescent="0.25">
      <c r="A811" t="str">
        <f>"20190312164234686"</f>
        <v>20190312164234686</v>
      </c>
      <c r="B811" t="str">
        <f>"1552380154674609"</f>
        <v>1552380154674609</v>
      </c>
      <c r="C811" t="s">
        <v>40</v>
      </c>
      <c r="D811">
        <v>4.4595799999999999</v>
      </c>
      <c r="E811">
        <v>0.50760130000000003</v>
      </c>
      <c r="F811" t="s">
        <v>41</v>
      </c>
      <c r="G811">
        <v>-245.24180000000001</v>
      </c>
      <c r="H811">
        <v>1.0458860000000001</v>
      </c>
      <c r="I811">
        <v>367.29250000000002</v>
      </c>
      <c r="J811">
        <v>-245.92140000000001</v>
      </c>
      <c r="K811">
        <v>1.110522</v>
      </c>
      <c r="L811">
        <v>367.34350000000001</v>
      </c>
      <c r="M811">
        <v>0.99983699999999998</v>
      </c>
      <c r="N811">
        <v>0</v>
      </c>
      <c r="O811">
        <v>1.149289E-2</v>
      </c>
      <c r="P811">
        <v>0.99369669999999999</v>
      </c>
      <c r="Q811">
        <v>0.1040407</v>
      </c>
      <c r="R811">
        <v>-4.1744980000000001E-2</v>
      </c>
      <c r="S811">
        <v>3.0345309999999999</v>
      </c>
      <c r="T811">
        <v>-0.2094625</v>
      </c>
      <c r="U811">
        <v>-0.1547241</v>
      </c>
      <c r="V811">
        <v>5.3146239999999997E-2</v>
      </c>
      <c r="W811">
        <v>0.11786679999999999</v>
      </c>
      <c r="X811">
        <v>0.99160619999999999</v>
      </c>
      <c r="Y811">
        <v>6.2222420000000001E-2</v>
      </c>
      <c r="Z811">
        <v>-2.9355319999999998E-3</v>
      </c>
      <c r="AA811">
        <v>0.998058</v>
      </c>
      <c r="AB811">
        <v>26</v>
      </c>
      <c r="AC811">
        <v>0.67959999999999299</v>
      </c>
      <c r="AD811">
        <v>-6.4635999999999902E-2</v>
      </c>
      <c r="AE811">
        <v>-5.0999999999987701E-2</v>
      </c>
      <c r="AF811">
        <v>5.8283692004610303E-2</v>
      </c>
      <c r="AG811">
        <v>-6.4635999999999902E-2</v>
      </c>
      <c r="AH811">
        <v>0.67291600366850901</v>
      </c>
      <c r="AI811">
        <v>95.466292167257606</v>
      </c>
      <c r="AJ811">
        <v>85.049759145277307</v>
      </c>
      <c r="AK811">
        <v>0.67852100132780302</v>
      </c>
      <c r="AL811">
        <v>83.230994384631401</v>
      </c>
      <c r="AM811">
        <v>86.932104116175907</v>
      </c>
      <c r="AN811">
        <v>0.999999980623408</v>
      </c>
    </row>
    <row r="812" spans="1:40" x14ac:dyDescent="0.25">
      <c r="A812" t="str">
        <f>"20190312164234708"</f>
        <v>20190312164234708</v>
      </c>
      <c r="B812" t="str">
        <f>"1552380154704865"</f>
        <v>1552380154704865</v>
      </c>
      <c r="C812" t="s">
        <v>40</v>
      </c>
      <c r="D812">
        <v>4.3462399999999999</v>
      </c>
      <c r="E812">
        <v>0.50839849999999998</v>
      </c>
      <c r="F812" t="s">
        <v>41</v>
      </c>
      <c r="G812">
        <v>-245.0112</v>
      </c>
      <c r="H812">
        <v>1.0471820000000001</v>
      </c>
      <c r="I812">
        <v>367.29500000000002</v>
      </c>
      <c r="J812">
        <v>-245.66669999999999</v>
      </c>
      <c r="K812">
        <v>1.110528</v>
      </c>
      <c r="L812">
        <v>367.34660000000002</v>
      </c>
      <c r="M812">
        <v>0.99983580000000005</v>
      </c>
      <c r="N812">
        <v>0</v>
      </c>
      <c r="O812">
        <v>1.1596850000000001E-2</v>
      </c>
      <c r="P812">
        <v>0.99364330000000001</v>
      </c>
      <c r="Q812">
        <v>0.1042529</v>
      </c>
      <c r="R812">
        <v>-4.2478879999999997E-2</v>
      </c>
      <c r="S812">
        <v>3.0343629999999999</v>
      </c>
      <c r="T812">
        <v>-0.21130470000000001</v>
      </c>
      <c r="U812">
        <v>-0.16152949999999999</v>
      </c>
      <c r="V812">
        <v>5.3982790000000003E-2</v>
      </c>
      <c r="W812">
        <v>0.11807570000000001</v>
      </c>
      <c r="X812">
        <v>0.99153619999999998</v>
      </c>
      <c r="Y812">
        <v>6.455226E-2</v>
      </c>
      <c r="Z812">
        <v>-3.0494749999999998E-3</v>
      </c>
      <c r="AA812">
        <v>0.99790970000000001</v>
      </c>
      <c r="AB812">
        <v>26</v>
      </c>
      <c r="AC812">
        <v>0.65549999999998898</v>
      </c>
      <c r="AD812">
        <v>-6.3345999999999902E-2</v>
      </c>
      <c r="AE812">
        <v>-5.1600000000007598E-2</v>
      </c>
      <c r="AF812">
        <v>5.8654608961687102E-2</v>
      </c>
      <c r="AG812">
        <v>-6.3345999999999902E-2</v>
      </c>
      <c r="AH812">
        <v>0.64883540178523202</v>
      </c>
      <c r="AI812">
        <v>95.553628893518507</v>
      </c>
      <c r="AJ812">
        <v>84.834511844036101</v>
      </c>
      <c r="AK812">
        <v>0.65455363223975105</v>
      </c>
      <c r="AL812">
        <v>83.218941425354103</v>
      </c>
      <c r="AM812">
        <v>86.883688685385195</v>
      </c>
      <c r="AN812">
        <v>1.0000000242285501</v>
      </c>
    </row>
    <row r="813" spans="1:40" x14ac:dyDescent="0.25">
      <c r="A813" t="str">
        <f>"20190312164234731"</f>
        <v>20190312164234731</v>
      </c>
      <c r="B813" t="str">
        <f>"1552380154724389"</f>
        <v>1552380154724389</v>
      </c>
      <c r="C813" t="s">
        <v>40</v>
      </c>
      <c r="D813">
        <v>4.3576480000000002</v>
      </c>
      <c r="E813">
        <v>0.50871639999999996</v>
      </c>
      <c r="F813" t="s">
        <v>41</v>
      </c>
      <c r="G813">
        <v>-244.7807</v>
      </c>
      <c r="H813">
        <v>1.048762</v>
      </c>
      <c r="I813">
        <v>367.29680000000002</v>
      </c>
      <c r="J813">
        <v>-245.4016</v>
      </c>
      <c r="K813">
        <v>1.110528</v>
      </c>
      <c r="L813">
        <v>367.34980000000002</v>
      </c>
      <c r="M813">
        <v>0.99983469999999997</v>
      </c>
      <c r="N813">
        <v>0</v>
      </c>
      <c r="O813">
        <v>1.170528E-2</v>
      </c>
      <c r="P813">
        <v>0.99354869999999995</v>
      </c>
      <c r="Q813">
        <v>0.1048294</v>
      </c>
      <c r="R813">
        <v>-4.3269189999999999E-2</v>
      </c>
      <c r="S813">
        <v>3.0341490000000002</v>
      </c>
      <c r="T813">
        <v>-0.21171129999999999</v>
      </c>
      <c r="U813">
        <v>-0.1696472</v>
      </c>
      <c r="V813">
        <v>5.4879360000000002E-2</v>
      </c>
      <c r="W813">
        <v>0.11864810000000001</v>
      </c>
      <c r="X813">
        <v>0.99141860000000004</v>
      </c>
      <c r="Y813">
        <v>6.731819E-2</v>
      </c>
      <c r="Z813">
        <v>-3.159182E-3</v>
      </c>
      <c r="AA813">
        <v>0.99772660000000002</v>
      </c>
      <c r="AB813">
        <v>26</v>
      </c>
      <c r="AC813">
        <v>0.620900000000006</v>
      </c>
      <c r="AD813">
        <v>-6.1765999999999897E-2</v>
      </c>
      <c r="AE813">
        <v>-5.2999999999997202E-2</v>
      </c>
      <c r="AF813">
        <v>5.96785784240021E-2</v>
      </c>
      <c r="AG813">
        <v>-6.1765999999999897E-2</v>
      </c>
      <c r="AH813">
        <v>0.61420288611170004</v>
      </c>
      <c r="AI813">
        <v>95.715783468318506</v>
      </c>
      <c r="AJ813">
        <v>84.450318001035001</v>
      </c>
      <c r="AK813">
        <v>0.62017881033348099</v>
      </c>
      <c r="AL813">
        <v>83.185912834241506</v>
      </c>
      <c r="AM813">
        <v>86.831661162926693</v>
      </c>
      <c r="AN813">
        <v>0.99999997810678898</v>
      </c>
    </row>
    <row r="814" spans="1:40" x14ac:dyDescent="0.25">
      <c r="A814" t="str">
        <f>"20190312164234753"</f>
        <v>20190312164234753</v>
      </c>
      <c r="B814" t="str">
        <f>"1552380154744881"</f>
        <v>1552380154744881</v>
      </c>
      <c r="C814" t="s">
        <v>40</v>
      </c>
      <c r="D814">
        <v>4.3724040000000004</v>
      </c>
      <c r="E814">
        <v>0.50911660000000003</v>
      </c>
      <c r="F814" t="s">
        <v>41</v>
      </c>
      <c r="G814">
        <v>-244.54920000000001</v>
      </c>
      <c r="H814">
        <v>1.051526</v>
      </c>
      <c r="I814">
        <v>367.30070000000001</v>
      </c>
      <c r="J814">
        <v>-245.1455</v>
      </c>
      <c r="K814">
        <v>1.110533</v>
      </c>
      <c r="L814">
        <v>367.35289999999998</v>
      </c>
      <c r="M814">
        <v>0.99983359999999999</v>
      </c>
      <c r="N814">
        <v>0</v>
      </c>
      <c r="O814">
        <v>1.18102E-2</v>
      </c>
      <c r="P814">
        <v>0.99348179999999997</v>
      </c>
      <c r="Q814">
        <v>0.1049163</v>
      </c>
      <c r="R814">
        <v>-4.4570760000000001E-2</v>
      </c>
      <c r="S814">
        <v>3.0340729999999998</v>
      </c>
      <c r="T814">
        <v>-0.21011630000000001</v>
      </c>
      <c r="U814">
        <v>-0.17431640000000001</v>
      </c>
      <c r="V814">
        <v>5.6284649999999999E-2</v>
      </c>
      <c r="W814">
        <v>0.118731</v>
      </c>
      <c r="X814">
        <v>0.99132989999999999</v>
      </c>
      <c r="Y814">
        <v>6.8953399999999998E-2</v>
      </c>
      <c r="Z814">
        <v>-3.1991419999999999E-3</v>
      </c>
      <c r="AA814">
        <v>0.99761469999999997</v>
      </c>
      <c r="AB814">
        <v>26</v>
      </c>
      <c r="AC814">
        <v>0.59629999999998495</v>
      </c>
      <c r="AD814">
        <v>-5.9006999999999997E-2</v>
      </c>
      <c r="AE814">
        <v>-5.21999999999707E-2</v>
      </c>
      <c r="AF814">
        <v>5.8669332620373299E-2</v>
      </c>
      <c r="AG814">
        <v>-5.9006999999999997E-2</v>
      </c>
      <c r="AH814">
        <v>0.58990930963238697</v>
      </c>
      <c r="AI814">
        <v>95.684280223996097</v>
      </c>
      <c r="AJ814">
        <v>84.320334960380407</v>
      </c>
      <c r="AK814">
        <v>0.59574903292416603</v>
      </c>
      <c r="AL814">
        <v>83.181129291626803</v>
      </c>
      <c r="AM814">
        <v>86.750411411036296</v>
      </c>
      <c r="AN814">
        <v>0.99999999141031604</v>
      </c>
    </row>
    <row r="815" spans="1:40" x14ac:dyDescent="0.25">
      <c r="A815" t="str">
        <f>"20190312164234776"</f>
        <v>20190312164234776</v>
      </c>
      <c r="B815" t="str">
        <f>"1552380154764402"</f>
        <v>1552380154764402</v>
      </c>
      <c r="C815" t="s">
        <v>40</v>
      </c>
      <c r="D815">
        <v>4.3868539999999996</v>
      </c>
      <c r="E815">
        <v>0.50963309999999995</v>
      </c>
      <c r="F815" t="s">
        <v>41</v>
      </c>
      <c r="G815">
        <v>-244.31790000000001</v>
      </c>
      <c r="H815">
        <v>1.053156</v>
      </c>
      <c r="I815">
        <v>367.30329999999998</v>
      </c>
      <c r="J815">
        <v>-244.8903</v>
      </c>
      <c r="K815">
        <v>1.110536</v>
      </c>
      <c r="L815">
        <v>367.35599999999999</v>
      </c>
      <c r="M815">
        <v>0.99983230000000001</v>
      </c>
      <c r="N815">
        <v>0</v>
      </c>
      <c r="O815">
        <v>1.1914930000000001E-2</v>
      </c>
      <c r="P815">
        <v>0.9935427</v>
      </c>
      <c r="Q815">
        <v>0.1036403</v>
      </c>
      <c r="R815">
        <v>-4.6172829999999998E-2</v>
      </c>
      <c r="S815">
        <v>3.0337830000000001</v>
      </c>
      <c r="T815">
        <v>-0.2105995</v>
      </c>
      <c r="U815">
        <v>-0.18109130000000001</v>
      </c>
      <c r="V815">
        <v>5.7991569999999999E-2</v>
      </c>
      <c r="W815">
        <v>0.1174539</v>
      </c>
      <c r="X815">
        <v>0.99138369999999998</v>
      </c>
      <c r="Y815">
        <v>7.1276660000000006E-2</v>
      </c>
      <c r="Z815">
        <v>-3.2943080000000001E-3</v>
      </c>
      <c r="AA815">
        <v>0.99745110000000003</v>
      </c>
      <c r="AB815">
        <v>26</v>
      </c>
      <c r="AC815">
        <v>0.57239999999998703</v>
      </c>
      <c r="AD815">
        <v>-5.7379999999999903E-2</v>
      </c>
      <c r="AE815">
        <v>-5.27000000000157E-2</v>
      </c>
      <c r="AF815">
        <v>5.8929817068931502E-2</v>
      </c>
      <c r="AG815">
        <v>-5.7379999999999903E-2</v>
      </c>
      <c r="AH815">
        <v>0.56609056669232305</v>
      </c>
      <c r="AI815">
        <v>95.756941145794897</v>
      </c>
      <c r="AJ815">
        <v>84.056936808290999</v>
      </c>
      <c r="AK815">
        <v>0.572034716986489</v>
      </c>
      <c r="AL815">
        <v>83.254817696238206</v>
      </c>
      <c r="AM815">
        <v>86.652264704757201</v>
      </c>
      <c r="AN815">
        <v>1.0000000407209799</v>
      </c>
    </row>
    <row r="816" spans="1:40" x14ac:dyDescent="0.25">
      <c r="A816" t="str">
        <f>"20190312164234798"</f>
        <v>20190312164234798</v>
      </c>
      <c r="B816" t="str">
        <f>"1552380154784898"</f>
        <v>1552380154784898</v>
      </c>
      <c r="C816" t="s">
        <v>40</v>
      </c>
      <c r="D816">
        <v>4.3599600000000001</v>
      </c>
      <c r="E816">
        <v>0.50996490000000005</v>
      </c>
      <c r="F816" t="s">
        <v>41</v>
      </c>
      <c r="G816">
        <v>-244.08160000000001</v>
      </c>
      <c r="H816">
        <v>1.0535429999999999</v>
      </c>
      <c r="I816">
        <v>367.30549999999999</v>
      </c>
      <c r="J816">
        <v>-244.63929999999999</v>
      </c>
      <c r="K816">
        <v>1.1105339999999999</v>
      </c>
      <c r="L816">
        <v>367.35910000000001</v>
      </c>
      <c r="M816">
        <v>0.99983109999999997</v>
      </c>
      <c r="N816">
        <v>0</v>
      </c>
      <c r="O816">
        <v>1.201752E-2</v>
      </c>
      <c r="P816">
        <v>0.99353009999999997</v>
      </c>
      <c r="Q816">
        <v>0.1030069</v>
      </c>
      <c r="R816">
        <v>-4.7833760000000003E-2</v>
      </c>
      <c r="S816">
        <v>3.03302</v>
      </c>
      <c r="T816">
        <v>-0.21384429999999999</v>
      </c>
      <c r="U816">
        <v>-0.18920899999999999</v>
      </c>
      <c r="V816">
        <v>5.9754000000000002E-2</v>
      </c>
      <c r="W816">
        <v>0.1168175</v>
      </c>
      <c r="X816">
        <v>0.99135419999999996</v>
      </c>
      <c r="Y816">
        <v>7.4040030000000007E-2</v>
      </c>
      <c r="Z816">
        <v>-3.4499299999999999E-3</v>
      </c>
      <c r="AA816">
        <v>0.99724930000000001</v>
      </c>
      <c r="AB816">
        <v>26</v>
      </c>
      <c r="AC816">
        <v>0.55769999999998199</v>
      </c>
      <c r="AD816">
        <v>-5.6990999999999702E-2</v>
      </c>
      <c r="AE816">
        <v>-5.3600000000017099E-2</v>
      </c>
      <c r="AF816">
        <v>5.9681418699424602E-2</v>
      </c>
      <c r="AG816">
        <v>-5.6990999999999702E-2</v>
      </c>
      <c r="AH816">
        <v>0.55131105389365898</v>
      </c>
      <c r="AI816">
        <v>95.867866039349593</v>
      </c>
      <c r="AJ816">
        <v>83.821583989643798</v>
      </c>
      <c r="AK816">
        <v>0.55745288945731797</v>
      </c>
      <c r="AL816">
        <v>83.291533272449797</v>
      </c>
      <c r="AM816">
        <v>86.550662843496497</v>
      </c>
      <c r="AN816">
        <v>1.0000000093399399</v>
      </c>
    </row>
    <row r="817" spans="1:40" x14ac:dyDescent="0.25">
      <c r="A817" t="str">
        <f>"20190312164234821"</f>
        <v>20190312164234821</v>
      </c>
      <c r="B817" t="str">
        <f>"1552380154815158"</f>
        <v>1552380154815158</v>
      </c>
      <c r="C817" t="s">
        <v>40</v>
      </c>
      <c r="D817">
        <v>4.65184</v>
      </c>
      <c r="E817">
        <v>0.51069719999999996</v>
      </c>
      <c r="F817" t="s">
        <v>42</v>
      </c>
      <c r="G817">
        <v>-229.0873</v>
      </c>
      <c r="H817" s="1">
        <v>-1.1657459999999999E-6</v>
      </c>
      <c r="I817">
        <v>366.3501</v>
      </c>
      <c r="J817">
        <v>-244.3817</v>
      </c>
      <c r="K817">
        <v>1.1105389999999999</v>
      </c>
      <c r="L817">
        <v>367.3623</v>
      </c>
      <c r="M817">
        <v>0.99982990000000005</v>
      </c>
      <c r="N817">
        <v>0</v>
      </c>
      <c r="O817">
        <v>1.2123739999999999E-2</v>
      </c>
      <c r="P817">
        <v>0.99336970000000002</v>
      </c>
      <c r="Q817">
        <v>0.1039646</v>
      </c>
      <c r="R817">
        <v>-4.9074090000000001E-2</v>
      </c>
      <c r="S817">
        <v>3.0325160000000002</v>
      </c>
      <c r="T817">
        <v>-0.2165446</v>
      </c>
      <c r="U817">
        <v>-0.1967468</v>
      </c>
      <c r="V817">
        <v>6.1097909999999998E-2</v>
      </c>
      <c r="W817">
        <v>0.11777029999999999</v>
      </c>
      <c r="X817">
        <v>0.99115960000000003</v>
      </c>
      <c r="Y817">
        <v>7.6612609999999998E-2</v>
      </c>
      <c r="Z817">
        <v>-3.5928980000000002E-3</v>
      </c>
      <c r="AA817">
        <v>0.99705449999999995</v>
      </c>
      <c r="AB817">
        <v>26</v>
      </c>
      <c r="AC817">
        <v>15.2943999999999</v>
      </c>
      <c r="AD817">
        <v>-1.1105401657459999</v>
      </c>
      <c r="AE817">
        <v>-1.0122</v>
      </c>
      <c r="AF817">
        <v>1.19131520436579</v>
      </c>
      <c r="AG817">
        <v>-1.1105401657459999</v>
      </c>
      <c r="AH817">
        <v>15.201206411955299</v>
      </c>
      <c r="AI817">
        <v>94.165652948508196</v>
      </c>
      <c r="AJ817">
        <v>85.518901416625894</v>
      </c>
      <c r="AK817">
        <v>15.2882048571688</v>
      </c>
      <c r="AL817">
        <v>83.236562850713298</v>
      </c>
      <c r="AM817">
        <v>86.472587778417406</v>
      </c>
      <c r="AN817">
        <v>1.0000000754203</v>
      </c>
    </row>
    <row r="818" spans="1:40" x14ac:dyDescent="0.25">
      <c r="A818" t="str">
        <f>"20190312164234842"</f>
        <v>20190312164234842</v>
      </c>
      <c r="B818" t="str">
        <f>"1552380154834673"</f>
        <v>1552380154834673</v>
      </c>
      <c r="C818" t="s">
        <v>40</v>
      </c>
      <c r="D818">
        <v>4.5413399999999999</v>
      </c>
      <c r="E818">
        <v>0.51112550000000001</v>
      </c>
      <c r="F818" t="s">
        <v>42</v>
      </c>
      <c r="G818">
        <v>-228.31979999999999</v>
      </c>
      <c r="H818" s="1">
        <v>-1.4490640000000001E-6</v>
      </c>
      <c r="I818">
        <v>366.26690000000002</v>
      </c>
      <c r="J818">
        <v>-244.13329999999999</v>
      </c>
      <c r="K818">
        <v>1.1105430000000001</v>
      </c>
      <c r="L818">
        <v>367.36540000000002</v>
      </c>
      <c r="M818">
        <v>0.99982870000000001</v>
      </c>
      <c r="N818">
        <v>0</v>
      </c>
      <c r="O818">
        <v>1.222496E-2</v>
      </c>
      <c r="P818">
        <v>0.99319250000000003</v>
      </c>
      <c r="Q818">
        <v>0.1051666</v>
      </c>
      <c r="R818">
        <v>-5.0087350000000003E-2</v>
      </c>
      <c r="S818">
        <v>3.0317539999999998</v>
      </c>
      <c r="T818">
        <v>-0.2096189</v>
      </c>
      <c r="U818">
        <v>-0.20675660000000001</v>
      </c>
      <c r="V818">
        <v>6.2209420000000001E-2</v>
      </c>
      <c r="W818">
        <v>0.1189672</v>
      </c>
      <c r="X818">
        <v>0.99094740000000003</v>
      </c>
      <c r="Y818">
        <v>8.00125E-2</v>
      </c>
      <c r="Z818">
        <v>-3.6030049999999998E-3</v>
      </c>
      <c r="AA818">
        <v>0.99678739999999999</v>
      </c>
      <c r="AB818">
        <v>26</v>
      </c>
      <c r="AC818">
        <v>15.813499999999999</v>
      </c>
      <c r="AD818">
        <v>-1.110544449064</v>
      </c>
      <c r="AE818">
        <v>-1.0985</v>
      </c>
      <c r="AF818">
        <v>1.2854466977966801</v>
      </c>
      <c r="AG818">
        <v>-1.110544449064</v>
      </c>
      <c r="AH818">
        <v>15.7217217672159</v>
      </c>
      <c r="AI818">
        <v>94.027130064803103</v>
      </c>
      <c r="AJ818">
        <v>85.325753367039596</v>
      </c>
      <c r="AK818">
        <v>15.8132291930514</v>
      </c>
      <c r="AL818">
        <v>83.167499332880894</v>
      </c>
      <c r="AM818">
        <v>86.407815539218106</v>
      </c>
      <c r="AN818">
        <v>0.99999997808966701</v>
      </c>
    </row>
    <row r="819" spans="1:40" x14ac:dyDescent="0.25">
      <c r="A819" t="str">
        <f>"20190312164234863"</f>
        <v>20190312164234863</v>
      </c>
      <c r="B819" t="str">
        <f>"1552380154855175"</f>
        <v>1552380154855175</v>
      </c>
      <c r="C819" t="s">
        <v>40</v>
      </c>
      <c r="D819">
        <v>4.4343949999999897</v>
      </c>
      <c r="E819">
        <v>0.51155309999999998</v>
      </c>
      <c r="F819" t="s">
        <v>41</v>
      </c>
      <c r="G819">
        <v>-243.1858</v>
      </c>
      <c r="H819">
        <v>1.046988</v>
      </c>
      <c r="I819">
        <v>367.29880000000003</v>
      </c>
      <c r="J819">
        <v>-243.88210000000001</v>
      </c>
      <c r="K819">
        <v>1.1105430000000001</v>
      </c>
      <c r="L819">
        <v>367.36860000000001</v>
      </c>
      <c r="M819">
        <v>0.99982729999999997</v>
      </c>
      <c r="N819">
        <v>0</v>
      </c>
      <c r="O819">
        <v>1.2328499999999999E-2</v>
      </c>
      <c r="P819">
        <v>0.99304669999999895</v>
      </c>
      <c r="Q819">
        <v>0.1061497</v>
      </c>
      <c r="R819">
        <v>-5.0896759999999999E-2</v>
      </c>
      <c r="S819">
        <v>3.0313870000000001</v>
      </c>
      <c r="T819">
        <v>-0.20354630000000001</v>
      </c>
      <c r="U819">
        <v>-0.21264649999999999</v>
      </c>
      <c r="V819">
        <v>6.3119690000000006E-2</v>
      </c>
      <c r="W819">
        <v>0.1199448</v>
      </c>
      <c r="X819">
        <v>0.99077199999999999</v>
      </c>
      <c r="Y819">
        <v>8.2058889999999995E-2</v>
      </c>
      <c r="Z819">
        <v>-3.574533E-3</v>
      </c>
      <c r="AA819">
        <v>0.99662110000000004</v>
      </c>
      <c r="AB819">
        <v>25</v>
      </c>
      <c r="AC819">
        <v>0.69630000000000702</v>
      </c>
      <c r="AD819">
        <v>-6.3555E-2</v>
      </c>
      <c r="AE819">
        <v>-6.9799999999986498E-2</v>
      </c>
      <c r="AF819">
        <v>7.7738647527911597E-2</v>
      </c>
      <c r="AG819">
        <v>-6.3555E-2</v>
      </c>
      <c r="AH819">
        <v>0.68969762876364504</v>
      </c>
      <c r="AI819">
        <v>95.231940604302693</v>
      </c>
      <c r="AJ819">
        <v>83.569099843403706</v>
      </c>
      <c r="AK819">
        <v>0.69696868973194503</v>
      </c>
      <c r="AL819">
        <v>83.111083179330194</v>
      </c>
      <c r="AM819">
        <v>86.3547506162936</v>
      </c>
      <c r="AN819">
        <v>1.00000000314836</v>
      </c>
    </row>
    <row r="820" spans="1:40" x14ac:dyDescent="0.25">
      <c r="A820" t="str">
        <f>"20190312164234887"</f>
        <v>20190312164234887</v>
      </c>
      <c r="B820" t="str">
        <f>"1552380154874690"</f>
        <v>1552380154874690</v>
      </c>
      <c r="C820" t="s">
        <v>40</v>
      </c>
      <c r="D820">
        <v>4.38992</v>
      </c>
      <c r="E820">
        <v>0.51195760000000001</v>
      </c>
      <c r="F820" t="s">
        <v>41</v>
      </c>
      <c r="G820">
        <v>-242.9563</v>
      </c>
      <c r="H820">
        <v>1.049887</v>
      </c>
      <c r="I820">
        <v>367.30169999999998</v>
      </c>
      <c r="J820">
        <v>-243.62909999999999</v>
      </c>
      <c r="K820">
        <v>1.1105480000000001</v>
      </c>
      <c r="L820">
        <v>367.37189999999998</v>
      </c>
      <c r="M820">
        <v>0.99982610000000005</v>
      </c>
      <c r="N820">
        <v>0</v>
      </c>
      <c r="O820">
        <v>1.2432230000000001E-2</v>
      </c>
      <c r="P820">
        <v>0.99282230000000005</v>
      </c>
      <c r="Q820">
        <v>0.10792060000000001</v>
      </c>
      <c r="R820">
        <v>-5.1545000000000001E-2</v>
      </c>
      <c r="S820">
        <v>3.031021</v>
      </c>
      <c r="T820">
        <v>-0.1986957</v>
      </c>
      <c r="U820">
        <v>-0.2185974</v>
      </c>
      <c r="V820">
        <v>6.3867770000000004E-2</v>
      </c>
      <c r="W820">
        <v>0.1217099</v>
      </c>
      <c r="X820">
        <v>0.99050870000000002</v>
      </c>
      <c r="Y820">
        <v>8.4122660000000002E-2</v>
      </c>
      <c r="Z820">
        <v>-3.5639830000000002E-3</v>
      </c>
      <c r="AA820">
        <v>0.99644909999999998</v>
      </c>
      <c r="AB820">
        <v>25</v>
      </c>
      <c r="AC820">
        <v>0.67279999999999496</v>
      </c>
      <c r="AD820">
        <v>-6.0660999999999798E-2</v>
      </c>
      <c r="AE820">
        <v>-7.0199999999999804E-2</v>
      </c>
      <c r="AF820">
        <v>7.7933076444300198E-2</v>
      </c>
      <c r="AG820">
        <v>-6.0660999999999798E-2</v>
      </c>
      <c r="AH820">
        <v>0.66651529106261198</v>
      </c>
      <c r="AI820">
        <v>95.165289128273301</v>
      </c>
      <c r="AJ820">
        <v>83.330906926238697</v>
      </c>
      <c r="AK820">
        <v>0.67379221911903397</v>
      </c>
      <c r="AL820">
        <v>83.0092035154115</v>
      </c>
      <c r="AM820">
        <v>86.310688784359698</v>
      </c>
      <c r="AN820">
        <v>0.99999993828923395</v>
      </c>
    </row>
    <row r="821" spans="1:40" x14ac:dyDescent="0.25">
      <c r="A821" t="str">
        <f>"20190312164234909"</f>
        <v>20190312164234909</v>
      </c>
      <c r="B821" t="str">
        <f>"1552380154904946"</f>
        <v>1552380154904946</v>
      </c>
      <c r="C821" t="s">
        <v>40</v>
      </c>
      <c r="D821">
        <v>4.6014359999999996</v>
      </c>
      <c r="E821">
        <v>0.51247180000000003</v>
      </c>
      <c r="F821" t="s">
        <v>41</v>
      </c>
      <c r="G821">
        <v>-242.72130000000001</v>
      </c>
      <c r="H821">
        <v>1.053202</v>
      </c>
      <c r="I821">
        <v>367.3048</v>
      </c>
      <c r="J821">
        <v>-243.37180000000001</v>
      </c>
      <c r="K821">
        <v>1.11056</v>
      </c>
      <c r="L821">
        <v>367.37520000000001</v>
      </c>
      <c r="M821">
        <v>0.99982490000000002</v>
      </c>
      <c r="N821">
        <v>0</v>
      </c>
      <c r="O821">
        <v>1.253815E-2</v>
      </c>
      <c r="P821">
        <v>0.99258539999999995</v>
      </c>
      <c r="Q821">
        <v>0.1095864</v>
      </c>
      <c r="R821">
        <v>-5.2586029999999999E-2</v>
      </c>
      <c r="S821">
        <v>3.0308839999999999</v>
      </c>
      <c r="T821">
        <v>-0.19155140000000001</v>
      </c>
      <c r="U821">
        <v>-0.22363279999999999</v>
      </c>
      <c r="V821">
        <v>6.5010509999999994E-2</v>
      </c>
      <c r="W821">
        <v>0.1233696</v>
      </c>
      <c r="X821">
        <v>0.99022909999999997</v>
      </c>
      <c r="Y821">
        <v>8.5888880000000001E-2</v>
      </c>
      <c r="Z821">
        <v>-3.4984090000000001E-3</v>
      </c>
      <c r="AA821">
        <v>0.99629860000000003</v>
      </c>
      <c r="AB821">
        <v>25</v>
      </c>
      <c r="AC821">
        <v>0.65049999999999297</v>
      </c>
      <c r="AD821">
        <v>-5.7357999999999999E-2</v>
      </c>
      <c r="AE821">
        <v>-7.0400000000006402E-2</v>
      </c>
      <c r="AF821">
        <v>7.79522660175124E-2</v>
      </c>
      <c r="AG821">
        <v>-5.7357999999999999E-2</v>
      </c>
      <c r="AH821">
        <v>0.64461232718331096</v>
      </c>
      <c r="AI821">
        <v>95.048235908949096</v>
      </c>
      <c r="AJ821">
        <v>83.104765277603704</v>
      </c>
      <c r="AK821">
        <v>0.651837056554741</v>
      </c>
      <c r="AL821">
        <v>82.913388364300403</v>
      </c>
      <c r="AM821">
        <v>86.243808548730996</v>
      </c>
      <c r="AN821">
        <v>1.00000004755071</v>
      </c>
    </row>
    <row r="822" spans="1:40" x14ac:dyDescent="0.25">
      <c r="A822" t="str">
        <f>"20190312164234932"</f>
        <v>20190312164234932</v>
      </c>
      <c r="B822" t="str">
        <f>"1552380154924469"</f>
        <v>1552380154924469</v>
      </c>
      <c r="C822" t="s">
        <v>40</v>
      </c>
      <c r="D822">
        <v>4.4495380000000004</v>
      </c>
      <c r="E822">
        <v>0.5127275</v>
      </c>
      <c r="F822" t="s">
        <v>42</v>
      </c>
      <c r="G822">
        <v>-225.0916</v>
      </c>
      <c r="H822" s="1">
        <v>-2.7320580000000002E-6</v>
      </c>
      <c r="I822">
        <v>365.98570000000001</v>
      </c>
      <c r="J822">
        <v>-243.11760000000001</v>
      </c>
      <c r="K822">
        <v>1.1105659999999999</v>
      </c>
      <c r="L822">
        <v>367.3784</v>
      </c>
      <c r="M822">
        <v>0.99982360000000003</v>
      </c>
      <c r="N822">
        <v>0</v>
      </c>
      <c r="O822">
        <v>1.264235E-2</v>
      </c>
      <c r="P822">
        <v>0.99253130000000001</v>
      </c>
      <c r="Q822">
        <v>0.10972999999999999</v>
      </c>
      <c r="R822">
        <v>-5.3304339999999999E-2</v>
      </c>
      <c r="S822">
        <v>3.0305330000000001</v>
      </c>
      <c r="T822">
        <v>-0.18411079999999999</v>
      </c>
      <c r="U822">
        <v>-0.23034669999999999</v>
      </c>
      <c r="V822">
        <v>6.5831580000000001E-2</v>
      </c>
      <c r="W822">
        <v>0.1235097</v>
      </c>
      <c r="X822">
        <v>0.99015739999999997</v>
      </c>
      <c r="Y822">
        <v>8.8206259999999995E-2</v>
      </c>
      <c r="Z822">
        <v>-3.4394270000000001E-3</v>
      </c>
      <c r="AA822">
        <v>0.99609630000000005</v>
      </c>
      <c r="AB822">
        <v>25</v>
      </c>
      <c r="AC822">
        <v>18.026</v>
      </c>
      <c r="AD822">
        <v>-1.110568732058</v>
      </c>
      <c r="AE822">
        <v>-1.3926999999999901</v>
      </c>
      <c r="AF822">
        <v>1.6144102065807</v>
      </c>
      <c r="AG822">
        <v>-1.110568732058</v>
      </c>
      <c r="AH822">
        <v>17.939262369152999</v>
      </c>
      <c r="AI822">
        <v>93.528275613600897</v>
      </c>
      <c r="AJ822">
        <v>84.857626420944698</v>
      </c>
      <c r="AK822">
        <v>18.0459640244861</v>
      </c>
      <c r="AL822">
        <v>82.905299449624593</v>
      </c>
      <c r="AM822">
        <v>86.1962323581524</v>
      </c>
      <c r="AN822">
        <v>1.00000005984707</v>
      </c>
    </row>
    <row r="823" spans="1:40" x14ac:dyDescent="0.25">
      <c r="A823" t="str">
        <f>"20190312164234954"</f>
        <v>20190312164234954</v>
      </c>
      <c r="B823" t="str">
        <f>"1552380154944962"</f>
        <v>1552380154944962</v>
      </c>
      <c r="C823" t="s">
        <v>40</v>
      </c>
      <c r="D823">
        <v>4.4236250000000004</v>
      </c>
      <c r="E823">
        <v>0.51300939999999995</v>
      </c>
      <c r="F823" t="s">
        <v>42</v>
      </c>
      <c r="G823">
        <v>-224.75309999999999</v>
      </c>
      <c r="H823" s="1">
        <v>-2.8818749999999998E-6</v>
      </c>
      <c r="I823">
        <v>365.9597</v>
      </c>
      <c r="J823">
        <v>-242.86240000000001</v>
      </c>
      <c r="K823">
        <v>1.1105659999999999</v>
      </c>
      <c r="L823">
        <v>367.3818</v>
      </c>
      <c r="M823">
        <v>0.99982230000000005</v>
      </c>
      <c r="N823">
        <v>0</v>
      </c>
      <c r="O823">
        <v>1.274721E-2</v>
      </c>
      <c r="P823">
        <v>0.99255179999999998</v>
      </c>
      <c r="Q823">
        <v>0.1089774</v>
      </c>
      <c r="R823">
        <v>-5.4453120000000001E-2</v>
      </c>
      <c r="S823">
        <v>3.0302579999999999</v>
      </c>
      <c r="T823">
        <v>-0.18325040000000001</v>
      </c>
      <c r="U823">
        <v>-0.23410030000000001</v>
      </c>
      <c r="V823">
        <v>6.708472E-2</v>
      </c>
      <c r="W823">
        <v>0.1227544</v>
      </c>
      <c r="X823">
        <v>0.99016709999999997</v>
      </c>
      <c r="Y823">
        <v>8.9543250000000005E-2</v>
      </c>
      <c r="Z823">
        <v>-3.4701900000000002E-3</v>
      </c>
      <c r="AA823">
        <v>0.99597690000000005</v>
      </c>
      <c r="AB823">
        <v>25</v>
      </c>
      <c r="AC823">
        <v>18.109300000000001</v>
      </c>
      <c r="AD823">
        <v>-1.1105688818749999</v>
      </c>
      <c r="AE823">
        <v>-1.4220999999999999</v>
      </c>
      <c r="AF823">
        <v>1.6466947101085501</v>
      </c>
      <c r="AG823">
        <v>-1.1105688818749999</v>
      </c>
      <c r="AH823">
        <v>18.022334659829401</v>
      </c>
      <c r="AI823">
        <v>93.5116199169683</v>
      </c>
      <c r="AJ823">
        <v>84.779399438527193</v>
      </c>
      <c r="AK823">
        <v>18.131450943059601</v>
      </c>
      <c r="AL823">
        <v>82.948905969393394</v>
      </c>
      <c r="AM823">
        <v>86.124082071443496</v>
      </c>
      <c r="AN823">
        <v>0.99999994414962201</v>
      </c>
    </row>
    <row r="824" spans="1:40" x14ac:dyDescent="0.25">
      <c r="A824" t="str">
        <f>"20190312164234977"</f>
        <v>20190312164234977</v>
      </c>
      <c r="B824" t="str">
        <f>"1552380154964482"</f>
        <v>1552380154964482</v>
      </c>
      <c r="C824" t="s">
        <v>40</v>
      </c>
      <c r="D824">
        <v>4.5155419999999999</v>
      </c>
      <c r="E824">
        <v>0.51326170000000004</v>
      </c>
      <c r="F824" t="s">
        <v>42</v>
      </c>
      <c r="G824">
        <v>-224.6147</v>
      </c>
      <c r="H824" s="1">
        <v>-2.9454709999999998E-6</v>
      </c>
      <c r="I824">
        <v>365.9359</v>
      </c>
      <c r="J824">
        <v>-242.6156</v>
      </c>
      <c r="K824">
        <v>1.11056</v>
      </c>
      <c r="L824">
        <v>367.38510000000002</v>
      </c>
      <c r="M824">
        <v>0.99982110000000002</v>
      </c>
      <c r="N824">
        <v>0</v>
      </c>
      <c r="O824">
        <v>1.2848190000000001E-2</v>
      </c>
      <c r="P824">
        <v>0.99238979999999999</v>
      </c>
      <c r="Q824">
        <v>0.1095177</v>
      </c>
      <c r="R824">
        <v>-5.62888E-2</v>
      </c>
      <c r="S824">
        <v>3.0296020000000001</v>
      </c>
      <c r="T824">
        <v>-0.18438260000000001</v>
      </c>
      <c r="U824">
        <v>-0.2400513</v>
      </c>
      <c r="V824">
        <v>6.9018250000000003E-2</v>
      </c>
      <c r="W824">
        <v>0.1232896</v>
      </c>
      <c r="X824">
        <v>0.98996779999999995</v>
      </c>
      <c r="Y824">
        <v>9.1598349999999995E-2</v>
      </c>
      <c r="Z824">
        <v>-3.5605929999999999E-3</v>
      </c>
      <c r="AA824">
        <v>0.99578960000000005</v>
      </c>
      <c r="AB824">
        <v>25</v>
      </c>
      <c r="AC824">
        <v>18.000900000000001</v>
      </c>
      <c r="AD824">
        <v>-1.110562945471</v>
      </c>
      <c r="AE824">
        <v>-1.44920000000001</v>
      </c>
      <c r="AF824">
        <v>1.67405079516591</v>
      </c>
      <c r="AG824">
        <v>-1.110562945471</v>
      </c>
      <c r="AH824">
        <v>17.913049927188901</v>
      </c>
      <c r="AI824">
        <v>93.532297767291297</v>
      </c>
      <c r="AJ824">
        <v>84.660972537582794</v>
      </c>
      <c r="AK824">
        <v>18.0253475365833</v>
      </c>
      <c r="AL824">
        <v>82.918007267885002</v>
      </c>
      <c r="AM824">
        <v>86.011924722760099</v>
      </c>
      <c r="AN824">
        <v>1.00000004466903</v>
      </c>
    </row>
    <row r="825" spans="1:40" x14ac:dyDescent="0.25">
      <c r="A825" t="str">
        <f>"20190312164234999"</f>
        <v>20190312164234999</v>
      </c>
      <c r="B825" t="str">
        <f>"1552380154994737"</f>
        <v>1552380154994737</v>
      </c>
      <c r="C825" t="s">
        <v>40</v>
      </c>
      <c r="D825">
        <v>4.4384589999999999</v>
      </c>
      <c r="E825">
        <v>0.51359460000000001</v>
      </c>
      <c r="F825" t="s">
        <v>42</v>
      </c>
      <c r="G825">
        <v>-224.1601</v>
      </c>
      <c r="H825" s="1">
        <v>-3.1511140000000002E-6</v>
      </c>
      <c r="I825">
        <v>365.8759</v>
      </c>
      <c r="J825">
        <v>-242.36</v>
      </c>
      <c r="K825">
        <v>1.1105590000000001</v>
      </c>
      <c r="L825">
        <v>367.38839999999999</v>
      </c>
      <c r="M825">
        <v>0.99981980000000004</v>
      </c>
      <c r="N825">
        <v>0</v>
      </c>
      <c r="O825">
        <v>1.295322E-2</v>
      </c>
      <c r="P825">
        <v>0.99210909999999997</v>
      </c>
      <c r="Q825">
        <v>0.1107754</v>
      </c>
      <c r="R825">
        <v>-5.8726359999999998E-2</v>
      </c>
      <c r="S825">
        <v>3.0290530000000002</v>
      </c>
      <c r="T825">
        <v>-0.18227260000000001</v>
      </c>
      <c r="U825">
        <v>-0.2476807</v>
      </c>
      <c r="V825">
        <v>7.1556120000000001E-2</v>
      </c>
      <c r="W825">
        <v>0.1245402</v>
      </c>
      <c r="X825">
        <v>0.98963100000000004</v>
      </c>
      <c r="Y825">
        <v>9.4208310000000003E-2</v>
      </c>
      <c r="Z825">
        <v>-3.6048349999999998E-3</v>
      </c>
      <c r="AA825">
        <v>0.99554600000000004</v>
      </c>
      <c r="AB825">
        <v>25</v>
      </c>
      <c r="AC825">
        <v>18.1999</v>
      </c>
      <c r="AD825">
        <v>-1.110562151114</v>
      </c>
      <c r="AE825">
        <v>-1.51249999999998</v>
      </c>
      <c r="AF825">
        <v>1.7417024017432501</v>
      </c>
      <c r="AG825">
        <v>-1.110562151114</v>
      </c>
      <c r="AH825">
        <v>18.111802996214301</v>
      </c>
      <c r="AI825">
        <v>93.492742308333703</v>
      </c>
      <c r="AJ825">
        <v>84.507102202559494</v>
      </c>
      <c r="AK825">
        <v>18.229215104370301</v>
      </c>
      <c r="AL825">
        <v>82.845796505683396</v>
      </c>
      <c r="AM825">
        <v>85.864376600757495</v>
      </c>
      <c r="AN825">
        <v>1.0000000279432399</v>
      </c>
    </row>
    <row r="826" spans="1:40" x14ac:dyDescent="0.25">
      <c r="A826" t="str">
        <f>"20190312164235021"</f>
        <v>20190312164235021</v>
      </c>
      <c r="B826" t="str">
        <f>"1552380155014261"</f>
        <v>1552380155014261</v>
      </c>
      <c r="C826" t="s">
        <v>40</v>
      </c>
      <c r="D826">
        <v>4.4368970000000001</v>
      </c>
      <c r="E826">
        <v>0.51379540000000001</v>
      </c>
      <c r="F826" t="s">
        <v>42</v>
      </c>
      <c r="G826">
        <v>-223.42320000000001</v>
      </c>
      <c r="H826" s="1">
        <v>-3.483915E-6</v>
      </c>
      <c r="I826">
        <v>365.78179999999998</v>
      </c>
      <c r="J826">
        <v>-242.11099999999999</v>
      </c>
      <c r="K826">
        <v>1.110562</v>
      </c>
      <c r="L826">
        <v>367.39179999999999</v>
      </c>
      <c r="M826">
        <v>0.99981830000000005</v>
      </c>
      <c r="N826">
        <v>0</v>
      </c>
      <c r="O826">
        <v>1.30551E-2</v>
      </c>
      <c r="P826">
        <v>0.9918477</v>
      </c>
      <c r="Q826">
        <v>0.11169510000000001</v>
      </c>
      <c r="R826">
        <v>-6.1338770000000001E-2</v>
      </c>
      <c r="S826">
        <v>3.0285030000000002</v>
      </c>
      <c r="T826">
        <v>-0.1776085</v>
      </c>
      <c r="U826">
        <v>-0.25692749999999998</v>
      </c>
      <c r="V826">
        <v>7.4265639999999994E-2</v>
      </c>
      <c r="W826">
        <v>0.12545329999999999</v>
      </c>
      <c r="X826">
        <v>0.98931599999999997</v>
      </c>
      <c r="Y826">
        <v>9.7346840000000004E-2</v>
      </c>
      <c r="Z826">
        <v>-3.6106950000000001E-3</v>
      </c>
      <c r="AA826">
        <v>0.99524400000000002</v>
      </c>
      <c r="AB826">
        <v>25</v>
      </c>
      <c r="AC826">
        <v>18.6877999999999</v>
      </c>
      <c r="AD826">
        <v>-1.1105654839149901</v>
      </c>
      <c r="AE826">
        <v>-1.6100000000000101</v>
      </c>
      <c r="AF826">
        <v>1.84738125176683</v>
      </c>
      <c r="AG826">
        <v>-1.1105654839149901</v>
      </c>
      <c r="AH826">
        <v>18.599982540253698</v>
      </c>
      <c r="AI826">
        <v>93.400262000315706</v>
      </c>
      <c r="AJ826">
        <v>84.327890313156303</v>
      </c>
      <c r="AK826">
        <v>18.724463241470701</v>
      </c>
      <c r="AL826">
        <v>82.793066200949696</v>
      </c>
      <c r="AM826">
        <v>85.706991576454897</v>
      </c>
      <c r="AN826">
        <v>1.00000003181074</v>
      </c>
    </row>
    <row r="827" spans="1:40" x14ac:dyDescent="0.25">
      <c r="A827" t="str">
        <f>"20190312164235042"</f>
        <v>20190312164235042</v>
      </c>
      <c r="B827" t="str">
        <f>"1552380155034754"</f>
        <v>1552380155034754</v>
      </c>
      <c r="C827" t="s">
        <v>40</v>
      </c>
      <c r="D827">
        <v>4.7505699999999997</v>
      </c>
      <c r="E827">
        <v>0.51396589999999998</v>
      </c>
      <c r="F827" t="s">
        <v>42</v>
      </c>
      <c r="G827">
        <v>-222.8518</v>
      </c>
      <c r="H827" s="1">
        <v>-3.743598E-6</v>
      </c>
      <c r="I827">
        <v>365.69990000000001</v>
      </c>
      <c r="J827">
        <v>-241.86689999999999</v>
      </c>
      <c r="K827">
        <v>1.1105719999999999</v>
      </c>
      <c r="L827">
        <v>367.39499999999998</v>
      </c>
      <c r="M827">
        <v>0.99981730000000002</v>
      </c>
      <c r="N827">
        <v>0</v>
      </c>
      <c r="O827">
        <v>1.31556E-2</v>
      </c>
      <c r="P827">
        <v>0.99162609999999995</v>
      </c>
      <c r="Q827">
        <v>0.1122036</v>
      </c>
      <c r="R827">
        <v>-6.3940780000000003E-2</v>
      </c>
      <c r="S827">
        <v>3.0278779999999998</v>
      </c>
      <c r="T827">
        <v>-0.17459949999999999</v>
      </c>
      <c r="U827">
        <v>-0.26599119999999998</v>
      </c>
      <c r="V827">
        <v>7.6964279999999996E-2</v>
      </c>
      <c r="W827">
        <v>0.12595609999999999</v>
      </c>
      <c r="X827">
        <v>0.98904579999999997</v>
      </c>
      <c r="Y827">
        <v>0.10042189999999999</v>
      </c>
      <c r="Z827">
        <v>-3.6441020000000002E-3</v>
      </c>
      <c r="AA827">
        <v>0.99493830000000005</v>
      </c>
      <c r="AB827">
        <v>25</v>
      </c>
      <c r="AC827">
        <v>19.015099999999901</v>
      </c>
      <c r="AD827">
        <v>-1.1105757435979999</v>
      </c>
      <c r="AE827">
        <v>-1.6950999999999601</v>
      </c>
      <c r="AF827">
        <v>1.93857178743796</v>
      </c>
      <c r="AG827">
        <v>-1.1105757435979999</v>
      </c>
      <c r="AH827">
        <v>18.927098044111101</v>
      </c>
      <c r="AI827">
        <v>93.340628293609598</v>
      </c>
      <c r="AJ827">
        <v>84.151982084398298</v>
      </c>
      <c r="AK827">
        <v>19.058501500084201</v>
      </c>
      <c r="AL827">
        <v>82.764027432685594</v>
      </c>
      <c r="AM827">
        <v>85.550398504555105</v>
      </c>
      <c r="AN827">
        <v>1.00000001701038</v>
      </c>
    </row>
    <row r="828" spans="1:40" x14ac:dyDescent="0.25">
      <c r="A828" t="str">
        <f>"20190312164235065"</f>
        <v>20190312164235065</v>
      </c>
      <c r="B828" t="str">
        <f>"1552380155054822"</f>
        <v>1552380155054822</v>
      </c>
      <c r="C828" t="s">
        <v>40</v>
      </c>
      <c r="D828">
        <v>4.4526309999999896</v>
      </c>
      <c r="E828">
        <v>0.51410529999999999</v>
      </c>
      <c r="F828" t="s">
        <v>42</v>
      </c>
      <c r="G828">
        <v>-222.4676</v>
      </c>
      <c r="H828" s="1">
        <v>-3.9204599999999997E-6</v>
      </c>
      <c r="I828">
        <v>365.63200000000001</v>
      </c>
      <c r="J828">
        <v>-241.61539999999999</v>
      </c>
      <c r="K828">
        <v>1.110574</v>
      </c>
      <c r="L828">
        <v>367.39850000000001</v>
      </c>
      <c r="M828">
        <v>0.99981580000000003</v>
      </c>
      <c r="N828">
        <v>0</v>
      </c>
      <c r="O828">
        <v>1.325873E-2</v>
      </c>
      <c r="P828">
        <v>0.99133479999999996</v>
      </c>
      <c r="Q828">
        <v>0.11311400000000001</v>
      </c>
      <c r="R828">
        <v>-6.6788449999999999E-2</v>
      </c>
      <c r="S828">
        <v>3.0272220000000001</v>
      </c>
      <c r="T828">
        <v>-0.17330299999999901</v>
      </c>
      <c r="U828">
        <v>-0.27511600000000003</v>
      </c>
      <c r="V828">
        <v>7.9909910000000001E-2</v>
      </c>
      <c r="W828">
        <v>0.12685959999999999</v>
      </c>
      <c r="X828">
        <v>0.98869660000000004</v>
      </c>
      <c r="Y828">
        <v>0.1035156</v>
      </c>
      <c r="Z828">
        <v>-3.7115759999999999E-3</v>
      </c>
      <c r="AA828">
        <v>0.99462090000000003</v>
      </c>
      <c r="AB828">
        <v>25</v>
      </c>
      <c r="AC828">
        <v>19.147799999999901</v>
      </c>
      <c r="AD828">
        <v>-1.1105779204599999</v>
      </c>
      <c r="AE828">
        <v>-1.7665000000000599</v>
      </c>
      <c r="AF828">
        <v>2.01352824000345</v>
      </c>
      <c r="AG828">
        <v>-1.1105779204599999</v>
      </c>
      <c r="AH828">
        <v>19.059118347836598</v>
      </c>
      <c r="AI828">
        <v>93.316448542939</v>
      </c>
      <c r="AJ828">
        <v>83.969274420986096</v>
      </c>
      <c r="AK828">
        <v>19.1973350100358</v>
      </c>
      <c r="AL828">
        <v>82.711841659932901</v>
      </c>
      <c r="AM828">
        <v>85.379199351892098</v>
      </c>
      <c r="AN828">
        <v>0.999999959339963</v>
      </c>
    </row>
    <row r="829" spans="1:40" x14ac:dyDescent="0.25">
      <c r="A829" t="str">
        <f>"20190312164235088"</f>
        <v>20190312164235088</v>
      </c>
      <c r="B829" t="str">
        <f>"1552380155085078"</f>
        <v>1552380155085078</v>
      </c>
      <c r="C829" t="s">
        <v>40</v>
      </c>
      <c r="D829">
        <v>4.4661479999999996</v>
      </c>
      <c r="E829">
        <v>0.51423809999999903</v>
      </c>
      <c r="F829" t="s">
        <v>42</v>
      </c>
      <c r="G829">
        <v>-221.91079999999999</v>
      </c>
      <c r="H829" s="1">
        <v>-4.1741749999999997E-6</v>
      </c>
      <c r="I829">
        <v>365.54820000000001</v>
      </c>
      <c r="J829">
        <v>-241.3639</v>
      </c>
      <c r="K829">
        <v>1.110579</v>
      </c>
      <c r="L829">
        <v>367.40190000000001</v>
      </c>
      <c r="M829">
        <v>0.99981450000000005</v>
      </c>
      <c r="N829">
        <v>0</v>
      </c>
      <c r="O829">
        <v>1.336209E-2</v>
      </c>
      <c r="P829">
        <v>0.99116930000000003</v>
      </c>
      <c r="Q829">
        <v>0.11372549999999999</v>
      </c>
      <c r="R829">
        <v>-6.8191109999999999E-2</v>
      </c>
      <c r="S829">
        <v>3.026535</v>
      </c>
      <c r="T829">
        <v>-0.17057929999999999</v>
      </c>
      <c r="U829">
        <v>-0.28417969999999998</v>
      </c>
      <c r="V829">
        <v>8.1412600000000002E-2</v>
      </c>
      <c r="W829">
        <v>0.12746589999999999</v>
      </c>
      <c r="X829">
        <v>0.98849609999999999</v>
      </c>
      <c r="Y829">
        <v>0.1065926</v>
      </c>
      <c r="Z829">
        <v>-3.7459260000000001E-3</v>
      </c>
      <c r="AA829">
        <v>0.9942957</v>
      </c>
      <c r="AB829">
        <v>25</v>
      </c>
      <c r="AC829">
        <v>19.453099999999999</v>
      </c>
      <c r="AD829">
        <v>-1.1105831741750001</v>
      </c>
      <c r="AE829">
        <v>-1.8536999999999999</v>
      </c>
      <c r="AF829">
        <v>2.1066890135366201</v>
      </c>
      <c r="AG829">
        <v>-1.1105831741750001</v>
      </c>
      <c r="AH829">
        <v>19.364045934621501</v>
      </c>
      <c r="AI829">
        <v>93.263266798247201</v>
      </c>
      <c r="AJ829">
        <v>83.790991811929104</v>
      </c>
      <c r="AK829">
        <v>19.509941274761701</v>
      </c>
      <c r="AL829">
        <v>82.676819600049598</v>
      </c>
      <c r="AM829">
        <v>85.291742515866204</v>
      </c>
      <c r="AN829">
        <v>1.0000000534083799</v>
      </c>
    </row>
    <row r="830" spans="1:40" x14ac:dyDescent="0.25">
      <c r="A830" t="str">
        <f>"20190312164235111"</f>
        <v>20190312164235111</v>
      </c>
      <c r="B830" t="str">
        <f>"1552380155104600"</f>
        <v>1552380155104600</v>
      </c>
      <c r="C830" t="s">
        <v>40</v>
      </c>
      <c r="D830">
        <v>4.7380690000000003</v>
      </c>
      <c r="E830">
        <v>0.51426590000000005</v>
      </c>
      <c r="F830" t="s">
        <v>42</v>
      </c>
      <c r="G830">
        <v>-221.6028</v>
      </c>
      <c r="H830" s="1">
        <v>-4.3119479999999998E-6</v>
      </c>
      <c r="I830">
        <v>365.51639999999998</v>
      </c>
      <c r="J830">
        <v>-241.10249999999999</v>
      </c>
      <c r="K830">
        <v>1.1105910000000001</v>
      </c>
      <c r="L830">
        <v>367.40550000000002</v>
      </c>
      <c r="M830">
        <v>0.99981310000000001</v>
      </c>
      <c r="N830">
        <v>0</v>
      </c>
      <c r="O830">
        <v>1.3469450000000001E-2</v>
      </c>
      <c r="P830">
        <v>0.99077369999999998</v>
      </c>
      <c r="Q830">
        <v>0.1152999</v>
      </c>
      <c r="R830">
        <v>-7.1229700000000007E-2</v>
      </c>
      <c r="S830">
        <v>3.0263979999999999</v>
      </c>
      <c r="T830">
        <v>-0.1700845</v>
      </c>
      <c r="U830">
        <v>-0.28875729999999999</v>
      </c>
      <c r="V830">
        <v>8.4551749999999995E-2</v>
      </c>
      <c r="W830">
        <v>0.1290317</v>
      </c>
      <c r="X830">
        <v>0.98802920000000005</v>
      </c>
      <c r="Y830">
        <v>0.1081925</v>
      </c>
      <c r="Z830">
        <v>-3.7858190000000002E-3</v>
      </c>
      <c r="AA830">
        <v>0.99412270000000003</v>
      </c>
      <c r="AB830">
        <v>25</v>
      </c>
      <c r="AC830">
        <v>19.499699999999901</v>
      </c>
      <c r="AD830">
        <v>-1.1105953119480001</v>
      </c>
      <c r="AE830">
        <v>-1.88910000000004</v>
      </c>
      <c r="AF830">
        <v>2.14471173386712</v>
      </c>
      <c r="AG830">
        <v>-1.1105953119480001</v>
      </c>
      <c r="AH830">
        <v>19.410105800862699</v>
      </c>
      <c r="AI830">
        <v>93.254976765729495</v>
      </c>
      <c r="AJ830">
        <v>83.694703737197798</v>
      </c>
      <c r="AK830">
        <v>19.559790836534798</v>
      </c>
      <c r="AL830">
        <v>82.586357988309999</v>
      </c>
      <c r="AM830">
        <v>85.108763645833804</v>
      </c>
      <c r="AN830">
        <v>0.99999993904279405</v>
      </c>
    </row>
    <row r="831" spans="1:40" x14ac:dyDescent="0.25">
      <c r="A831" t="str">
        <f>"20190312164235132"</f>
        <v>20190312164235132</v>
      </c>
      <c r="B831" t="str">
        <f>"1552380155125097"</f>
        <v>1552380155125097</v>
      </c>
      <c r="C831" t="s">
        <v>40</v>
      </c>
      <c r="D831">
        <v>4.7238259999999999</v>
      </c>
      <c r="E831">
        <v>0.51437440000000001</v>
      </c>
      <c r="F831" t="s">
        <v>42</v>
      </c>
      <c r="G831">
        <v>-220.98429999999999</v>
      </c>
      <c r="H831" s="1">
        <v>-4.5929199999999901E-6</v>
      </c>
      <c r="I831">
        <v>365.42829999999998</v>
      </c>
      <c r="J831">
        <v>-240.8622</v>
      </c>
      <c r="K831">
        <v>1.1105959999999999</v>
      </c>
      <c r="L831">
        <v>367.40879999999999</v>
      </c>
      <c r="M831">
        <v>0.99981180000000003</v>
      </c>
      <c r="N831">
        <v>0</v>
      </c>
      <c r="O831">
        <v>1.356804E-2</v>
      </c>
      <c r="P831">
        <v>0.99036089999999999</v>
      </c>
      <c r="Q831">
        <v>0.1170773</v>
      </c>
      <c r="R831">
        <v>-7.4017330000000006E-2</v>
      </c>
      <c r="S831">
        <v>3.0260009999999999</v>
      </c>
      <c r="T831">
        <v>-0.16704569999999999</v>
      </c>
      <c r="U831">
        <v>-0.29739379999999999</v>
      </c>
      <c r="V831">
        <v>8.7430839999999996E-2</v>
      </c>
      <c r="W831">
        <v>0.1308009</v>
      </c>
      <c r="X831">
        <v>0.98754589999999998</v>
      </c>
      <c r="Y831">
        <v>0.1111154</v>
      </c>
      <c r="Z831">
        <v>-3.8041139999999999E-3</v>
      </c>
      <c r="AA831">
        <v>0.99380020000000002</v>
      </c>
      <c r="AB831">
        <v>25</v>
      </c>
      <c r="AC831">
        <v>19.8779</v>
      </c>
      <c r="AD831">
        <v>-1.11060059292</v>
      </c>
      <c r="AE831">
        <v>-1.9804999999999999</v>
      </c>
      <c r="AF831">
        <v>2.2431144923467299</v>
      </c>
      <c r="AG831">
        <v>-1.11060059292</v>
      </c>
      <c r="AH831">
        <v>19.788032974140499</v>
      </c>
      <c r="AI831">
        <v>93.191947637810301</v>
      </c>
      <c r="AJ831">
        <v>83.532722129649699</v>
      </c>
      <c r="AK831">
        <v>19.945707440159701</v>
      </c>
      <c r="AL831">
        <v>82.484124039831599</v>
      </c>
      <c r="AM831">
        <v>84.940598592455302</v>
      </c>
      <c r="AN831">
        <v>0.999999965915362</v>
      </c>
    </row>
    <row r="832" spans="1:40" x14ac:dyDescent="0.25">
      <c r="A832" t="str">
        <f>"20190312164235155"</f>
        <v>20190312164235155</v>
      </c>
      <c r="B832" t="str">
        <f>"1552380155144614"</f>
        <v>1552380155144614</v>
      </c>
      <c r="C832" t="s">
        <v>40</v>
      </c>
      <c r="D832">
        <v>4.5390930000000003</v>
      </c>
      <c r="E832">
        <v>0.51430959999999903</v>
      </c>
      <c r="F832" t="s">
        <v>42</v>
      </c>
      <c r="G832">
        <v>-220.12270000000001</v>
      </c>
      <c r="H832" s="1">
        <v>-4.9836260000000003E-6</v>
      </c>
      <c r="I832">
        <v>365.30950000000001</v>
      </c>
      <c r="J832">
        <v>-240.6122</v>
      </c>
      <c r="K832">
        <v>1.1106049999999901</v>
      </c>
      <c r="L832">
        <v>367.41230000000002</v>
      </c>
      <c r="M832">
        <v>0.99981039999999999</v>
      </c>
      <c r="N832">
        <v>0</v>
      </c>
      <c r="O832">
        <v>1.3671050000000001E-2</v>
      </c>
      <c r="P832">
        <v>0.98989890000000003</v>
      </c>
      <c r="Q832">
        <v>0.119132</v>
      </c>
      <c r="R832">
        <v>-7.6863550000000003E-2</v>
      </c>
      <c r="S832">
        <v>3.0254970000000001</v>
      </c>
      <c r="T832">
        <v>-0.16201460000000001</v>
      </c>
      <c r="U832">
        <v>-0.30624390000000001</v>
      </c>
      <c r="V832">
        <v>9.0372309999999997E-2</v>
      </c>
      <c r="W832">
        <v>0.13284570000000001</v>
      </c>
      <c r="X832">
        <v>0.987008</v>
      </c>
      <c r="Y832">
        <v>0.1141186</v>
      </c>
      <c r="Z832">
        <v>-3.7754339999999998E-3</v>
      </c>
      <c r="AA832">
        <v>0.99345989999999995</v>
      </c>
      <c r="AB832">
        <v>25</v>
      </c>
      <c r="AC832">
        <v>20.4894999999999</v>
      </c>
      <c r="AD832">
        <v>-1.1106099836259999</v>
      </c>
      <c r="AE832">
        <v>-2.1027999999999998</v>
      </c>
      <c r="AF832">
        <v>2.3758357701240498</v>
      </c>
      <c r="AG832">
        <v>-1.1106099836259999</v>
      </c>
      <c r="AH832">
        <v>20.3995242695961</v>
      </c>
      <c r="AI832">
        <v>93.095392560560498</v>
      </c>
      <c r="AJ832">
        <v>83.356960364239598</v>
      </c>
      <c r="AK832">
        <v>20.567416963930398</v>
      </c>
      <c r="AL832">
        <v>82.365934167840607</v>
      </c>
      <c r="AM832">
        <v>84.768477683159603</v>
      </c>
      <c r="AN832">
        <v>0.99999996324361196</v>
      </c>
    </row>
    <row r="833" spans="1:40" x14ac:dyDescent="0.25">
      <c r="A833" t="str">
        <f>"20190312164235178"</f>
        <v>20190312164235178</v>
      </c>
      <c r="B833" t="str">
        <f>"1552380155174877"</f>
        <v>1552380155174877</v>
      </c>
      <c r="C833" t="s">
        <v>40</v>
      </c>
      <c r="D833">
        <v>4.5491270000000004</v>
      </c>
      <c r="E833">
        <v>0.51425889999999996</v>
      </c>
      <c r="F833" t="s">
        <v>42</v>
      </c>
      <c r="G833">
        <v>-219.40629999999999</v>
      </c>
      <c r="H833" s="1">
        <v>-1.3592930000000001E-6</v>
      </c>
      <c r="I833">
        <v>365.21480000000003</v>
      </c>
      <c r="J833">
        <v>-240.3597</v>
      </c>
      <c r="K833">
        <v>1.1106100000000001</v>
      </c>
      <c r="L833">
        <v>367.41579999999999</v>
      </c>
      <c r="M833">
        <v>0.99980910000000001</v>
      </c>
      <c r="N833">
        <v>0</v>
      </c>
      <c r="O833">
        <v>1.377483E-2</v>
      </c>
      <c r="P833">
        <v>0.98936460000000004</v>
      </c>
      <c r="Q833">
        <v>0.1215451</v>
      </c>
      <c r="R833">
        <v>-7.9906199999999997E-2</v>
      </c>
      <c r="S833">
        <v>3.0253299999999999</v>
      </c>
      <c r="T833">
        <v>-0.15844330000000001</v>
      </c>
      <c r="U833">
        <v>-0.31350709999999998</v>
      </c>
      <c r="V833">
        <v>9.3509690000000006E-2</v>
      </c>
      <c r="W833">
        <v>0.13524810000000001</v>
      </c>
      <c r="X833">
        <v>0.98638930000000002</v>
      </c>
      <c r="Y833">
        <v>0.1165916</v>
      </c>
      <c r="Z833">
        <v>-3.7620449999999999E-3</v>
      </c>
      <c r="AA833">
        <v>0.99317279999999997</v>
      </c>
      <c r="AB833">
        <v>25</v>
      </c>
      <c r="AC833">
        <v>20.953399999999998</v>
      </c>
      <c r="AD833">
        <v>-1.110611359293</v>
      </c>
      <c r="AE833">
        <v>-2.2009999999999601</v>
      </c>
      <c r="AF833">
        <v>2.4825499867059801</v>
      </c>
      <c r="AG833">
        <v>-1.110611359293</v>
      </c>
      <c r="AH833">
        <v>20.863116914476201</v>
      </c>
      <c r="AI833">
        <v>93.025857538475407</v>
      </c>
      <c r="AJ833">
        <v>83.214151460169205</v>
      </c>
      <c r="AK833">
        <v>21.0396330627458</v>
      </c>
      <c r="AL833">
        <v>82.227033301535499</v>
      </c>
      <c r="AM833">
        <v>84.584545277535995</v>
      </c>
      <c r="AN833">
        <v>0.99999998091599696</v>
      </c>
    </row>
    <row r="834" spans="1:40" x14ac:dyDescent="0.25">
      <c r="A834" t="str">
        <f>"20190312164235202"</f>
        <v>20190312164235202</v>
      </c>
      <c r="B834" t="str">
        <f>"1552380155194396"</f>
        <v>1552380155194396</v>
      </c>
      <c r="C834" t="s">
        <v>40</v>
      </c>
      <c r="D834">
        <v>4.6956800000000003</v>
      </c>
      <c r="E834">
        <v>0.51182349999999999</v>
      </c>
      <c r="F834" t="s">
        <v>42</v>
      </c>
      <c r="G834">
        <v>-218.542</v>
      </c>
      <c r="H834" s="1">
        <v>-1.6840399999999999E-6</v>
      </c>
      <c r="I834">
        <v>365.09960000000001</v>
      </c>
      <c r="J834">
        <v>-240.0985</v>
      </c>
      <c r="K834">
        <v>1.1106100000000001</v>
      </c>
      <c r="L834">
        <v>367.41950000000003</v>
      </c>
      <c r="M834">
        <v>0.99980769999999997</v>
      </c>
      <c r="N834">
        <v>0</v>
      </c>
      <c r="O834">
        <v>1.387324E-2</v>
      </c>
      <c r="P834">
        <v>0.98890129999999998</v>
      </c>
      <c r="Q834">
        <v>0.12311569999999999</v>
      </c>
      <c r="R834">
        <v>-8.3169209999999993E-2</v>
      </c>
      <c r="S834">
        <v>3.025223</v>
      </c>
      <c r="T834">
        <v>-0.1539961</v>
      </c>
      <c r="U834">
        <v>-0.32116699999999998</v>
      </c>
      <c r="V834">
        <v>9.6864480000000003E-2</v>
      </c>
      <c r="W834">
        <v>0.1368075</v>
      </c>
      <c r="X834">
        <v>0.98585040000000002</v>
      </c>
      <c r="Y834">
        <v>0.1191863</v>
      </c>
      <c r="Z834">
        <v>-3.7270469999999998E-3</v>
      </c>
      <c r="AA834">
        <v>0.99286490000000005</v>
      </c>
      <c r="AB834">
        <v>25</v>
      </c>
      <c r="AC834">
        <v>21.5565</v>
      </c>
      <c r="AD834">
        <v>-1.11061168404</v>
      </c>
      <c r="AE834">
        <v>-2.3199000000000098</v>
      </c>
      <c r="AF834">
        <v>2.61191021979741</v>
      </c>
      <c r="AG834">
        <v>-1.11061168404</v>
      </c>
      <c r="AH834">
        <v>21.4659104775481</v>
      </c>
      <c r="AI834">
        <v>92.940104471571004</v>
      </c>
      <c r="AJ834">
        <v>83.062517502587895</v>
      </c>
      <c r="AK834">
        <v>21.6527329900666</v>
      </c>
      <c r="AL834">
        <v>82.136848253331806</v>
      </c>
      <c r="AM834">
        <v>84.388429544027304</v>
      </c>
      <c r="AN834">
        <v>1.00000001536104</v>
      </c>
    </row>
    <row r="835" spans="1:40" x14ac:dyDescent="0.25">
      <c r="A835" t="str">
        <f>"20190312164235221"</f>
        <v>20190312164235221</v>
      </c>
      <c r="B835" t="str">
        <f>"1552380155214891"</f>
        <v>1552380155214891</v>
      </c>
      <c r="C835" t="s">
        <v>40</v>
      </c>
      <c r="D835">
        <v>4.5502219999999998</v>
      </c>
      <c r="E835">
        <v>0.51247010000000004</v>
      </c>
      <c r="F835" t="s">
        <v>41</v>
      </c>
      <c r="G835">
        <v>-239.1516</v>
      </c>
      <c r="H835">
        <v>1.033787</v>
      </c>
      <c r="I835">
        <v>367.3245</v>
      </c>
      <c r="J835">
        <v>-239.8706</v>
      </c>
      <c r="K835">
        <v>1.110595</v>
      </c>
      <c r="L835">
        <v>367.4228</v>
      </c>
      <c r="M835">
        <v>0.99980690000000005</v>
      </c>
      <c r="N835">
        <v>0</v>
      </c>
      <c r="O835">
        <v>1.3936469999999999E-2</v>
      </c>
      <c r="P835">
        <v>0.98846820000000002</v>
      </c>
      <c r="Q835">
        <v>0.1240711</v>
      </c>
      <c r="R835">
        <v>-8.6818779999999998E-2</v>
      </c>
      <c r="S835">
        <v>3.0387729999999999</v>
      </c>
      <c r="T835">
        <v>-0.24661540000000001</v>
      </c>
      <c r="U835">
        <v>-0.30471799999999999</v>
      </c>
      <c r="V835">
        <v>0.100574</v>
      </c>
      <c r="W835">
        <v>0.13775119999999999</v>
      </c>
      <c r="X835">
        <v>0.98534739999999998</v>
      </c>
      <c r="Y835">
        <v>0.1132208</v>
      </c>
      <c r="Z835">
        <v>-5.7019740000000003E-3</v>
      </c>
      <c r="AA835">
        <v>0.99355349999999998</v>
      </c>
      <c r="AB835">
        <v>25</v>
      </c>
      <c r="AC835">
        <v>0.71899999999999398</v>
      </c>
      <c r="AD835">
        <v>-7.6807999999999904E-2</v>
      </c>
      <c r="AE835">
        <v>-9.8299999999994697E-2</v>
      </c>
      <c r="AF835">
        <v>0.107111822225471</v>
      </c>
      <c r="AG835">
        <v>-7.6807999999999904E-2</v>
      </c>
      <c r="AH835">
        <v>0.709610706331949</v>
      </c>
      <c r="AI835">
        <v>96.108953709474605</v>
      </c>
      <c r="AJ835">
        <v>81.416317558380698</v>
      </c>
      <c r="AK835">
        <v>0.721747716217646</v>
      </c>
      <c r="AL835">
        <v>82.082261379348907</v>
      </c>
      <c r="AM835">
        <v>84.1720266490764</v>
      </c>
      <c r="AN835">
        <v>1.0000000106321001</v>
      </c>
    </row>
    <row r="836" spans="1:40" x14ac:dyDescent="0.25">
      <c r="A836" t="str">
        <f>"20190312164235244"</f>
        <v>20190312164235244</v>
      </c>
      <c r="B836" t="str">
        <f>"1552380155234412"</f>
        <v>1552380155234412</v>
      </c>
      <c r="C836" t="s">
        <v>40</v>
      </c>
      <c r="D836">
        <v>4.5559989999999999</v>
      </c>
      <c r="E836">
        <v>0.51226059999999995</v>
      </c>
      <c r="F836" t="s">
        <v>41</v>
      </c>
      <c r="G836">
        <v>-238.9246</v>
      </c>
      <c r="H836">
        <v>1.0415099999999999</v>
      </c>
      <c r="I836">
        <v>367.32229999999998</v>
      </c>
      <c r="J836">
        <v>-239.62299999999999</v>
      </c>
      <c r="K836">
        <v>1.1105769999999999</v>
      </c>
      <c r="L836">
        <v>367.42619999999999</v>
      </c>
      <c r="M836">
        <v>0.99980630000000004</v>
      </c>
      <c r="N836">
        <v>0</v>
      </c>
      <c r="O836">
        <v>1.3982720000000001E-2</v>
      </c>
      <c r="P836">
        <v>0.98827169999999998</v>
      </c>
      <c r="Q836">
        <v>0.12321650000000001</v>
      </c>
      <c r="R836">
        <v>-9.0206010000000003E-2</v>
      </c>
      <c r="S836">
        <v>3.034592</v>
      </c>
      <c r="T836">
        <v>-0.2218744</v>
      </c>
      <c r="U836">
        <v>-0.3214417</v>
      </c>
      <c r="V836">
        <v>0.1040104</v>
      </c>
      <c r="W836">
        <v>0.1368859</v>
      </c>
      <c r="X836">
        <v>0.98511119999999996</v>
      </c>
      <c r="Y836">
        <v>0.11888170000000001</v>
      </c>
      <c r="Z836">
        <v>-5.3465780000000003E-3</v>
      </c>
      <c r="AA836">
        <v>0.9928941</v>
      </c>
      <c r="AB836">
        <v>25</v>
      </c>
      <c r="AC836">
        <v>0.69839999999999203</v>
      </c>
      <c r="AD836">
        <v>-6.9067000000000198E-2</v>
      </c>
      <c r="AE836">
        <v>-0.10390000000001</v>
      </c>
      <c r="AF836">
        <v>0.11257914054651701</v>
      </c>
      <c r="AG836">
        <v>-6.9067000000000198E-2</v>
      </c>
      <c r="AH836">
        <v>0.69027415325446495</v>
      </c>
      <c r="AI836">
        <v>95.639820384921094</v>
      </c>
      <c r="AJ836">
        <v>80.736993711606502</v>
      </c>
      <c r="AK836">
        <v>0.70279635743674795</v>
      </c>
      <c r="AL836">
        <v>82.132313439366598</v>
      </c>
      <c r="AM836">
        <v>83.972904144827197</v>
      </c>
      <c r="AN836">
        <v>0.99999999464620404</v>
      </c>
    </row>
    <row r="837" spans="1:40" x14ac:dyDescent="0.25">
      <c r="A837" t="str">
        <f>"20190312164235267"</f>
        <v>20190312164235267</v>
      </c>
      <c r="B837" t="str">
        <f>"1552380155254510"</f>
        <v>1552380155254510</v>
      </c>
      <c r="C837" t="s">
        <v>40</v>
      </c>
      <c r="D837">
        <v>4.835019</v>
      </c>
      <c r="E837">
        <v>0.51221490000000003</v>
      </c>
      <c r="F837" t="s">
        <v>41</v>
      </c>
      <c r="G837">
        <v>-238.7002</v>
      </c>
      <c r="H837">
        <v>1.0446519999999999</v>
      </c>
      <c r="I837">
        <v>367.32580000000002</v>
      </c>
      <c r="J837">
        <v>-239.3699</v>
      </c>
      <c r="K837">
        <v>1.1105449999999999</v>
      </c>
      <c r="L837">
        <v>367.4298</v>
      </c>
      <c r="M837">
        <v>0.99980590000000003</v>
      </c>
      <c r="N837">
        <v>0</v>
      </c>
      <c r="O837">
        <v>1.401E-2</v>
      </c>
      <c r="P837">
        <v>0.98815160000000002</v>
      </c>
      <c r="Q837">
        <v>0.1214421</v>
      </c>
      <c r="R837">
        <v>-9.3853950000000005E-2</v>
      </c>
      <c r="S837">
        <v>3.0325470000000001</v>
      </c>
      <c r="T837">
        <v>-0.21677460000000001</v>
      </c>
      <c r="U837">
        <v>-0.32965090000000002</v>
      </c>
      <c r="V837">
        <v>0.1076896</v>
      </c>
      <c r="W837">
        <v>0.13510159999999999</v>
      </c>
      <c r="X837">
        <v>0.98496220000000001</v>
      </c>
      <c r="Y837">
        <v>0.12164410000000001</v>
      </c>
      <c r="Z837">
        <v>-5.3270110000000004E-3</v>
      </c>
      <c r="AA837">
        <v>0.99255950000000004</v>
      </c>
      <c r="AB837">
        <v>25</v>
      </c>
      <c r="AC837">
        <v>0.66970000000000596</v>
      </c>
      <c r="AD837">
        <v>-6.5892999999999896E-2</v>
      </c>
      <c r="AE837">
        <v>-0.10399999999998499</v>
      </c>
      <c r="AF837">
        <v>0.11231150968417</v>
      </c>
      <c r="AG837">
        <v>-6.5892999999999896E-2</v>
      </c>
      <c r="AH837">
        <v>0.66191996300425004</v>
      </c>
      <c r="AI837">
        <v>95.605372221601201</v>
      </c>
      <c r="AJ837">
        <v>80.370033558828197</v>
      </c>
      <c r="AK837">
        <v>0.67460640382380299</v>
      </c>
      <c r="AL837">
        <v>82.235505144947794</v>
      </c>
      <c r="AM837">
        <v>83.760421802970995</v>
      </c>
      <c r="AN837">
        <v>1.00000001384978</v>
      </c>
    </row>
    <row r="838" spans="1:40" x14ac:dyDescent="0.25">
      <c r="A838" t="str">
        <f>"20190312164235290"</f>
        <v>20190312164235290</v>
      </c>
      <c r="B838" t="str">
        <f>"1552380155284767"</f>
        <v>1552380155284767</v>
      </c>
      <c r="C838" t="s">
        <v>40</v>
      </c>
      <c r="D838">
        <v>4.6200749999999999</v>
      </c>
      <c r="E838">
        <v>0.50627200000000006</v>
      </c>
      <c r="F838" t="s">
        <v>41</v>
      </c>
      <c r="G838">
        <v>-238.4785</v>
      </c>
      <c r="H838">
        <v>1.0452379999999999</v>
      </c>
      <c r="I838">
        <v>367.32990000000001</v>
      </c>
      <c r="J838">
        <v>-239.114</v>
      </c>
      <c r="K838">
        <v>1.1105259999999999</v>
      </c>
      <c r="L838">
        <v>367.43340000000001</v>
      </c>
      <c r="M838">
        <v>0.99980599999999997</v>
      </c>
      <c r="N838">
        <v>0</v>
      </c>
      <c r="O838">
        <v>1.4014810000000001E-2</v>
      </c>
      <c r="P838">
        <v>0.98792829999999998</v>
      </c>
      <c r="Q838">
        <v>0.1203689</v>
      </c>
      <c r="R838">
        <v>-9.7516160000000005E-2</v>
      </c>
      <c r="S838">
        <v>3.0310969999999999</v>
      </c>
      <c r="T838">
        <v>-0.2223099</v>
      </c>
      <c r="U838">
        <v>-0.33901979999999998</v>
      </c>
      <c r="V838">
        <v>0.1113586</v>
      </c>
      <c r="W838">
        <v>0.1340172</v>
      </c>
      <c r="X838">
        <v>0.98470230000000003</v>
      </c>
      <c r="Y838">
        <v>0.1247043</v>
      </c>
      <c r="Z838">
        <v>-5.5764330000000004E-3</v>
      </c>
      <c r="AA838">
        <v>0.99217829999999996</v>
      </c>
      <c r="AB838">
        <v>25</v>
      </c>
      <c r="AC838">
        <v>0.63550000000000695</v>
      </c>
      <c r="AD838">
        <v>-6.5288000000000193E-2</v>
      </c>
      <c r="AE838">
        <v>-0.103499999999996</v>
      </c>
      <c r="AF838">
        <v>0.111253222250941</v>
      </c>
      <c r="AG838">
        <v>-6.5288000000000193E-2</v>
      </c>
      <c r="AH838">
        <v>0.62753475875341502</v>
      </c>
      <c r="AI838">
        <v>95.849057872822101</v>
      </c>
      <c r="AJ838">
        <v>79.946709463088794</v>
      </c>
      <c r="AK838">
        <v>0.64065566090445503</v>
      </c>
      <c r="AL838">
        <v>82.298206696254994</v>
      </c>
      <c r="AM838">
        <v>83.5479129037641</v>
      </c>
      <c r="AN838">
        <v>0.99999998365754394</v>
      </c>
    </row>
    <row r="839" spans="1:40" x14ac:dyDescent="0.25">
      <c r="A839" t="str">
        <f>"20190312164235312"</f>
        <v>20190312164235312</v>
      </c>
      <c r="B839" t="str">
        <f>"1552380155304287"</f>
        <v>1552380155304287</v>
      </c>
      <c r="C839" t="s">
        <v>40</v>
      </c>
      <c r="D839">
        <v>4.8987759999999998</v>
      </c>
      <c r="E839">
        <v>0.51311359999999995</v>
      </c>
      <c r="F839" t="s">
        <v>41</v>
      </c>
      <c r="G839">
        <v>-238.26840000000001</v>
      </c>
      <c r="H839">
        <v>1.0287869999999999</v>
      </c>
      <c r="I839">
        <v>367.35050000000001</v>
      </c>
      <c r="J839">
        <v>-238.87049999999999</v>
      </c>
      <c r="K839">
        <v>1.1105130000000001</v>
      </c>
      <c r="L839">
        <v>367.43680000000001</v>
      </c>
      <c r="M839">
        <v>0.99980619999999998</v>
      </c>
      <c r="N839">
        <v>0</v>
      </c>
      <c r="O839">
        <v>1.3989949999999999E-2</v>
      </c>
      <c r="P839">
        <v>0.98750749999999998</v>
      </c>
      <c r="Q839">
        <v>0.1205442</v>
      </c>
      <c r="R839">
        <v>-0.1014789</v>
      </c>
      <c r="S839">
        <v>3.0431370000000002</v>
      </c>
      <c r="T839">
        <v>-0.29431550000000001</v>
      </c>
      <c r="U839">
        <v>-0.29760740000000002</v>
      </c>
      <c r="V839">
        <v>0.1152957</v>
      </c>
      <c r="W839">
        <v>0.13417879999999999</v>
      </c>
      <c r="X839">
        <v>0.98422710000000002</v>
      </c>
      <c r="Y839">
        <v>0.1106709</v>
      </c>
      <c r="Z839">
        <v>-6.6736859999999999E-3</v>
      </c>
      <c r="AA839">
        <v>0.99383469999999996</v>
      </c>
      <c r="AB839">
        <v>25</v>
      </c>
      <c r="AC839">
        <v>0.60209999999997799</v>
      </c>
      <c r="AD839">
        <v>-8.1725999999999702E-2</v>
      </c>
      <c r="AE839">
        <v>-8.6299999999994201E-2</v>
      </c>
      <c r="AF839">
        <v>9.3036120380803097E-2</v>
      </c>
      <c r="AG839">
        <v>-8.1725999999999702E-2</v>
      </c>
      <c r="AH839">
        <v>0.59017906133895903</v>
      </c>
      <c r="AI839">
        <v>97.789002831538397</v>
      </c>
      <c r="AJ839">
        <v>81.041586498042307</v>
      </c>
      <c r="AK839">
        <v>0.60303083106458599</v>
      </c>
      <c r="AL839">
        <v>82.288863564854594</v>
      </c>
      <c r="AM839">
        <v>83.318628928217805</v>
      </c>
      <c r="AN839">
        <v>1.00000001659116</v>
      </c>
    </row>
    <row r="840" spans="1:40" x14ac:dyDescent="0.25">
      <c r="A840" t="str">
        <f>"20190312164235333"</f>
        <v>20190312164235333</v>
      </c>
      <c r="B840" t="str">
        <f>"1552380155324783"</f>
        <v>1552380155324783</v>
      </c>
      <c r="C840" t="s">
        <v>40</v>
      </c>
      <c r="D840">
        <v>4.6466949999999896</v>
      </c>
      <c r="E840">
        <v>0.51028490000000004</v>
      </c>
      <c r="F840" t="s">
        <v>41</v>
      </c>
      <c r="G840">
        <v>-238.04230000000001</v>
      </c>
      <c r="H840">
        <v>1.038808</v>
      </c>
      <c r="I840">
        <v>367.33710000000002</v>
      </c>
      <c r="J840">
        <v>-238.63820000000001</v>
      </c>
      <c r="K840">
        <v>1.1105</v>
      </c>
      <c r="L840">
        <v>367.43990000000002</v>
      </c>
      <c r="M840">
        <v>0.99980709999999995</v>
      </c>
      <c r="N840">
        <v>0</v>
      </c>
      <c r="O840">
        <v>1.3938610000000001E-2</v>
      </c>
      <c r="P840">
        <v>0.98701660000000002</v>
      </c>
      <c r="Q840">
        <v>0.1211979</v>
      </c>
      <c r="R840">
        <v>-0.1054011</v>
      </c>
      <c r="S840">
        <v>3.032562</v>
      </c>
      <c r="T840">
        <v>-0.26257239999999998</v>
      </c>
      <c r="U840">
        <v>-0.36456300000000003</v>
      </c>
      <c r="V840">
        <v>0.1191656</v>
      </c>
      <c r="W840">
        <v>0.1348172</v>
      </c>
      <c r="X840">
        <v>0.98367879999999996</v>
      </c>
      <c r="Y840">
        <v>0.1326446</v>
      </c>
      <c r="Z840">
        <v>-6.9119539999999997E-3</v>
      </c>
      <c r="AA840">
        <v>0.99113960000000001</v>
      </c>
      <c r="AB840">
        <v>25</v>
      </c>
      <c r="AC840">
        <v>0.59589999999999999</v>
      </c>
      <c r="AD840">
        <v>-7.1692000000000006E-2</v>
      </c>
      <c r="AE840">
        <v>-0.102800000000001</v>
      </c>
      <c r="AF840">
        <v>0.10955690435768201</v>
      </c>
      <c r="AG840">
        <v>-7.1692000000000006E-2</v>
      </c>
      <c r="AH840">
        <v>0.58616993131413198</v>
      </c>
      <c r="AI840">
        <v>96.855423996237207</v>
      </c>
      <c r="AJ840">
        <v>79.413393527186997</v>
      </c>
      <c r="AK840">
        <v>0.60061439088091495</v>
      </c>
      <c r="AL840">
        <v>82.251950799820193</v>
      </c>
      <c r="AM840">
        <v>83.092687453085901</v>
      </c>
      <c r="AN840">
        <v>1.00000004960431</v>
      </c>
    </row>
    <row r="841" spans="1:40" x14ac:dyDescent="0.25">
      <c r="A841" t="str">
        <f>"20190312164235357"</f>
        <v>20190312164235357</v>
      </c>
      <c r="B841" t="str">
        <f>"1552380155345278"</f>
        <v>1552380155345278</v>
      </c>
      <c r="C841" t="s">
        <v>40</v>
      </c>
      <c r="D841">
        <v>4.9210979999999998</v>
      </c>
      <c r="E841">
        <v>0.50921419999999995</v>
      </c>
      <c r="F841" t="s">
        <v>41</v>
      </c>
      <c r="G841">
        <v>-237.81780000000001</v>
      </c>
      <c r="H841">
        <v>1.0441119999999999</v>
      </c>
      <c r="I841">
        <v>367.34399999999999</v>
      </c>
      <c r="J841">
        <v>-238.3784</v>
      </c>
      <c r="K841">
        <v>1.1104849999999999</v>
      </c>
      <c r="L841">
        <v>367.44349999999997</v>
      </c>
      <c r="M841">
        <v>0.99980829999999998</v>
      </c>
      <c r="N841">
        <v>0</v>
      </c>
      <c r="O841">
        <v>1.385816E-2</v>
      </c>
      <c r="P841">
        <v>0.98649900000000001</v>
      </c>
      <c r="Q841">
        <v>0.12179329999999999</v>
      </c>
      <c r="R841">
        <v>-0.1094816</v>
      </c>
      <c r="S841">
        <v>3.0317690000000002</v>
      </c>
      <c r="T841">
        <v>-0.24535680000000001</v>
      </c>
      <c r="U841">
        <v>-0.35415649999999999</v>
      </c>
      <c r="V841">
        <v>0.1231651</v>
      </c>
      <c r="W841">
        <v>0.13539590000000001</v>
      </c>
      <c r="X841">
        <v>0.98310640000000005</v>
      </c>
      <c r="Y841">
        <v>0.12931889999999999</v>
      </c>
      <c r="Z841">
        <v>-6.3228640000000001E-3</v>
      </c>
      <c r="AA841">
        <v>0.99158290000000004</v>
      </c>
      <c r="AB841">
        <v>25</v>
      </c>
      <c r="AC841">
        <v>0.56059999999999299</v>
      </c>
      <c r="AD841">
        <v>-6.6372999999999793E-2</v>
      </c>
      <c r="AE841">
        <v>-9.9499999999977704E-2</v>
      </c>
      <c r="AF841">
        <v>0.105821992812098</v>
      </c>
      <c r="AG841">
        <v>-6.6372999999999793E-2</v>
      </c>
      <c r="AH841">
        <v>0.55167016187386597</v>
      </c>
      <c r="AI841">
        <v>96.738745604460405</v>
      </c>
      <c r="AJ841">
        <v>79.141359217488301</v>
      </c>
      <c r="AK841">
        <v>0.56563560424858395</v>
      </c>
      <c r="AL841">
        <v>82.218486068112597</v>
      </c>
      <c r="AM841">
        <v>82.859100387201494</v>
      </c>
      <c r="AN841">
        <v>0.99999994265788805</v>
      </c>
    </row>
    <row r="842" spans="1:40" x14ac:dyDescent="0.25">
      <c r="A842" t="str">
        <f>"20190312164235379"</f>
        <v>20190312164235379</v>
      </c>
      <c r="B842" t="str">
        <f>"1552380155374634"</f>
        <v>1552380155374634</v>
      </c>
      <c r="C842" t="s">
        <v>40</v>
      </c>
      <c r="D842">
        <v>4.6542219999999999</v>
      </c>
      <c r="E842">
        <v>0.50144100000000003</v>
      </c>
      <c r="F842" t="s">
        <v>41</v>
      </c>
      <c r="G842">
        <v>-237.5942</v>
      </c>
      <c r="H842">
        <v>1.048219</v>
      </c>
      <c r="I842">
        <v>367.351</v>
      </c>
      <c r="J842">
        <v>-238.1343</v>
      </c>
      <c r="K842">
        <v>1.1104700000000001</v>
      </c>
      <c r="L842">
        <v>367.44670000000002</v>
      </c>
      <c r="M842">
        <v>0.99980939999999996</v>
      </c>
      <c r="N842">
        <v>0</v>
      </c>
      <c r="O842">
        <v>1.376901E-2</v>
      </c>
      <c r="P842">
        <v>0.98597299999999999</v>
      </c>
      <c r="Q842">
        <v>0.12232270000000001</v>
      </c>
      <c r="R842">
        <v>-0.1135548</v>
      </c>
      <c r="S842">
        <v>3.0312039999999998</v>
      </c>
      <c r="T842">
        <v>-0.24088309999999999</v>
      </c>
      <c r="U842">
        <v>-0.35675050000000003</v>
      </c>
      <c r="V842">
        <v>0.1271476</v>
      </c>
      <c r="W842">
        <v>0.1359099</v>
      </c>
      <c r="X842">
        <v>0.98252839999999997</v>
      </c>
      <c r="Y842">
        <v>0.1301032</v>
      </c>
      <c r="Z842">
        <v>-6.2327329999999998E-3</v>
      </c>
      <c r="AA842">
        <v>0.9914809</v>
      </c>
      <c r="AB842">
        <v>25</v>
      </c>
      <c r="AC842">
        <v>0.54009999999999503</v>
      </c>
      <c r="AD842">
        <v>-6.2251000000000001E-2</v>
      </c>
      <c r="AE842">
        <v>-9.5700000000022101E-2</v>
      </c>
      <c r="AF842">
        <v>0.101816870655381</v>
      </c>
      <c r="AG842">
        <v>-6.2251000000000001E-2</v>
      </c>
      <c r="AH842">
        <v>0.53188030452896196</v>
      </c>
      <c r="AI842">
        <v>96.557495812351604</v>
      </c>
      <c r="AJ842">
        <v>79.163076878416703</v>
      </c>
      <c r="AK842">
        <v>0.54510413729568796</v>
      </c>
      <c r="AL842">
        <v>82.188761997402693</v>
      </c>
      <c r="AM842">
        <v>82.626413393230607</v>
      </c>
      <c r="AN842">
        <v>1.0000000349551601</v>
      </c>
    </row>
    <row r="843" spans="1:40" x14ac:dyDescent="0.25">
      <c r="A843" t="str">
        <f>"20190312164235402"</f>
        <v>20190312164235402</v>
      </c>
      <c r="B843" t="str">
        <f>"1552380155395129"</f>
        <v>1552380155395129</v>
      </c>
      <c r="C843" t="s">
        <v>40</v>
      </c>
      <c r="D843">
        <v>4.6443139999999996</v>
      </c>
      <c r="E843">
        <v>0.50291220000000003</v>
      </c>
      <c r="F843" t="s">
        <v>41</v>
      </c>
      <c r="G843">
        <v>-237.38220000000001</v>
      </c>
      <c r="H843">
        <v>1.0382769999999999</v>
      </c>
      <c r="I843">
        <v>367.37200000000001</v>
      </c>
      <c r="J843">
        <v>-237.8809</v>
      </c>
      <c r="K843">
        <v>1.1104590000000001</v>
      </c>
      <c r="L843">
        <v>367.45010000000002</v>
      </c>
      <c r="M843">
        <v>0.9998108</v>
      </c>
      <c r="N843">
        <v>0</v>
      </c>
      <c r="O843">
        <v>1.366762E-2</v>
      </c>
      <c r="P843">
        <v>0.98545850000000002</v>
      </c>
      <c r="Q843">
        <v>0.12298339999999899</v>
      </c>
      <c r="R843">
        <v>-0.1172458</v>
      </c>
      <c r="S843">
        <v>3.044098</v>
      </c>
      <c r="T843">
        <v>-0.29222359999999997</v>
      </c>
      <c r="U843">
        <v>-0.30239870000000002</v>
      </c>
      <c r="V843">
        <v>0.1307345</v>
      </c>
      <c r="W843">
        <v>0.13655709999999999</v>
      </c>
      <c r="X843">
        <v>0.9819677</v>
      </c>
      <c r="Y843">
        <v>0.1118738</v>
      </c>
      <c r="Z843">
        <v>-6.6505469999999997E-3</v>
      </c>
      <c r="AA843">
        <v>0.99370009999999998</v>
      </c>
      <c r="AB843">
        <v>25</v>
      </c>
      <c r="AC843">
        <v>0.49869999999998499</v>
      </c>
      <c r="AD843">
        <v>-7.2181999999999899E-2</v>
      </c>
      <c r="AE843">
        <v>-7.8100000000063105E-2</v>
      </c>
      <c r="AF843">
        <v>8.3207941664111398E-2</v>
      </c>
      <c r="AG843">
        <v>-7.2181999999999899E-2</v>
      </c>
      <c r="AH843">
        <v>0.48761499188385499</v>
      </c>
      <c r="AI843">
        <v>98.302087370394901</v>
      </c>
      <c r="AJ843">
        <v>80.316168482990903</v>
      </c>
      <c r="AK843">
        <v>0.49990217341983001</v>
      </c>
      <c r="AL843">
        <v>82.151330580806402</v>
      </c>
      <c r="AM843">
        <v>82.4165088911504</v>
      </c>
      <c r="AN843">
        <v>0.99999995744697401</v>
      </c>
    </row>
    <row r="844" spans="1:40" x14ac:dyDescent="0.25">
      <c r="A844" t="str">
        <f>"20190312164235423"</f>
        <v>20190312164235423</v>
      </c>
      <c r="B844" t="str">
        <f>"1552380155414650"</f>
        <v>1552380155414650</v>
      </c>
      <c r="C844" t="s">
        <v>40</v>
      </c>
      <c r="D844">
        <v>4.6796360000000004</v>
      </c>
      <c r="E844">
        <v>0.50263119999999994</v>
      </c>
      <c r="F844" t="s">
        <v>41</v>
      </c>
      <c r="G844">
        <v>-236.9479</v>
      </c>
      <c r="H844">
        <v>1.0269919999999999</v>
      </c>
      <c r="I844">
        <v>367.34969999999998</v>
      </c>
      <c r="J844">
        <v>-237.6439</v>
      </c>
      <c r="K844">
        <v>1.1104579999999999</v>
      </c>
      <c r="L844">
        <v>367.45319999999998</v>
      </c>
      <c r="M844">
        <v>0.99981229999999999</v>
      </c>
      <c r="N844">
        <v>0</v>
      </c>
      <c r="O844">
        <v>1.356597E-2</v>
      </c>
      <c r="P844">
        <v>0.98499230000000004</v>
      </c>
      <c r="Q844">
        <v>0.1232013</v>
      </c>
      <c r="R844">
        <v>-0.12087970000000001</v>
      </c>
      <c r="S844">
        <v>3.0393680000000001</v>
      </c>
      <c r="T844">
        <v>-0.27201120000000001</v>
      </c>
      <c r="U844">
        <v>-0.3265381</v>
      </c>
      <c r="V844">
        <v>0.13426260000000001</v>
      </c>
      <c r="W844">
        <v>0.136764</v>
      </c>
      <c r="X844">
        <v>0.98146279999999997</v>
      </c>
      <c r="Y844">
        <v>0.1197742</v>
      </c>
      <c r="Z844">
        <v>-6.5422400000000004E-3</v>
      </c>
      <c r="AA844">
        <v>0.99277959999999998</v>
      </c>
      <c r="AB844">
        <v>25</v>
      </c>
      <c r="AC844">
        <v>0.69599999999999795</v>
      </c>
      <c r="AD844">
        <v>-8.3465999999999999E-2</v>
      </c>
      <c r="AE844">
        <v>-0.103499999999996</v>
      </c>
      <c r="AF844">
        <v>0.111366341290929</v>
      </c>
      <c r="AG844">
        <v>-8.3465999999999999E-2</v>
      </c>
      <c r="AH844">
        <v>0.68489509011057303</v>
      </c>
      <c r="AI844">
        <v>96.858984757202094</v>
      </c>
      <c r="AJ844">
        <v>80.764336096951695</v>
      </c>
      <c r="AK844">
        <v>0.69889220884632697</v>
      </c>
      <c r="AL844">
        <v>82.139364405114705</v>
      </c>
      <c r="AM844">
        <v>82.210376635340694</v>
      </c>
      <c r="AN844">
        <v>1.0000000326192899</v>
      </c>
    </row>
    <row r="845" spans="1:40" x14ac:dyDescent="0.25">
      <c r="A845" t="str">
        <f>"20190312164235445"</f>
        <v>20190312164235445</v>
      </c>
      <c r="B845" t="str">
        <f>"1552380155435146"</f>
        <v>1552380155435146</v>
      </c>
      <c r="C845" t="s">
        <v>40</v>
      </c>
      <c r="D845">
        <v>4.8902979999999996</v>
      </c>
      <c r="E845">
        <v>0.5023801</v>
      </c>
      <c r="F845" t="s">
        <v>41</v>
      </c>
      <c r="G845">
        <v>-236.72929999999999</v>
      </c>
      <c r="H845">
        <v>1.0258989999999999</v>
      </c>
      <c r="I845">
        <v>367.35239999999999</v>
      </c>
      <c r="J845">
        <v>-237.40710000000001</v>
      </c>
      <c r="K845">
        <v>1.1104579999999999</v>
      </c>
      <c r="L845">
        <v>367.4563</v>
      </c>
      <c r="M845">
        <v>0.99981379999999997</v>
      </c>
      <c r="N845">
        <v>0</v>
      </c>
      <c r="O845">
        <v>1.346253E-2</v>
      </c>
      <c r="P845">
        <v>0.98454430000000004</v>
      </c>
      <c r="Q845">
        <v>0.12339799999999999</v>
      </c>
      <c r="R845">
        <v>-0.1242803</v>
      </c>
      <c r="S845">
        <v>3.0399020000000001</v>
      </c>
      <c r="T845">
        <v>-0.28133259999999899</v>
      </c>
      <c r="U845">
        <v>-0.33392329999999998</v>
      </c>
      <c r="V845">
        <v>0.13755499999999901</v>
      </c>
      <c r="W845">
        <v>0.13695109999999999</v>
      </c>
      <c r="X845">
        <v>0.98098059999999998</v>
      </c>
      <c r="Y845">
        <v>0.12199119999999999</v>
      </c>
      <c r="Z845">
        <v>-6.8559869999999896E-3</v>
      </c>
      <c r="AA845">
        <v>0.99250749999999999</v>
      </c>
      <c r="AB845">
        <v>25</v>
      </c>
      <c r="AC845">
        <v>0.67780000000001905</v>
      </c>
      <c r="AD845">
        <v>-8.4558999999999995E-2</v>
      </c>
      <c r="AE845">
        <v>-0.10390000000001</v>
      </c>
      <c r="AF845">
        <v>0.111323514934924</v>
      </c>
      <c r="AG845">
        <v>-8.4558999999999995E-2</v>
      </c>
      <c r="AH845">
        <v>0.666208958085303</v>
      </c>
      <c r="AI845">
        <v>97.135727724316396</v>
      </c>
      <c r="AJ845">
        <v>80.513522515425507</v>
      </c>
      <c r="AK845">
        <v>0.68071838912399896</v>
      </c>
      <c r="AL845">
        <v>82.128541961691994</v>
      </c>
      <c r="AM845">
        <v>82.017918369838597</v>
      </c>
      <c r="AN845">
        <v>0.99999995969628397</v>
      </c>
    </row>
    <row r="846" spans="1:40" x14ac:dyDescent="0.25">
      <c r="A846" t="str">
        <f>"20190312164235468"</f>
        <v>20190312164235468</v>
      </c>
      <c r="B846" t="str">
        <f>"1552380155464935"</f>
        <v>1552380155464935</v>
      </c>
      <c r="C846" t="s">
        <v>40</v>
      </c>
      <c r="D846">
        <v>4.6429470000000004</v>
      </c>
      <c r="E846">
        <v>0.50226210000000004</v>
      </c>
      <c r="F846" t="s">
        <v>41</v>
      </c>
      <c r="G846">
        <v>-236.5094</v>
      </c>
      <c r="H846">
        <v>1.0278130000000001</v>
      </c>
      <c r="I846">
        <v>367.3553</v>
      </c>
      <c r="J846">
        <v>-237.15600000000001</v>
      </c>
      <c r="K846">
        <v>1.1104639999999999</v>
      </c>
      <c r="L846">
        <v>367.45949999999999</v>
      </c>
      <c r="M846">
        <v>0.99981520000000002</v>
      </c>
      <c r="N846">
        <v>0</v>
      </c>
      <c r="O846">
        <v>1.3355590000000001E-2</v>
      </c>
      <c r="P846">
        <v>0.98418720000000004</v>
      </c>
      <c r="Q846">
        <v>0.1228402</v>
      </c>
      <c r="R846">
        <v>-0.12761620000000001</v>
      </c>
      <c r="S846">
        <v>3.0391080000000001</v>
      </c>
      <c r="T846">
        <v>-0.27998650000000003</v>
      </c>
      <c r="U846">
        <v>-0.34124759999999998</v>
      </c>
      <c r="V846">
        <v>0.14077990000000001</v>
      </c>
      <c r="W846">
        <v>0.13638520000000001</v>
      </c>
      <c r="X846">
        <v>0.98060190000000003</v>
      </c>
      <c r="Y846">
        <v>0.1242719</v>
      </c>
      <c r="Z846">
        <v>-6.9188929999999997E-3</v>
      </c>
      <c r="AA846">
        <v>0.99222410000000005</v>
      </c>
      <c r="AB846">
        <v>25</v>
      </c>
      <c r="AC846">
        <v>0.64659999999997797</v>
      </c>
      <c r="AD846">
        <v>-8.2651000000000002E-2</v>
      </c>
      <c r="AE846">
        <v>-0.10419999999999099</v>
      </c>
      <c r="AF846">
        <v>0.111058602083979</v>
      </c>
      <c r="AG846">
        <v>-8.2651000000000002E-2</v>
      </c>
      <c r="AH846">
        <v>0.63503730978058204</v>
      </c>
      <c r="AI846">
        <v>97.305786206581899</v>
      </c>
      <c r="AJ846">
        <v>80.080138896346895</v>
      </c>
      <c r="AK846">
        <v>0.64995198723536995</v>
      </c>
      <c r="AL846">
        <v>82.161273037655107</v>
      </c>
      <c r="AM846">
        <v>81.830167632287299</v>
      </c>
      <c r="AN846">
        <v>0.99999999465332901</v>
      </c>
    </row>
    <row r="847" spans="1:40" x14ac:dyDescent="0.25">
      <c r="A847" t="str">
        <f>"20190312164235491"</f>
        <v>20190312164235491</v>
      </c>
      <c r="B847" t="str">
        <f>"1552380155484457"</f>
        <v>1552380155484457</v>
      </c>
      <c r="C847" t="s">
        <v>40</v>
      </c>
      <c r="D847">
        <v>4.6861240000000004</v>
      </c>
      <c r="E847">
        <v>0.50194269999999996</v>
      </c>
      <c r="F847" t="s">
        <v>41</v>
      </c>
      <c r="G847">
        <v>-236.28870000000001</v>
      </c>
      <c r="H847">
        <v>1.0320769999999999</v>
      </c>
      <c r="I847">
        <v>367.35930000000002</v>
      </c>
      <c r="J847">
        <v>-236.90620000000001</v>
      </c>
      <c r="K847">
        <v>1.1104689999999999</v>
      </c>
      <c r="L847">
        <v>367.46269999999998</v>
      </c>
      <c r="M847">
        <v>0.9998167</v>
      </c>
      <c r="N847">
        <v>0</v>
      </c>
      <c r="O847">
        <v>1.325396E-2</v>
      </c>
      <c r="P847">
        <v>0.98376459999999999</v>
      </c>
      <c r="Q847">
        <v>0.1230049</v>
      </c>
      <c r="R847">
        <v>-0.1306795</v>
      </c>
      <c r="S847">
        <v>3.0370180000000002</v>
      </c>
      <c r="T847">
        <v>-0.27462330000000001</v>
      </c>
      <c r="U847">
        <v>-0.35073850000000001</v>
      </c>
      <c r="V847">
        <v>0.143736999999999</v>
      </c>
      <c r="W847">
        <v>0.1365411</v>
      </c>
      <c r="X847">
        <v>0.98015110000000005</v>
      </c>
      <c r="Y847">
        <v>0.1273167</v>
      </c>
      <c r="Z847">
        <v>-6.9181260000000001E-3</v>
      </c>
      <c r="AA847">
        <v>0.991838</v>
      </c>
      <c r="AB847">
        <v>24</v>
      </c>
      <c r="AC847">
        <v>0.61750000000000604</v>
      </c>
      <c r="AD847">
        <v>-7.8392000000000003E-2</v>
      </c>
      <c r="AE847">
        <v>-0.10339999999996501</v>
      </c>
      <c r="AF847">
        <v>0.109853850970197</v>
      </c>
      <c r="AG847">
        <v>-7.8392000000000003E-2</v>
      </c>
      <c r="AH847">
        <v>0.60656609112086501</v>
      </c>
      <c r="AI847">
        <v>97.247416107814502</v>
      </c>
      <c r="AJ847">
        <v>79.734557811805004</v>
      </c>
      <c r="AK847">
        <v>0.62139809875363095</v>
      </c>
      <c r="AL847">
        <v>82.152256222504306</v>
      </c>
      <c r="AM847">
        <v>81.657166777851003</v>
      </c>
      <c r="AN847">
        <v>0.99999998799471002</v>
      </c>
    </row>
    <row r="848" spans="1:40" x14ac:dyDescent="0.25">
      <c r="A848" t="str">
        <f>"20190312164235512"</f>
        <v>20190312164235512</v>
      </c>
      <c r="B848" t="str">
        <f>"1552380155504956"</f>
        <v>1552380155504956</v>
      </c>
      <c r="C848" t="s">
        <v>40</v>
      </c>
      <c r="D848">
        <v>4.6908130000000003</v>
      </c>
      <c r="E848">
        <v>0.50139709999999904</v>
      </c>
      <c r="F848" t="s">
        <v>41</v>
      </c>
      <c r="G848">
        <v>-236.06890000000001</v>
      </c>
      <c r="H848">
        <v>1.035177</v>
      </c>
      <c r="I848">
        <v>367.36399999999998</v>
      </c>
      <c r="J848">
        <v>-236.67250000000001</v>
      </c>
      <c r="K848">
        <v>1.110474</v>
      </c>
      <c r="L848">
        <v>367.46570000000003</v>
      </c>
      <c r="M848">
        <v>0.99981779999999998</v>
      </c>
      <c r="N848">
        <v>0</v>
      </c>
      <c r="O848">
        <v>1.3163289999999999E-2</v>
      </c>
      <c r="P848">
        <v>0.98326930000000001</v>
      </c>
      <c r="Q848">
        <v>0.1239422</v>
      </c>
      <c r="R848">
        <v>-0.13349279999999999</v>
      </c>
      <c r="S848">
        <v>3.0361790000000002</v>
      </c>
      <c r="T848">
        <v>-0.2731172</v>
      </c>
      <c r="U848">
        <v>-0.35739140000000003</v>
      </c>
      <c r="V848">
        <v>0.1464541</v>
      </c>
      <c r="W848">
        <v>0.1374687</v>
      </c>
      <c r="X848">
        <v>0.97961909999999996</v>
      </c>
      <c r="Y848">
        <v>0.12939999999999999</v>
      </c>
      <c r="Z848">
        <v>-6.9664319999999998E-3</v>
      </c>
      <c r="AA848">
        <v>0.991568</v>
      </c>
      <c r="AB848">
        <v>24</v>
      </c>
      <c r="AC848">
        <v>0.60360000000000003</v>
      </c>
      <c r="AD848">
        <v>-7.5296999999999906E-2</v>
      </c>
      <c r="AE848">
        <v>-0.101699999999993</v>
      </c>
      <c r="AF848">
        <v>0.108002994376145</v>
      </c>
      <c r="AG848">
        <v>-7.5296999999999906E-2</v>
      </c>
      <c r="AH848">
        <v>0.59323200450090996</v>
      </c>
      <c r="AI848">
        <v>97.117913988103993</v>
      </c>
      <c r="AJ848">
        <v>79.681819370836294</v>
      </c>
      <c r="AK848">
        <v>0.60766643495208905</v>
      </c>
      <c r="AL848">
        <v>82.098602928728795</v>
      </c>
      <c r="AM848">
        <v>81.497194181302504</v>
      </c>
      <c r="AN848">
        <v>1.00000001398565</v>
      </c>
    </row>
    <row r="849" spans="1:40" x14ac:dyDescent="0.25">
      <c r="A849" t="str">
        <f>"20190312164235534"</f>
        <v>20190312164235534</v>
      </c>
      <c r="B849" t="str">
        <f>"1552380155524470"</f>
        <v>1552380155524470</v>
      </c>
      <c r="C849" t="s">
        <v>40</v>
      </c>
      <c r="D849">
        <v>4.6999959999999996</v>
      </c>
      <c r="E849">
        <v>0.5010464</v>
      </c>
      <c r="F849" t="s">
        <v>41</v>
      </c>
      <c r="G849">
        <v>-235.8501</v>
      </c>
      <c r="H849">
        <v>1.036559</v>
      </c>
      <c r="I849">
        <v>367.36750000000001</v>
      </c>
      <c r="J849">
        <v>-236.43289999999999</v>
      </c>
      <c r="K849">
        <v>1.1104830000000001</v>
      </c>
      <c r="L849">
        <v>367.46870000000001</v>
      </c>
      <c r="M849">
        <v>0.99981900000000001</v>
      </c>
      <c r="N849">
        <v>0</v>
      </c>
      <c r="O849">
        <v>1.307323E-2</v>
      </c>
      <c r="P849">
        <v>0.98271229999999998</v>
      </c>
      <c r="Q849">
        <v>0.125306</v>
      </c>
      <c r="R849">
        <v>-0.13629160000000001</v>
      </c>
      <c r="S849">
        <v>3.0364230000000001</v>
      </c>
      <c r="T849">
        <v>-0.2731944</v>
      </c>
      <c r="U849">
        <v>-0.36123660000000002</v>
      </c>
      <c r="V849">
        <v>0.14915629999999999</v>
      </c>
      <c r="W849">
        <v>0.13882220000000001</v>
      </c>
      <c r="X849">
        <v>0.97902029999999995</v>
      </c>
      <c r="Y849">
        <v>0.13053529999999999</v>
      </c>
      <c r="Z849">
        <v>-7.0100609999999997E-3</v>
      </c>
      <c r="AA849">
        <v>0.99141889999999999</v>
      </c>
      <c r="AB849">
        <v>24</v>
      </c>
      <c r="AC849">
        <v>0.58279999999999099</v>
      </c>
      <c r="AD849">
        <v>-7.3923999999999795E-2</v>
      </c>
      <c r="AE849">
        <v>-0.10120000000000499</v>
      </c>
      <c r="AF849">
        <v>0.107137858283473</v>
      </c>
      <c r="AG849">
        <v>-7.3923999999999795E-2</v>
      </c>
      <c r="AH849">
        <v>0.57248586235851795</v>
      </c>
      <c r="AI849">
        <v>97.233562792705897</v>
      </c>
      <c r="AJ849">
        <v>79.399996010767396</v>
      </c>
      <c r="AK849">
        <v>0.58709738634569497</v>
      </c>
      <c r="AL849">
        <v>82.020302034377494</v>
      </c>
      <c r="AM849">
        <v>81.337451503858802</v>
      </c>
      <c r="AN849">
        <v>0.99999997642730898</v>
      </c>
    </row>
    <row r="850" spans="1:40" x14ac:dyDescent="0.25">
      <c r="A850" t="str">
        <f>"20190312164235557"</f>
        <v>20190312164235557</v>
      </c>
      <c r="B850" t="str">
        <f>"1552380155544966"</f>
        <v>1552380155544966</v>
      </c>
      <c r="C850" t="s">
        <v>40</v>
      </c>
      <c r="D850">
        <v>4.942558</v>
      </c>
      <c r="E850">
        <v>0.500695</v>
      </c>
      <c r="F850" t="s">
        <v>41</v>
      </c>
      <c r="G850">
        <v>-235.63059999999999</v>
      </c>
      <c r="H850">
        <v>1.040041</v>
      </c>
      <c r="I850">
        <v>367.3716</v>
      </c>
      <c r="J850">
        <v>-236.18680000000001</v>
      </c>
      <c r="K850">
        <v>1.11049</v>
      </c>
      <c r="L850">
        <v>367.4717</v>
      </c>
      <c r="M850">
        <v>0.99982040000000005</v>
      </c>
      <c r="N850">
        <v>0</v>
      </c>
      <c r="O850">
        <v>1.298202E-2</v>
      </c>
      <c r="P850">
        <v>0.9822031</v>
      </c>
      <c r="Q850">
        <v>0.1263368</v>
      </c>
      <c r="R850">
        <v>-0.13898339999999901</v>
      </c>
      <c r="S850">
        <v>3.0359500000000001</v>
      </c>
      <c r="T850">
        <v>-0.26676759999999999</v>
      </c>
      <c r="U850">
        <v>-0.36676029999999998</v>
      </c>
      <c r="V850">
        <v>0.15175159999999999</v>
      </c>
      <c r="W850">
        <v>0.13984360000000001</v>
      </c>
      <c r="X850">
        <v>0.97847600000000001</v>
      </c>
      <c r="Y850">
        <v>0.1322614</v>
      </c>
      <c r="Z850">
        <v>-6.9135530000000002E-3</v>
      </c>
      <c r="AA850">
        <v>0.99119069999999998</v>
      </c>
      <c r="AB850">
        <v>24</v>
      </c>
      <c r="AC850">
        <v>0.55620000000001801</v>
      </c>
      <c r="AD850">
        <v>-7.0448999999999901E-2</v>
      </c>
      <c r="AE850">
        <v>-0.100099999999997</v>
      </c>
      <c r="AF850">
        <v>0.10567075363501</v>
      </c>
      <c r="AG850">
        <v>-7.0448999999999901E-2</v>
      </c>
      <c r="AH850">
        <v>0.54636314871014402</v>
      </c>
      <c r="AI850">
        <v>97.215018930777006</v>
      </c>
      <c r="AJ850">
        <v>79.053716002161906</v>
      </c>
      <c r="AK850">
        <v>0.56092963911996496</v>
      </c>
      <c r="AL850">
        <v>81.961204097814004</v>
      </c>
      <c r="AM850">
        <v>81.1842453294759</v>
      </c>
      <c r="AN850">
        <v>1.0000000315697499</v>
      </c>
    </row>
    <row r="851" spans="1:40" x14ac:dyDescent="0.25">
      <c r="A851" t="str">
        <f>"20190312164235581"</f>
        <v>20190312164235581</v>
      </c>
      <c r="B851" t="str">
        <f>"1552380155575222"</f>
        <v>1552380155575222</v>
      </c>
      <c r="C851" t="s">
        <v>40</v>
      </c>
      <c r="D851">
        <v>4.9109629999999997</v>
      </c>
      <c r="E851">
        <v>0.50052089999999905</v>
      </c>
      <c r="F851" t="s">
        <v>41</v>
      </c>
      <c r="G851">
        <v>-235.41059999999999</v>
      </c>
      <c r="H851">
        <v>1.0433939999999999</v>
      </c>
      <c r="I851">
        <v>367.37670000000003</v>
      </c>
      <c r="J851">
        <v>-235.93299999999999</v>
      </c>
      <c r="K851">
        <v>1.11049</v>
      </c>
      <c r="L851">
        <v>367.47489999999999</v>
      </c>
      <c r="M851">
        <v>0.99982170000000004</v>
      </c>
      <c r="N851">
        <v>0</v>
      </c>
      <c r="O851">
        <v>1.2889090000000001E-2</v>
      </c>
      <c r="P851">
        <v>0.98179640000000001</v>
      </c>
      <c r="Q851">
        <v>0.1264228</v>
      </c>
      <c r="R851">
        <v>-0.14175090000000001</v>
      </c>
      <c r="S851">
        <v>3.0355989999999999</v>
      </c>
      <c r="T851">
        <v>-0.26255200000000001</v>
      </c>
      <c r="U851">
        <v>-0.37124629999999997</v>
      </c>
      <c r="V851">
        <v>0.15442210000000001</v>
      </c>
      <c r="W851">
        <v>0.13992099999999999</v>
      </c>
      <c r="X851">
        <v>0.978047</v>
      </c>
      <c r="Y851">
        <v>0.1336388</v>
      </c>
      <c r="Z851">
        <v>-6.8561259999999997E-3</v>
      </c>
      <c r="AA851">
        <v>0.99100639999999995</v>
      </c>
      <c r="AB851">
        <v>24</v>
      </c>
      <c r="AC851">
        <v>0.52240000000000397</v>
      </c>
      <c r="AD851">
        <v>-6.7095999999999795E-2</v>
      </c>
      <c r="AE851">
        <v>-9.81999999999629E-2</v>
      </c>
      <c r="AF851">
        <v>0.10328014980480101</v>
      </c>
      <c r="AG851">
        <v>-6.7095999999999795E-2</v>
      </c>
      <c r="AH851">
        <v>0.51291828885743196</v>
      </c>
      <c r="AI851">
        <v>97.3076337047154</v>
      </c>
      <c r="AJ851">
        <v>78.615277510979396</v>
      </c>
      <c r="AK851">
        <v>0.52749770957241005</v>
      </c>
      <c r="AL851">
        <v>81.956725136722397</v>
      </c>
      <c r="AM851">
        <v>81.027737685264498</v>
      </c>
      <c r="AN851">
        <v>1.0000000027092</v>
      </c>
    </row>
    <row r="852" spans="1:40" x14ac:dyDescent="0.25">
      <c r="A852" t="str">
        <f>"20190312164235604"</f>
        <v>20190312164235604</v>
      </c>
      <c r="B852" t="str">
        <f>"1552380155594742"</f>
        <v>1552380155594742</v>
      </c>
      <c r="C852" t="s">
        <v>40</v>
      </c>
      <c r="D852">
        <v>4.7062809999999997</v>
      </c>
      <c r="E852">
        <v>0.49355579999999999</v>
      </c>
      <c r="F852" t="s">
        <v>41</v>
      </c>
      <c r="G852">
        <v>-235.1909</v>
      </c>
      <c r="H852">
        <v>1.0462119999999999</v>
      </c>
      <c r="I852">
        <v>367.38249999999999</v>
      </c>
      <c r="J852">
        <v>-235.67920000000001</v>
      </c>
      <c r="K852">
        <v>1.1104879999999999</v>
      </c>
      <c r="L852">
        <v>367.47800000000001</v>
      </c>
      <c r="M852">
        <v>0.99982269999999895</v>
      </c>
      <c r="N852">
        <v>0</v>
      </c>
      <c r="O852">
        <v>1.2795320000000001E-2</v>
      </c>
      <c r="P852">
        <v>0.9814446</v>
      </c>
      <c r="Q852">
        <v>0.1246599</v>
      </c>
      <c r="R852">
        <v>-0.14569299999999999</v>
      </c>
      <c r="S852">
        <v>3.0349879999999998</v>
      </c>
      <c r="T852">
        <v>-0.26308039999999999</v>
      </c>
      <c r="U852">
        <v>-0.37747190000000003</v>
      </c>
      <c r="V852">
        <v>0.15826680000000001</v>
      </c>
      <c r="W852">
        <v>0.13814979999999999</v>
      </c>
      <c r="X852">
        <v>0.97768409999999994</v>
      </c>
      <c r="Y852">
        <v>0.13556299999999999</v>
      </c>
      <c r="Z852">
        <v>-6.9452250000000002E-3</v>
      </c>
      <c r="AA852">
        <v>0.99074439999999997</v>
      </c>
      <c r="AB852">
        <v>24</v>
      </c>
      <c r="AC852">
        <v>0.488300000000009</v>
      </c>
      <c r="AD852">
        <v>-6.4275999999999694E-2</v>
      </c>
      <c r="AE852">
        <v>-9.5500000000015406E-2</v>
      </c>
      <c r="AF852">
        <v>0.10007068306405301</v>
      </c>
      <c r="AG852">
        <v>-6.4275999999999694E-2</v>
      </c>
      <c r="AH852">
        <v>0.479043343278866</v>
      </c>
      <c r="AI852">
        <v>97.482435206441394</v>
      </c>
      <c r="AJ852">
        <v>78.200766170486901</v>
      </c>
      <c r="AK852">
        <v>0.49358694322753299</v>
      </c>
      <c r="AL852">
        <v>82.059202523424105</v>
      </c>
      <c r="AM852">
        <v>80.8047667217309</v>
      </c>
      <c r="AN852">
        <v>0.99999997330754398</v>
      </c>
    </row>
    <row r="853" spans="1:40" x14ac:dyDescent="0.25">
      <c r="A853" t="str">
        <f>"20190312164235634"</f>
        <v>20190312164235634</v>
      </c>
      <c r="B853" t="str">
        <f>"1552380155624998"</f>
        <v>1552380155624998</v>
      </c>
      <c r="C853" t="s">
        <v>40</v>
      </c>
      <c r="D853">
        <v>4.7130970000000003</v>
      </c>
      <c r="E853">
        <v>0.49504239999999999</v>
      </c>
      <c r="F853" t="s">
        <v>41</v>
      </c>
      <c r="G853">
        <v>-234.7715</v>
      </c>
      <c r="H853">
        <v>1.0205409999999999</v>
      </c>
      <c r="I853">
        <v>367.37959999999998</v>
      </c>
      <c r="J853">
        <v>-235.34289999999999</v>
      </c>
      <c r="K853">
        <v>1.110471</v>
      </c>
      <c r="L853">
        <v>367.4821</v>
      </c>
      <c r="M853">
        <v>0.99982439999999995</v>
      </c>
      <c r="N853">
        <v>0</v>
      </c>
      <c r="O853">
        <v>1.267162E-2</v>
      </c>
      <c r="P853">
        <v>0.98144450000000005</v>
      </c>
      <c r="Q853">
        <v>0.12077309999999999</v>
      </c>
      <c r="R853">
        <v>-0.14893290000000001</v>
      </c>
      <c r="S853">
        <v>3.0460660000000002</v>
      </c>
      <c r="T853">
        <v>-0.30190220000000001</v>
      </c>
      <c r="U853">
        <v>-0.33001710000000001</v>
      </c>
      <c r="V853">
        <v>0.161384</v>
      </c>
      <c r="W853">
        <v>0.13426009999999999</v>
      </c>
      <c r="X853">
        <v>0.97771640000000004</v>
      </c>
      <c r="Y853">
        <v>0.11966110000000001</v>
      </c>
      <c r="Z853">
        <v>-7.1478319999999998E-3</v>
      </c>
      <c r="AA853">
        <v>0.99278909999999998</v>
      </c>
      <c r="AB853">
        <v>24</v>
      </c>
      <c r="AC853">
        <v>0.57139999999998203</v>
      </c>
      <c r="AD853">
        <v>-8.9929999999999996E-2</v>
      </c>
      <c r="AE853">
        <v>-0.10250000000002001</v>
      </c>
      <c r="AF853">
        <v>0.107161371133146</v>
      </c>
      <c r="AG853">
        <v>-8.9929999999999996E-2</v>
      </c>
      <c r="AH853">
        <v>0.55669560515630401</v>
      </c>
      <c r="AI853">
        <v>99.013738722144396</v>
      </c>
      <c r="AJ853">
        <v>79.104099229170103</v>
      </c>
      <c r="AK853">
        <v>0.57400432155470704</v>
      </c>
      <c r="AL853">
        <v>82.284162479182598</v>
      </c>
      <c r="AM853">
        <v>80.627146732268699</v>
      </c>
      <c r="AN853">
        <v>0.99999996436848404</v>
      </c>
    </row>
    <row r="854" spans="1:40" x14ac:dyDescent="0.25">
      <c r="A854" t="str">
        <f>"20190312164235658"</f>
        <v>20190312164235658</v>
      </c>
      <c r="B854" t="str">
        <f>"1552380155654279"</f>
        <v>1552380155654279</v>
      </c>
      <c r="C854" t="s">
        <v>40</v>
      </c>
      <c r="D854">
        <v>4.7067649999999999</v>
      </c>
      <c r="E854">
        <v>0.4948457</v>
      </c>
      <c r="F854" t="s">
        <v>41</v>
      </c>
      <c r="G854">
        <v>-234.54920000000001</v>
      </c>
      <c r="H854">
        <v>1.032897</v>
      </c>
      <c r="I854">
        <v>367.38990000000001</v>
      </c>
      <c r="J854">
        <v>-235.09700000000001</v>
      </c>
      <c r="K854">
        <v>1.1104620000000001</v>
      </c>
      <c r="L854">
        <v>367.48509999999999</v>
      </c>
      <c r="M854">
        <v>0.99982570000000004</v>
      </c>
      <c r="N854">
        <v>0</v>
      </c>
      <c r="O854">
        <v>1.2580340000000001E-2</v>
      </c>
      <c r="P854">
        <v>0.98125030000000002</v>
      </c>
      <c r="Q854">
        <v>0.11931840000000001</v>
      </c>
      <c r="R854">
        <v>-0.15136569999999999</v>
      </c>
      <c r="S854">
        <v>3.039841</v>
      </c>
      <c r="T854">
        <v>-0.29725790000000002</v>
      </c>
      <c r="U854">
        <v>-0.352356</v>
      </c>
      <c r="V854">
        <v>0.16372419999999999</v>
      </c>
      <c r="W854">
        <v>0.13279939999999901</v>
      </c>
      <c r="X854">
        <v>0.97752680000000003</v>
      </c>
      <c r="Y854">
        <v>0.12697339999999999</v>
      </c>
      <c r="Z854">
        <v>-7.3964230000000001E-3</v>
      </c>
      <c r="AA854">
        <v>0.99187860000000005</v>
      </c>
      <c r="AB854">
        <v>24</v>
      </c>
      <c r="AC854">
        <v>0.54779999999999496</v>
      </c>
      <c r="AD854">
        <v>-7.7565000000000106E-2</v>
      </c>
      <c r="AE854">
        <v>-9.5199999999976997E-2</v>
      </c>
      <c r="AF854">
        <v>0.100135885717494</v>
      </c>
      <c r="AG854">
        <v>-7.7565000000000106E-2</v>
      </c>
      <c r="AH854">
        <v>0.53612533963923203</v>
      </c>
      <c r="AI854">
        <v>98.094187695909298</v>
      </c>
      <c r="AJ854">
        <v>79.4203675997706</v>
      </c>
      <c r="AK854">
        <v>0.55088465638163298</v>
      </c>
      <c r="AL854">
        <v>82.368610724968406</v>
      </c>
      <c r="AM854">
        <v>80.491885920803298</v>
      </c>
      <c r="AN854">
        <v>0.999999969512119</v>
      </c>
    </row>
    <row r="855" spans="1:40" x14ac:dyDescent="0.25">
      <c r="A855" t="str">
        <f>"20190312164235680"</f>
        <v>20190312164235680</v>
      </c>
      <c r="B855" t="str">
        <f>"1552380155674774"</f>
        <v>1552380155674774</v>
      </c>
      <c r="C855" t="s">
        <v>40</v>
      </c>
      <c r="D855">
        <v>4.9348970000000003</v>
      </c>
      <c r="E855">
        <v>0.494757</v>
      </c>
      <c r="F855" t="s">
        <v>41</v>
      </c>
      <c r="G855">
        <v>-234.33199999999999</v>
      </c>
      <c r="H855">
        <v>1.0351459999999999</v>
      </c>
      <c r="I855">
        <v>367.39490000000001</v>
      </c>
      <c r="J855">
        <v>-234.8518</v>
      </c>
      <c r="K855">
        <v>1.1104510000000001</v>
      </c>
      <c r="L855">
        <v>367.48809999999997</v>
      </c>
      <c r="M855">
        <v>0.99982669999999996</v>
      </c>
      <c r="N855">
        <v>0</v>
      </c>
      <c r="O855">
        <v>1.2489409999999999E-2</v>
      </c>
      <c r="P855">
        <v>0.98103759999999995</v>
      </c>
      <c r="Q855">
        <v>0.118186</v>
      </c>
      <c r="R855">
        <v>-0.15361459999999999</v>
      </c>
      <c r="S855">
        <v>3.0385439999999999</v>
      </c>
      <c r="T855">
        <v>-0.29931089999999999</v>
      </c>
      <c r="U855">
        <v>-0.3576355</v>
      </c>
      <c r="V855">
        <v>0.1658811</v>
      </c>
      <c r="W855">
        <v>0.13166169999999999</v>
      </c>
      <c r="X855">
        <v>0.97731710000000005</v>
      </c>
      <c r="Y855">
        <v>0.1286148</v>
      </c>
      <c r="Z855">
        <v>-7.52113E-3</v>
      </c>
      <c r="AA855">
        <v>0.99166609999999999</v>
      </c>
      <c r="AB855">
        <v>24</v>
      </c>
      <c r="AC855">
        <v>0.51980000000000304</v>
      </c>
      <c r="AD855">
        <v>-7.5305000000000094E-2</v>
      </c>
      <c r="AE855">
        <v>-9.3199999999967503E-2</v>
      </c>
      <c r="AF855">
        <v>9.7698691982683106E-2</v>
      </c>
      <c r="AG855">
        <v>-7.5305000000000094E-2</v>
      </c>
      <c r="AH855">
        <v>0.50826012406577903</v>
      </c>
      <c r="AI855">
        <v>98.278368657021005</v>
      </c>
      <c r="AJ855">
        <v>79.119217032217904</v>
      </c>
      <c r="AK855">
        <v>0.52301456113141598</v>
      </c>
      <c r="AL855">
        <v>82.434374050886305</v>
      </c>
      <c r="AM855">
        <v>80.366929799465098</v>
      </c>
      <c r="AN855">
        <v>1.00000002826825</v>
      </c>
    </row>
    <row r="856" spans="1:40" x14ac:dyDescent="0.25">
      <c r="A856" t="str">
        <f>"20190312164235703"</f>
        <v>20190312164235703</v>
      </c>
      <c r="B856" t="str">
        <f>"1552380155694297"</f>
        <v>1552380155694297</v>
      </c>
      <c r="C856" t="s">
        <v>40</v>
      </c>
      <c r="D856">
        <v>4.9038440000000003</v>
      </c>
      <c r="E856">
        <v>0.49459510000000001</v>
      </c>
      <c r="F856" t="s">
        <v>41</v>
      </c>
      <c r="G856">
        <v>-234.1148</v>
      </c>
      <c r="H856">
        <v>1.037647</v>
      </c>
      <c r="I856">
        <v>367.39980000000003</v>
      </c>
      <c r="J856">
        <v>-234.61070000000001</v>
      </c>
      <c r="K856">
        <v>1.1104540000000001</v>
      </c>
      <c r="L856">
        <v>367.49090000000001</v>
      </c>
      <c r="M856">
        <v>0.99982789999999999</v>
      </c>
      <c r="N856">
        <v>0</v>
      </c>
      <c r="O856">
        <v>1.2399779999999999E-2</v>
      </c>
      <c r="P856">
        <v>0.98069859999999998</v>
      </c>
      <c r="Q856">
        <v>0.11770220000000001</v>
      </c>
      <c r="R856">
        <v>-0.15612999999999999</v>
      </c>
      <c r="S856">
        <v>3.0372309999999998</v>
      </c>
      <c r="T856">
        <v>-0.30011270000000001</v>
      </c>
      <c r="U856">
        <v>-0.36346440000000002</v>
      </c>
      <c r="V856">
        <v>0.16830419999999999</v>
      </c>
      <c r="W856">
        <v>0.13117010000000001</v>
      </c>
      <c r="X856">
        <v>0.97696879999999997</v>
      </c>
      <c r="Y856">
        <v>0.13043969999999999</v>
      </c>
      <c r="Z856">
        <v>-7.62438E-3</v>
      </c>
      <c r="AA856">
        <v>0.9914269</v>
      </c>
      <c r="AB856">
        <v>24</v>
      </c>
      <c r="AC856">
        <v>0.495900000000006</v>
      </c>
      <c r="AD856">
        <v>-7.2806999999999997E-2</v>
      </c>
      <c r="AE856">
        <v>-9.1099999999983E-2</v>
      </c>
      <c r="AF856">
        <v>9.5256365502239204E-2</v>
      </c>
      <c r="AG856">
        <v>-7.2806999999999997E-2</v>
      </c>
      <c r="AH856">
        <v>0.48462680362113603</v>
      </c>
      <c r="AI856">
        <v>98.385721504624897</v>
      </c>
      <c r="AJ856">
        <v>78.879922984605599</v>
      </c>
      <c r="AK856">
        <v>0.49923719132866601</v>
      </c>
      <c r="AL856">
        <v>82.462786612036595</v>
      </c>
      <c r="AM856">
        <v>80.225492403124505</v>
      </c>
      <c r="AN856">
        <v>0.99999996752254405</v>
      </c>
    </row>
    <row r="857" spans="1:40" x14ac:dyDescent="0.25">
      <c r="A857" t="str">
        <f>"20190312164235724"</f>
        <v>20190312164235724</v>
      </c>
      <c r="B857" t="str">
        <f>"1552380155714790"</f>
        <v>1552380155714790</v>
      </c>
      <c r="C857" t="s">
        <v>40</v>
      </c>
      <c r="D857">
        <v>4.7104819999999998</v>
      </c>
      <c r="E857">
        <v>0.4945156</v>
      </c>
      <c r="F857" t="s">
        <v>41</v>
      </c>
      <c r="G857">
        <v>-233.6918</v>
      </c>
      <c r="H857">
        <v>1.0200959999999999</v>
      </c>
      <c r="I857">
        <v>367.37900000000002</v>
      </c>
      <c r="J857">
        <v>-234.37610000000001</v>
      </c>
      <c r="K857">
        <v>1.1104499999999999</v>
      </c>
      <c r="L857">
        <v>367.49369999999999</v>
      </c>
      <c r="M857">
        <v>0.99982910000000003</v>
      </c>
      <c r="N857">
        <v>0</v>
      </c>
      <c r="O857">
        <v>1.231135E-2</v>
      </c>
      <c r="P857">
        <v>0.98018450000000001</v>
      </c>
      <c r="Q857">
        <v>0.1175416</v>
      </c>
      <c r="R857">
        <v>-0.159445899999999</v>
      </c>
      <c r="S857">
        <v>3.036133</v>
      </c>
      <c r="T857">
        <v>-0.29872320000000002</v>
      </c>
      <c r="U857">
        <v>-0.36898799999999998</v>
      </c>
      <c r="V857">
        <v>0.1715267</v>
      </c>
      <c r="W857">
        <v>0.130999</v>
      </c>
      <c r="X857">
        <v>0.97643120000000005</v>
      </c>
      <c r="Y857">
        <v>0.13217029999999999</v>
      </c>
      <c r="Z857">
        <v>-7.6671169999999898E-3</v>
      </c>
      <c r="AA857">
        <v>0.99119729999999995</v>
      </c>
      <c r="AB857">
        <v>24</v>
      </c>
      <c r="AC857">
        <v>0.68430000000000701</v>
      </c>
      <c r="AD857">
        <v>-9.0354000000000004E-2</v>
      </c>
      <c r="AE857">
        <v>-0.11469999999997001</v>
      </c>
      <c r="AF857">
        <v>0.121063793685844</v>
      </c>
      <c r="AG857">
        <v>-9.0354000000000004E-2</v>
      </c>
      <c r="AH857">
        <v>0.67144960583302904</v>
      </c>
      <c r="AI857">
        <v>97.543796050359603</v>
      </c>
      <c r="AJ857">
        <v>79.779259691135493</v>
      </c>
      <c r="AK857">
        <v>0.688233144095036</v>
      </c>
      <c r="AL857">
        <v>82.472675626315294</v>
      </c>
      <c r="AM857">
        <v>80.036680263549698</v>
      </c>
      <c r="AN857">
        <v>1.0000000175736601</v>
      </c>
    </row>
    <row r="858" spans="1:40" x14ac:dyDescent="0.25">
      <c r="A858" t="str">
        <f>"20190312164235747"</f>
        <v>20190312164235747</v>
      </c>
      <c r="B858" t="str">
        <f>"1552380155734310"</f>
        <v>1552380155734310</v>
      </c>
      <c r="C858" t="s">
        <v>40</v>
      </c>
      <c r="D858">
        <v>4.8718820000000003</v>
      </c>
      <c r="E858">
        <v>0.49436360000000001</v>
      </c>
      <c r="F858" t="s">
        <v>41</v>
      </c>
      <c r="G858">
        <v>-233.47540000000001</v>
      </c>
      <c r="H858">
        <v>1.022702</v>
      </c>
      <c r="I858">
        <v>367.3818</v>
      </c>
      <c r="J858">
        <v>-234.13159999999999</v>
      </c>
      <c r="K858">
        <v>1.110441</v>
      </c>
      <c r="L858">
        <v>367.4966</v>
      </c>
      <c r="M858">
        <v>0.9998302</v>
      </c>
      <c r="N858">
        <v>0</v>
      </c>
      <c r="O858">
        <v>1.2219880000000001E-2</v>
      </c>
      <c r="P858">
        <v>0.97982630000000004</v>
      </c>
      <c r="Q858">
        <v>0.1166687</v>
      </c>
      <c r="R858">
        <v>-0.16226179999999901</v>
      </c>
      <c r="S858">
        <v>3.0348359999999999</v>
      </c>
      <c r="T858">
        <v>-0.29584519999999997</v>
      </c>
      <c r="U858">
        <v>-0.3767395</v>
      </c>
      <c r="V858">
        <v>0.17424870000000001</v>
      </c>
      <c r="W858">
        <v>0.13011819999999999</v>
      </c>
      <c r="X858">
        <v>0.97606689999999996</v>
      </c>
      <c r="Y858">
        <v>0.13462569999999999</v>
      </c>
      <c r="Z858">
        <v>-7.7057150000000001E-3</v>
      </c>
      <c r="AA858">
        <v>0.99086649999999998</v>
      </c>
      <c r="AB858">
        <v>24</v>
      </c>
      <c r="AC858">
        <v>0.65619999999998402</v>
      </c>
      <c r="AD858">
        <v>-8.7738999999999998E-2</v>
      </c>
      <c r="AE858">
        <v>-0.114800000000002</v>
      </c>
      <c r="AF858">
        <v>0.120716820827138</v>
      </c>
      <c r="AG858">
        <v>-8.7738999999999998E-2</v>
      </c>
      <c r="AH858">
        <v>0.643583879875957</v>
      </c>
      <c r="AI858">
        <v>97.631723553421594</v>
      </c>
      <c r="AJ858">
        <v>79.3764881279278</v>
      </c>
      <c r="AK858">
        <v>0.66065943827951301</v>
      </c>
      <c r="AL858">
        <v>82.523577114010905</v>
      </c>
      <c r="AM858">
        <v>79.878113581261701</v>
      </c>
      <c r="AN858">
        <v>0.99999997434926902</v>
      </c>
    </row>
    <row r="859" spans="1:40" x14ac:dyDescent="0.25">
      <c r="A859" t="str">
        <f>"20190312164235770"</f>
        <v>20190312164235770</v>
      </c>
      <c r="B859" t="str">
        <f>"1552380155764569"</f>
        <v>1552380155764569</v>
      </c>
      <c r="C859" t="s">
        <v>40</v>
      </c>
      <c r="D859">
        <v>4.7224550000000001</v>
      </c>
      <c r="E859">
        <v>0.48968489999999998</v>
      </c>
      <c r="F859" t="s">
        <v>41</v>
      </c>
      <c r="G859">
        <v>-233.25919999999999</v>
      </c>
      <c r="H859">
        <v>1.0255860000000001</v>
      </c>
      <c r="I859">
        <v>367.38619999999997</v>
      </c>
      <c r="J859">
        <v>-233.88409999999999</v>
      </c>
      <c r="K859">
        <v>1.1104419999999999</v>
      </c>
      <c r="L859">
        <v>367.49950000000001</v>
      </c>
      <c r="M859">
        <v>0.99983140000000004</v>
      </c>
      <c r="N859">
        <v>0</v>
      </c>
      <c r="O859">
        <v>1.21271E-2</v>
      </c>
      <c r="P859">
        <v>0.9794117</v>
      </c>
      <c r="Q859">
        <v>0.1159618</v>
      </c>
      <c r="R859">
        <v>-0.165245</v>
      </c>
      <c r="S859">
        <v>3.033401</v>
      </c>
      <c r="T859">
        <v>-0.29512670000000002</v>
      </c>
      <c r="U859">
        <v>-0.38351439999999998</v>
      </c>
      <c r="V859">
        <v>0.1771356</v>
      </c>
      <c r="W859">
        <v>0.1294024</v>
      </c>
      <c r="X859">
        <v>0.97564240000000002</v>
      </c>
      <c r="Y859">
        <v>0.136763</v>
      </c>
      <c r="Z859">
        <v>-7.783969E-3</v>
      </c>
      <c r="AA859">
        <v>0.99057320000000004</v>
      </c>
      <c r="AB859">
        <v>24</v>
      </c>
      <c r="AC859">
        <v>0.62489999999999601</v>
      </c>
      <c r="AD859">
        <v>-8.4855999999999807E-2</v>
      </c>
      <c r="AE859">
        <v>-0.113300000000037</v>
      </c>
      <c r="AF859">
        <v>0.11875062567322001</v>
      </c>
      <c r="AG859">
        <v>-8.4855999999999807E-2</v>
      </c>
      <c r="AH859">
        <v>0.61254450430514995</v>
      </c>
      <c r="AI859">
        <v>97.744613375571404</v>
      </c>
      <c r="AJ859">
        <v>79.028481198681106</v>
      </c>
      <c r="AK859">
        <v>0.629692799377779</v>
      </c>
      <c r="AL859">
        <v>82.564939680084393</v>
      </c>
      <c r="AM859">
        <v>79.709589188321402</v>
      </c>
      <c r="AN859">
        <v>1.00000004729543</v>
      </c>
    </row>
    <row r="860" spans="1:40" x14ac:dyDescent="0.25">
      <c r="A860" t="str">
        <f>"20190312164235792"</f>
        <v>20190312164235792</v>
      </c>
      <c r="B860" t="str">
        <f>"1552380155785062"</f>
        <v>1552380155785062</v>
      </c>
      <c r="C860" t="s">
        <v>40</v>
      </c>
      <c r="D860">
        <v>4.794359</v>
      </c>
      <c r="E860">
        <v>0.48963509999999999</v>
      </c>
      <c r="F860" t="s">
        <v>41</v>
      </c>
      <c r="G860">
        <v>-233.0471</v>
      </c>
      <c r="H860">
        <v>1.0211269999999999</v>
      </c>
      <c r="I860">
        <v>367.40219999999999</v>
      </c>
      <c r="J860">
        <v>-233.64340000000001</v>
      </c>
      <c r="K860">
        <v>1.1104430000000001</v>
      </c>
      <c r="L860">
        <v>367.50229999999999</v>
      </c>
      <c r="M860">
        <v>0.99983250000000001</v>
      </c>
      <c r="N860">
        <v>0</v>
      </c>
      <c r="O860">
        <v>1.2035799999999999E-2</v>
      </c>
      <c r="P860">
        <v>0.97901329999999998</v>
      </c>
      <c r="Q860">
        <v>0.115257399999999</v>
      </c>
      <c r="R860">
        <v>-0.1680741</v>
      </c>
      <c r="S860">
        <v>3.0418850000000002</v>
      </c>
      <c r="T860">
        <v>-0.32466420000000001</v>
      </c>
      <c r="U860">
        <v>-0.35351559999999999</v>
      </c>
      <c r="V860">
        <v>0.17987040000000001</v>
      </c>
      <c r="W860">
        <v>0.12868930000000001</v>
      </c>
      <c r="X860">
        <v>0.9752362</v>
      </c>
      <c r="Y860">
        <v>0.12660979999999999</v>
      </c>
      <c r="Z860">
        <v>-7.9920900000000003E-3</v>
      </c>
      <c r="AA860">
        <v>0.99192040000000004</v>
      </c>
      <c r="AB860">
        <v>24</v>
      </c>
      <c r="AC860">
        <v>0.59630000000001304</v>
      </c>
      <c r="AD860">
        <v>-8.9315999999999895E-2</v>
      </c>
      <c r="AE860">
        <v>-0.100099999999997</v>
      </c>
      <c r="AF860">
        <v>0.104979694213843</v>
      </c>
      <c r="AG860">
        <v>-8.9315999999999895E-2</v>
      </c>
      <c r="AH860">
        <v>0.58234498571361604</v>
      </c>
      <c r="AI860">
        <v>98.583432687241498</v>
      </c>
      <c r="AJ860">
        <v>79.781007965320697</v>
      </c>
      <c r="AK860">
        <v>0.59843442952342296</v>
      </c>
      <c r="AL860">
        <v>82.606141240380694</v>
      </c>
      <c r="AM860">
        <v>79.549931801478905</v>
      </c>
      <c r="AN860">
        <v>0.99999997126054396</v>
      </c>
    </row>
    <row r="861" spans="1:40" x14ac:dyDescent="0.25">
      <c r="A861" t="str">
        <f>"20190312164235814"</f>
        <v>20190312164235814</v>
      </c>
      <c r="B861" t="str">
        <f>"1552380155804582"</f>
        <v>1552380155804582</v>
      </c>
      <c r="C861" t="s">
        <v>40</v>
      </c>
      <c r="D861">
        <v>4.7437569999999996</v>
      </c>
      <c r="E861">
        <v>0.48931760000000002</v>
      </c>
      <c r="F861" t="s">
        <v>41</v>
      </c>
      <c r="G861">
        <v>-232.83189999999999</v>
      </c>
      <c r="H861">
        <v>1.0230779999999999</v>
      </c>
      <c r="I861">
        <v>367.4058</v>
      </c>
      <c r="J861">
        <v>-233.41679999999999</v>
      </c>
      <c r="K861">
        <v>1.1104419999999999</v>
      </c>
      <c r="L861">
        <v>367.50490000000002</v>
      </c>
      <c r="M861">
        <v>0.99983359999999999</v>
      </c>
      <c r="N861">
        <v>0</v>
      </c>
      <c r="O861">
        <v>1.1947279999999999E-2</v>
      </c>
      <c r="P861">
        <v>0.97858489999999998</v>
      </c>
      <c r="Q861">
        <v>0.1147106</v>
      </c>
      <c r="R861">
        <v>-0.1709195</v>
      </c>
      <c r="S861">
        <v>3.0409389999999998</v>
      </c>
      <c r="T861">
        <v>-0.32764880000000002</v>
      </c>
      <c r="U861">
        <v>-0.36083979999999999</v>
      </c>
      <c r="V861">
        <v>0.18262439999999999</v>
      </c>
      <c r="W861">
        <v>0.12813279999999999</v>
      </c>
      <c r="X861">
        <v>0.97479760000000004</v>
      </c>
      <c r="Y861">
        <v>0.12888659999999999</v>
      </c>
      <c r="Z861">
        <v>-8.1789050000000002E-3</v>
      </c>
      <c r="AA861">
        <v>0.9916256</v>
      </c>
      <c r="AB861">
        <v>24</v>
      </c>
      <c r="AC861">
        <v>0.58490000000000397</v>
      </c>
      <c r="AD861">
        <v>-8.7363999999999706E-2</v>
      </c>
      <c r="AE861">
        <v>-9.9100000000021199E-2</v>
      </c>
      <c r="AF861">
        <v>0.103829742755985</v>
      </c>
      <c r="AG861">
        <v>-8.7363999999999706E-2</v>
      </c>
      <c r="AH861">
        <v>0.57128440859597196</v>
      </c>
      <c r="AI861">
        <v>98.556581324343696</v>
      </c>
      <c r="AJ861">
        <v>79.6990514561314</v>
      </c>
      <c r="AK861">
        <v>0.58717881389030302</v>
      </c>
      <c r="AL861">
        <v>82.6382929087832</v>
      </c>
      <c r="AM861">
        <v>79.388870613800904</v>
      </c>
      <c r="AN861">
        <v>1.0000000234384701</v>
      </c>
    </row>
    <row r="862" spans="1:40" x14ac:dyDescent="0.25">
      <c r="A862" t="str">
        <f>"20190312164235836"</f>
        <v>20190312164235836</v>
      </c>
      <c r="B862" t="str">
        <f>"1552380155825078"</f>
        <v>1552380155825078</v>
      </c>
      <c r="C862" t="s">
        <v>40</v>
      </c>
      <c r="D862">
        <v>4.7541029999999997</v>
      </c>
      <c r="E862">
        <v>0.4892782</v>
      </c>
      <c r="F862" t="s">
        <v>41</v>
      </c>
      <c r="G862">
        <v>-232.61760000000001</v>
      </c>
      <c r="H862">
        <v>1.023536</v>
      </c>
      <c r="I862">
        <v>367.40870000000001</v>
      </c>
      <c r="J862">
        <v>-233.1772</v>
      </c>
      <c r="K862">
        <v>1.110436</v>
      </c>
      <c r="L862">
        <v>367.50760000000002</v>
      </c>
      <c r="M862">
        <v>0.99983480000000002</v>
      </c>
      <c r="N862">
        <v>0</v>
      </c>
      <c r="O862">
        <v>1.184788E-2</v>
      </c>
      <c r="P862">
        <v>0.97815949999999996</v>
      </c>
      <c r="Q862">
        <v>0.1139776</v>
      </c>
      <c r="R862">
        <v>-0.17382059999999999</v>
      </c>
      <c r="S862">
        <v>3.0404969999999998</v>
      </c>
      <c r="T862">
        <v>-0.33071159999999999</v>
      </c>
      <c r="U862">
        <v>-0.36593629999999999</v>
      </c>
      <c r="V862">
        <v>0.18542410000000001</v>
      </c>
      <c r="W862">
        <v>0.12738930000000001</v>
      </c>
      <c r="X862">
        <v>0.97436639999999997</v>
      </c>
      <c r="Y862">
        <v>0.13042010000000001</v>
      </c>
      <c r="Z862">
        <v>-8.3274059999999903E-3</v>
      </c>
      <c r="AA862">
        <v>0.99142379999999997</v>
      </c>
      <c r="AB862">
        <v>24</v>
      </c>
      <c r="AC862">
        <v>0.559599999999989</v>
      </c>
      <c r="AD862">
        <v>-8.6899999999999894E-2</v>
      </c>
      <c r="AE862">
        <v>-9.8900000000014601E-2</v>
      </c>
      <c r="AF862">
        <v>0.10311253368838701</v>
      </c>
      <c r="AG862">
        <v>-8.6899999999999894E-2</v>
      </c>
      <c r="AH862">
        <v>0.54562961549067401</v>
      </c>
      <c r="AI862">
        <v>98.894394796314003</v>
      </c>
      <c r="AJ862">
        <v>79.298504773301701</v>
      </c>
      <c r="AK862">
        <v>0.562045800539547</v>
      </c>
      <c r="AL862">
        <v>82.6812441804652</v>
      </c>
      <c r="AM862">
        <v>79.225320609367998</v>
      </c>
      <c r="AN862">
        <v>1.0000000060321299</v>
      </c>
    </row>
    <row r="863" spans="1:40" x14ac:dyDescent="0.25">
      <c r="A863" t="str">
        <f>"20190312164235859"</f>
        <v>20190312164235859</v>
      </c>
      <c r="B863" t="str">
        <f>"1552380155854358"</f>
        <v>1552380155854358</v>
      </c>
      <c r="C863" t="s">
        <v>40</v>
      </c>
      <c r="D863">
        <v>4.7753779999999999</v>
      </c>
      <c r="E863">
        <v>0.51069120000000001</v>
      </c>
      <c r="F863" t="s">
        <v>41</v>
      </c>
      <c r="G863">
        <v>-232.40260000000001</v>
      </c>
      <c r="H863">
        <v>1.0261309999999999</v>
      </c>
      <c r="I863">
        <v>367.41230000000002</v>
      </c>
      <c r="J863">
        <v>-232.93459999999999</v>
      </c>
      <c r="K863">
        <v>1.11043</v>
      </c>
      <c r="L863">
        <v>367.51029999999997</v>
      </c>
      <c r="M863">
        <v>0.99983599999999995</v>
      </c>
      <c r="N863">
        <v>0</v>
      </c>
      <c r="O863">
        <v>1.174042E-2</v>
      </c>
      <c r="P863">
        <v>0.97763120000000003</v>
      </c>
      <c r="Q863">
        <v>0.1135007</v>
      </c>
      <c r="R863">
        <v>-0.17707300000000001</v>
      </c>
      <c r="S863">
        <v>3.039215</v>
      </c>
      <c r="T863">
        <v>-0.33099200000000001</v>
      </c>
      <c r="U863">
        <v>-0.37332149999999997</v>
      </c>
      <c r="V863">
        <v>0.1885666</v>
      </c>
      <c r="W863">
        <v>0.12689980000000001</v>
      </c>
      <c r="X863">
        <v>0.973827</v>
      </c>
      <c r="Y863">
        <v>0.13272220000000001</v>
      </c>
      <c r="Z863">
        <v>-8.4495899999999999E-3</v>
      </c>
      <c r="AA863">
        <v>0.99111720000000003</v>
      </c>
      <c r="AB863">
        <v>24</v>
      </c>
      <c r="AC863">
        <v>0.53199999999998204</v>
      </c>
      <c r="AD863">
        <v>-8.4299000000000096E-2</v>
      </c>
      <c r="AE863">
        <v>-9.7999999999956303E-2</v>
      </c>
      <c r="AF863">
        <v>0.1017683494104</v>
      </c>
      <c r="AG863">
        <v>-8.4299000000000096E-2</v>
      </c>
      <c r="AH863">
        <v>0.518227760181591</v>
      </c>
      <c r="AI863">
        <v>99.069000993419294</v>
      </c>
      <c r="AJ863">
        <v>78.8897687154588</v>
      </c>
      <c r="AK863">
        <v>0.53481130295230805</v>
      </c>
      <c r="AL863">
        <v>82.709519709640304</v>
      </c>
      <c r="AM863">
        <v>79.041176251200596</v>
      </c>
      <c r="AN863">
        <v>0.999999973902299</v>
      </c>
    </row>
    <row r="864" spans="1:40" x14ac:dyDescent="0.25">
      <c r="A864" t="str">
        <f>"20190312164235881"</f>
        <v>20190312164235881</v>
      </c>
      <c r="B864" t="str">
        <f>"1552380155874854"</f>
        <v>1552380155874854</v>
      </c>
      <c r="C864" t="s">
        <v>40</v>
      </c>
      <c r="D864">
        <v>4.818378</v>
      </c>
      <c r="E864">
        <v>0.51324250000000005</v>
      </c>
      <c r="F864" t="s">
        <v>41</v>
      </c>
      <c r="G864">
        <v>-232.1833</v>
      </c>
      <c r="H864">
        <v>1.031406</v>
      </c>
      <c r="I864">
        <v>367.37180000000001</v>
      </c>
      <c r="J864">
        <v>-232.69489999999999</v>
      </c>
      <c r="K864">
        <v>1.1104240000000001</v>
      </c>
      <c r="L864">
        <v>367.51299999999998</v>
      </c>
      <c r="M864">
        <v>0.99983739999999999</v>
      </c>
      <c r="N864">
        <v>0</v>
      </c>
      <c r="O864">
        <v>1.162843E-2</v>
      </c>
      <c r="P864">
        <v>0.97718139999999998</v>
      </c>
      <c r="Q864">
        <v>0.1129647</v>
      </c>
      <c r="R864">
        <v>-0.17987709999999901</v>
      </c>
      <c r="S864">
        <v>3.0049589999999999</v>
      </c>
      <c r="T864">
        <v>-0.31603209999999998</v>
      </c>
      <c r="U864">
        <v>-0.55435179999999995</v>
      </c>
      <c r="V864">
        <v>0.19125719999999999</v>
      </c>
      <c r="W864">
        <v>0.12635209999999999</v>
      </c>
      <c r="X864">
        <v>0.97337340000000006</v>
      </c>
      <c r="Y864">
        <v>0.1917566</v>
      </c>
      <c r="Z864">
        <v>-1.1182249999999999E-2</v>
      </c>
      <c r="AA864">
        <v>0.9813788</v>
      </c>
      <c r="AB864">
        <v>24</v>
      </c>
      <c r="AC864">
        <v>0.51159999999998695</v>
      </c>
      <c r="AD864">
        <v>-7.9018000000000005E-2</v>
      </c>
      <c r="AE864">
        <v>-0.141200000000026</v>
      </c>
      <c r="AF864">
        <v>0.143949188748281</v>
      </c>
      <c r="AG864">
        <v>-7.9018000000000005E-2</v>
      </c>
      <c r="AH864">
        <v>0.49886493619030597</v>
      </c>
      <c r="AI864">
        <v>98.653245724760097</v>
      </c>
      <c r="AJ864">
        <v>73.904323187262705</v>
      </c>
      <c r="AK864">
        <v>0.52519657065278502</v>
      </c>
      <c r="AL864">
        <v>82.741155250282105</v>
      </c>
      <c r="AM864">
        <v>78.883623899808697</v>
      </c>
      <c r="AN864">
        <v>0.999999972776904</v>
      </c>
    </row>
    <row r="865" spans="1:40" x14ac:dyDescent="0.25">
      <c r="A865" t="str">
        <f>"20190312164235904"</f>
        <v>20190312164235904</v>
      </c>
      <c r="B865" t="str">
        <f>"1552380155894374"</f>
        <v>1552380155894374</v>
      </c>
      <c r="C865" t="s">
        <v>40</v>
      </c>
      <c r="D865">
        <v>4.8403090000000004</v>
      </c>
      <c r="E865">
        <v>0.51462600000000003</v>
      </c>
      <c r="F865" t="s">
        <v>42</v>
      </c>
      <c r="G865">
        <v>-222.0864</v>
      </c>
      <c r="H865" s="1">
        <v>-4.1162800000000002E-6</v>
      </c>
      <c r="I865">
        <v>365.44990000000001</v>
      </c>
      <c r="J865">
        <v>-232.45519999999999</v>
      </c>
      <c r="K865">
        <v>1.1104179999999999</v>
      </c>
      <c r="L865">
        <v>367.51569999999998</v>
      </c>
      <c r="M865">
        <v>0.99983889999999997</v>
      </c>
      <c r="N865">
        <v>0</v>
      </c>
      <c r="O865">
        <v>1.1507669999999999E-2</v>
      </c>
      <c r="P865">
        <v>0.97658160000000005</v>
      </c>
      <c r="Q865">
        <v>0.1131645</v>
      </c>
      <c r="R865">
        <v>-0.18298200000000001</v>
      </c>
      <c r="S865">
        <v>2.998993</v>
      </c>
      <c r="T865">
        <v>-0.31391219999999997</v>
      </c>
      <c r="U865">
        <v>-0.5832214</v>
      </c>
      <c r="V865">
        <v>0.19423869999999999</v>
      </c>
      <c r="W865">
        <v>0.1265384</v>
      </c>
      <c r="X865">
        <v>0.97275869999999998</v>
      </c>
      <c r="Y865">
        <v>0.20106089999999999</v>
      </c>
      <c r="Z865">
        <v>-1.158812E-2</v>
      </c>
      <c r="AA865">
        <v>0.9795102</v>
      </c>
      <c r="AB865">
        <v>24</v>
      </c>
      <c r="AC865">
        <v>10.368799999999901</v>
      </c>
      <c r="AD865">
        <v>-1.1104221162799901</v>
      </c>
      <c r="AE865">
        <v>-2.0657999999999599</v>
      </c>
      <c r="AF865">
        <v>2.1611555850301398</v>
      </c>
      <c r="AG865">
        <v>-1.1104221162799901</v>
      </c>
      <c r="AH865">
        <v>10.231475352263701</v>
      </c>
      <c r="AI865">
        <v>96.061353744274001</v>
      </c>
      <c r="AJ865">
        <v>78.072949242660698</v>
      </c>
      <c r="AK865">
        <v>10.5160219961262</v>
      </c>
      <c r="AL865">
        <v>82.730395343013797</v>
      </c>
      <c r="AM865">
        <v>78.707797613034401</v>
      </c>
      <c r="AN865">
        <v>1.0000000638389599</v>
      </c>
    </row>
    <row r="866" spans="1:40" x14ac:dyDescent="0.25">
      <c r="A866" t="str">
        <f>"20190312164235925"</f>
        <v>20190312164235925</v>
      </c>
      <c r="B866" t="str">
        <f>"1552380155914870"</f>
        <v>1552380155914870</v>
      </c>
      <c r="C866" t="s">
        <v>40</v>
      </c>
      <c r="D866">
        <v>4.8258669999999997</v>
      </c>
      <c r="E866">
        <v>0.51515080000000002</v>
      </c>
      <c r="F866" t="s">
        <v>42</v>
      </c>
      <c r="G866">
        <v>-221.815</v>
      </c>
      <c r="H866" s="1">
        <v>-4.2464929999999999E-6</v>
      </c>
      <c r="I866">
        <v>365.37240000000003</v>
      </c>
      <c r="J866">
        <v>-232.2269</v>
      </c>
      <c r="K866">
        <v>1.1104149999999999</v>
      </c>
      <c r="L866">
        <v>367.5181</v>
      </c>
      <c r="M866">
        <v>0.99984030000000002</v>
      </c>
      <c r="N866">
        <v>0</v>
      </c>
      <c r="O866">
        <v>1.138424E-2</v>
      </c>
      <c r="P866">
        <v>0.975943</v>
      </c>
      <c r="Q866">
        <v>0.1132614</v>
      </c>
      <c r="R866">
        <v>-0.18629850000000001</v>
      </c>
      <c r="S866">
        <v>2.9951479999999999</v>
      </c>
      <c r="T866">
        <v>-0.3125732</v>
      </c>
      <c r="U866">
        <v>-0.603302</v>
      </c>
      <c r="V866">
        <v>0.19742899999999999</v>
      </c>
      <c r="W866">
        <v>0.12662119999999999</v>
      </c>
      <c r="X866">
        <v>0.97210540000000001</v>
      </c>
      <c r="Y866">
        <v>0.20746590000000001</v>
      </c>
      <c r="Z866">
        <v>-1.186333E-2</v>
      </c>
      <c r="AA866">
        <v>0.97817030000000005</v>
      </c>
      <c r="AB866">
        <v>24</v>
      </c>
      <c r="AC866">
        <v>10.411899999999999</v>
      </c>
      <c r="AD866">
        <v>-1.1104192464929901</v>
      </c>
      <c r="AE866">
        <v>-2.14569999999997</v>
      </c>
      <c r="AF866">
        <v>2.23966751734776</v>
      </c>
      <c r="AG866">
        <v>-1.1104192464929901</v>
      </c>
      <c r="AH866">
        <v>10.274692111268401</v>
      </c>
      <c r="AI866">
        <v>96.027737251448599</v>
      </c>
      <c r="AJ866">
        <v>77.703075073921497</v>
      </c>
      <c r="AK866">
        <v>10.5744238364369</v>
      </c>
      <c r="AL866">
        <v>82.725612489032599</v>
      </c>
      <c r="AM866">
        <v>78.519701657631202</v>
      </c>
      <c r="AN866">
        <v>1.0000000235197899</v>
      </c>
    </row>
    <row r="867" spans="1:40" x14ac:dyDescent="0.25">
      <c r="A867" t="str">
        <f>"20190312164235948"</f>
        <v>20190312164235948</v>
      </c>
      <c r="B867" t="str">
        <f>"1552380155945126"</f>
        <v>1552380155945126</v>
      </c>
      <c r="C867" t="s">
        <v>40</v>
      </c>
      <c r="D867">
        <v>4.8197179999999999</v>
      </c>
      <c r="E867">
        <v>0.51570559999999999</v>
      </c>
      <c r="F867" t="s">
        <v>42</v>
      </c>
      <c r="G867">
        <v>-221.53139999999999</v>
      </c>
      <c r="H867" s="1">
        <v>-4.378887E-6</v>
      </c>
      <c r="I867">
        <v>365.31169999999997</v>
      </c>
      <c r="J867">
        <v>-231.98740000000001</v>
      </c>
      <c r="K867">
        <v>1.1104080000000001</v>
      </c>
      <c r="L867">
        <v>367.52069999999998</v>
      </c>
      <c r="M867">
        <v>0.99984189999999995</v>
      </c>
      <c r="N867">
        <v>0</v>
      </c>
      <c r="O867">
        <v>1.1243009999999999E-2</v>
      </c>
      <c r="P867">
        <v>0.97525530000000005</v>
      </c>
      <c r="Q867">
        <v>0.1139091</v>
      </c>
      <c r="R867">
        <v>-0.1894786</v>
      </c>
      <c r="S867">
        <v>2.9921570000000002</v>
      </c>
      <c r="T867">
        <v>-0.31064839999999999</v>
      </c>
      <c r="U867">
        <v>-0.61724849999999998</v>
      </c>
      <c r="V867">
        <v>0.20046559999999999</v>
      </c>
      <c r="W867">
        <v>0.12725310000000001</v>
      </c>
      <c r="X867">
        <v>0.97140119999999996</v>
      </c>
      <c r="Y867">
        <v>0.21188309999999999</v>
      </c>
      <c r="Z867">
        <v>-1.2008599999999999E-2</v>
      </c>
      <c r="AA867">
        <v>0.97722129999999996</v>
      </c>
      <c r="AB867">
        <v>24</v>
      </c>
      <c r="AC867">
        <v>10.456</v>
      </c>
      <c r="AD867">
        <v>-1.110412378887</v>
      </c>
      <c r="AE867">
        <v>-2.2090000000000001</v>
      </c>
      <c r="AF867">
        <v>2.30157995679525</v>
      </c>
      <c r="AG867">
        <v>-1.110412378887</v>
      </c>
      <c r="AH867">
        <v>10.3190931806406</v>
      </c>
      <c r="AI867">
        <v>95.995615216687497</v>
      </c>
      <c r="AJ867">
        <v>77.426499974846294</v>
      </c>
      <c r="AK867">
        <v>10.6308028868684</v>
      </c>
      <c r="AL867">
        <v>82.689112218443398</v>
      </c>
      <c r="AM867">
        <v>78.339704109761399</v>
      </c>
      <c r="AN867">
        <v>1.0000000498021999</v>
      </c>
    </row>
    <row r="868" spans="1:40" x14ac:dyDescent="0.25">
      <c r="A868" t="str">
        <f>"20190312164235971"</f>
        <v>20190312164235971</v>
      </c>
      <c r="B868" t="str">
        <f>"1552380155964646"</f>
        <v>1552380155964646</v>
      </c>
      <c r="C868" t="s">
        <v>40</v>
      </c>
      <c r="D868">
        <v>4.9717039999999999</v>
      </c>
      <c r="E868">
        <v>0.51592119999999997</v>
      </c>
      <c r="F868" t="s">
        <v>42</v>
      </c>
      <c r="G868">
        <v>-221.0488</v>
      </c>
      <c r="H868" s="1">
        <v>-4.6044359999999996E-6</v>
      </c>
      <c r="I868">
        <v>365.20749999999998</v>
      </c>
      <c r="J868">
        <v>-231.74369999999999</v>
      </c>
      <c r="K868">
        <v>1.1103940000000001</v>
      </c>
      <c r="L868">
        <v>367.52319999999997</v>
      </c>
      <c r="M868">
        <v>0.99984390000000001</v>
      </c>
      <c r="N868">
        <v>0</v>
      </c>
      <c r="O868">
        <v>1.1076519999999999E-2</v>
      </c>
      <c r="P868">
        <v>0.9746591</v>
      </c>
      <c r="Q868">
        <v>0.11440989999999999</v>
      </c>
      <c r="R868">
        <v>-0.19222520000000001</v>
      </c>
      <c r="S868">
        <v>2.9887389999999998</v>
      </c>
      <c r="T868">
        <v>-0.30339260000000001</v>
      </c>
      <c r="U868">
        <v>-0.632019</v>
      </c>
      <c r="V868">
        <v>0.20304739999999999</v>
      </c>
      <c r="W868">
        <v>0.12773599999999999</v>
      </c>
      <c r="X868">
        <v>0.97080140000000004</v>
      </c>
      <c r="Y868">
        <v>0.21659590000000001</v>
      </c>
      <c r="Z868">
        <v>-1.1956090000000001E-2</v>
      </c>
      <c r="AA868">
        <v>0.9761881</v>
      </c>
      <c r="AB868">
        <v>24</v>
      </c>
      <c r="AC868">
        <v>10.694899999999899</v>
      </c>
      <c r="AD868">
        <v>-1.1103986044359999</v>
      </c>
      <c r="AE868">
        <v>-2.3156999999999899</v>
      </c>
      <c r="AF868">
        <v>2.4092238797291801</v>
      </c>
      <c r="AG868">
        <v>-1.1103986044359999</v>
      </c>
      <c r="AH868">
        <v>10.559857677696</v>
      </c>
      <c r="AI868">
        <v>95.853427630617603</v>
      </c>
      <c r="AJ868">
        <v>77.147987195080105</v>
      </c>
      <c r="AK868">
        <v>10.8879722141722</v>
      </c>
      <c r="AL868">
        <v>82.661216404447998</v>
      </c>
      <c r="AM868">
        <v>78.186630817975001</v>
      </c>
      <c r="AN868">
        <v>1.0000000452923501</v>
      </c>
    </row>
    <row r="869" spans="1:40" x14ac:dyDescent="0.25">
      <c r="A869" t="str">
        <f>"20190312164235993"</f>
        <v>20190312164235993</v>
      </c>
      <c r="B869" t="str">
        <f>"1552380155985142"</f>
        <v>1552380155985142</v>
      </c>
      <c r="C869" t="s">
        <v>40</v>
      </c>
      <c r="D869">
        <v>4.9387379999999999</v>
      </c>
      <c r="E869">
        <v>0.51633790000000002</v>
      </c>
      <c r="F869" t="s">
        <v>42</v>
      </c>
      <c r="G869">
        <v>-220.7062</v>
      </c>
      <c r="H869" s="1">
        <v>-4.7618860000000001E-6</v>
      </c>
      <c r="I869">
        <v>365.14839999999998</v>
      </c>
      <c r="J869">
        <v>-231.5044</v>
      </c>
      <c r="K869">
        <v>1.110371</v>
      </c>
      <c r="L869">
        <v>367.52569999999997</v>
      </c>
      <c r="M869">
        <v>0.99984609999999996</v>
      </c>
      <c r="N869">
        <v>0</v>
      </c>
      <c r="O869">
        <v>1.0876E-2</v>
      </c>
      <c r="P869">
        <v>0.97404440000000003</v>
      </c>
      <c r="Q869">
        <v>0.1146794</v>
      </c>
      <c r="R869">
        <v>-0.19515669999999999</v>
      </c>
      <c r="S869">
        <v>2.986542</v>
      </c>
      <c r="T869">
        <v>-0.30045189999999999</v>
      </c>
      <c r="U869">
        <v>-0.64257810000000004</v>
      </c>
      <c r="V869">
        <v>0.20578450000000001</v>
      </c>
      <c r="W869">
        <v>0.1279824</v>
      </c>
      <c r="X869">
        <v>0.97019239999999995</v>
      </c>
      <c r="Y869">
        <v>0.21985160000000001</v>
      </c>
      <c r="Z869">
        <v>-1.198657E-2</v>
      </c>
      <c r="AA869">
        <v>0.97545970000000004</v>
      </c>
      <c r="AB869">
        <v>24</v>
      </c>
      <c r="AC869">
        <v>10.7982</v>
      </c>
      <c r="AD869">
        <v>-1.110375761886</v>
      </c>
      <c r="AE869">
        <v>-2.3772999999999902</v>
      </c>
      <c r="AF869">
        <v>2.4697044248342501</v>
      </c>
      <c r="AG869">
        <v>-1.110375761886</v>
      </c>
      <c r="AH869">
        <v>10.6641538564781</v>
      </c>
      <c r="AI869">
        <v>95.7921316377804</v>
      </c>
      <c r="AJ869">
        <v>76.960777907565998</v>
      </c>
      <c r="AK869">
        <v>11.002570233962</v>
      </c>
      <c r="AL869">
        <v>82.646981735999304</v>
      </c>
      <c r="AM869">
        <v>78.024652407420405</v>
      </c>
      <c r="AN869">
        <v>1.00000002408388</v>
      </c>
    </row>
    <row r="870" spans="1:40" x14ac:dyDescent="0.25">
      <c r="A870" t="str">
        <f>"20190312164236016"</f>
        <v>20190312164236016</v>
      </c>
      <c r="B870" t="str">
        <f>"1552380156004663"</f>
        <v>1552380156004663</v>
      </c>
      <c r="C870" t="s">
        <v>40</v>
      </c>
      <c r="D870">
        <v>4.8098330000000002</v>
      </c>
      <c r="E870">
        <v>0.51659100000000002</v>
      </c>
      <c r="F870" t="s">
        <v>42</v>
      </c>
      <c r="G870">
        <v>-220.09970000000001</v>
      </c>
      <c r="H870" s="1">
        <v>-5.0450860000000002E-6</v>
      </c>
      <c r="I870">
        <v>365.01859999999999</v>
      </c>
      <c r="J870">
        <v>-231.26769999999999</v>
      </c>
      <c r="K870">
        <v>1.1103400000000001</v>
      </c>
      <c r="L870">
        <v>367.52800000000002</v>
      </c>
      <c r="M870">
        <v>0.99984890000000004</v>
      </c>
      <c r="N870">
        <v>0</v>
      </c>
      <c r="O870">
        <v>1.06234E-2</v>
      </c>
      <c r="P870">
        <v>0.97354960000000001</v>
      </c>
      <c r="Q870">
        <v>0.1141446</v>
      </c>
      <c r="R870">
        <v>-0.1979214</v>
      </c>
      <c r="S870">
        <v>2.982758</v>
      </c>
      <c r="T870">
        <v>-0.29040280000000002</v>
      </c>
      <c r="U870">
        <v>-0.65567019999999998</v>
      </c>
      <c r="V870">
        <v>0.20830889999999999</v>
      </c>
      <c r="W870">
        <v>0.12742010000000001</v>
      </c>
      <c r="X870">
        <v>0.96972760000000002</v>
      </c>
      <c r="Y870">
        <v>0.2239998</v>
      </c>
      <c r="Z870">
        <v>-1.177134E-2</v>
      </c>
      <c r="AA870">
        <v>0.97451810000000005</v>
      </c>
      <c r="AB870">
        <v>24</v>
      </c>
      <c r="AC870">
        <v>11.1679999999999</v>
      </c>
      <c r="AD870">
        <v>-1.110345045086</v>
      </c>
      <c r="AE870">
        <v>-2.5094000000000198</v>
      </c>
      <c r="AF870">
        <v>2.6034144840104601</v>
      </c>
      <c r="AG870">
        <v>-1.110345045086</v>
      </c>
      <c r="AH870">
        <v>11.0368557180282</v>
      </c>
      <c r="AI870">
        <v>95.592356699347704</v>
      </c>
      <c r="AJ870">
        <v>76.7274752161332</v>
      </c>
      <c r="AK870">
        <v>11.3939816234394</v>
      </c>
      <c r="AL870">
        <v>82.679465287286703</v>
      </c>
      <c r="AM870">
        <v>77.876428634928303</v>
      </c>
      <c r="AN870">
        <v>1.0000000489524801</v>
      </c>
    </row>
    <row r="871" spans="1:40" x14ac:dyDescent="0.25">
      <c r="A871" t="str">
        <f>"20190312164236038"</f>
        <v>20190312164236038</v>
      </c>
      <c r="B871" t="str">
        <f>"1552380156034919"</f>
        <v>1552380156034919</v>
      </c>
      <c r="C871" t="s">
        <v>40</v>
      </c>
      <c r="D871">
        <v>4.8054139999999999</v>
      </c>
      <c r="E871">
        <v>0.516876</v>
      </c>
      <c r="F871" t="s">
        <v>42</v>
      </c>
      <c r="G871">
        <v>-219.68459999999999</v>
      </c>
      <c r="H871" s="1">
        <v>-1.338218E-6</v>
      </c>
      <c r="I871">
        <v>364.93799999999999</v>
      </c>
      <c r="J871">
        <v>-231.03620000000001</v>
      </c>
      <c r="K871">
        <v>1.1102920000000001</v>
      </c>
      <c r="L871">
        <v>367.5301</v>
      </c>
      <c r="M871">
        <v>0.99985210000000002</v>
      </c>
      <c r="N871">
        <v>0</v>
      </c>
      <c r="O871">
        <v>1.030794E-2</v>
      </c>
      <c r="P871">
        <v>0.97301040000000005</v>
      </c>
      <c r="Q871">
        <v>0.114066899999999</v>
      </c>
      <c r="R871">
        <v>-0.20059850000000001</v>
      </c>
      <c r="S871">
        <v>2.979568</v>
      </c>
      <c r="T871">
        <v>-0.28561579999999998</v>
      </c>
      <c r="U871">
        <v>-0.66622919999999997</v>
      </c>
      <c r="V871">
        <v>0.21068890000000001</v>
      </c>
      <c r="W871">
        <v>0.12730749999999999</v>
      </c>
      <c r="X871">
        <v>0.96922799999999998</v>
      </c>
      <c r="Y871">
        <v>0.22722210000000001</v>
      </c>
      <c r="Z871">
        <v>-1.170825E-2</v>
      </c>
      <c r="AA871">
        <v>0.97377259999999999</v>
      </c>
      <c r="AB871">
        <v>24</v>
      </c>
      <c r="AC871">
        <v>11.351599999999999</v>
      </c>
      <c r="AD871">
        <v>-1.110293338218</v>
      </c>
      <c r="AE871">
        <v>-2.5920999999999501</v>
      </c>
      <c r="AF871">
        <v>2.6845752611316498</v>
      </c>
      <c r="AG871">
        <v>-1.110293338218</v>
      </c>
      <c r="AH871">
        <v>11.2222360341292</v>
      </c>
      <c r="AI871">
        <v>95.496194513643204</v>
      </c>
      <c r="AJ871">
        <v>76.546569754435097</v>
      </c>
      <c r="AK871">
        <v>11.592164475855199</v>
      </c>
      <c r="AL871">
        <v>82.685969139458905</v>
      </c>
      <c r="AM871">
        <v>77.735951007370304</v>
      </c>
      <c r="AN871">
        <v>0.99999996406172897</v>
      </c>
    </row>
    <row r="872" spans="1:40" x14ac:dyDescent="0.25">
      <c r="A872" t="str">
        <f>"20190312164236061"</f>
        <v>20190312164236061</v>
      </c>
      <c r="B872" t="str">
        <f>"1552380156054442"</f>
        <v>1552380156054442</v>
      </c>
      <c r="C872" t="s">
        <v>40</v>
      </c>
      <c r="D872">
        <v>4.791372</v>
      </c>
      <c r="E872">
        <v>0.5166636</v>
      </c>
      <c r="F872" t="s">
        <v>42</v>
      </c>
      <c r="G872">
        <v>-219.17910000000001</v>
      </c>
      <c r="H872" s="1">
        <v>-1.538524E-6</v>
      </c>
      <c r="I872">
        <v>364.83170000000001</v>
      </c>
      <c r="J872">
        <v>-230.79640000000001</v>
      </c>
      <c r="K872">
        <v>1.1102320000000001</v>
      </c>
      <c r="L872">
        <v>367.53210000000001</v>
      </c>
      <c r="M872">
        <v>0.99985619999999997</v>
      </c>
      <c r="N872">
        <v>0</v>
      </c>
      <c r="O872">
        <v>9.895994E-3</v>
      </c>
      <c r="P872">
        <v>0.97235179999999999</v>
      </c>
      <c r="Q872">
        <v>0.11406479999999999</v>
      </c>
      <c r="R872">
        <v>-0.20376739999999999</v>
      </c>
      <c r="S872">
        <v>2.9762420000000001</v>
      </c>
      <c r="T872">
        <v>-0.27869240000000001</v>
      </c>
      <c r="U872">
        <v>-0.67730709999999905</v>
      </c>
      <c r="V872">
        <v>0.21346999999999999</v>
      </c>
      <c r="W872">
        <v>0.12726209999999999</v>
      </c>
      <c r="X872">
        <v>0.96862519999999996</v>
      </c>
      <c r="Y872">
        <v>0.23053660000000001</v>
      </c>
      <c r="Z872">
        <v>-1.1548330000000001E-2</v>
      </c>
      <c r="AA872">
        <v>0.97299519999999995</v>
      </c>
      <c r="AB872">
        <v>24</v>
      </c>
      <c r="AC872">
        <v>11.6173</v>
      </c>
      <c r="AD872">
        <v>-1.1102335385240001</v>
      </c>
      <c r="AE872">
        <v>-2.7004000000000001</v>
      </c>
      <c r="AF872">
        <v>2.7910590655432599</v>
      </c>
      <c r="AG872">
        <v>-1.1102335385240001</v>
      </c>
      <c r="AH872">
        <v>11.4904415556071</v>
      </c>
      <c r="AI872">
        <v>95.363898686049694</v>
      </c>
      <c r="AJ872">
        <v>76.347117035773707</v>
      </c>
      <c r="AK872">
        <v>11.876568374755299</v>
      </c>
      <c r="AL872">
        <v>82.688591452831901</v>
      </c>
      <c r="AM872">
        <v>77.571568873700798</v>
      </c>
      <c r="AN872">
        <v>0.999999930535722</v>
      </c>
    </row>
    <row r="873" spans="1:40" x14ac:dyDescent="0.25">
      <c r="A873" t="str">
        <f>"20190312164236082"</f>
        <v>20190312164236082</v>
      </c>
      <c r="B873" t="str">
        <f>"1552380156074934"</f>
        <v>1552380156074934</v>
      </c>
      <c r="C873" t="s">
        <v>40</v>
      </c>
      <c r="D873">
        <v>4.8131240000000002</v>
      </c>
      <c r="E873">
        <v>0.5167834</v>
      </c>
      <c r="F873" t="s">
        <v>42</v>
      </c>
      <c r="G873">
        <v>-219.0325</v>
      </c>
      <c r="H873" s="1">
        <v>-1.59019E-6</v>
      </c>
      <c r="I873">
        <v>364.82499999999999</v>
      </c>
      <c r="J873">
        <v>-230.56739999999999</v>
      </c>
      <c r="K873">
        <v>1.1101700000000001</v>
      </c>
      <c r="L873">
        <v>367.53379999999999</v>
      </c>
      <c r="M873">
        <v>0.99986090000000005</v>
      </c>
      <c r="N873">
        <v>0</v>
      </c>
      <c r="O873">
        <v>9.4050009999999996E-3</v>
      </c>
      <c r="P873">
        <v>0.97167420000000004</v>
      </c>
      <c r="Q873">
        <v>0.1137176</v>
      </c>
      <c r="R873">
        <v>-0.20716609999999999</v>
      </c>
      <c r="S873">
        <v>2.9747620000000001</v>
      </c>
      <c r="T873">
        <v>-0.280746299999999</v>
      </c>
      <c r="U873">
        <v>-0.68453980000000003</v>
      </c>
      <c r="V873">
        <v>0.21640509999999999</v>
      </c>
      <c r="W873">
        <v>0.1268686</v>
      </c>
      <c r="X873">
        <v>0.96802540000000004</v>
      </c>
      <c r="Y873">
        <v>0.23239019999999999</v>
      </c>
      <c r="Z873">
        <v>-1.167609E-2</v>
      </c>
      <c r="AA873">
        <v>0.97255250000000004</v>
      </c>
      <c r="AB873">
        <v>24</v>
      </c>
      <c r="AC873">
        <v>11.534899999999899</v>
      </c>
      <c r="AD873">
        <v>-1.11017159019</v>
      </c>
      <c r="AE873">
        <v>-2.7087999999999899</v>
      </c>
      <c r="AF873">
        <v>2.7926597724757398</v>
      </c>
      <c r="AG873">
        <v>-1.11017159019</v>
      </c>
      <c r="AH873">
        <v>11.4087549072587</v>
      </c>
      <c r="AI873">
        <v>95.399455770790198</v>
      </c>
      <c r="AJ873">
        <v>76.245473962975794</v>
      </c>
      <c r="AK873">
        <v>11.797928551164</v>
      </c>
      <c r="AL873">
        <v>82.711322036866903</v>
      </c>
      <c r="AM873">
        <v>77.398546351169202</v>
      </c>
      <c r="AN873">
        <v>0.99999999200856504</v>
      </c>
    </row>
    <row r="874" spans="1:40" x14ac:dyDescent="0.25">
      <c r="A874" t="str">
        <f>"20190312164236104"</f>
        <v>20190312164236104</v>
      </c>
      <c r="B874" t="str">
        <f>"1552380156094455"</f>
        <v>1552380156094455</v>
      </c>
      <c r="C874" t="s">
        <v>40</v>
      </c>
      <c r="D874">
        <v>4.7692170000000003</v>
      </c>
      <c r="E874">
        <v>0.51665819999999996</v>
      </c>
      <c r="F874" t="s">
        <v>42</v>
      </c>
      <c r="G874">
        <v>-218.91480000000001</v>
      </c>
      <c r="H874" s="1">
        <v>-1.6343190000000001E-6</v>
      </c>
      <c r="I874">
        <v>364.80970000000002</v>
      </c>
      <c r="J874">
        <v>-230.33799999999999</v>
      </c>
      <c r="K874">
        <v>1.1101000000000001</v>
      </c>
      <c r="L874">
        <v>367.53530000000001</v>
      </c>
      <c r="M874">
        <v>0.99986640000000004</v>
      </c>
      <c r="N874">
        <v>0</v>
      </c>
      <c r="O874">
        <v>8.816539E-3</v>
      </c>
      <c r="P874">
        <v>0.97113269999999996</v>
      </c>
      <c r="Q874">
        <v>0.1129447</v>
      </c>
      <c r="R874">
        <v>-0.21010709999999999</v>
      </c>
      <c r="S874">
        <v>2.9724430000000002</v>
      </c>
      <c r="T874">
        <v>-0.28319070000000002</v>
      </c>
      <c r="U874">
        <v>-0.69488530000000004</v>
      </c>
      <c r="V874">
        <v>0.21878990000000001</v>
      </c>
      <c r="W874">
        <v>0.1260512</v>
      </c>
      <c r="X874">
        <v>0.96759609999999996</v>
      </c>
      <c r="Y874">
        <v>0.23516709999999999</v>
      </c>
      <c r="Z874">
        <v>-1.18567E-2</v>
      </c>
      <c r="AA874">
        <v>0.97188260000000004</v>
      </c>
      <c r="AB874">
        <v>24</v>
      </c>
      <c r="AC874">
        <v>11.4231999999999</v>
      </c>
      <c r="AD874">
        <v>-1.110101634319</v>
      </c>
      <c r="AE874">
        <v>-2.72559999999998</v>
      </c>
      <c r="AF874">
        <v>2.80118756093009</v>
      </c>
      <c r="AG874">
        <v>-1.110101634319</v>
      </c>
      <c r="AH874">
        <v>11.297775645262799</v>
      </c>
      <c r="AI874">
        <v>95.447860613962007</v>
      </c>
      <c r="AJ874">
        <v>76.074815125129902</v>
      </c>
      <c r="AK874">
        <v>11.69267770533</v>
      </c>
      <c r="AL874">
        <v>82.758535205715006</v>
      </c>
      <c r="AM874">
        <v>77.2587171032405</v>
      </c>
      <c r="AN874">
        <v>1.00000006904932</v>
      </c>
    </row>
    <row r="875" spans="1:40" x14ac:dyDescent="0.25">
      <c r="A875" t="str">
        <f>"20190312164236126"</f>
        <v>20190312164236126</v>
      </c>
      <c r="B875" t="str">
        <f>"1552380156114951"</f>
        <v>1552380156114951</v>
      </c>
      <c r="C875" t="s">
        <v>40</v>
      </c>
      <c r="D875">
        <v>4.7521610000000001</v>
      </c>
      <c r="E875">
        <v>0.51649109999999998</v>
      </c>
      <c r="F875" t="s">
        <v>42</v>
      </c>
      <c r="G875">
        <v>-218.8699</v>
      </c>
      <c r="H875" s="1">
        <v>-1.6452750000000001E-6</v>
      </c>
      <c r="I875">
        <v>364.82600000000002</v>
      </c>
      <c r="J875">
        <v>-230.10239999999999</v>
      </c>
      <c r="K875">
        <v>1.110039</v>
      </c>
      <c r="L875">
        <v>367.5367</v>
      </c>
      <c r="M875">
        <v>0.99987219999999999</v>
      </c>
      <c r="N875">
        <v>0</v>
      </c>
      <c r="O875">
        <v>8.1301589999999996E-3</v>
      </c>
      <c r="P875">
        <v>0.970858</v>
      </c>
      <c r="Q875">
        <v>0.1118484</v>
      </c>
      <c r="R875">
        <v>-0.21195439999999999</v>
      </c>
      <c r="S875">
        <v>2.9707490000000001</v>
      </c>
      <c r="T875">
        <v>-0.28756490000000001</v>
      </c>
      <c r="U875">
        <v>-0.70184329999999995</v>
      </c>
      <c r="V875">
        <v>0.21998580000000001</v>
      </c>
      <c r="W875">
        <v>0.12491919999999999</v>
      </c>
      <c r="X875">
        <v>0.96747169999999905</v>
      </c>
      <c r="Y875">
        <v>0.2367427</v>
      </c>
      <c r="Z875">
        <v>-1.2052139999999999E-2</v>
      </c>
      <c r="AA875">
        <v>0.97149770000000002</v>
      </c>
      <c r="AB875">
        <v>24</v>
      </c>
      <c r="AC875">
        <v>11.2324999999999</v>
      </c>
      <c r="AD875">
        <v>-1.110040645275</v>
      </c>
      <c r="AE875">
        <v>-2.7107000000000299</v>
      </c>
      <c r="AF875">
        <v>2.7763191920274601</v>
      </c>
      <c r="AG875">
        <v>-1.110040645275</v>
      </c>
      <c r="AH875">
        <v>11.107579467799599</v>
      </c>
      <c r="AI875">
        <v>95.537677441065298</v>
      </c>
      <c r="AJ875">
        <v>75.966551371566695</v>
      </c>
      <c r="AK875">
        <v>11.502976142010599</v>
      </c>
      <c r="AL875">
        <v>82.823910467845096</v>
      </c>
      <c r="AM875">
        <v>77.189772275808195</v>
      </c>
      <c r="AN875">
        <v>1.00000002451558</v>
      </c>
    </row>
    <row r="876" spans="1:40" x14ac:dyDescent="0.25">
      <c r="A876" t="str">
        <f>"20190312164236150"</f>
        <v>20190312164236150</v>
      </c>
      <c r="B876" t="str">
        <f>"1552380156145207"</f>
        <v>1552380156145207</v>
      </c>
      <c r="C876" t="s">
        <v>40</v>
      </c>
      <c r="D876">
        <v>4.7392690000000002</v>
      </c>
      <c r="E876">
        <v>0.51634170000000001</v>
      </c>
      <c r="F876" t="s">
        <v>42</v>
      </c>
      <c r="G876">
        <v>-218.84559999999999</v>
      </c>
      <c r="H876" s="1">
        <v>-1.6442549999999999E-6</v>
      </c>
      <c r="I876">
        <v>364.86079999999998</v>
      </c>
      <c r="J876">
        <v>-229.86410000000001</v>
      </c>
      <c r="K876">
        <v>1.1099870000000001</v>
      </c>
      <c r="L876">
        <v>367.53769999999997</v>
      </c>
      <c r="M876">
        <v>0.9998783</v>
      </c>
      <c r="N876">
        <v>0</v>
      </c>
      <c r="O876">
        <v>7.3573980000000002E-3</v>
      </c>
      <c r="P876">
        <v>0.97020740000000005</v>
      </c>
      <c r="Q876">
        <v>0.1110889</v>
      </c>
      <c r="R876">
        <v>-0.21530669999999999</v>
      </c>
      <c r="S876">
        <v>2.9696500000000001</v>
      </c>
      <c r="T876">
        <v>-0.29283769999999998</v>
      </c>
      <c r="U876">
        <v>-0.70590209999999998</v>
      </c>
      <c r="V876">
        <v>0.22259760000000001</v>
      </c>
      <c r="W876">
        <v>0.12412239999999999</v>
      </c>
      <c r="X876">
        <v>0.96697670000000002</v>
      </c>
      <c r="Y876">
        <v>0.23729020000000001</v>
      </c>
      <c r="Z876">
        <v>-1.222617E-2</v>
      </c>
      <c r="AA876">
        <v>0.9713619</v>
      </c>
      <c r="AB876">
        <v>23</v>
      </c>
      <c r="AC876">
        <v>11.0185</v>
      </c>
      <c r="AD876">
        <v>-1.109988644255</v>
      </c>
      <c r="AE876">
        <v>-2.6768999999999799</v>
      </c>
      <c r="AF876">
        <v>2.7317254535859701</v>
      </c>
      <c r="AG876">
        <v>-1.109988644255</v>
      </c>
      <c r="AH876">
        <v>10.894110099196901</v>
      </c>
      <c r="AI876">
        <v>95.644168103044194</v>
      </c>
      <c r="AJ876">
        <v>75.9231842802388</v>
      </c>
      <c r="AK876">
        <v>11.2860991311244</v>
      </c>
      <c r="AL876">
        <v>82.869921676294595</v>
      </c>
      <c r="AM876">
        <v>77.036377092499606</v>
      </c>
      <c r="AN876">
        <v>1.0000000000252001</v>
      </c>
    </row>
    <row r="877" spans="1:40" x14ac:dyDescent="0.25">
      <c r="A877" t="str">
        <f>"20190312164236172"</f>
        <v>20190312164236172</v>
      </c>
      <c r="B877" t="str">
        <f>"1552380156164726"</f>
        <v>1552380156164726</v>
      </c>
      <c r="C877" t="s">
        <v>40</v>
      </c>
      <c r="D877">
        <v>4.7391319999999997</v>
      </c>
      <c r="E877">
        <v>0.51640439999999999</v>
      </c>
      <c r="F877" t="s">
        <v>42</v>
      </c>
      <c r="G877">
        <v>-218.6705</v>
      </c>
      <c r="H877" s="1">
        <v>-1.70961099999999E-6</v>
      </c>
      <c r="I877">
        <v>364.83909999999997</v>
      </c>
      <c r="J877">
        <v>-229.6225</v>
      </c>
      <c r="K877">
        <v>1.1099319999999999</v>
      </c>
      <c r="L877">
        <v>367.5385</v>
      </c>
      <c r="M877">
        <v>0.9998842</v>
      </c>
      <c r="N877">
        <v>0</v>
      </c>
      <c r="O877">
        <v>6.4965020000000004E-3</v>
      </c>
      <c r="P877">
        <v>0.96930620000000001</v>
      </c>
      <c r="Q877">
        <v>0.11049009999999999</v>
      </c>
      <c r="R877">
        <v>-0.21963050000000001</v>
      </c>
      <c r="S877">
        <v>2.9670719999999999</v>
      </c>
      <c r="T877">
        <v>-0.29422179999999998</v>
      </c>
      <c r="U877">
        <v>-0.71530150000000003</v>
      </c>
      <c r="V877">
        <v>0.22609389999999999</v>
      </c>
      <c r="W877">
        <v>0.1234827</v>
      </c>
      <c r="X877">
        <v>0.96624710000000003</v>
      </c>
      <c r="Y877">
        <v>0.23953579999999999</v>
      </c>
      <c r="Z877">
        <v>-1.2315080000000001E-2</v>
      </c>
      <c r="AA877">
        <v>0.97080940000000004</v>
      </c>
      <c r="AB877">
        <v>23</v>
      </c>
      <c r="AC877">
        <v>10.9519999999999</v>
      </c>
      <c r="AD877">
        <v>-1.109933709611</v>
      </c>
      <c r="AE877">
        <v>-2.6994000000000198</v>
      </c>
      <c r="AF877">
        <v>2.7439309387676598</v>
      </c>
      <c r="AG877">
        <v>-1.109933709611</v>
      </c>
      <c r="AH877">
        <v>10.829373523160299</v>
      </c>
      <c r="AI877">
        <v>95.673899848518303</v>
      </c>
      <c r="AJ877">
        <v>75.781712177237907</v>
      </c>
      <c r="AK877">
        <v>11.2265952425739</v>
      </c>
      <c r="AL877">
        <v>82.906857539793904</v>
      </c>
      <c r="AM877">
        <v>76.830203435335605</v>
      </c>
      <c r="AN877">
        <v>0.99999994353745303</v>
      </c>
    </row>
    <row r="878" spans="1:40" x14ac:dyDescent="0.25">
      <c r="A878" t="str">
        <f>"20190312164236194"</f>
        <v>20190312164236194</v>
      </c>
      <c r="B878" t="str">
        <f>"1552380156185222"</f>
        <v>1552380156185222</v>
      </c>
      <c r="C878" t="s">
        <v>40</v>
      </c>
      <c r="D878">
        <v>4.7328419999999998</v>
      </c>
      <c r="E878">
        <v>0.51631099999999996</v>
      </c>
      <c r="F878" t="s">
        <v>42</v>
      </c>
      <c r="G878">
        <v>-218.50370000000001</v>
      </c>
      <c r="H878" s="1">
        <v>-1.7750120000000001E-6</v>
      </c>
      <c r="I878">
        <v>364.80669999999998</v>
      </c>
      <c r="J878">
        <v>-229.3939</v>
      </c>
      <c r="K878">
        <v>1.1098969999999999</v>
      </c>
      <c r="L878">
        <v>367.53899999999999</v>
      </c>
      <c r="M878">
        <v>0.99988969999999999</v>
      </c>
      <c r="N878">
        <v>0</v>
      </c>
      <c r="O878">
        <v>5.6156369999999997E-3</v>
      </c>
      <c r="P878">
        <v>0.96833720000000001</v>
      </c>
      <c r="Q878">
        <v>0.1103532</v>
      </c>
      <c r="R878">
        <v>-0.2239322</v>
      </c>
      <c r="S878">
        <v>2.9637150000000001</v>
      </c>
      <c r="T878">
        <v>-0.29585040000000001</v>
      </c>
      <c r="U878">
        <v>-0.72814939999999995</v>
      </c>
      <c r="V878">
        <v>0.2295489</v>
      </c>
      <c r="W878">
        <v>0.1233062</v>
      </c>
      <c r="X878">
        <v>0.96545479999999995</v>
      </c>
      <c r="Y878">
        <v>0.2428775</v>
      </c>
      <c r="Z878">
        <v>-1.246776E-2</v>
      </c>
      <c r="AA878">
        <v>0.96997679999999997</v>
      </c>
      <c r="AB878">
        <v>23</v>
      </c>
      <c r="AC878">
        <v>10.890199999999901</v>
      </c>
      <c r="AD878">
        <v>-1.109898775012</v>
      </c>
      <c r="AE878">
        <v>-2.7323</v>
      </c>
      <c r="AF878">
        <v>2.7663850258205098</v>
      </c>
      <c r="AG878">
        <v>-1.109898775012</v>
      </c>
      <c r="AH878">
        <v>10.769444339728601</v>
      </c>
      <c r="AI878">
        <v>95.700344884891706</v>
      </c>
      <c r="AJ878">
        <v>75.593702836996698</v>
      </c>
      <c r="AK878">
        <v>11.1743318721241</v>
      </c>
      <c r="AL878">
        <v>82.917048837655898</v>
      </c>
      <c r="AM878">
        <v>76.625547947503406</v>
      </c>
      <c r="AN878">
        <v>1.0000000436463401</v>
      </c>
    </row>
    <row r="879" spans="1:40" x14ac:dyDescent="0.25">
      <c r="A879" t="str">
        <f>"20190312164236217"</f>
        <v>20190312164236217</v>
      </c>
      <c r="B879" t="str">
        <f>"1552380156204742"</f>
        <v>1552380156204742</v>
      </c>
      <c r="C879" t="s">
        <v>40</v>
      </c>
      <c r="D879">
        <v>4.7467870000000003</v>
      </c>
      <c r="E879">
        <v>0.51621149999999905</v>
      </c>
      <c r="F879" t="s">
        <v>42</v>
      </c>
      <c r="G879">
        <v>-218.21619999999999</v>
      </c>
      <c r="H879" s="1">
        <v>-1.889244E-6</v>
      </c>
      <c r="I879">
        <v>364.74509999999998</v>
      </c>
      <c r="J879">
        <v>-229.15360000000001</v>
      </c>
      <c r="K879">
        <v>1.1098600000000001</v>
      </c>
      <c r="L879">
        <v>367.53919999999999</v>
      </c>
      <c r="M879">
        <v>0.99989470000000003</v>
      </c>
      <c r="N879">
        <v>0</v>
      </c>
      <c r="O879">
        <v>4.6319409999999997E-3</v>
      </c>
      <c r="P879">
        <v>0.96724529999999997</v>
      </c>
      <c r="Q879">
        <v>0.1107786</v>
      </c>
      <c r="R879">
        <v>-0.22839590000000001</v>
      </c>
      <c r="S879">
        <v>2.96048</v>
      </c>
      <c r="T879">
        <v>-0.293962</v>
      </c>
      <c r="U879">
        <v>-0.73999019999999904</v>
      </c>
      <c r="V879">
        <v>0.2330691</v>
      </c>
      <c r="W879">
        <v>0.12368949999999999</v>
      </c>
      <c r="X879">
        <v>0.96456189999999997</v>
      </c>
      <c r="Y879">
        <v>0.2458274</v>
      </c>
      <c r="Z879">
        <v>-1.244369E-2</v>
      </c>
      <c r="AA879">
        <v>0.96923380000000003</v>
      </c>
      <c r="AB879">
        <v>23</v>
      </c>
      <c r="AC879">
        <v>10.9374</v>
      </c>
      <c r="AD879">
        <v>-1.109861889244</v>
      </c>
      <c r="AE879">
        <v>-2.79410000000001</v>
      </c>
      <c r="AF879">
        <v>2.8175018080965599</v>
      </c>
      <c r="AG879">
        <v>-1.109861889244</v>
      </c>
      <c r="AH879">
        <v>10.819753949892601</v>
      </c>
      <c r="AI879">
        <v>95.669003842108594</v>
      </c>
      <c r="AJ879">
        <v>75.404130908156802</v>
      </c>
      <c r="AK879">
        <v>11.235532269903301</v>
      </c>
      <c r="AL879">
        <v>82.894917484444605</v>
      </c>
      <c r="AM879">
        <v>76.415881026338496</v>
      </c>
      <c r="AN879">
        <v>0.99999997835833399</v>
      </c>
    </row>
    <row r="880" spans="1:40" x14ac:dyDescent="0.25">
      <c r="A880" t="str">
        <f>"20190312164236238"</f>
        <v>20190312164236238</v>
      </c>
      <c r="B880" t="str">
        <f>"1552380156234999"</f>
        <v>1552380156234999</v>
      </c>
      <c r="C880" t="s">
        <v>40</v>
      </c>
      <c r="D880">
        <v>4.9758709999999997</v>
      </c>
      <c r="E880">
        <v>0.51603319999999997</v>
      </c>
      <c r="F880" t="s">
        <v>42</v>
      </c>
      <c r="G880">
        <v>-217.8827</v>
      </c>
      <c r="H880" s="1">
        <v>-2.0221390000000001E-6</v>
      </c>
      <c r="I880">
        <v>364.67219999999998</v>
      </c>
      <c r="J880">
        <v>-228.92869999999999</v>
      </c>
      <c r="K880">
        <v>1.109829</v>
      </c>
      <c r="L880">
        <v>367.53919999999999</v>
      </c>
      <c r="M880">
        <v>0.99989870000000003</v>
      </c>
      <c r="N880">
        <v>0</v>
      </c>
      <c r="O880">
        <v>3.6668389999999999E-3</v>
      </c>
      <c r="P880">
        <v>0.96598050000000002</v>
      </c>
      <c r="Q880">
        <v>0.111736</v>
      </c>
      <c r="R880">
        <v>-0.2332313</v>
      </c>
      <c r="S880">
        <v>2.9572910000000001</v>
      </c>
      <c r="T880">
        <v>-0.29120790000000002</v>
      </c>
      <c r="U880">
        <v>-0.75225830000000005</v>
      </c>
      <c r="V880">
        <v>0.2369791</v>
      </c>
      <c r="W880">
        <v>0.12460450000000001</v>
      </c>
      <c r="X880">
        <v>0.96349079999999998</v>
      </c>
      <c r="Y880">
        <v>0.24892790000000001</v>
      </c>
      <c r="Z880">
        <v>-1.239092E-2</v>
      </c>
      <c r="AA880">
        <v>0.96844269999999999</v>
      </c>
      <c r="AB880">
        <v>23</v>
      </c>
      <c r="AC880">
        <v>11.0459999999999</v>
      </c>
      <c r="AD880">
        <v>-1.109831022139</v>
      </c>
      <c r="AE880">
        <v>-2.8670000000000102</v>
      </c>
      <c r="AF880">
        <v>2.8802476587082499</v>
      </c>
      <c r="AG880">
        <v>-1.109831022139</v>
      </c>
      <c r="AH880">
        <v>10.9320190853449</v>
      </c>
      <c r="AI880">
        <v>95.606817367253498</v>
      </c>
      <c r="AJ880">
        <v>75.239770232974905</v>
      </c>
      <c r="AK880">
        <v>11.3594274836165</v>
      </c>
      <c r="AL880">
        <v>82.842082892695402</v>
      </c>
      <c r="AM880">
        <v>76.181883069174901</v>
      </c>
      <c r="AN880">
        <v>0.99999994847084805</v>
      </c>
    </row>
    <row r="881" spans="1:40" x14ac:dyDescent="0.25">
      <c r="A881" t="str">
        <f>"20190312164236262"</f>
        <v>20190312164236262</v>
      </c>
      <c r="B881" t="str">
        <f>"1552380156254522"</f>
        <v>1552380156254522</v>
      </c>
      <c r="C881" t="s">
        <v>40</v>
      </c>
      <c r="D881">
        <v>4.7479230000000001</v>
      </c>
      <c r="E881">
        <v>0.51587299999999903</v>
      </c>
      <c r="F881" t="s">
        <v>42</v>
      </c>
      <c r="G881">
        <v>-217.5042</v>
      </c>
      <c r="H881" s="1">
        <v>-2.1764060000000002E-6</v>
      </c>
      <c r="I881">
        <v>364.57650000000001</v>
      </c>
      <c r="J881">
        <v>-228.68940000000001</v>
      </c>
      <c r="K881">
        <v>1.1098079999999999</v>
      </c>
      <c r="L881">
        <v>367.53879999999998</v>
      </c>
      <c r="M881">
        <v>0.99990219999999996</v>
      </c>
      <c r="N881">
        <v>0</v>
      </c>
      <c r="O881">
        <v>2.5985510000000002E-3</v>
      </c>
      <c r="P881">
        <v>0.96461759999999996</v>
      </c>
      <c r="Q881">
        <v>0.1121785</v>
      </c>
      <c r="R881">
        <v>-0.238598</v>
      </c>
      <c r="S881">
        <v>2.9538880000000001</v>
      </c>
      <c r="T881">
        <v>-0.28695189999999998</v>
      </c>
      <c r="U881">
        <v>-0.76602169999999903</v>
      </c>
      <c r="V881">
        <v>0.24132029999999999</v>
      </c>
      <c r="W881">
        <v>0.1250057</v>
      </c>
      <c r="X881">
        <v>0.96236069999999996</v>
      </c>
      <c r="Y881">
        <v>0.25241279999999999</v>
      </c>
      <c r="Z881">
        <v>-1.2281540000000001E-2</v>
      </c>
      <c r="AA881">
        <v>0.96754169999999995</v>
      </c>
      <c r="AB881">
        <v>23</v>
      </c>
      <c r="AC881">
        <v>11.1852</v>
      </c>
      <c r="AD881">
        <v>-1.109810176406</v>
      </c>
      <c r="AE881">
        <v>-2.9622999999999702</v>
      </c>
      <c r="AF881">
        <v>2.9640896126993601</v>
      </c>
      <c r="AG881">
        <v>-1.109810176406</v>
      </c>
      <c r="AH881">
        <v>11.075572963931799</v>
      </c>
      <c r="AI881">
        <v>95.528830498923099</v>
      </c>
      <c r="AJ881">
        <v>75.017383161831106</v>
      </c>
      <c r="AK881">
        <v>11.5189332118536</v>
      </c>
      <c r="AL881">
        <v>82.818915155872403</v>
      </c>
      <c r="AM881">
        <v>75.922851622268595</v>
      </c>
      <c r="AN881">
        <v>1.00000001456453</v>
      </c>
    </row>
    <row r="882" spans="1:40" x14ac:dyDescent="0.25">
      <c r="A882" t="str">
        <f>"20190312164236283"</f>
        <v>20190312164236283</v>
      </c>
      <c r="B882" t="str">
        <f>"1552380156275015"</f>
        <v>1552380156275015</v>
      </c>
      <c r="C882" t="s">
        <v>40</v>
      </c>
      <c r="D882">
        <v>4.9310910000000003</v>
      </c>
      <c r="E882">
        <v>0.51573769999999997</v>
      </c>
      <c r="F882" t="s">
        <v>42</v>
      </c>
      <c r="G882">
        <v>-217.2039</v>
      </c>
      <c r="H882" s="1">
        <v>-2.2993639999999998E-6</v>
      </c>
      <c r="I882">
        <v>364.4984</v>
      </c>
      <c r="J882">
        <v>-228.458</v>
      </c>
      <c r="K882">
        <v>1.1097939999999999</v>
      </c>
      <c r="L882">
        <v>367.53809999999999</v>
      </c>
      <c r="M882">
        <v>0.99990449999999997</v>
      </c>
      <c r="N882">
        <v>0</v>
      </c>
      <c r="O882">
        <v>1.5297469999999999E-3</v>
      </c>
      <c r="P882">
        <v>0.96304789999999996</v>
      </c>
      <c r="Q882">
        <v>0.1131605</v>
      </c>
      <c r="R882">
        <v>-0.24440529999999999</v>
      </c>
      <c r="S882">
        <v>2.9500120000000001</v>
      </c>
      <c r="T882">
        <v>-0.28504980000000002</v>
      </c>
      <c r="U882">
        <v>-0.78091429999999995</v>
      </c>
      <c r="V882">
        <v>0.2461015</v>
      </c>
      <c r="W882">
        <v>0.12594910000000001</v>
      </c>
      <c r="X882">
        <v>0.96102600000000005</v>
      </c>
      <c r="Y882">
        <v>0.25625769999999998</v>
      </c>
      <c r="Z882">
        <v>-1.228918E-2</v>
      </c>
      <c r="AA882">
        <v>0.96653040000000001</v>
      </c>
      <c r="AB882">
        <v>23</v>
      </c>
      <c r="AC882">
        <v>11.2540999999999</v>
      </c>
      <c r="AD882">
        <v>-1.109796299364</v>
      </c>
      <c r="AE882">
        <v>-3.0396999999999799</v>
      </c>
      <c r="AF882">
        <v>3.02945722840784</v>
      </c>
      <c r="AG882">
        <v>-1.109796299364</v>
      </c>
      <c r="AH882">
        <v>11.148395590447301</v>
      </c>
      <c r="AI882">
        <v>95.487223767148393</v>
      </c>
      <c r="AJ882">
        <v>74.797582173953302</v>
      </c>
      <c r="AK882">
        <v>11.605859863273301</v>
      </c>
      <c r="AL882">
        <v>82.764431951020597</v>
      </c>
      <c r="AM882">
        <v>75.6362520251093</v>
      </c>
      <c r="AN882">
        <v>1.0000000483845199</v>
      </c>
    </row>
    <row r="883" spans="1:40" x14ac:dyDescent="0.25">
      <c r="A883" t="str">
        <f>"20190312164236306"</f>
        <v>20190312164236306</v>
      </c>
      <c r="B883" t="str">
        <f>"1552380156294535"</f>
        <v>1552380156294535</v>
      </c>
      <c r="C883" t="s">
        <v>40</v>
      </c>
      <c r="D883">
        <v>4.7055769999999999</v>
      </c>
      <c r="E883">
        <v>0.51550600000000002</v>
      </c>
      <c r="F883" t="s">
        <v>42</v>
      </c>
      <c r="G883">
        <v>-216.85069999999999</v>
      </c>
      <c r="H883" s="1">
        <v>-2.4463199999999999E-6</v>
      </c>
      <c r="I883">
        <v>364.39789999999999</v>
      </c>
      <c r="J883">
        <v>-228.2312</v>
      </c>
      <c r="K883">
        <v>1.109783</v>
      </c>
      <c r="L883">
        <v>367.53730000000002</v>
      </c>
      <c r="M883">
        <v>0.99990540000000006</v>
      </c>
      <c r="N883">
        <v>0</v>
      </c>
      <c r="O883">
        <v>4.6070280000000001E-4</v>
      </c>
      <c r="P883">
        <v>0.96137689999999998</v>
      </c>
      <c r="Q883">
        <v>0.1140003</v>
      </c>
      <c r="R883">
        <v>-0.25051669999999998</v>
      </c>
      <c r="S883">
        <v>2.9459529999999998</v>
      </c>
      <c r="T883">
        <v>-0.2816669</v>
      </c>
      <c r="U883">
        <v>-0.79699709999999901</v>
      </c>
      <c r="V883">
        <v>0.25118669999999998</v>
      </c>
      <c r="W883">
        <v>0.12675319999999901</v>
      </c>
      <c r="X883">
        <v>0.95960350000000005</v>
      </c>
      <c r="Y883">
        <v>0.26048690000000002</v>
      </c>
      <c r="Z883">
        <v>-1.2249670000000001E-2</v>
      </c>
      <c r="AA883">
        <v>0.96539969999999997</v>
      </c>
      <c r="AB883">
        <v>23</v>
      </c>
      <c r="AC883">
        <v>11.3805</v>
      </c>
      <c r="AD883">
        <v>-1.1097854463200001</v>
      </c>
      <c r="AE883">
        <v>-3.1394000000000202</v>
      </c>
      <c r="AF883">
        <v>3.1170974717645699</v>
      </c>
      <c r="AG883">
        <v>-1.1097854463200001</v>
      </c>
      <c r="AH883">
        <v>11.279376732080699</v>
      </c>
      <c r="AI883">
        <v>95.417495263747298</v>
      </c>
      <c r="AJ883">
        <v>74.551665719694597</v>
      </c>
      <c r="AK883">
        <v>11.754669703975001</v>
      </c>
      <c r="AL883">
        <v>82.717987875158698</v>
      </c>
      <c r="AM883">
        <v>75.331319356652301</v>
      </c>
      <c r="AN883">
        <v>1.00000000458969</v>
      </c>
    </row>
    <row r="884" spans="1:40" x14ac:dyDescent="0.25">
      <c r="A884" t="str">
        <f>"20190312164236328"</f>
        <v>20190312164236328</v>
      </c>
      <c r="B884" t="str">
        <f>"1552380156324792"</f>
        <v>1552380156324792</v>
      </c>
      <c r="C884" t="s">
        <v>40</v>
      </c>
      <c r="D884">
        <v>4.8262539999999996</v>
      </c>
      <c r="E884">
        <v>0.5154067</v>
      </c>
      <c r="F884" t="s">
        <v>42</v>
      </c>
      <c r="G884">
        <v>-216.54949999999999</v>
      </c>
      <c r="H884" s="1">
        <v>-2.5731270000000001E-6</v>
      </c>
      <c r="I884">
        <v>364.3066</v>
      </c>
      <c r="J884">
        <v>-227.9991</v>
      </c>
      <c r="K884">
        <v>1.109788</v>
      </c>
      <c r="L884">
        <v>367.53609999999998</v>
      </c>
      <c r="M884">
        <v>0.9999053</v>
      </c>
      <c r="N884">
        <v>0</v>
      </c>
      <c r="O884">
        <v>-6.4551039999999999E-4</v>
      </c>
      <c r="P884">
        <v>0.95965690000000003</v>
      </c>
      <c r="Q884">
        <v>0.1150636</v>
      </c>
      <c r="R884">
        <v>-0.25655230000000001</v>
      </c>
      <c r="S884">
        <v>2.941681</v>
      </c>
      <c r="T884">
        <v>-0.27946219999999999</v>
      </c>
      <c r="U884">
        <v>-0.81353759999999997</v>
      </c>
      <c r="V884">
        <v>0.2561621</v>
      </c>
      <c r="W884">
        <v>0.1277857</v>
      </c>
      <c r="X884">
        <v>0.95815019999999995</v>
      </c>
      <c r="Y884">
        <v>0.26482260000000002</v>
      </c>
      <c r="Z884">
        <v>-1.226113E-2</v>
      </c>
      <c r="AA884">
        <v>0.96421920000000005</v>
      </c>
      <c r="AB884">
        <v>23</v>
      </c>
      <c r="AC884">
        <v>11.4496</v>
      </c>
      <c r="AD884">
        <v>-1.1097905731269999</v>
      </c>
      <c r="AE884">
        <v>-3.2294999999999701</v>
      </c>
      <c r="AF884">
        <v>3.1943086195914998</v>
      </c>
      <c r="AG884">
        <v>-1.1097905731269999</v>
      </c>
      <c r="AH884">
        <v>11.352881539090101</v>
      </c>
      <c r="AI884">
        <v>95.375716379754195</v>
      </c>
      <c r="AJ884">
        <v>74.285232459473903</v>
      </c>
      <c r="AK884">
        <v>11.845807778029</v>
      </c>
      <c r="AL884">
        <v>82.658344986717296</v>
      </c>
      <c r="AM884">
        <v>75.032000296035505</v>
      </c>
      <c r="AN884">
        <v>1.0000000061804699</v>
      </c>
    </row>
    <row r="885" spans="1:40" x14ac:dyDescent="0.25">
      <c r="A885" t="str">
        <f>"20190312164236351"</f>
        <v>20190312164236351</v>
      </c>
      <c r="B885" t="str">
        <f>"1552380156345290"</f>
        <v>1552380156345290</v>
      </c>
      <c r="C885" t="s">
        <v>40</v>
      </c>
      <c r="D885">
        <v>4.8333750000000002</v>
      </c>
      <c r="E885">
        <v>0.51522219999999996</v>
      </c>
      <c r="F885" t="s">
        <v>42</v>
      </c>
      <c r="G885">
        <v>-216.26830000000001</v>
      </c>
      <c r="H885" s="1">
        <v>-2.6923780000000001E-6</v>
      </c>
      <c r="I885">
        <v>364.21800000000002</v>
      </c>
      <c r="J885">
        <v>-227.7638</v>
      </c>
      <c r="K885">
        <v>1.109791</v>
      </c>
      <c r="L885">
        <v>367.53460000000001</v>
      </c>
      <c r="M885">
        <v>0.99990400000000002</v>
      </c>
      <c r="N885">
        <v>0</v>
      </c>
      <c r="O885">
        <v>-1.77022799999999E-3</v>
      </c>
      <c r="P885">
        <v>0.95806369999999996</v>
      </c>
      <c r="Q885">
        <v>0.11531619999999999</v>
      </c>
      <c r="R885">
        <v>-0.26232860000000002</v>
      </c>
      <c r="S885">
        <v>2.9373469999999999</v>
      </c>
      <c r="T885">
        <v>-0.2778852</v>
      </c>
      <c r="U885">
        <v>-0.83081050000000001</v>
      </c>
      <c r="V885">
        <v>0.2608606</v>
      </c>
      <c r="W885">
        <v>0.12801219999999999</v>
      </c>
      <c r="X885">
        <v>0.95685140000000002</v>
      </c>
      <c r="Y885">
        <v>0.26935619999999999</v>
      </c>
      <c r="Z885">
        <v>-1.23058E-2</v>
      </c>
      <c r="AA885">
        <v>0.96296199999999998</v>
      </c>
      <c r="AB885">
        <v>23</v>
      </c>
      <c r="AC885">
        <v>11.4954999999999</v>
      </c>
      <c r="AD885">
        <v>-1.1097936923780001</v>
      </c>
      <c r="AE885">
        <v>-3.31659999999999</v>
      </c>
      <c r="AF885">
        <v>3.2681240388828798</v>
      </c>
      <c r="AG885">
        <v>-1.1097936923780001</v>
      </c>
      <c r="AH885">
        <v>11.4032393462639</v>
      </c>
      <c r="AI885">
        <v>95.344820712095498</v>
      </c>
      <c r="AJ885">
        <v>74.007903367072501</v>
      </c>
      <c r="AK885">
        <v>11.914115341113099</v>
      </c>
      <c r="AL885">
        <v>82.645259900319701</v>
      </c>
      <c r="AM885">
        <v>74.750392013299802</v>
      </c>
      <c r="AN885">
        <v>0.99999998883158003</v>
      </c>
    </row>
    <row r="886" spans="1:40" x14ac:dyDescent="0.25">
      <c r="A886" t="str">
        <f>"20190312164236372"</f>
        <v>20190312164236372</v>
      </c>
      <c r="B886" t="str">
        <f>"1552380156364806"</f>
        <v>1552380156364806</v>
      </c>
      <c r="C886" t="s">
        <v>40</v>
      </c>
      <c r="D886">
        <v>4.8692349999999998</v>
      </c>
      <c r="E886">
        <v>0.5150749</v>
      </c>
      <c r="F886" t="s">
        <v>42</v>
      </c>
      <c r="G886">
        <v>-216.0823</v>
      </c>
      <c r="H886" s="1">
        <v>-2.7698819999999999E-6</v>
      </c>
      <c r="I886">
        <v>364.16460000000001</v>
      </c>
      <c r="J886">
        <v>-227.53389999999999</v>
      </c>
      <c r="K886">
        <v>1.1097969999999999</v>
      </c>
      <c r="L886">
        <v>367.53280000000001</v>
      </c>
      <c r="M886">
        <v>0.9999015</v>
      </c>
      <c r="N886">
        <v>0</v>
      </c>
      <c r="O886">
        <v>-2.867007E-3</v>
      </c>
      <c r="P886">
        <v>0.95632550000000005</v>
      </c>
      <c r="Q886">
        <v>0.1151112</v>
      </c>
      <c r="R886">
        <v>-0.26868340000000002</v>
      </c>
      <c r="S886">
        <v>2.933182</v>
      </c>
      <c r="T886">
        <v>-0.27866380000000002</v>
      </c>
      <c r="U886">
        <v>-0.84619140000000004</v>
      </c>
      <c r="V886">
        <v>0.26616669999999998</v>
      </c>
      <c r="W886">
        <v>0.12778</v>
      </c>
      <c r="X886">
        <v>0.95542009999999999</v>
      </c>
      <c r="Y886">
        <v>0.27330510000000002</v>
      </c>
      <c r="Z886">
        <v>-1.2429809999999999E-2</v>
      </c>
      <c r="AA886">
        <v>0.96184709999999995</v>
      </c>
      <c r="AB886">
        <v>23</v>
      </c>
      <c r="AC886">
        <v>11.4515999999999</v>
      </c>
      <c r="AD886">
        <v>-1.1097997698819999</v>
      </c>
      <c r="AE886">
        <v>-3.3681999999999999</v>
      </c>
      <c r="AF886">
        <v>3.30676697373646</v>
      </c>
      <c r="AG886">
        <v>-1.1097997698819999</v>
      </c>
      <c r="AH886">
        <v>11.3629868724146</v>
      </c>
      <c r="AI886">
        <v>95.357399765673094</v>
      </c>
      <c r="AJ886">
        <v>73.774363568414302</v>
      </c>
      <c r="AK886">
        <v>11.886287646295999</v>
      </c>
      <c r="AL886">
        <v>82.658674256257399</v>
      </c>
      <c r="AM886">
        <v>74.432905414947598</v>
      </c>
      <c r="AN886">
        <v>1.0000000040364501</v>
      </c>
    </row>
    <row r="887" spans="1:40" x14ac:dyDescent="0.25">
      <c r="A887" t="str">
        <f>"20190312164236396"</f>
        <v>20190312164236396</v>
      </c>
      <c r="B887" t="str">
        <f>"1552380156385303"</f>
        <v>1552380156385303</v>
      </c>
      <c r="C887" t="s">
        <v>40</v>
      </c>
      <c r="D887">
        <v>4.5065220000000004</v>
      </c>
      <c r="E887">
        <v>0.51529320000000001</v>
      </c>
      <c r="F887" t="s">
        <v>42</v>
      </c>
      <c r="G887">
        <v>-215.92</v>
      </c>
      <c r="H887" s="1">
        <v>-2.8408360000000001E-6</v>
      </c>
      <c r="I887">
        <v>364.10550000000001</v>
      </c>
      <c r="J887">
        <v>-227.304</v>
      </c>
      <c r="K887">
        <v>1.109796</v>
      </c>
      <c r="L887">
        <v>367.53089999999997</v>
      </c>
      <c r="M887">
        <v>0.99989790000000001</v>
      </c>
      <c r="N887">
        <v>0</v>
      </c>
      <c r="O887">
        <v>-3.9586430000000004E-3</v>
      </c>
      <c r="P887">
        <v>0.95468030000000004</v>
      </c>
      <c r="Q887">
        <v>0.11517289999999999</v>
      </c>
      <c r="R887">
        <v>-0.27444659999999999</v>
      </c>
      <c r="S887">
        <v>2.9279630000000001</v>
      </c>
      <c r="T887">
        <v>-0.27978799999999998</v>
      </c>
      <c r="U887">
        <v>-0.86404419999999904</v>
      </c>
      <c r="V887">
        <v>0.27088899999999999</v>
      </c>
      <c r="W887">
        <v>0.12781729999999999</v>
      </c>
      <c r="X887">
        <v>0.95408700000000002</v>
      </c>
      <c r="Y887">
        <v>0.27808620000000001</v>
      </c>
      <c r="Z887">
        <v>-1.261191E-2</v>
      </c>
      <c r="AA887">
        <v>0.96047340000000003</v>
      </c>
      <c r="AB887">
        <v>23</v>
      </c>
      <c r="AC887">
        <v>11.384</v>
      </c>
      <c r="AD887">
        <v>-1.109798840836</v>
      </c>
      <c r="AE887">
        <v>-3.4253999999999598</v>
      </c>
      <c r="AF887">
        <v>3.3510995278173699</v>
      </c>
      <c r="AG887">
        <v>-1.109798840836</v>
      </c>
      <c r="AH887">
        <v>11.299003359451801</v>
      </c>
      <c r="AI887">
        <v>95.379490569651196</v>
      </c>
      <c r="AJ887">
        <v>73.480505013112804</v>
      </c>
      <c r="AK887">
        <v>11.8376094896462</v>
      </c>
      <c r="AL887">
        <v>82.656519853324895</v>
      </c>
      <c r="AM887">
        <v>74.149438522170399</v>
      </c>
      <c r="AN887">
        <v>1.00000005803464</v>
      </c>
    </row>
    <row r="888" spans="1:40" x14ac:dyDescent="0.25">
      <c r="A888" t="str">
        <f>"20190312164236418"</f>
        <v>20190312164236418</v>
      </c>
      <c r="B888" t="str">
        <f>"1552380156414583"</f>
        <v>1552380156414583</v>
      </c>
      <c r="C888" t="s">
        <v>40</v>
      </c>
      <c r="D888">
        <v>4.4474260000000001</v>
      </c>
      <c r="E888">
        <v>0.51553640000000001</v>
      </c>
      <c r="F888" t="s">
        <v>42</v>
      </c>
      <c r="G888">
        <v>-215.6447</v>
      </c>
      <c r="H888" s="1">
        <v>-2.9598550000000001E-6</v>
      </c>
      <c r="I888">
        <v>364.01029999999997</v>
      </c>
      <c r="J888">
        <v>-227.06819999999999</v>
      </c>
      <c r="K888">
        <v>1.109804</v>
      </c>
      <c r="L888">
        <v>367.52859999999998</v>
      </c>
      <c r="M888">
        <v>0.99989280000000003</v>
      </c>
      <c r="N888">
        <v>0</v>
      </c>
      <c r="O888">
        <v>-5.0719629999999996E-3</v>
      </c>
      <c r="P888">
        <v>0.95310340000000005</v>
      </c>
      <c r="Q888">
        <v>0.1143078</v>
      </c>
      <c r="R888">
        <v>-0.28022809999999998</v>
      </c>
      <c r="S888">
        <v>2.9223020000000002</v>
      </c>
      <c r="T888">
        <v>-0.27815990000000002</v>
      </c>
      <c r="U888">
        <v>-0.88238530000000004</v>
      </c>
      <c r="V888">
        <v>0.27560990000000002</v>
      </c>
      <c r="W888">
        <v>0.12693009999999999</v>
      </c>
      <c r="X888">
        <v>0.95285249999999999</v>
      </c>
      <c r="Y888">
        <v>0.28304810000000002</v>
      </c>
      <c r="Z888">
        <v>-1.2678149999999999E-2</v>
      </c>
      <c r="AA888">
        <v>0.95902189999999998</v>
      </c>
      <c r="AB888">
        <v>23</v>
      </c>
      <c r="AC888">
        <v>11.423499999999899</v>
      </c>
      <c r="AD888">
        <v>-1.109806959855</v>
      </c>
      <c r="AE888">
        <v>-3.5183</v>
      </c>
      <c r="AF888">
        <v>3.4307345887091198</v>
      </c>
      <c r="AG888">
        <v>-1.109806959855</v>
      </c>
      <c r="AH888">
        <v>11.343411986504201</v>
      </c>
      <c r="AI888">
        <v>95.350019345843094</v>
      </c>
      <c r="AJ888">
        <v>73.172430585903697</v>
      </c>
      <c r="AK888">
        <v>11.9027142619604</v>
      </c>
      <c r="AL888">
        <v>82.707769517326696</v>
      </c>
      <c r="AM888">
        <v>73.867636210172094</v>
      </c>
      <c r="AN888">
        <v>0.99999997701013399</v>
      </c>
    </row>
    <row r="889" spans="1:40" x14ac:dyDescent="0.25">
      <c r="A889" t="str">
        <f>"20190312164236440"</f>
        <v>20190312164236440</v>
      </c>
      <c r="B889" t="str">
        <f>"1552380156435082"</f>
        <v>1552380156435082</v>
      </c>
      <c r="C889" t="s">
        <v>40</v>
      </c>
      <c r="D889">
        <v>4.6705110000000003</v>
      </c>
      <c r="E889">
        <v>0.51566579999999995</v>
      </c>
      <c r="F889" t="s">
        <v>42</v>
      </c>
      <c r="G889">
        <v>-215.47489999999999</v>
      </c>
      <c r="H889" s="1">
        <v>-3.0352510000000001E-6</v>
      </c>
      <c r="I889">
        <v>363.94409999999999</v>
      </c>
      <c r="J889">
        <v>-226.83799999999999</v>
      </c>
      <c r="K889">
        <v>1.1098129999999999</v>
      </c>
      <c r="L889">
        <v>367.52609999999999</v>
      </c>
      <c r="M889">
        <v>0.99988679999999996</v>
      </c>
      <c r="N889">
        <v>0</v>
      </c>
      <c r="O889">
        <v>-6.1559889999999997E-3</v>
      </c>
      <c r="P889">
        <v>0.95160069999999997</v>
      </c>
      <c r="Q889">
        <v>0.1140491</v>
      </c>
      <c r="R889">
        <v>-0.2853926</v>
      </c>
      <c r="S889">
        <v>2.915985</v>
      </c>
      <c r="T889">
        <v>-0.27914050000000001</v>
      </c>
      <c r="U889">
        <v>-0.90158079999999996</v>
      </c>
      <c r="V889">
        <v>0.27974640000000001</v>
      </c>
      <c r="W889">
        <v>0.12665009999999999</v>
      </c>
      <c r="X889">
        <v>0.95168359999999996</v>
      </c>
      <c r="Y889">
        <v>0.28832439999999998</v>
      </c>
      <c r="Z889">
        <v>-1.288212E-2</v>
      </c>
      <c r="AA889">
        <v>0.95744609999999997</v>
      </c>
      <c r="AB889">
        <v>23</v>
      </c>
      <c r="AC889">
        <v>11.363099999999999</v>
      </c>
      <c r="AD889">
        <v>-1.109816035251</v>
      </c>
      <c r="AE889">
        <v>-3.5819999999999901</v>
      </c>
      <c r="AF889">
        <v>3.48176351222545</v>
      </c>
      <c r="AG889">
        <v>-1.109816035251</v>
      </c>
      <c r="AH889">
        <v>11.2870013738761</v>
      </c>
      <c r="AI889">
        <v>95.367643840142605</v>
      </c>
      <c r="AJ889">
        <v>72.856286851665303</v>
      </c>
      <c r="AK889">
        <v>11.863842918761399</v>
      </c>
      <c r="AL889">
        <v>82.723942922710606</v>
      </c>
      <c r="AM889">
        <v>73.619355865433405</v>
      </c>
      <c r="AN889">
        <v>0.99999998532596401</v>
      </c>
    </row>
    <row r="890" spans="1:40" x14ac:dyDescent="0.25">
      <c r="A890" t="str">
        <f>"20190312164236463"</f>
        <v>20190312164236463</v>
      </c>
      <c r="B890" t="str">
        <f>"1552380156454603"</f>
        <v>1552380156454603</v>
      </c>
      <c r="C890" t="s">
        <v>40</v>
      </c>
      <c r="D890">
        <v>4.6390570000000002</v>
      </c>
      <c r="E890">
        <v>0.51577439999999997</v>
      </c>
      <c r="F890" t="s">
        <v>42</v>
      </c>
      <c r="G890">
        <v>-215.2936</v>
      </c>
      <c r="H890" s="1">
        <v>-3.1132239999999999E-6</v>
      </c>
      <c r="I890">
        <v>363.88290000000001</v>
      </c>
      <c r="J890">
        <v>-226.60919999999999</v>
      </c>
      <c r="K890">
        <v>1.10981</v>
      </c>
      <c r="L890">
        <v>367.52339999999998</v>
      </c>
      <c r="M890">
        <v>0.99987950000000003</v>
      </c>
      <c r="N890">
        <v>0</v>
      </c>
      <c r="O890">
        <v>-7.2369919999999898E-3</v>
      </c>
      <c r="P890">
        <v>0.95031600000000005</v>
      </c>
      <c r="Q890">
        <v>0.11331570000000001</v>
      </c>
      <c r="R890">
        <v>-0.2899292</v>
      </c>
      <c r="S890">
        <v>2.9106450000000001</v>
      </c>
      <c r="T890">
        <v>-0.2798139</v>
      </c>
      <c r="U890">
        <v>-0.91854860000000005</v>
      </c>
      <c r="V890">
        <v>0.28325939999999999</v>
      </c>
      <c r="W890">
        <v>0.1258975</v>
      </c>
      <c r="X890">
        <v>0.95074389999999998</v>
      </c>
      <c r="Y890">
        <v>0.29284490000000002</v>
      </c>
      <c r="Z890">
        <v>-1.303517E-2</v>
      </c>
      <c r="AA890">
        <v>0.95607109999999995</v>
      </c>
      <c r="AB890">
        <v>23</v>
      </c>
      <c r="AC890">
        <v>11.3155999999999</v>
      </c>
      <c r="AD890">
        <v>-1.1098131132239999</v>
      </c>
      <c r="AE890">
        <v>-3.6404999999999701</v>
      </c>
      <c r="AF890">
        <v>3.5277543931971</v>
      </c>
      <c r="AG890">
        <v>-1.1098131132239999</v>
      </c>
      <c r="AH890">
        <v>11.243640954898099</v>
      </c>
      <c r="AI890">
        <v>95.380191526265193</v>
      </c>
      <c r="AJ890">
        <v>72.580462910791596</v>
      </c>
      <c r="AK890">
        <v>11.8362239809691</v>
      </c>
      <c r="AL890">
        <v>82.767411898428605</v>
      </c>
      <c r="AM890">
        <v>73.409390736125999</v>
      </c>
      <c r="AN890">
        <v>1.0000000157908999</v>
      </c>
    </row>
    <row r="891" spans="1:40" x14ac:dyDescent="0.25">
      <c r="A891" t="str">
        <f>"20190312164236483"</f>
        <v>20190312164236483</v>
      </c>
      <c r="B891" t="str">
        <f>"1552380156475098"</f>
        <v>1552380156475098</v>
      </c>
      <c r="C891" t="s">
        <v>40</v>
      </c>
      <c r="D891">
        <v>4.3534300000000004</v>
      </c>
      <c r="E891">
        <v>0.51578270000000004</v>
      </c>
      <c r="F891" t="s">
        <v>42</v>
      </c>
      <c r="G891">
        <v>-215.1652</v>
      </c>
      <c r="H891" s="1">
        <v>-3.1655110000000001E-6</v>
      </c>
      <c r="I891">
        <v>363.85059999999999</v>
      </c>
      <c r="J891">
        <v>-226.38800000000001</v>
      </c>
      <c r="K891">
        <v>1.1098059999999901</v>
      </c>
      <c r="L891">
        <v>367.52050000000003</v>
      </c>
      <c r="M891">
        <v>0.99987150000000002</v>
      </c>
      <c r="N891">
        <v>0</v>
      </c>
      <c r="O891">
        <v>-8.2925719999999998E-3</v>
      </c>
      <c r="P891">
        <v>0.94901970000000002</v>
      </c>
      <c r="Q891">
        <v>0.1128178</v>
      </c>
      <c r="R891">
        <v>-0.29433749999999997</v>
      </c>
      <c r="S891">
        <v>2.9059140000000001</v>
      </c>
      <c r="T891">
        <v>-0.28180830000000001</v>
      </c>
      <c r="U891">
        <v>-0.93261719999999904</v>
      </c>
      <c r="V891">
        <v>0.2866725</v>
      </c>
      <c r="W891">
        <v>0.12537619999999999</v>
      </c>
      <c r="X891">
        <v>0.94978929999999995</v>
      </c>
      <c r="Y891">
        <v>0.29645319999999997</v>
      </c>
      <c r="Z891">
        <v>-1.320933E-2</v>
      </c>
      <c r="AA891">
        <v>0.95495600000000003</v>
      </c>
      <c r="AB891">
        <v>23</v>
      </c>
      <c r="AC891">
        <v>11.222799999999999</v>
      </c>
      <c r="AD891">
        <v>-1.1098091655109901</v>
      </c>
      <c r="AE891">
        <v>-3.6699000000000401</v>
      </c>
      <c r="AF891">
        <v>3.5453781302708101</v>
      </c>
      <c r="AG891">
        <v>-1.1098091655109901</v>
      </c>
      <c r="AH891">
        <v>11.1543090229955</v>
      </c>
      <c r="AI891">
        <v>95.416673069455399</v>
      </c>
      <c r="AJ891">
        <v>72.367230023434502</v>
      </c>
      <c r="AK891">
        <v>11.7566998877633</v>
      </c>
      <c r="AL891">
        <v>82.797518733517705</v>
      </c>
      <c r="AM891">
        <v>73.204743385544205</v>
      </c>
      <c r="AN891">
        <v>1.0000000140885801</v>
      </c>
    </row>
    <row r="892" spans="1:40" x14ac:dyDescent="0.25">
      <c r="A892" t="str">
        <f>"20190312164236506"</f>
        <v>20190312164236506</v>
      </c>
      <c r="B892" t="str">
        <f>"1552380156494615"</f>
        <v>1552380156494615</v>
      </c>
      <c r="C892" t="s">
        <v>40</v>
      </c>
      <c r="D892">
        <v>4.3886969999999996</v>
      </c>
      <c r="E892">
        <v>0.51584579999999902</v>
      </c>
      <c r="F892" t="s">
        <v>42</v>
      </c>
      <c r="G892">
        <v>-215.01990000000001</v>
      </c>
      <c r="H892" s="1">
        <v>-3.2242239999999998E-6</v>
      </c>
      <c r="I892">
        <v>363.8159</v>
      </c>
      <c r="J892">
        <v>-226.15889999999999</v>
      </c>
      <c r="K892">
        <v>1.1098059999999901</v>
      </c>
      <c r="L892">
        <v>367.51740000000001</v>
      </c>
      <c r="M892">
        <v>0.99986169999999996</v>
      </c>
      <c r="N892">
        <v>0</v>
      </c>
      <c r="O892">
        <v>-9.3967270000000006E-3</v>
      </c>
      <c r="P892">
        <v>0.94788459999999997</v>
      </c>
      <c r="Q892">
        <v>0.1123374</v>
      </c>
      <c r="R892">
        <v>-0.29815259999999999</v>
      </c>
      <c r="S892">
        <v>2.9015659999999999</v>
      </c>
      <c r="T892">
        <v>-0.2832615</v>
      </c>
      <c r="U892">
        <v>-0.94555659999999997</v>
      </c>
      <c r="V892">
        <v>0.28944819999999999</v>
      </c>
      <c r="W892">
        <v>0.12487470000000001</v>
      </c>
      <c r="X892">
        <v>0.9490132</v>
      </c>
      <c r="Y892">
        <v>0.29964560000000001</v>
      </c>
      <c r="Z892">
        <v>-1.3333960000000001E-2</v>
      </c>
      <c r="AA892">
        <v>0.95395739999999996</v>
      </c>
      <c r="AB892">
        <v>23</v>
      </c>
      <c r="AC892">
        <v>11.1389999999999</v>
      </c>
      <c r="AD892">
        <v>-1.1098092242240001</v>
      </c>
      <c r="AE892">
        <v>-3.7014999999999998</v>
      </c>
      <c r="AF892">
        <v>3.5647889561273498</v>
      </c>
      <c r="AG892">
        <v>-1.1098092242240001</v>
      </c>
      <c r="AH892">
        <v>11.0742942185174</v>
      </c>
      <c r="AI892">
        <v>95.449206864791805</v>
      </c>
      <c r="AJ892">
        <v>72.156756464637198</v>
      </c>
      <c r="AK892">
        <v>11.6867184981152</v>
      </c>
      <c r="AL892">
        <v>82.826480093189602</v>
      </c>
      <c r="AM892">
        <v>73.038339738210595</v>
      </c>
      <c r="AN892">
        <v>1.0000000024787801</v>
      </c>
    </row>
    <row r="893" spans="1:40" x14ac:dyDescent="0.25">
      <c r="A893" t="str">
        <f>"20190312164236529"</f>
        <v>20190312164236529</v>
      </c>
      <c r="B893" t="str">
        <f>"1552380156524871"</f>
        <v>1552380156524871</v>
      </c>
      <c r="C893" t="s">
        <v>40</v>
      </c>
      <c r="D893">
        <v>4.6367010000000004</v>
      </c>
      <c r="E893">
        <v>0.51576250000000001</v>
      </c>
      <c r="F893" t="s">
        <v>42</v>
      </c>
      <c r="G893">
        <v>-214.84370000000001</v>
      </c>
      <c r="H893" s="1">
        <v>-3.29447E-6</v>
      </c>
      <c r="I893">
        <v>363.77719999999999</v>
      </c>
      <c r="J893">
        <v>-225.91990000000001</v>
      </c>
      <c r="K893">
        <v>1.109804</v>
      </c>
      <c r="L893">
        <v>367.51369999999997</v>
      </c>
      <c r="M893">
        <v>0.99985009999999996</v>
      </c>
      <c r="N893">
        <v>0</v>
      </c>
      <c r="O893">
        <v>-1.0562770000000001E-2</v>
      </c>
      <c r="P893">
        <v>0.94676479999999996</v>
      </c>
      <c r="Q893">
        <v>0.1121403</v>
      </c>
      <c r="R893">
        <v>-0.30176389999999997</v>
      </c>
      <c r="S893">
        <v>2.8973849999999999</v>
      </c>
      <c r="T893">
        <v>-0.28417740000000002</v>
      </c>
      <c r="U893">
        <v>-0.95770259999999996</v>
      </c>
      <c r="V893">
        <v>0.2919638</v>
      </c>
      <c r="W893">
        <v>0.12465610000000001</v>
      </c>
      <c r="X893">
        <v>0.94827110000000003</v>
      </c>
      <c r="Y893">
        <v>0.30253039999999998</v>
      </c>
      <c r="Z893">
        <v>-1.3413110000000001E-2</v>
      </c>
      <c r="AA893">
        <v>0.95304540000000004</v>
      </c>
      <c r="AB893">
        <v>23</v>
      </c>
      <c r="AC893">
        <v>11.0762</v>
      </c>
      <c r="AD893">
        <v>-1.1098072944699999</v>
      </c>
      <c r="AE893">
        <v>-3.7364999999999702</v>
      </c>
      <c r="AF893">
        <v>3.5869532298606899</v>
      </c>
      <c r="AG893">
        <v>-1.1098072944699999</v>
      </c>
      <c r="AH893">
        <v>11.0157601148616</v>
      </c>
      <c r="AI893">
        <v>95.472040889163907</v>
      </c>
      <c r="AJ893">
        <v>71.963707883053203</v>
      </c>
      <c r="AK893">
        <v>11.638078733719</v>
      </c>
      <c r="AL893">
        <v>82.839103867589301</v>
      </c>
      <c r="AM893">
        <v>72.886890575964699</v>
      </c>
      <c r="AN893">
        <v>1.0000000414364201</v>
      </c>
    </row>
    <row r="894" spans="1:40" x14ac:dyDescent="0.25">
      <c r="A894" t="str">
        <f>"20190312164236551"</f>
        <v>20190312164236551</v>
      </c>
      <c r="B894" t="str">
        <f>"1552380156544391"</f>
        <v>1552380156544391</v>
      </c>
      <c r="C894" t="s">
        <v>40</v>
      </c>
      <c r="D894">
        <v>4.6247259999999999</v>
      </c>
      <c r="E894">
        <v>0.51570699999999903</v>
      </c>
      <c r="F894" t="s">
        <v>42</v>
      </c>
      <c r="G894">
        <v>-214.63939999999999</v>
      </c>
      <c r="H894" s="1">
        <v>-3.3735829999999999E-6</v>
      </c>
      <c r="I894">
        <v>363.74119999999999</v>
      </c>
      <c r="J894">
        <v>-225.69550000000001</v>
      </c>
      <c r="K894">
        <v>1.109799</v>
      </c>
      <c r="L894">
        <v>367.51</v>
      </c>
      <c r="M894">
        <v>0.99983770000000005</v>
      </c>
      <c r="N894">
        <v>0</v>
      </c>
      <c r="O894">
        <v>-1.167027E-2</v>
      </c>
      <c r="P894">
        <v>0.94580730000000002</v>
      </c>
      <c r="Q894">
        <v>0.1113088</v>
      </c>
      <c r="R894">
        <v>-0.30505579999999999</v>
      </c>
      <c r="S894">
        <v>2.8939360000000001</v>
      </c>
      <c r="T894">
        <v>-0.28471099999999999</v>
      </c>
      <c r="U894">
        <v>-0.967804</v>
      </c>
      <c r="V894">
        <v>0.294214799999999</v>
      </c>
      <c r="W894">
        <v>0.12380629999999999</v>
      </c>
      <c r="X894">
        <v>0.94768649999999999</v>
      </c>
      <c r="Y894">
        <v>0.30479689999999998</v>
      </c>
      <c r="Z894">
        <v>-1.3448709999999999E-2</v>
      </c>
      <c r="AA894">
        <v>0.95232240000000001</v>
      </c>
      <c r="AB894">
        <v>23</v>
      </c>
      <c r="AC894">
        <v>11.056100000000001</v>
      </c>
      <c r="AD894">
        <v>-1.109802373583</v>
      </c>
      <c r="AE894">
        <v>-3.7687999999999899</v>
      </c>
      <c r="AF894">
        <v>3.6069434173377402</v>
      </c>
      <c r="AG894">
        <v>-1.109802373583</v>
      </c>
      <c r="AH894">
        <v>11.0000361379682</v>
      </c>
      <c r="AI894">
        <v>95.476121739505103</v>
      </c>
      <c r="AJ894">
        <v>71.845534264215303</v>
      </c>
      <c r="AK894">
        <v>11.629380772891301</v>
      </c>
      <c r="AL894">
        <v>82.888173836960902</v>
      </c>
      <c r="AM894">
        <v>72.752739494150902</v>
      </c>
      <c r="AN894">
        <v>1.0000000253704799</v>
      </c>
    </row>
    <row r="895" spans="1:40" x14ac:dyDescent="0.25">
      <c r="A895" t="str">
        <f>"20190312164236573"</f>
        <v>20190312164236573</v>
      </c>
      <c r="B895" t="str">
        <f>"1552380156564887"</f>
        <v>1552380156564887</v>
      </c>
      <c r="C895" t="s">
        <v>40</v>
      </c>
      <c r="D895">
        <v>4.4475769999999999</v>
      </c>
      <c r="E895">
        <v>0.51561950000000001</v>
      </c>
      <c r="F895" t="s">
        <v>42</v>
      </c>
      <c r="G895">
        <v>-214.53700000000001</v>
      </c>
      <c r="H895" s="1">
        <v>-3.4088240000000001E-6</v>
      </c>
      <c r="I895">
        <v>363.7396</v>
      </c>
      <c r="J895">
        <v>-225.47210000000001</v>
      </c>
      <c r="K895">
        <v>1.1097889999999999</v>
      </c>
      <c r="L895">
        <v>367.5061</v>
      </c>
      <c r="M895">
        <v>0.99982420000000005</v>
      </c>
      <c r="N895">
        <v>0</v>
      </c>
      <c r="O895">
        <v>-1.2783559999999999E-2</v>
      </c>
      <c r="P895">
        <v>0.94492759999999998</v>
      </c>
      <c r="Q895">
        <v>0.110517</v>
      </c>
      <c r="R895">
        <v>-0.30805539999999998</v>
      </c>
      <c r="S895">
        <v>2.8906860000000001</v>
      </c>
      <c r="T895">
        <v>-0.28750029999999999</v>
      </c>
      <c r="U895">
        <v>-0.97674559999999999</v>
      </c>
      <c r="V895">
        <v>0.29616749999999997</v>
      </c>
      <c r="W895">
        <v>0.122999499999999</v>
      </c>
      <c r="X895">
        <v>0.94718309999999994</v>
      </c>
      <c r="Y895">
        <v>0.30667529999999998</v>
      </c>
      <c r="Z895">
        <v>-1.3571099999999999E-2</v>
      </c>
      <c r="AA895">
        <v>0.95171740000000005</v>
      </c>
      <c r="AB895">
        <v>23</v>
      </c>
      <c r="AC895">
        <v>10.9351</v>
      </c>
      <c r="AD895">
        <v>-1.1097924088240001</v>
      </c>
      <c r="AE895">
        <v>-3.7665000000000002</v>
      </c>
      <c r="AF895">
        <v>3.5933037105427199</v>
      </c>
      <c r="AG895">
        <v>-1.1097924088240001</v>
      </c>
      <c r="AH895">
        <v>10.882161220277601</v>
      </c>
      <c r="AI895">
        <v>95.531270507689797</v>
      </c>
      <c r="AJ895">
        <v>71.726710044675599</v>
      </c>
      <c r="AK895">
        <v>11.513683319033801</v>
      </c>
      <c r="AL895">
        <v>82.934755545802403</v>
      </c>
      <c r="AM895">
        <v>72.636454060629902</v>
      </c>
      <c r="AN895">
        <v>0.99999994499105305</v>
      </c>
    </row>
    <row r="896" spans="1:40" x14ac:dyDescent="0.25">
      <c r="A896" t="str">
        <f>"20190312164236596"</f>
        <v>20190312164236596</v>
      </c>
      <c r="B896" t="str">
        <f>"1552380156584407"</f>
        <v>1552380156584407</v>
      </c>
      <c r="C896" t="s">
        <v>40</v>
      </c>
      <c r="D896">
        <v>4.3523239999999896</v>
      </c>
      <c r="E896">
        <v>0.51557619999999904</v>
      </c>
      <c r="F896" t="s">
        <v>42</v>
      </c>
      <c r="G896">
        <v>-214.42949999999999</v>
      </c>
      <c r="H896" s="1">
        <v>-3.4455150000000001E-6</v>
      </c>
      <c r="I896">
        <v>363.73919999999998</v>
      </c>
      <c r="J896">
        <v>-225.24279999999999</v>
      </c>
      <c r="K896">
        <v>1.109783</v>
      </c>
      <c r="L896">
        <v>367.5018</v>
      </c>
      <c r="M896">
        <v>0.9998089</v>
      </c>
      <c r="N896">
        <v>0</v>
      </c>
      <c r="O896">
        <v>-1.393375E-2</v>
      </c>
      <c r="P896">
        <v>0.94386740000000002</v>
      </c>
      <c r="Q896">
        <v>0.1097718</v>
      </c>
      <c r="R896">
        <v>-0.3115522</v>
      </c>
      <c r="S896">
        <v>2.8876499999999998</v>
      </c>
      <c r="T896">
        <v>-0.29021079999999999</v>
      </c>
      <c r="U896">
        <v>-0.98504639999999999</v>
      </c>
      <c r="V896">
        <v>0.29858620000000002</v>
      </c>
      <c r="W896">
        <v>0.1222386</v>
      </c>
      <c r="X896">
        <v>0.94652210000000003</v>
      </c>
      <c r="Y896">
        <v>0.30830879999999999</v>
      </c>
      <c r="Z896">
        <v>-1.367354E-2</v>
      </c>
      <c r="AA896">
        <v>0.95118809999999998</v>
      </c>
      <c r="AB896">
        <v>23</v>
      </c>
      <c r="AC896">
        <v>10.8132999999999</v>
      </c>
      <c r="AD896">
        <v>-1.1097864455149999</v>
      </c>
      <c r="AE896">
        <v>-3.7626000000000199</v>
      </c>
      <c r="AF896">
        <v>3.5779336417701399</v>
      </c>
      <c r="AG896">
        <v>-1.1097864455149999</v>
      </c>
      <c r="AH896">
        <v>10.7635514837944</v>
      </c>
      <c r="AI896">
        <v>95.588142767980401</v>
      </c>
      <c r="AJ896">
        <v>71.612574125123004</v>
      </c>
      <c r="AK896">
        <v>11.3968098889054</v>
      </c>
      <c r="AL896">
        <v>82.978684066075004</v>
      </c>
      <c r="AM896">
        <v>72.491800482741098</v>
      </c>
      <c r="AN896">
        <v>1.0000000399744</v>
      </c>
    </row>
    <row r="897" spans="1:40" x14ac:dyDescent="0.25">
      <c r="A897" t="str">
        <f>"20190312164236619"</f>
        <v>20190312164236619</v>
      </c>
      <c r="B897" t="str">
        <f>"1552380156614663"</f>
        <v>1552380156614663</v>
      </c>
      <c r="C897" t="s">
        <v>40</v>
      </c>
      <c r="D897">
        <v>4.3915089999999903</v>
      </c>
      <c r="E897">
        <v>0.51539309999999905</v>
      </c>
      <c r="F897" t="s">
        <v>42</v>
      </c>
      <c r="G897">
        <v>-214.34540000000001</v>
      </c>
      <c r="H897" s="1">
        <v>-3.4729010000000001E-6</v>
      </c>
      <c r="I897">
        <v>363.7439</v>
      </c>
      <c r="J897">
        <v>-225.0085</v>
      </c>
      <c r="K897">
        <v>1.109782</v>
      </c>
      <c r="L897">
        <v>367.49720000000002</v>
      </c>
      <c r="M897">
        <v>0.99979180000000001</v>
      </c>
      <c r="N897">
        <v>0</v>
      </c>
      <c r="O897">
        <v>-1.511299E-2</v>
      </c>
      <c r="P897">
        <v>0.94294350000000005</v>
      </c>
      <c r="Q897">
        <v>0.1094253</v>
      </c>
      <c r="R897">
        <v>-0.31445859999999998</v>
      </c>
      <c r="S897">
        <v>2.884277</v>
      </c>
      <c r="T897">
        <v>-0.2937322</v>
      </c>
      <c r="U897">
        <v>-0.99462890000000004</v>
      </c>
      <c r="V897">
        <v>0.3003865</v>
      </c>
      <c r="W897">
        <v>0.1218803</v>
      </c>
      <c r="X897">
        <v>0.94599849999999996</v>
      </c>
      <c r="Y897">
        <v>0.31031639999999999</v>
      </c>
      <c r="Z897">
        <v>-1.382953E-2</v>
      </c>
      <c r="AA897">
        <v>0.95053270000000001</v>
      </c>
      <c r="AB897">
        <v>23</v>
      </c>
      <c r="AC897">
        <v>10.663099999999901</v>
      </c>
      <c r="AD897">
        <v>-1.1097854729009999</v>
      </c>
      <c r="AE897">
        <v>-3.7533000000000198</v>
      </c>
      <c r="AF897">
        <v>3.5574185662517901</v>
      </c>
      <c r="AG897">
        <v>-1.1097854729009999</v>
      </c>
      <c r="AH897">
        <v>10.616291578074099</v>
      </c>
      <c r="AI897">
        <v>95.660625471448796</v>
      </c>
      <c r="AJ897">
        <v>71.474488032790902</v>
      </c>
      <c r="AK897">
        <v>11.251333144212801</v>
      </c>
      <c r="AL897">
        <v>82.999367585041995</v>
      </c>
      <c r="AM897">
        <v>72.383597380986501</v>
      </c>
      <c r="AN897">
        <v>1.00000000945629</v>
      </c>
    </row>
    <row r="898" spans="1:40" x14ac:dyDescent="0.25">
      <c r="A898" t="str">
        <f>"20190312164236641"</f>
        <v>20190312164236641</v>
      </c>
      <c r="B898" t="str">
        <f>"1552380156635159"</f>
        <v>1552380156635159</v>
      </c>
      <c r="C898" t="s">
        <v>40</v>
      </c>
      <c r="D898">
        <v>4.3592180000000003</v>
      </c>
      <c r="E898">
        <v>0.50611039999999996</v>
      </c>
      <c r="F898" t="s">
        <v>42</v>
      </c>
      <c r="G898">
        <v>-214.1429</v>
      </c>
      <c r="H898" s="1">
        <v>-3.5480339999999998E-6</v>
      </c>
      <c r="I898">
        <v>363.72050000000002</v>
      </c>
      <c r="J898">
        <v>-224.77500000000001</v>
      </c>
      <c r="K898">
        <v>1.109788</v>
      </c>
      <c r="L898">
        <v>367.49220000000003</v>
      </c>
      <c r="M898">
        <v>0.99977340000000003</v>
      </c>
      <c r="N898">
        <v>0</v>
      </c>
      <c r="O898">
        <v>-1.6283590000000001E-2</v>
      </c>
      <c r="P898">
        <v>0.94173929999999995</v>
      </c>
      <c r="Q898">
        <v>0.10829370000000001</v>
      </c>
      <c r="R898">
        <v>-0.31843359999999998</v>
      </c>
      <c r="S898">
        <v>2.8816830000000002</v>
      </c>
      <c r="T898">
        <v>-0.29432740000000002</v>
      </c>
      <c r="U898">
        <v>-1.001617</v>
      </c>
      <c r="V898">
        <v>0.30326779999999998</v>
      </c>
      <c r="W898">
        <v>0.12073399999999999</v>
      </c>
      <c r="X898">
        <v>0.94522589999999995</v>
      </c>
      <c r="Y898">
        <v>0.31151909999999999</v>
      </c>
      <c r="Z898">
        <v>-1.3807659999999999E-2</v>
      </c>
      <c r="AA898">
        <v>0.95013959999999997</v>
      </c>
      <c r="AB898">
        <v>23</v>
      </c>
      <c r="AC898">
        <v>10.632099999999999</v>
      </c>
      <c r="AD898">
        <v>-1.1097915480339999</v>
      </c>
      <c r="AE898">
        <v>-3.7717000000000001</v>
      </c>
      <c r="AF898">
        <v>3.5635681346564798</v>
      </c>
      <c r="AG898">
        <v>-1.1097915480339999</v>
      </c>
      <c r="AH898">
        <v>10.5896308131514</v>
      </c>
      <c r="AI898">
        <v>95.672392007412199</v>
      </c>
      <c r="AJ898">
        <v>71.401148797131199</v>
      </c>
      <c r="AK898">
        <v>11.228131451371199</v>
      </c>
      <c r="AL898">
        <v>83.065534521562896</v>
      </c>
      <c r="AM898">
        <v>72.211597478431798</v>
      </c>
      <c r="AN898">
        <v>1.0000000296518201</v>
      </c>
    </row>
    <row r="899" spans="1:40" x14ac:dyDescent="0.25">
      <c r="A899" t="str">
        <f>"20190312164236674"</f>
        <v>20190312164236674</v>
      </c>
      <c r="B899" t="str">
        <f>"1552380156664526"</f>
        <v>1552380156664526</v>
      </c>
      <c r="C899" t="s">
        <v>40</v>
      </c>
      <c r="D899">
        <v>4.4466130000000001</v>
      </c>
      <c r="E899">
        <v>0.50770660000000001</v>
      </c>
      <c r="F899" t="s">
        <v>42</v>
      </c>
      <c r="G899">
        <v>-214.49289999999999</v>
      </c>
      <c r="H899" s="1">
        <v>-3.3130030000000002E-6</v>
      </c>
      <c r="I899">
        <v>364.1585</v>
      </c>
      <c r="J899">
        <v>-224.44749999999999</v>
      </c>
      <c r="K899">
        <v>1.1097939999999999</v>
      </c>
      <c r="L899">
        <v>367.48489999999998</v>
      </c>
      <c r="M899">
        <v>0.99974580000000002</v>
      </c>
      <c r="N899">
        <v>0</v>
      </c>
      <c r="O899">
        <v>-1.7899689999999999E-2</v>
      </c>
      <c r="P899">
        <v>0.94068110000000005</v>
      </c>
      <c r="Q899">
        <v>0.1071754</v>
      </c>
      <c r="R899">
        <v>-0.3219205</v>
      </c>
      <c r="S899">
        <v>2.9033199999999999</v>
      </c>
      <c r="T899">
        <v>-0.31336550000000002</v>
      </c>
      <c r="U899">
        <v>-0.94131469999999995</v>
      </c>
      <c r="V899">
        <v>0.30523549999999999</v>
      </c>
      <c r="W899">
        <v>0.119613</v>
      </c>
      <c r="X899">
        <v>0.94473490000000004</v>
      </c>
      <c r="Y899">
        <v>0.28990899999999997</v>
      </c>
      <c r="Z899">
        <v>-1.333616E-2</v>
      </c>
      <c r="AA899">
        <v>0.95696130000000001</v>
      </c>
      <c r="AB899">
        <v>23</v>
      </c>
      <c r="AC899">
        <v>9.9545999999999992</v>
      </c>
      <c r="AD899">
        <v>-1.1097973130030001</v>
      </c>
      <c r="AE899">
        <v>-3.3263999999999698</v>
      </c>
      <c r="AF899">
        <v>3.11286212299389</v>
      </c>
      <c r="AG899">
        <v>-1.1097973130030001</v>
      </c>
      <c r="AH899">
        <v>9.9018428577201494</v>
      </c>
      <c r="AI899">
        <v>96.102927999815407</v>
      </c>
      <c r="AJ899">
        <v>72.548312413600996</v>
      </c>
      <c r="AK899">
        <v>10.4387763962881</v>
      </c>
      <c r="AL899">
        <v>83.130231795562906</v>
      </c>
      <c r="AM899">
        <v>72.094813588150203</v>
      </c>
      <c r="AN899">
        <v>1.00000000575363</v>
      </c>
    </row>
    <row r="900" spans="1:40" x14ac:dyDescent="0.25">
      <c r="A900" t="str">
        <f>"20190312164236696"</f>
        <v>20190312164236696</v>
      </c>
      <c r="B900" t="str">
        <f>"1552380156685019"</f>
        <v>1552380156685019</v>
      </c>
      <c r="C900" t="s">
        <v>40</v>
      </c>
      <c r="D900">
        <v>4.4804570000000004</v>
      </c>
      <c r="E900">
        <v>0.5048667</v>
      </c>
      <c r="F900" t="s">
        <v>42</v>
      </c>
      <c r="G900">
        <v>-214.3184</v>
      </c>
      <c r="H900" s="1">
        <v>-3.395633E-6</v>
      </c>
      <c r="I900">
        <v>364.11470000000003</v>
      </c>
      <c r="J900">
        <v>-224.22040000000001</v>
      </c>
      <c r="K900">
        <v>1.1098059999999901</v>
      </c>
      <c r="L900">
        <v>367.47949999999997</v>
      </c>
      <c r="M900">
        <v>0.99972559999999999</v>
      </c>
      <c r="N900">
        <v>0</v>
      </c>
      <c r="O900">
        <v>-1.9000960000000001E-2</v>
      </c>
      <c r="P900">
        <v>0.93999129999999997</v>
      </c>
      <c r="Q900">
        <v>0.1054876</v>
      </c>
      <c r="R900">
        <v>-0.3244824</v>
      </c>
      <c r="S900">
        <v>2.8956149999999998</v>
      </c>
      <c r="T900">
        <v>-0.31725540000000002</v>
      </c>
      <c r="U900">
        <v>-0.96340939999999997</v>
      </c>
      <c r="V900">
        <v>0.306760799999999</v>
      </c>
      <c r="W900">
        <v>0.1179265</v>
      </c>
      <c r="X900">
        <v>0.94445279999999998</v>
      </c>
      <c r="Y900">
        <v>0.29611910000000002</v>
      </c>
      <c r="Z900">
        <v>-1.3732609999999999E-2</v>
      </c>
      <c r="AA900">
        <v>0.95505229999999997</v>
      </c>
      <c r="AB900">
        <v>23</v>
      </c>
      <c r="AC900">
        <v>9.9020000000000099</v>
      </c>
      <c r="AD900">
        <v>-1.10980939563299</v>
      </c>
      <c r="AE900">
        <v>-3.3647999999999398</v>
      </c>
      <c r="AF900">
        <v>3.14065901582171</v>
      </c>
      <c r="AG900">
        <v>-1.10980939563299</v>
      </c>
      <c r="AH900">
        <v>9.8531916312128107</v>
      </c>
      <c r="AI900">
        <v>96.125245420769602</v>
      </c>
      <c r="AJ900">
        <v>72.320560871875799</v>
      </c>
      <c r="AK900">
        <v>10.401000012965</v>
      </c>
      <c r="AL900">
        <v>83.227549728726999</v>
      </c>
      <c r="AM900">
        <v>72.006064550044201</v>
      </c>
      <c r="AN900">
        <v>0.99999996962336402</v>
      </c>
    </row>
    <row r="901" spans="1:40" x14ac:dyDescent="0.25">
      <c r="A901" t="str">
        <f>"20190312164236720"</f>
        <v>20190312164236720</v>
      </c>
      <c r="B901" t="str">
        <f>"1552380156715274"</f>
        <v>1552380156715274</v>
      </c>
      <c r="C901" t="s">
        <v>40</v>
      </c>
      <c r="D901">
        <v>4.507339</v>
      </c>
      <c r="E901">
        <v>0.5014864</v>
      </c>
      <c r="F901" t="s">
        <v>42</v>
      </c>
      <c r="G901">
        <v>-213.94450000000001</v>
      </c>
      <c r="H901" s="1">
        <v>-3.5560739999999998E-6</v>
      </c>
      <c r="I901">
        <v>364.11450000000002</v>
      </c>
      <c r="J901">
        <v>-223.9873</v>
      </c>
      <c r="K901">
        <v>1.109826</v>
      </c>
      <c r="L901">
        <v>367.47370000000001</v>
      </c>
      <c r="M901">
        <v>0.99970389999999998</v>
      </c>
      <c r="N901">
        <v>0</v>
      </c>
      <c r="O901">
        <v>-2.0107150000000001E-2</v>
      </c>
      <c r="P901">
        <v>0.93942840000000005</v>
      </c>
      <c r="Q901">
        <v>0.1043121</v>
      </c>
      <c r="R901">
        <v>-0.32648650000000001</v>
      </c>
      <c r="S901">
        <v>2.8989720000000001</v>
      </c>
      <c r="T901">
        <v>-0.31308909999999901</v>
      </c>
      <c r="U901">
        <v>-0.94927980000000001</v>
      </c>
      <c r="V901">
        <v>0.30772139999999998</v>
      </c>
      <c r="W901">
        <v>0.11675919999999999</v>
      </c>
      <c r="X901">
        <v>0.94428529999999999</v>
      </c>
      <c r="Y901">
        <v>0.29060249999999999</v>
      </c>
      <c r="Z901">
        <v>-1.3142940000000001E-2</v>
      </c>
      <c r="AA901">
        <v>0.95675359999999998</v>
      </c>
      <c r="AB901">
        <v>23</v>
      </c>
      <c r="AC901">
        <v>10.0428</v>
      </c>
      <c r="AD901">
        <v>-1.1098295560739999</v>
      </c>
      <c r="AE901">
        <v>-3.35919999999998</v>
      </c>
      <c r="AF901">
        <v>3.1222759158053299</v>
      </c>
      <c r="AG901">
        <v>-1.1098295560739999</v>
      </c>
      <c r="AH901">
        <v>9.9985001940400409</v>
      </c>
      <c r="AI901">
        <v>96.048134760257994</v>
      </c>
      <c r="AJ901">
        <v>72.657750661140994</v>
      </c>
      <c r="AK901">
        <v>10.533296476800199</v>
      </c>
      <c r="AL901">
        <v>83.294896227994997</v>
      </c>
      <c r="AM901">
        <v>71.9503725779132</v>
      </c>
      <c r="AN901">
        <v>0.99999994929934299</v>
      </c>
    </row>
    <row r="902" spans="1:40" x14ac:dyDescent="0.25">
      <c r="A902" t="str">
        <f>"20190312164236742"</f>
        <v>20190312164236742</v>
      </c>
      <c r="B902" t="str">
        <f>"1552380156734795"</f>
        <v>1552380156734795</v>
      </c>
      <c r="C902" t="s">
        <v>40</v>
      </c>
      <c r="D902">
        <v>4.5530809999999997</v>
      </c>
      <c r="E902">
        <v>0.5001352</v>
      </c>
      <c r="F902" t="s">
        <v>42</v>
      </c>
      <c r="G902">
        <v>-213.63069999999999</v>
      </c>
      <c r="H902" s="1">
        <v>-3.6827119999999998E-6</v>
      </c>
      <c r="I902">
        <v>364.15949999999998</v>
      </c>
      <c r="J902">
        <v>-223.7619</v>
      </c>
      <c r="K902">
        <v>1.1098410000000001</v>
      </c>
      <c r="L902">
        <v>367.46789999999999</v>
      </c>
      <c r="M902">
        <v>0.99968250000000003</v>
      </c>
      <c r="N902">
        <v>0</v>
      </c>
      <c r="O902">
        <v>-2.1145830000000001E-2</v>
      </c>
      <c r="P902">
        <v>0.93873640000000003</v>
      </c>
      <c r="Q902">
        <v>0.102947</v>
      </c>
      <c r="R902">
        <v>-0.3289011</v>
      </c>
      <c r="S902">
        <v>2.904938</v>
      </c>
      <c r="T902">
        <v>-0.31129489999999999</v>
      </c>
      <c r="U902">
        <v>-0.92959590000000003</v>
      </c>
      <c r="V902">
        <v>0.30915910000000002</v>
      </c>
      <c r="W902">
        <v>0.1154009</v>
      </c>
      <c r="X902">
        <v>0.94398269999999995</v>
      </c>
      <c r="Y902">
        <v>0.2832115</v>
      </c>
      <c r="Z902">
        <v>-1.256231E-2</v>
      </c>
      <c r="AA902">
        <v>0.95897520000000003</v>
      </c>
      <c r="AB902">
        <v>23</v>
      </c>
      <c r="AC902">
        <v>10.1312</v>
      </c>
      <c r="AD902">
        <v>-1.1098446827120001</v>
      </c>
      <c r="AE902">
        <v>-3.3083999999999998</v>
      </c>
      <c r="AF902">
        <v>3.0602217573841601</v>
      </c>
      <c r="AG902">
        <v>-1.1098446827120001</v>
      </c>
      <c r="AH902">
        <v>10.089487442216701</v>
      </c>
      <c r="AI902">
        <v>96.0090916668305</v>
      </c>
      <c r="AJ902">
        <v>73.127032262065597</v>
      </c>
      <c r="AK902">
        <v>10.601625784320101</v>
      </c>
      <c r="AL902">
        <v>83.373251302935401</v>
      </c>
      <c r="AM902">
        <v>71.866117328343606</v>
      </c>
      <c r="AN902">
        <v>1.00000002736645</v>
      </c>
    </row>
    <row r="903" spans="1:40" x14ac:dyDescent="0.25">
      <c r="A903" t="str">
        <f>"20190312164236763"</f>
        <v>20190312164236763</v>
      </c>
      <c r="B903" t="str">
        <f>"1552380156755300"</f>
        <v>1552380156755300</v>
      </c>
      <c r="C903" t="s">
        <v>40</v>
      </c>
      <c r="D903">
        <v>4.5500759999999998</v>
      </c>
      <c r="E903">
        <v>0.49902770000000002</v>
      </c>
      <c r="F903" t="s">
        <v>42</v>
      </c>
      <c r="G903">
        <v>-213.36439999999999</v>
      </c>
      <c r="H903" s="1">
        <v>-3.798151E-6</v>
      </c>
      <c r="I903">
        <v>364.15280000000001</v>
      </c>
      <c r="J903">
        <v>-223.54429999999999</v>
      </c>
      <c r="K903">
        <v>1.109858</v>
      </c>
      <c r="L903">
        <v>367.46210000000002</v>
      </c>
      <c r="M903">
        <v>0.99966160000000004</v>
      </c>
      <c r="N903">
        <v>0</v>
      </c>
      <c r="O903">
        <v>-2.211834E-2</v>
      </c>
      <c r="P903">
        <v>0.93796270000000004</v>
      </c>
      <c r="Q903">
        <v>0.1025441</v>
      </c>
      <c r="R903">
        <v>-0.33122679999999999</v>
      </c>
      <c r="S903">
        <v>2.9052579999999999</v>
      </c>
      <c r="T903">
        <v>-0.31010840000000001</v>
      </c>
      <c r="U903">
        <v>-0.92630000000000001</v>
      </c>
      <c r="V903">
        <v>0.31057439999999997</v>
      </c>
      <c r="W903">
        <v>0.1150045</v>
      </c>
      <c r="X903">
        <v>0.94356640000000003</v>
      </c>
      <c r="Y903">
        <v>0.28128550000000002</v>
      </c>
      <c r="Z903">
        <v>-1.231457E-2</v>
      </c>
      <c r="AA903">
        <v>0.95954510000000004</v>
      </c>
      <c r="AB903">
        <v>23</v>
      </c>
      <c r="AC903">
        <v>10.1799</v>
      </c>
      <c r="AD903">
        <v>-1.1098617981509999</v>
      </c>
      <c r="AE903">
        <v>-3.3092999999999999</v>
      </c>
      <c r="AF903">
        <v>3.05051262576879</v>
      </c>
      <c r="AG903">
        <v>-1.1098617981509999</v>
      </c>
      <c r="AH903">
        <v>10.1415867345438</v>
      </c>
      <c r="AI903">
        <v>95.982671497202901</v>
      </c>
      <c r="AJ903">
        <v>73.259110265749101</v>
      </c>
      <c r="AK903">
        <v>10.6484365981699</v>
      </c>
      <c r="AL903">
        <v>83.396115544661598</v>
      </c>
      <c r="AM903">
        <v>71.781066159293403</v>
      </c>
      <c r="AN903">
        <v>1.00000002208228</v>
      </c>
    </row>
    <row r="904" spans="1:40" x14ac:dyDescent="0.25">
      <c r="A904" t="str">
        <f>"20190312164236785"</f>
        <v>20190312164236785</v>
      </c>
      <c r="B904" t="str">
        <f>"1552380156774811"</f>
        <v>1552380156774811</v>
      </c>
      <c r="C904" t="s">
        <v>40</v>
      </c>
      <c r="D904">
        <v>4.5705780000000003</v>
      </c>
      <c r="E904">
        <v>0.49816189999999999</v>
      </c>
      <c r="F904" t="s">
        <v>42</v>
      </c>
      <c r="G904">
        <v>-213.1532</v>
      </c>
      <c r="H904" s="1">
        <v>-3.888404E-6</v>
      </c>
      <c r="I904">
        <v>364.15469999999999</v>
      </c>
      <c r="J904">
        <v>-223.31960000000001</v>
      </c>
      <c r="K904">
        <v>1.109877</v>
      </c>
      <c r="L904">
        <v>367.45589999999999</v>
      </c>
      <c r="M904">
        <v>0.99963959999999996</v>
      </c>
      <c r="N904">
        <v>0</v>
      </c>
      <c r="O904">
        <v>-2.309636E-2</v>
      </c>
      <c r="P904">
        <v>0.93739229999999996</v>
      </c>
      <c r="Q904">
        <v>0.1016875</v>
      </c>
      <c r="R904">
        <v>-0.33310030000000002</v>
      </c>
      <c r="S904">
        <v>2.9057620000000002</v>
      </c>
      <c r="T904">
        <v>-0.31035859999999998</v>
      </c>
      <c r="U904">
        <v>-0.92486570000000001</v>
      </c>
      <c r="V904">
        <v>0.31152869999999999</v>
      </c>
      <c r="W904">
        <v>0.11415699999999999</v>
      </c>
      <c r="X904">
        <v>0.94335469999999999</v>
      </c>
      <c r="Y904">
        <v>0.27987909999999999</v>
      </c>
      <c r="Z904">
        <v>-1.214873E-2</v>
      </c>
      <c r="AA904">
        <v>0.95995839999999999</v>
      </c>
      <c r="AB904">
        <v>23</v>
      </c>
      <c r="AC904">
        <v>10.166399999999999</v>
      </c>
      <c r="AD904">
        <v>-1.1098808884039999</v>
      </c>
      <c r="AE904">
        <v>-3.3011999999999899</v>
      </c>
      <c r="AF904">
        <v>3.0327920790429701</v>
      </c>
      <c r="AG904">
        <v>-1.1098808884039999</v>
      </c>
      <c r="AH904">
        <v>10.130715163515401</v>
      </c>
      <c r="AI904">
        <v>95.991482442660399</v>
      </c>
      <c r="AJ904">
        <v>73.334085653675999</v>
      </c>
      <c r="AK904">
        <v>10.633017121467899</v>
      </c>
      <c r="AL904">
        <v>83.444995637138803</v>
      </c>
      <c r="AM904">
        <v>71.724970841905105</v>
      </c>
      <c r="AN904">
        <v>1.00000002079238</v>
      </c>
    </row>
    <row r="905" spans="1:40" x14ac:dyDescent="0.25">
      <c r="A905" t="str">
        <f>"20190312164236808"</f>
        <v>20190312164236808</v>
      </c>
      <c r="B905" t="str">
        <f>"1552380156805067"</f>
        <v>1552380156805067</v>
      </c>
      <c r="C905" t="s">
        <v>40</v>
      </c>
      <c r="D905">
        <v>4.8191600000000001</v>
      </c>
      <c r="E905">
        <v>0.49712109999999898</v>
      </c>
      <c r="F905" t="s">
        <v>42</v>
      </c>
      <c r="G905">
        <v>-213.0532</v>
      </c>
      <c r="H905" s="1">
        <v>-3.9244479999999997E-6</v>
      </c>
      <c r="I905">
        <v>364.19319999999999</v>
      </c>
      <c r="J905">
        <v>-223.0872</v>
      </c>
      <c r="K905">
        <v>1.109893</v>
      </c>
      <c r="L905">
        <v>367.44940000000003</v>
      </c>
      <c r="M905">
        <v>0.99961610000000001</v>
      </c>
      <c r="N905">
        <v>0</v>
      </c>
      <c r="O905">
        <v>-2.4084689999999999E-2</v>
      </c>
      <c r="P905">
        <v>0.93684279999999998</v>
      </c>
      <c r="Q905">
        <v>0.1007417</v>
      </c>
      <c r="R905">
        <v>-0.334928</v>
      </c>
      <c r="S905">
        <v>2.90625</v>
      </c>
      <c r="T905">
        <v>-0.31418689999999999</v>
      </c>
      <c r="U905">
        <v>-0.9236145</v>
      </c>
      <c r="V905">
        <v>0.3124287</v>
      </c>
      <c r="W905">
        <v>0.1132176</v>
      </c>
      <c r="X905">
        <v>0.94317019999999996</v>
      </c>
      <c r="Y905">
        <v>0.27848810000000002</v>
      </c>
      <c r="Z905">
        <v>-1.2119619999999999E-2</v>
      </c>
      <c r="AA905">
        <v>0.96036319999999997</v>
      </c>
      <c r="AB905">
        <v>23</v>
      </c>
      <c r="AC905">
        <v>10.033999999999899</v>
      </c>
      <c r="AD905">
        <v>-1.1098969244479999</v>
      </c>
      <c r="AE905">
        <v>-3.25620000000003</v>
      </c>
      <c r="AF905">
        <v>2.9805730201385101</v>
      </c>
      <c r="AG905">
        <v>-1.1098969244479999</v>
      </c>
      <c r="AH905">
        <v>9.9988374334609595</v>
      </c>
      <c r="AI905">
        <v>96.072112362677402</v>
      </c>
      <c r="AJ905">
        <v>73.401104508596404</v>
      </c>
      <c r="AK905">
        <v>10.4924943045996</v>
      </c>
      <c r="AL905">
        <v>83.499170212341696</v>
      </c>
      <c r="AM905">
        <v>71.672352327707401</v>
      </c>
      <c r="AN905">
        <v>0.99999997185074396</v>
      </c>
    </row>
    <row r="906" spans="1:40" x14ac:dyDescent="0.25">
      <c r="A906" t="str">
        <f>"20190312164236832"</f>
        <v>20190312164236832</v>
      </c>
      <c r="B906" t="str">
        <f>"1552380156824587"</f>
        <v>1552380156824587</v>
      </c>
      <c r="C906" t="s">
        <v>40</v>
      </c>
      <c r="D906">
        <v>4.6449910000000001</v>
      </c>
      <c r="E906">
        <v>0.49676090000000001</v>
      </c>
      <c r="F906" t="s">
        <v>42</v>
      </c>
      <c r="G906">
        <v>-212.93979999999999</v>
      </c>
      <c r="H906" s="1">
        <v>-3.9658159999999998E-6</v>
      </c>
      <c r="I906">
        <v>364.23439999999999</v>
      </c>
      <c r="J906">
        <v>-222.8562</v>
      </c>
      <c r="K906">
        <v>1.109904</v>
      </c>
      <c r="L906">
        <v>367.4427</v>
      </c>
      <c r="M906">
        <v>0.99959249999999999</v>
      </c>
      <c r="N906">
        <v>0</v>
      </c>
      <c r="O906">
        <v>-2.5047110000000001E-2</v>
      </c>
      <c r="P906">
        <v>0.93617930000000005</v>
      </c>
      <c r="Q906">
        <v>9.9641750000000001E-2</v>
      </c>
      <c r="R906">
        <v>-0.33710570000000001</v>
      </c>
      <c r="S906">
        <v>2.9071199999999999</v>
      </c>
      <c r="T906">
        <v>-0.3179691</v>
      </c>
      <c r="U906">
        <v>-0.92105099999999995</v>
      </c>
      <c r="V906">
        <v>0.31370720000000002</v>
      </c>
      <c r="W906">
        <v>0.11211930000000001</v>
      </c>
      <c r="X906">
        <v>0.94287699999999997</v>
      </c>
      <c r="Y906">
        <v>0.27669379999999999</v>
      </c>
      <c r="Z906">
        <v>-1.2065040000000001E-2</v>
      </c>
      <c r="AA906">
        <v>0.96088240000000003</v>
      </c>
      <c r="AB906">
        <v>22</v>
      </c>
      <c r="AC906">
        <v>9.9164000000000101</v>
      </c>
      <c r="AD906">
        <v>-1.109907965816</v>
      </c>
      <c r="AE906">
        <v>-3.2082999999999999</v>
      </c>
      <c r="AF906">
        <v>2.9257138306097601</v>
      </c>
      <c r="AG906">
        <v>-1.109907965816</v>
      </c>
      <c r="AH906">
        <v>9.8815925364115191</v>
      </c>
      <c r="AI906">
        <v>96.147024943170905</v>
      </c>
      <c r="AJ906">
        <v>73.507181705841404</v>
      </c>
      <c r="AK906">
        <v>10.365209509067601</v>
      </c>
      <c r="AL906">
        <v>83.562501548273502</v>
      </c>
      <c r="AM906">
        <v>71.597058235037196</v>
      </c>
      <c r="AN906">
        <v>0.99999999094666503</v>
      </c>
    </row>
    <row r="907" spans="1:40" x14ac:dyDescent="0.25">
      <c r="A907" t="str">
        <f>"20190312164236852"</f>
        <v>20190312164236852</v>
      </c>
      <c r="B907" t="str">
        <f>"1552380156845083"</f>
        <v>1552380156845083</v>
      </c>
      <c r="C907" t="s">
        <v>40</v>
      </c>
      <c r="D907">
        <v>4.8348950000000004</v>
      </c>
      <c r="E907">
        <v>0.49648009999999898</v>
      </c>
      <c r="F907" t="s">
        <v>42</v>
      </c>
      <c r="G907">
        <v>-212.74860000000001</v>
      </c>
      <c r="H907" s="1">
        <v>-4.0495809999999998E-6</v>
      </c>
      <c r="I907">
        <v>364.22460000000001</v>
      </c>
      <c r="J907">
        <v>-222.64179999999999</v>
      </c>
      <c r="K907">
        <v>1.109909</v>
      </c>
      <c r="L907">
        <v>367.43619999999999</v>
      </c>
      <c r="M907">
        <v>0.99957030000000002</v>
      </c>
      <c r="N907">
        <v>0</v>
      </c>
      <c r="O907">
        <v>-2.592436E-2</v>
      </c>
      <c r="P907">
        <v>0.93562590000000001</v>
      </c>
      <c r="Q907">
        <v>9.8501270000000002E-2</v>
      </c>
      <c r="R907">
        <v>-0.33897189999999999</v>
      </c>
      <c r="S907">
        <v>2.9053650000000002</v>
      </c>
      <c r="T907">
        <v>-0.3190325</v>
      </c>
      <c r="U907">
        <v>-0.92498780000000003</v>
      </c>
      <c r="V907">
        <v>0.31475409999999998</v>
      </c>
      <c r="W907">
        <v>0.1109801</v>
      </c>
      <c r="X907">
        <v>0.94266280000000002</v>
      </c>
      <c r="Y907">
        <v>0.27719270000000001</v>
      </c>
      <c r="Z907">
        <v>-1.2042819999999999E-2</v>
      </c>
      <c r="AA907">
        <v>0.96073889999999995</v>
      </c>
      <c r="AB907">
        <v>22</v>
      </c>
      <c r="AC907">
        <v>9.8931999999999807</v>
      </c>
      <c r="AD907">
        <v>-1.1099130495809999</v>
      </c>
      <c r="AE907">
        <v>-3.21159999999997</v>
      </c>
      <c r="AF907">
        <v>2.9207641323425002</v>
      </c>
      <c r="AG907">
        <v>-1.1099130495809999</v>
      </c>
      <c r="AH907">
        <v>9.8608597637397306</v>
      </c>
      <c r="AI907">
        <v>96.159677371872803</v>
      </c>
      <c r="AJ907">
        <v>73.500831185042301</v>
      </c>
      <c r="AK907">
        <v>10.3440478234852</v>
      </c>
      <c r="AL907">
        <v>83.628182506772205</v>
      </c>
      <c r="AM907">
        <v>71.535890470650898</v>
      </c>
      <c r="AN907">
        <v>0.99999994028332795</v>
      </c>
    </row>
    <row r="908" spans="1:40" x14ac:dyDescent="0.25">
      <c r="A908" t="str">
        <f>"20190312164236875"</f>
        <v>20190312164236875</v>
      </c>
      <c r="B908" t="str">
        <f>"1552380156864603"</f>
        <v>1552380156864603</v>
      </c>
      <c r="C908" t="s">
        <v>40</v>
      </c>
      <c r="D908">
        <v>4.8888660000000002</v>
      </c>
      <c r="E908">
        <v>0.49631740000000002</v>
      </c>
      <c r="F908" t="s">
        <v>42</v>
      </c>
      <c r="G908">
        <v>-212.66030000000001</v>
      </c>
      <c r="H908" s="1">
        <v>-4.084038E-6</v>
      </c>
      <c r="I908">
        <v>364.2439</v>
      </c>
      <c r="J908">
        <v>-222.42169999999999</v>
      </c>
      <c r="K908">
        <v>1.1099139999999901</v>
      </c>
      <c r="L908">
        <v>367.42939999999999</v>
      </c>
      <c r="M908">
        <v>0.99954690000000002</v>
      </c>
      <c r="N908">
        <v>0</v>
      </c>
      <c r="O908">
        <v>-2.680971E-2</v>
      </c>
      <c r="P908">
        <v>0.93505020000000005</v>
      </c>
      <c r="Q908">
        <v>9.7469990000000006E-2</v>
      </c>
      <c r="R908">
        <v>-0.34085389999999999</v>
      </c>
      <c r="S908">
        <v>2.903931</v>
      </c>
      <c r="T908">
        <v>-0.322907</v>
      </c>
      <c r="U908">
        <v>-0.9287415</v>
      </c>
      <c r="V908">
        <v>0.31580979999999997</v>
      </c>
      <c r="W908">
        <v>0.1099503</v>
      </c>
      <c r="X908">
        <v>0.9424304</v>
      </c>
      <c r="Y908">
        <v>0.27757510000000002</v>
      </c>
      <c r="Z908">
        <v>-1.2116760000000001E-2</v>
      </c>
      <c r="AA908">
        <v>0.96062760000000003</v>
      </c>
      <c r="AB908">
        <v>22</v>
      </c>
      <c r="AC908">
        <v>9.7613999999999805</v>
      </c>
      <c r="AD908">
        <v>-1.1099180840380001</v>
      </c>
      <c r="AE908">
        <v>-3.18549999999999</v>
      </c>
      <c r="AF908">
        <v>2.8888750719665799</v>
      </c>
      <c r="AG908">
        <v>-1.1099180840380001</v>
      </c>
      <c r="AH908">
        <v>9.7296158448008008</v>
      </c>
      <c r="AI908">
        <v>96.240930688360905</v>
      </c>
      <c r="AJ908">
        <v>73.463022501221801</v>
      </c>
      <c r="AK908">
        <v>10.209943282021801</v>
      </c>
      <c r="AL908">
        <v>83.687549272893605</v>
      </c>
      <c r="AM908">
        <v>71.473924178525607</v>
      </c>
      <c r="AN908">
        <v>0.999999978545144</v>
      </c>
    </row>
    <row r="909" spans="1:40" x14ac:dyDescent="0.25">
      <c r="A909" t="str">
        <f>"20190312164236897"</f>
        <v>20190312164236897</v>
      </c>
      <c r="B909" t="str">
        <f>"1552380156894859"</f>
        <v>1552380156894859</v>
      </c>
      <c r="C909" t="s">
        <v>40</v>
      </c>
      <c r="D909">
        <v>4.9444039999999996</v>
      </c>
      <c r="E909">
        <v>0.49596440000000003</v>
      </c>
      <c r="F909" t="s">
        <v>42</v>
      </c>
      <c r="G909">
        <v>-212.52799999999999</v>
      </c>
      <c r="H909" s="1">
        <v>-4.1398209999999997E-6</v>
      </c>
      <c r="I909">
        <v>364.24930000000001</v>
      </c>
      <c r="J909">
        <v>-222.19820000000001</v>
      </c>
      <c r="K909">
        <v>1.1099139999999901</v>
      </c>
      <c r="L909">
        <v>367.42239999999998</v>
      </c>
      <c r="M909">
        <v>0.99952289999999999</v>
      </c>
      <c r="N909">
        <v>0</v>
      </c>
      <c r="O909">
        <v>-2.769719E-2</v>
      </c>
      <c r="P909">
        <v>0.93461470000000002</v>
      </c>
      <c r="Q909">
        <v>9.5720780000000005E-2</v>
      </c>
      <c r="R909">
        <v>-0.3425397</v>
      </c>
      <c r="S909">
        <v>2.902237</v>
      </c>
      <c r="T909">
        <v>-0.32558239999999999</v>
      </c>
      <c r="U909">
        <v>-0.9328613</v>
      </c>
      <c r="V909">
        <v>0.31666359999999999</v>
      </c>
      <c r="W909">
        <v>0.1082046</v>
      </c>
      <c r="X909">
        <v>0.94234600000000002</v>
      </c>
      <c r="Y909">
        <v>0.27809970000000001</v>
      </c>
      <c r="Z909">
        <v>-1.215279E-2</v>
      </c>
      <c r="AA909">
        <v>0.96047530000000003</v>
      </c>
      <c r="AB909">
        <v>22</v>
      </c>
      <c r="AC909">
        <v>9.6702000000000208</v>
      </c>
      <c r="AD909">
        <v>-1.1099181398209901</v>
      </c>
      <c r="AE909">
        <v>-3.1730999999999701</v>
      </c>
      <c r="AF909">
        <v>2.8698877688865001</v>
      </c>
      <c r="AG909">
        <v>-1.1099181398209901</v>
      </c>
      <c r="AH909">
        <v>9.6397358372650199</v>
      </c>
      <c r="AI909">
        <v>96.297292224105306</v>
      </c>
      <c r="AJ909">
        <v>73.420975825834702</v>
      </c>
      <c r="AK909">
        <v>10.1189268746917</v>
      </c>
      <c r="AL909">
        <v>83.788171218956606</v>
      </c>
      <c r="AM909">
        <v>71.425720551100397</v>
      </c>
      <c r="AN909">
        <v>1.0000000273710501</v>
      </c>
    </row>
    <row r="910" spans="1:40" x14ac:dyDescent="0.25">
      <c r="A910" t="str">
        <f>"20190312164236921"</f>
        <v>20190312164236921</v>
      </c>
      <c r="B910" t="str">
        <f>"1552380156915358"</f>
        <v>1552380156915358</v>
      </c>
      <c r="C910" t="s">
        <v>40</v>
      </c>
      <c r="D910">
        <v>4.7704579999999996</v>
      </c>
      <c r="E910">
        <v>0.49573159999999999</v>
      </c>
      <c r="F910" t="s">
        <v>42</v>
      </c>
      <c r="G910">
        <v>-212.3674</v>
      </c>
      <c r="H910" s="1">
        <v>-4.2081210000000004E-6</v>
      </c>
      <c r="I910">
        <v>364.25279999999998</v>
      </c>
      <c r="J910">
        <v>-221.96360000000001</v>
      </c>
      <c r="K910">
        <v>1.109918</v>
      </c>
      <c r="L910">
        <v>367.41480000000001</v>
      </c>
      <c r="M910">
        <v>0.99949690000000002</v>
      </c>
      <c r="N910">
        <v>0</v>
      </c>
      <c r="O910">
        <v>-2.8615310000000001E-2</v>
      </c>
      <c r="P910">
        <v>0.93388510000000002</v>
      </c>
      <c r="Q910">
        <v>9.4799960000000003E-2</v>
      </c>
      <c r="R910">
        <v>-0.34477799999999997</v>
      </c>
      <c r="S910">
        <v>2.900665</v>
      </c>
      <c r="T910">
        <v>-0.32748939999999999</v>
      </c>
      <c r="U910">
        <v>-0.93521120000000002</v>
      </c>
      <c r="V910">
        <v>0.31805080000000002</v>
      </c>
      <c r="W910">
        <v>0.1072825</v>
      </c>
      <c r="X910">
        <v>0.94198419999999905</v>
      </c>
      <c r="Y910">
        <v>0.27806229999999998</v>
      </c>
      <c r="Z910">
        <v>-1.2125749999999999E-2</v>
      </c>
      <c r="AA910">
        <v>0.96048650000000002</v>
      </c>
      <c r="AB910">
        <v>22</v>
      </c>
      <c r="AC910">
        <v>9.5962000000000103</v>
      </c>
      <c r="AD910">
        <v>-1.1099222081209901</v>
      </c>
      <c r="AE910">
        <v>-3.1620000000000301</v>
      </c>
      <c r="AF910">
        <v>2.85166811400086</v>
      </c>
      <c r="AG910">
        <v>-1.1099222081209901</v>
      </c>
      <c r="AH910">
        <v>9.5673050107637305</v>
      </c>
      <c r="AI910">
        <v>96.344000844311196</v>
      </c>
      <c r="AJ910">
        <v>73.402581604865404</v>
      </c>
      <c r="AK910">
        <v>10.044762989213501</v>
      </c>
      <c r="AL910">
        <v>83.841313086709107</v>
      </c>
      <c r="AM910">
        <v>71.343301091432593</v>
      </c>
      <c r="AN910">
        <v>1.00000003961826</v>
      </c>
    </row>
    <row r="911" spans="1:40" x14ac:dyDescent="0.25">
      <c r="A911" t="str">
        <f>"20190312164236942"</f>
        <v>20190312164236942</v>
      </c>
      <c r="B911" t="str">
        <f>"1552380156934875"</f>
        <v>1552380156934875</v>
      </c>
      <c r="C911" t="s">
        <v>40</v>
      </c>
      <c r="D911">
        <v>4.7693510000000003</v>
      </c>
      <c r="E911">
        <v>0.49556060000000002</v>
      </c>
      <c r="F911" t="s">
        <v>42</v>
      </c>
      <c r="G911">
        <v>-212.17760000000001</v>
      </c>
      <c r="H911" s="1">
        <v>-4.2916989999999997E-6</v>
      </c>
      <c r="I911">
        <v>364.24059999999997</v>
      </c>
      <c r="J911">
        <v>-221.7484</v>
      </c>
      <c r="K911">
        <v>1.1099239999999999</v>
      </c>
      <c r="L911">
        <v>367.4076</v>
      </c>
      <c r="M911">
        <v>0.99947280000000005</v>
      </c>
      <c r="N911">
        <v>0</v>
      </c>
      <c r="O911">
        <v>-2.944548E-2</v>
      </c>
      <c r="P911">
        <v>0.93306449999999996</v>
      </c>
      <c r="Q911">
        <v>9.4684379999999999E-2</v>
      </c>
      <c r="R911">
        <v>-0.3470239</v>
      </c>
      <c r="S911">
        <v>2.8986209999999999</v>
      </c>
      <c r="T911">
        <v>-0.3287563</v>
      </c>
      <c r="U911">
        <v>-0.94018550000000001</v>
      </c>
      <c r="V911">
        <v>0.31953340000000002</v>
      </c>
      <c r="W911">
        <v>0.107164</v>
      </c>
      <c r="X911">
        <v>0.94149579999999999</v>
      </c>
      <c r="Y911">
        <v>0.27894239999999998</v>
      </c>
      <c r="Z911">
        <v>-1.213464E-2</v>
      </c>
      <c r="AA911">
        <v>0.96023119999999995</v>
      </c>
      <c r="AB911">
        <v>22</v>
      </c>
      <c r="AC911">
        <v>9.5707999999999895</v>
      </c>
      <c r="AD911">
        <v>-1.1099282916990001</v>
      </c>
      <c r="AE911">
        <v>-3.16700000000003</v>
      </c>
      <c r="AF911">
        <v>2.84924531642302</v>
      </c>
      <c r="AG911">
        <v>-1.1099282916990001</v>
      </c>
      <c r="AH911">
        <v>9.5442185608286501</v>
      </c>
      <c r="AI911">
        <v>96.358448305447993</v>
      </c>
      <c r="AJ911">
        <v>73.378003710668295</v>
      </c>
      <c r="AK911">
        <v>10.022087987178001</v>
      </c>
      <c r="AL911">
        <v>83.848141939752693</v>
      </c>
      <c r="AM911">
        <v>71.253348321013206</v>
      </c>
      <c r="AN911">
        <v>1.0000000290145901</v>
      </c>
    </row>
    <row r="912" spans="1:40" x14ac:dyDescent="0.25">
      <c r="A912" t="str">
        <f>"20190312164236964"</f>
        <v>20190312164236964</v>
      </c>
      <c r="B912" t="str">
        <f>"1552380156954395"</f>
        <v>1552380156954395</v>
      </c>
      <c r="C912" t="s">
        <v>40</v>
      </c>
      <c r="D912">
        <v>4.861103</v>
      </c>
      <c r="E912">
        <v>0.49543429999999999</v>
      </c>
      <c r="F912" t="s">
        <v>42</v>
      </c>
      <c r="G912">
        <v>-211.9271</v>
      </c>
      <c r="H912" s="1">
        <v>-4.4057930000000003E-6</v>
      </c>
      <c r="I912">
        <v>364.20319999999998</v>
      </c>
      <c r="J912">
        <v>-221.53450000000001</v>
      </c>
      <c r="K912">
        <v>1.1099319999999999</v>
      </c>
      <c r="L912">
        <v>367.40030000000002</v>
      </c>
      <c r="M912">
        <v>0.99944869999999997</v>
      </c>
      <c r="N912">
        <v>0</v>
      </c>
      <c r="O912">
        <v>-3.0255979999999998E-2</v>
      </c>
      <c r="P912">
        <v>0.93188150000000003</v>
      </c>
      <c r="Q912">
        <v>9.4860319999999998E-2</v>
      </c>
      <c r="R912">
        <v>-0.35014099999999998</v>
      </c>
      <c r="S912">
        <v>2.8969269999999998</v>
      </c>
      <c r="T912">
        <v>-0.32738450000000002</v>
      </c>
      <c r="U912">
        <v>-0.94515990000000005</v>
      </c>
      <c r="V912">
        <v>0.32191769999999997</v>
      </c>
      <c r="W912">
        <v>0.10733139999999899</v>
      </c>
      <c r="X912">
        <v>0.9406641</v>
      </c>
      <c r="Y912">
        <v>0.27983059999999998</v>
      </c>
      <c r="Z912">
        <v>-1.204789E-2</v>
      </c>
      <c r="AA912">
        <v>0.95997379999999999</v>
      </c>
      <c r="AB912">
        <v>22</v>
      </c>
      <c r="AC912">
        <v>9.6074000000000108</v>
      </c>
      <c r="AD912">
        <v>-1.1099364057929999</v>
      </c>
      <c r="AE912">
        <v>-3.19710000000003</v>
      </c>
      <c r="AF912">
        <v>2.8704354290142202</v>
      </c>
      <c r="AG912">
        <v>-1.1099364057929999</v>
      </c>
      <c r="AH912">
        <v>9.5845696768613298</v>
      </c>
      <c r="AI912">
        <v>96.330298608331404</v>
      </c>
      <c r="AJ912">
        <v>73.327827365163202</v>
      </c>
      <c r="AK912">
        <v>10.066545299538101</v>
      </c>
      <c r="AL912">
        <v>83.838494757248199</v>
      </c>
      <c r="AM912">
        <v>71.107829660392994</v>
      </c>
      <c r="AN912">
        <v>0.99999999201403</v>
      </c>
    </row>
    <row r="913" spans="1:40" x14ac:dyDescent="0.25">
      <c r="A913" t="str">
        <f>"20190312164236987"</f>
        <v>20190312164236987</v>
      </c>
      <c r="B913" t="str">
        <f>"1552380156984652"</f>
        <v>1552380156984652</v>
      </c>
      <c r="C913" t="s">
        <v>40</v>
      </c>
      <c r="D913">
        <v>4.8117380000000001</v>
      </c>
      <c r="E913">
        <v>0.49514590000000003</v>
      </c>
      <c r="F913" t="s">
        <v>42</v>
      </c>
      <c r="G913">
        <v>-211.68350000000001</v>
      </c>
      <c r="H913" s="1">
        <v>-4.5184940000000003E-6</v>
      </c>
      <c r="I913">
        <v>364.15699999999998</v>
      </c>
      <c r="J913">
        <v>-221.30090000000001</v>
      </c>
      <c r="K913">
        <v>1.1099429999999999</v>
      </c>
      <c r="L913">
        <v>367.3922</v>
      </c>
      <c r="M913">
        <v>0.99942200000000003</v>
      </c>
      <c r="N913">
        <v>0</v>
      </c>
      <c r="O913">
        <v>-3.1125369999999999E-2</v>
      </c>
      <c r="P913">
        <v>0.93100470000000002</v>
      </c>
      <c r="Q913">
        <v>9.4426940000000001E-2</v>
      </c>
      <c r="R913">
        <v>-0.35258139999999999</v>
      </c>
      <c r="S913">
        <v>2.894409</v>
      </c>
      <c r="T913">
        <v>-0.32611869999999998</v>
      </c>
      <c r="U913">
        <v>-0.95294190000000001</v>
      </c>
      <c r="V913">
        <v>0.32356180000000001</v>
      </c>
      <c r="W913">
        <v>0.1068938</v>
      </c>
      <c r="X913">
        <v>0.94014969999999998</v>
      </c>
      <c r="Y913">
        <v>0.28157729999999997</v>
      </c>
      <c r="Z913">
        <v>-1.200731E-2</v>
      </c>
      <c r="AA913">
        <v>0.95946339999999997</v>
      </c>
      <c r="AB913">
        <v>22</v>
      </c>
      <c r="AC913">
        <v>9.6173999999999999</v>
      </c>
      <c r="AD913">
        <v>-1.109947518494</v>
      </c>
      <c r="AE913">
        <v>-3.2352000000000198</v>
      </c>
      <c r="AF913">
        <v>2.8995642352308999</v>
      </c>
      <c r="AG913">
        <v>-1.109947518494</v>
      </c>
      <c r="AH913">
        <v>9.5985931769556707</v>
      </c>
      <c r="AI913">
        <v>96.316697689045498</v>
      </c>
      <c r="AJ913">
        <v>73.191367378797693</v>
      </c>
      <c r="AK913">
        <v>10.088233107176899</v>
      </c>
      <c r="AL913">
        <v>83.863712462517</v>
      </c>
      <c r="AM913">
        <v>71.008592633739397</v>
      </c>
      <c r="AN913">
        <v>0.99999999065388401</v>
      </c>
    </row>
    <row r="914" spans="1:40" x14ac:dyDescent="0.25">
      <c r="A914" t="str">
        <f>"20190312164237011"</f>
        <v>20190312164237011</v>
      </c>
      <c r="B914" t="str">
        <f>"1552380157005148"</f>
        <v>1552380157005148</v>
      </c>
      <c r="C914" t="s">
        <v>40</v>
      </c>
      <c r="D914">
        <v>4.8422720000000004</v>
      </c>
      <c r="E914">
        <v>0.49502390000000002</v>
      </c>
      <c r="F914" t="s">
        <v>42</v>
      </c>
      <c r="G914">
        <v>-211.44130000000001</v>
      </c>
      <c r="H914" s="1">
        <v>-4.6279799999999999E-6</v>
      </c>
      <c r="I914">
        <v>364.12560000000002</v>
      </c>
      <c r="J914">
        <v>-221.06890000000001</v>
      </c>
      <c r="K914">
        <v>1.109944</v>
      </c>
      <c r="L914">
        <v>367.38389999999998</v>
      </c>
      <c r="M914">
        <v>0.99939520000000004</v>
      </c>
      <c r="N914">
        <v>0</v>
      </c>
      <c r="O914">
        <v>-3.197415E-2</v>
      </c>
      <c r="P914">
        <v>0.92991979999999996</v>
      </c>
      <c r="Q914">
        <v>9.3994129999999995E-2</v>
      </c>
      <c r="R914">
        <v>-0.35554809999999998</v>
      </c>
      <c r="S914">
        <v>2.8924099999999999</v>
      </c>
      <c r="T914">
        <v>-0.32561040000000002</v>
      </c>
      <c r="U914">
        <v>-0.95828250000000004</v>
      </c>
      <c r="V914">
        <v>0.32575850000000001</v>
      </c>
      <c r="W914">
        <v>0.1064538</v>
      </c>
      <c r="X914">
        <v>0.93944079999999996</v>
      </c>
      <c r="Y914">
        <v>0.28255980000000003</v>
      </c>
      <c r="Z914">
        <v>-1.1954380000000001E-2</v>
      </c>
      <c r="AA914">
        <v>0.95917520000000001</v>
      </c>
      <c r="AB914">
        <v>22</v>
      </c>
      <c r="AC914">
        <v>9.6275999999999993</v>
      </c>
      <c r="AD914">
        <v>-1.1099486279799999</v>
      </c>
      <c r="AE914">
        <v>-3.2582999999999598</v>
      </c>
      <c r="AF914">
        <v>2.91401958542599</v>
      </c>
      <c r="AG914">
        <v>-1.1099486279799999</v>
      </c>
      <c r="AH914">
        <v>9.6122372035189407</v>
      </c>
      <c r="AI914">
        <v>96.3059455162185</v>
      </c>
      <c r="AJ914">
        <v>73.134938647314002</v>
      </c>
      <c r="AK914">
        <v>10.105374815300699</v>
      </c>
      <c r="AL914">
        <v>83.889067423656797</v>
      </c>
      <c r="AM914">
        <v>70.875608357288996</v>
      </c>
      <c r="AN914">
        <v>1.00000001428066</v>
      </c>
    </row>
    <row r="915" spans="1:40" x14ac:dyDescent="0.25">
      <c r="A915" t="str">
        <f>"20190312164237032"</f>
        <v>20190312164237032</v>
      </c>
      <c r="B915" t="str">
        <f>"1552380157024667"</f>
        <v>1552380157024667</v>
      </c>
      <c r="C915" t="s">
        <v>40</v>
      </c>
      <c r="D915">
        <v>4.8545910000000001</v>
      </c>
      <c r="E915">
        <v>0.49494470000000002</v>
      </c>
      <c r="F915" t="s">
        <v>42</v>
      </c>
      <c r="G915">
        <v>-211.26759999999999</v>
      </c>
      <c r="H915" s="1">
        <v>-4.7063280000000001E-6</v>
      </c>
      <c r="I915">
        <v>364.10390000000001</v>
      </c>
      <c r="J915">
        <v>-220.8537</v>
      </c>
      <c r="K915">
        <v>1.1099540000000001</v>
      </c>
      <c r="L915">
        <v>367.37610000000001</v>
      </c>
      <c r="M915">
        <v>0.99936999999999998</v>
      </c>
      <c r="N915">
        <v>0</v>
      </c>
      <c r="O915">
        <v>-3.2751799999999998E-2</v>
      </c>
      <c r="P915">
        <v>0.92885709999999999</v>
      </c>
      <c r="Q915">
        <v>9.3635540000000003E-2</v>
      </c>
      <c r="R915">
        <v>-0.35840880000000003</v>
      </c>
      <c r="S915">
        <v>2.889465</v>
      </c>
      <c r="T915">
        <v>-0.32721349999999999</v>
      </c>
      <c r="U915">
        <v>-0.96694950000000002</v>
      </c>
      <c r="V915">
        <v>0.32791809999999899</v>
      </c>
      <c r="W915">
        <v>0.1060864</v>
      </c>
      <c r="X915">
        <v>0.93873070000000003</v>
      </c>
      <c r="Y915">
        <v>0.28467179999999997</v>
      </c>
      <c r="Z915">
        <v>-1.2049829999999999E-2</v>
      </c>
      <c r="AA915">
        <v>0.95854930000000005</v>
      </c>
      <c r="AB915">
        <v>22</v>
      </c>
      <c r="AC915">
        <v>9.5861000000000107</v>
      </c>
      <c r="AD915">
        <v>-1.1099587063280001</v>
      </c>
      <c r="AE915">
        <v>-3.27219999999999</v>
      </c>
      <c r="AF915">
        <v>2.9213735200521098</v>
      </c>
      <c r="AG915">
        <v>-1.1099587063280001</v>
      </c>
      <c r="AH915">
        <v>9.5731837576008196</v>
      </c>
      <c r="AI915">
        <v>96.328014500042102</v>
      </c>
      <c r="AJ915">
        <v>73.029793684993294</v>
      </c>
      <c r="AK915">
        <v>10.0703663702075</v>
      </c>
      <c r="AL915">
        <v>83.910237478155295</v>
      </c>
      <c r="AM915">
        <v>70.744632748342895</v>
      </c>
      <c r="AN915">
        <v>0.99999996584752904</v>
      </c>
    </row>
    <row r="916" spans="1:40" x14ac:dyDescent="0.25">
      <c r="A916" t="str">
        <f>"20190312164237054"</f>
        <v>20190312164237054</v>
      </c>
      <c r="B916" t="str">
        <f>"1552380157045164"</f>
        <v>1552380157045164</v>
      </c>
      <c r="C916" t="s">
        <v>40</v>
      </c>
      <c r="D916">
        <v>4.85006</v>
      </c>
      <c r="E916">
        <v>0.49486289999999999</v>
      </c>
      <c r="F916" t="s">
        <v>42</v>
      </c>
      <c r="G916">
        <v>-211.06540000000001</v>
      </c>
      <c r="H916" s="1">
        <v>-4.7995299999999999E-6</v>
      </c>
      <c r="I916">
        <v>364.0675</v>
      </c>
      <c r="J916">
        <v>-220.63509999999999</v>
      </c>
      <c r="K916">
        <v>1.1099619999999999</v>
      </c>
      <c r="L916">
        <v>367.36799999999999</v>
      </c>
      <c r="M916">
        <v>0.99934420000000002</v>
      </c>
      <c r="N916">
        <v>0</v>
      </c>
      <c r="O916">
        <v>-3.3534260000000003E-2</v>
      </c>
      <c r="P916">
        <v>0.92764089999999999</v>
      </c>
      <c r="Q916">
        <v>9.3929360000000003E-2</v>
      </c>
      <c r="R916">
        <v>-0.3614695</v>
      </c>
      <c r="S916">
        <v>2.8862920000000001</v>
      </c>
      <c r="T916">
        <v>-0.32729350000000001</v>
      </c>
      <c r="U916">
        <v>-0.9756165</v>
      </c>
      <c r="V916">
        <v>0.33028049999999998</v>
      </c>
      <c r="W916">
        <v>0.1063675</v>
      </c>
      <c r="X916">
        <v>0.93787030000000005</v>
      </c>
      <c r="Y916">
        <v>0.28681380000000001</v>
      </c>
      <c r="Z916">
        <v>-1.209173E-2</v>
      </c>
      <c r="AA916">
        <v>0.95791000000000004</v>
      </c>
      <c r="AB916">
        <v>22</v>
      </c>
      <c r="AC916">
        <v>9.5696999999999797</v>
      </c>
      <c r="AD916">
        <v>-1.10996679953</v>
      </c>
      <c r="AE916">
        <v>-3.3005000000000502</v>
      </c>
      <c r="AF916">
        <v>2.9423250196614301</v>
      </c>
      <c r="AG916">
        <v>-1.10996679953</v>
      </c>
      <c r="AH916">
        <v>9.5600661799070608</v>
      </c>
      <c r="AI916">
        <v>96.332077993765097</v>
      </c>
      <c r="AJ916">
        <v>72.893076279026502</v>
      </c>
      <c r="AK916">
        <v>10.0640035861275</v>
      </c>
      <c r="AL916">
        <v>83.894040053458895</v>
      </c>
      <c r="AM916">
        <v>70.599770046886903</v>
      </c>
      <c r="AN916">
        <v>0.99999997667929497</v>
      </c>
    </row>
    <row r="917" spans="1:40" x14ac:dyDescent="0.25">
      <c r="A917" t="str">
        <f>"20190312164237076"</f>
        <v>20190312164237076</v>
      </c>
      <c r="B917" t="str">
        <f>"1552380157064685"</f>
        <v>1552380157064685</v>
      </c>
      <c r="C917" t="s">
        <v>40</v>
      </c>
      <c r="D917">
        <v>4.952083</v>
      </c>
      <c r="E917">
        <v>0.4948207</v>
      </c>
      <c r="F917" t="s">
        <v>42</v>
      </c>
      <c r="G917">
        <v>-210.80680000000001</v>
      </c>
      <c r="H917" s="1">
        <v>-4.9206409999999996E-6</v>
      </c>
      <c r="I917">
        <v>364.0102</v>
      </c>
      <c r="J917">
        <v>-220.42009999999999</v>
      </c>
      <c r="K917">
        <v>1.109969</v>
      </c>
      <c r="L917">
        <v>367.35989999999998</v>
      </c>
      <c r="M917">
        <v>0.99931820000000005</v>
      </c>
      <c r="N917">
        <v>0</v>
      </c>
      <c r="O917">
        <v>-3.4299000000000003E-2</v>
      </c>
      <c r="P917">
        <v>0.92661879999999996</v>
      </c>
      <c r="Q917">
        <v>9.3929399999999996E-2</v>
      </c>
      <c r="R917">
        <v>-0.36408079999999998</v>
      </c>
      <c r="S917">
        <v>2.8831329999999999</v>
      </c>
      <c r="T917">
        <v>-0.32560660000000002</v>
      </c>
      <c r="U917">
        <v>-0.98501590000000006</v>
      </c>
      <c r="V917">
        <v>0.3322059</v>
      </c>
      <c r="W917">
        <v>0.1063557</v>
      </c>
      <c r="X917">
        <v>0.93719140000000001</v>
      </c>
      <c r="Y917">
        <v>0.28920249999999997</v>
      </c>
      <c r="Z917">
        <v>-1.2083450000000001E-2</v>
      </c>
      <c r="AA917">
        <v>0.95719169999999998</v>
      </c>
      <c r="AB917">
        <v>22</v>
      </c>
      <c r="AC917">
        <v>9.6132999999999793</v>
      </c>
      <c r="AD917">
        <v>-1.109973920641</v>
      </c>
      <c r="AE917">
        <v>-3.3496999999999799</v>
      </c>
      <c r="AF917">
        <v>2.98251473450817</v>
      </c>
      <c r="AG917">
        <v>-1.109973920641</v>
      </c>
      <c r="AH917">
        <v>9.6083194420187397</v>
      </c>
      <c r="AI917">
        <v>96.295926101890998</v>
      </c>
      <c r="AJ917">
        <v>72.755154753542499</v>
      </c>
      <c r="AK917">
        <v>10.1216223376461</v>
      </c>
      <c r="AL917">
        <v>83.894720190010403</v>
      </c>
      <c r="AM917">
        <v>70.482128510340104</v>
      </c>
      <c r="AN917">
        <v>1.0000000075756299</v>
      </c>
    </row>
    <row r="918" spans="1:40" x14ac:dyDescent="0.25">
      <c r="A918" t="str">
        <f>"20190312164237099"</f>
        <v>20190312164237099</v>
      </c>
      <c r="B918" t="str">
        <f>"1552380157094940"</f>
        <v>1552380157094940</v>
      </c>
      <c r="C918" t="s">
        <v>40</v>
      </c>
      <c r="D918">
        <v>4.8920969999999997</v>
      </c>
      <c r="E918">
        <v>0.49470530000000001</v>
      </c>
      <c r="F918" t="s">
        <v>42</v>
      </c>
      <c r="G918">
        <v>-210.6163</v>
      </c>
      <c r="H918" s="1">
        <v>-5.0072990000000001E-6</v>
      </c>
      <c r="I918">
        <v>363.98230000000001</v>
      </c>
      <c r="J918">
        <v>-220.19569999999999</v>
      </c>
      <c r="K918">
        <v>1.109964</v>
      </c>
      <c r="L918">
        <v>367.35129999999998</v>
      </c>
      <c r="M918">
        <v>0.99929069999999998</v>
      </c>
      <c r="N918">
        <v>0</v>
      </c>
      <c r="O918">
        <v>-3.509669E-2</v>
      </c>
      <c r="P918">
        <v>0.92553180000000002</v>
      </c>
      <c r="Q918">
        <v>9.4251109999999999E-2</v>
      </c>
      <c r="R918">
        <v>-0.366753</v>
      </c>
      <c r="S918">
        <v>2.8806759999999998</v>
      </c>
      <c r="T918">
        <v>-0.32614480000000001</v>
      </c>
      <c r="U918">
        <v>-0.99246219999999996</v>
      </c>
      <c r="V918">
        <v>0.33416570000000001</v>
      </c>
      <c r="W918">
        <v>0.1066629</v>
      </c>
      <c r="X918">
        <v>0.9364595</v>
      </c>
      <c r="Y918">
        <v>0.2908908</v>
      </c>
      <c r="Z918">
        <v>-1.2113550000000001E-2</v>
      </c>
      <c r="AA918">
        <v>0.95667959999999996</v>
      </c>
      <c r="AB918">
        <v>22</v>
      </c>
      <c r="AC918">
        <v>9.5793999999999908</v>
      </c>
      <c r="AD918">
        <v>-1.1099690072990001</v>
      </c>
      <c r="AE918">
        <v>-3.36899999999997</v>
      </c>
      <c r="AF918">
        <v>2.9949040137713201</v>
      </c>
      <c r="AG918">
        <v>-1.1099690072990001</v>
      </c>
      <c r="AH918">
        <v>9.5773180544495808</v>
      </c>
      <c r="AI918">
        <v>96.312025525903096</v>
      </c>
      <c r="AJ918">
        <v>72.6351185465914</v>
      </c>
      <c r="AK918">
        <v>10.095865607512501</v>
      </c>
      <c r="AL918">
        <v>83.877018445588604</v>
      </c>
      <c r="AM918">
        <v>70.361594478224305</v>
      </c>
      <c r="AN918">
        <v>1.00000004221657</v>
      </c>
    </row>
    <row r="919" spans="1:40" x14ac:dyDescent="0.25">
      <c r="A919" t="str">
        <f>"20190312164237122"</f>
        <v>20190312164237122</v>
      </c>
      <c r="B919" t="str">
        <f>"1552380157114459"</f>
        <v>1552380157114459</v>
      </c>
      <c r="C919" t="s">
        <v>40</v>
      </c>
      <c r="D919">
        <v>5.1201829999999999</v>
      </c>
      <c r="E919">
        <v>0.49479970000000001</v>
      </c>
      <c r="F919" t="s">
        <v>42</v>
      </c>
      <c r="G919">
        <v>-210.39060000000001</v>
      </c>
      <c r="H919" s="1">
        <v>-5.1113170000000003E-6</v>
      </c>
      <c r="I919">
        <v>363.94170000000003</v>
      </c>
      <c r="J919">
        <v>-219.97149999999999</v>
      </c>
      <c r="K919">
        <v>1.1099650000000001</v>
      </c>
      <c r="L919">
        <v>367.34249999999997</v>
      </c>
      <c r="M919">
        <v>0.99926230000000005</v>
      </c>
      <c r="N919">
        <v>0</v>
      </c>
      <c r="O919">
        <v>-3.5897760000000001E-2</v>
      </c>
      <c r="P919">
        <v>0.92441770000000001</v>
      </c>
      <c r="Q919">
        <v>9.4533539999999999E-2</v>
      </c>
      <c r="R919">
        <v>-0.36948039999999999</v>
      </c>
      <c r="S919">
        <v>2.877945</v>
      </c>
      <c r="T919">
        <v>-0.32579039999999998</v>
      </c>
      <c r="U919">
        <v>-1.0007629999999901</v>
      </c>
      <c r="V919">
        <v>0.33618009999999998</v>
      </c>
      <c r="W919">
        <v>0.10692840000000001</v>
      </c>
      <c r="X919">
        <v>0.93570790000000004</v>
      </c>
      <c r="Y919">
        <v>0.29286269999999998</v>
      </c>
      <c r="Z919">
        <v>-1.2126369999999999E-2</v>
      </c>
      <c r="AA919">
        <v>0.95607759999999997</v>
      </c>
      <c r="AB919">
        <v>22</v>
      </c>
      <c r="AC919">
        <v>9.5808999999999802</v>
      </c>
      <c r="AD919">
        <v>-1.109970111317</v>
      </c>
      <c r="AE919">
        <v>-3.4007999999999399</v>
      </c>
      <c r="AF919">
        <v>3.0186605521116201</v>
      </c>
      <c r="AG919">
        <v>-1.109970111317</v>
      </c>
      <c r="AH919">
        <v>9.5825922371304699</v>
      </c>
      <c r="AI919">
        <v>96.304462212584099</v>
      </c>
      <c r="AJ919">
        <v>72.514789416948801</v>
      </c>
      <c r="AK919">
        <v>10.107938422843899</v>
      </c>
      <c r="AL919">
        <v>83.861718709254802</v>
      </c>
      <c r="AM919">
        <v>70.237708088145098</v>
      </c>
      <c r="AN919">
        <v>1.00000000824249</v>
      </c>
    </row>
    <row r="920" spans="1:40" x14ac:dyDescent="0.25">
      <c r="A920" t="str">
        <f>"20190312164237142"</f>
        <v>20190312164237142</v>
      </c>
      <c r="B920" t="str">
        <f>"1552380157134955"</f>
        <v>1552380157134955</v>
      </c>
      <c r="C920" t="s">
        <v>40</v>
      </c>
      <c r="D920">
        <v>4.9749970000000001</v>
      </c>
      <c r="E920">
        <v>0.50727120000000003</v>
      </c>
      <c r="F920" t="s">
        <v>42</v>
      </c>
      <c r="G920">
        <v>-210.12569999999999</v>
      </c>
      <c r="H920" s="1">
        <v>-5.2354319999999999E-6</v>
      </c>
      <c r="I920">
        <v>363.88260000000002</v>
      </c>
      <c r="J920">
        <v>-219.7612</v>
      </c>
      <c r="K920">
        <v>1.1099619999999999</v>
      </c>
      <c r="L920">
        <v>367.334</v>
      </c>
      <c r="M920">
        <v>0.99923459999999997</v>
      </c>
      <c r="N920">
        <v>0</v>
      </c>
      <c r="O920">
        <v>-3.665943E-2</v>
      </c>
      <c r="P920">
        <v>0.92341669999999998</v>
      </c>
      <c r="Q920">
        <v>9.4294080000000002E-2</v>
      </c>
      <c r="R920">
        <v>-0.37203599999999998</v>
      </c>
      <c r="S920">
        <v>2.8746800000000001</v>
      </c>
      <c r="T920">
        <v>-0.3240769</v>
      </c>
      <c r="U920">
        <v>-1.010162</v>
      </c>
      <c r="V920">
        <v>0.33805730000000001</v>
      </c>
      <c r="W920">
        <v>0.106671</v>
      </c>
      <c r="X920">
        <v>0.93506069999999997</v>
      </c>
      <c r="Y920">
        <v>0.29526059999999998</v>
      </c>
      <c r="Z920">
        <v>-1.2117620000000001E-2</v>
      </c>
      <c r="AA920">
        <v>0.95533990000000002</v>
      </c>
      <c r="AB920">
        <v>22</v>
      </c>
      <c r="AC920">
        <v>9.6355000000000004</v>
      </c>
      <c r="AD920">
        <v>-1.109967235432</v>
      </c>
      <c r="AE920">
        <v>-3.4513999999999698</v>
      </c>
      <c r="AF920">
        <v>3.0598280118533601</v>
      </c>
      <c r="AG920">
        <v>-1.109967235432</v>
      </c>
      <c r="AH920">
        <v>9.6421583774825095</v>
      </c>
      <c r="AI920">
        <v>96.261659856217307</v>
      </c>
      <c r="AJ920">
        <v>72.393763340305497</v>
      </c>
      <c r="AK920">
        <v>10.176728005715299</v>
      </c>
      <c r="AL920">
        <v>83.876551282921099</v>
      </c>
      <c r="AM920">
        <v>70.123296174552493</v>
      </c>
      <c r="AN920">
        <v>0.99999997650438899</v>
      </c>
    </row>
    <row r="921" spans="1:40" x14ac:dyDescent="0.25">
      <c r="A921" t="str">
        <f>"20190312164237166"</f>
        <v>20190312164237166</v>
      </c>
      <c r="B921" t="str">
        <f>"1552380157154475"</f>
        <v>1552380157154475</v>
      </c>
      <c r="C921" t="s">
        <v>40</v>
      </c>
      <c r="D921">
        <v>4.9321409999999997</v>
      </c>
      <c r="E921">
        <v>0.50725609999999999</v>
      </c>
      <c r="F921" t="s">
        <v>44</v>
      </c>
      <c r="G921">
        <v>-209.41419999999999</v>
      </c>
      <c r="H921" s="1">
        <v>-6.0808409999999999E-6</v>
      </c>
      <c r="I921">
        <v>363.26600000000002</v>
      </c>
      <c r="J921">
        <v>-219.53620000000001</v>
      </c>
      <c r="K921">
        <v>1.1099490000000001</v>
      </c>
      <c r="L921">
        <v>367.32479999999998</v>
      </c>
      <c r="M921">
        <v>0.99920399999999998</v>
      </c>
      <c r="N921">
        <v>0</v>
      </c>
      <c r="O921">
        <v>-3.7486350000000002E-2</v>
      </c>
      <c r="P921">
        <v>0.92267149999999998</v>
      </c>
      <c r="Q921">
        <v>9.4605789999999995E-2</v>
      </c>
      <c r="R921">
        <v>-0.37380079999999999</v>
      </c>
      <c r="S921">
        <v>2.8313600000000001</v>
      </c>
      <c r="T921">
        <v>-0.30373159999999999</v>
      </c>
      <c r="U921">
        <v>-1.113159</v>
      </c>
      <c r="V921">
        <v>0.3390764</v>
      </c>
      <c r="W921">
        <v>0.1069677</v>
      </c>
      <c r="X921">
        <v>0.93465779999999998</v>
      </c>
      <c r="Y921">
        <v>0.32929849999999999</v>
      </c>
      <c r="Z921">
        <v>-1.312471E-2</v>
      </c>
      <c r="AA921">
        <v>0.94413469999999999</v>
      </c>
      <c r="AB921">
        <v>22</v>
      </c>
      <c r="AC921">
        <v>10.122</v>
      </c>
      <c r="AD921">
        <v>-1.1099550808409999</v>
      </c>
      <c r="AE921">
        <v>-4.0588000000000104</v>
      </c>
      <c r="AF921">
        <v>3.6387798910506701</v>
      </c>
      <c r="AG921">
        <v>-1.1099550808409999</v>
      </c>
      <c r="AH921">
        <v>10.1617807064994</v>
      </c>
      <c r="AI921">
        <v>95.871330137586298</v>
      </c>
      <c r="AJ921">
        <v>70.298322615168999</v>
      </c>
      <c r="AK921">
        <v>10.8505532810075</v>
      </c>
      <c r="AL921">
        <v>83.859454244220998</v>
      </c>
      <c r="AM921">
        <v>70.060173723078904</v>
      </c>
      <c r="AN921">
        <v>1.00000004849054</v>
      </c>
    </row>
    <row r="922" spans="1:40" x14ac:dyDescent="0.25">
      <c r="A922" t="str">
        <f>"20190312164237188"</f>
        <v>20190312164237188</v>
      </c>
      <c r="B922" t="str">
        <f>"1552380157184732"</f>
        <v>1552380157184732</v>
      </c>
      <c r="C922" t="s">
        <v>40</v>
      </c>
      <c r="D922">
        <v>4.9301810000000001</v>
      </c>
      <c r="E922">
        <v>0.50799439999999996</v>
      </c>
      <c r="F922" t="s">
        <v>44</v>
      </c>
      <c r="G922">
        <v>-209.53919999999999</v>
      </c>
      <c r="H922" s="1">
        <v>-6.1051810000000001E-6</v>
      </c>
      <c r="I922">
        <v>363.37819999999999</v>
      </c>
      <c r="J922">
        <v>-219.31829999999999</v>
      </c>
      <c r="K922">
        <v>1.1099460000000001</v>
      </c>
      <c r="L922">
        <v>367.31560000000002</v>
      </c>
      <c r="M922">
        <v>0.99917310000000004</v>
      </c>
      <c r="N922">
        <v>0</v>
      </c>
      <c r="O922">
        <v>-3.8301259999999997E-2</v>
      </c>
      <c r="P922">
        <v>0.92155690000000001</v>
      </c>
      <c r="Q922">
        <v>9.5337729999999996E-2</v>
      </c>
      <c r="R922">
        <v>-0.37635659999999999</v>
      </c>
      <c r="S922">
        <v>2.830902</v>
      </c>
      <c r="T922">
        <v>-0.3143147</v>
      </c>
      <c r="U922">
        <v>-1.1175839999999999</v>
      </c>
      <c r="V922">
        <v>0.3409124</v>
      </c>
      <c r="W922">
        <v>0.10767699999999999</v>
      </c>
      <c r="X922">
        <v>0.93390819999999997</v>
      </c>
      <c r="Y922">
        <v>0.32975880000000002</v>
      </c>
      <c r="Z922">
        <v>-1.3515839999999999E-2</v>
      </c>
      <c r="AA922">
        <v>0.94396849999999999</v>
      </c>
      <c r="AB922">
        <v>22</v>
      </c>
      <c r="AC922">
        <v>9.7790999999999997</v>
      </c>
      <c r="AD922">
        <v>-1.109952105181</v>
      </c>
      <c r="AE922">
        <v>-3.9374000000000202</v>
      </c>
      <c r="AF922">
        <v>3.5208921900999202</v>
      </c>
      <c r="AG922">
        <v>-1.109952105181</v>
      </c>
      <c r="AH922">
        <v>9.8139503511643902</v>
      </c>
      <c r="AI922">
        <v>96.076575891504604</v>
      </c>
      <c r="AJ922">
        <v>70.2638403953937</v>
      </c>
      <c r="AK922">
        <v>10.485337237553299</v>
      </c>
      <c r="AL922">
        <v>83.818578353173393</v>
      </c>
      <c r="AM922">
        <v>69.945973944410198</v>
      </c>
      <c r="AN922">
        <v>1.0000000634149899</v>
      </c>
    </row>
    <row r="923" spans="1:40" x14ac:dyDescent="0.25">
      <c r="A923" t="str">
        <f>"20190312164237211"</f>
        <v>20190312164237211</v>
      </c>
      <c r="B923" t="str">
        <f>"1552380157205230"</f>
        <v>1552380157205230</v>
      </c>
      <c r="C923" t="s">
        <v>40</v>
      </c>
      <c r="D923">
        <v>5.0291329999999999</v>
      </c>
      <c r="E923">
        <v>0.50825920000000002</v>
      </c>
      <c r="F923" t="s">
        <v>44</v>
      </c>
      <c r="G923">
        <v>-209.47309999999999</v>
      </c>
      <c r="H923" s="1">
        <v>-6.0828719999999999E-6</v>
      </c>
      <c r="I923">
        <v>363.37909999999999</v>
      </c>
      <c r="J923">
        <v>-219.09450000000001</v>
      </c>
      <c r="K923">
        <v>1.1099349999999999</v>
      </c>
      <c r="L923">
        <v>367.30599999999998</v>
      </c>
      <c r="M923">
        <v>0.99914000000000003</v>
      </c>
      <c r="N923">
        <v>0</v>
      </c>
      <c r="O923">
        <v>-3.9155759999999998E-2</v>
      </c>
      <c r="P923">
        <v>0.9201568</v>
      </c>
      <c r="Q923">
        <v>9.6470799999999995E-2</v>
      </c>
      <c r="R923">
        <v>-0.37948019999999999</v>
      </c>
      <c r="S923">
        <v>2.8267519999999999</v>
      </c>
      <c r="T923">
        <v>-0.31868740000000001</v>
      </c>
      <c r="U923">
        <v>-1.1302490000000001</v>
      </c>
      <c r="V923">
        <v>0.3432926</v>
      </c>
      <c r="W923">
        <v>0.1087829</v>
      </c>
      <c r="X923">
        <v>0.9329075</v>
      </c>
      <c r="Y923">
        <v>0.33301789999999998</v>
      </c>
      <c r="Z923">
        <v>-1.379496E-2</v>
      </c>
      <c r="AA923">
        <v>0.94281959999999998</v>
      </c>
      <c r="AB923">
        <v>22</v>
      </c>
      <c r="AC923">
        <v>9.6214000000000208</v>
      </c>
      <c r="AD923">
        <v>-1.109941082872</v>
      </c>
      <c r="AE923">
        <v>-3.9268999999999799</v>
      </c>
      <c r="AF923">
        <v>3.5071106407973001</v>
      </c>
      <c r="AG923">
        <v>-1.109941082872</v>
      </c>
      <c r="AH923">
        <v>9.65762127264734</v>
      </c>
      <c r="AI923">
        <v>96.165559509666593</v>
      </c>
      <c r="AJ923">
        <v>70.041795202037704</v>
      </c>
      <c r="AK923">
        <v>10.334478356459501</v>
      </c>
      <c r="AL923">
        <v>83.754839937713598</v>
      </c>
      <c r="AM923">
        <v>69.797323859190101</v>
      </c>
      <c r="AN923">
        <v>0.99999996605170904</v>
      </c>
    </row>
    <row r="924" spans="1:40" x14ac:dyDescent="0.25">
      <c r="A924" t="str">
        <f>"20190312164237234"</f>
        <v>20190312164237234</v>
      </c>
      <c r="B924" t="str">
        <f>"1552380157224747"</f>
        <v>1552380157224747</v>
      </c>
      <c r="C924" t="s">
        <v>40</v>
      </c>
      <c r="D924">
        <v>4.9417019999999896</v>
      </c>
      <c r="E924">
        <v>0.50838190000000005</v>
      </c>
      <c r="F924" t="s">
        <v>44</v>
      </c>
      <c r="G924">
        <v>-209.19210000000001</v>
      </c>
      <c r="H924" s="1">
        <v>-6.0012079999999996E-6</v>
      </c>
      <c r="I924">
        <v>363.29989999999998</v>
      </c>
      <c r="J924">
        <v>-218.86779999999999</v>
      </c>
      <c r="K924">
        <v>1.109934</v>
      </c>
      <c r="L924">
        <v>367.29610000000002</v>
      </c>
      <c r="M924">
        <v>0.99910500000000002</v>
      </c>
      <c r="N924">
        <v>0</v>
      </c>
      <c r="O924">
        <v>-4.0039480000000002E-2</v>
      </c>
      <c r="P924">
        <v>0.91875490000000004</v>
      </c>
      <c r="Q924">
        <v>9.7623080000000001E-2</v>
      </c>
      <c r="R924">
        <v>-0.38256970000000001</v>
      </c>
      <c r="S924">
        <v>2.8225560000000001</v>
      </c>
      <c r="T924">
        <v>-0.31637659999999901</v>
      </c>
      <c r="U924">
        <v>-1.141907</v>
      </c>
      <c r="V924">
        <v>0.34561350000000002</v>
      </c>
      <c r="W924">
        <v>0.1099077</v>
      </c>
      <c r="X924">
        <v>0.93191829999999998</v>
      </c>
      <c r="Y924">
        <v>0.33602739999999998</v>
      </c>
      <c r="Z924">
        <v>-1.3771479999999999E-2</v>
      </c>
      <c r="AA924">
        <v>0.94175149999999996</v>
      </c>
      <c r="AB924">
        <v>22</v>
      </c>
      <c r="AC924">
        <v>9.6756999999999707</v>
      </c>
      <c r="AD924">
        <v>-1.1099400012080001</v>
      </c>
      <c r="AE924">
        <v>-3.9962000000000399</v>
      </c>
      <c r="AF924">
        <v>3.5654668146719102</v>
      </c>
      <c r="AG924">
        <v>-1.1099400012080001</v>
      </c>
      <c r="AH924">
        <v>9.7187052568696792</v>
      </c>
      <c r="AI924">
        <v>96.119812139511296</v>
      </c>
      <c r="AJ924">
        <v>69.853607472922803</v>
      </c>
      <c r="AK924">
        <v>10.4114241236592</v>
      </c>
      <c r="AL924">
        <v>83.690005445980105</v>
      </c>
      <c r="AM924">
        <v>69.652074247026107</v>
      </c>
      <c r="AN924">
        <v>1.0000000558882101</v>
      </c>
    </row>
    <row r="925" spans="1:40" x14ac:dyDescent="0.25">
      <c r="A925" t="str">
        <f>"20190312164237255"</f>
        <v>20190312164237255</v>
      </c>
      <c r="B925" t="str">
        <f>"1552380157245244"</f>
        <v>1552380157245244</v>
      </c>
      <c r="C925" t="s">
        <v>40</v>
      </c>
      <c r="D925">
        <v>4.9442170000000001</v>
      </c>
      <c r="E925">
        <v>0.50847759999999997</v>
      </c>
      <c r="F925" t="s">
        <v>44</v>
      </c>
      <c r="G925">
        <v>-208.62299999999999</v>
      </c>
      <c r="H925" s="1">
        <v>-5.8415249999999999E-6</v>
      </c>
      <c r="I925">
        <v>363.1026</v>
      </c>
      <c r="J925">
        <v>-218.65940000000001</v>
      </c>
      <c r="K925">
        <v>1.109928</v>
      </c>
      <c r="L925">
        <v>367.28680000000003</v>
      </c>
      <c r="M925">
        <v>0.9990715</v>
      </c>
      <c r="N925">
        <v>0</v>
      </c>
      <c r="O925">
        <v>-4.0865829999999999E-2</v>
      </c>
      <c r="P925">
        <v>0.91736660000000003</v>
      </c>
      <c r="Q925">
        <v>9.8121340000000001E-2</v>
      </c>
      <c r="R925">
        <v>-0.38575989999999999</v>
      </c>
      <c r="S925">
        <v>2.8174739999999998</v>
      </c>
      <c r="T925">
        <v>-0.30525210000000003</v>
      </c>
      <c r="U925">
        <v>-1.1532899999999999</v>
      </c>
      <c r="V925">
        <v>0.34808909999999998</v>
      </c>
      <c r="W925">
        <v>0.1103797</v>
      </c>
      <c r="X925">
        <v>0.93094060000000001</v>
      </c>
      <c r="Y925">
        <v>0.33919629999999901</v>
      </c>
      <c r="Z925">
        <v>-1.338145E-2</v>
      </c>
      <c r="AA925">
        <v>0.94062040000000002</v>
      </c>
      <c r="AB925">
        <v>22</v>
      </c>
      <c r="AC925">
        <v>10.0364</v>
      </c>
      <c r="AD925">
        <v>-1.109933841525</v>
      </c>
      <c r="AE925">
        <v>-4.1842000000000299</v>
      </c>
      <c r="AF925">
        <v>3.7316387463748799</v>
      </c>
      <c r="AG925">
        <v>-1.109933841525</v>
      </c>
      <c r="AH925">
        <v>10.093849662931801</v>
      </c>
      <c r="AI925">
        <v>95.888599966208702</v>
      </c>
      <c r="AJ925">
        <v>69.710933727977306</v>
      </c>
      <c r="AK925">
        <v>10.818635860582299</v>
      </c>
      <c r="AL925">
        <v>83.662796253847603</v>
      </c>
      <c r="AM925">
        <v>69.4986677702516</v>
      </c>
      <c r="AN925">
        <v>1.00000005021962</v>
      </c>
    </row>
    <row r="926" spans="1:40" x14ac:dyDescent="0.25">
      <c r="A926" t="str">
        <f>"20190312164237278"</f>
        <v>20190312164237278</v>
      </c>
      <c r="B926" t="str">
        <f>"1552380157274524"</f>
        <v>1552380157274524</v>
      </c>
      <c r="C926" t="s">
        <v>40</v>
      </c>
      <c r="D926">
        <v>5.0427749999999998</v>
      </c>
      <c r="E926">
        <v>0.50833709999999999</v>
      </c>
      <c r="F926" t="s">
        <v>44</v>
      </c>
      <c r="G926">
        <v>-208.24789999999999</v>
      </c>
      <c r="H926" s="1">
        <v>-5.7354859999999996E-6</v>
      </c>
      <c r="I926">
        <v>362.97750000000002</v>
      </c>
      <c r="J926">
        <v>-218.43799999999999</v>
      </c>
      <c r="K926">
        <v>1.1099220000000001</v>
      </c>
      <c r="L926">
        <v>367.27670000000001</v>
      </c>
      <c r="M926">
        <v>0.99903459999999999</v>
      </c>
      <c r="N926">
        <v>0</v>
      </c>
      <c r="O926">
        <v>-4.1756889999999998E-2</v>
      </c>
      <c r="P926">
        <v>0.91632570000000002</v>
      </c>
      <c r="Q926">
        <v>9.754235E-2</v>
      </c>
      <c r="R926">
        <v>-0.3883723</v>
      </c>
      <c r="S926">
        <v>2.8127589999999998</v>
      </c>
      <c r="T926">
        <v>-0.29985849999999997</v>
      </c>
      <c r="U926">
        <v>-1.164185</v>
      </c>
      <c r="V926">
        <v>0.349912</v>
      </c>
      <c r="W926">
        <v>0.10978110000000001</v>
      </c>
      <c r="X926">
        <v>0.93032769999999998</v>
      </c>
      <c r="Y926">
        <v>0.34206429999999999</v>
      </c>
      <c r="Z926">
        <v>-1.321319E-2</v>
      </c>
      <c r="AA926">
        <v>0.93958370000000002</v>
      </c>
      <c r="AB926">
        <v>22</v>
      </c>
      <c r="AC926">
        <v>10.190099999999999</v>
      </c>
      <c r="AD926">
        <v>-1.10992773548599</v>
      </c>
      <c r="AE926">
        <v>-4.2991999999999804</v>
      </c>
      <c r="AF926">
        <v>3.8313165207031101</v>
      </c>
      <c r="AG926">
        <v>-1.10992773548599</v>
      </c>
      <c r="AH926">
        <v>10.257442247565599</v>
      </c>
      <c r="AI926">
        <v>95.788119730578202</v>
      </c>
      <c r="AJ926">
        <v>69.518546454919203</v>
      </c>
      <c r="AK926">
        <v>11.005727932397599</v>
      </c>
      <c r="AL926">
        <v>83.697302667275906</v>
      </c>
      <c r="AM926">
        <v>69.387869773658295</v>
      </c>
      <c r="AN926">
        <v>0.99999996352424902</v>
      </c>
    </row>
    <row r="927" spans="1:40" x14ac:dyDescent="0.25">
      <c r="A927" t="str">
        <f>"20190312164237301"</f>
        <v>20190312164237301</v>
      </c>
      <c r="B927" t="str">
        <f>"1552380157295019"</f>
        <v>1552380157295019</v>
      </c>
      <c r="C927" t="s">
        <v>40</v>
      </c>
      <c r="D927">
        <v>4.9222060000000001</v>
      </c>
      <c r="E927">
        <v>0.50834760000000001</v>
      </c>
      <c r="F927" t="s">
        <v>44</v>
      </c>
      <c r="G927">
        <v>-207.9265</v>
      </c>
      <c r="H927" s="1">
        <v>-5.6414400000000001E-6</v>
      </c>
      <c r="I927">
        <v>362.89080000000001</v>
      </c>
      <c r="J927">
        <v>-218.21610000000001</v>
      </c>
      <c r="K927">
        <v>1.109912</v>
      </c>
      <c r="L927">
        <v>367.2663</v>
      </c>
      <c r="M927">
        <v>0.99899640000000001</v>
      </c>
      <c r="N927">
        <v>0</v>
      </c>
      <c r="O927">
        <v>-4.2663180000000002E-2</v>
      </c>
      <c r="P927">
        <v>0.91525849999999997</v>
      </c>
      <c r="Q927">
        <v>9.760916E-2</v>
      </c>
      <c r="R927">
        <v>-0.39086389999999999</v>
      </c>
      <c r="S927">
        <v>2.8088069999999998</v>
      </c>
      <c r="T927">
        <v>-0.29658709999999899</v>
      </c>
      <c r="U927">
        <v>-1.171967</v>
      </c>
      <c r="V927">
        <v>0.35160330000000001</v>
      </c>
      <c r="W927">
        <v>0.10982939999999999</v>
      </c>
      <c r="X927">
        <v>0.92968419999999896</v>
      </c>
      <c r="Y927">
        <v>0.34392329999999999</v>
      </c>
      <c r="Z927">
        <v>-1.308287E-2</v>
      </c>
      <c r="AA927">
        <v>0.93890660000000004</v>
      </c>
      <c r="AB927">
        <v>22</v>
      </c>
      <c r="AC927">
        <v>10.2896</v>
      </c>
      <c r="AD927">
        <v>-1.10991764144</v>
      </c>
      <c r="AE927">
        <v>-4.3754999999999802</v>
      </c>
      <c r="AF927">
        <v>3.8941160979142202</v>
      </c>
      <c r="AG927">
        <v>-1.10991764144</v>
      </c>
      <c r="AH927">
        <v>10.3647883747684</v>
      </c>
      <c r="AI927">
        <v>95.724428906505693</v>
      </c>
      <c r="AJ927">
        <v>69.408485152272405</v>
      </c>
      <c r="AK927">
        <v>11.1276635197398</v>
      </c>
      <c r="AL927">
        <v>83.694518959113395</v>
      </c>
      <c r="AM927">
        <v>69.283558010259398</v>
      </c>
      <c r="AN927">
        <v>1.00000004470244</v>
      </c>
    </row>
    <row r="928" spans="1:40" x14ac:dyDescent="0.25">
      <c r="A928" t="str">
        <f>"20190312164237323"</f>
        <v>20190312164237323</v>
      </c>
      <c r="B928" t="str">
        <f>"1552380157314540"</f>
        <v>1552380157314540</v>
      </c>
      <c r="C928" t="s">
        <v>40</v>
      </c>
      <c r="D928">
        <v>4.9321510000000002</v>
      </c>
      <c r="E928">
        <v>0.50828260000000003</v>
      </c>
      <c r="F928" t="s">
        <v>44</v>
      </c>
      <c r="G928">
        <v>-207.68559999999999</v>
      </c>
      <c r="H928" s="1">
        <v>-5.5694730000000001E-6</v>
      </c>
      <c r="I928">
        <v>362.83539999999999</v>
      </c>
      <c r="J928">
        <v>-218.00110000000001</v>
      </c>
      <c r="K928">
        <v>1.109912</v>
      </c>
      <c r="L928">
        <v>367.2561</v>
      </c>
      <c r="M928">
        <v>0.99895769999999995</v>
      </c>
      <c r="N928">
        <v>0</v>
      </c>
      <c r="O928">
        <v>-4.3561879999999997E-2</v>
      </c>
      <c r="P928">
        <v>0.91415970000000002</v>
      </c>
      <c r="Q928">
        <v>9.8176349999999996E-2</v>
      </c>
      <c r="R928">
        <v>-0.39328550000000001</v>
      </c>
      <c r="S928">
        <v>2.8052060000000001</v>
      </c>
      <c r="T928">
        <v>-0.29567169999999998</v>
      </c>
      <c r="U928">
        <v>-1.1803589999999999</v>
      </c>
      <c r="V928">
        <v>0.35323589999999999</v>
      </c>
      <c r="W928">
        <v>0.1103759</v>
      </c>
      <c r="X928">
        <v>0.9290003</v>
      </c>
      <c r="Y928">
        <v>0.34589799999999998</v>
      </c>
      <c r="Z928">
        <v>-1.306034E-2</v>
      </c>
      <c r="AA928">
        <v>0.93818120000000005</v>
      </c>
      <c r="AB928">
        <v>22</v>
      </c>
      <c r="AC928">
        <v>10.3155</v>
      </c>
      <c r="AD928">
        <v>-1.1099175694729999</v>
      </c>
      <c r="AE928">
        <v>-4.4207000000000098</v>
      </c>
      <c r="AF928">
        <v>3.9286727424722501</v>
      </c>
      <c r="AG928">
        <v>-1.1099175694729999</v>
      </c>
      <c r="AH928">
        <v>10.3966103622605</v>
      </c>
      <c r="AI928">
        <v>95.702958008497205</v>
      </c>
      <c r="AJ928">
        <v>69.299416210809596</v>
      </c>
      <c r="AK928">
        <v>11.1694177804007</v>
      </c>
      <c r="AL928">
        <v>83.663014989631407</v>
      </c>
      <c r="AM928">
        <v>69.181580621288205</v>
      </c>
      <c r="AN928">
        <v>0.99999999887485402</v>
      </c>
    </row>
    <row r="929" spans="1:40" x14ac:dyDescent="0.25">
      <c r="A929" t="str">
        <f>"20190312164237344"</f>
        <v>20190312164237344</v>
      </c>
      <c r="B929" t="str">
        <f>"1552380157335036"</f>
        <v>1552380157335036</v>
      </c>
      <c r="C929" t="s">
        <v>40</v>
      </c>
      <c r="D929">
        <v>5.0069460000000001</v>
      </c>
      <c r="E929">
        <v>0.50865539999999998</v>
      </c>
      <c r="F929" t="s">
        <v>44</v>
      </c>
      <c r="G929">
        <v>-207.4606</v>
      </c>
      <c r="H929" s="1">
        <v>-5.5012120000000003E-6</v>
      </c>
      <c r="I929">
        <v>362.79020000000003</v>
      </c>
      <c r="J929">
        <v>-217.79169999999999</v>
      </c>
      <c r="K929">
        <v>1.109904</v>
      </c>
      <c r="L929">
        <v>367.24579999999997</v>
      </c>
      <c r="M929">
        <v>0.99891819999999998</v>
      </c>
      <c r="N929">
        <v>0</v>
      </c>
      <c r="O929">
        <v>-4.445971E-2</v>
      </c>
      <c r="P929">
        <v>0.91288789999999997</v>
      </c>
      <c r="Q929">
        <v>9.9044530000000006E-2</v>
      </c>
      <c r="R929">
        <v>-0.39601249999999999</v>
      </c>
      <c r="S929">
        <v>2.8025359999999999</v>
      </c>
      <c r="T929">
        <v>-0.29510950000000002</v>
      </c>
      <c r="U929">
        <v>-1.187408</v>
      </c>
      <c r="V929">
        <v>0.35518519999999998</v>
      </c>
      <c r="W929">
        <v>0.1112171</v>
      </c>
      <c r="X929">
        <v>0.92815639999999999</v>
      </c>
      <c r="Y929">
        <v>0.34737879999999999</v>
      </c>
      <c r="Z929">
        <v>-1.30256E-2</v>
      </c>
      <c r="AA929">
        <v>0.93763439999999998</v>
      </c>
      <c r="AB929">
        <v>22</v>
      </c>
      <c r="AC929">
        <v>10.3310999999999</v>
      </c>
      <c r="AD929">
        <v>-1.1099095012119999</v>
      </c>
      <c r="AE929">
        <v>-4.4555999999999401</v>
      </c>
      <c r="AF929">
        <v>3.9533594258057199</v>
      </c>
      <c r="AG929">
        <v>-1.1099095012119999</v>
      </c>
      <c r="AH929">
        <v>10.417612710653</v>
      </c>
      <c r="AI929">
        <v>95.688484934642702</v>
      </c>
      <c r="AJ929">
        <v>69.218845260045896</v>
      </c>
      <c r="AK929">
        <v>11.1976606681774</v>
      </c>
      <c r="AL929">
        <v>83.614519434915707</v>
      </c>
      <c r="AM929">
        <v>69.059242127531704</v>
      </c>
      <c r="AN929">
        <v>1.0000000362462</v>
      </c>
    </row>
    <row r="930" spans="1:40" x14ac:dyDescent="0.25">
      <c r="A930" t="str">
        <f>"20190312164237366"</f>
        <v>20190312164237366</v>
      </c>
      <c r="B930" t="str">
        <f>"1552380157354556"</f>
        <v>1552380157354556</v>
      </c>
      <c r="C930" t="s">
        <v>40</v>
      </c>
      <c r="D930">
        <v>4.9115659999999997</v>
      </c>
      <c r="E930">
        <v>0.50860360000000004</v>
      </c>
      <c r="F930" t="s">
        <v>44</v>
      </c>
      <c r="G930">
        <v>-207.3014</v>
      </c>
      <c r="H930" s="1">
        <v>-5.4531740000000003E-6</v>
      </c>
      <c r="I930">
        <v>362.75659999999999</v>
      </c>
      <c r="J930">
        <v>-217.58179999999999</v>
      </c>
      <c r="K930">
        <v>1.1098889999999999</v>
      </c>
      <c r="L930">
        <v>367.23540000000003</v>
      </c>
      <c r="M930">
        <v>0.99887680000000001</v>
      </c>
      <c r="N930">
        <v>0</v>
      </c>
      <c r="O930">
        <v>-4.5381900000000003E-2</v>
      </c>
      <c r="P930">
        <v>0.91160770000000002</v>
      </c>
      <c r="Q930">
        <v>9.9204940000000005E-2</v>
      </c>
      <c r="R930">
        <v>-0.39891120000000002</v>
      </c>
      <c r="S930">
        <v>2.798813</v>
      </c>
      <c r="T930">
        <v>-0.2961261</v>
      </c>
      <c r="U930">
        <v>-1.197754</v>
      </c>
      <c r="V930">
        <v>0.35728480000000001</v>
      </c>
      <c r="W930">
        <v>0.1113479</v>
      </c>
      <c r="X930">
        <v>0.92733449999999995</v>
      </c>
      <c r="Y930">
        <v>0.34987560000000001</v>
      </c>
      <c r="Z930">
        <v>-1.3110729999999999E-2</v>
      </c>
      <c r="AA930">
        <v>0.93670439999999999</v>
      </c>
      <c r="AB930">
        <v>22</v>
      </c>
      <c r="AC930">
        <v>10.280399999999901</v>
      </c>
      <c r="AD930">
        <v>-1.10989445317399</v>
      </c>
      <c r="AE930">
        <v>-4.4788000000000299</v>
      </c>
      <c r="AF930">
        <v>3.9687179889648698</v>
      </c>
      <c r="AG930">
        <v>-1.10989445317399</v>
      </c>
      <c r="AH930">
        <v>10.371478016895001</v>
      </c>
      <c r="AI930">
        <v>95.707562893461201</v>
      </c>
      <c r="AJ930">
        <v>69.060303795989398</v>
      </c>
      <c r="AK930">
        <v>11.1602036015503</v>
      </c>
      <c r="AL930">
        <v>83.606978261472193</v>
      </c>
      <c r="AM930">
        <v>68.929250505422502</v>
      </c>
      <c r="AN930">
        <v>1.0000000290178399</v>
      </c>
    </row>
    <row r="931" spans="1:40" x14ac:dyDescent="0.25">
      <c r="A931" t="str">
        <f>"20190312164237389"</f>
        <v>20190312164237389</v>
      </c>
      <c r="B931" t="str">
        <f>"1552380157384812"</f>
        <v>1552380157384812</v>
      </c>
      <c r="C931" t="s">
        <v>40</v>
      </c>
      <c r="D931">
        <v>4.8781299999999996</v>
      </c>
      <c r="E931">
        <v>0.50880839999999905</v>
      </c>
      <c r="F931" t="s">
        <v>44</v>
      </c>
      <c r="G931">
        <v>-207.22649999999999</v>
      </c>
      <c r="H931" s="1">
        <v>-5.4259339999999997E-6</v>
      </c>
      <c r="I931">
        <v>362.77050000000003</v>
      </c>
      <c r="J931">
        <v>-217.35679999999999</v>
      </c>
      <c r="K931">
        <v>1.109869</v>
      </c>
      <c r="L931">
        <v>367.22399999999999</v>
      </c>
      <c r="M931">
        <v>0.99883</v>
      </c>
      <c r="N931">
        <v>0</v>
      </c>
      <c r="O931">
        <v>-4.6400249999999997E-2</v>
      </c>
      <c r="P931">
        <v>0.91036550000000005</v>
      </c>
      <c r="Q931">
        <v>9.9644849999999993E-2</v>
      </c>
      <c r="R931">
        <v>-0.40162930000000002</v>
      </c>
      <c r="S931">
        <v>2.7959749999999999</v>
      </c>
      <c r="T931">
        <v>-0.299678</v>
      </c>
      <c r="U931">
        <v>-1.2055659999999999</v>
      </c>
      <c r="V931">
        <v>0.35911659999999901</v>
      </c>
      <c r="W931">
        <v>0.11175590000000001</v>
      </c>
      <c r="X931">
        <v>0.9265776</v>
      </c>
      <c r="Y931">
        <v>0.35143609999999997</v>
      </c>
      <c r="Z931">
        <v>-1.324883E-2</v>
      </c>
      <c r="AA931">
        <v>0.93611809999999995</v>
      </c>
      <c r="AB931">
        <v>22</v>
      </c>
      <c r="AC931">
        <v>10.1303</v>
      </c>
      <c r="AD931">
        <v>-1.1098744259340001</v>
      </c>
      <c r="AE931">
        <v>-4.45349999999996</v>
      </c>
      <c r="AF931">
        <v>3.9389870475261</v>
      </c>
      <c r="AG931">
        <v>-1.1098744259340001</v>
      </c>
      <c r="AH931">
        <v>10.2232118279391</v>
      </c>
      <c r="AI931">
        <v>95.784596240178502</v>
      </c>
      <c r="AJ931">
        <v>68.928406457361106</v>
      </c>
      <c r="AK931">
        <v>11.0118799612434</v>
      </c>
      <c r="AL931">
        <v>83.583455100856199</v>
      </c>
      <c r="AM931">
        <v>68.815006529233798</v>
      </c>
      <c r="AN931">
        <v>1.0000000812010601</v>
      </c>
    </row>
    <row r="932" spans="1:40" x14ac:dyDescent="0.25">
      <c r="A932" t="str">
        <f>"20190312164237412"</f>
        <v>20190312164237412</v>
      </c>
      <c r="B932" t="str">
        <f>"1552380157405308"</f>
        <v>1552380157405308</v>
      </c>
      <c r="C932" t="s">
        <v>40</v>
      </c>
      <c r="D932">
        <v>4.8441539999999996</v>
      </c>
      <c r="E932">
        <v>0.50879010000000002</v>
      </c>
      <c r="F932" t="s">
        <v>44</v>
      </c>
      <c r="G932">
        <v>-207.1729</v>
      </c>
      <c r="H932" s="1">
        <v>-5.4038309999999996E-6</v>
      </c>
      <c r="I932">
        <v>362.79689999999999</v>
      </c>
      <c r="J932">
        <v>-217.13990000000001</v>
      </c>
      <c r="K932">
        <v>1.1098429999999999</v>
      </c>
      <c r="L932">
        <v>367.21269999999998</v>
      </c>
      <c r="M932">
        <v>0.99878219999999995</v>
      </c>
      <c r="N932">
        <v>0</v>
      </c>
      <c r="O932">
        <v>-4.742043E-2</v>
      </c>
      <c r="P932">
        <v>0.90916030000000003</v>
      </c>
      <c r="Q932">
        <v>0.1002875</v>
      </c>
      <c r="R932">
        <v>-0.40419110000000003</v>
      </c>
      <c r="S932">
        <v>2.7930450000000002</v>
      </c>
      <c r="T932">
        <v>-0.30439450000000001</v>
      </c>
      <c r="U932">
        <v>-1.214172</v>
      </c>
      <c r="V932">
        <v>0.3607918</v>
      </c>
      <c r="W932">
        <v>0.1123647</v>
      </c>
      <c r="X932">
        <v>0.92585280000000003</v>
      </c>
      <c r="Y932">
        <v>0.35321469999999999</v>
      </c>
      <c r="Z932">
        <v>-1.3448399999999999E-2</v>
      </c>
      <c r="AA932">
        <v>0.93544559999999999</v>
      </c>
      <c r="AB932">
        <v>22</v>
      </c>
      <c r="AC932">
        <v>9.9670000000000094</v>
      </c>
      <c r="AD932">
        <v>-1.1098484038309999</v>
      </c>
      <c r="AE932">
        <v>-4.4157999999999902</v>
      </c>
      <c r="AF932">
        <v>3.8977485306882</v>
      </c>
      <c r="AG932">
        <v>-1.1098484038309999</v>
      </c>
      <c r="AH932">
        <v>10.060923749181599</v>
      </c>
      <c r="AI932">
        <v>95.872969673483993</v>
      </c>
      <c r="AJ932">
        <v>68.822905964083901</v>
      </c>
      <c r="AK932">
        <v>10.8464922336585</v>
      </c>
      <c r="AL932">
        <v>83.548351666027301</v>
      </c>
      <c r="AM932">
        <v>68.709837752631302</v>
      </c>
      <c r="AN932">
        <v>0.99999997801058405</v>
      </c>
    </row>
    <row r="933" spans="1:40" x14ac:dyDescent="0.25">
      <c r="A933" t="str">
        <f>"20190312164237434"</f>
        <v>20190312164237434</v>
      </c>
      <c r="B933" t="str">
        <f>"1552380157424828"</f>
        <v>1552380157424828</v>
      </c>
      <c r="C933" t="s">
        <v>40</v>
      </c>
      <c r="D933">
        <v>4.9259779999999997</v>
      </c>
      <c r="E933">
        <v>0.50911059999999997</v>
      </c>
      <c r="F933" t="s">
        <v>44</v>
      </c>
      <c r="G933">
        <v>-207.00710000000001</v>
      </c>
      <c r="H933" s="1">
        <v>-5.3511089999999999E-6</v>
      </c>
      <c r="I933">
        <v>362.7792</v>
      </c>
      <c r="J933">
        <v>-216.9212</v>
      </c>
      <c r="K933">
        <v>1.1098170000000001</v>
      </c>
      <c r="L933">
        <v>367.20100000000002</v>
      </c>
      <c r="M933">
        <v>0.99873069999999997</v>
      </c>
      <c r="N933">
        <v>0</v>
      </c>
      <c r="O933">
        <v>-4.8492300000000002E-2</v>
      </c>
      <c r="P933">
        <v>0.90776489999999999</v>
      </c>
      <c r="Q933">
        <v>0.1012931</v>
      </c>
      <c r="R933">
        <v>-0.40706599999999998</v>
      </c>
      <c r="S933">
        <v>2.7906490000000002</v>
      </c>
      <c r="T933">
        <v>-0.30566199999999999</v>
      </c>
      <c r="U933">
        <v>-1.2210080000000001</v>
      </c>
      <c r="V933">
        <v>0.36274390000000001</v>
      </c>
      <c r="W933">
        <v>0.1133318</v>
      </c>
      <c r="X933">
        <v>0.92497180000000001</v>
      </c>
      <c r="Y933">
        <v>0.35441600000000001</v>
      </c>
      <c r="Z933">
        <v>-1.345989E-2</v>
      </c>
      <c r="AA933">
        <v>0.93499100000000002</v>
      </c>
      <c r="AB933">
        <v>22</v>
      </c>
      <c r="AC933">
        <v>9.9140999999999906</v>
      </c>
      <c r="AD933">
        <v>-1.109822351109</v>
      </c>
      <c r="AE933">
        <v>-4.4217999999999602</v>
      </c>
      <c r="AF933">
        <v>3.89508272495411</v>
      </c>
      <c r="AG933">
        <v>-1.109822351109</v>
      </c>
      <c r="AH933">
        <v>10.0122277308138</v>
      </c>
      <c r="AI933">
        <v>95.8979974078309</v>
      </c>
      <c r="AJ933">
        <v>68.742343780567097</v>
      </c>
      <c r="AK933">
        <v>10.8003740314368</v>
      </c>
      <c r="AL933">
        <v>83.492585042823805</v>
      </c>
      <c r="AM933">
        <v>68.5865011318988</v>
      </c>
      <c r="AN933">
        <v>1.0000000323368401</v>
      </c>
    </row>
    <row r="934" spans="1:40" x14ac:dyDescent="0.25">
      <c r="A934" t="str">
        <f>"20190312164237457"</f>
        <v>20190312164237457</v>
      </c>
      <c r="B934" t="str">
        <f>"1552380157445323"</f>
        <v>1552380157445323</v>
      </c>
      <c r="C934" t="s">
        <v>40</v>
      </c>
      <c r="D934">
        <v>4.7902199999999997</v>
      </c>
      <c r="E934">
        <v>0.50942520000000002</v>
      </c>
      <c r="F934" t="s">
        <v>44</v>
      </c>
      <c r="G934">
        <v>-206.77670000000001</v>
      </c>
      <c r="H934" s="1">
        <v>-5.2833790000000002E-6</v>
      </c>
      <c r="I934">
        <v>362.71910000000003</v>
      </c>
      <c r="J934">
        <v>-216.7073</v>
      </c>
      <c r="K934">
        <v>1.1097900000000001</v>
      </c>
      <c r="L934">
        <v>367.1893</v>
      </c>
      <c r="M934">
        <v>0.99867680000000003</v>
      </c>
      <c r="N934">
        <v>0</v>
      </c>
      <c r="O934">
        <v>-4.9588519999999997E-2</v>
      </c>
      <c r="P934">
        <v>0.90609680000000004</v>
      </c>
      <c r="Q934">
        <v>0.1018088</v>
      </c>
      <c r="R934">
        <v>-0.41063820000000001</v>
      </c>
      <c r="S934">
        <v>2.786743</v>
      </c>
      <c r="T934">
        <v>-0.30487300000000001</v>
      </c>
      <c r="U934">
        <v>-1.231201</v>
      </c>
      <c r="V934">
        <v>0.36538579999999998</v>
      </c>
      <c r="W934">
        <v>0.11380220000000001</v>
      </c>
      <c r="X934">
        <v>0.92387350000000001</v>
      </c>
      <c r="Y934">
        <v>0.35673630000000001</v>
      </c>
      <c r="Z934">
        <v>-1.3440550000000001E-2</v>
      </c>
      <c r="AA934">
        <v>0.93410839999999995</v>
      </c>
      <c r="AB934">
        <v>22</v>
      </c>
      <c r="AC934">
        <v>9.9305999999999894</v>
      </c>
      <c r="AD934">
        <v>-1.1097952833789999</v>
      </c>
      <c r="AE934">
        <v>-4.47019999999997</v>
      </c>
      <c r="AF934">
        <v>3.9313828975557898</v>
      </c>
      <c r="AG934">
        <v>-1.1097952833789999</v>
      </c>
      <c r="AH934">
        <v>10.035850181527801</v>
      </c>
      <c r="AI934">
        <v>95.878725356106898</v>
      </c>
      <c r="AJ934">
        <v>68.608036581384496</v>
      </c>
      <c r="AK934">
        <v>10.835391359996001</v>
      </c>
      <c r="AL934">
        <v>83.4654572848019</v>
      </c>
      <c r="AM934">
        <v>68.421533785921696</v>
      </c>
      <c r="AN934">
        <v>0.99999998378436405</v>
      </c>
    </row>
    <row r="935" spans="1:40" x14ac:dyDescent="0.25">
      <c r="A935" t="str">
        <f>"20190312164237479"</f>
        <v>20190312164237479</v>
      </c>
      <c r="B935" t="str">
        <f>"1552380157474604"</f>
        <v>1552380157474604</v>
      </c>
      <c r="C935" t="s">
        <v>40</v>
      </c>
      <c r="D935">
        <v>4.7841009999999997</v>
      </c>
      <c r="E935">
        <v>0.50960689999999997</v>
      </c>
      <c r="F935" t="s">
        <v>44</v>
      </c>
      <c r="G935">
        <v>-206.54689999999999</v>
      </c>
      <c r="H935" s="1">
        <v>-5.2176709999999999E-6</v>
      </c>
      <c r="I935">
        <v>362.6472</v>
      </c>
      <c r="J935">
        <v>-216.49039999999999</v>
      </c>
      <c r="K935">
        <v>1.1097619999999999</v>
      </c>
      <c r="L935">
        <v>367.17720000000003</v>
      </c>
      <c r="M935">
        <v>0.99861849999999996</v>
      </c>
      <c r="N935">
        <v>0</v>
      </c>
      <c r="O935">
        <v>-5.0749160000000001E-2</v>
      </c>
      <c r="P935">
        <v>0.90453050000000002</v>
      </c>
      <c r="Q935">
        <v>0.1022328</v>
      </c>
      <c r="R935">
        <v>-0.41397260000000002</v>
      </c>
      <c r="S935">
        <v>2.7815089999999998</v>
      </c>
      <c r="T935">
        <v>-0.30381720000000001</v>
      </c>
      <c r="U935">
        <v>-1.243439</v>
      </c>
      <c r="V935">
        <v>0.36772880000000002</v>
      </c>
      <c r="W935">
        <v>0.1141812</v>
      </c>
      <c r="X935">
        <v>0.92289659999999996</v>
      </c>
      <c r="Y935">
        <v>0.35972959999999998</v>
      </c>
      <c r="Z935">
        <v>-1.3441639999999999E-2</v>
      </c>
      <c r="AA935">
        <v>0.93295980000000001</v>
      </c>
      <c r="AB935">
        <v>22</v>
      </c>
      <c r="AC935">
        <v>9.9435000000000002</v>
      </c>
      <c r="AD935">
        <v>-1.1097672176710001</v>
      </c>
      <c r="AE935">
        <v>-4.5300000000000296</v>
      </c>
      <c r="AF935">
        <v>3.9784517505250099</v>
      </c>
      <c r="AG935">
        <v>-1.1097672176710001</v>
      </c>
      <c r="AH935">
        <v>10.0568604557418</v>
      </c>
      <c r="AI935">
        <v>95.858719153955406</v>
      </c>
      <c r="AJ935">
        <v>68.416456639513399</v>
      </c>
      <c r="AK935">
        <v>10.8719871152856</v>
      </c>
      <c r="AL935">
        <v>83.443599655377099</v>
      </c>
      <c r="AM935">
        <v>68.275155614776807</v>
      </c>
      <c r="AN935">
        <v>0.99999997553721898</v>
      </c>
    </row>
    <row r="936" spans="1:40" x14ac:dyDescent="0.25">
      <c r="A936" t="str">
        <f>"20190312164237501"</f>
        <v>20190312164237501</v>
      </c>
      <c r="B936" t="str">
        <f>"1552380157495103"</f>
        <v>1552380157495103</v>
      </c>
      <c r="C936" t="s">
        <v>40</v>
      </c>
      <c r="D936">
        <v>4.7792659999999998</v>
      </c>
      <c r="E936">
        <v>0.50971080000000002</v>
      </c>
      <c r="F936" t="s">
        <v>44</v>
      </c>
      <c r="G936">
        <v>-206.30690000000001</v>
      </c>
      <c r="H936" s="1">
        <v>-5.1237770000000004E-6</v>
      </c>
      <c r="I936">
        <v>362.58030000000002</v>
      </c>
      <c r="J936">
        <v>-216.27180000000001</v>
      </c>
      <c r="K936">
        <v>1.109731</v>
      </c>
      <c r="L936">
        <v>367.16469999999998</v>
      </c>
      <c r="M936">
        <v>0.99855579999999999</v>
      </c>
      <c r="N936">
        <v>0</v>
      </c>
      <c r="O936">
        <v>-5.1968569999999999E-2</v>
      </c>
      <c r="P936">
        <v>0.90266259999999998</v>
      </c>
      <c r="Q936">
        <v>0.103059999999999</v>
      </c>
      <c r="R936">
        <v>-0.41782619999999998</v>
      </c>
      <c r="S936">
        <v>2.7770839999999999</v>
      </c>
      <c r="T936">
        <v>-0.3026392</v>
      </c>
      <c r="U936">
        <v>-1.253601</v>
      </c>
      <c r="V936">
        <v>0.37055490000000002</v>
      </c>
      <c r="W936">
        <v>0.11495850000000001</v>
      </c>
      <c r="X936">
        <v>0.92166890000000001</v>
      </c>
      <c r="Y936">
        <v>0.3619889</v>
      </c>
      <c r="Z936">
        <v>-1.339128E-2</v>
      </c>
      <c r="AA936">
        <v>0.93208619999999998</v>
      </c>
      <c r="AB936">
        <v>22</v>
      </c>
      <c r="AC936">
        <v>9.9649000000000001</v>
      </c>
      <c r="AD936">
        <v>-1.109736123777</v>
      </c>
      <c r="AE936">
        <v>-4.5843999999999596</v>
      </c>
      <c r="AF936">
        <v>4.0191556368714796</v>
      </c>
      <c r="AG936">
        <v>-1.109736123777</v>
      </c>
      <c r="AH936">
        <v>10.086457324028</v>
      </c>
      <c r="AI936">
        <v>95.835767623406099</v>
      </c>
      <c r="AJ936">
        <v>68.274177071880203</v>
      </c>
      <c r="AK936">
        <v>10.9142909823428</v>
      </c>
      <c r="AL936">
        <v>83.398768441469102</v>
      </c>
      <c r="AM936">
        <v>68.097518050670502</v>
      </c>
      <c r="AN936">
        <v>0.99999997593173395</v>
      </c>
    </row>
    <row r="937" spans="1:40" x14ac:dyDescent="0.25">
      <c r="A937" t="str">
        <f>"20190312164237523"</f>
        <v>20190312164237523</v>
      </c>
      <c r="B937" t="str">
        <f>"1552380157514620"</f>
        <v>1552380157514620</v>
      </c>
      <c r="C937" t="s">
        <v>40</v>
      </c>
      <c r="D937">
        <v>5.0219399999999998</v>
      </c>
      <c r="E937">
        <v>0.50984459999999998</v>
      </c>
      <c r="F937" t="s">
        <v>44</v>
      </c>
      <c r="G937">
        <v>-206.02529999999999</v>
      </c>
      <c r="H937" s="1">
        <v>-5.0132199999999901E-6</v>
      </c>
      <c r="I937">
        <v>362.4873</v>
      </c>
      <c r="J937">
        <v>-216.0692</v>
      </c>
      <c r="K937">
        <v>1.1097109999999999</v>
      </c>
      <c r="L937">
        <v>367.15280000000001</v>
      </c>
      <c r="M937">
        <v>0.9984942</v>
      </c>
      <c r="N937">
        <v>0</v>
      </c>
      <c r="O937">
        <v>-5.3142710000000003E-2</v>
      </c>
      <c r="P937">
        <v>0.90074900000000002</v>
      </c>
      <c r="Q937">
        <v>0.10366789999999899</v>
      </c>
      <c r="R937">
        <v>-0.42178739999999998</v>
      </c>
      <c r="S937">
        <v>2.7720639999999999</v>
      </c>
      <c r="T937">
        <v>-0.30022510000000002</v>
      </c>
      <c r="U937">
        <v>-1.2654110000000001</v>
      </c>
      <c r="V937">
        <v>0.37353439999999999</v>
      </c>
      <c r="W937">
        <v>0.11551980000000001</v>
      </c>
      <c r="X937">
        <v>0.92039510000000002</v>
      </c>
      <c r="Y937">
        <v>0.36483080000000001</v>
      </c>
      <c r="Z937">
        <v>-1.332207E-2</v>
      </c>
      <c r="AA937">
        <v>0.93097850000000004</v>
      </c>
      <c r="AB937">
        <v>21</v>
      </c>
      <c r="AC937">
        <v>10.043900000000001</v>
      </c>
      <c r="AD937">
        <v>-1.1097160132199999</v>
      </c>
      <c r="AE937">
        <v>-4.6654999999999998</v>
      </c>
      <c r="AF937">
        <v>4.0840891576906397</v>
      </c>
      <c r="AG937">
        <v>-1.1097160132199999</v>
      </c>
      <c r="AH937">
        <v>10.175494987552099</v>
      </c>
      <c r="AI937">
        <v>95.779215718146801</v>
      </c>
      <c r="AJ937">
        <v>68.131193120058498</v>
      </c>
      <c r="AK937">
        <v>11.020524130896</v>
      </c>
      <c r="AL937">
        <v>83.366392492387703</v>
      </c>
      <c r="AM937">
        <v>67.910651092511998</v>
      </c>
      <c r="AN937">
        <v>0.99999995613970405</v>
      </c>
    </row>
    <row r="938" spans="1:40" x14ac:dyDescent="0.25">
      <c r="A938" t="str">
        <f>"20190312164237545"</f>
        <v>20190312164237545</v>
      </c>
      <c r="B938" t="str">
        <f>"1552380157535116"</f>
        <v>1552380157535116</v>
      </c>
      <c r="C938" t="s">
        <v>40</v>
      </c>
      <c r="D938">
        <v>4.7501350000000002</v>
      </c>
      <c r="E938">
        <v>0.50991089999999994</v>
      </c>
      <c r="F938" t="s">
        <v>44</v>
      </c>
      <c r="G938">
        <v>-205.7878</v>
      </c>
      <c r="H938" s="1">
        <v>-4.9206650000000003E-6</v>
      </c>
      <c r="I938">
        <v>362.4058</v>
      </c>
      <c r="J938">
        <v>-215.85419999999999</v>
      </c>
      <c r="K938">
        <v>1.1096889999999999</v>
      </c>
      <c r="L938">
        <v>367.13979999999998</v>
      </c>
      <c r="M938">
        <v>0.99842520000000001</v>
      </c>
      <c r="N938">
        <v>0</v>
      </c>
      <c r="O938">
        <v>-5.4423579999999999E-2</v>
      </c>
      <c r="P938">
        <v>0.89868379999999903</v>
      </c>
      <c r="Q938">
        <v>0.1044089</v>
      </c>
      <c r="R938">
        <v>-0.4259889</v>
      </c>
      <c r="S938">
        <v>2.766769</v>
      </c>
      <c r="T938">
        <v>-0.29863119999999999</v>
      </c>
      <c r="U938">
        <v>-1.2774350000000001</v>
      </c>
      <c r="V938">
        <v>0.37666630000000001</v>
      </c>
      <c r="W938">
        <v>0.1162165</v>
      </c>
      <c r="X938">
        <v>0.91903009999999996</v>
      </c>
      <c r="Y938">
        <v>0.36765550000000002</v>
      </c>
      <c r="Z938">
        <v>-1.3277809999999999E-2</v>
      </c>
      <c r="AA938">
        <v>0.92986729999999995</v>
      </c>
      <c r="AB938">
        <v>21</v>
      </c>
      <c r="AC938">
        <v>10.0663999999999</v>
      </c>
      <c r="AD938">
        <v>-1.1096939206649901</v>
      </c>
      <c r="AE938">
        <v>-4.7339999999999796</v>
      </c>
      <c r="AF938">
        <v>4.1379043224752303</v>
      </c>
      <c r="AG938">
        <v>-1.1096939206649901</v>
      </c>
      <c r="AH938">
        <v>10.2075635166811</v>
      </c>
      <c r="AI938">
        <v>95.753110388808807</v>
      </c>
      <c r="AJ938">
        <v>67.933532715890493</v>
      </c>
      <c r="AK938">
        <v>11.070141179162899</v>
      </c>
      <c r="AL938">
        <v>83.326204466661594</v>
      </c>
      <c r="AM938">
        <v>67.713631987680401</v>
      </c>
      <c r="AN938">
        <v>1.0000000505669699</v>
      </c>
    </row>
    <row r="939" spans="1:40" x14ac:dyDescent="0.25">
      <c r="A939" t="str">
        <f>"20190312164237568"</f>
        <v>20190312164237568</v>
      </c>
      <c r="B939" t="str">
        <f>"1552380157564396"</f>
        <v>1552380157564396</v>
      </c>
      <c r="C939" t="s">
        <v>40</v>
      </c>
      <c r="D939">
        <v>4.9105660000000002</v>
      </c>
      <c r="E939">
        <v>0.51389410000000002</v>
      </c>
      <c r="F939" t="s">
        <v>44</v>
      </c>
      <c r="G939">
        <v>-205.52269999999999</v>
      </c>
      <c r="H939" s="1">
        <v>-4.8182489999999997E-6</v>
      </c>
      <c r="I939">
        <v>362.3107</v>
      </c>
      <c r="J939">
        <v>-215.63910000000001</v>
      </c>
      <c r="K939">
        <v>1.1096729999999999</v>
      </c>
      <c r="L939">
        <v>367.12639999999999</v>
      </c>
      <c r="M939">
        <v>0.99835260000000003</v>
      </c>
      <c r="N939">
        <v>0</v>
      </c>
      <c r="O939">
        <v>-5.5740610000000003E-2</v>
      </c>
      <c r="P939">
        <v>0.89645459999999999</v>
      </c>
      <c r="Q939">
        <v>0.104771</v>
      </c>
      <c r="R939">
        <v>-0.43057260000000003</v>
      </c>
      <c r="S939">
        <v>2.7609710000000001</v>
      </c>
      <c r="T939">
        <v>-0.29655169999999997</v>
      </c>
      <c r="U939">
        <v>-1.290497</v>
      </c>
      <c r="V939">
        <v>0.38015769999999999</v>
      </c>
      <c r="W939">
        <v>0.11653520000000001</v>
      </c>
      <c r="X939">
        <v>0.91755089999999995</v>
      </c>
      <c r="Y939">
        <v>0.3707975</v>
      </c>
      <c r="Z939">
        <v>-1.322539E-2</v>
      </c>
      <c r="AA939">
        <v>0.92861959999999999</v>
      </c>
      <c r="AB939">
        <v>21</v>
      </c>
      <c r="AC939">
        <v>10.116400000000001</v>
      </c>
      <c r="AD939">
        <v>-1.1096778182489999</v>
      </c>
      <c r="AE939">
        <v>-4.8156999999999899</v>
      </c>
      <c r="AF939">
        <v>4.2030362690153398</v>
      </c>
      <c r="AG939">
        <v>-1.1096778182489999</v>
      </c>
      <c r="AH939">
        <v>10.268398155616</v>
      </c>
      <c r="AI939">
        <v>95.711352768044094</v>
      </c>
      <c r="AJ939">
        <v>67.739849992070504</v>
      </c>
      <c r="AK939">
        <v>11.150645695260501</v>
      </c>
      <c r="AL939">
        <v>83.307818986047096</v>
      </c>
      <c r="AM939">
        <v>67.494900861860003</v>
      </c>
      <c r="AN939">
        <v>0.99999999189956901</v>
      </c>
    </row>
    <row r="940" spans="1:40" x14ac:dyDescent="0.25">
      <c r="A940" t="str">
        <f>"20190312164237591"</f>
        <v>20190312164237591</v>
      </c>
      <c r="B940" t="str">
        <f>"1552380157584892"</f>
        <v>1552380157584892</v>
      </c>
      <c r="C940" t="s">
        <v>40</v>
      </c>
      <c r="D940">
        <v>5.0109399999999997</v>
      </c>
      <c r="E940">
        <v>0.5131599</v>
      </c>
      <c r="F940" t="s">
        <v>44</v>
      </c>
      <c r="G940">
        <v>-207.0454</v>
      </c>
      <c r="H940" s="1">
        <v>-5.3326709999999996E-6</v>
      </c>
      <c r="I940">
        <v>362.97949999999997</v>
      </c>
      <c r="J940">
        <v>-215.41810000000001</v>
      </c>
      <c r="K940">
        <v>1.109653</v>
      </c>
      <c r="L940">
        <v>367.11250000000001</v>
      </c>
      <c r="M940">
        <v>0.99827399999999999</v>
      </c>
      <c r="N940">
        <v>0</v>
      </c>
      <c r="O940">
        <v>-5.7130470000000003E-2</v>
      </c>
      <c r="P940">
        <v>0.89389039999999997</v>
      </c>
      <c r="Q940">
        <v>0.1048124</v>
      </c>
      <c r="R940">
        <v>-0.43586059999999999</v>
      </c>
      <c r="S940">
        <v>2.7505039999999998</v>
      </c>
      <c r="T940">
        <v>-0.35516799999999998</v>
      </c>
      <c r="U940">
        <v>-1.3273010000000001</v>
      </c>
      <c r="V940">
        <v>0.3843086</v>
      </c>
      <c r="W940">
        <v>0.1165281</v>
      </c>
      <c r="X940">
        <v>0.915821</v>
      </c>
      <c r="Y940">
        <v>0.3802779</v>
      </c>
      <c r="Z940">
        <v>-1.6244330000000001E-2</v>
      </c>
      <c r="AA940">
        <v>0.92472960000000004</v>
      </c>
      <c r="AB940">
        <v>21</v>
      </c>
      <c r="AC940">
        <v>8.3727</v>
      </c>
      <c r="AD940">
        <v>-1.1096583326709999</v>
      </c>
      <c r="AE940">
        <v>-4.1330000000000302</v>
      </c>
      <c r="AF940">
        <v>3.5970646409803599</v>
      </c>
      <c r="AG940">
        <v>-1.1096583326709999</v>
      </c>
      <c r="AH940">
        <v>8.4754612982357695</v>
      </c>
      <c r="AI940">
        <v>96.872191456882803</v>
      </c>
      <c r="AJ940">
        <v>67.003180527890194</v>
      </c>
      <c r="AK940">
        <v>9.2738158200683305</v>
      </c>
      <c r="AL940">
        <v>83.3082286383639</v>
      </c>
      <c r="AM940">
        <v>67.235477150071205</v>
      </c>
      <c r="AN940">
        <v>1.00000000108228</v>
      </c>
    </row>
    <row r="941" spans="1:40" x14ac:dyDescent="0.25">
      <c r="A941" t="str">
        <f>"20190312164237612"</f>
        <v>20190312164237612</v>
      </c>
      <c r="B941" t="str">
        <f>"1552380157605388"</f>
        <v>1552380157605388</v>
      </c>
      <c r="C941" t="s">
        <v>40</v>
      </c>
      <c r="D941">
        <v>4.8320879999999997</v>
      </c>
      <c r="E941">
        <v>0.51282070000000002</v>
      </c>
      <c r="F941" t="s">
        <v>44</v>
      </c>
      <c r="G941">
        <v>-206.65119999999999</v>
      </c>
      <c r="H941" s="1">
        <v>-5.2227239999999998E-6</v>
      </c>
      <c r="I941">
        <v>362.83839999999998</v>
      </c>
      <c r="J941">
        <v>-215.21289999999999</v>
      </c>
      <c r="K941">
        <v>1.1096280000000001</v>
      </c>
      <c r="L941">
        <v>367.0992</v>
      </c>
      <c r="M941">
        <v>0.99819709999999995</v>
      </c>
      <c r="N941">
        <v>0</v>
      </c>
      <c r="O941">
        <v>-5.8459589999999999E-2</v>
      </c>
      <c r="P941">
        <v>0.89152580000000003</v>
      </c>
      <c r="Q941">
        <v>0.1045647</v>
      </c>
      <c r="R941">
        <v>-0.44073600000000002</v>
      </c>
      <c r="S941">
        <v>2.7444760000000001</v>
      </c>
      <c r="T941">
        <v>-0.34737709999999999</v>
      </c>
      <c r="U941">
        <v>-1.337982</v>
      </c>
      <c r="V941">
        <v>0.38809670000000002</v>
      </c>
      <c r="W941">
        <v>0.11623260000000001</v>
      </c>
      <c r="X941">
        <v>0.91425970000000001</v>
      </c>
      <c r="Y941">
        <v>0.38283519999999999</v>
      </c>
      <c r="Z941">
        <v>-1.5904370000000001E-2</v>
      </c>
      <c r="AA941">
        <v>0.92367969999999999</v>
      </c>
      <c r="AB941">
        <v>21</v>
      </c>
      <c r="AC941">
        <v>8.5617000000000001</v>
      </c>
      <c r="AD941">
        <v>-1.109633222724</v>
      </c>
      <c r="AE941">
        <v>-4.2608000000000104</v>
      </c>
      <c r="AF941">
        <v>3.7030972023114699</v>
      </c>
      <c r="AG941">
        <v>-1.109633222724</v>
      </c>
      <c r="AH941">
        <v>8.6793130664176399</v>
      </c>
      <c r="AI941">
        <v>96.706737408274805</v>
      </c>
      <c r="AJ941">
        <v>66.894099665222896</v>
      </c>
      <c r="AK941">
        <v>9.5012993892218702</v>
      </c>
      <c r="AL941">
        <v>83.325274918451498</v>
      </c>
      <c r="AM941">
        <v>66.999124796567997</v>
      </c>
      <c r="AN941">
        <v>0.99999993244886698</v>
      </c>
    </row>
    <row r="942" spans="1:40" x14ac:dyDescent="0.25">
      <c r="A942" t="str">
        <f>"20190312164237636"</f>
        <v>20190312164237636</v>
      </c>
      <c r="B942" t="str">
        <f>"1552380157624908"</f>
        <v>1552380157624908</v>
      </c>
      <c r="C942" t="s">
        <v>40</v>
      </c>
      <c r="D942">
        <v>4.9282529999999998</v>
      </c>
      <c r="E942">
        <v>0.5124649</v>
      </c>
      <c r="F942" t="s">
        <v>44</v>
      </c>
      <c r="G942">
        <v>-206.20349999999999</v>
      </c>
      <c r="H942" s="1">
        <v>-5.0593010000000002E-6</v>
      </c>
      <c r="I942">
        <v>362.65379999999999</v>
      </c>
      <c r="J942">
        <v>-214.9905</v>
      </c>
      <c r="K942">
        <v>1.109602</v>
      </c>
      <c r="L942">
        <v>367.08440000000002</v>
      </c>
      <c r="M942">
        <v>0.99810849999999995</v>
      </c>
      <c r="N942">
        <v>0</v>
      </c>
      <c r="O942">
        <v>-5.995151E-2</v>
      </c>
      <c r="P942">
        <v>0.88906609999999997</v>
      </c>
      <c r="Q942">
        <v>0.1041374</v>
      </c>
      <c r="R942">
        <v>-0.44577660000000002</v>
      </c>
      <c r="S942">
        <v>2.7369379999999999</v>
      </c>
      <c r="T942">
        <v>-0.33709040000000001</v>
      </c>
      <c r="U942">
        <v>-1.350433</v>
      </c>
      <c r="V942">
        <v>0.39191419999999999</v>
      </c>
      <c r="W942">
        <v>0.11574619999999999</v>
      </c>
      <c r="X942">
        <v>0.91269169999999999</v>
      </c>
      <c r="Y942">
        <v>0.38594709999999899</v>
      </c>
      <c r="Z942">
        <v>-1.546894E-2</v>
      </c>
      <c r="AA942">
        <v>0.92239119999999997</v>
      </c>
      <c r="AB942">
        <v>21</v>
      </c>
      <c r="AC942">
        <v>8.7870000000000008</v>
      </c>
      <c r="AD942">
        <v>-1.1096070593009999</v>
      </c>
      <c r="AE942">
        <v>-4.4306000000000196</v>
      </c>
      <c r="AF942">
        <v>3.8468778774282</v>
      </c>
      <c r="AG942">
        <v>-1.1096070593009999</v>
      </c>
      <c r="AH942">
        <v>8.9233871132477507</v>
      </c>
      <c r="AI942">
        <v>96.514342799635202</v>
      </c>
      <c r="AJ942">
        <v>66.679095160854004</v>
      </c>
      <c r="AK942">
        <v>9.7804158808699508</v>
      </c>
      <c r="AL942">
        <v>83.353333625710306</v>
      </c>
      <c r="AM942">
        <v>66.761082107037495</v>
      </c>
      <c r="AN942">
        <v>1.0000000311124799</v>
      </c>
    </row>
    <row r="943" spans="1:40" x14ac:dyDescent="0.25">
      <c r="A943" t="str">
        <f>"20190312164237659"</f>
        <v>20190312164237659</v>
      </c>
      <c r="B943" t="str">
        <f>"1552380157655163"</f>
        <v>1552380157655163</v>
      </c>
      <c r="C943" t="s">
        <v>40</v>
      </c>
      <c r="D943">
        <v>4.9173720000000003</v>
      </c>
      <c r="E943">
        <v>0.51198789999999905</v>
      </c>
      <c r="F943" t="s">
        <v>44</v>
      </c>
      <c r="G943">
        <v>-205.92750000000001</v>
      </c>
      <c r="H943" s="1">
        <v>-4.9530319999999999E-6</v>
      </c>
      <c r="I943">
        <v>362.5532</v>
      </c>
      <c r="J943">
        <v>-214.77760000000001</v>
      </c>
      <c r="K943">
        <v>1.1095569999999999</v>
      </c>
      <c r="L943">
        <v>367.06990000000002</v>
      </c>
      <c r="M943">
        <v>0.99801740000000005</v>
      </c>
      <c r="N943">
        <v>0</v>
      </c>
      <c r="O943">
        <v>-6.1449990000000003E-2</v>
      </c>
      <c r="P943">
        <v>0.88654089999999997</v>
      </c>
      <c r="Q943">
        <v>0.10424120000000001</v>
      </c>
      <c r="R943">
        <v>-0.45075419999999999</v>
      </c>
      <c r="S943">
        <v>2.729279</v>
      </c>
      <c r="T943">
        <v>-0.33415020000000001</v>
      </c>
      <c r="U943">
        <v>-1.3645320000000001</v>
      </c>
      <c r="V943">
        <v>0.39567669999999999</v>
      </c>
      <c r="W943">
        <v>0.1157784</v>
      </c>
      <c r="X943">
        <v>0.91106279999999995</v>
      </c>
      <c r="Y943">
        <v>0.38942569999999999</v>
      </c>
      <c r="Z943">
        <v>-1.5386149999999999E-2</v>
      </c>
      <c r="AA943">
        <v>0.92092940000000001</v>
      </c>
      <c r="AB943">
        <v>21</v>
      </c>
      <c r="AC943">
        <v>8.8500999999999905</v>
      </c>
      <c r="AD943">
        <v>-1.109561953032</v>
      </c>
      <c r="AE943">
        <v>-4.5167000000000099</v>
      </c>
      <c r="AF943">
        <v>3.9154469117834898</v>
      </c>
      <c r="AG943">
        <v>-1.109561953032</v>
      </c>
      <c r="AH943">
        <v>8.9987317135899794</v>
      </c>
      <c r="AI943">
        <v>96.450640600892001</v>
      </c>
      <c r="AJ943">
        <v>66.485613413947803</v>
      </c>
      <c r="AK943">
        <v>9.8761847238587599</v>
      </c>
      <c r="AL943">
        <v>83.351476388325594</v>
      </c>
      <c r="AM943">
        <v>66.524581290079098</v>
      </c>
      <c r="AN943">
        <v>1.0000000571866401</v>
      </c>
    </row>
    <row r="944" spans="1:40" x14ac:dyDescent="0.25">
      <c r="A944" t="str">
        <f>"20190312164237680"</f>
        <v>20190312164237680</v>
      </c>
      <c r="B944" t="str">
        <f>"1552380157674688"</f>
        <v>1552380157674688</v>
      </c>
      <c r="C944" t="s">
        <v>40</v>
      </c>
      <c r="D944">
        <v>4.8215529999999998</v>
      </c>
      <c r="E944">
        <v>0.51181100000000002</v>
      </c>
      <c r="F944" t="s">
        <v>44</v>
      </c>
      <c r="G944">
        <v>-205.62960000000001</v>
      </c>
      <c r="H944" s="1">
        <v>-4.8385399999999998E-6</v>
      </c>
      <c r="I944">
        <v>362.44389999999999</v>
      </c>
      <c r="J944">
        <v>-214.56909999999999</v>
      </c>
      <c r="K944">
        <v>1.10949599999999</v>
      </c>
      <c r="L944">
        <v>367.05520000000001</v>
      </c>
      <c r="M944">
        <v>0.99792009999999998</v>
      </c>
      <c r="N944">
        <v>0</v>
      </c>
      <c r="O944">
        <v>-6.3009590000000004E-2</v>
      </c>
      <c r="P944">
        <v>0.88321930000000004</v>
      </c>
      <c r="Q944">
        <v>0.10389619999999999</v>
      </c>
      <c r="R944">
        <v>-0.45730680000000001</v>
      </c>
      <c r="S944">
        <v>2.7227329999999998</v>
      </c>
      <c r="T944">
        <v>-0.33024019999999998</v>
      </c>
      <c r="U944">
        <v>-1.3768309999999999</v>
      </c>
      <c r="V944">
        <v>0.40101419999999999</v>
      </c>
      <c r="W944">
        <v>0.1153337</v>
      </c>
      <c r="X944">
        <v>0.9087826</v>
      </c>
      <c r="Y944">
        <v>0.39222459999999998</v>
      </c>
      <c r="Z944">
        <v>-1.52088E-2</v>
      </c>
      <c r="AA944">
        <v>0.91974370000000005</v>
      </c>
      <c r="AB944">
        <v>21</v>
      </c>
      <c r="AC944">
        <v>8.9394999999999794</v>
      </c>
      <c r="AD944">
        <v>-1.10950083853999</v>
      </c>
      <c r="AE944">
        <v>-4.6113000000000204</v>
      </c>
      <c r="AF944">
        <v>3.9902613219582999</v>
      </c>
      <c r="AG944">
        <v>-1.10950083853999</v>
      </c>
      <c r="AH944">
        <v>9.1015817850208798</v>
      </c>
      <c r="AI944">
        <v>96.370343506666899</v>
      </c>
      <c r="AJ944">
        <v>66.326679606904193</v>
      </c>
      <c r="AK944">
        <v>9.9995984178196498</v>
      </c>
      <c r="AL944">
        <v>83.377127494918795</v>
      </c>
      <c r="AM944">
        <v>66.189797693002404</v>
      </c>
      <c r="AN944">
        <v>1.00000003251004</v>
      </c>
    </row>
    <row r="945" spans="1:40" x14ac:dyDescent="0.25">
      <c r="A945" t="str">
        <f>"20190312164237716"</f>
        <v>20190312164237716</v>
      </c>
      <c r="B945" t="str">
        <f>"1552380157704940"</f>
        <v>1552380157704940</v>
      </c>
      <c r="C945" t="s">
        <v>40</v>
      </c>
      <c r="D945">
        <v>4.8414609999999998</v>
      </c>
      <c r="E945">
        <v>0.51186640000000005</v>
      </c>
      <c r="F945" t="s">
        <v>44</v>
      </c>
      <c r="G945">
        <v>-205.46459999999999</v>
      </c>
      <c r="H945" s="1">
        <v>-4.7777589999999997E-6</v>
      </c>
      <c r="I945">
        <v>362.37139999999999</v>
      </c>
      <c r="J945">
        <v>-214.23009999999999</v>
      </c>
      <c r="K945">
        <v>1.1093599999999999</v>
      </c>
      <c r="L945">
        <v>367.03030000000001</v>
      </c>
      <c r="M945">
        <v>0.99773820000000002</v>
      </c>
      <c r="N945">
        <v>0</v>
      </c>
      <c r="O945">
        <v>-6.582797E-2</v>
      </c>
      <c r="P945">
        <v>0.87947090000000006</v>
      </c>
      <c r="Q945">
        <v>0.1045032</v>
      </c>
      <c r="R945">
        <v>-0.46433849999999999</v>
      </c>
      <c r="S945">
        <v>2.7129059999999998</v>
      </c>
      <c r="T945">
        <v>-0.33060529999999999</v>
      </c>
      <c r="U945">
        <v>-1.3956599999999999</v>
      </c>
      <c r="V945">
        <v>0.40574399999999999</v>
      </c>
      <c r="W945">
        <v>0.11576839999999999</v>
      </c>
      <c r="X945">
        <v>0.90662529999999997</v>
      </c>
      <c r="Y945">
        <v>0.39601389999999997</v>
      </c>
      <c r="Z945">
        <v>-1.5149620000000001E-2</v>
      </c>
      <c r="AA945">
        <v>0.91811949999999998</v>
      </c>
      <c r="AB945">
        <v>21</v>
      </c>
      <c r="AC945">
        <v>8.7654999999999994</v>
      </c>
      <c r="AD945">
        <v>-1.1093647777590001</v>
      </c>
      <c r="AE945">
        <v>-4.6589000000000098</v>
      </c>
      <c r="AF945">
        <v>4.0214985937880199</v>
      </c>
      <c r="AG945">
        <v>-1.1093647777590001</v>
      </c>
      <c r="AH945">
        <v>8.9415246756872602</v>
      </c>
      <c r="AI945">
        <v>96.455641137917098</v>
      </c>
      <c r="AJ945">
        <v>65.783912461234394</v>
      </c>
      <c r="AK945">
        <v>9.8668132989276494</v>
      </c>
      <c r="AL945">
        <v>83.352052678019106</v>
      </c>
      <c r="AM945">
        <v>65.889947804194094</v>
      </c>
      <c r="AN945">
        <v>0.99999997528732398</v>
      </c>
    </row>
    <row r="946" spans="1:40" x14ac:dyDescent="0.25">
      <c r="A946" t="str">
        <f>"20190312164237736"</f>
        <v>20190312164237736</v>
      </c>
      <c r="B946" t="str">
        <f>"1552380157724460"</f>
        <v>1552380157724460</v>
      </c>
      <c r="C946" t="s">
        <v>40</v>
      </c>
      <c r="D946">
        <v>4.8924820000000002</v>
      </c>
      <c r="E946">
        <v>0.51212550000000001</v>
      </c>
      <c r="F946" t="s">
        <v>44</v>
      </c>
      <c r="G946">
        <v>-205.11089999999999</v>
      </c>
      <c r="H946" s="1">
        <v>-4.6406190000000004E-6</v>
      </c>
      <c r="I946">
        <v>362.24680000000001</v>
      </c>
      <c r="J946">
        <v>-214.0427</v>
      </c>
      <c r="K946">
        <v>1.109283</v>
      </c>
      <c r="L946">
        <v>367.01600000000002</v>
      </c>
      <c r="M946">
        <v>0.99762379999999995</v>
      </c>
      <c r="N946">
        <v>0</v>
      </c>
      <c r="O946">
        <v>-6.7537470000000002E-2</v>
      </c>
      <c r="P946">
        <v>0.8765811</v>
      </c>
      <c r="Q946">
        <v>0.10594480000000001</v>
      </c>
      <c r="R946">
        <v>-0.46944750000000002</v>
      </c>
      <c r="S946">
        <v>2.701889</v>
      </c>
      <c r="T946">
        <v>-0.32869039999999999</v>
      </c>
      <c r="U946">
        <v>-1.417297</v>
      </c>
      <c r="V946">
        <v>0.40950720000000002</v>
      </c>
      <c r="W946">
        <v>0.117094</v>
      </c>
      <c r="X946">
        <v>0.90476120000000004</v>
      </c>
      <c r="Y946">
        <v>0.40173490000000001</v>
      </c>
      <c r="Z946">
        <v>-1.522417E-2</v>
      </c>
      <c r="AA946">
        <v>0.91562940000000004</v>
      </c>
      <c r="AB946">
        <v>21</v>
      </c>
      <c r="AC946">
        <v>8.9318000000000097</v>
      </c>
      <c r="AD946">
        <v>-1.109287640619</v>
      </c>
      <c r="AE946">
        <v>-4.7691999999999499</v>
      </c>
      <c r="AF946">
        <v>4.1057425599616098</v>
      </c>
      <c r="AG946">
        <v>-1.109287640619</v>
      </c>
      <c r="AH946">
        <v>9.1240215323800609</v>
      </c>
      <c r="AI946">
        <v>96.326581018358596</v>
      </c>
      <c r="AJ946">
        <v>65.772605245437404</v>
      </c>
      <c r="AK946">
        <v>10.066549059218101</v>
      </c>
      <c r="AL946">
        <v>83.275581386378207</v>
      </c>
      <c r="AM946">
        <v>65.647847043455499</v>
      </c>
      <c r="AN946">
        <v>0.999999990356639</v>
      </c>
    </row>
    <row r="947" spans="1:40" x14ac:dyDescent="0.25">
      <c r="A947" t="str">
        <f>"20190312164237758"</f>
        <v>20190312164237758</v>
      </c>
      <c r="B947" t="str">
        <f>"1552380157754716"</f>
        <v>1552380157754716</v>
      </c>
      <c r="C947" t="s">
        <v>40</v>
      </c>
      <c r="D947">
        <v>4.8076239999999997</v>
      </c>
      <c r="E947">
        <v>0.51924309999999996</v>
      </c>
      <c r="F947" t="s">
        <v>44</v>
      </c>
      <c r="G947">
        <v>-204.81399999999999</v>
      </c>
      <c r="H947" s="1">
        <v>-4.528596E-6</v>
      </c>
      <c r="I947">
        <v>362.09690000000001</v>
      </c>
      <c r="J947">
        <v>-213.83029999999999</v>
      </c>
      <c r="K947">
        <v>1.1091879999999901</v>
      </c>
      <c r="L947">
        <v>366.99919999999997</v>
      </c>
      <c r="M947">
        <v>0.9974807</v>
      </c>
      <c r="N947">
        <v>0</v>
      </c>
      <c r="O947">
        <v>-6.9620760000000004E-2</v>
      </c>
      <c r="P947">
        <v>0.87358179999999996</v>
      </c>
      <c r="Q947">
        <v>0.1071714</v>
      </c>
      <c r="R947">
        <v>-0.47473090000000001</v>
      </c>
      <c r="S947">
        <v>2.69278</v>
      </c>
      <c r="T947">
        <v>-0.32367210000000002</v>
      </c>
      <c r="U947">
        <v>-1.435333</v>
      </c>
      <c r="V947">
        <v>0.4131243</v>
      </c>
      <c r="W947">
        <v>0.1181907</v>
      </c>
      <c r="X947">
        <v>0.90297249999999996</v>
      </c>
      <c r="Y947">
        <v>0.40592509999999998</v>
      </c>
      <c r="Z947">
        <v>-1.501998E-2</v>
      </c>
      <c r="AA947">
        <v>0.91378289999999995</v>
      </c>
      <c r="AB947">
        <v>21</v>
      </c>
      <c r="AC947">
        <v>9.0162999999999691</v>
      </c>
      <c r="AD947">
        <v>-1.10919252859599</v>
      </c>
      <c r="AE947">
        <v>-4.9022999999999604</v>
      </c>
      <c r="AF947">
        <v>4.2134062187367602</v>
      </c>
      <c r="AG947">
        <v>-1.10919252859599</v>
      </c>
      <c r="AH947">
        <v>9.2279604738253393</v>
      </c>
      <c r="AI947">
        <v>96.239978294871904</v>
      </c>
      <c r="AJ947">
        <v>65.4589747299257</v>
      </c>
      <c r="AK947">
        <v>10.2048201618679</v>
      </c>
      <c r="AL947">
        <v>83.212306002599306</v>
      </c>
      <c r="AM947">
        <v>65.415150723623697</v>
      </c>
      <c r="AN947">
        <v>1.0000000322866101</v>
      </c>
    </row>
    <row r="948" spans="1:40" x14ac:dyDescent="0.25">
      <c r="A948" t="str">
        <f>"20190312164237782"</f>
        <v>20190312164237782</v>
      </c>
      <c r="B948" t="str">
        <f>"1552380157775215"</f>
        <v>1552380157775215</v>
      </c>
      <c r="C948" t="s">
        <v>40</v>
      </c>
      <c r="D948">
        <v>4.7629330000000003</v>
      </c>
      <c r="E948">
        <v>0.52018509999999996</v>
      </c>
      <c r="F948" t="s">
        <v>44</v>
      </c>
      <c r="G948">
        <v>-203.86</v>
      </c>
      <c r="H948" s="1">
        <v>-4.2149659999999998E-6</v>
      </c>
      <c r="I948">
        <v>361.34620000000001</v>
      </c>
      <c r="J948">
        <v>-213.61250000000001</v>
      </c>
      <c r="K948">
        <v>1.109083</v>
      </c>
      <c r="L948">
        <v>366.98140000000001</v>
      </c>
      <c r="M948">
        <v>0.99731570000000003</v>
      </c>
      <c r="N948">
        <v>0</v>
      </c>
      <c r="O948">
        <v>-7.1943010000000002E-2</v>
      </c>
      <c r="P948">
        <v>0.87027960000000004</v>
      </c>
      <c r="Q948">
        <v>0.1072666</v>
      </c>
      <c r="R948">
        <v>-0.4807361</v>
      </c>
      <c r="S948">
        <v>2.6529240000000001</v>
      </c>
      <c r="T948">
        <v>-0.2951376</v>
      </c>
      <c r="U948">
        <v>-1.504181</v>
      </c>
      <c r="V948">
        <v>0.4172746</v>
      </c>
      <c r="W948">
        <v>0.118142899999999</v>
      </c>
      <c r="X948">
        <v>0.90106830000000004</v>
      </c>
      <c r="Y948">
        <v>0.42771199999999998</v>
      </c>
      <c r="Z948">
        <v>-1.469174E-2</v>
      </c>
      <c r="AA948">
        <v>0.90379569999999998</v>
      </c>
      <c r="AB948">
        <v>21</v>
      </c>
      <c r="AC948">
        <v>9.7524999999999906</v>
      </c>
      <c r="AD948">
        <v>-1.109087214966</v>
      </c>
      <c r="AE948">
        <v>-5.6351999999999904</v>
      </c>
      <c r="AF948">
        <v>4.8716709721356999</v>
      </c>
      <c r="AG948">
        <v>-1.109087214966</v>
      </c>
      <c r="AH948">
        <v>10.035373983381501</v>
      </c>
      <c r="AI948">
        <v>95.677800522199306</v>
      </c>
      <c r="AJ948">
        <v>64.105751396647307</v>
      </c>
      <c r="AK948">
        <v>11.210351622383699</v>
      </c>
      <c r="AL948">
        <v>83.215063564457793</v>
      </c>
      <c r="AM948">
        <v>65.151675805911097</v>
      </c>
      <c r="AN948">
        <v>0.99999995894522897</v>
      </c>
    </row>
    <row r="949" spans="1:40" x14ac:dyDescent="0.25">
      <c r="A949" t="str">
        <f>"20190312164237803"</f>
        <v>20190312164237803</v>
      </c>
      <c r="B949" t="str">
        <f>"1552380157794732"</f>
        <v>1552380157794732</v>
      </c>
      <c r="C949" t="s">
        <v>40</v>
      </c>
      <c r="D949">
        <v>4.7343190000000002</v>
      </c>
      <c r="E949">
        <v>0.52029890000000001</v>
      </c>
      <c r="F949" t="s">
        <v>44</v>
      </c>
      <c r="G949">
        <v>-203.5598</v>
      </c>
      <c r="H949" s="1">
        <v>-4.106261E-6</v>
      </c>
      <c r="I949">
        <v>361.15499999999997</v>
      </c>
      <c r="J949">
        <v>-213.40369999999999</v>
      </c>
      <c r="K949">
        <v>1.1089869999999999</v>
      </c>
      <c r="L949">
        <v>366.96350000000001</v>
      </c>
      <c r="M949">
        <v>0.99713819999999997</v>
      </c>
      <c r="N949">
        <v>0</v>
      </c>
      <c r="O949">
        <v>-7.4364699999999895E-2</v>
      </c>
      <c r="P949">
        <v>0.86685999999999996</v>
      </c>
      <c r="Q949">
        <v>0.1075938</v>
      </c>
      <c r="R949">
        <v>-0.48680370000000001</v>
      </c>
      <c r="S949">
        <v>2.6383510000000001</v>
      </c>
      <c r="T949">
        <v>-0.29108250000000002</v>
      </c>
      <c r="U949">
        <v>-1.5291440000000001</v>
      </c>
      <c r="V949">
        <v>0.42141709999999899</v>
      </c>
      <c r="W949">
        <v>0.1183266</v>
      </c>
      <c r="X949">
        <v>0.89911430000000003</v>
      </c>
      <c r="Y949">
        <v>0.43409589999999998</v>
      </c>
      <c r="Z949">
        <v>-1.4610639999999999E-2</v>
      </c>
      <c r="AA949">
        <v>0.9007482</v>
      </c>
      <c r="AB949">
        <v>21</v>
      </c>
      <c r="AC949">
        <v>9.8438999999999908</v>
      </c>
      <c r="AD949">
        <v>-1.1089911062610001</v>
      </c>
      <c r="AE949">
        <v>-5.8085000000000298</v>
      </c>
      <c r="AF949">
        <v>5.01311372424483</v>
      </c>
      <c r="AG949">
        <v>-1.1089911062610001</v>
      </c>
      <c r="AH949">
        <v>10.153044406348601</v>
      </c>
      <c r="AI949">
        <v>95.593676705378201</v>
      </c>
      <c r="AJ949">
        <v>63.721925305855997</v>
      </c>
      <c r="AK949">
        <v>11.3774110061676</v>
      </c>
      <c r="AL949">
        <v>83.204464536838501</v>
      </c>
      <c r="AM949">
        <v>64.887397488147997</v>
      </c>
      <c r="AN949">
        <v>1.00000004045222</v>
      </c>
    </row>
    <row r="950" spans="1:40" x14ac:dyDescent="0.25">
      <c r="A950" t="str">
        <f>"20190312164237824"</f>
        <v>20190312164237824</v>
      </c>
      <c r="B950" t="str">
        <f>"1552380157815228"</f>
        <v>1552380157815228</v>
      </c>
      <c r="C950" t="s">
        <v>40</v>
      </c>
      <c r="D950">
        <v>4.8214860000000002</v>
      </c>
      <c r="E950">
        <v>0.51955249999999997</v>
      </c>
      <c r="F950" t="s">
        <v>44</v>
      </c>
      <c r="G950">
        <v>-203.35499999999999</v>
      </c>
      <c r="H950" s="1">
        <v>-4.0277520000000002E-6</v>
      </c>
      <c r="I950">
        <v>361.04430000000002</v>
      </c>
      <c r="J950">
        <v>-213.2013</v>
      </c>
      <c r="K950">
        <v>1.1088979999999999</v>
      </c>
      <c r="L950">
        <v>366.94560000000001</v>
      </c>
      <c r="M950">
        <v>0.99694970000000005</v>
      </c>
      <c r="N950">
        <v>0</v>
      </c>
      <c r="O950">
        <v>-7.6847260000000001E-2</v>
      </c>
      <c r="P950">
        <v>0.86353590000000002</v>
      </c>
      <c r="Q950">
        <v>0.108587</v>
      </c>
      <c r="R950">
        <v>-0.4924577</v>
      </c>
      <c r="S950">
        <v>2.6275789999999999</v>
      </c>
      <c r="T950">
        <v>-0.28998279999999999</v>
      </c>
      <c r="U950">
        <v>-1.54776</v>
      </c>
      <c r="V950">
        <v>0.42509530000000001</v>
      </c>
      <c r="W950">
        <v>0.11919299999999999</v>
      </c>
      <c r="X950">
        <v>0.89726640000000002</v>
      </c>
      <c r="Y950">
        <v>0.43820419999999999</v>
      </c>
      <c r="Z950">
        <v>-1.454298E-2</v>
      </c>
      <c r="AA950">
        <v>0.89875780000000005</v>
      </c>
      <c r="AB950">
        <v>21</v>
      </c>
      <c r="AC950">
        <v>9.84630000000001</v>
      </c>
      <c r="AD950">
        <v>-1.1089020277520001</v>
      </c>
      <c r="AE950">
        <v>-5.9012999999999902</v>
      </c>
      <c r="AF950">
        <v>5.0797128479201996</v>
      </c>
      <c r="AG950">
        <v>-1.1089020277520001</v>
      </c>
      <c r="AH950">
        <v>10.1757631636053</v>
      </c>
      <c r="AI950">
        <v>95.568812920080006</v>
      </c>
      <c r="AJ950">
        <v>63.471756617290403</v>
      </c>
      <c r="AK950">
        <v>11.427130098422101</v>
      </c>
      <c r="AL950">
        <v>83.154469306531695</v>
      </c>
      <c r="AM950">
        <v>64.649945310380502</v>
      </c>
      <c r="AN950">
        <v>0.99999998895002395</v>
      </c>
    </row>
    <row r="951" spans="1:40" x14ac:dyDescent="0.25">
      <c r="A951" t="str">
        <f>"20190312164237848"</f>
        <v>20190312164237848</v>
      </c>
      <c r="B951" t="str">
        <f>"1552380157834748"</f>
        <v>1552380157834748</v>
      </c>
      <c r="C951" t="s">
        <v>40</v>
      </c>
      <c r="D951">
        <v>4.7825379999999997</v>
      </c>
      <c r="E951">
        <v>0.51931640000000001</v>
      </c>
      <c r="F951" t="s">
        <v>44</v>
      </c>
      <c r="G951">
        <v>-203.1311</v>
      </c>
      <c r="H951" s="1">
        <v>-3.9357689999999999E-6</v>
      </c>
      <c r="I951">
        <v>360.95119999999997</v>
      </c>
      <c r="J951">
        <v>-212.98179999999999</v>
      </c>
      <c r="K951">
        <v>1.108814</v>
      </c>
      <c r="L951">
        <v>366.92540000000002</v>
      </c>
      <c r="M951">
        <v>0.99672769999999999</v>
      </c>
      <c r="N951">
        <v>0</v>
      </c>
      <c r="O951">
        <v>-7.9676579999999997E-2</v>
      </c>
      <c r="P951">
        <v>0.86026610000000003</v>
      </c>
      <c r="Q951">
        <v>0.10876280000000001</v>
      </c>
      <c r="R951">
        <v>-0.49810959999999899</v>
      </c>
      <c r="S951">
        <v>2.6207280000000002</v>
      </c>
      <c r="T951">
        <v>-0.288589599999999</v>
      </c>
      <c r="U951">
        <v>-1.560028</v>
      </c>
      <c r="V951">
        <v>0.42846119999999999</v>
      </c>
      <c r="W951">
        <v>0.1192522</v>
      </c>
      <c r="X951">
        <v>0.89565609999999996</v>
      </c>
      <c r="Y951">
        <v>0.43981300000000001</v>
      </c>
      <c r="Z951">
        <v>-1.428842E-2</v>
      </c>
      <c r="AA951">
        <v>0.89797569999999904</v>
      </c>
      <c r="AB951">
        <v>21</v>
      </c>
      <c r="AC951">
        <v>9.8506999999999891</v>
      </c>
      <c r="AD951">
        <v>-1.108817935769</v>
      </c>
      <c r="AE951">
        <v>-5.9742000000000504</v>
      </c>
      <c r="AF951">
        <v>5.1228067182558696</v>
      </c>
      <c r="AG951">
        <v>-1.108817935769</v>
      </c>
      <c r="AH951">
        <v>10.2009314512639</v>
      </c>
      <c r="AI951">
        <v>95.548130832926006</v>
      </c>
      <c r="AJ951">
        <v>63.334650303961197</v>
      </c>
      <c r="AK951">
        <v>11.4687239203268</v>
      </c>
      <c r="AL951">
        <v>83.151052887737706</v>
      </c>
      <c r="AM951">
        <v>64.434623984900099</v>
      </c>
      <c r="AN951">
        <v>0.99999996828874405</v>
      </c>
    </row>
    <row r="952" spans="1:40" x14ac:dyDescent="0.25">
      <c r="A952" t="str">
        <f>"20190312164237872"</f>
        <v>20190312164237872</v>
      </c>
      <c r="B952" t="str">
        <f>"1552380157865005"</f>
        <v>1552380157865005</v>
      </c>
      <c r="C952" t="s">
        <v>40</v>
      </c>
      <c r="D952">
        <v>4.9321080000000004</v>
      </c>
      <c r="E952">
        <v>0.51926510000000003</v>
      </c>
      <c r="F952" t="s">
        <v>44</v>
      </c>
      <c r="G952">
        <v>-202.95519999999999</v>
      </c>
      <c r="H952" s="1">
        <v>-3.8641599999999999E-6</v>
      </c>
      <c r="I952">
        <v>360.87479999999999</v>
      </c>
      <c r="J952">
        <v>-212.75729999999999</v>
      </c>
      <c r="K952">
        <v>1.108743</v>
      </c>
      <c r="L952">
        <v>366.90390000000002</v>
      </c>
      <c r="M952">
        <v>0.99648000000000003</v>
      </c>
      <c r="N952">
        <v>0</v>
      </c>
      <c r="O952">
        <v>-8.2714899999999994E-2</v>
      </c>
      <c r="P952">
        <v>0.85686379999999995</v>
      </c>
      <c r="Q952">
        <v>0.1084638</v>
      </c>
      <c r="R952">
        <v>-0.50400370000000005</v>
      </c>
      <c r="S952">
        <v>2.6113430000000002</v>
      </c>
      <c r="T952">
        <v>-0.28878189999999998</v>
      </c>
      <c r="U952">
        <v>-1.575806</v>
      </c>
      <c r="V952">
        <v>0.43189899999999998</v>
      </c>
      <c r="W952">
        <v>0.11884359999999999</v>
      </c>
      <c r="X952">
        <v>0.89405789999999996</v>
      </c>
      <c r="Y952">
        <v>0.4424768</v>
      </c>
      <c r="Z952">
        <v>-1.4152390000000001E-2</v>
      </c>
      <c r="AA952">
        <v>0.89666829999999997</v>
      </c>
      <c r="AB952">
        <v>21</v>
      </c>
      <c r="AC952">
        <v>9.8020999999999905</v>
      </c>
      <c r="AD952">
        <v>-1.10874686416</v>
      </c>
      <c r="AE952">
        <v>-6.0291000000000201</v>
      </c>
      <c r="AF952">
        <v>5.1497770163022798</v>
      </c>
      <c r="AG952">
        <v>-1.10874686416</v>
      </c>
      <c r="AH952">
        <v>10.1728159355666</v>
      </c>
      <c r="AI952">
        <v>95.554045016556103</v>
      </c>
      <c r="AJ952">
        <v>63.150132906327997</v>
      </c>
      <c r="AK952">
        <v>11.455815422104999</v>
      </c>
      <c r="AL952">
        <v>83.174632102187502</v>
      </c>
      <c r="AM952">
        <v>64.215870282631698</v>
      </c>
      <c r="AN952">
        <v>1.0000000380071801</v>
      </c>
    </row>
    <row r="953" spans="1:40" x14ac:dyDescent="0.25">
      <c r="A953" t="str">
        <f>"20190312164237893"</f>
        <v>20190312164237893</v>
      </c>
      <c r="B953" t="str">
        <f>"1552380157884527"</f>
        <v>1552380157884527</v>
      </c>
      <c r="C953" t="s">
        <v>40</v>
      </c>
      <c r="D953">
        <v>4.7870939999999997</v>
      </c>
      <c r="E953">
        <v>0.51895800000000003</v>
      </c>
      <c r="F953" t="s">
        <v>44</v>
      </c>
      <c r="G953">
        <v>-202.92160000000001</v>
      </c>
      <c r="H953" s="1">
        <v>-3.8465660000000001E-6</v>
      </c>
      <c r="I953">
        <v>360.87790000000001</v>
      </c>
      <c r="J953">
        <v>-212.56290000000001</v>
      </c>
      <c r="K953">
        <v>1.1086830000000001</v>
      </c>
      <c r="L953">
        <v>366.88459999999998</v>
      </c>
      <c r="M953">
        <v>0.99624840000000003</v>
      </c>
      <c r="N953">
        <v>0</v>
      </c>
      <c r="O953">
        <v>-8.5458839999999994E-2</v>
      </c>
      <c r="P953">
        <v>0.85365869999999999</v>
      </c>
      <c r="Q953">
        <v>0.10835599999999999</v>
      </c>
      <c r="R953">
        <v>-0.50943709999999998</v>
      </c>
      <c r="S953">
        <v>2.6009519999999999</v>
      </c>
      <c r="T953">
        <v>-0.29319620000000002</v>
      </c>
      <c r="U953">
        <v>-1.5935060000000001</v>
      </c>
      <c r="V953">
        <v>0.43513410000000002</v>
      </c>
      <c r="W953">
        <v>0.1186434</v>
      </c>
      <c r="X953">
        <v>0.89251449999999999</v>
      </c>
      <c r="Y953">
        <v>0.44598320000000002</v>
      </c>
      <c r="Z953">
        <v>-1.429532E-2</v>
      </c>
      <c r="AA953">
        <v>0.89492709999999998</v>
      </c>
      <c r="AB953">
        <v>21</v>
      </c>
      <c r="AC953">
        <v>9.6412999999999993</v>
      </c>
      <c r="AD953">
        <v>-1.108686846566</v>
      </c>
      <c r="AE953">
        <v>-6.0066999999999604</v>
      </c>
      <c r="AF953">
        <v>5.1120137260198604</v>
      </c>
      <c r="AG953">
        <v>-1.108686846566</v>
      </c>
      <c r="AH953">
        <v>10.023908415387201</v>
      </c>
      <c r="AI953">
        <v>95.627241218548704</v>
      </c>
      <c r="AJ953">
        <v>62.9792329393606</v>
      </c>
      <c r="AK953">
        <v>11.3066622298022</v>
      </c>
      <c r="AL953">
        <v>83.186184443417105</v>
      </c>
      <c r="AM953">
        <v>64.009040178602106</v>
      </c>
      <c r="AN953">
        <v>1.0000000370283</v>
      </c>
    </row>
    <row r="954" spans="1:40" x14ac:dyDescent="0.25">
      <c r="A954" t="str">
        <f>"20190312164237913"</f>
        <v>20190312164237913</v>
      </c>
      <c r="B954" t="str">
        <f>"1552380157905019"</f>
        <v>1552380157905019</v>
      </c>
      <c r="C954" t="s">
        <v>40</v>
      </c>
      <c r="D954">
        <v>4.8384419999999997</v>
      </c>
      <c r="E954">
        <v>0.51869560000000003</v>
      </c>
      <c r="F954" t="s">
        <v>44</v>
      </c>
      <c r="G954">
        <v>-202.86420000000001</v>
      </c>
      <c r="H954" s="1">
        <v>-3.8213329999999996E-6</v>
      </c>
      <c r="I954">
        <v>360.86149999999998</v>
      </c>
      <c r="J954">
        <v>-212.36199999999999</v>
      </c>
      <c r="K954">
        <v>1.10863</v>
      </c>
      <c r="L954">
        <v>366.86399999999998</v>
      </c>
      <c r="M954">
        <v>0.99599210000000005</v>
      </c>
      <c r="N954">
        <v>0</v>
      </c>
      <c r="O954">
        <v>-8.83964E-2</v>
      </c>
      <c r="P954">
        <v>0.85028499999999996</v>
      </c>
      <c r="Q954">
        <v>0.10792450000000001</v>
      </c>
      <c r="R954">
        <v>-0.51513889999999996</v>
      </c>
      <c r="S954">
        <v>2.5914760000000001</v>
      </c>
      <c r="T954">
        <v>-0.29624030000000001</v>
      </c>
      <c r="U954">
        <v>-1.609375</v>
      </c>
      <c r="V954">
        <v>0.43848799999999999</v>
      </c>
      <c r="W954">
        <v>0.11811729999999999</v>
      </c>
      <c r="X954">
        <v>0.89094139999999999</v>
      </c>
      <c r="Y954">
        <v>0.44872970000000001</v>
      </c>
      <c r="Z954">
        <v>-1.430785E-2</v>
      </c>
      <c r="AA954">
        <v>0.89355300000000004</v>
      </c>
      <c r="AB954">
        <v>21</v>
      </c>
      <c r="AC954">
        <v>9.4977999999999803</v>
      </c>
      <c r="AD954">
        <v>-1.108633821333</v>
      </c>
      <c r="AE954">
        <v>-6.0025000000000501</v>
      </c>
      <c r="AF954">
        <v>5.0897939664426097</v>
      </c>
      <c r="AG954">
        <v>-1.108633821333</v>
      </c>
      <c r="AH954">
        <v>9.8949234054498394</v>
      </c>
      <c r="AI954">
        <v>95.689739023592907</v>
      </c>
      <c r="AJ954">
        <v>62.779418283942398</v>
      </c>
      <c r="AK954">
        <v>11.1823334224283</v>
      </c>
      <c r="AL954">
        <v>83.216540962039502</v>
      </c>
      <c r="AM954">
        <v>63.795315626544301</v>
      </c>
      <c r="AN954">
        <v>1.00000000046862</v>
      </c>
    </row>
    <row r="955" spans="1:40" x14ac:dyDescent="0.25">
      <c r="A955" t="str">
        <f>"20190312164237937"</f>
        <v>20190312164237937</v>
      </c>
      <c r="B955" t="str">
        <f>"1552380157924540"</f>
        <v>1552380157924540</v>
      </c>
      <c r="C955" t="s">
        <v>40</v>
      </c>
      <c r="D955">
        <v>4.7592860000000003</v>
      </c>
      <c r="E955">
        <v>0.51858959999999998</v>
      </c>
      <c r="F955" t="s">
        <v>44</v>
      </c>
      <c r="G955">
        <v>-202.81360000000001</v>
      </c>
      <c r="H955" s="1">
        <v>-3.798395E-6</v>
      </c>
      <c r="I955">
        <v>360.8501</v>
      </c>
      <c r="J955">
        <v>-212.15129999999999</v>
      </c>
      <c r="K955">
        <v>1.1085689999999999</v>
      </c>
      <c r="L955">
        <v>366.84160000000003</v>
      </c>
      <c r="M955">
        <v>0.99570440000000004</v>
      </c>
      <c r="N955">
        <v>0</v>
      </c>
      <c r="O955">
        <v>-9.1579569999999999E-2</v>
      </c>
      <c r="P955">
        <v>0.84650800000000004</v>
      </c>
      <c r="Q955">
        <v>0.1079855</v>
      </c>
      <c r="R955">
        <v>-0.52130969999999999</v>
      </c>
      <c r="S955">
        <v>2.5812840000000001</v>
      </c>
      <c r="T955">
        <v>-0.29970429999999998</v>
      </c>
      <c r="U955">
        <v>-1.625793</v>
      </c>
      <c r="V955">
        <v>0.44214110000000001</v>
      </c>
      <c r="W955">
        <v>0.11807570000000001</v>
      </c>
      <c r="X955">
        <v>0.88913969999999898</v>
      </c>
      <c r="Y955">
        <v>0.45149339999999999</v>
      </c>
      <c r="Z955">
        <v>-1.4315029999999999E-2</v>
      </c>
      <c r="AA955">
        <v>0.89215959999999905</v>
      </c>
      <c r="AB955">
        <v>21</v>
      </c>
      <c r="AC955">
        <v>9.3376999999999803</v>
      </c>
      <c r="AD955">
        <v>-1.108572798395</v>
      </c>
      <c r="AE955">
        <v>-5.9915000000000296</v>
      </c>
      <c r="AF955">
        <v>5.0605709627365396</v>
      </c>
      <c r="AG955">
        <v>-1.108572798395</v>
      </c>
      <c r="AH955">
        <v>9.7498611639612296</v>
      </c>
      <c r="AI955">
        <v>95.762631117495204</v>
      </c>
      <c r="AJ955">
        <v>62.568867944036299</v>
      </c>
      <c r="AK955">
        <v>11.0407474762695</v>
      </c>
      <c r="AL955">
        <v>83.218941360286394</v>
      </c>
      <c r="AM955">
        <v>63.560291660010698</v>
      </c>
      <c r="AN955">
        <v>1.00000001467789</v>
      </c>
    </row>
    <row r="956" spans="1:40" x14ac:dyDescent="0.25">
      <c r="A956" t="str">
        <f>"20190312164237960"</f>
        <v>20190312164237960</v>
      </c>
      <c r="B956" t="str">
        <f>"1552380157954796"</f>
        <v>1552380157954796</v>
      </c>
      <c r="C956" t="s">
        <v>40</v>
      </c>
      <c r="D956">
        <v>4.7845360000000001</v>
      </c>
      <c r="E956">
        <v>0.51841780000000004</v>
      </c>
      <c r="F956" t="s">
        <v>44</v>
      </c>
      <c r="G956">
        <v>-202.70310000000001</v>
      </c>
      <c r="H956" s="1">
        <v>-3.7544870000000001E-6</v>
      </c>
      <c r="I956">
        <v>360.79730000000001</v>
      </c>
      <c r="J956">
        <v>-211.9359</v>
      </c>
      <c r="K956">
        <v>1.1085069999999999</v>
      </c>
      <c r="L956">
        <v>366.81790000000001</v>
      </c>
      <c r="M956">
        <v>0.99538990000000005</v>
      </c>
      <c r="N956">
        <v>0</v>
      </c>
      <c r="O956">
        <v>-9.4936419999999994E-2</v>
      </c>
      <c r="P956">
        <v>0.84253230000000001</v>
      </c>
      <c r="Q956">
        <v>0.10829800000000001</v>
      </c>
      <c r="R956">
        <v>-0.52764699999999998</v>
      </c>
      <c r="S956">
        <v>2.5699459999999998</v>
      </c>
      <c r="T956">
        <v>-0.30153639999999998</v>
      </c>
      <c r="U956">
        <v>-1.6440729999999999</v>
      </c>
      <c r="V956">
        <v>0.4458395</v>
      </c>
      <c r="W956">
        <v>0.1182854</v>
      </c>
      <c r="X956">
        <v>0.88726309999999997</v>
      </c>
      <c r="Y956">
        <v>0.4547504</v>
      </c>
      <c r="Z956">
        <v>-1.4252310000000001E-2</v>
      </c>
      <c r="AA956">
        <v>0.89050490000000004</v>
      </c>
      <c r="AB956">
        <v>21</v>
      </c>
      <c r="AC956">
        <v>9.2327999999999903</v>
      </c>
      <c r="AD956">
        <v>-1.1085107544870001</v>
      </c>
      <c r="AE956">
        <v>-6.0206</v>
      </c>
      <c r="AF956">
        <v>5.0655573577726702</v>
      </c>
      <c r="AG956">
        <v>-1.1085107544870001</v>
      </c>
      <c r="AH956">
        <v>9.6649648211591597</v>
      </c>
      <c r="AI956">
        <v>95.800580720900697</v>
      </c>
      <c r="AJ956">
        <v>62.340272102047201</v>
      </c>
      <c r="AK956">
        <v>10.9681453506024</v>
      </c>
      <c r="AL956">
        <v>83.206841897681002</v>
      </c>
      <c r="AM956">
        <v>63.320998179942301</v>
      </c>
      <c r="AN956">
        <v>1.0000000521175001</v>
      </c>
    </row>
    <row r="957" spans="1:40" x14ac:dyDescent="0.25">
      <c r="A957" t="str">
        <f>"20190312164237984"</f>
        <v>20190312164237984</v>
      </c>
      <c r="B957" t="str">
        <f>"1552380157975295"</f>
        <v>1552380157975295</v>
      </c>
      <c r="C957" t="s">
        <v>40</v>
      </c>
      <c r="D957">
        <v>4.9346120000000004</v>
      </c>
      <c r="E957">
        <v>0.51833419999999997</v>
      </c>
      <c r="F957" t="s">
        <v>44</v>
      </c>
      <c r="G957">
        <v>-202.57</v>
      </c>
      <c r="H957" s="1">
        <v>-3.7020279999999998E-6</v>
      </c>
      <c r="I957">
        <v>360.7319</v>
      </c>
      <c r="J957">
        <v>-211.7227</v>
      </c>
      <c r="K957">
        <v>1.1084459999999901</v>
      </c>
      <c r="L957">
        <v>366.79349999999999</v>
      </c>
      <c r="M957">
        <v>0.99505650000000001</v>
      </c>
      <c r="N957">
        <v>0</v>
      </c>
      <c r="O957">
        <v>-9.8367650000000001E-2</v>
      </c>
      <c r="P957">
        <v>0.83846679999999996</v>
      </c>
      <c r="Q957">
        <v>0.1081145</v>
      </c>
      <c r="R957">
        <v>-0.5341205</v>
      </c>
      <c r="S957">
        <v>2.5584560000000001</v>
      </c>
      <c r="T957">
        <v>-0.30281130000000001</v>
      </c>
      <c r="U957">
        <v>-1.662506</v>
      </c>
      <c r="V957">
        <v>0.449629</v>
      </c>
      <c r="W957">
        <v>0.1180023</v>
      </c>
      <c r="X957">
        <v>0.88538649999999997</v>
      </c>
      <c r="Y957">
        <v>0.45800099999999999</v>
      </c>
      <c r="Z957">
        <v>-1.4153529999999999E-2</v>
      </c>
      <c r="AA957">
        <v>0.88883899999999905</v>
      </c>
      <c r="AB957">
        <v>21</v>
      </c>
      <c r="AC957">
        <v>9.15270000000001</v>
      </c>
      <c r="AD957">
        <v>-1.10844970202799</v>
      </c>
      <c r="AE957">
        <v>-6.0615999999999897</v>
      </c>
      <c r="AF957">
        <v>5.0799921182470804</v>
      </c>
      <c r="AG957">
        <v>-1.10844970202799</v>
      </c>
      <c r="AH957">
        <v>9.6066823086913207</v>
      </c>
      <c r="AI957">
        <v>95.824036574192107</v>
      </c>
      <c r="AJ957">
        <v>62.130214131863198</v>
      </c>
      <c r="AK957">
        <v>10.923521668559999</v>
      </c>
      <c r="AL957">
        <v>83.223176496951893</v>
      </c>
      <c r="AM957">
        <v>63.077010005515902</v>
      </c>
      <c r="AN957">
        <v>1.00000001741426</v>
      </c>
    </row>
    <row r="958" spans="1:40" x14ac:dyDescent="0.25">
      <c r="A958" t="str">
        <f>"20190312164238004"</f>
        <v>20190312164238004</v>
      </c>
      <c r="B958" t="str">
        <f>"1552380157994812"</f>
        <v>1552380157994812</v>
      </c>
      <c r="C958" t="s">
        <v>40</v>
      </c>
      <c r="D958">
        <v>4.9190209999999999</v>
      </c>
      <c r="E958">
        <v>0.51835070000000005</v>
      </c>
      <c r="F958" t="s">
        <v>44</v>
      </c>
      <c r="G958">
        <v>-202.44900000000001</v>
      </c>
      <c r="H958" s="1">
        <v>-3.6550979999999999E-6</v>
      </c>
      <c r="I958">
        <v>360.66879999999998</v>
      </c>
      <c r="J958">
        <v>-211.52379999999999</v>
      </c>
      <c r="K958">
        <v>1.108393</v>
      </c>
      <c r="L958">
        <v>366.77</v>
      </c>
      <c r="M958">
        <v>0.99472539999999998</v>
      </c>
      <c r="N958">
        <v>0</v>
      </c>
      <c r="O958">
        <v>-0.10166219999999999</v>
      </c>
      <c r="P958">
        <v>0.83413570000000004</v>
      </c>
      <c r="Q958">
        <v>0.10793220000000001</v>
      </c>
      <c r="R958">
        <v>-0.54089609999999899</v>
      </c>
      <c r="S958">
        <v>2.5460660000000002</v>
      </c>
      <c r="T958">
        <v>-0.30432140000000002</v>
      </c>
      <c r="U958">
        <v>-1.68151899999999</v>
      </c>
      <c r="V958">
        <v>0.4538819</v>
      </c>
      <c r="W958">
        <v>0.11772390000000001</v>
      </c>
      <c r="X958">
        <v>0.88325100000000001</v>
      </c>
      <c r="Y958">
        <v>0.46164349999999998</v>
      </c>
      <c r="Z958">
        <v>-1.410282E-2</v>
      </c>
      <c r="AA958">
        <v>0.8869534</v>
      </c>
      <c r="AB958">
        <v>21</v>
      </c>
      <c r="AC958">
        <v>9.0747999999999802</v>
      </c>
      <c r="AD958">
        <v>-1.108396655098</v>
      </c>
      <c r="AE958">
        <v>-6.1012000000000004</v>
      </c>
      <c r="AF958">
        <v>5.0945912421752197</v>
      </c>
      <c r="AG958">
        <v>-1.108396655098</v>
      </c>
      <c r="AH958">
        <v>9.5499761606964704</v>
      </c>
      <c r="AI958">
        <v>95.846860072821897</v>
      </c>
      <c r="AJ958">
        <v>61.921578377599097</v>
      </c>
      <c r="AK958">
        <v>10.8805076967829</v>
      </c>
      <c r="AL958">
        <v>83.239239569825401</v>
      </c>
      <c r="AM958">
        <v>62.802435261082302</v>
      </c>
      <c r="AN958">
        <v>1.00000001238991</v>
      </c>
    </row>
    <row r="959" spans="1:40" x14ac:dyDescent="0.25">
      <c r="A959" t="str">
        <f>"20190312164238027"</f>
        <v>20190312164238027</v>
      </c>
      <c r="B959" t="str">
        <f>"1552380158015308"</f>
        <v>1552380158015308</v>
      </c>
      <c r="C959" t="s">
        <v>40</v>
      </c>
      <c r="D959">
        <v>4.789199</v>
      </c>
      <c r="E959">
        <v>0.51832129999999998</v>
      </c>
      <c r="F959" t="s">
        <v>44</v>
      </c>
      <c r="G959">
        <v>-202.2578</v>
      </c>
      <c r="H959" s="1">
        <v>-3.5874900000000001E-6</v>
      </c>
      <c r="I959">
        <v>360.53969999999998</v>
      </c>
      <c r="J959">
        <v>-211.30869999999999</v>
      </c>
      <c r="K959">
        <v>1.1083529999999999</v>
      </c>
      <c r="L959">
        <v>366.74369999999999</v>
      </c>
      <c r="M959">
        <v>0.99434639999999996</v>
      </c>
      <c r="N959">
        <v>0</v>
      </c>
      <c r="O959">
        <v>-0.10530490000000001</v>
      </c>
      <c r="P959">
        <v>0.82947909999999903</v>
      </c>
      <c r="Q959">
        <v>0.1080869</v>
      </c>
      <c r="R959">
        <v>-0.54797980000000002</v>
      </c>
      <c r="S959">
        <v>2.5318450000000001</v>
      </c>
      <c r="T959">
        <v>-0.30285840000000003</v>
      </c>
      <c r="U959">
        <v>-1.7023619999999999</v>
      </c>
      <c r="V959">
        <v>0.45818370000000003</v>
      </c>
      <c r="W959">
        <v>0.1177892</v>
      </c>
      <c r="X959">
        <v>0.88101839999999998</v>
      </c>
      <c r="Y959">
        <v>0.4657367</v>
      </c>
      <c r="Z959">
        <v>-1.3907869999999999E-2</v>
      </c>
      <c r="AA959">
        <v>0.88481399999999999</v>
      </c>
      <c r="AB959">
        <v>21</v>
      </c>
      <c r="AC959">
        <v>9.0508999999999808</v>
      </c>
      <c r="AD959">
        <v>-1.1083565874899901</v>
      </c>
      <c r="AE959">
        <v>-6.2039999999999997</v>
      </c>
      <c r="AF959">
        <v>5.1636250341031804</v>
      </c>
      <c r="AG959">
        <v>-1.1083565874899901</v>
      </c>
      <c r="AH959">
        <v>9.5564412399193994</v>
      </c>
      <c r="AI959">
        <v>95.826149803645293</v>
      </c>
      <c r="AJ959">
        <v>61.616348663150198</v>
      </c>
      <c r="AK959">
        <v>10.918655914986999</v>
      </c>
      <c r="AL959">
        <v>83.235471924986996</v>
      </c>
      <c r="AM959">
        <v>62.522797349518903</v>
      </c>
      <c r="AN959">
        <v>1.00000000986044</v>
      </c>
    </row>
    <row r="960" spans="1:40" x14ac:dyDescent="0.25">
      <c r="A960" t="str">
        <f>"20190312164238050"</f>
        <v>20190312164238050</v>
      </c>
      <c r="B960" t="str">
        <f>"1552380158044590"</f>
        <v>1552380158044590</v>
      </c>
      <c r="C960" t="s">
        <v>40</v>
      </c>
      <c r="D960">
        <v>4.7983370000000001</v>
      </c>
      <c r="E960">
        <v>0.51816059999999997</v>
      </c>
      <c r="F960" t="s">
        <v>44</v>
      </c>
      <c r="G960">
        <v>-202.0369</v>
      </c>
      <c r="H960" s="1">
        <v>-3.5081489999999998E-6</v>
      </c>
      <c r="I960">
        <v>360.3963</v>
      </c>
      <c r="J960">
        <v>-211.10169999999999</v>
      </c>
      <c r="K960">
        <v>1.10833</v>
      </c>
      <c r="L960">
        <v>366.7174</v>
      </c>
      <c r="M960">
        <v>0.99396019999999896</v>
      </c>
      <c r="N960">
        <v>0</v>
      </c>
      <c r="O960">
        <v>-0.10888829999999999</v>
      </c>
      <c r="P960">
        <v>0.82526980000000005</v>
      </c>
      <c r="Q960">
        <v>0.1071916</v>
      </c>
      <c r="R960">
        <v>-0.55447299999999999</v>
      </c>
      <c r="S960">
        <v>2.5174099999999999</v>
      </c>
      <c r="T960">
        <v>-0.30093150000000002</v>
      </c>
      <c r="U960">
        <v>-1.7233889999999901</v>
      </c>
      <c r="V960">
        <v>0.46191569999999998</v>
      </c>
      <c r="W960">
        <v>0.1168203</v>
      </c>
      <c r="X960">
        <v>0.8791968</v>
      </c>
      <c r="Y960">
        <v>0.46995510000000001</v>
      </c>
      <c r="Z960">
        <v>-1.370619E-2</v>
      </c>
      <c r="AA960">
        <v>0.88258389999999998</v>
      </c>
      <c r="AB960">
        <v>21</v>
      </c>
      <c r="AC960">
        <v>9.0647999999999893</v>
      </c>
      <c r="AD960">
        <v>-1.108333508149</v>
      </c>
      <c r="AE960">
        <v>-6.3211000000000004</v>
      </c>
      <c r="AF960">
        <v>5.2436224248219601</v>
      </c>
      <c r="AG960">
        <v>-1.108333508149</v>
      </c>
      <c r="AH960">
        <v>9.6026609963724692</v>
      </c>
      <c r="AI960">
        <v>95.784354927171805</v>
      </c>
      <c r="AJ960">
        <v>61.362842054842098</v>
      </c>
      <c r="AK960">
        <v>10.997048581807499</v>
      </c>
      <c r="AL960">
        <v>83.291372044418097</v>
      </c>
      <c r="AM960">
        <v>62.283294058581397</v>
      </c>
      <c r="AN960">
        <v>1.0000000547643999</v>
      </c>
    </row>
    <row r="961" spans="1:40" x14ac:dyDescent="0.25">
      <c r="A961" t="str">
        <f>"20190312164238073"</f>
        <v>20190312164238073</v>
      </c>
      <c r="B961" t="str">
        <f>"1552380158065084"</f>
        <v>1552380158065084</v>
      </c>
      <c r="C961" t="s">
        <v>40</v>
      </c>
      <c r="D961">
        <v>4.7984</v>
      </c>
      <c r="E961">
        <v>0.51792070000000001</v>
      </c>
      <c r="F961" t="s">
        <v>44</v>
      </c>
      <c r="G961">
        <v>-201.9881</v>
      </c>
      <c r="H961" s="1">
        <v>-3.486967E-6</v>
      </c>
      <c r="I961">
        <v>360.38099999999997</v>
      </c>
      <c r="J961">
        <v>-210.88759999999999</v>
      </c>
      <c r="K961">
        <v>1.1083019999999999</v>
      </c>
      <c r="L961">
        <v>366.68950000000001</v>
      </c>
      <c r="M961">
        <v>0.99353769999999997</v>
      </c>
      <c r="N961">
        <v>0</v>
      </c>
      <c r="O961">
        <v>-0.11267770000000001</v>
      </c>
      <c r="P961">
        <v>0.82090370000000001</v>
      </c>
      <c r="Q961">
        <v>0.10741530000000001</v>
      </c>
      <c r="R961">
        <v>-0.56087369999999903</v>
      </c>
      <c r="S961">
        <v>2.5047000000000001</v>
      </c>
      <c r="T961">
        <v>-0.30460500000000001</v>
      </c>
      <c r="U961">
        <v>-1.741455</v>
      </c>
      <c r="V961">
        <v>0.46541549999999998</v>
      </c>
      <c r="W961">
        <v>0.11696810000000001</v>
      </c>
      <c r="X961">
        <v>0.87732929999999998</v>
      </c>
      <c r="Y961">
        <v>0.47293740000000001</v>
      </c>
      <c r="Z961">
        <v>-1.366354E-2</v>
      </c>
      <c r="AA961">
        <v>0.8809901</v>
      </c>
      <c r="AB961">
        <v>21</v>
      </c>
      <c r="AC961">
        <v>8.8994999999999802</v>
      </c>
      <c r="AD961">
        <v>-1.1083054869669999</v>
      </c>
      <c r="AE961">
        <v>-6.3085000000000298</v>
      </c>
      <c r="AF961">
        <v>5.21165214768941</v>
      </c>
      <c r="AG961">
        <v>-1.1083054869669999</v>
      </c>
      <c r="AH961">
        <v>9.4560982181450903</v>
      </c>
      <c r="AI961">
        <v>95.860751988818194</v>
      </c>
      <c r="AJ961">
        <v>61.138998373915499</v>
      </c>
      <c r="AK961">
        <v>10.8539141636629</v>
      </c>
      <c r="AL961">
        <v>83.282844311261599</v>
      </c>
      <c r="AM961">
        <v>62.054441575931598</v>
      </c>
      <c r="AN961">
        <v>0.99999991234817098</v>
      </c>
    </row>
    <row r="962" spans="1:40" x14ac:dyDescent="0.25">
      <c r="A962" t="str">
        <f>"20190312164238094"</f>
        <v>20190312164238094</v>
      </c>
      <c r="B962" t="str">
        <f>"1552380158084604"</f>
        <v>1552380158084604</v>
      </c>
      <c r="C962" t="s">
        <v>40</v>
      </c>
      <c r="D962">
        <v>4.8098280000000004</v>
      </c>
      <c r="E962">
        <v>0.5177214</v>
      </c>
      <c r="F962" t="s">
        <v>44</v>
      </c>
      <c r="G962">
        <v>-201.86160000000001</v>
      </c>
      <c r="H962" s="1">
        <v>-3.4376170000000002E-6</v>
      </c>
      <c r="I962">
        <v>360.31670000000003</v>
      </c>
      <c r="J962">
        <v>-210.6952</v>
      </c>
      <c r="K962">
        <v>1.1082730000000001</v>
      </c>
      <c r="L962">
        <v>366.6635</v>
      </c>
      <c r="M962">
        <v>0.99313580000000001</v>
      </c>
      <c r="N962">
        <v>0</v>
      </c>
      <c r="O962">
        <v>-0.1161669</v>
      </c>
      <c r="P962">
        <v>0.81644879999999997</v>
      </c>
      <c r="Q962">
        <v>0.1084624</v>
      </c>
      <c r="R962">
        <v>-0.56713999999999998</v>
      </c>
      <c r="S962">
        <v>2.4922939999999998</v>
      </c>
      <c r="T962">
        <v>-0.30603160000000001</v>
      </c>
      <c r="U962">
        <v>-1.7597050000000001</v>
      </c>
      <c r="V962">
        <v>0.46908240000000001</v>
      </c>
      <c r="W962">
        <v>0.1179294</v>
      </c>
      <c r="X962">
        <v>0.8752453</v>
      </c>
      <c r="Y962">
        <v>0.47619450000000002</v>
      </c>
      <c r="Z962">
        <v>-1.356216E-2</v>
      </c>
      <c r="AA962">
        <v>0.879235399999999</v>
      </c>
      <c r="AB962">
        <v>21</v>
      </c>
      <c r="AC962">
        <v>8.8335999999999899</v>
      </c>
      <c r="AD962">
        <v>-1.108276437617</v>
      </c>
      <c r="AE962">
        <v>-6.3467999999999698</v>
      </c>
      <c r="AF962">
        <v>5.2233287949448801</v>
      </c>
      <c r="AG962">
        <v>-1.108276437617</v>
      </c>
      <c r="AH962">
        <v>9.4134145449603608</v>
      </c>
      <c r="AI962">
        <v>95.877736863143795</v>
      </c>
      <c r="AJ962">
        <v>60.974919933271302</v>
      </c>
      <c r="AK962">
        <v>10.8223756060094</v>
      </c>
      <c r="AL962">
        <v>83.227382530290001</v>
      </c>
      <c r="AM962">
        <v>61.811187578030697</v>
      </c>
      <c r="AN962">
        <v>0.99999998827310499</v>
      </c>
    </row>
    <row r="963" spans="1:40" x14ac:dyDescent="0.25">
      <c r="A963" t="str">
        <f>"20190312164238116"</f>
        <v>20190312164238116</v>
      </c>
      <c r="B963" t="str">
        <f>"1552380158105103"</f>
        <v>1552380158105103</v>
      </c>
      <c r="C963" t="s">
        <v>40</v>
      </c>
      <c r="D963">
        <v>4.8217819999999998</v>
      </c>
      <c r="E963">
        <v>0.51744279999999998</v>
      </c>
      <c r="F963" t="s">
        <v>44</v>
      </c>
      <c r="G963">
        <v>-201.63120000000001</v>
      </c>
      <c r="H963" s="1">
        <v>-3.3555229999999999E-6</v>
      </c>
      <c r="I963">
        <v>360.16379999999998</v>
      </c>
      <c r="J963">
        <v>-210.4879</v>
      </c>
      <c r="K963">
        <v>1.1082350000000001</v>
      </c>
      <c r="L963">
        <v>366.63479999999998</v>
      </c>
      <c r="M963">
        <v>0.99267669999999997</v>
      </c>
      <c r="N963">
        <v>0</v>
      </c>
      <c r="O963">
        <v>-0.1200257</v>
      </c>
      <c r="P963">
        <v>0.81130619999999998</v>
      </c>
      <c r="Q963">
        <v>0.11029460000000001</v>
      </c>
      <c r="R963">
        <v>-0.57412269999999999</v>
      </c>
      <c r="S963">
        <v>2.479584</v>
      </c>
      <c r="T963">
        <v>-0.30318339999999999</v>
      </c>
      <c r="U963">
        <v>-1.77807599999999</v>
      </c>
      <c r="V963">
        <v>0.4732461</v>
      </c>
      <c r="W963">
        <v>0.119648</v>
      </c>
      <c r="X963">
        <v>0.87276719999999897</v>
      </c>
      <c r="Y963">
        <v>0.47924739999999999</v>
      </c>
      <c r="Z963">
        <v>-1.322309E-2</v>
      </c>
      <c r="AA963">
        <v>0.87758029999999998</v>
      </c>
      <c r="AB963">
        <v>21</v>
      </c>
      <c r="AC963">
        <v>8.8566999999999894</v>
      </c>
      <c r="AD963">
        <v>-1.108238355523</v>
      </c>
      <c r="AE963">
        <v>-6.4710000000000001</v>
      </c>
      <c r="AF963">
        <v>5.3069064088974898</v>
      </c>
      <c r="AG963">
        <v>-1.108238355523</v>
      </c>
      <c r="AH963">
        <v>9.4727209894550608</v>
      </c>
      <c r="AI963">
        <v>95.827811410521903</v>
      </c>
      <c r="AJ963">
        <v>60.741124564099003</v>
      </c>
      <c r="AK963">
        <v>10.9143891642873</v>
      </c>
      <c r="AL963">
        <v>83.128212244774502</v>
      </c>
      <c r="AM963">
        <v>61.531841336878202</v>
      </c>
      <c r="AN963">
        <v>1.0000000502325199</v>
      </c>
    </row>
    <row r="964" spans="1:40" x14ac:dyDescent="0.25">
      <c r="A964" t="str">
        <f>"20190312164238142"</f>
        <v>20190312164238142</v>
      </c>
      <c r="B964" t="str">
        <f>"1552380158134381"</f>
        <v>1552380158134381</v>
      </c>
      <c r="C964" t="s">
        <v>40</v>
      </c>
      <c r="D964">
        <v>5.2619259999999999</v>
      </c>
      <c r="E964">
        <v>0.54876309999999995</v>
      </c>
      <c r="F964" t="s">
        <v>44</v>
      </c>
      <c r="G964">
        <v>-201.352</v>
      </c>
      <c r="H964" s="1">
        <v>-3.2564439999999998E-6</v>
      </c>
      <c r="I964">
        <v>359.97699999999998</v>
      </c>
      <c r="J964">
        <v>-210.25800000000001</v>
      </c>
      <c r="K964">
        <v>1.108166</v>
      </c>
      <c r="L964">
        <v>366.60169999999999</v>
      </c>
      <c r="M964">
        <v>0.99213309999999999</v>
      </c>
      <c r="N964">
        <v>0</v>
      </c>
      <c r="O964">
        <v>-0.1244396</v>
      </c>
      <c r="P964">
        <v>0.80576449999999999</v>
      </c>
      <c r="Q964">
        <v>0.1109892</v>
      </c>
      <c r="R964">
        <v>-0.58174309999999996</v>
      </c>
      <c r="S964">
        <v>2.4664760000000001</v>
      </c>
      <c r="T964">
        <v>-0.29919649999999998</v>
      </c>
      <c r="U964">
        <v>-1.7974239999999999</v>
      </c>
      <c r="V964">
        <v>0.47762880000000002</v>
      </c>
      <c r="W964">
        <v>0.1202024</v>
      </c>
      <c r="X964">
        <v>0.87030010000000002</v>
      </c>
      <c r="Y964">
        <v>0.48211150000000003</v>
      </c>
      <c r="Z964">
        <v>-1.277035E-2</v>
      </c>
      <c r="AA964">
        <v>0.87601679999999904</v>
      </c>
      <c r="AB964">
        <v>21</v>
      </c>
      <c r="AC964">
        <v>8.9059999999999704</v>
      </c>
      <c r="AD964">
        <v>-1.108169256444</v>
      </c>
      <c r="AE964">
        <v>-6.6247000000000096</v>
      </c>
      <c r="AF964">
        <v>5.4109017006727402</v>
      </c>
      <c r="AG964">
        <v>-1.108169256444</v>
      </c>
      <c r="AH964">
        <v>9.5658658958292602</v>
      </c>
      <c r="AI964">
        <v>95.757835355228593</v>
      </c>
      <c r="AJ964">
        <v>60.505466867923801</v>
      </c>
      <c r="AK964">
        <v>11.0458900344091</v>
      </c>
      <c r="AL964">
        <v>83.0962167280655</v>
      </c>
      <c r="AM964">
        <v>61.241609817664298</v>
      </c>
      <c r="AN964">
        <v>1.0000000758076</v>
      </c>
    </row>
    <row r="965" spans="1:40" x14ac:dyDescent="0.25">
      <c r="A965" t="str">
        <f>"20190312164238161"</f>
        <v>20190312164238161</v>
      </c>
      <c r="B965" t="str">
        <f>"1552380158154876"</f>
        <v>1552380158154876</v>
      </c>
      <c r="C965" t="s">
        <v>40</v>
      </c>
      <c r="D965">
        <v>4.9843830000000002</v>
      </c>
      <c r="E965">
        <v>0.55586930000000001</v>
      </c>
      <c r="F965" t="s">
        <v>44</v>
      </c>
      <c r="G965">
        <v>-201.95359999999999</v>
      </c>
      <c r="H965">
        <v>6.0985490000000003E-2</v>
      </c>
      <c r="I965">
        <v>359.28710000000001</v>
      </c>
      <c r="J965">
        <v>-210.0729</v>
      </c>
      <c r="K965">
        <v>1.1081030000000001</v>
      </c>
      <c r="L965">
        <v>366.57420000000002</v>
      </c>
      <c r="M965">
        <v>0.99166500000000002</v>
      </c>
      <c r="N965">
        <v>0</v>
      </c>
      <c r="O965">
        <v>-0.12811589999999901</v>
      </c>
      <c r="P965">
        <v>0.80089049999999995</v>
      </c>
      <c r="Q965">
        <v>0.1110553</v>
      </c>
      <c r="R965">
        <v>-0.58842309999999998</v>
      </c>
      <c r="S965">
        <v>2.3003079999999998</v>
      </c>
      <c r="T965">
        <v>-0.29006739999999998</v>
      </c>
      <c r="U965">
        <v>-2.026154</v>
      </c>
      <c r="V965">
        <v>0.48166369999999997</v>
      </c>
      <c r="W965">
        <v>0.12013799999999999</v>
      </c>
      <c r="X965">
        <v>0.86808229999999997</v>
      </c>
      <c r="Y965">
        <v>0.5575078</v>
      </c>
      <c r="Z965">
        <v>-1.6435490000000001E-2</v>
      </c>
      <c r="AA965">
        <v>0.830009</v>
      </c>
      <c r="AB965">
        <v>21</v>
      </c>
      <c r="AC965">
        <v>8.1193000000000097</v>
      </c>
      <c r="AD965">
        <v>-1.0471175100000001</v>
      </c>
      <c r="AE965">
        <v>-7.2870999999999997</v>
      </c>
      <c r="AF965">
        <v>6.1302567715414398</v>
      </c>
      <c r="AG965">
        <v>-1.0471175100000001</v>
      </c>
      <c r="AH965">
        <v>8.9040347197351792</v>
      </c>
      <c r="AI965">
        <v>95.532594648013401</v>
      </c>
      <c r="AJ965">
        <v>55.453335833990501</v>
      </c>
      <c r="AK965">
        <v>10.860862647829901</v>
      </c>
      <c r="AL965">
        <v>83.099932771595803</v>
      </c>
      <c r="AM965">
        <v>60.975880596554603</v>
      </c>
      <c r="AN965">
        <v>0.99999996925748902</v>
      </c>
    </row>
    <row r="966" spans="1:40" x14ac:dyDescent="0.25">
      <c r="A966" t="str">
        <f>"20190312164238184"</f>
        <v>20190312164238184</v>
      </c>
      <c r="B966" t="str">
        <f>"1552380158175030"</f>
        <v>1552380158175030</v>
      </c>
      <c r="C966" t="s">
        <v>40</v>
      </c>
      <c r="D966">
        <v>5.1005399999999996</v>
      </c>
      <c r="E966">
        <v>0.55927289999999996</v>
      </c>
      <c r="F966" t="s">
        <v>44</v>
      </c>
      <c r="G966">
        <v>-202.35050000000001</v>
      </c>
      <c r="H966">
        <v>5.5742010000000002E-2</v>
      </c>
      <c r="I966">
        <v>359.40120000000002</v>
      </c>
      <c r="J966">
        <v>-209.8647</v>
      </c>
      <c r="K966">
        <v>1.108034</v>
      </c>
      <c r="L966">
        <v>366.54219999999998</v>
      </c>
      <c r="M966">
        <v>0.99110580000000004</v>
      </c>
      <c r="N966">
        <v>0</v>
      </c>
      <c r="O966">
        <v>-0.13237109999999999</v>
      </c>
      <c r="P966">
        <v>0.79587839999999999</v>
      </c>
      <c r="Q966">
        <v>0.1107465</v>
      </c>
      <c r="R966">
        <v>-0.59524180000000004</v>
      </c>
      <c r="S966">
        <v>2.2517239999999998</v>
      </c>
      <c r="T966">
        <v>-0.30685079999999998</v>
      </c>
      <c r="U966">
        <v>-2.0915219999999999</v>
      </c>
      <c r="V966">
        <v>0.4853673</v>
      </c>
      <c r="W966">
        <v>0.119702</v>
      </c>
      <c r="X966">
        <v>0.8660774</v>
      </c>
      <c r="Y966">
        <v>0.57543310000000003</v>
      </c>
      <c r="Z966">
        <v>-1.8076849999999998E-2</v>
      </c>
      <c r="AA966">
        <v>0.81764910000000002</v>
      </c>
      <c r="AB966">
        <v>21</v>
      </c>
      <c r="AC966">
        <v>7.5141999999999802</v>
      </c>
      <c r="AD966">
        <v>-1.0522919900000001</v>
      </c>
      <c r="AE966">
        <v>-7.14099999999996</v>
      </c>
      <c r="AF966">
        <v>6.0213445316435701</v>
      </c>
      <c r="AG966">
        <v>-1.0522919900000001</v>
      </c>
      <c r="AH966">
        <v>8.3078049674165602</v>
      </c>
      <c r="AI966">
        <v>95.855688914214298</v>
      </c>
      <c r="AJ966">
        <v>54.0660895209001</v>
      </c>
      <c r="AK966">
        <v>10.3142392728501</v>
      </c>
      <c r="AL966">
        <v>83.125095692944001</v>
      </c>
      <c r="AM966">
        <v>60.732847402840399</v>
      </c>
      <c r="AN966">
        <v>1.0000000237520199</v>
      </c>
    </row>
    <row r="967" spans="1:40" x14ac:dyDescent="0.25">
      <c r="A967" t="str">
        <f>"20190312164238205"</f>
        <v>20190312164238205</v>
      </c>
      <c r="B967" t="str">
        <f>"1552380158194547"</f>
        <v>1552380158194547</v>
      </c>
      <c r="C967" t="s">
        <v>40</v>
      </c>
      <c r="D967">
        <v>4.9315610000000003</v>
      </c>
      <c r="E967">
        <v>0.56068560000000001</v>
      </c>
      <c r="F967" t="s">
        <v>44</v>
      </c>
      <c r="G967">
        <v>-202.35159999999999</v>
      </c>
      <c r="H967">
        <v>7.9987210000000003E-2</v>
      </c>
      <c r="I967">
        <v>359.30799999999999</v>
      </c>
      <c r="J967">
        <v>-209.67320000000001</v>
      </c>
      <c r="K967">
        <v>1.10797099999999</v>
      </c>
      <c r="L967">
        <v>366.51179999999999</v>
      </c>
      <c r="M967">
        <v>0.99055990000000005</v>
      </c>
      <c r="N967">
        <v>0</v>
      </c>
      <c r="O967">
        <v>-0.1363955</v>
      </c>
      <c r="P967">
        <v>0.79128959999999904</v>
      </c>
      <c r="Q967">
        <v>0.1100315</v>
      </c>
      <c r="R967">
        <v>-0.60145999999999999</v>
      </c>
      <c r="S967">
        <v>2.215881</v>
      </c>
      <c r="T967">
        <v>-0.30320629999999998</v>
      </c>
      <c r="U967">
        <v>-2.1336059999999999</v>
      </c>
      <c r="V967">
        <v>0.4886374</v>
      </c>
      <c r="W967">
        <v>0.1188796</v>
      </c>
      <c r="X967">
        <v>0.86435010000000001</v>
      </c>
      <c r="Y967">
        <v>0.58674209999999904</v>
      </c>
      <c r="Z967">
        <v>-1.818065E-2</v>
      </c>
      <c r="AA967">
        <v>0.80956969999999995</v>
      </c>
      <c r="AB967">
        <v>21</v>
      </c>
      <c r="AC967">
        <v>7.3216000000000099</v>
      </c>
      <c r="AD967">
        <v>-1.02798378999999</v>
      </c>
      <c r="AE967">
        <v>-7.2037999999999398</v>
      </c>
      <c r="AF967">
        <v>6.0768679054511896</v>
      </c>
      <c r="AG967">
        <v>-1.02798378999999</v>
      </c>
      <c r="AH967">
        <v>8.1541444812118993</v>
      </c>
      <c r="AI967">
        <v>95.772145535197794</v>
      </c>
      <c r="AJ967">
        <v>53.304716376059098</v>
      </c>
      <c r="AK967">
        <v>10.221308450158601</v>
      </c>
      <c r="AL967">
        <v>83.172554340891807</v>
      </c>
      <c r="AM967">
        <v>60.5195048092748</v>
      </c>
      <c r="AN967">
        <v>0.99999998167246396</v>
      </c>
    </row>
    <row r="968" spans="1:40" x14ac:dyDescent="0.25">
      <c r="A968" t="str">
        <f>"20190312164238227"</f>
        <v>20190312164238227</v>
      </c>
      <c r="B968" t="str">
        <f>"1552380158224803"</f>
        <v>1552380158224803</v>
      </c>
      <c r="C968" t="s">
        <v>40</v>
      </c>
      <c r="D968">
        <v>4.9737460000000002</v>
      </c>
      <c r="E968">
        <v>0.56914880000000001</v>
      </c>
      <c r="F968" t="s">
        <v>44</v>
      </c>
      <c r="G968">
        <v>-202.26519999999999</v>
      </c>
      <c r="H968">
        <v>7.9987210000000003E-2</v>
      </c>
      <c r="I968">
        <v>359.21039999999999</v>
      </c>
      <c r="J968">
        <v>-209.47</v>
      </c>
      <c r="K968">
        <v>1.107909</v>
      </c>
      <c r="L968">
        <v>366.47859999999997</v>
      </c>
      <c r="M968">
        <v>0.98994439999999995</v>
      </c>
      <c r="N968">
        <v>0</v>
      </c>
      <c r="O968">
        <v>-0.1407928</v>
      </c>
      <c r="P968">
        <v>0.78820290000000004</v>
      </c>
      <c r="Q968">
        <v>0.109170699999999</v>
      </c>
      <c r="R968">
        <v>-0.60565480000000005</v>
      </c>
      <c r="S968">
        <v>2.1916660000000001</v>
      </c>
      <c r="T968">
        <v>-0.30413390000000001</v>
      </c>
      <c r="U968">
        <v>-2.1601560000000002</v>
      </c>
      <c r="V968">
        <v>0.4893863</v>
      </c>
      <c r="W968">
        <v>0.11794589999999899</v>
      </c>
      <c r="X968">
        <v>0.86405429999999905</v>
      </c>
      <c r="Y968">
        <v>0.59255769999999997</v>
      </c>
      <c r="Z968">
        <v>-1.816485E-2</v>
      </c>
      <c r="AA968">
        <v>0.80532320000000002</v>
      </c>
      <c r="AB968">
        <v>21</v>
      </c>
      <c r="AC968">
        <v>7.2047999999999996</v>
      </c>
      <c r="AD968">
        <v>-1.0279217899999999</v>
      </c>
      <c r="AE968">
        <v>-7.26819999999997</v>
      </c>
      <c r="AF968">
        <v>6.1195723290896904</v>
      </c>
      <c r="AG968">
        <v>-1.0279217899999999</v>
      </c>
      <c r="AH968">
        <v>8.0749623321145307</v>
      </c>
      <c r="AI968">
        <v>95.793098542841307</v>
      </c>
      <c r="AJ968">
        <v>52.8435020135204</v>
      </c>
      <c r="AK968">
        <v>10.1838502228963</v>
      </c>
      <c r="AL968">
        <v>83.226430651225996</v>
      </c>
      <c r="AM968">
        <v>60.473489886802398</v>
      </c>
      <c r="AN968">
        <v>1.0000000096514901</v>
      </c>
    </row>
    <row r="969" spans="1:40" x14ac:dyDescent="0.25">
      <c r="A969" t="str">
        <f>"20190312164238252"</f>
        <v>20190312164238252</v>
      </c>
      <c r="B969" t="str">
        <f>"1552380158245299"</f>
        <v>1552380158245299</v>
      </c>
      <c r="C969" t="s">
        <v>40</v>
      </c>
      <c r="D969">
        <v>4.9314419999999997</v>
      </c>
      <c r="E969">
        <v>0.55822369999999899</v>
      </c>
      <c r="F969" t="s">
        <v>44</v>
      </c>
      <c r="G969">
        <v>-203.67740000000001</v>
      </c>
      <c r="H969" s="1">
        <v>-4.3066899999999999E-6</v>
      </c>
      <c r="I969">
        <v>360.5181</v>
      </c>
      <c r="J969">
        <v>-209.24870000000001</v>
      </c>
      <c r="K969">
        <v>1.107839</v>
      </c>
      <c r="L969">
        <v>366.44119999999998</v>
      </c>
      <c r="M969">
        <v>0.98922940000000004</v>
      </c>
      <c r="N969">
        <v>0</v>
      </c>
      <c r="O969">
        <v>-0.14573179999999999</v>
      </c>
      <c r="P969">
        <v>0.78371539999999995</v>
      </c>
      <c r="Q969">
        <v>0.1084386</v>
      </c>
      <c r="R969">
        <v>-0.61158100000000004</v>
      </c>
      <c r="S969">
        <v>2.1574249999999999</v>
      </c>
      <c r="T969">
        <v>-0.41263569999999999</v>
      </c>
      <c r="U969">
        <v>-2.2199710000000001</v>
      </c>
      <c r="V969">
        <v>0.4915909</v>
      </c>
      <c r="W969">
        <v>0.11711199999999999</v>
      </c>
      <c r="X969">
        <v>0.86291549999999995</v>
      </c>
      <c r="Y969">
        <v>0.60398359999999995</v>
      </c>
      <c r="Z969">
        <v>-2.4819600000000001E-2</v>
      </c>
      <c r="AA969">
        <v>0.79661019999999905</v>
      </c>
      <c r="AB969">
        <v>20</v>
      </c>
      <c r="AC969">
        <v>5.5712999999999999</v>
      </c>
      <c r="AD969">
        <v>-1.10784330669</v>
      </c>
      <c r="AE969">
        <v>-5.9230999999999696</v>
      </c>
      <c r="AF969">
        <v>4.9558749039257703</v>
      </c>
      <c r="AG969">
        <v>-1.10784330669</v>
      </c>
      <c r="AH969">
        <v>6.2589021665500999</v>
      </c>
      <c r="AI969">
        <v>97.900394894467894</v>
      </c>
      <c r="AJ969">
        <v>51.627390173206997</v>
      </c>
      <c r="AK969">
        <v>8.0598926286883401</v>
      </c>
      <c r="AL969">
        <v>83.274542961130507</v>
      </c>
      <c r="AM969">
        <v>60.330439672791996</v>
      </c>
      <c r="AN969">
        <v>0.99999999682353002</v>
      </c>
    </row>
    <row r="970" spans="1:40" x14ac:dyDescent="0.25">
      <c r="A970" t="str">
        <f>"20190312164238275"</f>
        <v>20190312164238275</v>
      </c>
      <c r="B970" t="str">
        <f>"1552380158264819"</f>
        <v>1552380158264819</v>
      </c>
      <c r="C970" t="s">
        <v>40</v>
      </c>
      <c r="D970">
        <v>4.8729120000000004</v>
      </c>
      <c r="E970">
        <v>0.55742179999999997</v>
      </c>
      <c r="F970" t="s">
        <v>44</v>
      </c>
      <c r="G970">
        <v>-201.71129999999999</v>
      </c>
      <c r="H970">
        <v>7.9987269999999999E-2</v>
      </c>
      <c r="I970">
        <v>358.9008</v>
      </c>
      <c r="J970">
        <v>-209.03980000000001</v>
      </c>
      <c r="K970">
        <v>1.1077669999999999</v>
      </c>
      <c r="L970">
        <v>366.40469999999999</v>
      </c>
      <c r="M970">
        <v>0.98851060000000002</v>
      </c>
      <c r="N970">
        <v>0</v>
      </c>
      <c r="O970">
        <v>-0.150529</v>
      </c>
      <c r="P970">
        <v>0.77926640000000003</v>
      </c>
      <c r="Q970">
        <v>0.1077886</v>
      </c>
      <c r="R970">
        <v>-0.61735379999999995</v>
      </c>
      <c r="S970">
        <v>2.1727449999999999</v>
      </c>
      <c r="T970">
        <v>-0.29628729999999998</v>
      </c>
      <c r="U970">
        <v>-2.173584</v>
      </c>
      <c r="V970">
        <v>0.49378240000000001</v>
      </c>
      <c r="W970">
        <v>0.1163595</v>
      </c>
      <c r="X970">
        <v>0.86176529999999996</v>
      </c>
      <c r="Y970">
        <v>0.59077880000000005</v>
      </c>
      <c r="Z970">
        <v>-1.6621400000000001E-2</v>
      </c>
      <c r="AA970">
        <v>0.80666230000000005</v>
      </c>
      <c r="AB970">
        <v>20</v>
      </c>
      <c r="AC970">
        <v>7.3285000000000098</v>
      </c>
      <c r="AD970">
        <v>-1.02777973</v>
      </c>
      <c r="AE970">
        <v>-7.5038999999999803</v>
      </c>
      <c r="AF970">
        <v>6.2550669255876699</v>
      </c>
      <c r="AG970">
        <v>-1.02777973</v>
      </c>
      <c r="AH970">
        <v>8.2949952116825205</v>
      </c>
      <c r="AI970">
        <v>95.6498265123615</v>
      </c>
      <c r="AJ970">
        <v>52.980885935343601</v>
      </c>
      <c r="AK970">
        <v>10.4397863473739</v>
      </c>
      <c r="AL970">
        <v>83.317954945144905</v>
      </c>
      <c r="AM970">
        <v>60.187747514922798</v>
      </c>
      <c r="AN970">
        <v>1.00000001203705</v>
      </c>
    </row>
    <row r="971" spans="1:40" x14ac:dyDescent="0.25">
      <c r="A971" t="str">
        <f>"20190312164238296"</f>
        <v>20190312164238296</v>
      </c>
      <c r="B971" t="str">
        <f>"1552380158285316"</f>
        <v>1552380158285316</v>
      </c>
      <c r="C971" t="s">
        <v>40</v>
      </c>
      <c r="D971">
        <v>4.9588150000000004</v>
      </c>
      <c r="E971">
        <v>0.55681759999999902</v>
      </c>
      <c r="F971" t="s">
        <v>44</v>
      </c>
      <c r="G971">
        <v>-201.56229999999999</v>
      </c>
      <c r="H971">
        <v>7.9987240000000001E-2</v>
      </c>
      <c r="I971">
        <v>358.84089999999998</v>
      </c>
      <c r="J971">
        <v>-208.8492</v>
      </c>
      <c r="K971">
        <v>1.107696</v>
      </c>
      <c r="L971">
        <v>366.37029999999999</v>
      </c>
      <c r="M971">
        <v>0.9878169</v>
      </c>
      <c r="N971">
        <v>0</v>
      </c>
      <c r="O971">
        <v>-0.15501570000000001</v>
      </c>
      <c r="P971">
        <v>0.77533109999999905</v>
      </c>
      <c r="Q971">
        <v>0.1058757</v>
      </c>
      <c r="R971">
        <v>-0.62261719999999998</v>
      </c>
      <c r="S971">
        <v>2.1599430000000002</v>
      </c>
      <c r="T971">
        <v>-0.29688550000000002</v>
      </c>
      <c r="U971">
        <v>-2.1848749999999999</v>
      </c>
      <c r="V971">
        <v>0.49567240000000001</v>
      </c>
      <c r="W971">
        <v>0.1143517</v>
      </c>
      <c r="X971">
        <v>0.86094859999999895</v>
      </c>
      <c r="Y971">
        <v>0.59159740000000005</v>
      </c>
      <c r="Z971">
        <v>-1.6259039999999999E-2</v>
      </c>
      <c r="AA971">
        <v>0.80606959999999905</v>
      </c>
      <c r="AB971">
        <v>20</v>
      </c>
      <c r="AC971">
        <v>7.2869000000000002</v>
      </c>
      <c r="AD971">
        <v>-1.0277087600000001</v>
      </c>
      <c r="AE971">
        <v>-7.5294000000000096</v>
      </c>
      <c r="AF971">
        <v>6.2485663100328699</v>
      </c>
      <c r="AG971">
        <v>-1.0277087600000001</v>
      </c>
      <c r="AH971">
        <v>8.2863695049314696</v>
      </c>
      <c r="AI971">
        <v>95.655280345560598</v>
      </c>
      <c r="AJ971">
        <v>52.9808690378539</v>
      </c>
      <c r="AK971">
        <v>10.4290309136811</v>
      </c>
      <c r="AL971">
        <v>83.433766252368699</v>
      </c>
      <c r="AM971">
        <v>60.069751635633303</v>
      </c>
      <c r="AN971">
        <v>0.99999996562830396</v>
      </c>
    </row>
    <row r="972" spans="1:40" x14ac:dyDescent="0.25">
      <c r="A972" t="str">
        <f>"20190312164238318"</f>
        <v>20190312164238318</v>
      </c>
      <c r="B972" t="str">
        <f>"1552380158314596"</f>
        <v>1552380158314596</v>
      </c>
      <c r="C972" t="s">
        <v>40</v>
      </c>
      <c r="D972">
        <v>4.8520139999999996</v>
      </c>
      <c r="E972">
        <v>0.55657389999999995</v>
      </c>
      <c r="F972" t="s">
        <v>44</v>
      </c>
      <c r="G972">
        <v>-201.61709999999999</v>
      </c>
      <c r="H972">
        <v>7.9987180000000005E-2</v>
      </c>
      <c r="I972">
        <v>358.97730000000001</v>
      </c>
      <c r="J972">
        <v>-208.6465</v>
      </c>
      <c r="K972">
        <v>1.107621</v>
      </c>
      <c r="L972">
        <v>366.33269999999999</v>
      </c>
      <c r="M972">
        <v>0.98703750000000001</v>
      </c>
      <c r="N972">
        <v>0</v>
      </c>
      <c r="O972">
        <v>-0.1599023</v>
      </c>
      <c r="P972">
        <v>0.77137480000000003</v>
      </c>
      <c r="Q972">
        <v>0.104935</v>
      </c>
      <c r="R972">
        <v>-0.62767019999999996</v>
      </c>
      <c r="S972">
        <v>2.1478120000000001</v>
      </c>
      <c r="T972">
        <v>-0.30521330000000002</v>
      </c>
      <c r="U972">
        <v>-2.1956180000000001</v>
      </c>
      <c r="V972">
        <v>0.497031</v>
      </c>
      <c r="W972">
        <v>0.1133171</v>
      </c>
      <c r="X972">
        <v>0.86030200000000001</v>
      </c>
      <c r="Y972">
        <v>0.59176609999999996</v>
      </c>
      <c r="Z972">
        <v>-1.62192E-2</v>
      </c>
      <c r="AA972">
        <v>0.80594659999999996</v>
      </c>
      <c r="AB972">
        <v>20</v>
      </c>
      <c r="AC972">
        <v>7.0294000000000096</v>
      </c>
      <c r="AD972">
        <v>-1.0276338199999999</v>
      </c>
      <c r="AE972">
        <v>-7.3553999999999702</v>
      </c>
      <c r="AF972">
        <v>6.0746437657855203</v>
      </c>
      <c r="AG972">
        <v>-1.0276338199999999</v>
      </c>
      <c r="AH972">
        <v>8.0332372190709105</v>
      </c>
      <c r="AI972">
        <v>95.825972537093406</v>
      </c>
      <c r="AJ972">
        <v>52.903837847901599</v>
      </c>
      <c r="AK972">
        <v>10.1237457676035</v>
      </c>
      <c r="AL972">
        <v>83.493432904066594</v>
      </c>
      <c r="AM972">
        <v>59.9832492605642</v>
      </c>
      <c r="AN972">
        <v>1.0000000556587001</v>
      </c>
    </row>
    <row r="973" spans="1:40" x14ac:dyDescent="0.25">
      <c r="A973" t="str">
        <f>"20190312164238341"</f>
        <v>20190312164238341</v>
      </c>
      <c r="B973" t="str">
        <f>"1552380158335091"</f>
        <v>1552380158335091</v>
      </c>
      <c r="C973" t="s">
        <v>40</v>
      </c>
      <c r="D973">
        <v>4.7541799999999999</v>
      </c>
      <c r="E973">
        <v>0.55647449999999998</v>
      </c>
      <c r="F973" t="s">
        <v>44</v>
      </c>
      <c r="G973">
        <v>-201.3381</v>
      </c>
      <c r="H973">
        <v>7.9987199999999994E-2</v>
      </c>
      <c r="I973">
        <v>358.7672</v>
      </c>
      <c r="J973">
        <v>-208.44139999999999</v>
      </c>
      <c r="K973">
        <v>1.107551</v>
      </c>
      <c r="L973">
        <v>366.29340000000002</v>
      </c>
      <c r="M973">
        <v>0.98620359999999996</v>
      </c>
      <c r="N973">
        <v>0</v>
      </c>
      <c r="O973">
        <v>-0.164967</v>
      </c>
      <c r="P973">
        <v>0.76726870000000003</v>
      </c>
      <c r="Q973">
        <v>0.1034134</v>
      </c>
      <c r="R973">
        <v>-0.63293310000000003</v>
      </c>
      <c r="S973">
        <v>2.1331479999999998</v>
      </c>
      <c r="T973">
        <v>-0.29994110000000002</v>
      </c>
      <c r="U973">
        <v>-2.2081909999999998</v>
      </c>
      <c r="V973">
        <v>0.49847550000000002</v>
      </c>
      <c r="W973">
        <v>0.1117061</v>
      </c>
      <c r="X973">
        <v>0.85967669999999996</v>
      </c>
      <c r="Y973">
        <v>0.59277630000000003</v>
      </c>
      <c r="Z973">
        <v>-1.5492300000000001E-2</v>
      </c>
      <c r="AA973">
        <v>0.80521809999999905</v>
      </c>
      <c r="AB973">
        <v>20</v>
      </c>
      <c r="AC973">
        <v>7.1032999999999902</v>
      </c>
      <c r="AD973">
        <v>-1.0275638</v>
      </c>
      <c r="AE973">
        <v>-7.52620000000001</v>
      </c>
      <c r="AF973">
        <v>6.1901167899499399</v>
      </c>
      <c r="AG973">
        <v>-1.0275638</v>
      </c>
      <c r="AH973">
        <v>8.16713295422662</v>
      </c>
      <c r="AI973">
        <v>95.725943311905297</v>
      </c>
      <c r="AJ973">
        <v>52.840412319706303</v>
      </c>
      <c r="AK973">
        <v>10.299295797689499</v>
      </c>
      <c r="AL973">
        <v>83.586326225608801</v>
      </c>
      <c r="AM973">
        <v>59.893098996410103</v>
      </c>
      <c r="AN973">
        <v>1.00000005270017</v>
      </c>
    </row>
    <row r="974" spans="1:40" x14ac:dyDescent="0.25">
      <c r="A974" t="str">
        <f>"20190312164238364"</f>
        <v>20190312164238364</v>
      </c>
      <c r="B974" t="str">
        <f>"1552380158354615"</f>
        <v>1552380158354615</v>
      </c>
      <c r="C974" t="s">
        <v>40</v>
      </c>
      <c r="D974">
        <v>4.7855829999999999</v>
      </c>
      <c r="E974">
        <v>0.55658019999999997</v>
      </c>
      <c r="F974" t="s">
        <v>44</v>
      </c>
      <c r="G974">
        <v>-201.1816</v>
      </c>
      <c r="H974">
        <v>7.9987210000000003E-2</v>
      </c>
      <c r="I974">
        <v>358.67309999999998</v>
      </c>
      <c r="J974">
        <v>-208.2353</v>
      </c>
      <c r="K974">
        <v>1.10749599999999</v>
      </c>
      <c r="L974">
        <v>366.2527</v>
      </c>
      <c r="M974">
        <v>0.98531780000000002</v>
      </c>
      <c r="N974">
        <v>0</v>
      </c>
      <c r="O974">
        <v>-0.17017699999999999</v>
      </c>
      <c r="P974">
        <v>0.76325430000000005</v>
      </c>
      <c r="Q974">
        <v>0.10165639999999999</v>
      </c>
      <c r="R974">
        <v>-0.63805119999999904</v>
      </c>
      <c r="S974">
        <v>2.1171570000000002</v>
      </c>
      <c r="T974">
        <v>-0.29966549999999997</v>
      </c>
      <c r="U974">
        <v>-2.2222900000000001</v>
      </c>
      <c r="V974">
        <v>0.4996449</v>
      </c>
      <c r="W974">
        <v>0.1098764</v>
      </c>
      <c r="X974">
        <v>0.85923349999999898</v>
      </c>
      <c r="Y974">
        <v>0.59412739999999997</v>
      </c>
      <c r="Z974">
        <v>-1.5035669999999999E-2</v>
      </c>
      <c r="AA974">
        <v>0.80423040000000001</v>
      </c>
      <c r="AB974">
        <v>20</v>
      </c>
      <c r="AC974">
        <v>7.0536999999999903</v>
      </c>
      <c r="AD974">
        <v>-1.02750878999999</v>
      </c>
      <c r="AE974">
        <v>-7.5796000000000197</v>
      </c>
      <c r="AF974">
        <v>6.2073969486418203</v>
      </c>
      <c r="AG974">
        <v>-1.02750878999999</v>
      </c>
      <c r="AH974">
        <v>8.1604216870172905</v>
      </c>
      <c r="AI974">
        <v>95.722807060608105</v>
      </c>
      <c r="AJ974">
        <v>52.740800640105697</v>
      </c>
      <c r="AK974">
        <v>10.3043696217419</v>
      </c>
      <c r="AL974">
        <v>83.691809557577699</v>
      </c>
      <c r="AM974">
        <v>59.821967991859601</v>
      </c>
      <c r="AN974">
        <v>1.0000000284476001</v>
      </c>
    </row>
    <row r="975" spans="1:40" x14ac:dyDescent="0.25">
      <c r="A975" t="str">
        <f>"20190312164238384"</f>
        <v>20190312164238384</v>
      </c>
      <c r="B975" t="str">
        <f>"1552380158375111"</f>
        <v>1552380158375111</v>
      </c>
      <c r="C975" t="s">
        <v>40</v>
      </c>
      <c r="D975">
        <v>4.772081</v>
      </c>
      <c r="E975">
        <v>0.55724119999999899</v>
      </c>
      <c r="F975" t="s">
        <v>44</v>
      </c>
      <c r="G975">
        <v>-200.89230000000001</v>
      </c>
      <c r="H975">
        <v>7.9987299999999997E-2</v>
      </c>
      <c r="I975">
        <v>358.4271</v>
      </c>
      <c r="J975">
        <v>-208.05080000000001</v>
      </c>
      <c r="K975">
        <v>1.1074569999999999</v>
      </c>
      <c r="L975">
        <v>366.21510000000001</v>
      </c>
      <c r="M975">
        <v>0.98448639999999998</v>
      </c>
      <c r="N975">
        <v>0</v>
      </c>
      <c r="O975">
        <v>-0.17492240000000001</v>
      </c>
      <c r="P975">
        <v>0.75946250000000004</v>
      </c>
      <c r="Q975">
        <v>9.9998669999999998E-2</v>
      </c>
      <c r="R975">
        <v>-0.64281980000000005</v>
      </c>
      <c r="S975">
        <v>2.0993499999999998</v>
      </c>
      <c r="T975">
        <v>-0.29376419999999998</v>
      </c>
      <c r="U975">
        <v>-2.2373349999999999</v>
      </c>
      <c r="V975">
        <v>0.50084839999999997</v>
      </c>
      <c r="W975">
        <v>0.1081638</v>
      </c>
      <c r="X975">
        <v>0.85875000000000001</v>
      </c>
      <c r="Y975">
        <v>0.59643389999999996</v>
      </c>
      <c r="Z975">
        <v>-1.4416770000000001E-2</v>
      </c>
      <c r="AA975">
        <v>0.80253269999999899</v>
      </c>
      <c r="AB975">
        <v>20</v>
      </c>
      <c r="AC975">
        <v>7.1585000000000001</v>
      </c>
      <c r="AD975">
        <v>-1.0274696999999999</v>
      </c>
      <c r="AE975">
        <v>-7.78800000000001</v>
      </c>
      <c r="AF975">
        <v>6.3556410081085</v>
      </c>
      <c r="AG975">
        <v>-1.0274696999999999</v>
      </c>
      <c r="AH975">
        <v>8.3319273903008995</v>
      </c>
      <c r="AI975">
        <v>95.599826088265701</v>
      </c>
      <c r="AJ975">
        <v>52.663408392538003</v>
      </c>
      <c r="AK975">
        <v>10.5295242364322</v>
      </c>
      <c r="AL975">
        <v>83.790522797407505</v>
      </c>
      <c r="AM975">
        <v>59.747998497812802</v>
      </c>
      <c r="AN975">
        <v>1.0000000449564901</v>
      </c>
    </row>
    <row r="976" spans="1:40" x14ac:dyDescent="0.25">
      <c r="A976" t="str">
        <f>"20190312164238406"</f>
        <v>20190312164238406</v>
      </c>
      <c r="B976" t="str">
        <f>"1552380158394627"</f>
        <v>1552380158394627</v>
      </c>
      <c r="C976" t="s">
        <v>40</v>
      </c>
      <c r="D976">
        <v>4.7580479999999996</v>
      </c>
      <c r="E976">
        <v>0.55782119999999902</v>
      </c>
      <c r="F976" t="s">
        <v>44</v>
      </c>
      <c r="G976">
        <v>-201.07759999999999</v>
      </c>
      <c r="H976">
        <v>7.998719E-2</v>
      </c>
      <c r="I976">
        <v>358.66820000000001</v>
      </c>
      <c r="J976">
        <v>-207.85390000000001</v>
      </c>
      <c r="K976">
        <v>1.107429</v>
      </c>
      <c r="L976">
        <v>366.1739</v>
      </c>
      <c r="M976">
        <v>0.98356089999999996</v>
      </c>
      <c r="N976">
        <v>0</v>
      </c>
      <c r="O976">
        <v>-0.1800532</v>
      </c>
      <c r="P976">
        <v>0.75523839999999998</v>
      </c>
      <c r="Q976">
        <v>9.8768140000000004E-2</v>
      </c>
      <c r="R976">
        <v>-0.64796640000000005</v>
      </c>
      <c r="S976">
        <v>2.0827179999999998</v>
      </c>
      <c r="T976">
        <v>-0.30687819999999999</v>
      </c>
      <c r="U976">
        <v>-2.2540589999999998</v>
      </c>
      <c r="V976">
        <v>0.50217679999999998</v>
      </c>
      <c r="W976">
        <v>0.10689</v>
      </c>
      <c r="X976">
        <v>0.85813349999999899</v>
      </c>
      <c r="Y976">
        <v>0.59825969999999995</v>
      </c>
      <c r="Z976">
        <v>-1.4634869999999999E-2</v>
      </c>
      <c r="AA976">
        <v>0.80116860000000001</v>
      </c>
      <c r="AB976">
        <v>20</v>
      </c>
      <c r="AC976">
        <v>6.7763000000000098</v>
      </c>
      <c r="AD976">
        <v>-1.02744181</v>
      </c>
      <c r="AE976">
        <v>-7.5056999999999903</v>
      </c>
      <c r="AF976">
        <v>6.0998275939516997</v>
      </c>
      <c r="AG976">
        <v>-1.02744181</v>
      </c>
      <c r="AH976">
        <v>7.9351656612292096</v>
      </c>
      <c r="AI976">
        <v>95.861140451848499</v>
      </c>
      <c r="AJ976">
        <v>52.450220151629402</v>
      </c>
      <c r="AK976">
        <v>10.0613312946161</v>
      </c>
      <c r="AL976">
        <v>83.863931850926093</v>
      </c>
      <c r="AM976">
        <v>59.6639746289869</v>
      </c>
      <c r="AN976">
        <v>1.0000000571902401</v>
      </c>
    </row>
    <row r="977" spans="1:40" x14ac:dyDescent="0.25">
      <c r="A977" t="str">
        <f>"20190312164238429"</f>
        <v>20190312164238429</v>
      </c>
      <c r="B977" t="str">
        <f>"1552380158424884"</f>
        <v>1552380158424884</v>
      </c>
      <c r="C977" t="s">
        <v>40</v>
      </c>
      <c r="D977">
        <v>4.6657080000000004</v>
      </c>
      <c r="E977">
        <v>0.55850949999999999</v>
      </c>
      <c r="F977" t="s">
        <v>44</v>
      </c>
      <c r="G977">
        <v>-201.04759999999999</v>
      </c>
      <c r="H977">
        <v>7.5222839999999999E-2</v>
      </c>
      <c r="I977">
        <v>358.68509999999998</v>
      </c>
      <c r="J977">
        <v>-207.64830000000001</v>
      </c>
      <c r="K977">
        <v>1.1074079999999999</v>
      </c>
      <c r="L977">
        <v>366.12959999999998</v>
      </c>
      <c r="M977">
        <v>0.98255400000000004</v>
      </c>
      <c r="N977">
        <v>0</v>
      </c>
      <c r="O977">
        <v>-0.18546840000000001</v>
      </c>
      <c r="P977">
        <v>0.75051730000000005</v>
      </c>
      <c r="Q977">
        <v>9.7151150000000006E-2</v>
      </c>
      <c r="R977">
        <v>-0.6536708</v>
      </c>
      <c r="S977">
        <v>2.0643919999999998</v>
      </c>
      <c r="T977">
        <v>-0.31307489999999999</v>
      </c>
      <c r="U977">
        <v>-2.2713930000000002</v>
      </c>
      <c r="V977">
        <v>0.50390679999999999</v>
      </c>
      <c r="W977">
        <v>0.1052362</v>
      </c>
      <c r="X977">
        <v>0.85732330000000001</v>
      </c>
      <c r="Y977">
        <v>0.60036330000000004</v>
      </c>
      <c r="Z977">
        <v>-1.448786E-2</v>
      </c>
      <c r="AA977">
        <v>0.79959619999999998</v>
      </c>
      <c r="AB977">
        <v>20</v>
      </c>
      <c r="AC977">
        <v>6.6007000000000096</v>
      </c>
      <c r="AD977">
        <v>-1.03218516</v>
      </c>
      <c r="AE977">
        <v>-7.4444999999999997</v>
      </c>
      <c r="AF977">
        <v>6.0261201058852096</v>
      </c>
      <c r="AG977">
        <v>-1.03218516</v>
      </c>
      <c r="AH977">
        <v>7.7832382666957303</v>
      </c>
      <c r="AI977">
        <v>95.9861825978317</v>
      </c>
      <c r="AJ977">
        <v>52.251412243972901</v>
      </c>
      <c r="AK977">
        <v>9.8973899413549908</v>
      </c>
      <c r="AL977">
        <v>83.959224664864607</v>
      </c>
      <c r="AM977">
        <v>59.554370289704998</v>
      </c>
      <c r="AN977">
        <v>0.99999998079978403</v>
      </c>
    </row>
    <row r="978" spans="1:40" x14ac:dyDescent="0.25">
      <c r="A978" t="str">
        <f>"20190312164238453"</f>
        <v>20190312164238453</v>
      </c>
      <c r="B978" t="str">
        <f>"1552380158445379"</f>
        <v>1552380158445379</v>
      </c>
      <c r="C978" t="s">
        <v>40</v>
      </c>
      <c r="D978">
        <v>4.6179920000000001</v>
      </c>
      <c r="E978">
        <v>0.55846379999999995</v>
      </c>
      <c r="F978" t="s">
        <v>44</v>
      </c>
      <c r="G978">
        <v>-200.91579999999999</v>
      </c>
      <c r="H978">
        <v>3.5747220000000003E-2</v>
      </c>
      <c r="I978">
        <v>358.58890000000002</v>
      </c>
      <c r="J978">
        <v>-207.4426</v>
      </c>
      <c r="K978">
        <v>1.1073959999999901</v>
      </c>
      <c r="L978">
        <v>366.08409999999998</v>
      </c>
      <c r="M978">
        <v>0.98150630000000005</v>
      </c>
      <c r="N978">
        <v>0</v>
      </c>
      <c r="O978">
        <v>-0.19093489999999999</v>
      </c>
      <c r="P978">
        <v>0.74568089999999998</v>
      </c>
      <c r="Q978">
        <v>9.5882229999999999E-2</v>
      </c>
      <c r="R978">
        <v>-0.65936839999999997</v>
      </c>
      <c r="S978">
        <v>2.044724</v>
      </c>
      <c r="T978">
        <v>-0.32546969999999997</v>
      </c>
      <c r="U978">
        <v>-2.2901609999999999</v>
      </c>
      <c r="V978">
        <v>0.50562739999999995</v>
      </c>
      <c r="W978">
        <v>0.1039378</v>
      </c>
      <c r="X978">
        <v>0.85646829999999996</v>
      </c>
      <c r="Y978">
        <v>0.60283750000000003</v>
      </c>
      <c r="Z978">
        <v>-1.461873E-2</v>
      </c>
      <c r="AA978">
        <v>0.79773000000000005</v>
      </c>
      <c r="AB978">
        <v>20</v>
      </c>
      <c r="AC978">
        <v>6.5267999999999997</v>
      </c>
      <c r="AD978">
        <v>-1.0716487800000001</v>
      </c>
      <c r="AE978">
        <v>-7.4951999999999499</v>
      </c>
      <c r="AF978">
        <v>6.0407378259965396</v>
      </c>
      <c r="AG978">
        <v>-1.0716487800000001</v>
      </c>
      <c r="AH978">
        <v>7.7478519720927403</v>
      </c>
      <c r="AI978">
        <v>96.225201552584906</v>
      </c>
      <c r="AJ978">
        <v>52.057664158814298</v>
      </c>
      <c r="AK978">
        <v>9.8827200087608595</v>
      </c>
      <c r="AL978">
        <v>84.034028114240101</v>
      </c>
      <c r="AM978">
        <v>59.443959519475698</v>
      </c>
      <c r="AN978">
        <v>1.0000000414022401</v>
      </c>
    </row>
    <row r="979" spans="1:40" x14ac:dyDescent="0.25">
      <c r="A979" t="str">
        <f>"20190312164238475"</f>
        <v>20190312164238475</v>
      </c>
      <c r="B979" t="str">
        <f>"1552380158464900"</f>
        <v>1552380158464900</v>
      </c>
      <c r="C979" t="s">
        <v>40</v>
      </c>
      <c r="D979">
        <v>4.5846910000000003</v>
      </c>
      <c r="E979">
        <v>0.55835279999999998</v>
      </c>
      <c r="F979" t="s">
        <v>44</v>
      </c>
      <c r="G979">
        <v>-200.60239999999999</v>
      </c>
      <c r="H979" s="1">
        <v>-6.2024500000000002E-6</v>
      </c>
      <c r="I979">
        <v>358.30689999999998</v>
      </c>
      <c r="J979">
        <v>-207.2406</v>
      </c>
      <c r="K979">
        <v>1.1073839999999999</v>
      </c>
      <c r="L979">
        <v>366.03820000000002</v>
      </c>
      <c r="M979">
        <v>0.98043849999999999</v>
      </c>
      <c r="N979">
        <v>0</v>
      </c>
      <c r="O979">
        <v>-0.19634509999999999</v>
      </c>
      <c r="P979">
        <v>0.74077090000000001</v>
      </c>
      <c r="Q979">
        <v>9.3728080000000005E-2</v>
      </c>
      <c r="R979">
        <v>-0.66518719999999998</v>
      </c>
      <c r="S979">
        <v>2.027237</v>
      </c>
      <c r="T979">
        <v>-0.32820280000000002</v>
      </c>
      <c r="U979">
        <v>-2.304932</v>
      </c>
      <c r="V979">
        <v>0.50754299999999997</v>
      </c>
      <c r="W979">
        <v>0.1017545</v>
      </c>
      <c r="X979">
        <v>0.85559699999999905</v>
      </c>
      <c r="Y979">
        <v>0.60436679999999998</v>
      </c>
      <c r="Z979">
        <v>-1.42396E-2</v>
      </c>
      <c r="AA979">
        <v>0.79657900000000004</v>
      </c>
      <c r="AB979">
        <v>20</v>
      </c>
      <c r="AC979">
        <v>6.6382000000000101</v>
      </c>
      <c r="AD979">
        <v>-1.10739020245</v>
      </c>
      <c r="AE979">
        <v>-7.7313000000000303</v>
      </c>
      <c r="AF979">
        <v>6.2040111456259197</v>
      </c>
      <c r="AG979">
        <v>-1.10739020245</v>
      </c>
      <c r="AH979">
        <v>7.9334161509737902</v>
      </c>
      <c r="AI979">
        <v>96.274821961225896</v>
      </c>
      <c r="AJ979">
        <v>51.974235266350199</v>
      </c>
      <c r="AK979">
        <v>10.1318882336939</v>
      </c>
      <c r="AL979">
        <v>84.1597889399482</v>
      </c>
      <c r="AM979">
        <v>59.3234403289241</v>
      </c>
      <c r="AN979">
        <v>1.00000005076412</v>
      </c>
    </row>
    <row r="980" spans="1:40" x14ac:dyDescent="0.25">
      <c r="A980" t="str">
        <f>"20190312164238519"</f>
        <v>20190312164238519</v>
      </c>
      <c r="B980" t="str">
        <f>"1552380158514675"</f>
        <v>1552380158514675</v>
      </c>
      <c r="C980" t="s">
        <v>40</v>
      </c>
      <c r="D980">
        <v>4.5342029999999998</v>
      </c>
      <c r="E980">
        <v>0.55824669999999998</v>
      </c>
      <c r="F980" t="s">
        <v>44</v>
      </c>
      <c r="G980">
        <v>-200.4717</v>
      </c>
      <c r="H980" s="1">
        <v>-6.2192880000000004E-6</v>
      </c>
      <c r="I980">
        <v>358.21870000000001</v>
      </c>
      <c r="J980">
        <v>-206.8554</v>
      </c>
      <c r="K980">
        <v>1.107351</v>
      </c>
      <c r="L980">
        <v>365.94729999999998</v>
      </c>
      <c r="M980">
        <v>0.97829560000000004</v>
      </c>
      <c r="N980">
        <v>0</v>
      </c>
      <c r="O980">
        <v>-0.20675769999999999</v>
      </c>
      <c r="P980">
        <v>0.73044699999999996</v>
      </c>
      <c r="Q980">
        <v>9.0832780000000002E-2</v>
      </c>
      <c r="R980">
        <v>-0.67690269999999997</v>
      </c>
      <c r="S980">
        <v>2.0082089999999999</v>
      </c>
      <c r="T980">
        <v>-0.32854339999999999</v>
      </c>
      <c r="U980">
        <v>-2.3199160000000001</v>
      </c>
      <c r="V980">
        <v>0.51198169999999998</v>
      </c>
      <c r="W980">
        <v>9.8782179999999997E-2</v>
      </c>
      <c r="X980">
        <v>0.85329759999999999</v>
      </c>
      <c r="Y980">
        <v>0.60224480000000002</v>
      </c>
      <c r="Z980">
        <v>-1.2915029999999999E-2</v>
      </c>
      <c r="AA980">
        <v>0.798207</v>
      </c>
      <c r="AB980">
        <v>20</v>
      </c>
      <c r="AC980">
        <v>6.3837000000000002</v>
      </c>
      <c r="AD980">
        <v>-1.1073572192879999</v>
      </c>
      <c r="AE980">
        <v>-7.7285999999999699</v>
      </c>
      <c r="AF980">
        <v>6.1663155582996998</v>
      </c>
      <c r="AG980">
        <v>-1.1073572192879999</v>
      </c>
      <c r="AH980">
        <v>7.7492663995147799</v>
      </c>
      <c r="AI980">
        <v>96.380164389767501</v>
      </c>
      <c r="AJ980">
        <v>51.489718523559503</v>
      </c>
      <c r="AK980">
        <v>9.9649795436963693</v>
      </c>
      <c r="AL980">
        <v>84.330952619196395</v>
      </c>
      <c r="AM980">
        <v>59.036088439213003</v>
      </c>
      <c r="AN980">
        <v>0.99999998719310101</v>
      </c>
    </row>
    <row r="981" spans="1:40" x14ac:dyDescent="0.25">
      <c r="A981" t="str">
        <f>"20190312164238542"</f>
        <v>20190312164238542</v>
      </c>
      <c r="B981" t="str">
        <f>"1552380158535171"</f>
        <v>1552380158535171</v>
      </c>
      <c r="C981" t="s">
        <v>40</v>
      </c>
      <c r="D981">
        <v>4.500013</v>
      </c>
      <c r="E981">
        <v>0.55809779999999998</v>
      </c>
      <c r="F981" t="s">
        <v>44</v>
      </c>
      <c r="G981">
        <v>-200.20590000000001</v>
      </c>
      <c r="H981" s="1">
        <v>-6.245331E-6</v>
      </c>
      <c r="I981">
        <v>358.01479999999998</v>
      </c>
      <c r="J981">
        <v>-206.65889999999999</v>
      </c>
      <c r="K981">
        <v>1.1073360000000001</v>
      </c>
      <c r="L981">
        <v>365.89920000000001</v>
      </c>
      <c r="M981">
        <v>0.97714500000000004</v>
      </c>
      <c r="N981">
        <v>0</v>
      </c>
      <c r="O981">
        <v>-0.21212839999999999</v>
      </c>
      <c r="P981">
        <v>0.72517619999999905</v>
      </c>
      <c r="Q981">
        <v>8.9582469999999997E-2</v>
      </c>
      <c r="R981">
        <v>-0.68271130000000002</v>
      </c>
      <c r="S981">
        <v>1.970016</v>
      </c>
      <c r="T981">
        <v>-0.32807360000000002</v>
      </c>
      <c r="U981">
        <v>-2.3501280000000002</v>
      </c>
      <c r="V981">
        <v>0.51406759999999996</v>
      </c>
      <c r="W981">
        <v>9.7487169999999998E-2</v>
      </c>
      <c r="X981">
        <v>0.8521917</v>
      </c>
      <c r="Y981">
        <v>0.61046849999999997</v>
      </c>
      <c r="Z981">
        <v>-1.2890759999999999E-2</v>
      </c>
      <c r="AA981">
        <v>0.79193559999999996</v>
      </c>
      <c r="AB981">
        <v>20</v>
      </c>
      <c r="AC981">
        <v>6.4529999999999701</v>
      </c>
      <c r="AD981">
        <v>-1.107342245331</v>
      </c>
      <c r="AE981">
        <v>-7.8844000000000198</v>
      </c>
      <c r="AF981">
        <v>6.2619667297371198</v>
      </c>
      <c r="AG981">
        <v>-1.107342245331</v>
      </c>
      <c r="AH981">
        <v>7.8856268601251696</v>
      </c>
      <c r="AI981">
        <v>96.275580798655696</v>
      </c>
      <c r="AJ981">
        <v>51.546953458072302</v>
      </c>
      <c r="AK981">
        <v>10.130229274293599</v>
      </c>
      <c r="AL981">
        <v>84.405511017490895</v>
      </c>
      <c r="AM981">
        <v>58.900359840939998</v>
      </c>
      <c r="AN981">
        <v>0.99999996961662896</v>
      </c>
    </row>
    <row r="982" spans="1:40" x14ac:dyDescent="0.25">
      <c r="A982" t="str">
        <f>"20190312164238563"</f>
        <v>20190312164238563</v>
      </c>
      <c r="B982" t="str">
        <f>"1552380158554695"</f>
        <v>1552380158554695</v>
      </c>
      <c r="C982" t="s">
        <v>40</v>
      </c>
      <c r="D982">
        <v>4.5119040000000004</v>
      </c>
      <c r="E982">
        <v>0.55793389999999998</v>
      </c>
      <c r="F982" t="s">
        <v>44</v>
      </c>
      <c r="G982">
        <v>-200.07820000000001</v>
      </c>
      <c r="H982" s="1">
        <v>-6.2598410000000003E-6</v>
      </c>
      <c r="I982">
        <v>357.9228</v>
      </c>
      <c r="J982">
        <v>-206.4631</v>
      </c>
      <c r="K982">
        <v>1.1073249999999999</v>
      </c>
      <c r="L982">
        <v>365.85</v>
      </c>
      <c r="M982">
        <v>0.97595410000000005</v>
      </c>
      <c r="N982">
        <v>0</v>
      </c>
      <c r="O982">
        <v>-0.2175416</v>
      </c>
      <c r="P982">
        <v>0.7198194</v>
      </c>
      <c r="Q982">
        <v>8.8720869999999993E-2</v>
      </c>
      <c r="R982">
        <v>-0.68846850000000004</v>
      </c>
      <c r="S982">
        <v>1.9510799999999999</v>
      </c>
      <c r="T982">
        <v>-0.32831379999999999</v>
      </c>
      <c r="U982">
        <v>-2.3648989999999999</v>
      </c>
      <c r="V982">
        <v>0.5161116</v>
      </c>
      <c r="W982">
        <v>9.6571710000000005E-2</v>
      </c>
      <c r="X982">
        <v>0.85105969999999997</v>
      </c>
      <c r="Y982">
        <v>0.61229160000000005</v>
      </c>
      <c r="Z982">
        <v>-1.2415509999999999E-2</v>
      </c>
      <c r="AA982">
        <v>0.79053450000000003</v>
      </c>
      <c r="AB982">
        <v>20</v>
      </c>
      <c r="AC982">
        <v>6.3848999999999796</v>
      </c>
      <c r="AD982">
        <v>-1.1073312598409999</v>
      </c>
      <c r="AE982">
        <v>-7.9272000000000196</v>
      </c>
      <c r="AF982">
        <v>6.2739511888514503</v>
      </c>
      <c r="AG982">
        <v>-1.1073312598409999</v>
      </c>
      <c r="AH982">
        <v>7.86355374694205</v>
      </c>
      <c r="AI982">
        <v>96.281587707277396</v>
      </c>
      <c r="AJ982">
        <v>51.415317898667197</v>
      </c>
      <c r="AK982">
        <v>10.1204804021428</v>
      </c>
      <c r="AL982">
        <v>84.458211550911599</v>
      </c>
      <c r="AM982">
        <v>58.7659500673008</v>
      </c>
      <c r="AN982">
        <v>0.99999994589548502</v>
      </c>
    </row>
    <row r="983" spans="1:40" x14ac:dyDescent="0.25">
      <c r="A983" t="str">
        <f>"20190312164238585"</f>
        <v>20190312164238585</v>
      </c>
      <c r="B983" t="str">
        <f>"1552380158575191"</f>
        <v>1552380158575191</v>
      </c>
      <c r="C983" t="s">
        <v>40</v>
      </c>
      <c r="D983">
        <v>4.5162940000000003</v>
      </c>
      <c r="E983">
        <v>0.55766749999999998</v>
      </c>
      <c r="F983" t="s">
        <v>44</v>
      </c>
      <c r="G983">
        <v>-199.911</v>
      </c>
      <c r="H983" s="1">
        <v>-6.2247949999999998E-6</v>
      </c>
      <c r="I983">
        <v>357.77679999999998</v>
      </c>
      <c r="J983">
        <v>-206.27090000000001</v>
      </c>
      <c r="K983">
        <v>1.1073090000000001</v>
      </c>
      <c r="L983">
        <v>365.8005</v>
      </c>
      <c r="M983">
        <v>0.9747422</v>
      </c>
      <c r="N983">
        <v>0</v>
      </c>
      <c r="O983">
        <v>-0.2229083</v>
      </c>
      <c r="P983">
        <v>0.71403459999999996</v>
      </c>
      <c r="Q983">
        <v>8.8238570000000002E-2</v>
      </c>
      <c r="R983">
        <v>-0.69452760000000002</v>
      </c>
      <c r="S983">
        <v>1.931595</v>
      </c>
      <c r="T983">
        <v>-0.32644810000000002</v>
      </c>
      <c r="U983">
        <v>-2.3800349999999999</v>
      </c>
      <c r="V983">
        <v>0.51861139999999994</v>
      </c>
      <c r="W983">
        <v>9.6025410000000005E-2</v>
      </c>
      <c r="X983">
        <v>0.84960069999999999</v>
      </c>
      <c r="Y983">
        <v>0.61434109999999997</v>
      </c>
      <c r="Z983">
        <v>-1.188343E-2</v>
      </c>
      <c r="AA983">
        <v>0.78895099999999996</v>
      </c>
      <c r="AB983">
        <v>20</v>
      </c>
      <c r="AC983">
        <v>6.3599000000000396</v>
      </c>
      <c r="AD983">
        <v>-1.107315224795</v>
      </c>
      <c r="AE983">
        <v>-8.0237000000000194</v>
      </c>
      <c r="AF983">
        <v>6.3299318320196498</v>
      </c>
      <c r="AG983">
        <v>-1.107315224795</v>
      </c>
      <c r="AH983">
        <v>7.8962094146138604</v>
      </c>
      <c r="AI983">
        <v>96.244263543955995</v>
      </c>
      <c r="AJ983">
        <v>51.282877658827303</v>
      </c>
      <c r="AK983">
        <v>10.180584812500401</v>
      </c>
      <c r="AL983">
        <v>84.489658721760094</v>
      </c>
      <c r="AM983">
        <v>58.599365322238903</v>
      </c>
      <c r="AN983">
        <v>1.0000000065080501</v>
      </c>
    </row>
    <row r="984" spans="1:40" x14ac:dyDescent="0.25">
      <c r="A984" t="str">
        <f>"20190312164238608"</f>
        <v>20190312164238608</v>
      </c>
      <c r="B984" t="str">
        <f>"1552380158604469"</f>
        <v>1552380158604469</v>
      </c>
      <c r="C984" t="s">
        <v>40</v>
      </c>
      <c r="D984">
        <v>4.4948880000000004</v>
      </c>
      <c r="E984">
        <v>0.55729819999999997</v>
      </c>
      <c r="F984" t="s">
        <v>44</v>
      </c>
      <c r="G984">
        <v>-199.74170000000001</v>
      </c>
      <c r="H984" s="1">
        <v>-6.1457359999999996E-6</v>
      </c>
      <c r="I984">
        <v>357.61959999999999</v>
      </c>
      <c r="J984">
        <v>-206.0753</v>
      </c>
      <c r="K984">
        <v>1.1072850000000001</v>
      </c>
      <c r="L984">
        <v>365.74889999999999</v>
      </c>
      <c r="M984">
        <v>0.97346029999999995</v>
      </c>
      <c r="N984">
        <v>0</v>
      </c>
      <c r="O984">
        <v>-0.22844110000000001</v>
      </c>
      <c r="P984">
        <v>0.70786740000000004</v>
      </c>
      <c r="Q984">
        <v>8.8282139999999995E-2</v>
      </c>
      <c r="R984">
        <v>-0.70080640000000005</v>
      </c>
      <c r="S984">
        <v>1.911697</v>
      </c>
      <c r="T984">
        <v>-0.32421169999999999</v>
      </c>
      <c r="U984">
        <v>-2.3952939999999998</v>
      </c>
      <c r="V984">
        <v>0.5212985</v>
      </c>
      <c r="W984">
        <v>9.5993120000000001E-2</v>
      </c>
      <c r="X984">
        <v>0.8479582</v>
      </c>
      <c r="Y984">
        <v>0.61635660000000003</v>
      </c>
      <c r="Z984">
        <v>-1.132086E-2</v>
      </c>
      <c r="AA984">
        <v>0.78738580000000002</v>
      </c>
      <c r="AB984">
        <v>20</v>
      </c>
      <c r="AC984">
        <v>6.3335999999999899</v>
      </c>
      <c r="AD984">
        <v>-1.107291145736</v>
      </c>
      <c r="AE984">
        <v>-8.1293000000000006</v>
      </c>
      <c r="AF984">
        <v>6.3934959561331102</v>
      </c>
      <c r="AG984">
        <v>-1.107291145736</v>
      </c>
      <c r="AH984">
        <v>7.9317621879432103</v>
      </c>
      <c r="AI984">
        <v>96.203060259726001</v>
      </c>
      <c r="AJ984">
        <v>51.129015436655202</v>
      </c>
      <c r="AK984">
        <v>10.2477185572497</v>
      </c>
      <c r="AL984">
        <v>84.491517115511598</v>
      </c>
      <c r="AM984">
        <v>58.4180842710524</v>
      </c>
      <c r="AN984">
        <v>0.99999995706841105</v>
      </c>
    </row>
    <row r="985" spans="1:40" x14ac:dyDescent="0.25">
      <c r="A985" t="str">
        <f>"20190312164238630"</f>
        <v>20190312164238630</v>
      </c>
      <c r="B985" t="str">
        <f>"1552380158624964"</f>
        <v>1552380158624964</v>
      </c>
      <c r="C985" t="s">
        <v>40</v>
      </c>
      <c r="D985">
        <v>5.4479559999999996</v>
      </c>
      <c r="E985">
        <v>0.55702499999999999</v>
      </c>
      <c r="F985" t="s">
        <v>44</v>
      </c>
      <c r="G985">
        <v>-199.52699999999999</v>
      </c>
      <c r="H985" s="1">
        <v>-6.0409659999999998E-6</v>
      </c>
      <c r="I985">
        <v>357.40679999999998</v>
      </c>
      <c r="J985">
        <v>-205.87610000000001</v>
      </c>
      <c r="K985">
        <v>1.1072470000000001</v>
      </c>
      <c r="L985">
        <v>365.69490000000002</v>
      </c>
      <c r="M985">
        <v>0.97209619999999997</v>
      </c>
      <c r="N985">
        <v>0</v>
      </c>
      <c r="O985">
        <v>-0.23417750000000001</v>
      </c>
      <c r="P985">
        <v>0.70198939999999999</v>
      </c>
      <c r="Q985">
        <v>8.8540599999999997E-2</v>
      </c>
      <c r="R985">
        <v>-0.70666209999999996</v>
      </c>
      <c r="S985">
        <v>1.891891</v>
      </c>
      <c r="T985">
        <v>-0.31990849999999998</v>
      </c>
      <c r="U985">
        <v>-2.410126</v>
      </c>
      <c r="V985">
        <v>0.52336249999999995</v>
      </c>
      <c r="W985">
        <v>9.6169199999999996E-2</v>
      </c>
      <c r="X985">
        <v>0.84666589999999997</v>
      </c>
      <c r="Y985">
        <v>0.61814080000000005</v>
      </c>
      <c r="Z985">
        <v>-1.0655319999999999E-2</v>
      </c>
      <c r="AA985">
        <v>0.78599519999999901</v>
      </c>
      <c r="AB985">
        <v>20</v>
      </c>
      <c r="AC985">
        <v>6.3490999999999902</v>
      </c>
      <c r="AD985">
        <v>-1.107253040966</v>
      </c>
      <c r="AE985">
        <v>-8.2881000000000409</v>
      </c>
      <c r="AF985">
        <v>6.4975572756064102</v>
      </c>
      <c r="AG985">
        <v>-1.107253040966</v>
      </c>
      <c r="AH985">
        <v>8.0233509083647903</v>
      </c>
      <c r="AI985">
        <v>96.121382970827597</v>
      </c>
      <c r="AJ985">
        <v>50.998379164857802</v>
      </c>
      <c r="AK985">
        <v>10.3835648813532</v>
      </c>
      <c r="AL985">
        <v>84.4813817303299</v>
      </c>
      <c r="AM985">
        <v>58.277913185922003</v>
      </c>
      <c r="AN985">
        <v>0.99999998382884903</v>
      </c>
    </row>
    <row r="986" spans="1:40" x14ac:dyDescent="0.25">
      <c r="A986" t="str">
        <f>"20190312164238654"</f>
        <v>20190312164238654</v>
      </c>
      <c r="B986" t="str">
        <f>"1552380158644484"</f>
        <v>1552380158644484</v>
      </c>
      <c r="C986" t="s">
        <v>40</v>
      </c>
      <c r="D986">
        <v>4.6739449999999998</v>
      </c>
      <c r="E986">
        <v>0.55681099999999994</v>
      </c>
      <c r="F986" t="s">
        <v>44</v>
      </c>
      <c r="G986">
        <v>-199.3913</v>
      </c>
      <c r="H986" s="1">
        <v>-5.9852249999999999E-6</v>
      </c>
      <c r="I986">
        <v>357.30360000000002</v>
      </c>
      <c r="J986">
        <v>-205.67570000000001</v>
      </c>
      <c r="K986">
        <v>1.107194</v>
      </c>
      <c r="L986">
        <v>365.63940000000002</v>
      </c>
      <c r="M986">
        <v>0.97065760000000001</v>
      </c>
      <c r="N986">
        <v>0</v>
      </c>
      <c r="O986">
        <v>-0.24007049999999999</v>
      </c>
      <c r="P986">
        <v>0.69586630000000005</v>
      </c>
      <c r="Q986">
        <v>8.9365840000000002E-2</v>
      </c>
      <c r="R986">
        <v>-0.71258969999999999</v>
      </c>
      <c r="S986">
        <v>1.873459</v>
      </c>
      <c r="T986">
        <v>-0.3198879</v>
      </c>
      <c r="U986">
        <v>-2.4242859999999999</v>
      </c>
      <c r="V986">
        <v>0.52545330000000001</v>
      </c>
      <c r="W986">
        <v>9.6886810000000004E-2</v>
      </c>
      <c r="X986">
        <v>0.84528799999999904</v>
      </c>
      <c r="Y986">
        <v>0.61935909999999905</v>
      </c>
      <c r="Z986">
        <v>-1.0076949999999999E-2</v>
      </c>
      <c r="AA986">
        <v>0.78504319999999905</v>
      </c>
      <c r="AB986">
        <v>20</v>
      </c>
      <c r="AC986">
        <v>6.2843999999999998</v>
      </c>
      <c r="AD986">
        <v>-1.1071999852249901</v>
      </c>
      <c r="AE986">
        <v>-8.3358000000000008</v>
      </c>
      <c r="AF986">
        <v>6.5099049471117301</v>
      </c>
      <c r="AG986">
        <v>-1.1071999852249901</v>
      </c>
      <c r="AH986">
        <v>8.01182605479171</v>
      </c>
      <c r="AI986">
        <v>96.121781317797499</v>
      </c>
      <c r="AJ986">
        <v>50.904864871560299</v>
      </c>
      <c r="AK986">
        <v>10.3823942787755</v>
      </c>
      <c r="AL986">
        <v>84.440072969364707</v>
      </c>
      <c r="AM986">
        <v>58.133826612364302</v>
      </c>
      <c r="AN986">
        <v>1.0000000136884299</v>
      </c>
    </row>
    <row r="987" spans="1:40" x14ac:dyDescent="0.25">
      <c r="A987" t="str">
        <f>"20190312164238676"</f>
        <v>20190312164238676</v>
      </c>
      <c r="B987" t="str">
        <f>"1552380158664980"</f>
        <v>1552380158664980</v>
      </c>
      <c r="C987" t="s">
        <v>40</v>
      </c>
      <c r="D987">
        <v>4.6183899999999998</v>
      </c>
      <c r="E987">
        <v>0.55655969999999999</v>
      </c>
      <c r="F987" t="s">
        <v>44</v>
      </c>
      <c r="G987">
        <v>-199.20320000000001</v>
      </c>
      <c r="H987" s="1">
        <v>-5.8943359999999998E-6</v>
      </c>
      <c r="I987">
        <v>357.1198</v>
      </c>
      <c r="J987">
        <v>-205.48570000000001</v>
      </c>
      <c r="K987">
        <v>1.107132</v>
      </c>
      <c r="L987">
        <v>365.58530000000002</v>
      </c>
      <c r="M987">
        <v>0.9692212</v>
      </c>
      <c r="N987">
        <v>0</v>
      </c>
      <c r="O987">
        <v>-0.2458051</v>
      </c>
      <c r="P987">
        <v>0.68945970000000001</v>
      </c>
      <c r="Q987">
        <v>9.0303179999999997E-2</v>
      </c>
      <c r="R987">
        <v>-0.71867309999999995</v>
      </c>
      <c r="S987">
        <v>1.853531</v>
      </c>
      <c r="T987">
        <v>-0.31706849999999998</v>
      </c>
      <c r="U987">
        <v>-2.4397579999999999</v>
      </c>
      <c r="V987">
        <v>0.52793659999999998</v>
      </c>
      <c r="W987">
        <v>9.7687449999999995E-2</v>
      </c>
      <c r="X987">
        <v>0.84364689999999998</v>
      </c>
      <c r="Y987">
        <v>0.62123329999999999</v>
      </c>
      <c r="Z987">
        <v>-9.4781850000000001E-3</v>
      </c>
      <c r="AA987">
        <v>0.7835683</v>
      </c>
      <c r="AB987">
        <v>20</v>
      </c>
      <c r="AC987">
        <v>6.28249999999999</v>
      </c>
      <c r="AD987">
        <v>-1.107137894336</v>
      </c>
      <c r="AE987">
        <v>-8.4655000000000094</v>
      </c>
      <c r="AF987">
        <v>6.5886356332930403</v>
      </c>
      <c r="AG987">
        <v>-1.107137894336</v>
      </c>
      <c r="AH987">
        <v>8.0816358664277193</v>
      </c>
      <c r="AI987">
        <v>96.060933840320899</v>
      </c>
      <c r="AJ987">
        <v>50.811010785887397</v>
      </c>
      <c r="AK987">
        <v>10.485643142073</v>
      </c>
      <c r="AL987">
        <v>84.393980908379305</v>
      </c>
      <c r="AM987">
        <v>57.962527866991202</v>
      </c>
      <c r="AN987">
        <v>0.99999999169333598</v>
      </c>
    </row>
    <row r="988" spans="1:40" x14ac:dyDescent="0.25">
      <c r="A988" t="str">
        <f>"20190312164238697"</f>
        <v>20190312164238697</v>
      </c>
      <c r="B988" t="str">
        <f>"1552380158684500"</f>
        <v>1552380158684500</v>
      </c>
      <c r="C988" t="s">
        <v>40</v>
      </c>
      <c r="D988">
        <v>4.6198009999999998</v>
      </c>
      <c r="E988">
        <v>0.55628880000000003</v>
      </c>
      <c r="F988" t="s">
        <v>44</v>
      </c>
      <c r="G988">
        <v>-199.02869999999999</v>
      </c>
      <c r="H988" s="1">
        <v>-5.8078830000000001E-6</v>
      </c>
      <c r="I988">
        <v>356.94290000000001</v>
      </c>
      <c r="J988">
        <v>-205.3004</v>
      </c>
      <c r="K988">
        <v>1.1070420000000001</v>
      </c>
      <c r="L988">
        <v>365.53120000000001</v>
      </c>
      <c r="M988">
        <v>0.96774300000000002</v>
      </c>
      <c r="N988">
        <v>0</v>
      </c>
      <c r="O988">
        <v>-0.25156119999999998</v>
      </c>
      <c r="P988">
        <v>0.6831064</v>
      </c>
      <c r="Q988">
        <v>9.1426800000000003E-2</v>
      </c>
      <c r="R988">
        <v>-0.72457369999999899</v>
      </c>
      <c r="S988">
        <v>1.8339080000000001</v>
      </c>
      <c r="T988">
        <v>-0.3144478</v>
      </c>
      <c r="U988">
        <v>-2.45459</v>
      </c>
      <c r="V988">
        <v>0.53024689999999997</v>
      </c>
      <c r="W988">
        <v>9.8653569999999996E-2</v>
      </c>
      <c r="X988">
        <v>0.8420841</v>
      </c>
      <c r="Y988">
        <v>0.62291629999999998</v>
      </c>
      <c r="Z988">
        <v>-8.8771430000000005E-3</v>
      </c>
      <c r="AA988">
        <v>0.78223809999999905</v>
      </c>
      <c r="AB988">
        <v>20</v>
      </c>
      <c r="AC988">
        <v>6.2717000000000098</v>
      </c>
      <c r="AD988">
        <v>-1.1070478078829999</v>
      </c>
      <c r="AE988">
        <v>-8.5883000000000003</v>
      </c>
      <c r="AF988">
        <v>6.6619981220600799</v>
      </c>
      <c r="AG988">
        <v>-1.1070478078829999</v>
      </c>
      <c r="AH988">
        <v>8.1424237167215292</v>
      </c>
      <c r="AI988">
        <v>96.006985724623704</v>
      </c>
      <c r="AJ988">
        <v>50.710529569911202</v>
      </c>
      <c r="AK988">
        <v>10.578602828819101</v>
      </c>
      <c r="AL988">
        <v>84.338357482743007</v>
      </c>
      <c r="AM988">
        <v>57.802034540355798</v>
      </c>
      <c r="AN988">
        <v>0.999999966653081</v>
      </c>
    </row>
    <row r="989" spans="1:40" x14ac:dyDescent="0.25">
      <c r="A989" t="str">
        <f>"20190312164238720"</f>
        <v>20190312164238720</v>
      </c>
      <c r="B989" t="str">
        <f>"1552380158714756"</f>
        <v>1552380158714756</v>
      </c>
      <c r="C989" t="s">
        <v>40</v>
      </c>
      <c r="D989">
        <v>4.5827210000000003</v>
      </c>
      <c r="E989">
        <v>0.55623900000000004</v>
      </c>
      <c r="F989" t="s">
        <v>44</v>
      </c>
      <c r="G989">
        <v>-198.8382</v>
      </c>
      <c r="H989" s="1">
        <v>-5.7087750000000002E-6</v>
      </c>
      <c r="I989">
        <v>356.73579999999998</v>
      </c>
      <c r="J989">
        <v>-205.10130000000001</v>
      </c>
      <c r="K989">
        <v>1.1069310000000001</v>
      </c>
      <c r="L989">
        <v>365.47160000000002</v>
      </c>
      <c r="M989">
        <v>0.96606139999999996</v>
      </c>
      <c r="N989">
        <v>0</v>
      </c>
      <c r="O989">
        <v>-0.25794319999999998</v>
      </c>
      <c r="P989">
        <v>0.67604310000000001</v>
      </c>
      <c r="Q989">
        <v>9.3210689999999999E-2</v>
      </c>
      <c r="R989">
        <v>-0.73094309999999996</v>
      </c>
      <c r="S989">
        <v>1.814163</v>
      </c>
      <c r="T989">
        <v>-0.310785799999999</v>
      </c>
      <c r="U989">
        <v>-2.4691770000000002</v>
      </c>
      <c r="V989">
        <v>0.53268919999999997</v>
      </c>
      <c r="W989">
        <v>0.1002459</v>
      </c>
      <c r="X989">
        <v>0.84035300000000002</v>
      </c>
      <c r="Y989">
        <v>0.62408819999999998</v>
      </c>
      <c r="Z989">
        <v>-8.1508180000000006E-3</v>
      </c>
      <c r="AA989">
        <v>0.78131139999999999</v>
      </c>
      <c r="AB989">
        <v>20</v>
      </c>
      <c r="AC989">
        <v>6.2630999999999997</v>
      </c>
      <c r="AD989">
        <v>-1.1069367087749999</v>
      </c>
      <c r="AE989">
        <v>-8.7358000000000402</v>
      </c>
      <c r="AF989">
        <v>6.7528319694421004</v>
      </c>
      <c r="AG989">
        <v>-1.1069367087749999</v>
      </c>
      <c r="AH989">
        <v>8.2175242683132108</v>
      </c>
      <c r="AI989">
        <v>95.941537715165097</v>
      </c>
      <c r="AJ989">
        <v>50.588005680978902</v>
      </c>
      <c r="AK989">
        <v>10.693631449842901</v>
      </c>
      <c r="AL989">
        <v>84.246669881761505</v>
      </c>
      <c r="AM989">
        <v>57.629903612453496</v>
      </c>
      <c r="AN989">
        <v>1.00000009443622</v>
      </c>
    </row>
    <row r="990" spans="1:40" x14ac:dyDescent="0.25">
      <c r="A990" t="str">
        <f>"20190312164238744"</f>
        <v>20190312164238744</v>
      </c>
      <c r="B990" t="str">
        <f>"1552380158735255"</f>
        <v>1552380158735255</v>
      </c>
      <c r="C990" t="s">
        <v>40</v>
      </c>
      <c r="D990">
        <v>4.5906949999999904</v>
      </c>
      <c r="E990">
        <v>0.55600559999999999</v>
      </c>
      <c r="F990" t="s">
        <v>44</v>
      </c>
      <c r="G990">
        <v>-198.55260000000001</v>
      </c>
      <c r="H990" s="1">
        <v>-5.5418869999999997E-6</v>
      </c>
      <c r="I990">
        <v>356.37049999999999</v>
      </c>
      <c r="J990">
        <v>-204.90450000000001</v>
      </c>
      <c r="K990">
        <v>1.1068150000000001</v>
      </c>
      <c r="L990">
        <v>365.41070000000002</v>
      </c>
      <c r="M990">
        <v>0.9642828</v>
      </c>
      <c r="N990">
        <v>0</v>
      </c>
      <c r="O990">
        <v>-0.26451409999999997</v>
      </c>
      <c r="P990">
        <v>0.66736359999999995</v>
      </c>
      <c r="Q990">
        <v>9.5428570000000004E-2</v>
      </c>
      <c r="R990">
        <v>-0.7385929</v>
      </c>
      <c r="S990">
        <v>1.7898860000000001</v>
      </c>
      <c r="T990">
        <v>-0.30254589999999998</v>
      </c>
      <c r="U990">
        <v>-2.4874879999999999</v>
      </c>
      <c r="V990">
        <v>0.5366725</v>
      </c>
      <c r="W990">
        <v>0.1022279</v>
      </c>
      <c r="X990">
        <v>0.83757510000000002</v>
      </c>
      <c r="Y990">
        <v>0.62662769999999901</v>
      </c>
      <c r="Z990">
        <v>-7.3988509999999997E-3</v>
      </c>
      <c r="AA990">
        <v>0.77928359999999997</v>
      </c>
      <c r="AB990">
        <v>20</v>
      </c>
      <c r="AC990">
        <v>6.3518999999999997</v>
      </c>
      <c r="AD990">
        <v>-1.1068205418870001</v>
      </c>
      <c r="AE990">
        <v>-9.04020000000002</v>
      </c>
      <c r="AF990">
        <v>6.9678880817325801</v>
      </c>
      <c r="AG990">
        <v>-1.1068205418870001</v>
      </c>
      <c r="AH990">
        <v>8.4324774845314394</v>
      </c>
      <c r="AI990">
        <v>95.777675679725405</v>
      </c>
      <c r="AJ990">
        <v>50.432544745408102</v>
      </c>
      <c r="AK990">
        <v>10.9946892888623</v>
      </c>
      <c r="AL990">
        <v>84.132522529965499</v>
      </c>
      <c r="AM990">
        <v>57.350463816439898</v>
      </c>
      <c r="AN990">
        <v>0.99999998196733397</v>
      </c>
    </row>
    <row r="991" spans="1:40" x14ac:dyDescent="0.25">
      <c r="A991" t="str">
        <f>"20190312164238776"</f>
        <v>20190312164238776</v>
      </c>
      <c r="B991" t="str">
        <f>"1552380158765508"</f>
        <v>1552380158765508</v>
      </c>
      <c r="C991" t="s">
        <v>40</v>
      </c>
      <c r="D991">
        <v>4.6495389999999999</v>
      </c>
      <c r="E991">
        <v>0.55576819999999905</v>
      </c>
      <c r="F991" t="s">
        <v>44</v>
      </c>
      <c r="G991">
        <v>-198.26939999999999</v>
      </c>
      <c r="H991" s="1">
        <v>-5.3626150000000003E-6</v>
      </c>
      <c r="I991">
        <v>355.96710000000002</v>
      </c>
      <c r="J991">
        <v>-204.6319</v>
      </c>
      <c r="K991">
        <v>1.1066370000000001</v>
      </c>
      <c r="L991">
        <v>365.3236</v>
      </c>
      <c r="M991">
        <v>0.96162029999999998</v>
      </c>
      <c r="N991">
        <v>0</v>
      </c>
      <c r="O991">
        <v>-0.27403319999999998</v>
      </c>
      <c r="P991">
        <v>0.65722579999999997</v>
      </c>
      <c r="Q991">
        <v>9.6943310000000005E-2</v>
      </c>
      <c r="R991">
        <v>-0.74743319999999902</v>
      </c>
      <c r="S991">
        <v>1.7619020000000001</v>
      </c>
      <c r="T991">
        <v>-0.29391060000000002</v>
      </c>
      <c r="U991">
        <v>-2.5077210000000001</v>
      </c>
      <c r="V991">
        <v>0.53969639999999997</v>
      </c>
      <c r="W991">
        <v>0.10344970000000001</v>
      </c>
      <c r="X991">
        <v>0.83547950000000004</v>
      </c>
      <c r="Y991">
        <v>0.62783429999999996</v>
      </c>
      <c r="Z991">
        <v>-6.2667599999999997E-3</v>
      </c>
      <c r="AA991">
        <v>0.77832179999999995</v>
      </c>
      <c r="AB991">
        <v>20</v>
      </c>
      <c r="AC991">
        <v>6.3625000000000096</v>
      </c>
      <c r="AD991">
        <v>-1.1066423626149999</v>
      </c>
      <c r="AE991">
        <v>-9.3564999999999792</v>
      </c>
      <c r="AF991">
        <v>7.1858236658736301</v>
      </c>
      <c r="AG991">
        <v>-1.1066423626149999</v>
      </c>
      <c r="AH991">
        <v>8.6008617816453707</v>
      </c>
      <c r="AI991">
        <v>95.639113194026706</v>
      </c>
      <c r="AJ991">
        <v>50.122013792969099</v>
      </c>
      <c r="AK991">
        <v>11.262128682568401</v>
      </c>
      <c r="AL991">
        <v>84.0621456289159</v>
      </c>
      <c r="AM991">
        <v>57.138670113293301</v>
      </c>
      <c r="AN991">
        <v>1.0000000197616401</v>
      </c>
    </row>
    <row r="992" spans="1:40" x14ac:dyDescent="0.25">
      <c r="A992" t="str">
        <f>"20190312164238798"</f>
        <v>20190312164238798</v>
      </c>
      <c r="B992" t="str">
        <f>"1552380158794787"</f>
        <v>1552380158794787</v>
      </c>
      <c r="C992" t="s">
        <v>40</v>
      </c>
      <c r="D992">
        <v>4.6474880000000001</v>
      </c>
      <c r="E992">
        <v>0.58229209999999998</v>
      </c>
      <c r="F992" t="s">
        <v>44</v>
      </c>
      <c r="G992">
        <v>-197.8973</v>
      </c>
      <c r="H992" s="1">
        <v>-5.1049879999999999E-6</v>
      </c>
      <c r="I992">
        <v>355.44990000000001</v>
      </c>
      <c r="J992">
        <v>-204.4384</v>
      </c>
      <c r="K992">
        <v>1.106511</v>
      </c>
      <c r="L992">
        <v>365.25970000000001</v>
      </c>
      <c r="M992">
        <v>0.95959220000000001</v>
      </c>
      <c r="N992">
        <v>0</v>
      </c>
      <c r="O992">
        <v>-0.28105160000000001</v>
      </c>
      <c r="P992">
        <v>0.64991460000000001</v>
      </c>
      <c r="Q992">
        <v>9.8320569999999996E-2</v>
      </c>
      <c r="R992">
        <v>-0.75362059999999997</v>
      </c>
      <c r="S992">
        <v>1.7269589999999999</v>
      </c>
      <c r="T992">
        <v>-0.28377869999999999</v>
      </c>
      <c r="U992">
        <v>-2.5319210000000001</v>
      </c>
      <c r="V992">
        <v>0.54160589999999997</v>
      </c>
      <c r="W992">
        <v>0.1046415</v>
      </c>
      <c r="X992">
        <v>0.83409429999999996</v>
      </c>
      <c r="Y992">
        <v>0.63303399999999999</v>
      </c>
      <c r="Z992">
        <v>-5.6709869999999997E-3</v>
      </c>
      <c r="AA992">
        <v>0.77410319999999899</v>
      </c>
      <c r="AB992">
        <v>20</v>
      </c>
      <c r="AC992">
        <v>6.5411000000000001</v>
      </c>
      <c r="AD992">
        <v>-1.1065161049879999</v>
      </c>
      <c r="AE992">
        <v>-9.8097999999999903</v>
      </c>
      <c r="AF992">
        <v>7.5096117336302104</v>
      </c>
      <c r="AG992">
        <v>-1.1065161049879999</v>
      </c>
      <c r="AH992">
        <v>8.9558425509583692</v>
      </c>
      <c r="AI992">
        <v>95.408293920890003</v>
      </c>
      <c r="AJ992">
        <v>50.019649611065503</v>
      </c>
      <c r="AK992">
        <v>11.7399217236756</v>
      </c>
      <c r="AL992">
        <v>83.993488047427505</v>
      </c>
      <c r="AM992">
        <v>57.0029605059594</v>
      </c>
      <c r="AN992">
        <v>1.0000000478647699</v>
      </c>
    </row>
    <row r="993" spans="1:40" x14ac:dyDescent="0.25">
      <c r="A993" t="str">
        <f>"20190312164238821"</f>
        <v>20190312164238821</v>
      </c>
      <c r="B993" t="str">
        <f>"1552380158815285"</f>
        <v>1552380158815285</v>
      </c>
      <c r="C993" t="s">
        <v>40</v>
      </c>
      <c r="D993">
        <v>4.7191809999999998</v>
      </c>
      <c r="E993">
        <v>0.58813539999999997</v>
      </c>
      <c r="F993" t="s">
        <v>44</v>
      </c>
      <c r="G993">
        <v>-197.66079999999999</v>
      </c>
      <c r="H993" s="1">
        <v>-4.0475849999999998E-6</v>
      </c>
      <c r="I993">
        <v>353.3897</v>
      </c>
      <c r="J993">
        <v>-204.24860000000001</v>
      </c>
      <c r="K993">
        <v>1.106392</v>
      </c>
      <c r="L993">
        <v>365.1952</v>
      </c>
      <c r="M993">
        <v>0.95747450000000001</v>
      </c>
      <c r="N993">
        <v>0</v>
      </c>
      <c r="O993">
        <v>-0.28818290000000002</v>
      </c>
      <c r="P993">
        <v>0.64312910000000001</v>
      </c>
      <c r="Q993">
        <v>9.9333149999999995E-2</v>
      </c>
      <c r="R993">
        <v>-0.75928799999999996</v>
      </c>
      <c r="S993">
        <v>1.535568</v>
      </c>
      <c r="T993">
        <v>-0.25069629999999998</v>
      </c>
      <c r="U993">
        <v>-2.6893009999999999</v>
      </c>
      <c r="V993">
        <v>0.54279919999999904</v>
      </c>
      <c r="W993">
        <v>0.1054837</v>
      </c>
      <c r="X993">
        <v>0.83321199999999995</v>
      </c>
      <c r="Y993">
        <v>0.68744499999999997</v>
      </c>
      <c r="Z993">
        <v>-7.5299140000000004E-3</v>
      </c>
      <c r="AA993">
        <v>0.72619739999999999</v>
      </c>
      <c r="AB993">
        <v>20</v>
      </c>
      <c r="AC993">
        <v>6.5878000000000103</v>
      </c>
      <c r="AD993">
        <v>-1.1063960475849901</v>
      </c>
      <c r="AE993">
        <v>-11.805499999999901</v>
      </c>
      <c r="AF993">
        <v>9.3433048778783405</v>
      </c>
      <c r="AG993">
        <v>-1.1063960475849901</v>
      </c>
      <c r="AH993">
        <v>9.6461259903838599</v>
      </c>
      <c r="AI993">
        <v>94.709787951455695</v>
      </c>
      <c r="AJ993">
        <v>45.913608274974102</v>
      </c>
      <c r="AK993">
        <v>13.474761774423101</v>
      </c>
      <c r="AL993">
        <v>83.944964765437106</v>
      </c>
      <c r="AM993">
        <v>56.917611161812196</v>
      </c>
      <c r="AN993">
        <v>1.00000000971516</v>
      </c>
    </row>
    <row r="994" spans="1:40" x14ac:dyDescent="0.25">
      <c r="A994" t="str">
        <f>"20190312164238843"</f>
        <v>20190312164238843</v>
      </c>
      <c r="B994" t="str">
        <f>"1552380158834803"</f>
        <v>1552380158834803</v>
      </c>
      <c r="C994" t="s">
        <v>40</v>
      </c>
      <c r="D994">
        <v>4.7151149999999999</v>
      </c>
      <c r="E994">
        <v>0.589364</v>
      </c>
      <c r="F994" t="s">
        <v>44</v>
      </c>
      <c r="G994">
        <v>-197.3272</v>
      </c>
      <c r="H994" s="1">
        <v>-3.4554960000000001E-6</v>
      </c>
      <c r="I994">
        <v>352.36009999999999</v>
      </c>
      <c r="J994">
        <v>-204.05860000000001</v>
      </c>
      <c r="K994">
        <v>1.1062559999999999</v>
      </c>
      <c r="L994">
        <v>365.12849999999997</v>
      </c>
      <c r="M994">
        <v>0.9552041</v>
      </c>
      <c r="N994">
        <v>0</v>
      </c>
      <c r="O994">
        <v>-0.29561989999999999</v>
      </c>
      <c r="P994">
        <v>0.63641169999999903</v>
      </c>
      <c r="Q994">
        <v>9.9850040000000001E-2</v>
      </c>
      <c r="R994">
        <v>-0.76485959999999997</v>
      </c>
      <c r="S994">
        <v>1.473984</v>
      </c>
      <c r="T994">
        <v>-0.2356193</v>
      </c>
      <c r="U994">
        <v>-2.733368</v>
      </c>
      <c r="V994">
        <v>0.54364119999999905</v>
      </c>
      <c r="W994">
        <v>0.10582270000000001</v>
      </c>
      <c r="X994">
        <v>0.83261980000000002</v>
      </c>
      <c r="Y994">
        <v>0.69944209999999996</v>
      </c>
      <c r="Z994">
        <v>-7.1270040000000002E-3</v>
      </c>
      <c r="AA994">
        <v>0.71465369999999995</v>
      </c>
      <c r="AB994">
        <v>20</v>
      </c>
      <c r="AC994">
        <v>6.7313999999999998</v>
      </c>
      <c r="AD994">
        <v>-1.1062594554959999</v>
      </c>
      <c r="AE994">
        <v>-12.7683999999999</v>
      </c>
      <c r="AF994">
        <v>10.1478738773468</v>
      </c>
      <c r="AG994">
        <v>-1.1062594554959999</v>
      </c>
      <c r="AH994">
        <v>10.145847357690799</v>
      </c>
      <c r="AI994">
        <v>94.408336869424502</v>
      </c>
      <c r="AJ994">
        <v>44.994278475511798</v>
      </c>
      <c r="AK994">
        <v>14.3924067764559</v>
      </c>
      <c r="AL994">
        <v>83.925431898995797</v>
      </c>
      <c r="AM994">
        <v>56.858335309249298</v>
      </c>
      <c r="AN994">
        <v>0.99999996476238395</v>
      </c>
    </row>
    <row r="995" spans="1:40" x14ac:dyDescent="0.25">
      <c r="A995" t="str">
        <f>"20190312164238867"</f>
        <v>20190312164238867</v>
      </c>
      <c r="B995" t="str">
        <f>"1552380158855300"</f>
        <v>1552380158855300</v>
      </c>
      <c r="C995" t="s">
        <v>40</v>
      </c>
      <c r="D995">
        <v>4.7368319999999997</v>
      </c>
      <c r="E995">
        <v>0.58951900000000002</v>
      </c>
      <c r="F995" t="s">
        <v>44</v>
      </c>
      <c r="G995">
        <v>-197.06389999999999</v>
      </c>
      <c r="H995" s="1">
        <v>-3.0980479999999999E-6</v>
      </c>
      <c r="I995">
        <v>351.76580000000001</v>
      </c>
      <c r="J995">
        <v>-203.86609999999999</v>
      </c>
      <c r="K995">
        <v>1.106117</v>
      </c>
      <c r="L995">
        <v>365.05900000000003</v>
      </c>
      <c r="M995">
        <v>0.95275290000000001</v>
      </c>
      <c r="N995">
        <v>0</v>
      </c>
      <c r="O995">
        <v>-0.30342570000000002</v>
      </c>
      <c r="P995">
        <v>0.63019539999999996</v>
      </c>
      <c r="Q995">
        <v>9.951016E-2</v>
      </c>
      <c r="R995">
        <v>-0.77003339999999998</v>
      </c>
      <c r="S995">
        <v>1.441071</v>
      </c>
      <c r="T995">
        <v>-0.22791449999999999</v>
      </c>
      <c r="U995">
        <v>-2.7530209999999999</v>
      </c>
      <c r="V995">
        <v>0.54364939999999995</v>
      </c>
      <c r="W995">
        <v>0.10531160000000001</v>
      </c>
      <c r="X995">
        <v>0.83267930000000001</v>
      </c>
      <c r="Y995">
        <v>0.70247649999999995</v>
      </c>
      <c r="Z995">
        <v>-6.4181890000000004E-3</v>
      </c>
      <c r="AA995">
        <v>0.71167799999999903</v>
      </c>
      <c r="AB995">
        <v>20</v>
      </c>
      <c r="AC995">
        <v>6.8021999999999903</v>
      </c>
      <c r="AD995">
        <v>-1.1061200980479999</v>
      </c>
      <c r="AE995">
        <v>-13.293200000000001</v>
      </c>
      <c r="AF995">
        <v>10.5443474634691</v>
      </c>
      <c r="AG995">
        <v>-1.1061200980479999</v>
      </c>
      <c r="AH995">
        <v>10.4579547846193</v>
      </c>
      <c r="AI995">
        <v>94.259593773719203</v>
      </c>
      <c r="AJ995">
        <v>44.764315935375599</v>
      </c>
      <c r="AK995">
        <v>14.892131592851801</v>
      </c>
      <c r="AL995">
        <v>83.954880599964099</v>
      </c>
      <c r="AM995">
        <v>56.859813928426099</v>
      </c>
      <c r="AN995">
        <v>1.0000000099316999</v>
      </c>
    </row>
    <row r="996" spans="1:40" x14ac:dyDescent="0.25">
      <c r="A996" t="str">
        <f>"20190312164238889"</f>
        <v>20190312164238889</v>
      </c>
      <c r="B996" t="str">
        <f>"1552380158884580"</f>
        <v>1552380158884580</v>
      </c>
      <c r="C996" t="s">
        <v>40</v>
      </c>
      <c r="D996">
        <v>4.737781</v>
      </c>
      <c r="E996">
        <v>0.58891569999999904</v>
      </c>
      <c r="F996" t="s">
        <v>44</v>
      </c>
      <c r="G996">
        <v>-196.90719999999999</v>
      </c>
      <c r="H996" s="1">
        <v>-2.9179390000000001E-6</v>
      </c>
      <c r="I996">
        <v>351.4769</v>
      </c>
      <c r="J996">
        <v>-203.67750000000001</v>
      </c>
      <c r="K996">
        <v>1.1059920000000001</v>
      </c>
      <c r="L996">
        <v>364.98869999999999</v>
      </c>
      <c r="M996">
        <v>0.95021219999999995</v>
      </c>
      <c r="N996">
        <v>0</v>
      </c>
      <c r="O996">
        <v>-0.3112895</v>
      </c>
      <c r="P996">
        <v>0.62418809999999902</v>
      </c>
      <c r="Q996">
        <v>9.976148E-2</v>
      </c>
      <c r="R996">
        <v>-0.77487899999999998</v>
      </c>
      <c r="S996">
        <v>1.416855</v>
      </c>
      <c r="T996">
        <v>-0.2252121</v>
      </c>
      <c r="U996">
        <v>-2.7653810000000001</v>
      </c>
      <c r="V996">
        <v>0.54324869999999903</v>
      </c>
      <c r="W996">
        <v>0.10542020000000001</v>
      </c>
      <c r="X996">
        <v>0.83292699999999997</v>
      </c>
      <c r="Y996">
        <v>0.70286359999999903</v>
      </c>
      <c r="Z996">
        <v>-5.7193319999999997E-3</v>
      </c>
      <c r="AA996">
        <v>0.71130170000000004</v>
      </c>
      <c r="AB996">
        <v>20</v>
      </c>
      <c r="AC996">
        <v>6.7703000000000104</v>
      </c>
      <c r="AD996">
        <v>-1.1059949179390001</v>
      </c>
      <c r="AE996">
        <v>-13.5117999999999</v>
      </c>
      <c r="AF996">
        <v>10.6754315397172</v>
      </c>
      <c r="AG996">
        <v>-1.1059949179390001</v>
      </c>
      <c r="AH996">
        <v>10.583663201437099</v>
      </c>
      <c r="AI996">
        <v>94.207849196975303</v>
      </c>
      <c r="AJ996">
        <v>44.752674990035899</v>
      </c>
      <c r="AK996">
        <v>15.073220959010399</v>
      </c>
      <c r="AL996">
        <v>83.948623253953599</v>
      </c>
      <c r="AM996">
        <v>56.886947730472897</v>
      </c>
      <c r="AN996">
        <v>0.99999997797436402</v>
      </c>
    </row>
    <row r="997" spans="1:40" x14ac:dyDescent="0.25">
      <c r="A997" t="str">
        <f>"20190312164238911"</f>
        <v>20190312164238911</v>
      </c>
      <c r="B997" t="str">
        <f>"1552380158905076"</f>
        <v>1552380158905076</v>
      </c>
      <c r="C997" t="s">
        <v>40</v>
      </c>
      <c r="D997">
        <v>4.7051480000000003</v>
      </c>
      <c r="E997">
        <v>0.58858299999999997</v>
      </c>
      <c r="F997" t="s">
        <v>44</v>
      </c>
      <c r="G997">
        <v>-196.7912</v>
      </c>
      <c r="H997" s="1">
        <v>-2.8147170000000002E-6</v>
      </c>
      <c r="I997">
        <v>351.3229</v>
      </c>
      <c r="J997">
        <v>-203.49459999999999</v>
      </c>
      <c r="K997">
        <v>1.105888</v>
      </c>
      <c r="L997">
        <v>364.9187</v>
      </c>
      <c r="M997">
        <v>0.94761039999999996</v>
      </c>
      <c r="N997">
        <v>0</v>
      </c>
      <c r="O997">
        <v>-0.31912119999999999</v>
      </c>
      <c r="P997">
        <v>0.61763389999999996</v>
      </c>
      <c r="Q997">
        <v>0.1000178</v>
      </c>
      <c r="R997">
        <v>-0.78008029999999995</v>
      </c>
      <c r="S997">
        <v>1.39801</v>
      </c>
      <c r="T997">
        <v>-0.2245328</v>
      </c>
      <c r="U997">
        <v>-2.7743530000000001</v>
      </c>
      <c r="V997">
        <v>0.54339720000000002</v>
      </c>
      <c r="W997">
        <v>0.10554529999999999</v>
      </c>
      <c r="X997">
        <v>0.83281430000000001</v>
      </c>
      <c r="Y997">
        <v>0.70179769999999997</v>
      </c>
      <c r="Z997">
        <v>-5.000427E-3</v>
      </c>
      <c r="AA997">
        <v>0.71235869999999901</v>
      </c>
      <c r="AB997">
        <v>20</v>
      </c>
      <c r="AC997">
        <v>6.7033999999999798</v>
      </c>
      <c r="AD997">
        <v>-1.1058908147169999</v>
      </c>
      <c r="AE997">
        <v>-13.595799999999899</v>
      </c>
      <c r="AF997">
        <v>10.6884898326905</v>
      </c>
      <c r="AG997">
        <v>-1.1058908147169999</v>
      </c>
      <c r="AH997">
        <v>10.635362501612599</v>
      </c>
      <c r="AI997">
        <v>94.1947487389087</v>
      </c>
      <c r="AJ997">
        <v>44.857250673961403</v>
      </c>
      <c r="AK997">
        <v>15.1187878131255</v>
      </c>
      <c r="AL997">
        <v>83.941415429948506</v>
      </c>
      <c r="AM997">
        <v>56.8762337400306</v>
      </c>
      <c r="AN997">
        <v>0.99999999280220997</v>
      </c>
    </row>
    <row r="998" spans="1:40" x14ac:dyDescent="0.25">
      <c r="A998" t="str">
        <f>"20190312164238933"</f>
        <v>20190312164238933</v>
      </c>
      <c r="B998" t="str">
        <f>"1552380158924596"</f>
        <v>1552380158924596</v>
      </c>
      <c r="C998" t="s">
        <v>40</v>
      </c>
      <c r="D998">
        <v>4.9719110000000004</v>
      </c>
      <c r="E998">
        <v>0.58721480000000004</v>
      </c>
      <c r="F998" t="s">
        <v>44</v>
      </c>
      <c r="G998">
        <v>-196.7251</v>
      </c>
      <c r="H998" s="1">
        <v>-2.7539060000000002E-6</v>
      </c>
      <c r="I998">
        <v>351.2321</v>
      </c>
      <c r="J998">
        <v>-203.3099</v>
      </c>
      <c r="K998">
        <v>1.105783</v>
      </c>
      <c r="L998">
        <v>364.84589999999997</v>
      </c>
      <c r="M998">
        <v>0.94483260000000002</v>
      </c>
      <c r="N998">
        <v>0</v>
      </c>
      <c r="O998">
        <v>-0.3272523</v>
      </c>
      <c r="P998">
        <v>0.61163590000000001</v>
      </c>
      <c r="Q998">
        <v>9.9931010000000001E-2</v>
      </c>
      <c r="R998">
        <v>-0.78480289999999997</v>
      </c>
      <c r="S998">
        <v>1.37712099999999</v>
      </c>
      <c r="T998">
        <v>-0.2249727</v>
      </c>
      <c r="U998">
        <v>-2.7842709999999999</v>
      </c>
      <c r="V998">
        <v>0.54266009999999998</v>
      </c>
      <c r="W998">
        <v>0.1053571</v>
      </c>
      <c r="X998">
        <v>0.83331860000000002</v>
      </c>
      <c r="Y998">
        <v>0.70099719999999999</v>
      </c>
      <c r="Z998">
        <v>-4.2952390000000002E-3</v>
      </c>
      <c r="AA998">
        <v>0.71315109999999904</v>
      </c>
      <c r="AB998">
        <v>20</v>
      </c>
      <c r="AC998">
        <v>6.5848000000000004</v>
      </c>
      <c r="AD998">
        <v>-1.1057857539060001</v>
      </c>
      <c r="AE998">
        <v>-13.6137999999999</v>
      </c>
      <c r="AF998">
        <v>10.6519747279913</v>
      </c>
      <c r="AG998">
        <v>-1.1057857539060001</v>
      </c>
      <c r="AH998">
        <v>10.6209475051295</v>
      </c>
      <c r="AI998">
        <v>94.204366050985598</v>
      </c>
      <c r="AJ998">
        <v>44.9164323716358</v>
      </c>
      <c r="AK998">
        <v>15.082833077576099</v>
      </c>
      <c r="AL998">
        <v>83.952258972722504</v>
      </c>
      <c r="AM998">
        <v>56.9276788889158</v>
      </c>
      <c r="AN998">
        <v>0.99999999587918997</v>
      </c>
    </row>
    <row r="999" spans="1:40" x14ac:dyDescent="0.25">
      <c r="A999" t="str">
        <f>"20190312164238955"</f>
        <v>20190312164238955</v>
      </c>
      <c r="B999" t="str">
        <f>"1552380158945092"</f>
        <v>1552380158945092</v>
      </c>
      <c r="C999" t="s">
        <v>40</v>
      </c>
      <c r="D999">
        <v>4.7276369999999996</v>
      </c>
      <c r="E999">
        <v>0.58213289999999995</v>
      </c>
      <c r="F999" t="s">
        <v>44</v>
      </c>
      <c r="G999">
        <v>-198.5343</v>
      </c>
      <c r="H999" s="1">
        <v>-5.1231989999999899E-6</v>
      </c>
      <c r="I999">
        <v>355.18579999999997</v>
      </c>
      <c r="J999">
        <v>-203.1311</v>
      </c>
      <c r="K999">
        <v>1.1056900000000001</v>
      </c>
      <c r="L999">
        <v>364.77350000000001</v>
      </c>
      <c r="M999">
        <v>0.94198990000000005</v>
      </c>
      <c r="N999">
        <v>0</v>
      </c>
      <c r="O999">
        <v>-0.3353467</v>
      </c>
      <c r="P999">
        <v>0.606653199999999</v>
      </c>
      <c r="Q999">
        <v>9.9626989999999999E-2</v>
      </c>
      <c r="R999">
        <v>-0.78869959999999995</v>
      </c>
      <c r="S999">
        <v>1.3786929999999999</v>
      </c>
      <c r="T999">
        <v>-0.31923449999999998</v>
      </c>
      <c r="U999">
        <v>-2.788818</v>
      </c>
      <c r="V999">
        <v>0.54084189999999999</v>
      </c>
      <c r="W999">
        <v>0.1049853</v>
      </c>
      <c r="X999">
        <v>0.83454660000000003</v>
      </c>
      <c r="Y999">
        <v>0.69417569999999995</v>
      </c>
      <c r="Z999">
        <v>-4.5959319999999996E-3</v>
      </c>
      <c r="AA999">
        <v>0.71979099999999996</v>
      </c>
      <c r="AB999">
        <v>19</v>
      </c>
      <c r="AC999">
        <v>4.5968</v>
      </c>
      <c r="AD999">
        <v>-1.105695123199</v>
      </c>
      <c r="AE999">
        <v>-9.5877000000000301</v>
      </c>
      <c r="AF999">
        <v>7.4105975214477899</v>
      </c>
      <c r="AG999">
        <v>-1.105695123199</v>
      </c>
      <c r="AH999">
        <v>7.46535868319401</v>
      </c>
      <c r="AI999">
        <v>96.000580731118603</v>
      </c>
      <c r="AJ999">
        <v>45.210915468803698</v>
      </c>
      <c r="AK999">
        <v>10.576913424959701</v>
      </c>
      <c r="AL999">
        <v>83.973680071161994</v>
      </c>
      <c r="AM999">
        <v>57.054069263337603</v>
      </c>
      <c r="AN999">
        <v>0.99999995079162796</v>
      </c>
    </row>
    <row r="1000" spans="1:40" x14ac:dyDescent="0.25">
      <c r="A1000" t="str">
        <f>"20190312164238977"</f>
        <v>20190312164238977</v>
      </c>
      <c r="B1000" t="str">
        <f>"1552380158964612"</f>
        <v>1552380158964612</v>
      </c>
      <c r="C1000" t="s">
        <v>40</v>
      </c>
      <c r="D1000">
        <v>4.7626839999999904</v>
      </c>
      <c r="E1000">
        <v>0.58108090000000001</v>
      </c>
      <c r="F1000" t="s">
        <v>44</v>
      </c>
      <c r="G1000">
        <v>-196.46279999999999</v>
      </c>
      <c r="H1000" s="1">
        <v>-2.7504049999999999E-6</v>
      </c>
      <c r="I1000">
        <v>351.3442</v>
      </c>
      <c r="J1000">
        <v>-202.95699999999999</v>
      </c>
      <c r="K1000">
        <v>1.105593</v>
      </c>
      <c r="L1000">
        <v>364.70089999999999</v>
      </c>
      <c r="M1000">
        <v>0.93907209999999997</v>
      </c>
      <c r="N1000">
        <v>0</v>
      </c>
      <c r="O1000">
        <v>-0.34343119999999999</v>
      </c>
      <c r="P1000">
        <v>0.60127430000000004</v>
      </c>
      <c r="Q1000">
        <v>9.9319279999999996E-2</v>
      </c>
      <c r="R1000">
        <v>-0.792846099999999</v>
      </c>
      <c r="S1000">
        <v>1.3771059999999999</v>
      </c>
      <c r="T1000">
        <v>-0.22834170000000001</v>
      </c>
      <c r="U1000">
        <v>-2.7733460000000001</v>
      </c>
      <c r="V1000">
        <v>0.53939930000000003</v>
      </c>
      <c r="W1000">
        <v>0.104605</v>
      </c>
      <c r="X1000">
        <v>0.83552749999999998</v>
      </c>
      <c r="Y1000">
        <v>0.68756790000000001</v>
      </c>
      <c r="Z1000">
        <v>-2.256606E-3</v>
      </c>
      <c r="AA1000">
        <v>0.7261166</v>
      </c>
      <c r="AB1000">
        <v>19</v>
      </c>
      <c r="AC1000">
        <v>6.4942000000000002</v>
      </c>
      <c r="AD1000">
        <v>-1.105595750405</v>
      </c>
      <c r="AE1000">
        <v>-13.356699999999901</v>
      </c>
      <c r="AF1000">
        <v>10.256778767111699</v>
      </c>
      <c r="AG1000">
        <v>-1.105595750405</v>
      </c>
      <c r="AH1000">
        <v>10.6277959126816</v>
      </c>
      <c r="AI1000">
        <v>94.280856349510501</v>
      </c>
      <c r="AJ1000">
        <v>46.017759806325998</v>
      </c>
      <c r="AK1000">
        <v>14.811276062594899</v>
      </c>
      <c r="AL1000">
        <v>83.995590637891198</v>
      </c>
      <c r="AM1000">
        <v>57.1545482315572</v>
      </c>
      <c r="AN1000">
        <v>1.0000000070608701</v>
      </c>
    </row>
    <row r="1001" spans="1:40" x14ac:dyDescent="0.25">
      <c r="A1001" t="str">
        <f>"20190312164239000"</f>
        <v>20190312164239000</v>
      </c>
      <c r="B1001" t="str">
        <f>"1552380158994868"</f>
        <v>1552380158994868</v>
      </c>
      <c r="C1001" t="s">
        <v>40</v>
      </c>
      <c r="D1001">
        <v>4.7546390000000001</v>
      </c>
      <c r="E1001">
        <v>0.58211000000000002</v>
      </c>
      <c r="F1001" t="s">
        <v>44</v>
      </c>
      <c r="G1001">
        <v>-196.4102</v>
      </c>
      <c r="H1001" s="1">
        <v>-2.7458539999999998E-6</v>
      </c>
      <c r="I1001">
        <v>351.36009999999999</v>
      </c>
      <c r="J1001">
        <v>-202.76230000000001</v>
      </c>
      <c r="K1001">
        <v>1.105477</v>
      </c>
      <c r="L1001">
        <v>364.61750000000001</v>
      </c>
      <c r="M1001">
        <v>0.93563600000000002</v>
      </c>
      <c r="N1001">
        <v>0</v>
      </c>
      <c r="O1001">
        <v>-0.35268379999999999</v>
      </c>
      <c r="P1001">
        <v>0.59473830000000005</v>
      </c>
      <c r="Q1001">
        <v>9.8981609999999998E-2</v>
      </c>
      <c r="R1001">
        <v>-0.79780289999999998</v>
      </c>
      <c r="S1001">
        <v>1.3635710000000001</v>
      </c>
      <c r="T1001">
        <v>-0.2302747</v>
      </c>
      <c r="U1001">
        <v>-2.7786249999999999</v>
      </c>
      <c r="V1001">
        <v>0.53807910000000003</v>
      </c>
      <c r="W1001">
        <v>0.1041801</v>
      </c>
      <c r="X1001">
        <v>0.83643140000000005</v>
      </c>
      <c r="Y1001">
        <v>0.6838071</v>
      </c>
      <c r="Z1001">
        <v>-1.279192E-3</v>
      </c>
      <c r="AA1001">
        <v>0.72966180000000003</v>
      </c>
      <c r="AB1001">
        <v>19</v>
      </c>
      <c r="AC1001">
        <v>6.3521000000000001</v>
      </c>
      <c r="AD1001">
        <v>-1.105479745854</v>
      </c>
      <c r="AE1001">
        <v>-13.257400000000001</v>
      </c>
      <c r="AF1001">
        <v>10.107672800989899</v>
      </c>
      <c r="AG1001">
        <v>-1.105479745854</v>
      </c>
      <c r="AH1001">
        <v>10.5602644930098</v>
      </c>
      <c r="AI1001">
        <v>94.324752895302794</v>
      </c>
      <c r="AJ1001">
        <v>46.254476902885898</v>
      </c>
      <c r="AK1001">
        <v>14.659683526007299</v>
      </c>
      <c r="AL1001">
        <v>84.020069613890499</v>
      </c>
      <c r="AM1001">
        <v>57.246688578794497</v>
      </c>
      <c r="AN1001">
        <v>1.0000000489993801</v>
      </c>
    </row>
    <row r="1002" spans="1:40" x14ac:dyDescent="0.25">
      <c r="A1002" t="str">
        <f>"20190312164239024"</f>
        <v>20190312164239024</v>
      </c>
      <c r="B1002" t="str">
        <f>"1552380159015364"</f>
        <v>1552380159015364</v>
      </c>
      <c r="C1002" t="s">
        <v>40</v>
      </c>
      <c r="D1002">
        <v>4.7452930000000002</v>
      </c>
      <c r="E1002">
        <v>0.58183909999999905</v>
      </c>
      <c r="F1002" t="s">
        <v>44</v>
      </c>
      <c r="G1002">
        <v>-198.0949</v>
      </c>
      <c r="H1002" s="1">
        <v>-4.9039270000000003E-6</v>
      </c>
      <c r="I1002">
        <v>354.92430000000002</v>
      </c>
      <c r="J1002">
        <v>-202.58070000000001</v>
      </c>
      <c r="K1002">
        <v>1.105375</v>
      </c>
      <c r="L1002">
        <v>364.53710000000001</v>
      </c>
      <c r="M1002">
        <v>0.93224569999999995</v>
      </c>
      <c r="N1002">
        <v>0</v>
      </c>
      <c r="O1002">
        <v>-0.36154849999999999</v>
      </c>
      <c r="P1002">
        <v>0.58803229999999995</v>
      </c>
      <c r="Q1002">
        <v>9.885845E-2</v>
      </c>
      <c r="R1002">
        <v>-0.80277349999999903</v>
      </c>
      <c r="S1002">
        <v>1.3464050000000001</v>
      </c>
      <c r="T1002">
        <v>-0.31889990000000001</v>
      </c>
      <c r="U1002">
        <v>-2.7962340000000001</v>
      </c>
      <c r="V1002">
        <v>0.53718520000000003</v>
      </c>
      <c r="W1002">
        <v>0.10397140000000001</v>
      </c>
      <c r="X1002">
        <v>0.83703169999999905</v>
      </c>
      <c r="Y1002">
        <v>0.68162519999999904</v>
      </c>
      <c r="Z1002">
        <v>-5.5352599999999896E-4</v>
      </c>
      <c r="AA1002">
        <v>0.7317013</v>
      </c>
      <c r="AB1002">
        <v>19</v>
      </c>
      <c r="AC1002">
        <v>4.48580000000001</v>
      </c>
      <c r="AD1002">
        <v>-1.105379903927</v>
      </c>
      <c r="AE1002">
        <v>-9.6127999999999894</v>
      </c>
      <c r="AF1002">
        <v>7.2615456786113404</v>
      </c>
      <c r="AG1002">
        <v>-1.105379903927</v>
      </c>
      <c r="AH1002">
        <v>7.5758685258453502</v>
      </c>
      <c r="AI1002">
        <v>96.013052497075293</v>
      </c>
      <c r="AJ1002">
        <v>46.213599548672299</v>
      </c>
      <c r="AK1002">
        <v>10.552046924434</v>
      </c>
      <c r="AL1002">
        <v>84.032092414477205</v>
      </c>
      <c r="AM1002">
        <v>57.308706651227403</v>
      </c>
      <c r="AN1002">
        <v>1.0000000289609401</v>
      </c>
    </row>
    <row r="1003" spans="1:40" x14ac:dyDescent="0.25">
      <c r="A1003" t="str">
        <f>"20190312164239044"</f>
        <v>20190312164239044</v>
      </c>
      <c r="B1003" t="str">
        <f>"1552380159034884"</f>
        <v>1552380159034884</v>
      </c>
      <c r="C1003" t="s">
        <v>40</v>
      </c>
      <c r="D1003">
        <v>4.7422199999999997</v>
      </c>
      <c r="E1003">
        <v>0.58215030000000001</v>
      </c>
      <c r="F1003" t="s">
        <v>44</v>
      </c>
      <c r="G1003">
        <v>-198.24340000000001</v>
      </c>
      <c r="H1003" s="1">
        <v>-5.1394619999999999E-6</v>
      </c>
      <c r="I1003">
        <v>355.35919999999999</v>
      </c>
      <c r="J1003">
        <v>-202.40969999999999</v>
      </c>
      <c r="K1003">
        <v>1.1052850000000001</v>
      </c>
      <c r="L1003">
        <v>364.45929999999998</v>
      </c>
      <c r="M1003">
        <v>0.9288961</v>
      </c>
      <c r="N1003">
        <v>0</v>
      </c>
      <c r="O1003">
        <v>-0.37006830000000002</v>
      </c>
      <c r="P1003">
        <v>0.58137419999999995</v>
      </c>
      <c r="Q1003">
        <v>9.8266229999999996E-2</v>
      </c>
      <c r="R1003">
        <v>-0.80768039999999997</v>
      </c>
      <c r="S1003">
        <v>1.326538</v>
      </c>
      <c r="T1003">
        <v>-0.33807720000000002</v>
      </c>
      <c r="U1003">
        <v>-2.8070369999999998</v>
      </c>
      <c r="V1003">
        <v>0.53652339999999998</v>
      </c>
      <c r="W1003">
        <v>0.10330549999999999</v>
      </c>
      <c r="X1003">
        <v>0.83753840000000002</v>
      </c>
      <c r="Y1003">
        <v>0.68011489999999997</v>
      </c>
      <c r="Z1003">
        <v>6.0243160000000005E-4</v>
      </c>
      <c r="AA1003">
        <v>0.73310529999999996</v>
      </c>
      <c r="AB1003">
        <v>19</v>
      </c>
      <c r="AC1003">
        <v>4.1662999999999704</v>
      </c>
      <c r="AD1003">
        <v>-1.1052901394620001</v>
      </c>
      <c r="AE1003">
        <v>-9.1000999999999905</v>
      </c>
      <c r="AF1003">
        <v>6.8286464182679696</v>
      </c>
      <c r="AG1003">
        <v>-1.1052901394620001</v>
      </c>
      <c r="AH1003">
        <v>7.15123160072209</v>
      </c>
      <c r="AI1003">
        <v>96.378165766659194</v>
      </c>
      <c r="AJ1003">
        <v>46.321863474245703</v>
      </c>
      <c r="AK1003">
        <v>9.9494819767303504</v>
      </c>
      <c r="AL1003">
        <v>84.070451938302</v>
      </c>
      <c r="AM1003">
        <v>57.356554892653698</v>
      </c>
      <c r="AN1003">
        <v>0.99999997827618403</v>
      </c>
    </row>
    <row r="1004" spans="1:40" x14ac:dyDescent="0.25">
      <c r="A1004" t="str">
        <f>"20190312164239069"</f>
        <v>20190312164239069</v>
      </c>
      <c r="B1004" t="str">
        <f>"1552380159065140"</f>
        <v>1552380159065140</v>
      </c>
      <c r="C1004" t="s">
        <v>40</v>
      </c>
      <c r="D1004">
        <v>4.7282699999999904</v>
      </c>
      <c r="E1004">
        <v>0.58234919999999901</v>
      </c>
      <c r="F1004" t="s">
        <v>44</v>
      </c>
      <c r="G1004">
        <v>-198.18100000000001</v>
      </c>
      <c r="H1004" s="1">
        <v>-5.0928550000000002E-6</v>
      </c>
      <c r="I1004">
        <v>355.28879999999998</v>
      </c>
      <c r="J1004">
        <v>-202.22069999999999</v>
      </c>
      <c r="K1004">
        <v>1.1052109999999999</v>
      </c>
      <c r="L1004">
        <v>364.37079999999997</v>
      </c>
      <c r="M1004">
        <v>0.92501540000000004</v>
      </c>
      <c r="N1004">
        <v>0</v>
      </c>
      <c r="O1004">
        <v>-0.37966339999999998</v>
      </c>
      <c r="P1004">
        <v>0.57419339999999996</v>
      </c>
      <c r="Q1004">
        <v>9.716988E-2</v>
      </c>
      <c r="R1004">
        <v>-0.81293300000000002</v>
      </c>
      <c r="S1004">
        <v>1.3002469999999999</v>
      </c>
      <c r="T1004">
        <v>-0.33985659999999901</v>
      </c>
      <c r="U1004">
        <v>-2.8197329999999998</v>
      </c>
      <c r="V1004">
        <v>0.53540010000000005</v>
      </c>
      <c r="W1004">
        <v>0.1021662</v>
      </c>
      <c r="X1004">
        <v>0.83839649999999999</v>
      </c>
      <c r="Y1004">
        <v>0.67945749999999905</v>
      </c>
      <c r="Z1004">
        <v>1.8715520000000001E-3</v>
      </c>
      <c r="AA1004">
        <v>0.73371239999999904</v>
      </c>
      <c r="AB1004">
        <v>19</v>
      </c>
      <c r="AC1004">
        <v>4.0397000000000096</v>
      </c>
      <c r="AD1004">
        <v>-1.1052160928550001</v>
      </c>
      <c r="AE1004">
        <v>-9.0819999999999901</v>
      </c>
      <c r="AF1004">
        <v>6.7840853957357901</v>
      </c>
      <c r="AG1004">
        <v>-1.1052160928550001</v>
      </c>
      <c r="AH1004">
        <v>7.0978623277788602</v>
      </c>
      <c r="AI1004">
        <v>96.422427780131997</v>
      </c>
      <c r="AJ1004">
        <v>46.294849505558901</v>
      </c>
      <c r="AK1004">
        <v>9.8805347473020806</v>
      </c>
      <c r="AL1004">
        <v>84.1360760710443</v>
      </c>
      <c r="AM1004">
        <v>57.437694058023503</v>
      </c>
      <c r="AN1004">
        <v>0.99999994535734804</v>
      </c>
    </row>
    <row r="1005" spans="1:40" x14ac:dyDescent="0.25">
      <c r="A1005" t="str">
        <f>"20190312164239091"</f>
        <v>20190312164239091</v>
      </c>
      <c r="B1005" t="str">
        <f>"1552380159084660"</f>
        <v>1552380159084660</v>
      </c>
      <c r="C1005" t="s">
        <v>40</v>
      </c>
      <c r="D1005">
        <v>4.7149460000000003</v>
      </c>
      <c r="E1005">
        <v>0.58213319999999902</v>
      </c>
      <c r="F1005" t="s">
        <v>44</v>
      </c>
      <c r="G1005">
        <v>-198.11009999999999</v>
      </c>
      <c r="H1005" s="1">
        <v>-5.0438209999999998E-6</v>
      </c>
      <c r="I1005">
        <v>355.21730000000002</v>
      </c>
      <c r="J1005">
        <v>-202.04400000000001</v>
      </c>
      <c r="K1005">
        <v>1.1051629999999999</v>
      </c>
      <c r="L1005">
        <v>364.28570000000002</v>
      </c>
      <c r="M1005">
        <v>0.92122190000000004</v>
      </c>
      <c r="N1005">
        <v>0</v>
      </c>
      <c r="O1005">
        <v>-0.38877679999999998</v>
      </c>
      <c r="P1005">
        <v>0.56699089999999996</v>
      </c>
      <c r="Q1005">
        <v>9.6383259999999998E-2</v>
      </c>
      <c r="R1005">
        <v>-0.81806599999999996</v>
      </c>
      <c r="S1005">
        <v>1.272079</v>
      </c>
      <c r="T1005">
        <v>-0.34202969999999999</v>
      </c>
      <c r="U1005">
        <v>-2.832703</v>
      </c>
      <c r="V1005">
        <v>0.53461429999999999</v>
      </c>
      <c r="W1005">
        <v>0.1013575</v>
      </c>
      <c r="X1005">
        <v>0.83899599999999996</v>
      </c>
      <c r="Y1005">
        <v>0.67956839999999996</v>
      </c>
      <c r="Z1005">
        <v>3.0390360000000002E-3</v>
      </c>
      <c r="AA1005">
        <v>0.73360590000000003</v>
      </c>
      <c r="AB1005">
        <v>19</v>
      </c>
      <c r="AC1005">
        <v>3.9339000000000199</v>
      </c>
      <c r="AD1005">
        <v>-1.1051680438210001</v>
      </c>
      <c r="AE1005">
        <v>-9.0683999999999898</v>
      </c>
      <c r="AF1005">
        <v>6.7410286938948003</v>
      </c>
      <c r="AG1005">
        <v>-1.1051680438210001</v>
      </c>
      <c r="AH1005">
        <v>7.0620278937230996</v>
      </c>
      <c r="AI1005">
        <v>96.4584515688164</v>
      </c>
      <c r="AJ1005">
        <v>46.332211074534499</v>
      </c>
      <c r="AK1005">
        <v>9.8252278461478593</v>
      </c>
      <c r="AL1005">
        <v>84.182653516480798</v>
      </c>
      <c r="AM1005">
        <v>57.494418998047401</v>
      </c>
      <c r="AN1005">
        <v>1.00000004029336</v>
      </c>
    </row>
    <row r="1006" spans="1:40" x14ac:dyDescent="0.25">
      <c r="A1006" t="str">
        <f>"20190312164239113"</f>
        <v>20190312164239113</v>
      </c>
      <c r="B1006" t="str">
        <f>"1552380159105158"</f>
        <v>1552380159105158</v>
      </c>
      <c r="C1006" t="s">
        <v>40</v>
      </c>
      <c r="D1006">
        <v>4.8287360000000001</v>
      </c>
      <c r="E1006">
        <v>0.58241980000000004</v>
      </c>
      <c r="F1006" t="s">
        <v>44</v>
      </c>
      <c r="G1006">
        <v>-198.0231</v>
      </c>
      <c r="H1006" s="1">
        <v>-4.977124E-6</v>
      </c>
      <c r="I1006">
        <v>355.11559999999997</v>
      </c>
      <c r="J1006">
        <v>-201.86519999999999</v>
      </c>
      <c r="K1006">
        <v>1.105121</v>
      </c>
      <c r="L1006">
        <v>364.19709999999998</v>
      </c>
      <c r="M1006">
        <v>0.91721240000000004</v>
      </c>
      <c r="N1006">
        <v>0</v>
      </c>
      <c r="O1006">
        <v>-0.39814270000000002</v>
      </c>
      <c r="P1006">
        <v>0.55972919999999904</v>
      </c>
      <c r="Q1006">
        <v>9.6353389999999997E-2</v>
      </c>
      <c r="R1006">
        <v>-0.82305490000000003</v>
      </c>
      <c r="S1006">
        <v>1.2467649999999999</v>
      </c>
      <c r="T1006">
        <v>-0.34267710000000001</v>
      </c>
      <c r="U1006">
        <v>-2.843353</v>
      </c>
      <c r="V1006">
        <v>0.53350010000000003</v>
      </c>
      <c r="W1006">
        <v>0.1013252</v>
      </c>
      <c r="X1006">
        <v>0.83970879999999903</v>
      </c>
      <c r="Y1006">
        <v>0.67862959999999894</v>
      </c>
      <c r="Z1006">
        <v>4.3236430000000003E-3</v>
      </c>
      <c r="AA1006">
        <v>0.73446789999999995</v>
      </c>
      <c r="AB1006">
        <v>19</v>
      </c>
      <c r="AC1006">
        <v>3.8420999999999799</v>
      </c>
      <c r="AD1006">
        <v>-1.1051259771240001</v>
      </c>
      <c r="AE1006">
        <v>-9.0815000000000001</v>
      </c>
      <c r="AF1006">
        <v>6.7162948410585299</v>
      </c>
      <c r="AG1006">
        <v>-1.1051259771240001</v>
      </c>
      <c r="AH1006">
        <v>7.0519084210195997</v>
      </c>
      <c r="AI1006">
        <v>96.474246530589596</v>
      </c>
      <c r="AJ1006">
        <v>46.3963648030077</v>
      </c>
      <c r="AK1006">
        <v>9.8009862868892306</v>
      </c>
      <c r="AL1006">
        <v>84.184513575128406</v>
      </c>
      <c r="AM1006">
        <v>57.570595866887601</v>
      </c>
      <c r="AN1006">
        <v>1.0000000108262399</v>
      </c>
    </row>
    <row r="1007" spans="1:40" x14ac:dyDescent="0.25">
      <c r="A1007" t="str">
        <f>"20190312164239135"</f>
        <v>20190312164239135</v>
      </c>
      <c r="B1007" t="str">
        <f>"1552380159124735"</f>
        <v>1552380159124735</v>
      </c>
      <c r="C1007" t="s">
        <v>40</v>
      </c>
      <c r="D1007">
        <v>4.7206859999999997</v>
      </c>
      <c r="E1007">
        <v>0.58230660000000001</v>
      </c>
      <c r="F1007" t="s">
        <v>44</v>
      </c>
      <c r="G1007">
        <v>-198.01400000000001</v>
      </c>
      <c r="H1007" s="1">
        <v>-5.0025580000000003E-6</v>
      </c>
      <c r="I1007">
        <v>355.17450000000002</v>
      </c>
      <c r="J1007">
        <v>-201.69470000000001</v>
      </c>
      <c r="K1007">
        <v>1.1050990000000001</v>
      </c>
      <c r="L1007">
        <v>364.11040000000003</v>
      </c>
      <c r="M1007">
        <v>0.91322449999999999</v>
      </c>
      <c r="N1007">
        <v>0</v>
      </c>
      <c r="O1007">
        <v>-0.40720610000000002</v>
      </c>
      <c r="P1007">
        <v>0.55198639999999999</v>
      </c>
      <c r="Q1007">
        <v>9.6913369999999999E-2</v>
      </c>
      <c r="R1007">
        <v>-0.82820229999999995</v>
      </c>
      <c r="S1007">
        <v>1.21936</v>
      </c>
      <c r="T1007">
        <v>-0.34989880000000001</v>
      </c>
      <c r="U1007">
        <v>-2.8566889999999998</v>
      </c>
      <c r="V1007">
        <v>0.53301409999999905</v>
      </c>
      <c r="W1007">
        <v>0.10187259999999999</v>
      </c>
      <c r="X1007">
        <v>0.83995119999999901</v>
      </c>
      <c r="Y1007">
        <v>0.67854179999999997</v>
      </c>
      <c r="Z1007">
        <v>5.6126079999999998E-3</v>
      </c>
      <c r="AA1007">
        <v>0.73454030000000003</v>
      </c>
      <c r="AB1007">
        <v>19</v>
      </c>
      <c r="AC1007">
        <v>3.6806999999999999</v>
      </c>
      <c r="AD1007">
        <v>-1.1051040025579999</v>
      </c>
      <c r="AE1007">
        <v>-8.9359000000000002</v>
      </c>
      <c r="AF1007">
        <v>6.57636810222888</v>
      </c>
      <c r="AG1007">
        <v>-1.1051040025579999</v>
      </c>
      <c r="AH1007">
        <v>6.9104138196004596</v>
      </c>
      <c r="AI1007">
        <v>96.607964972951606</v>
      </c>
      <c r="AJ1007">
        <v>46.4188334538538</v>
      </c>
      <c r="AK1007">
        <v>9.6033166890719706</v>
      </c>
      <c r="AL1007">
        <v>84.152986886798203</v>
      </c>
      <c r="AM1007">
        <v>57.601708862938303</v>
      </c>
      <c r="AN1007">
        <v>1.0000000379055001</v>
      </c>
    </row>
    <row r="1008" spans="1:40" x14ac:dyDescent="0.25">
      <c r="A1008" t="str">
        <f>"20190312164239156"</f>
        <v>20190312164239156</v>
      </c>
      <c r="B1008" t="str">
        <f>"1552380159145172"</f>
        <v>1552380159145172</v>
      </c>
      <c r="C1008" t="s">
        <v>40</v>
      </c>
      <c r="D1008">
        <v>4.7142600000000003</v>
      </c>
      <c r="E1008">
        <v>0.58212519999999901</v>
      </c>
      <c r="F1008" t="s">
        <v>44</v>
      </c>
      <c r="G1008">
        <v>-197.93090000000001</v>
      </c>
      <c r="H1008" s="1">
        <v>-4.9306650000000002E-6</v>
      </c>
      <c r="I1008">
        <v>355.05970000000002</v>
      </c>
      <c r="J1008">
        <v>-201.52889999999999</v>
      </c>
      <c r="K1008">
        <v>1.105078</v>
      </c>
      <c r="L1008">
        <v>364.024</v>
      </c>
      <c r="M1008">
        <v>0.90919680000000003</v>
      </c>
      <c r="N1008">
        <v>0</v>
      </c>
      <c r="O1008">
        <v>-0.41612100000000002</v>
      </c>
      <c r="P1008">
        <v>0.543157</v>
      </c>
      <c r="Q1008">
        <v>9.8636550000000003E-2</v>
      </c>
      <c r="R1008">
        <v>-0.83381740000000004</v>
      </c>
      <c r="S1008">
        <v>1.19278</v>
      </c>
      <c r="T1008">
        <v>-0.350221</v>
      </c>
      <c r="U1008">
        <v>-2.8682859999999999</v>
      </c>
      <c r="V1008">
        <v>0.53356809999999999</v>
      </c>
      <c r="W1008">
        <v>0.10355499999999999</v>
      </c>
      <c r="X1008">
        <v>0.83939349999999902</v>
      </c>
      <c r="Y1008">
        <v>0.67825939999999996</v>
      </c>
      <c r="Z1008">
        <v>6.8188009999999898E-3</v>
      </c>
      <c r="AA1008">
        <v>0.73479099999999997</v>
      </c>
      <c r="AB1008">
        <v>19</v>
      </c>
      <c r="AC1008">
        <v>3.5979999999999799</v>
      </c>
      <c r="AD1008">
        <v>-1.1050829306649901</v>
      </c>
      <c r="AE1008">
        <v>-8.9642999999999802</v>
      </c>
      <c r="AF1008">
        <v>6.5678272042628798</v>
      </c>
      <c r="AG1008">
        <v>-1.1050829306649901</v>
      </c>
      <c r="AH1008">
        <v>6.9117751391905697</v>
      </c>
      <c r="AI1008">
        <v>96.611205318995204</v>
      </c>
      <c r="AJ1008">
        <v>46.461652157725197</v>
      </c>
      <c r="AK1008">
        <v>9.5984476892586894</v>
      </c>
      <c r="AL1008">
        <v>84.0560796968538</v>
      </c>
      <c r="AM1008">
        <v>57.557549470471201</v>
      </c>
      <c r="AN1008">
        <v>1.00000000160243</v>
      </c>
    </row>
    <row r="1009" spans="1:40" x14ac:dyDescent="0.25">
      <c r="A1009" t="str">
        <f>"20190312164239179"</f>
        <v>20190312164239179</v>
      </c>
      <c r="B1009" t="str">
        <f>"1552380159175428"</f>
        <v>1552380159175428</v>
      </c>
      <c r="C1009" t="s">
        <v>40</v>
      </c>
      <c r="D1009">
        <v>4.6947340000000004</v>
      </c>
      <c r="E1009">
        <v>0.58145519999999995</v>
      </c>
      <c r="F1009" t="s">
        <v>44</v>
      </c>
      <c r="G1009">
        <v>-197.78370000000001</v>
      </c>
      <c r="H1009" s="1">
        <v>-4.7533599999999998E-6</v>
      </c>
      <c r="I1009">
        <v>354.7491</v>
      </c>
      <c r="J1009">
        <v>-201.35830000000001</v>
      </c>
      <c r="K1009">
        <v>1.1050500000000001</v>
      </c>
      <c r="L1009">
        <v>363.93270000000001</v>
      </c>
      <c r="M1009">
        <v>0.90489399999999998</v>
      </c>
      <c r="N1009">
        <v>0</v>
      </c>
      <c r="O1009">
        <v>-0.42539589999999999</v>
      </c>
      <c r="P1009">
        <v>0.53321529999999995</v>
      </c>
      <c r="Q1009">
        <v>0.10149710000000001</v>
      </c>
      <c r="R1009">
        <v>-0.83986899999999998</v>
      </c>
      <c r="S1009">
        <v>1.163254</v>
      </c>
      <c r="T1009">
        <v>-0.34324339999999998</v>
      </c>
      <c r="U1009">
        <v>-2.880798</v>
      </c>
      <c r="V1009">
        <v>0.53469549999999999</v>
      </c>
      <c r="W1009">
        <v>0.10635</v>
      </c>
      <c r="X1009">
        <v>0.83832600000000002</v>
      </c>
      <c r="Y1009">
        <v>0.67843599999999904</v>
      </c>
      <c r="Z1009">
        <v>7.8759529999999998E-3</v>
      </c>
      <c r="AA1009">
        <v>0.73461730000000003</v>
      </c>
      <c r="AB1009">
        <v>19</v>
      </c>
      <c r="AC1009">
        <v>3.5746000000000002</v>
      </c>
      <c r="AD1009">
        <v>-1.1050547533599999</v>
      </c>
      <c r="AE1009">
        <v>-9.1836000000000109</v>
      </c>
      <c r="AF1009">
        <v>6.7059400893686396</v>
      </c>
      <c r="AG1009">
        <v>-1.1050547533599999</v>
      </c>
      <c r="AH1009">
        <v>7.0533434332990899</v>
      </c>
      <c r="AI1009">
        <v>96.477854963246898</v>
      </c>
      <c r="AJ1009">
        <v>46.446333834118498</v>
      </c>
      <c r="AK1009">
        <v>9.7949186866552598</v>
      </c>
      <c r="AL1009">
        <v>83.895048845114303</v>
      </c>
      <c r="AM1009">
        <v>57.469726291037098</v>
      </c>
      <c r="AN1009">
        <v>1.00000004124812</v>
      </c>
    </row>
    <row r="1010" spans="1:40" x14ac:dyDescent="0.25">
      <c r="A1010" t="str">
        <f>"20190312164239202"</f>
        <v>20190312164239202</v>
      </c>
      <c r="B1010" t="str">
        <f>"1552380159194948"</f>
        <v>1552380159194948</v>
      </c>
      <c r="C1010" t="s">
        <v>40</v>
      </c>
      <c r="D1010">
        <v>4.6979160000000002</v>
      </c>
      <c r="E1010">
        <v>0.58119299999999996</v>
      </c>
      <c r="F1010" t="s">
        <v>44</v>
      </c>
      <c r="G1010">
        <v>-197.6387</v>
      </c>
      <c r="H1010" s="1">
        <v>-4.579801E-6</v>
      </c>
      <c r="I1010">
        <v>354.45710000000003</v>
      </c>
      <c r="J1010">
        <v>-201.17679999999999</v>
      </c>
      <c r="K1010">
        <v>1.1050279999999999</v>
      </c>
      <c r="L1010">
        <v>363.83280000000002</v>
      </c>
      <c r="M1010">
        <v>0.90013650000000001</v>
      </c>
      <c r="N1010">
        <v>0</v>
      </c>
      <c r="O1010">
        <v>-0.43537209999999898</v>
      </c>
      <c r="P1010">
        <v>0.52259829999999996</v>
      </c>
      <c r="Q1010">
        <v>0.1041951</v>
      </c>
      <c r="R1010">
        <v>-0.84618819999999995</v>
      </c>
      <c r="S1010">
        <v>1.135254</v>
      </c>
      <c r="T1010">
        <v>-0.33726739999999999</v>
      </c>
      <c r="U1010">
        <v>-2.8919980000000001</v>
      </c>
      <c r="V1010">
        <v>0.5357364</v>
      </c>
      <c r="W1010">
        <v>0.108974</v>
      </c>
      <c r="X1010">
        <v>0.83732379999999995</v>
      </c>
      <c r="Y1010">
        <v>0.67754759999999903</v>
      </c>
      <c r="Z1010">
        <v>9.0883820000000008E-3</v>
      </c>
      <c r="AA1010">
        <v>0.73542269999999998</v>
      </c>
      <c r="AB1010">
        <v>19</v>
      </c>
      <c r="AC1010">
        <v>3.53809999999998</v>
      </c>
      <c r="AD1010">
        <v>-1.1050325798009999</v>
      </c>
      <c r="AE1010">
        <v>-9.3756999999999895</v>
      </c>
      <c r="AF1010">
        <v>6.8168379621241302</v>
      </c>
      <c r="AG1010">
        <v>-1.1050325798009999</v>
      </c>
      <c r="AH1010">
        <v>7.1801296173381903</v>
      </c>
      <c r="AI1010">
        <v>96.368524452275906</v>
      </c>
      <c r="AJ1010">
        <v>46.486779634779502</v>
      </c>
      <c r="AK1010">
        <v>9.9621603142117401</v>
      </c>
      <c r="AL1010">
        <v>83.743825348106796</v>
      </c>
      <c r="AM1010">
        <v>57.388079478271898</v>
      </c>
      <c r="AN1010">
        <v>0.99999998450369998</v>
      </c>
    </row>
    <row r="1011" spans="1:40" x14ac:dyDescent="0.25">
      <c r="A1011" t="str">
        <f>"20190312164239224"</f>
        <v>20190312164239224</v>
      </c>
      <c r="B1011" t="str">
        <f>"1552380159215448"</f>
        <v>1552380159215448</v>
      </c>
      <c r="C1011" t="s">
        <v>40</v>
      </c>
      <c r="D1011">
        <v>4.6958739999999999</v>
      </c>
      <c r="E1011">
        <v>0.57151890000000005</v>
      </c>
      <c r="F1011" t="s">
        <v>44</v>
      </c>
      <c r="G1011">
        <v>-197.51079999999999</v>
      </c>
      <c r="H1011" s="1">
        <v>-4.4054479999999998E-6</v>
      </c>
      <c r="I1011">
        <v>354.16699999999997</v>
      </c>
      <c r="J1011">
        <v>-201.00899999999999</v>
      </c>
      <c r="K1011">
        <v>1.105005</v>
      </c>
      <c r="L1011">
        <v>363.738</v>
      </c>
      <c r="M1011">
        <v>0.89557299999999995</v>
      </c>
      <c r="N1011">
        <v>0</v>
      </c>
      <c r="O1011">
        <v>-0.44468469999999999</v>
      </c>
      <c r="P1011">
        <v>0.51342940000000004</v>
      </c>
      <c r="Q1011">
        <v>0.10554470000000001</v>
      </c>
      <c r="R1011">
        <v>-0.85161640000000005</v>
      </c>
      <c r="S1011">
        <v>1.10202</v>
      </c>
      <c r="T1011">
        <v>-0.33217799999999997</v>
      </c>
      <c r="U1011">
        <v>-2.9056090000000001</v>
      </c>
      <c r="V1011">
        <v>0.5359699</v>
      </c>
      <c r="W1011">
        <v>0.1102702</v>
      </c>
      <c r="X1011">
        <v>0.83700469999999905</v>
      </c>
      <c r="Y1011">
        <v>0.67849419999999905</v>
      </c>
      <c r="Z1011">
        <v>1.006133E-2</v>
      </c>
      <c r="AA1011">
        <v>0.73453690000000005</v>
      </c>
      <c r="AB1011">
        <v>19</v>
      </c>
      <c r="AC1011">
        <v>3.4982000000000202</v>
      </c>
      <c r="AD1011">
        <v>-1.105009405448</v>
      </c>
      <c r="AE1011">
        <v>-9.5710000000000797</v>
      </c>
      <c r="AF1011">
        <v>6.9351025712839496</v>
      </c>
      <c r="AG1011">
        <v>-1.105009405448</v>
      </c>
      <c r="AH1011">
        <v>7.3038423708182201</v>
      </c>
      <c r="AI1011">
        <v>96.261043449518993</v>
      </c>
      <c r="AJ1011">
        <v>46.483432471242502</v>
      </c>
      <c r="AK1011">
        <v>10.132265632034899</v>
      </c>
      <c r="AL1011">
        <v>83.669108732637099</v>
      </c>
      <c r="AM1011">
        <v>57.366826974459798</v>
      </c>
      <c r="AN1011">
        <v>1.00000005926806</v>
      </c>
    </row>
    <row r="1012" spans="1:40" x14ac:dyDescent="0.25">
      <c r="A1012" t="str">
        <f>"20190312164239245"</f>
        <v>20190312164239245</v>
      </c>
      <c r="B1012" t="str">
        <f>"1552380159234964"</f>
        <v>1552380159234964</v>
      </c>
      <c r="C1012" t="s">
        <v>40</v>
      </c>
      <c r="D1012">
        <v>4.6964059999999996</v>
      </c>
      <c r="E1012">
        <v>0.57050140000000005</v>
      </c>
      <c r="F1012" t="s">
        <v>44</v>
      </c>
      <c r="G1012">
        <v>-196.18520000000001</v>
      </c>
      <c r="H1012" s="1">
        <v>-2.7279880000000001E-6</v>
      </c>
      <c r="I1012">
        <v>351.43110000000001</v>
      </c>
      <c r="J1012">
        <v>-200.85159999999999</v>
      </c>
      <c r="K1012">
        <v>1.1049910000000001</v>
      </c>
      <c r="L1012">
        <v>363.64690000000002</v>
      </c>
      <c r="M1012">
        <v>0.89115909999999998</v>
      </c>
      <c r="N1012">
        <v>0</v>
      </c>
      <c r="O1012">
        <v>-0.4534667</v>
      </c>
      <c r="P1012">
        <v>0.50477640000000001</v>
      </c>
      <c r="Q1012">
        <v>0.105917899999999</v>
      </c>
      <c r="R1012">
        <v>-0.85672780000000004</v>
      </c>
      <c r="S1012">
        <v>1.126984</v>
      </c>
      <c r="T1012">
        <v>-0.25816630000000002</v>
      </c>
      <c r="U1012">
        <v>-2.875305</v>
      </c>
      <c r="V1012">
        <v>0.53618650000000001</v>
      </c>
      <c r="W1012">
        <v>0.1106062</v>
      </c>
      <c r="X1012">
        <v>0.83682160000000005</v>
      </c>
      <c r="Y1012">
        <v>0.66358859999999997</v>
      </c>
      <c r="Z1012">
        <v>9.6121820000000004E-3</v>
      </c>
      <c r="AA1012">
        <v>0.74803599999999904</v>
      </c>
      <c r="AB1012">
        <v>19</v>
      </c>
      <c r="AC1012">
        <v>4.6663999999999799</v>
      </c>
      <c r="AD1012">
        <v>-1.104993727988</v>
      </c>
      <c r="AE1012">
        <v>-12.2158</v>
      </c>
      <c r="AF1012">
        <v>8.7088718495789692</v>
      </c>
      <c r="AG1012">
        <v>-1.104993727988</v>
      </c>
      <c r="AH1012">
        <v>9.6301867085473098</v>
      </c>
      <c r="AI1012">
        <v>94.864383853805805</v>
      </c>
      <c r="AJ1012">
        <v>47.875998837533601</v>
      </c>
      <c r="AK1012">
        <v>13.030961440844001</v>
      </c>
      <c r="AL1012">
        <v>83.649738757619502</v>
      </c>
      <c r="AM1012">
        <v>57.350619059493297</v>
      </c>
      <c r="AN1012">
        <v>1.0000000422436199</v>
      </c>
    </row>
    <row r="1013" spans="1:40" x14ac:dyDescent="0.25">
      <c r="A1013" t="str">
        <f>"20190312164239271"</f>
        <v>20190312164239271</v>
      </c>
      <c r="B1013" t="str">
        <f>"1552380159265221"</f>
        <v>1552380159265221</v>
      </c>
      <c r="C1013" t="s">
        <v>40</v>
      </c>
      <c r="D1013">
        <v>4.6961349999999999</v>
      </c>
      <c r="E1013">
        <v>0.56924969999999997</v>
      </c>
      <c r="F1013" t="s">
        <v>44</v>
      </c>
      <c r="G1013">
        <v>-196.1302</v>
      </c>
      <c r="H1013" s="1">
        <v>-2.6468720000000001E-6</v>
      </c>
      <c r="I1013">
        <v>351.31880000000001</v>
      </c>
      <c r="J1013">
        <v>-200.66560000000001</v>
      </c>
      <c r="K1013">
        <v>1.104989</v>
      </c>
      <c r="L1013">
        <v>363.53640000000001</v>
      </c>
      <c r="M1013">
        <v>0.88577569999999906</v>
      </c>
      <c r="N1013">
        <v>0</v>
      </c>
      <c r="O1013">
        <v>-0.46389599999999998</v>
      </c>
      <c r="P1013">
        <v>0.49516399999999999</v>
      </c>
      <c r="Q1013">
        <v>0.1057874</v>
      </c>
      <c r="R1013">
        <v>-0.86233510000000002</v>
      </c>
      <c r="S1013">
        <v>1.1041719999999999</v>
      </c>
      <c r="T1013">
        <v>-0.25841760000000003</v>
      </c>
      <c r="U1013">
        <v>-2.8830870000000002</v>
      </c>
      <c r="V1013">
        <v>0.53572849999999905</v>
      </c>
      <c r="W1013">
        <v>0.1104579</v>
      </c>
      <c r="X1013">
        <v>0.83713439999999995</v>
      </c>
      <c r="Y1013">
        <v>0.66067259999999906</v>
      </c>
      <c r="Z1013">
        <v>1.083105E-2</v>
      </c>
      <c r="AA1013">
        <v>0.75059600000000004</v>
      </c>
      <c r="AB1013">
        <v>19</v>
      </c>
      <c r="AC1013">
        <v>4.5354000000000099</v>
      </c>
      <c r="AD1013">
        <v>-1.104991646872</v>
      </c>
      <c r="AE1013">
        <v>-12.217599999999999</v>
      </c>
      <c r="AF1013">
        <v>8.6567446969123498</v>
      </c>
      <c r="AG1013">
        <v>-1.104991646872</v>
      </c>
      <c r="AH1013">
        <v>9.6168833310088502</v>
      </c>
      <c r="AI1013">
        <v>94.881134309260403</v>
      </c>
      <c r="AJ1013">
        <v>48.0076868924465</v>
      </c>
      <c r="AK1013">
        <v>12.986326666514</v>
      </c>
      <c r="AL1013">
        <v>83.658287764917304</v>
      </c>
      <c r="AM1013">
        <v>57.382578545161103</v>
      </c>
      <c r="AN1013">
        <v>0.99999998852400995</v>
      </c>
    </row>
    <row r="1014" spans="1:40" x14ac:dyDescent="0.25">
      <c r="A1014" t="str">
        <f>"20190312164239293"</f>
        <v>20190312164239293</v>
      </c>
      <c r="B1014" t="str">
        <f>"1552380159284740"</f>
        <v>1552380159284740</v>
      </c>
      <c r="C1014" t="s">
        <v>40</v>
      </c>
      <c r="D1014">
        <v>4.7353259999999997</v>
      </c>
      <c r="E1014">
        <v>0.56857290000000005</v>
      </c>
      <c r="F1014" t="s">
        <v>44</v>
      </c>
      <c r="G1014">
        <v>-195.99770000000001</v>
      </c>
      <c r="H1014" s="1">
        <v>-2.448028E-6</v>
      </c>
      <c r="I1014">
        <v>351.04239999999999</v>
      </c>
      <c r="J1014">
        <v>-200.49529999999999</v>
      </c>
      <c r="K1014">
        <v>1.105005</v>
      </c>
      <c r="L1014">
        <v>363.43270000000001</v>
      </c>
      <c r="M1014">
        <v>0.88069470000000005</v>
      </c>
      <c r="N1014">
        <v>0</v>
      </c>
      <c r="O1014">
        <v>-0.47347349999999999</v>
      </c>
      <c r="P1014">
        <v>0.48680059999999897</v>
      </c>
      <c r="Q1014">
        <v>0.10581119999999999</v>
      </c>
      <c r="R1014">
        <v>-0.86708099999999999</v>
      </c>
      <c r="S1014">
        <v>1.079834</v>
      </c>
      <c r="T1014">
        <v>-0.25561679999999998</v>
      </c>
      <c r="U1014">
        <v>-2.890228</v>
      </c>
      <c r="V1014">
        <v>0.53473530000000002</v>
      </c>
      <c r="W1014">
        <v>0.1104735</v>
      </c>
      <c r="X1014">
        <v>0.83776709999999999</v>
      </c>
      <c r="Y1014">
        <v>0.65872589999999998</v>
      </c>
      <c r="Z1014">
        <v>1.1778830000000001E-2</v>
      </c>
      <c r="AA1014">
        <v>0.75229080000000004</v>
      </c>
      <c r="AB1014">
        <v>19</v>
      </c>
      <c r="AC1014">
        <v>4.4975999999999701</v>
      </c>
      <c r="AD1014">
        <v>-1.1050074480280001</v>
      </c>
      <c r="AE1014">
        <v>-12.3903</v>
      </c>
      <c r="AF1014">
        <v>8.7221577962860497</v>
      </c>
      <c r="AG1014">
        <v>-1.1050074480280001</v>
      </c>
      <c r="AH1014">
        <v>9.7598834204782694</v>
      </c>
      <c r="AI1014">
        <v>94.825483890519806</v>
      </c>
      <c r="AJ1014">
        <v>48.2136566852001</v>
      </c>
      <c r="AK1014">
        <v>13.135920312823</v>
      </c>
      <c r="AL1014">
        <v>83.657388357901993</v>
      </c>
      <c r="AM1014">
        <v>57.450465795235203</v>
      </c>
      <c r="AN1014">
        <v>0.99999997455537404</v>
      </c>
    </row>
    <row r="1015" spans="1:40" x14ac:dyDescent="0.25">
      <c r="A1015" t="str">
        <f>"20190312164239315"</f>
        <v>20190312164239315</v>
      </c>
      <c r="B1015" t="str">
        <f>"1552380159305236"</f>
        <v>1552380159305236</v>
      </c>
      <c r="C1015" t="s">
        <v>40</v>
      </c>
      <c r="D1015">
        <v>4.7058019999999896</v>
      </c>
      <c r="E1015">
        <v>0.56844759999999905</v>
      </c>
      <c r="F1015" t="s">
        <v>44</v>
      </c>
      <c r="G1015">
        <v>-195.90369999999999</v>
      </c>
      <c r="H1015" s="1">
        <v>-2.2905459999999999E-6</v>
      </c>
      <c r="I1015">
        <v>350.8186</v>
      </c>
      <c r="J1015">
        <v>-200.3331</v>
      </c>
      <c r="K1015">
        <v>1.105019</v>
      </c>
      <c r="L1015">
        <v>363.33150000000001</v>
      </c>
      <c r="M1015">
        <v>0.87572459999999996</v>
      </c>
      <c r="N1015">
        <v>0</v>
      </c>
      <c r="O1015">
        <v>-0.48260730000000002</v>
      </c>
      <c r="P1015">
        <v>0.47980230000000001</v>
      </c>
      <c r="Q1015">
        <v>0.10605290000000001</v>
      </c>
      <c r="R1015">
        <v>-0.87094369999999999</v>
      </c>
      <c r="S1015">
        <v>1.0550839999999999</v>
      </c>
      <c r="T1015">
        <v>-0.25391409999999998</v>
      </c>
      <c r="U1015">
        <v>-2.8985289999999999</v>
      </c>
      <c r="V1015">
        <v>0.53273249999999905</v>
      </c>
      <c r="W1015">
        <v>0.1107124</v>
      </c>
      <c r="X1015">
        <v>0.83901059999999905</v>
      </c>
      <c r="Y1015">
        <v>0.65729839999999995</v>
      </c>
      <c r="Z1015">
        <v>1.2685139999999999E-2</v>
      </c>
      <c r="AA1015">
        <v>0.75352369999999902</v>
      </c>
      <c r="AB1015">
        <v>19</v>
      </c>
      <c r="AC1015">
        <v>4.42940000000001</v>
      </c>
      <c r="AD1015">
        <v>-1.105021290546</v>
      </c>
      <c r="AE1015">
        <v>-12.5129</v>
      </c>
      <c r="AF1015">
        <v>8.7603486221903299</v>
      </c>
      <c r="AG1015">
        <v>-1.105021290546</v>
      </c>
      <c r="AH1015">
        <v>9.8504595546585296</v>
      </c>
      <c r="AI1015">
        <v>94.791650831361693</v>
      </c>
      <c r="AJ1015">
        <v>48.352217235086798</v>
      </c>
      <c r="AK1015">
        <v>13.2286179728963</v>
      </c>
      <c r="AL1015">
        <v>83.643615880332305</v>
      </c>
      <c r="AM1015">
        <v>57.586361936142701</v>
      </c>
      <c r="AN1015">
        <v>0.99999996949118397</v>
      </c>
    </row>
    <row r="1016" spans="1:40" x14ac:dyDescent="0.25">
      <c r="A1016" t="str">
        <f>"20190312164239337"</f>
        <v>20190312164239337</v>
      </c>
      <c r="B1016" t="str">
        <f>"1552380159324756"</f>
        <v>1552380159324756</v>
      </c>
      <c r="C1016" t="s">
        <v>40</v>
      </c>
      <c r="D1016">
        <v>4.7580679999999997</v>
      </c>
      <c r="E1016">
        <v>0.56935669999999905</v>
      </c>
      <c r="F1016" t="s">
        <v>44</v>
      </c>
      <c r="G1016">
        <v>-196.9967</v>
      </c>
      <c r="H1016" s="1">
        <v>-4.2138210000000002E-6</v>
      </c>
      <c r="I1016">
        <v>354.0127</v>
      </c>
      <c r="J1016">
        <v>-200.1721</v>
      </c>
      <c r="K1016">
        <v>1.1050219999999999</v>
      </c>
      <c r="L1016">
        <v>363.22890000000001</v>
      </c>
      <c r="M1016">
        <v>0.87067099999999897</v>
      </c>
      <c r="N1016">
        <v>0</v>
      </c>
      <c r="O1016">
        <v>-0.49166949999999998</v>
      </c>
      <c r="P1016">
        <v>0.47239629999999999</v>
      </c>
      <c r="Q1016">
        <v>0.1062208</v>
      </c>
      <c r="R1016">
        <v>-0.87496229999999997</v>
      </c>
      <c r="S1016">
        <v>1.0426329999999999</v>
      </c>
      <c r="T1016">
        <v>-0.34532309999999999</v>
      </c>
      <c r="U1016">
        <v>-2.9121700000000001</v>
      </c>
      <c r="V1016">
        <v>0.53111589999999997</v>
      </c>
      <c r="W1016">
        <v>0.1108403</v>
      </c>
      <c r="X1016">
        <v>0.84001809999999999</v>
      </c>
      <c r="Y1016">
        <v>0.65302269999999996</v>
      </c>
      <c r="Z1016">
        <v>1.8707950000000001E-2</v>
      </c>
      <c r="AA1016">
        <v>0.75710719999999898</v>
      </c>
      <c r="AB1016">
        <v>19</v>
      </c>
      <c r="AC1016">
        <v>3.17539999999999</v>
      </c>
      <c r="AD1016">
        <v>-1.1050262138210001</v>
      </c>
      <c r="AE1016">
        <v>-9.2162000000000095</v>
      </c>
      <c r="AF1016">
        <v>6.3816469149363</v>
      </c>
      <c r="AG1016">
        <v>-1.1050262138210001</v>
      </c>
      <c r="AH1016">
        <v>7.2041797233267504</v>
      </c>
      <c r="AI1016">
        <v>96.549860095530605</v>
      </c>
      <c r="AJ1016">
        <v>48.464655019225297</v>
      </c>
      <c r="AK1016">
        <v>9.6874509426443005</v>
      </c>
      <c r="AL1016">
        <v>83.636242818076596</v>
      </c>
      <c r="AM1016">
        <v>57.696174623630696</v>
      </c>
      <c r="AN1016">
        <v>1.0000000398322499</v>
      </c>
    </row>
    <row r="1017" spans="1:40" x14ac:dyDescent="0.25">
      <c r="A1017" t="str">
        <f>"20190312164239358"</f>
        <v>20190312164239358</v>
      </c>
      <c r="B1017" t="str">
        <f>"1552380159355013"</f>
        <v>1552380159355013</v>
      </c>
      <c r="C1017" t="s">
        <v>40</v>
      </c>
      <c r="D1017">
        <v>4.7064409999999999</v>
      </c>
      <c r="E1017">
        <v>0.56903760000000003</v>
      </c>
      <c r="F1017" t="s">
        <v>44</v>
      </c>
      <c r="G1017">
        <v>-196.9495</v>
      </c>
      <c r="H1017" s="1">
        <v>-4.1476279999999998E-6</v>
      </c>
      <c r="I1017">
        <v>353.90190000000001</v>
      </c>
      <c r="J1017">
        <v>-200.01990000000001</v>
      </c>
      <c r="K1017">
        <v>1.1050169999999999</v>
      </c>
      <c r="L1017">
        <v>363.12979999999999</v>
      </c>
      <c r="M1017">
        <v>0.86578469999999996</v>
      </c>
      <c r="N1017">
        <v>0</v>
      </c>
      <c r="O1017">
        <v>-0.50022789999999995</v>
      </c>
      <c r="P1017">
        <v>0.46556189999999997</v>
      </c>
      <c r="Q1017">
        <v>0.1063018</v>
      </c>
      <c r="R1017">
        <v>-0.87860849999999902</v>
      </c>
      <c r="S1017">
        <v>1.0106809999999999</v>
      </c>
      <c r="T1017">
        <v>-0.34656239999999999</v>
      </c>
      <c r="U1017">
        <v>-2.9251710000000002</v>
      </c>
      <c r="V1017">
        <v>0.52936569999999905</v>
      </c>
      <c r="W1017">
        <v>0.11086360000000001</v>
      </c>
      <c r="X1017">
        <v>0.84111909999999901</v>
      </c>
      <c r="Y1017">
        <v>0.65401509999999996</v>
      </c>
      <c r="Z1017">
        <v>1.9849410000000001E-2</v>
      </c>
      <c r="AA1017">
        <v>0.75622109999999998</v>
      </c>
      <c r="AB1017">
        <v>19</v>
      </c>
      <c r="AC1017">
        <v>3.0703999999999998</v>
      </c>
      <c r="AD1017">
        <v>-1.1050211476280001</v>
      </c>
      <c r="AE1017">
        <v>-9.2278999999999698</v>
      </c>
      <c r="AF1017">
        <v>6.37182262015215</v>
      </c>
      <c r="AG1017">
        <v>-1.1050211476280001</v>
      </c>
      <c r="AH1017">
        <v>7.1823199250713996</v>
      </c>
      <c r="AI1017">
        <v>96.565298904965204</v>
      </c>
      <c r="AJ1017">
        <v>48.422041924416902</v>
      </c>
      <c r="AK1017">
        <v>9.66472528039289</v>
      </c>
      <c r="AL1017">
        <v>83.634899684773799</v>
      </c>
      <c r="AM1017">
        <v>57.815379946782301</v>
      </c>
      <c r="AN1017">
        <v>1.0000000612631199</v>
      </c>
    </row>
    <row r="1018" spans="1:40" x14ac:dyDescent="0.25">
      <c r="A1018" t="str">
        <f>"20190312164239382"</f>
        <v>20190312164239382</v>
      </c>
      <c r="B1018" t="str">
        <f>"1552380159374532"</f>
        <v>1552380159374532</v>
      </c>
      <c r="C1018" t="s">
        <v>40</v>
      </c>
      <c r="D1018">
        <v>4.6781839999999999</v>
      </c>
      <c r="E1018">
        <v>0.56871579999999999</v>
      </c>
      <c r="F1018" t="s">
        <v>44</v>
      </c>
      <c r="G1018">
        <v>-196.87139999999999</v>
      </c>
      <c r="H1018" s="1">
        <v>-4.0816260000000003E-6</v>
      </c>
      <c r="I1018">
        <v>353.80520000000001</v>
      </c>
      <c r="J1018">
        <v>-199.84690000000001</v>
      </c>
      <c r="K1018">
        <v>1.105003</v>
      </c>
      <c r="L1018">
        <v>363.0145</v>
      </c>
      <c r="M1018">
        <v>0.86009999999999998</v>
      </c>
      <c r="N1018">
        <v>0</v>
      </c>
      <c r="O1018">
        <v>-0.50994510000000004</v>
      </c>
      <c r="P1018">
        <v>0.45727220000000002</v>
      </c>
      <c r="Q1018">
        <v>0.10649450000000001</v>
      </c>
      <c r="R1018">
        <v>-0.88292789999999999</v>
      </c>
      <c r="S1018">
        <v>0.98999020000000004</v>
      </c>
      <c r="T1018">
        <v>-0.3474507</v>
      </c>
      <c r="U1018">
        <v>-2.931915</v>
      </c>
      <c r="V1018">
        <v>0.52778400000000003</v>
      </c>
      <c r="W1018">
        <v>0.1109593</v>
      </c>
      <c r="X1018">
        <v>0.84209979999999995</v>
      </c>
      <c r="Y1018">
        <v>0.65086390000000005</v>
      </c>
      <c r="Z1018">
        <v>2.1452269999999999E-2</v>
      </c>
      <c r="AA1018">
        <v>0.75889130000000005</v>
      </c>
      <c r="AB1018">
        <v>19</v>
      </c>
      <c r="AC1018">
        <v>2.97550000000001</v>
      </c>
      <c r="AD1018">
        <v>-1.105007081626</v>
      </c>
      <c r="AE1018">
        <v>-9.2092999999999794</v>
      </c>
      <c r="AF1018">
        <v>6.3217542880519302</v>
      </c>
      <c r="AG1018">
        <v>-1.105007081626</v>
      </c>
      <c r="AH1018">
        <v>7.1627567964060903</v>
      </c>
      <c r="AI1018">
        <v>96.597796088239804</v>
      </c>
      <c r="AJ1018">
        <v>48.568802903735197</v>
      </c>
      <c r="AK1018">
        <v>9.6172086830539492</v>
      </c>
      <c r="AL1018">
        <v>83.6293820155676</v>
      </c>
      <c r="AM1018">
        <v>57.922671066917196</v>
      </c>
      <c r="AN1018">
        <v>0.99999999503626502</v>
      </c>
    </row>
    <row r="1019" spans="1:40" x14ac:dyDescent="0.25">
      <c r="A1019" t="str">
        <f>"20190312164239403"</f>
        <v>20190312164239403</v>
      </c>
      <c r="B1019" t="str">
        <f>"1552380159395028"</f>
        <v>1552380159395028</v>
      </c>
      <c r="C1019" t="s">
        <v>40</v>
      </c>
      <c r="D1019">
        <v>4.6794909999999996</v>
      </c>
      <c r="E1019">
        <v>0.56327099999999997</v>
      </c>
      <c r="F1019" t="s">
        <v>44</v>
      </c>
      <c r="G1019">
        <v>-196.7953</v>
      </c>
      <c r="H1019" s="1">
        <v>-4.0165899999999999E-6</v>
      </c>
      <c r="I1019">
        <v>353.70949999999999</v>
      </c>
      <c r="J1019">
        <v>-199.68969999999999</v>
      </c>
      <c r="K1019">
        <v>1.1049899999999999</v>
      </c>
      <c r="L1019">
        <v>362.90699999999998</v>
      </c>
      <c r="M1019">
        <v>0.85480590000000001</v>
      </c>
      <c r="N1019">
        <v>0</v>
      </c>
      <c r="O1019">
        <v>-0.51877529999999905</v>
      </c>
      <c r="P1019">
        <v>0.45010869999999997</v>
      </c>
      <c r="Q1019">
        <v>0.10646319999999999</v>
      </c>
      <c r="R1019">
        <v>-0.88660499999999998</v>
      </c>
      <c r="S1019">
        <v>0.96434019999999998</v>
      </c>
      <c r="T1019">
        <v>-0.34919549999999999</v>
      </c>
      <c r="U1019">
        <v>-2.9404910000000002</v>
      </c>
      <c r="V1019">
        <v>0.52592499999999998</v>
      </c>
      <c r="W1019">
        <v>0.1108384</v>
      </c>
      <c r="X1019">
        <v>0.84327799999999997</v>
      </c>
      <c r="Y1019">
        <v>0.64971330000000005</v>
      </c>
      <c r="Z1019">
        <v>2.2853579999999998E-2</v>
      </c>
      <c r="AA1019">
        <v>0.75983579999999995</v>
      </c>
      <c r="AB1019">
        <v>19</v>
      </c>
      <c r="AC1019">
        <v>2.8943999999999899</v>
      </c>
      <c r="AD1019">
        <v>-1.1049940165900001</v>
      </c>
      <c r="AE1019">
        <v>-9.1974999999999891</v>
      </c>
      <c r="AF1019">
        <v>6.27864502991285</v>
      </c>
      <c r="AG1019">
        <v>-1.1049940165900001</v>
      </c>
      <c r="AH1019">
        <v>7.1523023666008196</v>
      </c>
      <c r="AI1019">
        <v>96.622681363408304</v>
      </c>
      <c r="AJ1019">
        <v>48.721737138569701</v>
      </c>
      <c r="AK1019">
        <v>9.5811181148983202</v>
      </c>
      <c r="AL1019">
        <v>83.636352234082096</v>
      </c>
      <c r="AM1019">
        <v>58.049554632742101</v>
      </c>
      <c r="AN1019">
        <v>1.0000000209117701</v>
      </c>
    </row>
    <row r="1020" spans="1:40" x14ac:dyDescent="0.25">
      <c r="A1020" t="str">
        <f>"20190312164239426"</f>
        <v>20190312164239426</v>
      </c>
      <c r="B1020" t="str">
        <f>"1552380159415525"</f>
        <v>1552380159415525</v>
      </c>
      <c r="C1020" t="s">
        <v>40</v>
      </c>
      <c r="D1020">
        <v>4.6416849999999998</v>
      </c>
      <c r="E1020">
        <v>0.56252400000000002</v>
      </c>
      <c r="F1020" t="s">
        <v>44</v>
      </c>
      <c r="G1020">
        <v>-196.55260000000001</v>
      </c>
      <c r="H1020" s="1">
        <v>-3.8585039999999997E-6</v>
      </c>
      <c r="I1020">
        <v>353.50229999999999</v>
      </c>
      <c r="J1020">
        <v>-199.53100000000001</v>
      </c>
      <c r="K1020">
        <v>1.104975</v>
      </c>
      <c r="L1020">
        <v>362.79640000000001</v>
      </c>
      <c r="M1020">
        <v>0.84934129999999997</v>
      </c>
      <c r="N1020">
        <v>0</v>
      </c>
      <c r="O1020">
        <v>-0.52767839999999999</v>
      </c>
      <c r="P1020">
        <v>0.44300820000000002</v>
      </c>
      <c r="Q1020">
        <v>0.1068596</v>
      </c>
      <c r="R1020">
        <v>-0.89012659999999999</v>
      </c>
      <c r="S1020">
        <v>0.97698969999999896</v>
      </c>
      <c r="T1020">
        <v>-0.3441381</v>
      </c>
      <c r="U1020">
        <v>-2.9290159999999998</v>
      </c>
      <c r="V1020">
        <v>0.52381099999999903</v>
      </c>
      <c r="W1020">
        <v>0.11114880000000001</v>
      </c>
      <c r="X1020">
        <v>0.84455199999999997</v>
      </c>
      <c r="Y1020">
        <v>0.63797709999999996</v>
      </c>
      <c r="Z1020">
        <v>2.4605720000000001E-2</v>
      </c>
      <c r="AA1020">
        <v>0.76966210000000002</v>
      </c>
      <c r="AB1020">
        <v>19</v>
      </c>
      <c r="AC1020">
        <v>2.9783999999999602</v>
      </c>
      <c r="AD1020">
        <v>-1.1049788585039999</v>
      </c>
      <c r="AE1020">
        <v>-9.2941000000000091</v>
      </c>
      <c r="AF1020">
        <v>6.2427556158745503</v>
      </c>
      <c r="AG1020">
        <v>-1.1049788585039999</v>
      </c>
      <c r="AH1020">
        <v>7.3405293188419796</v>
      </c>
      <c r="AI1020">
        <v>96.541544555192502</v>
      </c>
      <c r="AJ1020">
        <v>49.620487204674397</v>
      </c>
      <c r="AK1020">
        <v>9.6992961929231107</v>
      </c>
      <c r="AL1020">
        <v>83.618457239194001</v>
      </c>
      <c r="AM1020">
        <v>58.191838040175902</v>
      </c>
      <c r="AN1020">
        <v>1.00000005008321</v>
      </c>
    </row>
    <row r="1021" spans="1:40" x14ac:dyDescent="0.25">
      <c r="A1021" t="str">
        <f>"20190312164239447"</f>
        <v>20190312164239447</v>
      </c>
      <c r="B1021" t="str">
        <f>"1552380159444804"</f>
        <v>1552380159444804</v>
      </c>
      <c r="C1021" t="s">
        <v>40</v>
      </c>
      <c r="D1021">
        <v>4.6688260000000001</v>
      </c>
      <c r="E1021">
        <v>0.56120939999999997</v>
      </c>
      <c r="F1021" t="s">
        <v>44</v>
      </c>
      <c r="G1021">
        <v>-196.45650000000001</v>
      </c>
      <c r="H1021" s="1">
        <v>-3.7709530000000002E-6</v>
      </c>
      <c r="I1021">
        <v>353.3707</v>
      </c>
      <c r="J1021">
        <v>-199.3784</v>
      </c>
      <c r="K1021">
        <v>1.104962</v>
      </c>
      <c r="L1021">
        <v>362.6875</v>
      </c>
      <c r="M1021">
        <v>0.84395900000000001</v>
      </c>
      <c r="N1021">
        <v>0</v>
      </c>
      <c r="O1021">
        <v>-0.53624839999999996</v>
      </c>
      <c r="P1021">
        <v>0.4356061</v>
      </c>
      <c r="Q1021">
        <v>0.10779080000000001</v>
      </c>
      <c r="R1021">
        <v>-0.89366029999999996</v>
      </c>
      <c r="S1021">
        <v>0.95741270000000001</v>
      </c>
      <c r="T1021">
        <v>-0.34408549999999999</v>
      </c>
      <c r="U1021">
        <v>-2.93512</v>
      </c>
      <c r="V1021">
        <v>0.52218409999999904</v>
      </c>
      <c r="W1021">
        <v>0.11198610000000001</v>
      </c>
      <c r="X1021">
        <v>0.84544830000000004</v>
      </c>
      <c r="Y1021">
        <v>0.63533899999999999</v>
      </c>
      <c r="Z1021">
        <v>2.5951410000000001E-2</v>
      </c>
      <c r="AA1021">
        <v>0.77179719999999996</v>
      </c>
      <c r="AB1021">
        <v>19</v>
      </c>
      <c r="AC1021">
        <v>2.9218999999999902</v>
      </c>
      <c r="AD1021">
        <v>-1.1049657709530001</v>
      </c>
      <c r="AE1021">
        <v>-9.3168000000000006</v>
      </c>
      <c r="AF1021">
        <v>6.2170539334647499</v>
      </c>
      <c r="AG1021">
        <v>-1.1049657709530001</v>
      </c>
      <c r="AH1021">
        <v>7.3683595522437502</v>
      </c>
      <c r="AI1021">
        <v>96.538358233220805</v>
      </c>
      <c r="AJ1021">
        <v>49.843997825708499</v>
      </c>
      <c r="AK1021">
        <v>9.7038874404915099</v>
      </c>
      <c r="AL1021">
        <v>83.570181607173495</v>
      </c>
      <c r="AM1021">
        <v>58.298793822525198</v>
      </c>
      <c r="AN1021">
        <v>0.99999997442945399</v>
      </c>
    </row>
    <row r="1022" spans="1:40" x14ac:dyDescent="0.25">
      <c r="A1022" t="str">
        <f>"20190312164239473"</f>
        <v>20190312164239473</v>
      </c>
      <c r="B1022" t="str">
        <f>"1552380159465301"</f>
        <v>1552380159465301</v>
      </c>
      <c r="C1022" t="s">
        <v>40</v>
      </c>
      <c r="D1022">
        <v>4.7054260000000001</v>
      </c>
      <c r="E1022">
        <v>0.56093419999999905</v>
      </c>
      <c r="F1022" t="s">
        <v>44</v>
      </c>
      <c r="G1022">
        <v>-195.6362</v>
      </c>
      <c r="H1022" s="1">
        <v>-2.2892020000000001E-6</v>
      </c>
      <c r="I1022">
        <v>350.9366</v>
      </c>
      <c r="J1022">
        <v>-199.2064</v>
      </c>
      <c r="K1022">
        <v>1.1049469999999999</v>
      </c>
      <c r="L1022">
        <v>362.56209999999999</v>
      </c>
      <c r="M1022">
        <v>0.83774509999999902</v>
      </c>
      <c r="N1022">
        <v>0</v>
      </c>
      <c r="O1022">
        <v>-0.54590869999999903</v>
      </c>
      <c r="P1022">
        <v>0.42722379999999999</v>
      </c>
      <c r="Q1022">
        <v>0.1084606</v>
      </c>
      <c r="R1022">
        <v>-0.897617</v>
      </c>
      <c r="S1022">
        <v>0.93460080000000001</v>
      </c>
      <c r="T1022">
        <v>-0.27596039999999999</v>
      </c>
      <c r="U1022">
        <v>-2.9347530000000002</v>
      </c>
      <c r="V1022">
        <v>0.52032079999999903</v>
      </c>
      <c r="W1022">
        <v>0.112549499999999</v>
      </c>
      <c r="X1022">
        <v>0.84652159999999999</v>
      </c>
      <c r="Y1022">
        <v>0.63217719999999999</v>
      </c>
      <c r="Z1022">
        <v>2.212453E-2</v>
      </c>
      <c r="AA1022">
        <v>0.77450790000000003</v>
      </c>
      <c r="AB1022">
        <v>19</v>
      </c>
      <c r="AC1022">
        <v>3.5701999999999998</v>
      </c>
      <c r="AD1022">
        <v>-1.1049492892020001</v>
      </c>
      <c r="AE1022">
        <v>-11.625499999999899</v>
      </c>
      <c r="AF1022">
        <v>7.72706490222307</v>
      </c>
      <c r="AG1022">
        <v>-1.1049492892020001</v>
      </c>
      <c r="AH1022">
        <v>9.2617021752108002</v>
      </c>
      <c r="AI1022">
        <v>95.234111060196696</v>
      </c>
      <c r="AJ1022">
        <v>50.161660001192502</v>
      </c>
      <c r="AK1022">
        <v>12.1122901268579</v>
      </c>
      <c r="AL1022">
        <v>83.537695772580093</v>
      </c>
      <c r="AM1022">
        <v>58.422727410749403</v>
      </c>
      <c r="AN1022">
        <v>0.99999997206472402</v>
      </c>
    </row>
    <row r="1023" spans="1:40" x14ac:dyDescent="0.25">
      <c r="A1023" t="str">
        <f>"20190312164239494"</f>
        <v>20190312164239494</v>
      </c>
      <c r="B1023" t="str">
        <f>"1552380159484820"</f>
        <v>1552380159484820</v>
      </c>
      <c r="C1023" t="s">
        <v>40</v>
      </c>
      <c r="D1023">
        <v>4.6210290000000001</v>
      </c>
      <c r="E1023">
        <v>0.5614884</v>
      </c>
      <c r="F1023" t="s">
        <v>44</v>
      </c>
      <c r="G1023">
        <v>-195.54669999999999</v>
      </c>
      <c r="H1023" s="1">
        <v>-2.1247510000000001E-6</v>
      </c>
      <c r="I1023">
        <v>350.69889999999998</v>
      </c>
      <c r="J1023">
        <v>-199.04839999999999</v>
      </c>
      <c r="K1023">
        <v>1.1049290000000001</v>
      </c>
      <c r="L1023">
        <v>362.4443</v>
      </c>
      <c r="M1023">
        <v>0.831896999999999</v>
      </c>
      <c r="N1023">
        <v>0</v>
      </c>
      <c r="O1023">
        <v>-0.55478340000000004</v>
      </c>
      <c r="P1023">
        <v>0.41997499999999999</v>
      </c>
      <c r="Q1023">
        <v>0.10929709999999999</v>
      </c>
      <c r="R1023">
        <v>-0.90093040000000002</v>
      </c>
      <c r="S1023">
        <v>0.90794370000000002</v>
      </c>
      <c r="T1023">
        <v>-0.27413140000000003</v>
      </c>
      <c r="U1023">
        <v>-2.9431759999999998</v>
      </c>
      <c r="V1023">
        <v>0.51806909999999995</v>
      </c>
      <c r="W1023">
        <v>0.1132981</v>
      </c>
      <c r="X1023">
        <v>0.8478019</v>
      </c>
      <c r="Y1023">
        <v>0.63100239999999996</v>
      </c>
      <c r="Z1023">
        <v>2.3013369999999998E-2</v>
      </c>
      <c r="AA1023">
        <v>0.77543949999999995</v>
      </c>
      <c r="AB1023">
        <v>19</v>
      </c>
      <c r="AC1023">
        <v>3.5017</v>
      </c>
      <c r="AD1023">
        <v>-1.1049311247509901</v>
      </c>
      <c r="AE1023">
        <v>-11.7454</v>
      </c>
      <c r="AF1023">
        <v>7.7657991411900804</v>
      </c>
      <c r="AG1023">
        <v>-1.1049311247509901</v>
      </c>
      <c r="AH1023">
        <v>9.3539505296591692</v>
      </c>
      <c r="AI1023">
        <v>95.193058278403498</v>
      </c>
      <c r="AJ1023">
        <v>50.300000759534697</v>
      </c>
      <c r="AK1023">
        <v>12.2075755006087</v>
      </c>
      <c r="AL1023">
        <v>83.4945285870878</v>
      </c>
      <c r="AM1023">
        <v>58.5720119932448</v>
      </c>
      <c r="AN1023">
        <v>1.0000000567410099</v>
      </c>
    </row>
    <row r="1024" spans="1:40" x14ac:dyDescent="0.25">
      <c r="A1024" t="str">
        <f>"20190312164239517"</f>
        <v>20190312164239517</v>
      </c>
      <c r="B1024" t="str">
        <f>"1552380159505316"</f>
        <v>1552380159505316</v>
      </c>
      <c r="C1024" t="s">
        <v>40</v>
      </c>
      <c r="D1024">
        <v>4.6612400000000003</v>
      </c>
      <c r="E1024">
        <v>0.56071949999999904</v>
      </c>
      <c r="F1024" t="s">
        <v>44</v>
      </c>
      <c r="G1024">
        <v>-196.26840000000001</v>
      </c>
      <c r="H1024" s="1">
        <v>-3.6297230000000002E-6</v>
      </c>
      <c r="I1024">
        <v>353.17290000000003</v>
      </c>
      <c r="J1024">
        <v>-198.89359999999999</v>
      </c>
      <c r="K1024">
        <v>1.10491299999999</v>
      </c>
      <c r="L1024">
        <v>362.3263</v>
      </c>
      <c r="M1024">
        <v>0.82602439999999999</v>
      </c>
      <c r="N1024">
        <v>0</v>
      </c>
      <c r="O1024">
        <v>-0.56349309999999997</v>
      </c>
      <c r="P1024">
        <v>0.41242030000000002</v>
      </c>
      <c r="Q1024">
        <v>0.11046980000000001</v>
      </c>
      <c r="R1024">
        <v>-0.90427120000000005</v>
      </c>
      <c r="S1024">
        <v>0.8872681</v>
      </c>
      <c r="T1024">
        <v>-0.35264600000000002</v>
      </c>
      <c r="U1024">
        <v>-2.9590450000000001</v>
      </c>
      <c r="V1024">
        <v>0.51615390000000005</v>
      </c>
      <c r="W1024">
        <v>0.1143787</v>
      </c>
      <c r="X1024">
        <v>0.84882429999999998</v>
      </c>
      <c r="Y1024">
        <v>0.62874469999999905</v>
      </c>
      <c r="Z1024">
        <v>3.0850269999999999E-2</v>
      </c>
      <c r="AA1024">
        <v>0.77699969999999996</v>
      </c>
      <c r="AB1024">
        <v>19</v>
      </c>
      <c r="AC1024">
        <v>2.6251999999999698</v>
      </c>
      <c r="AD1024">
        <v>-1.10491662972299</v>
      </c>
      <c r="AE1024">
        <v>-9.1533999999999693</v>
      </c>
      <c r="AF1024">
        <v>6.0013336548288203</v>
      </c>
      <c r="AG1024">
        <v>-1.10491662972299</v>
      </c>
      <c r="AH1024">
        <v>7.2296030338504202</v>
      </c>
      <c r="AI1024">
        <v>96.706920845971297</v>
      </c>
      <c r="AJ1024">
        <v>50.303746016271397</v>
      </c>
      <c r="AK1024">
        <v>9.4606557078396403</v>
      </c>
      <c r="AL1024">
        <v>83.432209367441402</v>
      </c>
      <c r="AM1024">
        <v>58.697011832873699</v>
      </c>
      <c r="AN1024">
        <v>1.0000000138846901</v>
      </c>
    </row>
    <row r="1025" spans="1:40" x14ac:dyDescent="0.25">
      <c r="A1025" t="str">
        <f>"20190312164239537"</f>
        <v>20190312164239537</v>
      </c>
      <c r="B1025" t="str">
        <f>"1552380159534596"</f>
        <v>1552380159534596</v>
      </c>
      <c r="C1025" t="s">
        <v>40</v>
      </c>
      <c r="D1025">
        <v>4.5614569999999999</v>
      </c>
      <c r="E1025">
        <v>0.56146160000000001</v>
      </c>
      <c r="F1025" t="s">
        <v>44</v>
      </c>
      <c r="G1025">
        <v>-196.09979999999999</v>
      </c>
      <c r="H1025" s="1">
        <v>-3.3900090000000002E-6</v>
      </c>
      <c r="I1025">
        <v>352.77080000000001</v>
      </c>
      <c r="J1025">
        <v>-198.75030000000001</v>
      </c>
      <c r="K1025">
        <v>1.104889</v>
      </c>
      <c r="L1025">
        <v>362.21480000000003</v>
      </c>
      <c r="M1025">
        <v>0.82046459999999999</v>
      </c>
      <c r="N1025">
        <v>0</v>
      </c>
      <c r="O1025">
        <v>-0.57156079999999998</v>
      </c>
      <c r="P1025">
        <v>0.40570780000000001</v>
      </c>
      <c r="Q1025">
        <v>0.11240700000000001</v>
      </c>
      <c r="R1025">
        <v>-0.90706500000000001</v>
      </c>
      <c r="S1025">
        <v>0.86666869999999996</v>
      </c>
      <c r="T1025">
        <v>-0.34276099999999998</v>
      </c>
      <c r="U1025">
        <v>-2.964264</v>
      </c>
      <c r="V1025">
        <v>0.51395570000000002</v>
      </c>
      <c r="W1025">
        <v>0.1162378</v>
      </c>
      <c r="X1025">
        <v>0.84990499999999902</v>
      </c>
      <c r="Y1025">
        <v>0.62654119999999902</v>
      </c>
      <c r="Z1025">
        <v>3.1252580000000002E-2</v>
      </c>
      <c r="AA1025">
        <v>0.77876140000000005</v>
      </c>
      <c r="AB1025">
        <v>19</v>
      </c>
      <c r="AC1025">
        <v>2.6505000000000201</v>
      </c>
      <c r="AD1025">
        <v>-1.104892390009</v>
      </c>
      <c r="AE1025">
        <v>-9.4440000000000097</v>
      </c>
      <c r="AF1025">
        <v>6.15592466951201</v>
      </c>
      <c r="AG1025">
        <v>-1.104892390009</v>
      </c>
      <c r="AH1025">
        <v>7.4781681101482</v>
      </c>
      <c r="AI1025">
        <v>96.507668344796897</v>
      </c>
      <c r="AJ1025">
        <v>50.539260333844503</v>
      </c>
      <c r="AK1025">
        <v>9.7488047479598201</v>
      </c>
      <c r="AL1025">
        <v>83.324976059639894</v>
      </c>
      <c r="AM1025">
        <v>58.837750730165297</v>
      </c>
      <c r="AN1025">
        <v>1.0000000983681601</v>
      </c>
    </row>
    <row r="1026" spans="1:40" x14ac:dyDescent="0.25">
      <c r="A1026" t="str">
        <f>"20190312164239559"</f>
        <v>20190312164239559</v>
      </c>
      <c r="B1026" t="str">
        <f>"1552380159555093"</f>
        <v>1552380159555093</v>
      </c>
      <c r="C1026" t="s">
        <v>40</v>
      </c>
      <c r="D1026">
        <v>4.5774150000000002</v>
      </c>
      <c r="E1026">
        <v>0.56172699999999998</v>
      </c>
      <c r="F1026" t="s">
        <v>44</v>
      </c>
      <c r="G1026">
        <v>-195.8415</v>
      </c>
      <c r="H1026" s="1">
        <v>-2.8861760000000002E-6</v>
      </c>
      <c r="I1026">
        <v>351.88339999999999</v>
      </c>
      <c r="J1026">
        <v>-198.6003</v>
      </c>
      <c r="K1026">
        <v>1.1048709999999999</v>
      </c>
      <c r="L1026">
        <v>362.09559999999999</v>
      </c>
      <c r="M1026">
        <v>0.81451079999999998</v>
      </c>
      <c r="N1026">
        <v>0</v>
      </c>
      <c r="O1026">
        <v>-0.58001639999999999</v>
      </c>
      <c r="P1026">
        <v>0.39864509999999997</v>
      </c>
      <c r="Q1026">
        <v>0.1143199</v>
      </c>
      <c r="R1026">
        <v>-0.90995250000000005</v>
      </c>
      <c r="S1026">
        <v>0.83689880000000005</v>
      </c>
      <c r="T1026">
        <v>-0.3178937</v>
      </c>
      <c r="U1026">
        <v>-2.9725039999999998</v>
      </c>
      <c r="V1026">
        <v>0.51160159999999999</v>
      </c>
      <c r="W1026">
        <v>0.11806949999999999</v>
      </c>
      <c r="X1026">
        <v>0.85107199999999905</v>
      </c>
      <c r="Y1026">
        <v>0.62638249999999995</v>
      </c>
      <c r="Z1026">
        <v>3.0094570000000001E-2</v>
      </c>
      <c r="AA1026">
        <v>0.77893480000000004</v>
      </c>
      <c r="AB1026">
        <v>19</v>
      </c>
      <c r="AC1026">
        <v>2.7587999999999999</v>
      </c>
      <c r="AD1026">
        <v>-1.1048738861759999</v>
      </c>
      <c r="AE1026">
        <v>-10.2121999999999</v>
      </c>
      <c r="AF1026">
        <v>6.6458114750531196</v>
      </c>
      <c r="AG1026">
        <v>-1.1048738861759999</v>
      </c>
      <c r="AH1026">
        <v>8.0827645342285308</v>
      </c>
      <c r="AI1026">
        <v>96.027348213812402</v>
      </c>
      <c r="AJ1026">
        <v>50.572270303847702</v>
      </c>
      <c r="AK1026">
        <v>10.5222924775014</v>
      </c>
      <c r="AL1026">
        <v>83.219299518122497</v>
      </c>
      <c r="AM1026">
        <v>58.9888249017501</v>
      </c>
      <c r="AN1026">
        <v>1.0000000765684001</v>
      </c>
    </row>
    <row r="1027" spans="1:40" x14ac:dyDescent="0.25">
      <c r="A1027" t="str">
        <f>"20190312164239584"</f>
        <v>20190312164239584</v>
      </c>
      <c r="B1027" t="str">
        <f>"1552380159575449"</f>
        <v>1552380159575449</v>
      </c>
      <c r="C1027" t="s">
        <v>40</v>
      </c>
      <c r="D1027">
        <v>4.5796679999999999</v>
      </c>
      <c r="E1027">
        <v>0.56207359999999995</v>
      </c>
      <c r="F1027" t="s">
        <v>44</v>
      </c>
      <c r="G1027">
        <v>-195.63820000000001</v>
      </c>
      <c r="H1027" s="1">
        <v>-2.445931E-6</v>
      </c>
      <c r="I1027">
        <v>351.2004</v>
      </c>
      <c r="J1027">
        <v>-198.43340000000001</v>
      </c>
      <c r="K1027">
        <v>1.1048439999999999</v>
      </c>
      <c r="L1027">
        <v>361.9599</v>
      </c>
      <c r="M1027">
        <v>0.80771319999999902</v>
      </c>
      <c r="N1027">
        <v>0</v>
      </c>
      <c r="O1027">
        <v>-0.58944839999999998</v>
      </c>
      <c r="P1027">
        <v>0.39120830000000001</v>
      </c>
      <c r="Q1027">
        <v>0.115871</v>
      </c>
      <c r="R1027">
        <v>-0.91297890000000004</v>
      </c>
      <c r="S1027">
        <v>0.81016540000000004</v>
      </c>
      <c r="T1027">
        <v>-0.30219390000000002</v>
      </c>
      <c r="U1027">
        <v>-2.9799500000000001</v>
      </c>
      <c r="V1027">
        <v>0.50850839999999997</v>
      </c>
      <c r="W1027">
        <v>0.11954099999999999</v>
      </c>
      <c r="X1027">
        <v>0.85271869999999905</v>
      </c>
      <c r="Y1027">
        <v>0.62439820000000001</v>
      </c>
      <c r="Z1027">
        <v>2.9881990000000001E-2</v>
      </c>
      <c r="AA1027">
        <v>0.78053439999999996</v>
      </c>
      <c r="AB1027">
        <v>19</v>
      </c>
      <c r="AC1027">
        <v>2.7951999999999901</v>
      </c>
      <c r="AD1027">
        <v>-1.1048464459309999</v>
      </c>
      <c r="AE1027">
        <v>-10.759499999999999</v>
      </c>
      <c r="AF1027">
        <v>6.9745992049449503</v>
      </c>
      <c r="AG1027">
        <v>-1.1048464459309999</v>
      </c>
      <c r="AH1027">
        <v>8.5164123891642305</v>
      </c>
      <c r="AI1027">
        <v>95.731486393235997</v>
      </c>
      <c r="AJ1027">
        <v>50.683903138098003</v>
      </c>
      <c r="AK1027">
        <v>11.0632273646081</v>
      </c>
      <c r="AL1027">
        <v>83.134386950997396</v>
      </c>
      <c r="AM1027">
        <v>59.190778192109299</v>
      </c>
      <c r="AN1027">
        <v>1.0000000124406201</v>
      </c>
    </row>
    <row r="1028" spans="1:40" x14ac:dyDescent="0.25">
      <c r="A1028" t="str">
        <f>"20190312164239605"</f>
        <v>20190312164239605</v>
      </c>
      <c r="B1028" t="str">
        <f>"1552380159594925"</f>
        <v>1552380159594925</v>
      </c>
      <c r="C1028" t="s">
        <v>40</v>
      </c>
      <c r="D1028">
        <v>4.5609080000000004</v>
      </c>
      <c r="E1028">
        <v>0.56231049999999905</v>
      </c>
      <c r="F1028" t="s">
        <v>44</v>
      </c>
      <c r="G1028">
        <v>-195.47479999999999</v>
      </c>
      <c r="H1028" s="1">
        <v>-2.0754699999999999E-6</v>
      </c>
      <c r="I1028">
        <v>350.64800000000002</v>
      </c>
      <c r="J1028">
        <v>-198.285</v>
      </c>
      <c r="K1028">
        <v>1.104822</v>
      </c>
      <c r="L1028">
        <v>361.8365</v>
      </c>
      <c r="M1028">
        <v>0.80152429999999997</v>
      </c>
      <c r="N1028">
        <v>0</v>
      </c>
      <c r="O1028">
        <v>-0.59783940000000002</v>
      </c>
      <c r="P1028">
        <v>0.38436809999999899</v>
      </c>
      <c r="Q1028">
        <v>0.11732620000000001</v>
      </c>
      <c r="R1028">
        <v>-0.91569429999999996</v>
      </c>
      <c r="S1028">
        <v>0.78150940000000002</v>
      </c>
      <c r="T1028">
        <v>-0.29184900000000003</v>
      </c>
      <c r="U1028">
        <v>-2.9880680000000002</v>
      </c>
      <c r="V1028">
        <v>0.50586390000000003</v>
      </c>
      <c r="W1028">
        <v>0.1209247</v>
      </c>
      <c r="X1028">
        <v>0.85409539999999995</v>
      </c>
      <c r="Y1028">
        <v>0.62383159999999904</v>
      </c>
      <c r="Z1028">
        <v>2.9885519999999999E-2</v>
      </c>
      <c r="AA1028">
        <v>0.78098710000000005</v>
      </c>
      <c r="AB1028">
        <v>19</v>
      </c>
      <c r="AC1028">
        <v>2.8102</v>
      </c>
      <c r="AD1028">
        <v>-1.1048240754700001</v>
      </c>
      <c r="AE1028">
        <v>-11.1884999999999</v>
      </c>
      <c r="AF1028">
        <v>7.2220988596921902</v>
      </c>
      <c r="AG1028">
        <v>-1.1048240754700001</v>
      </c>
      <c r="AH1028">
        <v>8.8607535562247008</v>
      </c>
      <c r="AI1028">
        <v>95.520497371039696</v>
      </c>
      <c r="AJ1028">
        <v>50.817694127362302</v>
      </c>
      <c r="AK1028">
        <v>11.4844373724207</v>
      </c>
      <c r="AL1028">
        <v>83.054527437295206</v>
      </c>
      <c r="AM1028">
        <v>59.362575522338197</v>
      </c>
      <c r="AN1028">
        <v>1.00000001034723</v>
      </c>
    </row>
    <row r="1029" spans="1:40" x14ac:dyDescent="0.25">
      <c r="A1029" t="str">
        <f>"20190312164239627"</f>
        <v>20190312164239627</v>
      </c>
      <c r="B1029" t="str">
        <f>"1552380159625181"</f>
        <v>1552380159625181</v>
      </c>
      <c r="C1029" t="s">
        <v>40</v>
      </c>
      <c r="D1029">
        <v>4.5451810000000004</v>
      </c>
      <c r="E1029">
        <v>0.56199849999999996</v>
      </c>
      <c r="F1029" t="s">
        <v>44</v>
      </c>
      <c r="G1029">
        <v>-195.35040000000001</v>
      </c>
      <c r="H1029" s="1">
        <v>-1.79016E-6</v>
      </c>
      <c r="I1029">
        <v>350.22199999999998</v>
      </c>
      <c r="J1029">
        <v>-198.14080000000001</v>
      </c>
      <c r="K1029">
        <v>1.1048020000000001</v>
      </c>
      <c r="L1029">
        <v>361.71409999999997</v>
      </c>
      <c r="M1029">
        <v>0.795371099999999</v>
      </c>
      <c r="N1029">
        <v>0</v>
      </c>
      <c r="O1029">
        <v>-0.60600369999999903</v>
      </c>
      <c r="P1029">
        <v>0.37785210000000002</v>
      </c>
      <c r="Q1029">
        <v>0.11853950000000001</v>
      </c>
      <c r="R1029">
        <v>-0.91824640000000002</v>
      </c>
      <c r="S1029">
        <v>0.75677490000000003</v>
      </c>
      <c r="T1029">
        <v>-0.28490589999999999</v>
      </c>
      <c r="U1029">
        <v>-2.9950869999999998</v>
      </c>
      <c r="V1029">
        <v>0.50308920000000001</v>
      </c>
      <c r="W1029">
        <v>0.1220763</v>
      </c>
      <c r="X1029">
        <v>0.85556919999999903</v>
      </c>
      <c r="Y1029">
        <v>0.62238000000000004</v>
      </c>
      <c r="Z1029">
        <v>3.019674E-2</v>
      </c>
      <c r="AA1029">
        <v>0.78213259999999996</v>
      </c>
      <c r="AB1029">
        <v>19</v>
      </c>
      <c r="AC1029">
        <v>2.7904</v>
      </c>
      <c r="AD1029">
        <v>-1.1048037901600001</v>
      </c>
      <c r="AE1029">
        <v>-11.492099999999899</v>
      </c>
      <c r="AF1029">
        <v>7.3855710636501497</v>
      </c>
      <c r="AG1029">
        <v>-1.1048037901600001</v>
      </c>
      <c r="AH1029">
        <v>9.1048581709210001</v>
      </c>
      <c r="AI1029">
        <v>95.383472256558093</v>
      </c>
      <c r="AJ1029">
        <v>50.952135867430599</v>
      </c>
      <c r="AK1029">
        <v>11.775639840941301</v>
      </c>
      <c r="AL1029">
        <v>82.988053136105407</v>
      </c>
      <c r="AM1029">
        <v>59.543749751944098</v>
      </c>
      <c r="AN1029">
        <v>1.0000000110834799</v>
      </c>
    </row>
    <row r="1030" spans="1:40" x14ac:dyDescent="0.25">
      <c r="A1030" t="str">
        <f>"20190312164239649"</f>
        <v>20190312164239649</v>
      </c>
      <c r="B1030" t="str">
        <f>"1552380159644702"</f>
        <v>1552380159644702</v>
      </c>
      <c r="C1030" t="s">
        <v>40</v>
      </c>
      <c r="D1030">
        <v>4.5900280000000002</v>
      </c>
      <c r="E1030">
        <v>0.55424269999999998</v>
      </c>
      <c r="F1030" t="s">
        <v>44</v>
      </c>
      <c r="G1030">
        <v>-195.20910000000001</v>
      </c>
      <c r="H1030" s="1">
        <v>-1.4965870000000001E-6</v>
      </c>
      <c r="I1030">
        <v>349.78949999999998</v>
      </c>
      <c r="J1030">
        <v>-197.99270000000001</v>
      </c>
      <c r="K1030">
        <v>1.1047709999999999</v>
      </c>
      <c r="L1030">
        <v>361.5856</v>
      </c>
      <c r="M1030">
        <v>0.78890199999999999</v>
      </c>
      <c r="N1030">
        <v>0</v>
      </c>
      <c r="O1030">
        <v>-0.61440410000000001</v>
      </c>
      <c r="P1030">
        <v>0.37162539999999999</v>
      </c>
      <c r="Q1030">
        <v>0.1203637</v>
      </c>
      <c r="R1030">
        <v>-0.92054740000000002</v>
      </c>
      <c r="S1030">
        <v>0.73745729999999998</v>
      </c>
      <c r="T1030">
        <v>-0.27790569999999998</v>
      </c>
      <c r="U1030">
        <v>-2.9995419999999999</v>
      </c>
      <c r="V1030">
        <v>0.49964380000000003</v>
      </c>
      <c r="W1030">
        <v>0.1238361</v>
      </c>
      <c r="X1030">
        <v>0.85733340000000002</v>
      </c>
      <c r="Y1030">
        <v>0.61913759999999995</v>
      </c>
      <c r="Z1030">
        <v>3.0581589999999999E-2</v>
      </c>
      <c r="AA1030">
        <v>0.78468680000000002</v>
      </c>
      <c r="AB1030">
        <v>19</v>
      </c>
      <c r="AC1030">
        <v>2.7835999999999999</v>
      </c>
      <c r="AD1030">
        <v>-1.1047724965870001</v>
      </c>
      <c r="AE1030">
        <v>-11.796099999999999</v>
      </c>
      <c r="AF1030">
        <v>7.5336530075366603</v>
      </c>
      <c r="AG1030">
        <v>-1.1047724965870001</v>
      </c>
      <c r="AH1030">
        <v>9.3664038663378992</v>
      </c>
      <c r="AI1030">
        <v>95.251277893340401</v>
      </c>
      <c r="AJ1030">
        <v>51.189334963189701</v>
      </c>
      <c r="AK1030">
        <v>12.0708728472522</v>
      </c>
      <c r="AL1030">
        <v>82.886452518557803</v>
      </c>
      <c r="AM1030">
        <v>59.766871820581002</v>
      </c>
      <c r="AN1030">
        <v>0.99999993264860199</v>
      </c>
    </row>
    <row r="1031" spans="1:40" x14ac:dyDescent="0.25">
      <c r="A1031" t="str">
        <f>"20190312164239673"</f>
        <v>20190312164239673</v>
      </c>
      <c r="B1031" t="str">
        <f>"1552380159665197"</f>
        <v>1552380159665197</v>
      </c>
      <c r="C1031" t="s">
        <v>40</v>
      </c>
      <c r="D1031">
        <v>4.6233409999999999</v>
      </c>
      <c r="E1031">
        <v>0.55182489999999995</v>
      </c>
      <c r="F1031" t="s">
        <v>42</v>
      </c>
      <c r="G1031">
        <v>-194.1405</v>
      </c>
      <c r="H1031" s="1">
        <v>-4.0263979999999996E-6</v>
      </c>
      <c r="I1031">
        <v>346.66030000000001</v>
      </c>
      <c r="J1031">
        <v>-197.8312</v>
      </c>
      <c r="K1031">
        <v>1.10473</v>
      </c>
      <c r="L1031">
        <v>361.4425</v>
      </c>
      <c r="M1031">
        <v>0.78167609999999998</v>
      </c>
      <c r="N1031">
        <v>0</v>
      </c>
      <c r="O1031">
        <v>-0.62357459999999998</v>
      </c>
      <c r="P1031">
        <v>0.36469079999999998</v>
      </c>
      <c r="Q1031">
        <v>0.121726399999999</v>
      </c>
      <c r="R1031">
        <v>-0.92313789999999996</v>
      </c>
      <c r="S1031">
        <v>0.76847840000000001</v>
      </c>
      <c r="T1031">
        <v>-0.22039249999999999</v>
      </c>
      <c r="U1031">
        <v>-2.9774479999999999</v>
      </c>
      <c r="V1031">
        <v>0.49595669999999997</v>
      </c>
      <c r="W1031">
        <v>0.12510370000000001</v>
      </c>
      <c r="X1031">
        <v>0.85928819999999995</v>
      </c>
      <c r="Y1031">
        <v>0.60092500000000004</v>
      </c>
      <c r="Z1031">
        <v>2.5937999999999999E-2</v>
      </c>
      <c r="AA1031">
        <v>0.7988845</v>
      </c>
      <c r="AB1031">
        <v>19</v>
      </c>
      <c r="AC1031">
        <v>3.6906999999999899</v>
      </c>
      <c r="AD1031">
        <v>-1.1047340263979999</v>
      </c>
      <c r="AE1031">
        <v>-14.7821999999999</v>
      </c>
      <c r="AF1031">
        <v>9.2057019451419997</v>
      </c>
      <c r="AG1031">
        <v>-1.1047340263979999</v>
      </c>
      <c r="AH1031">
        <v>12.040265595456299</v>
      </c>
      <c r="AI1031">
        <v>94.168888465387994</v>
      </c>
      <c r="AJ1031">
        <v>52.599327891135196</v>
      </c>
      <c r="AK1031">
        <v>15.1964923972935</v>
      </c>
      <c r="AL1031">
        <v>82.813256340361093</v>
      </c>
      <c r="AM1031">
        <v>60.007680600364601</v>
      </c>
      <c r="AN1031">
        <v>1.0000000973439001</v>
      </c>
    </row>
    <row r="1032" spans="1:40" x14ac:dyDescent="0.25">
      <c r="A1032" t="str">
        <f>"20190312164239697"</f>
        <v>20190312164239697</v>
      </c>
      <c r="B1032" t="str">
        <f>"1552380159684866"</f>
        <v>1552380159684866</v>
      </c>
      <c r="C1032" t="s">
        <v>40</v>
      </c>
      <c r="D1032">
        <v>4.6117910000000002</v>
      </c>
      <c r="E1032">
        <v>0.5522184</v>
      </c>
      <c r="F1032" t="s">
        <v>42</v>
      </c>
      <c r="G1032">
        <v>-191.95760000000001</v>
      </c>
      <c r="H1032" s="1">
        <v>-4.224893E-6</v>
      </c>
      <c r="I1032">
        <v>338.38150000000002</v>
      </c>
      <c r="J1032">
        <v>-197.67689999999999</v>
      </c>
      <c r="K1032">
        <v>1.104679</v>
      </c>
      <c r="L1032">
        <v>361.30270000000002</v>
      </c>
      <c r="M1032">
        <v>0.77460600000000002</v>
      </c>
      <c r="N1032">
        <v>0</v>
      </c>
      <c r="O1032">
        <v>-0.63233879999999998</v>
      </c>
      <c r="P1032">
        <v>0.35815239999999998</v>
      </c>
      <c r="Q1032">
        <v>0.1223288</v>
      </c>
      <c r="R1032">
        <v>-0.92561470000000001</v>
      </c>
      <c r="S1032">
        <v>0.756378199999999</v>
      </c>
      <c r="T1032">
        <v>-0.14226279999999999</v>
      </c>
      <c r="U1032">
        <v>-2.9696959999999999</v>
      </c>
      <c r="V1032">
        <v>0.49230010000000002</v>
      </c>
      <c r="W1032">
        <v>0.12559989999999999</v>
      </c>
      <c r="X1032">
        <v>0.86131599999999997</v>
      </c>
      <c r="Y1032">
        <v>0.59455210000000003</v>
      </c>
      <c r="Z1032">
        <v>1.7492029999999999E-2</v>
      </c>
      <c r="AA1032">
        <v>0.80386679999999999</v>
      </c>
      <c r="AB1032">
        <v>19</v>
      </c>
      <c r="AC1032">
        <v>5.7192999999999703</v>
      </c>
      <c r="AD1032">
        <v>-1.1046832248930001</v>
      </c>
      <c r="AE1032">
        <v>-22.921199999999999</v>
      </c>
      <c r="AF1032">
        <v>14.108455776829</v>
      </c>
      <c r="AG1032">
        <v>-1.1046832248930001</v>
      </c>
      <c r="AH1032">
        <v>18.884136445478401</v>
      </c>
      <c r="AI1032">
        <v>92.683110358617995</v>
      </c>
      <c r="AJ1032">
        <v>53.236362754132102</v>
      </c>
      <c r="AK1032">
        <v>23.598293555372699</v>
      </c>
      <c r="AL1032">
        <v>82.784599351134602</v>
      </c>
      <c r="AM1032">
        <v>60.249125091307498</v>
      </c>
      <c r="AN1032">
        <v>0.99999998759801001</v>
      </c>
    </row>
    <row r="1033" spans="1:40" x14ac:dyDescent="0.25">
      <c r="A1033" t="str">
        <f>"20190312164239719"</f>
        <v>20190312164239719</v>
      </c>
      <c r="B1033" t="str">
        <f>"1552380159715122"</f>
        <v>1552380159715122</v>
      </c>
      <c r="C1033" t="s">
        <v>40</v>
      </c>
      <c r="D1033">
        <v>4.6026769999999999</v>
      </c>
      <c r="E1033">
        <v>0.55240009999999995</v>
      </c>
      <c r="F1033" t="s">
        <v>42</v>
      </c>
      <c r="G1033">
        <v>-192.03559999999999</v>
      </c>
      <c r="H1033" s="1">
        <v>-4.22815999999999E-6</v>
      </c>
      <c r="I1033">
        <v>338.35039999999998</v>
      </c>
      <c r="J1033">
        <v>-197.53540000000001</v>
      </c>
      <c r="K1033">
        <v>1.1046309999999999</v>
      </c>
      <c r="L1033">
        <v>361.17160000000001</v>
      </c>
      <c r="M1033">
        <v>0.76796949999999997</v>
      </c>
      <c r="N1033">
        <v>0</v>
      </c>
      <c r="O1033">
        <v>-0.64038519999999999</v>
      </c>
      <c r="P1033">
        <v>0.35240589999999999</v>
      </c>
      <c r="Q1033">
        <v>0.1228447</v>
      </c>
      <c r="R1033">
        <v>-0.92774979999999996</v>
      </c>
      <c r="S1033">
        <v>0.73168949999999999</v>
      </c>
      <c r="T1033">
        <v>-0.14327960000000001</v>
      </c>
      <c r="U1033">
        <v>-2.9769589999999999</v>
      </c>
      <c r="V1033">
        <v>0.48860700000000001</v>
      </c>
      <c r="W1033">
        <v>0.12601669999999901</v>
      </c>
      <c r="X1033">
        <v>0.8633556</v>
      </c>
      <c r="Y1033">
        <v>0.59291229999999995</v>
      </c>
      <c r="Z1033">
        <v>1.8129099999999999E-2</v>
      </c>
      <c r="AA1033">
        <v>0.80506290000000003</v>
      </c>
      <c r="AB1033">
        <v>19</v>
      </c>
      <c r="AC1033">
        <v>5.49980000000002</v>
      </c>
      <c r="AD1033">
        <v>-1.10463522815999</v>
      </c>
      <c r="AE1033">
        <v>-22.821200000000001</v>
      </c>
      <c r="AF1033">
        <v>13.973959881493199</v>
      </c>
      <c r="AG1033">
        <v>-1.10463522815999</v>
      </c>
      <c r="AH1033">
        <v>18.797634393234901</v>
      </c>
      <c r="AI1033">
        <v>92.700119594864702</v>
      </c>
      <c r="AJ1033">
        <v>53.373283044750103</v>
      </c>
      <c r="AK1033">
        <v>23.448727738165299</v>
      </c>
      <c r="AL1033">
        <v>82.760526936871798</v>
      </c>
      <c r="AM1033">
        <v>60.492766188635201</v>
      </c>
      <c r="AN1033">
        <v>0.99999995058962299</v>
      </c>
    </row>
    <row r="1034" spans="1:40" x14ac:dyDescent="0.25">
      <c r="A1034" t="str">
        <f>"20190312164239739"</f>
        <v>20190312164239739</v>
      </c>
      <c r="B1034" t="str">
        <f>"1552380159734643"</f>
        <v>1552380159734643</v>
      </c>
      <c r="C1034" t="s">
        <v>40</v>
      </c>
      <c r="D1034">
        <v>4.6089149999999997</v>
      </c>
      <c r="E1034">
        <v>0.55202169999999995</v>
      </c>
      <c r="F1034" t="s">
        <v>42</v>
      </c>
      <c r="G1034">
        <v>-192.2338</v>
      </c>
      <c r="H1034" s="1">
        <v>-4.4729159999999996E-6</v>
      </c>
      <c r="I1034">
        <v>338.96629999999999</v>
      </c>
      <c r="J1034">
        <v>-197.405</v>
      </c>
      <c r="K1034">
        <v>1.104598</v>
      </c>
      <c r="L1034">
        <v>361.04820000000001</v>
      </c>
      <c r="M1034">
        <v>0.76172019999999996</v>
      </c>
      <c r="N1034">
        <v>0</v>
      </c>
      <c r="O1034">
        <v>-0.64780879999999996</v>
      </c>
      <c r="P1034">
        <v>0.3474739</v>
      </c>
      <c r="Q1034">
        <v>0.1243972</v>
      </c>
      <c r="R1034">
        <v>-0.92940160000000005</v>
      </c>
      <c r="S1034">
        <v>0.71215819999999996</v>
      </c>
      <c r="T1034">
        <v>-0.14838209999999999</v>
      </c>
      <c r="U1034">
        <v>-2.982758</v>
      </c>
      <c r="V1034">
        <v>0.4846722</v>
      </c>
      <c r="W1034">
        <v>0.1274844</v>
      </c>
      <c r="X1034">
        <v>0.86535580000000001</v>
      </c>
      <c r="Y1034">
        <v>0.59043959999999995</v>
      </c>
      <c r="Z1034">
        <v>1.9287849999999999E-2</v>
      </c>
      <c r="AA1034">
        <v>0.80685130000000005</v>
      </c>
      <c r="AB1034">
        <v>19</v>
      </c>
      <c r="AC1034">
        <v>5.17119999999999</v>
      </c>
      <c r="AD1034">
        <v>-1.104602472916</v>
      </c>
      <c r="AE1034">
        <v>-22.081900000000001</v>
      </c>
      <c r="AF1034">
        <v>13.4392491377123</v>
      </c>
      <c r="AG1034">
        <v>-1.104602472916</v>
      </c>
      <c r="AH1034">
        <v>18.201828543920499</v>
      </c>
      <c r="AI1034">
        <v>92.795007107597101</v>
      </c>
      <c r="AJ1034">
        <v>53.559838532939501</v>
      </c>
      <c r="AK1034">
        <v>22.652596459367601</v>
      </c>
      <c r="AL1034">
        <v>82.675750789786804</v>
      </c>
      <c r="AM1034">
        <v>60.747496724851203</v>
      </c>
      <c r="AN1034">
        <v>1.00000003714491</v>
      </c>
    </row>
    <row r="1035" spans="1:40" x14ac:dyDescent="0.25">
      <c r="A1035" t="str">
        <f>"20190312164239762"</f>
        <v>20190312164239762</v>
      </c>
      <c r="B1035" t="str">
        <f>"1552380159755140"</f>
        <v>1552380159755140</v>
      </c>
      <c r="C1035" t="s">
        <v>40</v>
      </c>
      <c r="D1035">
        <v>4.5780810000000001</v>
      </c>
      <c r="E1035">
        <v>0.55162199999999995</v>
      </c>
      <c r="F1035" t="s">
        <v>42</v>
      </c>
      <c r="G1035">
        <v>-192.13030000000001</v>
      </c>
      <c r="H1035" s="1">
        <v>-4.302136E-6</v>
      </c>
      <c r="I1035">
        <v>338.51839999999999</v>
      </c>
      <c r="J1035">
        <v>-197.25370000000001</v>
      </c>
      <c r="K1035">
        <v>1.1045510000000001</v>
      </c>
      <c r="L1035">
        <v>360.90219999999999</v>
      </c>
      <c r="M1035">
        <v>0.75430909999999995</v>
      </c>
      <c r="N1035">
        <v>0</v>
      </c>
      <c r="O1035">
        <v>-0.65642670000000003</v>
      </c>
      <c r="P1035">
        <v>0.34062910000000002</v>
      </c>
      <c r="Q1035">
        <v>0.12547809999999901</v>
      </c>
      <c r="R1035">
        <v>-0.93178720000000004</v>
      </c>
      <c r="S1035">
        <v>0.69911190000000001</v>
      </c>
      <c r="T1035">
        <v>-0.1464058</v>
      </c>
      <c r="U1035">
        <v>-2.986145</v>
      </c>
      <c r="V1035">
        <v>0.48110249999999999</v>
      </c>
      <c r="W1035">
        <v>0.128443899999999</v>
      </c>
      <c r="X1035">
        <v>0.86720390000000003</v>
      </c>
      <c r="Y1035">
        <v>0.5848063</v>
      </c>
      <c r="Z1035">
        <v>1.9694380000000001E-2</v>
      </c>
      <c r="AA1035">
        <v>0.81093380000000004</v>
      </c>
      <c r="AB1035">
        <v>19</v>
      </c>
      <c r="AC1035">
        <v>5.1234000000000002</v>
      </c>
      <c r="AD1035">
        <v>-1.104555302136</v>
      </c>
      <c r="AE1035">
        <v>-22.383800000000001</v>
      </c>
      <c r="AF1035">
        <v>13.4907754866136</v>
      </c>
      <c r="AG1035">
        <v>-1.104555302136</v>
      </c>
      <c r="AH1035">
        <v>18.516237867927899</v>
      </c>
      <c r="AI1035">
        <v>92.760294744750396</v>
      </c>
      <c r="AJ1035">
        <v>53.923233242286102</v>
      </c>
      <c r="AK1035">
        <v>22.936262346498001</v>
      </c>
      <c r="AL1035">
        <v>82.620319708321105</v>
      </c>
      <c r="AM1035">
        <v>60.9796094595455</v>
      </c>
      <c r="AN1035">
        <v>1.0000000275643299</v>
      </c>
    </row>
    <row r="1036" spans="1:40" x14ac:dyDescent="0.25">
      <c r="A1036" t="str">
        <f>"20190312164239786"</f>
        <v>20190312164239786</v>
      </c>
      <c r="B1036" t="str">
        <f>"1552380159775634"</f>
        <v>1552380159775634</v>
      </c>
      <c r="C1036" t="s">
        <v>40</v>
      </c>
      <c r="D1036">
        <v>4.6346239999999996</v>
      </c>
      <c r="E1036">
        <v>0.55145310000000003</v>
      </c>
      <c r="F1036" t="s">
        <v>42</v>
      </c>
      <c r="G1036">
        <v>-192.0968</v>
      </c>
      <c r="H1036" s="1">
        <v>-4.1996870000000001E-6</v>
      </c>
      <c r="I1036">
        <v>338.23480000000001</v>
      </c>
      <c r="J1036">
        <v>-197.10910000000001</v>
      </c>
      <c r="K1036">
        <v>1.1044959999999999</v>
      </c>
      <c r="L1036">
        <v>360.7595</v>
      </c>
      <c r="M1036">
        <v>0.74706510000000004</v>
      </c>
      <c r="N1036">
        <v>0</v>
      </c>
      <c r="O1036">
        <v>-0.66466219999999998</v>
      </c>
      <c r="P1036">
        <v>0.33625070000000001</v>
      </c>
      <c r="Q1036">
        <v>0.12609890000000001</v>
      </c>
      <c r="R1036">
        <v>-0.93329260000000003</v>
      </c>
      <c r="S1036">
        <v>0.68034359999999905</v>
      </c>
      <c r="T1036">
        <v>-0.1457251</v>
      </c>
      <c r="U1036">
        <v>-2.9905400000000002</v>
      </c>
      <c r="V1036">
        <v>0.47559620000000002</v>
      </c>
      <c r="W1036">
        <v>0.12898679999999901</v>
      </c>
      <c r="X1036">
        <v>0.87015560000000003</v>
      </c>
      <c r="Y1036">
        <v>0.58100620000000003</v>
      </c>
      <c r="Z1036">
        <v>2.0195939999999999E-2</v>
      </c>
      <c r="AA1036">
        <v>0.8136485</v>
      </c>
      <c r="AB1036">
        <v>20</v>
      </c>
      <c r="AC1036">
        <v>5.0122999999999998</v>
      </c>
      <c r="AD1036">
        <v>-1.1045001996870001</v>
      </c>
      <c r="AE1036">
        <v>-22.524699999999999</v>
      </c>
      <c r="AF1036">
        <v>13.465876297454599</v>
      </c>
      <c r="AG1036">
        <v>-1.1045001996870001</v>
      </c>
      <c r="AH1036">
        <v>18.674152042189299</v>
      </c>
      <c r="AI1036">
        <v>92.746601283205393</v>
      </c>
      <c r="AJ1036">
        <v>54.204737145360099</v>
      </c>
      <c r="AK1036">
        <v>23.049375254966499</v>
      </c>
      <c r="AL1036">
        <v>82.588953105818305</v>
      </c>
      <c r="AM1036">
        <v>61.340547944364801</v>
      </c>
      <c r="AN1036">
        <v>1.00000005412001</v>
      </c>
    </row>
    <row r="1037" spans="1:40" x14ac:dyDescent="0.25">
      <c r="A1037" t="str">
        <f>"20190312164239818"</f>
        <v>20190312164239818</v>
      </c>
      <c r="B1037" t="str">
        <f>"1552380159814675"</f>
        <v>1552380159814675</v>
      </c>
      <c r="C1037" t="s">
        <v>40</v>
      </c>
      <c r="D1037">
        <v>4.6481899999999996</v>
      </c>
      <c r="E1037">
        <v>0.54983029999999999</v>
      </c>
      <c r="F1037" t="s">
        <v>42</v>
      </c>
      <c r="G1037">
        <v>-192.04519999999999</v>
      </c>
      <c r="H1037" s="1">
        <v>-4.1188960000000004E-6</v>
      </c>
      <c r="I1037">
        <v>338.02429999999998</v>
      </c>
      <c r="J1037">
        <v>-196.9014</v>
      </c>
      <c r="K1037">
        <v>1.104428</v>
      </c>
      <c r="L1037">
        <v>360.54899999999998</v>
      </c>
      <c r="M1037">
        <v>0.73637959999999902</v>
      </c>
      <c r="N1037">
        <v>0</v>
      </c>
      <c r="O1037">
        <v>-0.67648569999999997</v>
      </c>
      <c r="P1037">
        <v>0.32692100000000002</v>
      </c>
      <c r="Q1037">
        <v>0.1264352</v>
      </c>
      <c r="R1037">
        <v>-0.93655619999999995</v>
      </c>
      <c r="S1037">
        <v>0.66682430000000004</v>
      </c>
      <c r="T1037">
        <v>-0.1454425</v>
      </c>
      <c r="U1037">
        <v>-2.993805</v>
      </c>
      <c r="V1037">
        <v>0.4703755</v>
      </c>
      <c r="W1037">
        <v>0.129167899999999</v>
      </c>
      <c r="X1037">
        <v>0.87296189999999996</v>
      </c>
      <c r="Y1037">
        <v>0.57169799999999904</v>
      </c>
      <c r="Z1037">
        <v>2.1096190000000001E-2</v>
      </c>
      <c r="AA1037">
        <v>0.8201929</v>
      </c>
      <c r="AB1037">
        <v>20</v>
      </c>
      <c r="AC1037">
        <v>4.8562000000000003</v>
      </c>
      <c r="AD1037">
        <v>-1.104432118896</v>
      </c>
      <c r="AE1037">
        <v>-22.524699999999999</v>
      </c>
      <c r="AF1037">
        <v>13.271835724953201</v>
      </c>
      <c r="AG1037">
        <v>-1.104432118896</v>
      </c>
      <c r="AH1037">
        <v>18.771574400661201</v>
      </c>
      <c r="AI1037">
        <v>92.750424907324998</v>
      </c>
      <c r="AJ1037">
        <v>54.739012364336702</v>
      </c>
      <c r="AK1037">
        <v>23.015937940804299</v>
      </c>
      <c r="AL1037">
        <v>82.578488664248596</v>
      </c>
      <c r="AM1037">
        <v>61.683010904034099</v>
      </c>
      <c r="AN1037">
        <v>0.99999996812113401</v>
      </c>
    </row>
    <row r="1038" spans="1:40" x14ac:dyDescent="0.25">
      <c r="A1038" t="str">
        <f>"20190312164239840"</f>
        <v>20190312164239840</v>
      </c>
      <c r="B1038" t="str">
        <f>"1552380159835171"</f>
        <v>1552380159835171</v>
      </c>
      <c r="C1038" t="s">
        <v>40</v>
      </c>
      <c r="D1038">
        <v>4.6680830000000002</v>
      </c>
      <c r="E1038">
        <v>0.55018029999999996</v>
      </c>
      <c r="F1038" t="s">
        <v>42</v>
      </c>
      <c r="G1038">
        <v>-193.74170000000001</v>
      </c>
      <c r="H1038" s="1">
        <v>-3.7553549999999999E-6</v>
      </c>
      <c r="I1038">
        <v>346.07170000000002</v>
      </c>
      <c r="J1038">
        <v>-196.76650000000001</v>
      </c>
      <c r="K1038">
        <v>1.104376</v>
      </c>
      <c r="L1038">
        <v>360.40870000000001</v>
      </c>
      <c r="M1038">
        <v>0.72925359999999995</v>
      </c>
      <c r="N1038">
        <v>0</v>
      </c>
      <c r="O1038">
        <v>-0.68416399999999999</v>
      </c>
      <c r="P1038">
        <v>0.32002809999999998</v>
      </c>
      <c r="Q1038">
        <v>0.1261785</v>
      </c>
      <c r="R1038">
        <v>-0.93896849999999998</v>
      </c>
      <c r="S1038">
        <v>0.65591429999999995</v>
      </c>
      <c r="T1038">
        <v>-0.22926009999999999</v>
      </c>
      <c r="U1038">
        <v>-3.0052189999999999</v>
      </c>
      <c r="V1038">
        <v>0.46766839999999998</v>
      </c>
      <c r="W1038">
        <v>0.1288</v>
      </c>
      <c r="X1038">
        <v>0.87446950000000001</v>
      </c>
      <c r="Y1038">
        <v>0.5665675</v>
      </c>
      <c r="Z1038">
        <v>3.4040769999999998E-2</v>
      </c>
      <c r="AA1038">
        <v>0.82331189999999999</v>
      </c>
      <c r="AB1038">
        <v>20</v>
      </c>
      <c r="AC1038">
        <v>3.0247999999999902</v>
      </c>
      <c r="AD1038">
        <v>-1.1043797553550001</v>
      </c>
      <c r="AE1038">
        <v>-14.3369999999999</v>
      </c>
      <c r="AF1038">
        <v>8.3389343241105198</v>
      </c>
      <c r="AG1038">
        <v>-1.1043797553550001</v>
      </c>
      <c r="AH1038">
        <v>11.9474883753547</v>
      </c>
      <c r="AI1038">
        <v>94.334674961660895</v>
      </c>
      <c r="AJ1038">
        <v>55.086289538831998</v>
      </c>
      <c r="AK1038">
        <v>14.611637785857701</v>
      </c>
      <c r="AL1038">
        <v>82.5997458765723</v>
      </c>
      <c r="AM1038">
        <v>61.862021091899997</v>
      </c>
      <c r="AN1038">
        <v>1.0000000393944</v>
      </c>
    </row>
    <row r="1039" spans="1:40" x14ac:dyDescent="0.25">
      <c r="A1039" t="str">
        <f>"20190312164239863"</f>
        <v>20190312164239863</v>
      </c>
      <c r="B1039" t="str">
        <f>"1552380159854691"</f>
        <v>1552380159854691</v>
      </c>
      <c r="C1039" t="s">
        <v>40</v>
      </c>
      <c r="D1039">
        <v>4.6606899999999998</v>
      </c>
      <c r="E1039">
        <v>0.55031079999999999</v>
      </c>
      <c r="F1039" t="s">
        <v>42</v>
      </c>
      <c r="G1039">
        <v>-193.86619999999999</v>
      </c>
      <c r="H1039" s="1">
        <v>-3.9560230000000003E-6</v>
      </c>
      <c r="I1039">
        <v>346.59649999999999</v>
      </c>
      <c r="J1039">
        <v>-196.62299999999999</v>
      </c>
      <c r="K1039">
        <v>1.104331</v>
      </c>
      <c r="L1039">
        <v>360.25630000000001</v>
      </c>
      <c r="M1039">
        <v>0.72151899999999902</v>
      </c>
      <c r="N1039">
        <v>0</v>
      </c>
      <c r="O1039">
        <v>-0.69231849999999995</v>
      </c>
      <c r="P1039">
        <v>0.31223260000000003</v>
      </c>
      <c r="Q1039">
        <v>0.1265318</v>
      </c>
      <c r="R1039">
        <v>-0.9415422</v>
      </c>
      <c r="S1039">
        <v>0.63243099999999997</v>
      </c>
      <c r="T1039">
        <v>-0.24081739999999999</v>
      </c>
      <c r="U1039">
        <v>-3.011841</v>
      </c>
      <c r="V1039">
        <v>0.46506029999999998</v>
      </c>
      <c r="W1039">
        <v>0.12902269999999999</v>
      </c>
      <c r="X1039">
        <v>0.87582649999999995</v>
      </c>
      <c r="Y1039">
        <v>0.56382699999999997</v>
      </c>
      <c r="Z1039">
        <v>3.665699E-2</v>
      </c>
      <c r="AA1039">
        <v>0.82507900000000001</v>
      </c>
      <c r="AB1039">
        <v>20</v>
      </c>
      <c r="AC1039">
        <v>2.7567999999999899</v>
      </c>
      <c r="AD1039">
        <v>-1.104334956023</v>
      </c>
      <c r="AE1039">
        <v>-13.659800000000001</v>
      </c>
      <c r="AF1039">
        <v>7.8980391619066497</v>
      </c>
      <c r="AG1039">
        <v>-1.104334956023</v>
      </c>
      <c r="AH1039">
        <v>11.3751806404804</v>
      </c>
      <c r="AI1039">
        <v>94.559432395997703</v>
      </c>
      <c r="AJ1039">
        <v>55.226898574221401</v>
      </c>
      <c r="AK1039">
        <v>13.892203313429601</v>
      </c>
      <c r="AL1039">
        <v>82.586878443503807</v>
      </c>
      <c r="AM1039">
        <v>62.031880174003099</v>
      </c>
      <c r="AN1039">
        <v>0.99999999892681402</v>
      </c>
    </row>
    <row r="1040" spans="1:40" x14ac:dyDescent="0.25">
      <c r="A1040" t="str">
        <f>"20190312164239886"</f>
        <v>20190312164239886</v>
      </c>
      <c r="B1040" t="str">
        <f>"1552380159875186"</f>
        <v>1552380159875186</v>
      </c>
      <c r="C1040" t="s">
        <v>40</v>
      </c>
      <c r="D1040">
        <v>4.5319190000000003</v>
      </c>
      <c r="E1040">
        <v>0.54940029999999995</v>
      </c>
      <c r="F1040" t="s">
        <v>42</v>
      </c>
      <c r="G1040">
        <v>-193.82169999999999</v>
      </c>
      <c r="H1040" s="1">
        <v>-3.853017E-6</v>
      </c>
      <c r="I1040">
        <v>346.31699999999898</v>
      </c>
      <c r="J1040">
        <v>-196.47669999999999</v>
      </c>
      <c r="K1040">
        <v>1.104287</v>
      </c>
      <c r="L1040">
        <v>360.09719999999999</v>
      </c>
      <c r="M1040">
        <v>0.71347179999999999</v>
      </c>
      <c r="N1040">
        <v>0</v>
      </c>
      <c r="O1040">
        <v>-0.7006114</v>
      </c>
      <c r="P1040">
        <v>0.30432629999999999</v>
      </c>
      <c r="Q1040">
        <v>0.12687680000000001</v>
      </c>
      <c r="R1040">
        <v>-0.94408069999999999</v>
      </c>
      <c r="S1040">
        <v>0.60636899999999905</v>
      </c>
      <c r="T1040">
        <v>-0.23905000000000001</v>
      </c>
      <c r="U1040">
        <v>-3.0173649999999999</v>
      </c>
      <c r="V1040">
        <v>0.46225349999999998</v>
      </c>
      <c r="W1040">
        <v>0.12923270000000001</v>
      </c>
      <c r="X1040">
        <v>0.87728030000000001</v>
      </c>
      <c r="Y1040">
        <v>0.56143739999999998</v>
      </c>
      <c r="Z1040">
        <v>3.730907E-2</v>
      </c>
      <c r="AA1040">
        <v>0.82667769999999996</v>
      </c>
      <c r="AB1040">
        <v>20</v>
      </c>
      <c r="AC1040">
        <v>2.6549999999999998</v>
      </c>
      <c r="AD1040">
        <v>-1.1042908530169999</v>
      </c>
      <c r="AE1040">
        <v>-13.780200000000001</v>
      </c>
      <c r="AF1040">
        <v>7.9230072858560803</v>
      </c>
      <c r="AG1040">
        <v>-1.1042908530169999</v>
      </c>
      <c r="AH1040">
        <v>11.4783466953938</v>
      </c>
      <c r="AI1040">
        <v>94.527012369575004</v>
      </c>
      <c r="AJ1040">
        <v>55.384356343927301</v>
      </c>
      <c r="AK1040">
        <v>13.990923686427699</v>
      </c>
      <c r="AL1040">
        <v>82.574745178944596</v>
      </c>
      <c r="AM1040">
        <v>62.214512097281499</v>
      </c>
      <c r="AN1040">
        <v>1.00000005688981</v>
      </c>
    </row>
    <row r="1041" spans="1:40" x14ac:dyDescent="0.25">
      <c r="A1041" t="str">
        <f>"20190312164239908"</f>
        <v>20190312164239908</v>
      </c>
      <c r="B1041" t="str">
        <f>"1552380159905442"</f>
        <v>1552380159905442</v>
      </c>
      <c r="C1041" t="s">
        <v>40</v>
      </c>
      <c r="D1041">
        <v>4.6324149999999999</v>
      </c>
      <c r="E1041">
        <v>0.5488653</v>
      </c>
      <c r="F1041" t="s">
        <v>42</v>
      </c>
      <c r="G1041">
        <v>-193.72919999999999</v>
      </c>
      <c r="H1041" s="1">
        <v>-3.7156239999999999E-6</v>
      </c>
      <c r="I1041">
        <v>345.9615</v>
      </c>
      <c r="J1041">
        <v>-196.34209999999999</v>
      </c>
      <c r="K1041">
        <v>1.10425</v>
      </c>
      <c r="L1041">
        <v>359.9477</v>
      </c>
      <c r="M1041">
        <v>0.70592149999999998</v>
      </c>
      <c r="N1041">
        <v>0</v>
      </c>
      <c r="O1041">
        <v>-0.70822069999999904</v>
      </c>
      <c r="P1041">
        <v>0.29668739999999999</v>
      </c>
      <c r="Q1041">
        <v>0.1265674</v>
      </c>
      <c r="R1041">
        <v>-0.94655040000000001</v>
      </c>
      <c r="S1041">
        <v>0.58702089999999996</v>
      </c>
      <c r="T1041">
        <v>-0.23593749999999999</v>
      </c>
      <c r="U1041">
        <v>-3.0201720000000001</v>
      </c>
      <c r="V1041">
        <v>0.45996130000000002</v>
      </c>
      <c r="W1041">
        <v>0.128799</v>
      </c>
      <c r="X1041">
        <v>0.87854789999999905</v>
      </c>
      <c r="Y1041">
        <v>0.55782149999999997</v>
      </c>
      <c r="Z1041">
        <v>3.7725080000000001E-2</v>
      </c>
      <c r="AA1041">
        <v>0.82910309999999898</v>
      </c>
      <c r="AB1041">
        <v>20</v>
      </c>
      <c r="AC1041">
        <v>2.61289999999999</v>
      </c>
      <c r="AD1041">
        <v>-1.104253715624</v>
      </c>
      <c r="AE1041">
        <v>-13.986199999999901</v>
      </c>
      <c r="AF1041">
        <v>7.9750072817622897</v>
      </c>
      <c r="AG1041">
        <v>-1.104253715624</v>
      </c>
      <c r="AH1041">
        <v>11.680042884191</v>
      </c>
      <c r="AI1041">
        <v>94.464472043359706</v>
      </c>
      <c r="AJ1041">
        <v>55.675160211500902</v>
      </c>
      <c r="AK1041">
        <v>14.186032538704101</v>
      </c>
      <c r="AL1041">
        <v>82.599803332504194</v>
      </c>
      <c r="AM1041">
        <v>62.365819595836697</v>
      </c>
      <c r="AN1041">
        <v>0.99999999624655</v>
      </c>
    </row>
    <row r="1042" spans="1:40" x14ac:dyDescent="0.25">
      <c r="A1042" t="str">
        <f>"20190312164239930"</f>
        <v>20190312164239930</v>
      </c>
      <c r="B1042" t="str">
        <f>"1552380159924963"</f>
        <v>1552380159924963</v>
      </c>
      <c r="C1042" t="s">
        <v>40</v>
      </c>
      <c r="D1042">
        <v>4.6866909999999997</v>
      </c>
      <c r="E1042">
        <v>0.5486761</v>
      </c>
      <c r="F1042" t="s">
        <v>42</v>
      </c>
      <c r="G1042">
        <v>-193.7226</v>
      </c>
      <c r="H1042" s="1">
        <v>-3.721904E-6</v>
      </c>
      <c r="I1042">
        <v>345.98340000000002</v>
      </c>
      <c r="J1042">
        <v>-196.20920000000001</v>
      </c>
      <c r="K1042">
        <v>1.104212</v>
      </c>
      <c r="L1042">
        <v>359.79700000000003</v>
      </c>
      <c r="M1042">
        <v>0.69832919999999998</v>
      </c>
      <c r="N1042">
        <v>0</v>
      </c>
      <c r="O1042">
        <v>-0.71571030000000002</v>
      </c>
      <c r="P1042">
        <v>0.28901579999999999</v>
      </c>
      <c r="Q1042">
        <v>0.1256679</v>
      </c>
      <c r="R1042">
        <v>-0.94904029999999995</v>
      </c>
      <c r="S1042">
        <v>0.56718440000000003</v>
      </c>
      <c r="T1042">
        <v>-0.23909759999999999</v>
      </c>
      <c r="U1042">
        <v>-3.0236209999999999</v>
      </c>
      <c r="V1042">
        <v>0.45777119999999999</v>
      </c>
      <c r="W1042">
        <v>0.12778049999999999</v>
      </c>
      <c r="X1042">
        <v>0.87983960000000005</v>
      </c>
      <c r="Y1042">
        <v>0.55440290000000003</v>
      </c>
      <c r="Z1042">
        <v>3.9113149999999999E-2</v>
      </c>
      <c r="AA1042">
        <v>0.83132879999999998</v>
      </c>
      <c r="AB1042">
        <v>20</v>
      </c>
      <c r="AC1042">
        <v>2.4866000000000099</v>
      </c>
      <c r="AD1042">
        <v>-1.1042157219040001</v>
      </c>
      <c r="AE1042">
        <v>-13.8135999999999</v>
      </c>
      <c r="AF1042">
        <v>7.8187362480453597</v>
      </c>
      <c r="AG1042">
        <v>-1.1042157219040001</v>
      </c>
      <c r="AH1042">
        <v>11.5520542646323</v>
      </c>
      <c r="AI1042">
        <v>94.526055689832006</v>
      </c>
      <c r="AJ1042">
        <v>55.908817569897003</v>
      </c>
      <c r="AK1042">
        <v>13.992922732939199</v>
      </c>
      <c r="AL1042">
        <v>82.658645524333394</v>
      </c>
      <c r="AM1042">
        <v>62.512518712368298</v>
      </c>
      <c r="AN1042">
        <v>1.00000002472892</v>
      </c>
    </row>
    <row r="1043" spans="1:40" x14ac:dyDescent="0.25">
      <c r="A1043" t="str">
        <f>"20190312164239952"</f>
        <v>20190312164239952</v>
      </c>
      <c r="B1043" t="str">
        <f>"1552380159945459"</f>
        <v>1552380159945459</v>
      </c>
      <c r="C1043" t="s">
        <v>40</v>
      </c>
      <c r="D1043">
        <v>5.6999649999999997</v>
      </c>
      <c r="E1043">
        <v>0.54823710000000003</v>
      </c>
      <c r="F1043" t="s">
        <v>42</v>
      </c>
      <c r="G1043">
        <v>-193.7628</v>
      </c>
      <c r="H1043" s="1">
        <v>-3.8126230000000001E-6</v>
      </c>
      <c r="I1043">
        <v>346.22899999999998</v>
      </c>
      <c r="J1043">
        <v>-196.07480000000001</v>
      </c>
      <c r="K1043">
        <v>1.104179</v>
      </c>
      <c r="L1043">
        <v>359.6413</v>
      </c>
      <c r="M1043">
        <v>0.690519199999999</v>
      </c>
      <c r="N1043">
        <v>0</v>
      </c>
      <c r="O1043">
        <v>-0.72325090000000003</v>
      </c>
      <c r="P1043">
        <v>0.28136070000000002</v>
      </c>
      <c r="Q1043">
        <v>0.1248462</v>
      </c>
      <c r="R1043">
        <v>-0.95144649999999997</v>
      </c>
      <c r="S1043">
        <v>0.54588319999999901</v>
      </c>
      <c r="T1043">
        <v>-0.24638750000000001</v>
      </c>
      <c r="U1043">
        <v>-3.027466</v>
      </c>
      <c r="V1043">
        <v>0.4553662</v>
      </c>
      <c r="W1043">
        <v>0.12684119999999999</v>
      </c>
      <c r="X1043">
        <v>0.88122239999999996</v>
      </c>
      <c r="Y1043">
        <v>0.55122439999999995</v>
      </c>
      <c r="Z1043">
        <v>4.1205819999999997E-2</v>
      </c>
      <c r="AA1043">
        <v>0.83333889999999999</v>
      </c>
      <c r="AB1043">
        <v>20</v>
      </c>
      <c r="AC1043">
        <v>2.31200000000001</v>
      </c>
      <c r="AD1043">
        <v>-1.104182812623</v>
      </c>
      <c r="AE1043">
        <v>-13.412299999999901</v>
      </c>
      <c r="AF1043">
        <v>7.5400128792241201</v>
      </c>
      <c r="AG1043">
        <v>-1.104182812623</v>
      </c>
      <c r="AH1043">
        <v>11.2235808412417</v>
      </c>
      <c r="AI1043">
        <v>94.668619146559806</v>
      </c>
      <c r="AJ1043">
        <v>56.106754580882097</v>
      </c>
      <c r="AK1043">
        <v>13.5661262268359</v>
      </c>
      <c r="AL1043">
        <v>82.712904728680002</v>
      </c>
      <c r="AM1043">
        <v>62.6726211582777</v>
      </c>
      <c r="AN1043">
        <v>0.99999999219081903</v>
      </c>
    </row>
    <row r="1044" spans="1:40" x14ac:dyDescent="0.25">
      <c r="A1044" t="str">
        <f>"20190312164239974"</f>
        <v>20190312164239974</v>
      </c>
      <c r="B1044" t="str">
        <f>"1552380159964979"</f>
        <v>1552380159964979</v>
      </c>
      <c r="C1044" t="s">
        <v>40</v>
      </c>
      <c r="D1044">
        <v>4.7101540000000002</v>
      </c>
      <c r="E1044">
        <v>0.5476394</v>
      </c>
      <c r="F1044" t="s">
        <v>42</v>
      </c>
      <c r="G1044">
        <v>-193.68610000000001</v>
      </c>
      <c r="H1044" s="1">
        <v>-3.6657389999999999E-6</v>
      </c>
      <c r="I1044">
        <v>345.84780000000001</v>
      </c>
      <c r="J1044">
        <v>-195.93780000000001</v>
      </c>
      <c r="K1044">
        <v>1.104147</v>
      </c>
      <c r="L1044">
        <v>359.4794</v>
      </c>
      <c r="M1044">
        <v>0.68243379999999998</v>
      </c>
      <c r="N1044">
        <v>0</v>
      </c>
      <c r="O1044">
        <v>-0.73088710000000001</v>
      </c>
      <c r="P1044">
        <v>0.27432220000000002</v>
      </c>
      <c r="Q1044">
        <v>0.12460540000000001</v>
      </c>
      <c r="R1044">
        <v>-0.95353100000000002</v>
      </c>
      <c r="S1044">
        <v>0.52467350000000001</v>
      </c>
      <c r="T1044">
        <v>-0.24253479999999999</v>
      </c>
      <c r="U1044">
        <v>-3.0297550000000002</v>
      </c>
      <c r="V1044">
        <v>0.45208700000000002</v>
      </c>
      <c r="W1044">
        <v>0.12650059999999999</v>
      </c>
      <c r="X1044">
        <v>0.88295809999999997</v>
      </c>
      <c r="Y1044">
        <v>0.54772140000000002</v>
      </c>
      <c r="Z1044">
        <v>4.1497249999999999E-2</v>
      </c>
      <c r="AA1044">
        <v>0.83563109999999996</v>
      </c>
      <c r="AB1044">
        <v>20</v>
      </c>
      <c r="AC1044">
        <v>2.2517</v>
      </c>
      <c r="AD1044">
        <v>-1.1041506657389999</v>
      </c>
      <c r="AE1044">
        <v>-13.631599999999899</v>
      </c>
      <c r="AF1044">
        <v>7.6086698449036696</v>
      </c>
      <c r="AG1044">
        <v>-1.1041506657389999</v>
      </c>
      <c r="AH1044">
        <v>11.427321588474699</v>
      </c>
      <c r="AI1044">
        <v>94.598219356379204</v>
      </c>
      <c r="AJ1044">
        <v>56.3430761047725</v>
      </c>
      <c r="AK1044">
        <v>13.772969330824001</v>
      </c>
      <c r="AL1044">
        <v>82.732578434637105</v>
      </c>
      <c r="AM1044">
        <v>62.8869133388921</v>
      </c>
      <c r="AN1044">
        <v>1.00000003186248</v>
      </c>
    </row>
    <row r="1045" spans="1:40" x14ac:dyDescent="0.25">
      <c r="A1045" t="str">
        <f>"20190312164240001"</f>
        <v>20190312164240001</v>
      </c>
      <c r="B1045" t="str">
        <f>"1552380159995234"</f>
        <v>1552380159995234</v>
      </c>
      <c r="C1045" t="s">
        <v>40</v>
      </c>
      <c r="D1045">
        <v>5.1109249999999999</v>
      </c>
      <c r="E1045">
        <v>0.54683669999999995</v>
      </c>
      <c r="F1045" t="s">
        <v>42</v>
      </c>
      <c r="G1045">
        <v>-193.5925</v>
      </c>
      <c r="H1045" s="1">
        <v>-3.4594689999999999E-6</v>
      </c>
      <c r="I1045">
        <v>345.42500000000001</v>
      </c>
      <c r="J1045">
        <v>-195.78489999999999</v>
      </c>
      <c r="K1045">
        <v>1.1041219999999901</v>
      </c>
      <c r="L1045">
        <v>359.29469999999998</v>
      </c>
      <c r="M1045">
        <v>0.67326600000000003</v>
      </c>
      <c r="N1045">
        <v>0</v>
      </c>
      <c r="O1045">
        <v>-0.73934299999999997</v>
      </c>
      <c r="P1045">
        <v>0.26515</v>
      </c>
      <c r="Q1045">
        <v>0.1244591</v>
      </c>
      <c r="R1045">
        <v>-0.95614080000000001</v>
      </c>
      <c r="S1045">
        <v>0.50592040000000005</v>
      </c>
      <c r="T1045">
        <v>-0.23818400000000001</v>
      </c>
      <c r="U1045">
        <v>-3.0317690000000002</v>
      </c>
      <c r="V1045">
        <v>0.44955820000000002</v>
      </c>
      <c r="W1045">
        <v>0.12623570000000001</v>
      </c>
      <c r="X1045">
        <v>0.88428619999999902</v>
      </c>
      <c r="Y1045">
        <v>0.54240840000000001</v>
      </c>
      <c r="Z1045">
        <v>4.1815129999999999E-2</v>
      </c>
      <c r="AA1045">
        <v>0.83907369999999903</v>
      </c>
      <c r="AB1045">
        <v>20</v>
      </c>
      <c r="AC1045">
        <v>2.1923999999999899</v>
      </c>
      <c r="AD1045">
        <v>-1.10412545946899</v>
      </c>
      <c r="AE1045">
        <v>-13.8696999999999</v>
      </c>
      <c r="AF1045">
        <v>7.6699673493192098</v>
      </c>
      <c r="AG1045">
        <v>-1.10412545946899</v>
      </c>
      <c r="AH1045">
        <v>11.658946687571399</v>
      </c>
      <c r="AI1045">
        <v>94.523640640662705</v>
      </c>
      <c r="AJ1045">
        <v>56.660638235136901</v>
      </c>
      <c r="AK1045">
        <v>13.9992331944825</v>
      </c>
      <c r="AL1045">
        <v>82.747878913517695</v>
      </c>
      <c r="AM1045">
        <v>63.0518806624315</v>
      </c>
      <c r="AN1045">
        <v>1.0000000553260799</v>
      </c>
    </row>
    <row r="1046" spans="1:40" x14ac:dyDescent="0.25">
      <c r="A1046" t="str">
        <f>"20190312164240020"</f>
        <v>20190312164240020</v>
      </c>
      <c r="B1046" t="str">
        <f>"1552380160014755"</f>
        <v>1552380160014755</v>
      </c>
      <c r="C1046" t="s">
        <v>40</v>
      </c>
      <c r="D1046">
        <v>4.9648940000000001</v>
      </c>
      <c r="E1046">
        <v>0.54628330000000003</v>
      </c>
      <c r="F1046" t="s">
        <v>42</v>
      </c>
      <c r="G1046">
        <v>-193.48589999999999</v>
      </c>
      <c r="H1046" s="1">
        <v>-3.177643E-6</v>
      </c>
      <c r="I1046">
        <v>344.83429999999998</v>
      </c>
      <c r="J1046">
        <v>-195.67310000000001</v>
      </c>
      <c r="K1046">
        <v>1.104109</v>
      </c>
      <c r="L1046">
        <v>359.15640000000002</v>
      </c>
      <c r="M1046">
        <v>0.66646309999999997</v>
      </c>
      <c r="N1046">
        <v>0</v>
      </c>
      <c r="O1046">
        <v>-0.7454828</v>
      </c>
      <c r="P1046">
        <v>0.25927790000000001</v>
      </c>
      <c r="Q1046">
        <v>0.1239471</v>
      </c>
      <c r="R1046">
        <v>-0.95781640000000001</v>
      </c>
      <c r="S1046">
        <v>0.48237609999999997</v>
      </c>
      <c r="T1046">
        <v>-0.2316608</v>
      </c>
      <c r="U1046">
        <v>-3.0339969999999998</v>
      </c>
      <c r="V1046">
        <v>0.44690859999999899</v>
      </c>
      <c r="W1046">
        <v>0.12566050000000001</v>
      </c>
      <c r="X1046">
        <v>0.88571</v>
      </c>
      <c r="Y1046">
        <v>0.54115999999999997</v>
      </c>
      <c r="Z1046">
        <v>4.1348700000000002E-2</v>
      </c>
      <c r="AA1046">
        <v>0.8399025</v>
      </c>
      <c r="AB1046">
        <v>20</v>
      </c>
      <c r="AC1046">
        <v>2.18720000000001</v>
      </c>
      <c r="AD1046">
        <v>-1.1041121776430001</v>
      </c>
      <c r="AE1046">
        <v>-14.322100000000001</v>
      </c>
      <c r="AF1046">
        <v>7.8692551042124501</v>
      </c>
      <c r="AG1046">
        <v>-1.1041121776430001</v>
      </c>
      <c r="AH1046">
        <v>12.0649975287622</v>
      </c>
      <c r="AI1046">
        <v>94.383182526710101</v>
      </c>
      <c r="AJ1046">
        <v>56.886064455002</v>
      </c>
      <c r="AK1046">
        <v>14.4467437495454</v>
      </c>
      <c r="AL1046">
        <v>82.781099813405007</v>
      </c>
      <c r="AM1046">
        <v>63.225554112134297</v>
      </c>
      <c r="AN1046">
        <v>1.0000000310571</v>
      </c>
    </row>
    <row r="1047" spans="1:40" x14ac:dyDescent="0.25">
      <c r="A1047" t="str">
        <f>"20190312164240042"</f>
        <v>20190312164240042</v>
      </c>
      <c r="B1047" t="str">
        <f>"1552380160035251"</f>
        <v>1552380160035251</v>
      </c>
      <c r="C1047" t="s">
        <v>40</v>
      </c>
      <c r="D1047">
        <v>4.7292319999999997</v>
      </c>
      <c r="E1047">
        <v>0.54570390000000002</v>
      </c>
      <c r="F1047" t="s">
        <v>42</v>
      </c>
      <c r="G1047">
        <v>-193.42930000000001</v>
      </c>
      <c r="H1047" s="1">
        <v>-3.0701239999999999E-6</v>
      </c>
      <c r="I1047">
        <v>344.61869999999999</v>
      </c>
      <c r="J1047">
        <v>-195.5453</v>
      </c>
      <c r="K1047">
        <v>1.10409</v>
      </c>
      <c r="L1047">
        <v>358.99560000000002</v>
      </c>
      <c r="M1047">
        <v>0.65859569999999901</v>
      </c>
      <c r="N1047">
        <v>0</v>
      </c>
      <c r="O1047">
        <v>-0.75244429999999995</v>
      </c>
      <c r="P1047">
        <v>0.25241200000000003</v>
      </c>
      <c r="Q1047">
        <v>0.1232747</v>
      </c>
      <c r="R1047">
        <v>-0.95973529999999996</v>
      </c>
      <c r="S1047">
        <v>0.46846009999999999</v>
      </c>
      <c r="T1047">
        <v>-0.23051679999999999</v>
      </c>
      <c r="U1047">
        <v>-3.0351870000000001</v>
      </c>
      <c r="V1047">
        <v>0.44398359999999898</v>
      </c>
      <c r="W1047">
        <v>0.12491629999999999</v>
      </c>
      <c r="X1047">
        <v>0.88728490000000004</v>
      </c>
      <c r="Y1047">
        <v>0.536138</v>
      </c>
      <c r="Z1047">
        <v>4.2011779999999999E-2</v>
      </c>
      <c r="AA1047">
        <v>0.84308430000000001</v>
      </c>
      <c r="AB1047">
        <v>20</v>
      </c>
      <c r="AC1047">
        <v>2.1159999999999801</v>
      </c>
      <c r="AD1047">
        <v>-1.1040930701239999</v>
      </c>
      <c r="AE1047">
        <v>-14.376899999999999</v>
      </c>
      <c r="AF1047">
        <v>7.8314963014407901</v>
      </c>
      <c r="AG1047">
        <v>-1.1040930701239999</v>
      </c>
      <c r="AH1047">
        <v>12.1417989534593</v>
      </c>
      <c r="AI1047">
        <v>94.369844816623797</v>
      </c>
      <c r="AJ1047">
        <v>57.177864032785898</v>
      </c>
      <c r="AK1047">
        <v>14.4905016356647</v>
      </c>
      <c r="AL1047">
        <v>82.824077806847299</v>
      </c>
      <c r="AM1047">
        <v>63.417327922235401</v>
      </c>
      <c r="AN1047">
        <v>1.0000000064213299</v>
      </c>
    </row>
    <row r="1048" spans="1:40" x14ac:dyDescent="0.25">
      <c r="A1048" t="str">
        <f>"20190312164240065"</f>
        <v>20190312164240065</v>
      </c>
      <c r="B1048" t="str">
        <f>"1552380160054775"</f>
        <v>1552380160054775</v>
      </c>
      <c r="C1048" t="s">
        <v>40</v>
      </c>
      <c r="D1048">
        <v>5.0058449999999999</v>
      </c>
      <c r="E1048">
        <v>0.53706339999999997</v>
      </c>
      <c r="F1048" t="s">
        <v>42</v>
      </c>
      <c r="G1048">
        <v>-193.38319999999999</v>
      </c>
      <c r="H1048" s="1">
        <v>-2.97551E-6</v>
      </c>
      <c r="I1048">
        <v>344.42680000000001</v>
      </c>
      <c r="J1048">
        <v>-195.41120000000001</v>
      </c>
      <c r="K1048">
        <v>1.104069</v>
      </c>
      <c r="L1048">
        <v>358.8229</v>
      </c>
      <c r="M1048">
        <v>0.65021410000000002</v>
      </c>
      <c r="N1048">
        <v>0</v>
      </c>
      <c r="O1048">
        <v>-0.75970059999999995</v>
      </c>
      <c r="P1048">
        <v>0.24510570000000001</v>
      </c>
      <c r="Q1048">
        <v>0.1221433</v>
      </c>
      <c r="R1048">
        <v>-0.96177140000000005</v>
      </c>
      <c r="S1048">
        <v>0.45069890000000001</v>
      </c>
      <c r="T1048">
        <v>-0.2301501</v>
      </c>
      <c r="U1048">
        <v>-3.036896</v>
      </c>
      <c r="V1048">
        <v>0.44096299999999999</v>
      </c>
      <c r="W1048">
        <v>0.1236989</v>
      </c>
      <c r="X1048">
        <v>0.88896019999999898</v>
      </c>
      <c r="Y1048">
        <v>0.53167519999999902</v>
      </c>
      <c r="Z1048">
        <v>4.2821650000000003E-2</v>
      </c>
      <c r="AA1048">
        <v>0.84586519999999998</v>
      </c>
      <c r="AB1048">
        <v>21</v>
      </c>
      <c r="AC1048">
        <v>2.02800000000002</v>
      </c>
      <c r="AD1048">
        <v>-1.1040719755099999</v>
      </c>
      <c r="AE1048">
        <v>-14.396099999999899</v>
      </c>
      <c r="AF1048">
        <v>7.7753314859550198</v>
      </c>
      <c r="AG1048">
        <v>-1.1040719755099999</v>
      </c>
      <c r="AH1048">
        <v>12.1855520649422</v>
      </c>
      <c r="AI1048">
        <v>94.367804579063304</v>
      </c>
      <c r="AJ1048">
        <v>57.458952356661797</v>
      </c>
      <c r="AK1048">
        <v>14.4969801603992</v>
      </c>
      <c r="AL1048">
        <v>82.894374970621001</v>
      </c>
      <c r="AM1048">
        <v>63.6165846051925</v>
      </c>
      <c r="AN1048">
        <v>1.0000000112071199</v>
      </c>
    </row>
    <row r="1049" spans="1:40" x14ac:dyDescent="0.25">
      <c r="A1049" t="str">
        <f>"20190312164240088"</f>
        <v>20190312164240088</v>
      </c>
      <c r="B1049" t="str">
        <f>"1552380160085027"</f>
        <v>1552380160085027</v>
      </c>
      <c r="C1049" t="s">
        <v>40</v>
      </c>
      <c r="D1049">
        <v>5.0861799999999997</v>
      </c>
      <c r="E1049">
        <v>0.53434740000000003</v>
      </c>
      <c r="F1049" t="s">
        <v>42</v>
      </c>
      <c r="G1049">
        <v>-192.768</v>
      </c>
      <c r="H1049" s="1">
        <v>-2.025509E-6</v>
      </c>
      <c r="I1049">
        <v>342.59379999999999</v>
      </c>
      <c r="J1049">
        <v>-195.2731</v>
      </c>
      <c r="K1049">
        <v>1.1040350000000001</v>
      </c>
      <c r="L1049">
        <v>358.64120000000003</v>
      </c>
      <c r="M1049">
        <v>0.64144630000000002</v>
      </c>
      <c r="N1049">
        <v>0</v>
      </c>
      <c r="O1049">
        <v>-0.76711980000000002</v>
      </c>
      <c r="P1049">
        <v>0.23725299999999999</v>
      </c>
      <c r="Q1049">
        <v>0.1225527</v>
      </c>
      <c r="R1049">
        <v>-0.96368670000000001</v>
      </c>
      <c r="S1049">
        <v>0.4918671</v>
      </c>
      <c r="T1049">
        <v>-0.20545179999999999</v>
      </c>
      <c r="U1049">
        <v>-3.0199889999999998</v>
      </c>
      <c r="V1049">
        <v>0.437971</v>
      </c>
      <c r="W1049">
        <v>0.12400460000000001</v>
      </c>
      <c r="X1049">
        <v>0.89039559999999995</v>
      </c>
      <c r="Y1049">
        <v>0.50984989999999997</v>
      </c>
      <c r="Z1049">
        <v>3.9632109999999998E-2</v>
      </c>
      <c r="AA1049">
        <v>0.85934999999999995</v>
      </c>
      <c r="AB1049">
        <v>21</v>
      </c>
      <c r="AC1049">
        <v>2.5050999999999899</v>
      </c>
      <c r="AD1049">
        <v>-1.104037025509</v>
      </c>
      <c r="AE1049">
        <v>-16.0474</v>
      </c>
      <c r="AF1049">
        <v>8.33363604975413</v>
      </c>
      <c r="AG1049">
        <v>-1.104037025509</v>
      </c>
      <c r="AH1049">
        <v>13.8536666695543</v>
      </c>
      <c r="AI1049">
        <v>93.906624733906597</v>
      </c>
      <c r="AJ1049">
        <v>58.971100557452601</v>
      </c>
      <c r="AK1049">
        <v>16.204705111620399</v>
      </c>
      <c r="AL1049">
        <v>82.876723891779406</v>
      </c>
      <c r="AM1049">
        <v>63.808183306993598</v>
      </c>
      <c r="AN1049">
        <v>1.00000003108075</v>
      </c>
    </row>
    <row r="1050" spans="1:40" x14ac:dyDescent="0.25">
      <c r="A1050" t="str">
        <f>"20190312164240113"</f>
        <v>20190312164240113</v>
      </c>
      <c r="B1050" t="str">
        <f>"1552380160104547"</f>
        <v>1552380160104547</v>
      </c>
      <c r="C1050" t="s">
        <v>40</v>
      </c>
      <c r="D1050">
        <v>4.7635730000000001</v>
      </c>
      <c r="E1050">
        <v>0.53301969999999899</v>
      </c>
      <c r="F1050" t="s">
        <v>42</v>
      </c>
      <c r="G1050">
        <v>-192.77160000000001</v>
      </c>
      <c r="H1050" s="1">
        <v>-2.2967759999999999E-6</v>
      </c>
      <c r="I1050">
        <v>343.22390000000001</v>
      </c>
      <c r="J1050">
        <v>-195.143</v>
      </c>
      <c r="K1050">
        <v>1.103993</v>
      </c>
      <c r="L1050">
        <v>358.46609999999998</v>
      </c>
      <c r="M1050">
        <v>0.63303929999999997</v>
      </c>
      <c r="N1050">
        <v>0</v>
      </c>
      <c r="O1050">
        <v>-0.77407360000000003</v>
      </c>
      <c r="P1050">
        <v>0.2302467</v>
      </c>
      <c r="Q1050">
        <v>0.12256789999999899</v>
      </c>
      <c r="R1050">
        <v>-0.96538270000000004</v>
      </c>
      <c r="S1050">
        <v>0.48999019999999999</v>
      </c>
      <c r="T1050">
        <v>-0.21625839999999999</v>
      </c>
      <c r="U1050">
        <v>-3.0199280000000002</v>
      </c>
      <c r="V1050">
        <v>0.43472109999999897</v>
      </c>
      <c r="W1050">
        <v>0.1239242</v>
      </c>
      <c r="X1050">
        <v>0.89199799999999996</v>
      </c>
      <c r="Y1050">
        <v>0.50097239999999998</v>
      </c>
      <c r="Z1050">
        <v>4.2612280000000002E-2</v>
      </c>
      <c r="AA1050">
        <v>0.8644136</v>
      </c>
      <c r="AB1050">
        <v>21</v>
      </c>
      <c r="AC1050">
        <v>2.3713999999999902</v>
      </c>
      <c r="AD1050">
        <v>-1.1039952967760001</v>
      </c>
      <c r="AE1050">
        <v>-15.242199999999899</v>
      </c>
      <c r="AF1050">
        <v>7.7737338603197204</v>
      </c>
      <c r="AG1050">
        <v>-1.1039952967760001</v>
      </c>
      <c r="AH1050">
        <v>13.232469574801099</v>
      </c>
      <c r="AI1050">
        <v>94.114528162647005</v>
      </c>
      <c r="AJ1050">
        <v>59.566865174495199</v>
      </c>
      <c r="AK1050">
        <v>15.386617392865199</v>
      </c>
      <c r="AL1050">
        <v>82.881366323441299</v>
      </c>
      <c r="AM1050">
        <v>64.017405966535406</v>
      </c>
      <c r="AN1050">
        <v>1.00000003706742</v>
      </c>
    </row>
    <row r="1051" spans="1:40" x14ac:dyDescent="0.25">
      <c r="A1051" t="str">
        <f>"20190312164240154"</f>
        <v>20190312164240154</v>
      </c>
      <c r="B1051" t="str">
        <f>"1552380160144563"</f>
        <v>1552380160144563</v>
      </c>
      <c r="C1051" t="s">
        <v>40</v>
      </c>
      <c r="D1051">
        <v>4.7236399999999996</v>
      </c>
      <c r="E1051">
        <v>0.53873749999999998</v>
      </c>
      <c r="F1051" t="s">
        <v>42</v>
      </c>
      <c r="G1051">
        <v>-192.7004</v>
      </c>
      <c r="H1051" s="1">
        <v>-2.205978E-6</v>
      </c>
      <c r="I1051">
        <v>343.0564</v>
      </c>
      <c r="J1051">
        <v>-194.9058</v>
      </c>
      <c r="K1051">
        <v>1.103901</v>
      </c>
      <c r="L1051">
        <v>358.13709999999998</v>
      </c>
      <c r="M1051">
        <v>0.61733700000000002</v>
      </c>
      <c r="N1051">
        <v>0</v>
      </c>
      <c r="O1051">
        <v>-0.78665629999999998</v>
      </c>
      <c r="P1051">
        <v>0.21776760000000001</v>
      </c>
      <c r="Q1051">
        <v>0.1226497</v>
      </c>
      <c r="R1051">
        <v>-0.9682636</v>
      </c>
      <c r="S1051">
        <v>0.47882079999999999</v>
      </c>
      <c r="T1051">
        <v>-0.21642230000000001</v>
      </c>
      <c r="U1051">
        <v>-3.0208439999999999</v>
      </c>
      <c r="V1051">
        <v>0.42827589999999999</v>
      </c>
      <c r="W1051">
        <v>0.1238257</v>
      </c>
      <c r="X1051">
        <v>0.89512400000000003</v>
      </c>
      <c r="Y1051">
        <v>0.48666870000000001</v>
      </c>
      <c r="Z1051">
        <v>4.4225010000000002E-2</v>
      </c>
      <c r="AA1051">
        <v>0.87246639999999998</v>
      </c>
      <c r="AB1051">
        <v>21</v>
      </c>
      <c r="AC1051">
        <v>2.2053999999999898</v>
      </c>
      <c r="AD1051">
        <v>-1.1039032059780001</v>
      </c>
      <c r="AE1051">
        <v>-15.080699999999901</v>
      </c>
      <c r="AF1051">
        <v>7.5357032971464903</v>
      </c>
      <c r="AG1051">
        <v>-1.1039032059780001</v>
      </c>
      <c r="AH1051">
        <v>13.156227347330599</v>
      </c>
      <c r="AI1051">
        <v>94.164317572208901</v>
      </c>
      <c r="AJ1051">
        <v>60.196521148723697</v>
      </c>
      <c r="AK1051">
        <v>15.2017020259392</v>
      </c>
      <c r="AL1051">
        <v>82.887053590588295</v>
      </c>
      <c r="AM1051">
        <v>64.431017253438398</v>
      </c>
      <c r="AN1051">
        <v>1.0000000129386499</v>
      </c>
    </row>
    <row r="1052" spans="1:40" x14ac:dyDescent="0.25">
      <c r="A1052" t="str">
        <f>"20190312164240177"</f>
        <v>20190312164240177</v>
      </c>
      <c r="B1052" t="str">
        <f>"1552380160165059"</f>
        <v>1552380160165059</v>
      </c>
      <c r="C1052" t="s">
        <v>40</v>
      </c>
      <c r="D1052">
        <v>4.8275930000000002</v>
      </c>
      <c r="E1052">
        <v>0.54114329999999999</v>
      </c>
      <c r="F1052" t="s">
        <v>42</v>
      </c>
      <c r="G1052">
        <v>-192.65690000000001</v>
      </c>
      <c r="H1052" s="1">
        <v>-1.2213029999999999E-6</v>
      </c>
      <c r="I1052">
        <v>340.78809999999999</v>
      </c>
      <c r="J1052">
        <v>-194.77869999999999</v>
      </c>
      <c r="K1052">
        <v>1.103839</v>
      </c>
      <c r="L1052">
        <v>357.95499999999998</v>
      </c>
      <c r="M1052">
        <v>0.608684</v>
      </c>
      <c r="N1052">
        <v>0</v>
      </c>
      <c r="O1052">
        <v>-0.79337219999999997</v>
      </c>
      <c r="P1052">
        <v>0.21092469999999999</v>
      </c>
      <c r="Q1052">
        <v>0.12152250000000001</v>
      </c>
      <c r="R1052">
        <v>-0.96991930000000004</v>
      </c>
      <c r="S1052">
        <v>0.3933411</v>
      </c>
      <c r="T1052">
        <v>-0.19307079999999999</v>
      </c>
      <c r="U1052">
        <v>-3.0343019999999998</v>
      </c>
      <c r="V1052">
        <v>0.42486550000000001</v>
      </c>
      <c r="W1052">
        <v>0.12259780000000001</v>
      </c>
      <c r="X1052">
        <v>0.89691639999999995</v>
      </c>
      <c r="Y1052">
        <v>0.50168900000000005</v>
      </c>
      <c r="Z1052">
        <v>3.9665279999999997E-2</v>
      </c>
      <c r="AA1052">
        <v>0.86413819999999997</v>
      </c>
      <c r="AB1052">
        <v>21</v>
      </c>
      <c r="AC1052">
        <v>2.1217999999999702</v>
      </c>
      <c r="AD1052">
        <v>-1.1038402213030001</v>
      </c>
      <c r="AE1052">
        <v>-17.166899999999998</v>
      </c>
      <c r="AF1052">
        <v>8.7305683714633098</v>
      </c>
      <c r="AG1052">
        <v>-1.1038402213030001</v>
      </c>
      <c r="AH1052">
        <v>14.8512472834491</v>
      </c>
      <c r="AI1052">
        <v>93.666203006325205</v>
      </c>
      <c r="AJ1052">
        <v>59.550105500363301</v>
      </c>
      <c r="AK1052">
        <v>17.2627006345217</v>
      </c>
      <c r="AL1052">
        <v>82.957946967257797</v>
      </c>
      <c r="AM1052">
        <v>64.653283371244996</v>
      </c>
      <c r="AN1052">
        <v>0.99999997112202399</v>
      </c>
    </row>
    <row r="1053" spans="1:40" x14ac:dyDescent="0.25">
      <c r="A1053" t="str">
        <f>"20190312164240198"</f>
        <v>20190312164240198</v>
      </c>
      <c r="B1053" t="str">
        <f>"1552380160195315"</f>
        <v>1552380160195315</v>
      </c>
      <c r="C1053" t="s">
        <v>40</v>
      </c>
      <c r="D1053">
        <v>5.6281809999999997</v>
      </c>
      <c r="E1053">
        <v>0.54311640000000005</v>
      </c>
      <c r="F1053" t="s">
        <v>42</v>
      </c>
      <c r="G1053">
        <v>-192.7148</v>
      </c>
      <c r="H1053" s="1">
        <v>-9.7440820000000004E-7</v>
      </c>
      <c r="I1053">
        <v>340.17669999999998</v>
      </c>
      <c r="J1053">
        <v>-194.66249999999999</v>
      </c>
      <c r="K1053">
        <v>1.103777</v>
      </c>
      <c r="L1053">
        <v>357.78500000000003</v>
      </c>
      <c r="M1053">
        <v>0.60062079999999995</v>
      </c>
      <c r="N1053">
        <v>0</v>
      </c>
      <c r="O1053">
        <v>-0.79949490000000001</v>
      </c>
      <c r="P1053">
        <v>0.20532980000000001</v>
      </c>
      <c r="Q1053">
        <v>0.1209384</v>
      </c>
      <c r="R1053">
        <v>-0.97119200000000006</v>
      </c>
      <c r="S1053">
        <v>0.35288999999999998</v>
      </c>
      <c r="T1053">
        <v>-0.18874540000000001</v>
      </c>
      <c r="U1053">
        <v>-3.039917</v>
      </c>
      <c r="V1053">
        <v>0.4209929</v>
      </c>
      <c r="W1053">
        <v>0.1219343</v>
      </c>
      <c r="X1053">
        <v>0.89883099999999905</v>
      </c>
      <c r="Y1053">
        <v>0.50446020000000003</v>
      </c>
      <c r="Z1053">
        <v>3.9217960000000003E-2</v>
      </c>
      <c r="AA1053">
        <v>0.86254379999999997</v>
      </c>
      <c r="AB1053">
        <v>21</v>
      </c>
      <c r="AC1053">
        <v>1.94769999999999</v>
      </c>
      <c r="AD1053">
        <v>-1.1037779744081999</v>
      </c>
      <c r="AE1053">
        <v>-17.6083</v>
      </c>
      <c r="AF1053">
        <v>8.9841413670385393</v>
      </c>
      <c r="AG1053">
        <v>-1.1037779744081999</v>
      </c>
      <c r="AH1053">
        <v>15.189089232412501</v>
      </c>
      <c r="AI1053">
        <v>93.579014642495807</v>
      </c>
      <c r="AJ1053">
        <v>59.396257926563202</v>
      </c>
      <c r="AK1053">
        <v>17.681672817635501</v>
      </c>
      <c r="AL1053">
        <v>82.996250866479301</v>
      </c>
      <c r="AM1053">
        <v>64.902629818237799</v>
      </c>
      <c r="AN1053">
        <v>1.00000008096394</v>
      </c>
    </row>
    <row r="1054" spans="1:40" x14ac:dyDescent="0.25">
      <c r="A1054" t="str">
        <f>"20190312164240220"</f>
        <v>20190312164240220</v>
      </c>
      <c r="B1054" t="str">
        <f>"1552380160214835"</f>
        <v>1552380160214835</v>
      </c>
      <c r="C1054" t="s">
        <v>40</v>
      </c>
      <c r="D1054">
        <v>4.8335599999999896</v>
      </c>
      <c r="E1054">
        <v>0.54370819999999997</v>
      </c>
      <c r="F1054" t="s">
        <v>42</v>
      </c>
      <c r="G1054">
        <v>-192.7296</v>
      </c>
      <c r="H1054" s="1">
        <v>-4.692562E-6</v>
      </c>
      <c r="I1054">
        <v>339.35329999999999</v>
      </c>
      <c r="J1054">
        <v>-194.54259999999999</v>
      </c>
      <c r="K1054">
        <v>1.1037189999999999</v>
      </c>
      <c r="L1054">
        <v>357.60579999999999</v>
      </c>
      <c r="M1054">
        <v>0.59213780000000005</v>
      </c>
      <c r="N1054">
        <v>0</v>
      </c>
      <c r="O1054">
        <v>-0.80579909999999999</v>
      </c>
      <c r="P1054">
        <v>0.19942309999999999</v>
      </c>
      <c r="Q1054">
        <v>0.1202271</v>
      </c>
      <c r="R1054">
        <v>-0.97251030000000005</v>
      </c>
      <c r="S1054">
        <v>0.31922909999999999</v>
      </c>
      <c r="T1054">
        <v>-0.1823014</v>
      </c>
      <c r="U1054">
        <v>-3.0441889999999998</v>
      </c>
      <c r="V1054">
        <v>0.41700100000000001</v>
      </c>
      <c r="W1054">
        <v>0.121141</v>
      </c>
      <c r="X1054">
        <v>0.90079690000000001</v>
      </c>
      <c r="Y1054">
        <v>0.5048975</v>
      </c>
      <c r="Z1054">
        <v>3.8377830000000002E-2</v>
      </c>
      <c r="AA1054">
        <v>0.86232569999999997</v>
      </c>
      <c r="AB1054">
        <v>21</v>
      </c>
      <c r="AC1054">
        <v>1.81299999999998</v>
      </c>
      <c r="AD1054">
        <v>-1.103723692562</v>
      </c>
      <c r="AE1054">
        <v>-18.252500000000001</v>
      </c>
      <c r="AF1054">
        <v>9.31364139956084</v>
      </c>
      <c r="AG1054">
        <v>-1.103723692562</v>
      </c>
      <c r="AH1054">
        <v>15.724934544431701</v>
      </c>
      <c r="AI1054">
        <v>93.455980270168595</v>
      </c>
      <c r="AJ1054">
        <v>59.362381102541001</v>
      </c>
      <c r="AK1054">
        <v>18.309442605819399</v>
      </c>
      <c r="AL1054">
        <v>83.042042613667306</v>
      </c>
      <c r="AM1054">
        <v>65.159423332067405</v>
      </c>
      <c r="AN1054">
        <v>1.0000000154658</v>
      </c>
    </row>
    <row r="1055" spans="1:40" x14ac:dyDescent="0.25">
      <c r="A1055" t="str">
        <f>"20190312164240244"</f>
        <v>20190312164240244</v>
      </c>
      <c r="B1055" t="str">
        <f>"1552380160235331"</f>
        <v>1552380160235331</v>
      </c>
      <c r="C1055" t="s">
        <v>40</v>
      </c>
      <c r="D1055">
        <v>4.8831319999999998</v>
      </c>
      <c r="E1055">
        <v>0.54401149999999998</v>
      </c>
      <c r="F1055" t="s">
        <v>42</v>
      </c>
      <c r="G1055">
        <v>-192.73990000000001</v>
      </c>
      <c r="H1055" s="1">
        <v>-4.5734290000000003E-6</v>
      </c>
      <c r="I1055">
        <v>338.99790000000002</v>
      </c>
      <c r="J1055">
        <v>-194.4169</v>
      </c>
      <c r="K1055">
        <v>1.103642</v>
      </c>
      <c r="L1055">
        <v>357.41300000000001</v>
      </c>
      <c r="M1055">
        <v>0.58302889999999996</v>
      </c>
      <c r="N1055">
        <v>0</v>
      </c>
      <c r="O1055">
        <v>-0.81241529999999995</v>
      </c>
      <c r="P1055">
        <v>0.1930637</v>
      </c>
      <c r="Q1055">
        <v>0.1209416</v>
      </c>
      <c r="R1055">
        <v>-0.97370420000000002</v>
      </c>
      <c r="S1055">
        <v>0.29515079999999999</v>
      </c>
      <c r="T1055">
        <v>-0.18070600000000001</v>
      </c>
      <c r="U1055">
        <v>-3.04657</v>
      </c>
      <c r="V1055">
        <v>0.4127094</v>
      </c>
      <c r="W1055">
        <v>0.12177010000000001</v>
      </c>
      <c r="X1055">
        <v>0.90268649999999995</v>
      </c>
      <c r="Y1055">
        <v>0.50199719999999903</v>
      </c>
      <c r="Z1055">
        <v>3.8640580000000001E-2</v>
      </c>
      <c r="AA1055">
        <v>0.86400560000000004</v>
      </c>
      <c r="AB1055">
        <v>21</v>
      </c>
      <c r="AC1055">
        <v>1.6769999999999901</v>
      </c>
      <c r="AD1055">
        <v>-1.103646573429</v>
      </c>
      <c r="AE1055">
        <v>-18.415099999999899</v>
      </c>
      <c r="AF1055">
        <v>9.3411146592182099</v>
      </c>
      <c r="AG1055">
        <v>-1.103646573429</v>
      </c>
      <c r="AH1055">
        <v>15.8823391768164</v>
      </c>
      <c r="AI1055">
        <v>93.427764075287598</v>
      </c>
      <c r="AJ1055">
        <v>59.538308722687901</v>
      </c>
      <c r="AK1055">
        <v>18.4586878342731</v>
      </c>
      <c r="AL1055">
        <v>83.005728626410601</v>
      </c>
      <c r="AM1055">
        <v>65.430061193279698</v>
      </c>
      <c r="AN1055">
        <v>0.99999996169230898</v>
      </c>
    </row>
    <row r="1056" spans="1:40" x14ac:dyDescent="0.25">
      <c r="A1056" t="str">
        <f>"20190312164240266"</f>
        <v>20190312164240266</v>
      </c>
      <c r="B1056" t="str">
        <f>"1552380160254851"</f>
        <v>1552380160254851</v>
      </c>
      <c r="C1056" t="s">
        <v>40</v>
      </c>
      <c r="D1056">
        <v>4.8611950000000004</v>
      </c>
      <c r="E1056">
        <v>0.54425219999999996</v>
      </c>
      <c r="F1056" t="s">
        <v>42</v>
      </c>
      <c r="G1056">
        <v>-192.73480000000001</v>
      </c>
      <c r="H1056" s="1">
        <v>-4.4476520000000002E-6</v>
      </c>
      <c r="I1056">
        <v>338.6309</v>
      </c>
      <c r="J1056">
        <v>-194.2961</v>
      </c>
      <c r="K1056">
        <v>1.103577</v>
      </c>
      <c r="L1056">
        <v>357.22340000000003</v>
      </c>
      <c r="M1056">
        <v>0.57408230000000005</v>
      </c>
      <c r="N1056">
        <v>0</v>
      </c>
      <c r="O1056">
        <v>-0.81876280000000001</v>
      </c>
      <c r="P1056">
        <v>0.1868948</v>
      </c>
      <c r="Q1056">
        <v>0.1206092</v>
      </c>
      <c r="R1056">
        <v>-0.97494809999999998</v>
      </c>
      <c r="S1056">
        <v>0.27307130000000002</v>
      </c>
      <c r="T1056">
        <v>-0.17916689999999999</v>
      </c>
      <c r="U1056">
        <v>-3.0491030000000001</v>
      </c>
      <c r="V1056">
        <v>0.40854679999999999</v>
      </c>
      <c r="W1056">
        <v>0.1213602</v>
      </c>
      <c r="X1056">
        <v>0.90463320000000003</v>
      </c>
      <c r="Y1056">
        <v>0.4987819</v>
      </c>
      <c r="Z1056">
        <v>3.8884630000000003E-2</v>
      </c>
      <c r="AA1056">
        <v>0.86585489999999998</v>
      </c>
      <c r="AB1056">
        <v>21</v>
      </c>
      <c r="AC1056">
        <v>1.5612999999999799</v>
      </c>
      <c r="AD1056">
        <v>-1.1035814476520001</v>
      </c>
      <c r="AE1056">
        <v>-18.592500000000001</v>
      </c>
      <c r="AF1056">
        <v>9.3628028037305597</v>
      </c>
      <c r="AG1056">
        <v>-1.1035814476520001</v>
      </c>
      <c r="AH1056">
        <v>16.063423563529</v>
      </c>
      <c r="AI1056">
        <v>93.396806688530802</v>
      </c>
      <c r="AJ1056">
        <v>59.763599955942098</v>
      </c>
      <c r="AK1056">
        <v>18.6256152900913</v>
      </c>
      <c r="AL1056">
        <v>83.029389962634596</v>
      </c>
      <c r="AM1056">
        <v>65.695304793372799</v>
      </c>
      <c r="AN1056">
        <v>1.0000000062382599</v>
      </c>
    </row>
    <row r="1057" spans="1:40" x14ac:dyDescent="0.25">
      <c r="A1057" t="str">
        <f>"20190312164240304"</f>
        <v>20190312164240304</v>
      </c>
      <c r="B1057" t="str">
        <f>"1552380160294867"</f>
        <v>1552380160294867</v>
      </c>
      <c r="C1057" t="s">
        <v>40</v>
      </c>
      <c r="D1057">
        <v>5.1702029999999999</v>
      </c>
      <c r="E1057">
        <v>0.54401669999999902</v>
      </c>
      <c r="F1057" t="s">
        <v>42</v>
      </c>
      <c r="G1057">
        <v>-192.79910000000001</v>
      </c>
      <c r="H1057" s="1">
        <v>-4.6165349999999997E-6</v>
      </c>
      <c r="I1057">
        <v>339.09370000000001</v>
      </c>
      <c r="J1057">
        <v>-194.1</v>
      </c>
      <c r="K1057">
        <v>1.1034619999999999</v>
      </c>
      <c r="L1057">
        <v>356.90620000000001</v>
      </c>
      <c r="M1057">
        <v>0.55912569999999995</v>
      </c>
      <c r="N1057">
        <v>0</v>
      </c>
      <c r="O1057">
        <v>-0.82905010000000001</v>
      </c>
      <c r="P1057">
        <v>0.1769819</v>
      </c>
      <c r="Q1057">
        <v>0.11909550000000001</v>
      </c>
      <c r="R1057">
        <v>-0.97698229999999997</v>
      </c>
      <c r="S1057">
        <v>0.25198359999999997</v>
      </c>
      <c r="T1057">
        <v>-0.18576309999999999</v>
      </c>
      <c r="U1057">
        <v>-3.0517270000000001</v>
      </c>
      <c r="V1057">
        <v>0.40140049999999999</v>
      </c>
      <c r="W1057">
        <v>0.1197375</v>
      </c>
      <c r="X1057">
        <v>0.90804220000000002</v>
      </c>
      <c r="Y1057">
        <v>0.48903079999999999</v>
      </c>
      <c r="Z1057">
        <v>4.1368700000000001E-2</v>
      </c>
      <c r="AA1057">
        <v>0.87128499999999998</v>
      </c>
      <c r="AB1057">
        <v>22</v>
      </c>
      <c r="AC1057">
        <v>1.30089999999998</v>
      </c>
      <c r="AD1057">
        <v>-1.103466616535</v>
      </c>
      <c r="AE1057">
        <v>-17.8125</v>
      </c>
      <c r="AF1057">
        <v>8.8473834756018892</v>
      </c>
      <c r="AG1057">
        <v>-1.103466616535</v>
      </c>
      <c r="AH1057">
        <v>15.4363175418602</v>
      </c>
      <c r="AI1057">
        <v>93.548955696146095</v>
      </c>
      <c r="AJ1057">
        <v>60.180659284646602</v>
      </c>
      <c r="AK1057">
        <v>17.826209136866499</v>
      </c>
      <c r="AL1057">
        <v>83.123047026109006</v>
      </c>
      <c r="AM1057">
        <v>66.152151280045103</v>
      </c>
      <c r="AN1057">
        <v>1.0000000336436601</v>
      </c>
    </row>
    <row r="1058" spans="1:40" x14ac:dyDescent="0.25">
      <c r="A1058" t="str">
        <f>"20190312164240326"</f>
        <v>20190312164240326</v>
      </c>
      <c r="B1058" t="str">
        <f>"1552380160315363"</f>
        <v>1552380160315363</v>
      </c>
      <c r="C1058" t="s">
        <v>40</v>
      </c>
      <c r="D1058">
        <v>5.2820460000000002</v>
      </c>
      <c r="E1058">
        <v>0.54373499999999997</v>
      </c>
      <c r="F1058" t="s">
        <v>42</v>
      </c>
      <c r="G1058">
        <v>-192.8306</v>
      </c>
      <c r="H1058" s="1">
        <v>-4.7836110000000003E-6</v>
      </c>
      <c r="I1058">
        <v>339.56819999999999</v>
      </c>
      <c r="J1058">
        <v>-193.99189999999999</v>
      </c>
      <c r="K1058">
        <v>1.103394</v>
      </c>
      <c r="L1058">
        <v>356.72550000000001</v>
      </c>
      <c r="M1058">
        <v>0.55061850000000001</v>
      </c>
      <c r="N1058">
        <v>0</v>
      </c>
      <c r="O1058">
        <v>-0.83472519999999994</v>
      </c>
      <c r="P1058">
        <v>0.17262350000000001</v>
      </c>
      <c r="Q1058">
        <v>0.1182747</v>
      </c>
      <c r="R1058">
        <v>-0.97786119999999999</v>
      </c>
      <c r="S1058">
        <v>0.22358700000000001</v>
      </c>
      <c r="T1058">
        <v>-0.1943617</v>
      </c>
      <c r="U1058">
        <v>-3.0538639999999999</v>
      </c>
      <c r="V1058">
        <v>0.39620939999999999</v>
      </c>
      <c r="W1058">
        <v>0.1188844</v>
      </c>
      <c r="X1058">
        <v>0.91043099999999999</v>
      </c>
      <c r="Y1058">
        <v>0.48821609999999999</v>
      </c>
      <c r="Z1058">
        <v>4.3795300000000002E-2</v>
      </c>
      <c r="AA1058">
        <v>0.87162320000000004</v>
      </c>
      <c r="AB1058">
        <v>22</v>
      </c>
      <c r="AC1058">
        <v>1.16129999999998</v>
      </c>
      <c r="AD1058">
        <v>-1.103398783611</v>
      </c>
      <c r="AE1058">
        <v>-17.157299999999999</v>
      </c>
      <c r="AF1058">
        <v>8.4432246947715193</v>
      </c>
      <c r="AG1058">
        <v>-1.103398783611</v>
      </c>
      <c r="AH1058">
        <v>14.900117284942199</v>
      </c>
      <c r="AI1058">
        <v>93.686363226262799</v>
      </c>
      <c r="AJ1058">
        <v>60.461727402152498</v>
      </c>
      <c r="AK1058">
        <v>17.1615566667801</v>
      </c>
      <c r="AL1058">
        <v>83.172277465369206</v>
      </c>
      <c r="AM1058">
        <v>66.481862835663904</v>
      </c>
      <c r="AN1058">
        <v>0.99999999748636004</v>
      </c>
    </row>
    <row r="1059" spans="1:40" x14ac:dyDescent="0.25">
      <c r="A1059" t="str">
        <f>"20190312164240346"</f>
        <v>20190312164240346</v>
      </c>
      <c r="B1059" t="str">
        <f>"1552380160334885"</f>
        <v>1552380160334885</v>
      </c>
      <c r="C1059" t="s">
        <v>40</v>
      </c>
      <c r="D1059">
        <v>4.784376</v>
      </c>
      <c r="E1059">
        <v>0.54357169999999999</v>
      </c>
      <c r="F1059" t="s">
        <v>42</v>
      </c>
      <c r="G1059">
        <v>-192.79820000000001</v>
      </c>
      <c r="H1059" s="1">
        <v>-4.7598700000000004E-6</v>
      </c>
      <c r="I1059">
        <v>339.51530000000002</v>
      </c>
      <c r="J1059">
        <v>-193.8871</v>
      </c>
      <c r="K1059">
        <v>1.1033280000000001</v>
      </c>
      <c r="L1059">
        <v>356.54629999999997</v>
      </c>
      <c r="M1059">
        <v>0.54218959999999905</v>
      </c>
      <c r="N1059">
        <v>0</v>
      </c>
      <c r="O1059">
        <v>-0.84022529999999995</v>
      </c>
      <c r="P1059">
        <v>0.16775229999999999</v>
      </c>
      <c r="Q1059">
        <v>0.1181712</v>
      </c>
      <c r="R1059">
        <v>-0.97872110000000001</v>
      </c>
      <c r="S1059">
        <v>0.21183779999999999</v>
      </c>
      <c r="T1059">
        <v>-0.19581280000000001</v>
      </c>
      <c r="U1059">
        <v>-3.0541689999999999</v>
      </c>
      <c r="V1059">
        <v>0.39158999999999999</v>
      </c>
      <c r="W1059">
        <v>0.11874709999999999</v>
      </c>
      <c r="X1059">
        <v>0.91244530000000001</v>
      </c>
      <c r="Y1059">
        <v>0.48277019999999998</v>
      </c>
      <c r="Z1059">
        <v>4.4734790000000003E-2</v>
      </c>
      <c r="AA1059">
        <v>0.87460369999999998</v>
      </c>
      <c r="AB1059">
        <v>22</v>
      </c>
      <c r="AC1059">
        <v>1.08889999999999</v>
      </c>
      <c r="AD1059">
        <v>-1.10333275987</v>
      </c>
      <c r="AE1059">
        <v>-17.030999999999899</v>
      </c>
      <c r="AF1059">
        <v>8.2846967515659191</v>
      </c>
      <c r="AG1059">
        <v>-1.10333275987</v>
      </c>
      <c r="AH1059">
        <v>14.8386305938931</v>
      </c>
      <c r="AI1059">
        <v>93.714544709383205</v>
      </c>
      <c r="AJ1059">
        <v>60.824525349968397</v>
      </c>
      <c r="AK1059">
        <v>17.030516766863801</v>
      </c>
      <c r="AL1059">
        <v>83.180200409672494</v>
      </c>
      <c r="AM1059">
        <v>66.772661913697704</v>
      </c>
      <c r="AN1059">
        <v>1.00000001367525</v>
      </c>
    </row>
    <row r="1060" spans="1:40" x14ac:dyDescent="0.25">
      <c r="A1060" t="str">
        <f>"20190312164240367"</f>
        <v>20190312164240367</v>
      </c>
      <c r="B1060" t="str">
        <f>"1552380160355379"</f>
        <v>1552380160355379</v>
      </c>
      <c r="C1060" t="s">
        <v>40</v>
      </c>
      <c r="D1060">
        <v>4.799105</v>
      </c>
      <c r="E1060">
        <v>0.5431281</v>
      </c>
      <c r="F1060" t="s">
        <v>42</v>
      </c>
      <c r="G1060">
        <v>-192.7698</v>
      </c>
      <c r="H1060" s="1">
        <v>-4.6858720000000004E-6</v>
      </c>
      <c r="I1060">
        <v>339.31270000000001</v>
      </c>
      <c r="J1060">
        <v>-193.78280000000001</v>
      </c>
      <c r="K1060">
        <v>1.1032580000000001</v>
      </c>
      <c r="L1060">
        <v>356.3639</v>
      </c>
      <c r="M1060">
        <v>0.53361709999999996</v>
      </c>
      <c r="N1060">
        <v>0</v>
      </c>
      <c r="O1060">
        <v>-0.84569589999999994</v>
      </c>
      <c r="P1060">
        <v>0.1627519</v>
      </c>
      <c r="Q1060">
        <v>0.117488</v>
      </c>
      <c r="R1060">
        <v>-0.97964700000000005</v>
      </c>
      <c r="S1060">
        <v>0.19805909999999999</v>
      </c>
      <c r="T1060">
        <v>-0.19558</v>
      </c>
      <c r="U1060">
        <v>-3.0548709999999999</v>
      </c>
      <c r="V1060">
        <v>0.3870094</v>
      </c>
      <c r="W1060">
        <v>0.1180383</v>
      </c>
      <c r="X1060">
        <v>0.91448929999999995</v>
      </c>
      <c r="Y1060">
        <v>0.477802</v>
      </c>
      <c r="Z1060">
        <v>4.5276869999999997E-2</v>
      </c>
      <c r="AA1060">
        <v>0.87729999999999997</v>
      </c>
      <c r="AB1060">
        <v>22</v>
      </c>
      <c r="AC1060">
        <v>1.0129999999999999</v>
      </c>
      <c r="AD1060">
        <v>-1.103262685872</v>
      </c>
      <c r="AE1060">
        <v>-17.051199999999898</v>
      </c>
      <c r="AF1060">
        <v>8.2080910317516906</v>
      </c>
      <c r="AG1060">
        <v>-1.103262685872</v>
      </c>
      <c r="AH1060">
        <v>14.898912848139901</v>
      </c>
      <c r="AI1060">
        <v>93.710920776302999</v>
      </c>
      <c r="AJ1060">
        <v>61.1488052296747</v>
      </c>
      <c r="AK1060">
        <v>17.046042091817998</v>
      </c>
      <c r="AL1060">
        <v>83.221099198990103</v>
      </c>
      <c r="AM1060">
        <v>67.062049977174993</v>
      </c>
      <c r="AN1060">
        <v>0.99999999788486904</v>
      </c>
    </row>
    <row r="1061" spans="1:40" x14ac:dyDescent="0.25">
      <c r="A1061" t="str">
        <f>"20190312164240389"</f>
        <v>20190312164240389</v>
      </c>
      <c r="B1061" t="str">
        <f>"1552380160384659"</f>
        <v>1552380160384659</v>
      </c>
      <c r="C1061" t="s">
        <v>40</v>
      </c>
      <c r="D1061">
        <v>5.0532879999999896</v>
      </c>
      <c r="E1061">
        <v>0.54247179999999995</v>
      </c>
      <c r="F1061" t="s">
        <v>42</v>
      </c>
      <c r="G1061">
        <v>-192.738</v>
      </c>
      <c r="H1061" s="1">
        <v>-4.6458810000000004E-6</v>
      </c>
      <c r="I1061">
        <v>339.21170000000001</v>
      </c>
      <c r="J1061">
        <v>-193.67140000000001</v>
      </c>
      <c r="K1061">
        <v>1.103194</v>
      </c>
      <c r="L1061">
        <v>356.16419999999999</v>
      </c>
      <c r="M1061">
        <v>0.52424819999999905</v>
      </c>
      <c r="N1061">
        <v>0</v>
      </c>
      <c r="O1061">
        <v>-0.85153619999999997</v>
      </c>
      <c r="P1061">
        <v>0.1566882</v>
      </c>
      <c r="Q1061">
        <v>0.1170861</v>
      </c>
      <c r="R1061">
        <v>-0.98068330000000004</v>
      </c>
      <c r="S1061">
        <v>0.18608089999999999</v>
      </c>
      <c r="T1061">
        <v>-0.19650210000000001</v>
      </c>
      <c r="U1061">
        <v>-3.0549620000000002</v>
      </c>
      <c r="V1061">
        <v>0.38259660000000001</v>
      </c>
      <c r="W1061">
        <v>0.1176088</v>
      </c>
      <c r="X1061">
        <v>0.91639950000000003</v>
      </c>
      <c r="Y1061">
        <v>0.4715242</v>
      </c>
      <c r="Z1061">
        <v>4.615329E-2</v>
      </c>
      <c r="AA1061">
        <v>0.8806446</v>
      </c>
      <c r="AB1061">
        <v>22</v>
      </c>
      <c r="AC1061">
        <v>0.933400000000006</v>
      </c>
      <c r="AD1061">
        <v>-1.1031986458809999</v>
      </c>
      <c r="AE1061">
        <v>-16.952499999999901</v>
      </c>
      <c r="AF1061">
        <v>8.0586714701235707</v>
      </c>
      <c r="AG1061">
        <v>-1.1031986458809999</v>
      </c>
      <c r="AH1061">
        <v>14.862622261586599</v>
      </c>
      <c r="AI1061">
        <v>93.733359517985093</v>
      </c>
      <c r="AJ1061">
        <v>61.532981038258903</v>
      </c>
      <c r="AK1061">
        <v>16.942749883247</v>
      </c>
      <c r="AL1061">
        <v>83.245880470620406</v>
      </c>
      <c r="AM1061">
        <v>67.339473880582105</v>
      </c>
      <c r="AN1061">
        <v>1.0000000158846201</v>
      </c>
    </row>
    <row r="1062" spans="1:40" x14ac:dyDescent="0.25">
      <c r="A1062" t="str">
        <f>"20190312164240411"</f>
        <v>20190312164240411</v>
      </c>
      <c r="B1062" t="str">
        <f>"1552380160405155"</f>
        <v>1552380160405155</v>
      </c>
      <c r="C1062" t="s">
        <v>40</v>
      </c>
      <c r="D1062">
        <v>4.9161239999999999</v>
      </c>
      <c r="E1062">
        <v>0.54227930000000002</v>
      </c>
      <c r="F1062" t="s">
        <v>42</v>
      </c>
      <c r="G1062">
        <v>-192.7038</v>
      </c>
      <c r="H1062" s="1">
        <v>-4.592066E-6</v>
      </c>
      <c r="I1062">
        <v>339.07139999999998</v>
      </c>
      <c r="J1062">
        <v>-193.56549999999999</v>
      </c>
      <c r="K1062">
        <v>1.1031299999999999</v>
      </c>
      <c r="L1062">
        <v>355.96949999999998</v>
      </c>
      <c r="M1062">
        <v>0.51512089999999999</v>
      </c>
      <c r="N1062">
        <v>0</v>
      </c>
      <c r="O1062">
        <v>-0.85708850000000003</v>
      </c>
      <c r="P1062">
        <v>0.1509897</v>
      </c>
      <c r="Q1062">
        <v>0.1163563</v>
      </c>
      <c r="R1062">
        <v>-0.98166370000000003</v>
      </c>
      <c r="S1062">
        <v>0.17294309999999999</v>
      </c>
      <c r="T1062">
        <v>-0.19717680000000001</v>
      </c>
      <c r="U1062">
        <v>-3.0550229999999998</v>
      </c>
      <c r="V1062">
        <v>0.3781677</v>
      </c>
      <c r="W1062">
        <v>0.11686580000000001</v>
      </c>
      <c r="X1062">
        <v>0.91833089999999995</v>
      </c>
      <c r="Y1062">
        <v>0.46587269999999997</v>
      </c>
      <c r="Z1062">
        <v>4.6938220000000003E-2</v>
      </c>
      <c r="AA1062">
        <v>0.883606</v>
      </c>
      <c r="AB1062">
        <v>22</v>
      </c>
      <c r="AC1062">
        <v>0.86169999999998403</v>
      </c>
      <c r="AD1062">
        <v>-1.1031345920659901</v>
      </c>
      <c r="AE1062">
        <v>-16.898099999999999</v>
      </c>
      <c r="AF1062">
        <v>7.9324914348660798</v>
      </c>
      <c r="AG1062">
        <v>-1.1031345920659901</v>
      </c>
      <c r="AH1062">
        <v>14.864235891911701</v>
      </c>
      <c r="AI1062">
        <v>93.746036519095995</v>
      </c>
      <c r="AJ1062">
        <v>61.912813342839797</v>
      </c>
      <c r="AK1062">
        <v>16.884514649312099</v>
      </c>
      <c r="AL1062">
        <v>83.288746961505495</v>
      </c>
      <c r="AM1062">
        <v>67.618187382972494</v>
      </c>
      <c r="AN1062">
        <v>1.0000000332138601</v>
      </c>
    </row>
    <row r="1063" spans="1:40" x14ac:dyDescent="0.25">
      <c r="A1063" t="str">
        <f>"20190312164240434"</f>
        <v>20190312164240434</v>
      </c>
      <c r="B1063" t="str">
        <f>"1552380160424675"</f>
        <v>1552380160424675</v>
      </c>
      <c r="C1063" t="s">
        <v>40</v>
      </c>
      <c r="D1063">
        <v>4.7308139999999996</v>
      </c>
      <c r="E1063">
        <v>0.52781639999999996</v>
      </c>
      <c r="F1063" t="s">
        <v>42</v>
      </c>
      <c r="G1063">
        <v>-192.6969</v>
      </c>
      <c r="H1063" s="1">
        <v>-4.57789E-6</v>
      </c>
      <c r="I1063">
        <v>339.03339999999997</v>
      </c>
      <c r="J1063">
        <v>-193.45400000000001</v>
      </c>
      <c r="K1063">
        <v>1.1030599999999999</v>
      </c>
      <c r="L1063">
        <v>355.75940000000003</v>
      </c>
      <c r="M1063">
        <v>0.50528229999999996</v>
      </c>
      <c r="N1063">
        <v>0</v>
      </c>
      <c r="O1063">
        <v>-0.86292569999999902</v>
      </c>
      <c r="P1063">
        <v>0.14470050000000001</v>
      </c>
      <c r="Q1063">
        <v>0.11543390000000001</v>
      </c>
      <c r="R1063">
        <v>-0.98271900000000001</v>
      </c>
      <c r="S1063">
        <v>0.15670780000000001</v>
      </c>
      <c r="T1063">
        <v>-0.19902439999999999</v>
      </c>
      <c r="U1063">
        <v>-3.0555729999999999</v>
      </c>
      <c r="V1063">
        <v>0.3735889</v>
      </c>
      <c r="W1063">
        <v>0.1159356</v>
      </c>
      <c r="X1063">
        <v>0.92032069999999999</v>
      </c>
      <c r="Y1063">
        <v>0.46043580000000001</v>
      </c>
      <c r="Z1063">
        <v>4.802447E-2</v>
      </c>
      <c r="AA1063">
        <v>0.88639299999999999</v>
      </c>
      <c r="AB1063">
        <v>22</v>
      </c>
      <c r="AC1063">
        <v>0.75710000000000799</v>
      </c>
      <c r="AD1063">
        <v>-1.1030645778899999</v>
      </c>
      <c r="AE1063">
        <v>-16.725999999999999</v>
      </c>
      <c r="AF1063">
        <v>7.76452084195944</v>
      </c>
      <c r="AG1063">
        <v>-1.1030645778899999</v>
      </c>
      <c r="AH1063">
        <v>14.7521775312174</v>
      </c>
      <c r="AI1063">
        <v>93.785605419662801</v>
      </c>
      <c r="AJ1063">
        <v>62.240799790857103</v>
      </c>
      <c r="AK1063">
        <v>16.7072223089529</v>
      </c>
      <c r="AL1063">
        <v>83.3424077791569</v>
      </c>
      <c r="AM1063">
        <v>67.906124113739295</v>
      </c>
      <c r="AN1063">
        <v>0.99999996019952897</v>
      </c>
    </row>
    <row r="1064" spans="1:40" x14ac:dyDescent="0.25">
      <c r="A1064" t="str">
        <f>"20190312164240455"</f>
        <v>20190312164240455</v>
      </c>
      <c r="B1064" t="str">
        <f>"1552380160445171"</f>
        <v>1552380160445171</v>
      </c>
      <c r="C1064" t="s">
        <v>40</v>
      </c>
      <c r="D1064">
        <v>4.7145659999999996</v>
      </c>
      <c r="E1064">
        <v>0.52950680000000006</v>
      </c>
      <c r="F1064" t="s">
        <v>42</v>
      </c>
      <c r="G1064">
        <v>-192.28270000000001</v>
      </c>
      <c r="H1064" s="1">
        <v>-1.51709E-6</v>
      </c>
      <c r="I1064">
        <v>341.7097</v>
      </c>
      <c r="J1064">
        <v>-193.35069999999999</v>
      </c>
      <c r="K1064">
        <v>1.1030009999999999</v>
      </c>
      <c r="L1064">
        <v>355.55930000000001</v>
      </c>
      <c r="M1064">
        <v>0.49592809999999998</v>
      </c>
      <c r="N1064">
        <v>0</v>
      </c>
      <c r="O1064">
        <v>-0.86833579999999999</v>
      </c>
      <c r="P1064">
        <v>0.1378374</v>
      </c>
      <c r="Q1064">
        <v>0.11561829999999999</v>
      </c>
      <c r="R1064">
        <v>-0.9836838</v>
      </c>
      <c r="S1064">
        <v>0.25372309999999998</v>
      </c>
      <c r="T1064">
        <v>-0.23894270000000001</v>
      </c>
      <c r="U1064">
        <v>-3.0434269999999999</v>
      </c>
      <c r="V1064">
        <v>0.37006800000000001</v>
      </c>
      <c r="W1064">
        <v>0.11610570000000001</v>
      </c>
      <c r="X1064">
        <v>0.92172069999999995</v>
      </c>
      <c r="Y1064">
        <v>0.42217329999999997</v>
      </c>
      <c r="Z1064">
        <v>5.9182609999999997E-2</v>
      </c>
      <c r="AA1064">
        <v>0.90458119999999997</v>
      </c>
      <c r="AB1064">
        <v>22</v>
      </c>
      <c r="AC1064">
        <v>1.0679999999999801</v>
      </c>
      <c r="AD1064">
        <v>-1.10300251709</v>
      </c>
      <c r="AE1064">
        <v>-13.849600000000001</v>
      </c>
      <c r="AF1064">
        <v>5.9039406017357301</v>
      </c>
      <c r="AG1064">
        <v>-1.10300251709</v>
      </c>
      <c r="AH1064">
        <v>12.477384409903401</v>
      </c>
      <c r="AI1064">
        <v>94.568592369092798</v>
      </c>
      <c r="AJ1064">
        <v>64.677829416483505</v>
      </c>
      <c r="AK1064">
        <v>13.8476803434377</v>
      </c>
      <c r="AL1064">
        <v>83.332595457549402</v>
      </c>
      <c r="AM1064">
        <v>68.124692645677797</v>
      </c>
      <c r="AN1064">
        <v>0.99999995350248805</v>
      </c>
    </row>
    <row r="1065" spans="1:40" x14ac:dyDescent="0.25">
      <c r="A1065" t="str">
        <f>"20190312164240502"</f>
        <v>20190312164240502</v>
      </c>
      <c r="B1065" t="str">
        <f>"1552380160494947"</f>
        <v>1552380160494947</v>
      </c>
      <c r="C1065" t="s">
        <v>40</v>
      </c>
      <c r="D1065">
        <v>4.9217120000000003</v>
      </c>
      <c r="E1065">
        <v>0.52983559999999996</v>
      </c>
      <c r="F1065" t="s">
        <v>42</v>
      </c>
      <c r="G1065">
        <v>-192.23869999999999</v>
      </c>
      <c r="H1065" s="1">
        <v>-8.0231559999999997E-7</v>
      </c>
      <c r="I1065">
        <v>340.07080000000002</v>
      </c>
      <c r="J1065">
        <v>-193.1371</v>
      </c>
      <c r="K1065">
        <v>1.102887</v>
      </c>
      <c r="L1065">
        <v>355.12860000000001</v>
      </c>
      <c r="M1065">
        <v>0.47584749999999998</v>
      </c>
      <c r="N1065">
        <v>0</v>
      </c>
      <c r="O1065">
        <v>-0.87950110000000004</v>
      </c>
      <c r="P1065">
        <v>0.12337529999999999</v>
      </c>
      <c r="Q1065">
        <v>0.1158101</v>
      </c>
      <c r="R1065">
        <v>-0.98557939999999999</v>
      </c>
      <c r="S1065">
        <v>0.2185822</v>
      </c>
      <c r="T1065">
        <v>-0.21681829999999999</v>
      </c>
      <c r="U1065">
        <v>-3.0445859999999998</v>
      </c>
      <c r="V1065">
        <v>0.36242859999999899</v>
      </c>
      <c r="W1065">
        <v>0.1162937</v>
      </c>
      <c r="X1065">
        <v>0.92472770000000004</v>
      </c>
      <c r="Y1065">
        <v>0.4117209</v>
      </c>
      <c r="Z1065">
        <v>5.5064759999999997E-2</v>
      </c>
      <c r="AA1065">
        <v>0.90964480000000003</v>
      </c>
      <c r="AB1065">
        <v>23</v>
      </c>
      <c r="AC1065">
        <v>0.89840000000000897</v>
      </c>
      <c r="AD1065">
        <v>-1.1028878023155999</v>
      </c>
      <c r="AE1065">
        <v>-15.057799999999901</v>
      </c>
      <c r="AF1065">
        <v>6.3413242490744004</v>
      </c>
      <c r="AG1065">
        <v>-1.1028878023155999</v>
      </c>
      <c r="AH1065">
        <v>13.598482106223599</v>
      </c>
      <c r="AI1065">
        <v>94.203933966039003</v>
      </c>
      <c r="AJ1065">
        <v>64.999142046945195</v>
      </c>
      <c r="AK1065">
        <v>15.0448486309992</v>
      </c>
      <c r="AL1065">
        <v>83.3217508102111</v>
      </c>
      <c r="AM1065">
        <v>68.598293249323206</v>
      </c>
      <c r="AN1065">
        <v>1.0000000169524601</v>
      </c>
    </row>
    <row r="1066" spans="1:40" x14ac:dyDescent="0.25">
      <c r="A1066" t="str">
        <f>"20190312164240526"</f>
        <v>20190312164240526</v>
      </c>
      <c r="B1066" t="str">
        <f>"1552380160515443"</f>
        <v>1552380160515443</v>
      </c>
      <c r="C1066" t="s">
        <v>40</v>
      </c>
      <c r="D1066">
        <v>5.1004699999999996</v>
      </c>
      <c r="E1066">
        <v>0.52936589999999994</v>
      </c>
      <c r="F1066" t="s">
        <v>42</v>
      </c>
      <c r="G1066">
        <v>-192.24950000000001</v>
      </c>
      <c r="H1066" s="1">
        <v>-4.6293680000000001E-6</v>
      </c>
      <c r="I1066">
        <v>339.4178</v>
      </c>
      <c r="J1066">
        <v>-193.03309999999999</v>
      </c>
      <c r="K1066">
        <v>1.1028340000000001</v>
      </c>
      <c r="L1066">
        <v>354.90910000000002</v>
      </c>
      <c r="M1066">
        <v>0.46566020000000002</v>
      </c>
      <c r="N1066">
        <v>0</v>
      </c>
      <c r="O1066">
        <v>-0.88493699999999997</v>
      </c>
      <c r="P1066">
        <v>0.1163902</v>
      </c>
      <c r="Q1066">
        <v>0.11637210000000001</v>
      </c>
      <c r="R1066">
        <v>-0.98636259999999998</v>
      </c>
      <c r="S1066">
        <v>0.17216489999999901</v>
      </c>
      <c r="T1066">
        <v>-0.21393319999999999</v>
      </c>
      <c r="U1066">
        <v>-3.047485</v>
      </c>
      <c r="V1066">
        <v>0.3582864</v>
      </c>
      <c r="W1066">
        <v>0.116871</v>
      </c>
      <c r="X1066">
        <v>0.92626779999999997</v>
      </c>
      <c r="Y1066">
        <v>0.41505500000000001</v>
      </c>
      <c r="Z1066">
        <v>5.480728E-2</v>
      </c>
      <c r="AA1066">
        <v>0.90814399999999995</v>
      </c>
      <c r="AB1066">
        <v>23</v>
      </c>
      <c r="AC1066">
        <v>0.78359999999997798</v>
      </c>
      <c r="AD1066">
        <v>-1.1028386293679999</v>
      </c>
      <c r="AE1066">
        <v>-15.491300000000001</v>
      </c>
      <c r="AF1066">
        <v>6.4876025943932198</v>
      </c>
      <c r="AG1066">
        <v>-1.1028386293679999</v>
      </c>
      <c r="AH1066">
        <v>14.0032579354907</v>
      </c>
      <c r="AI1066">
        <v>94.087371888938605</v>
      </c>
      <c r="AJ1066">
        <v>65.1420703546667</v>
      </c>
      <c r="AK1066">
        <v>15.472442382283599</v>
      </c>
      <c r="AL1066">
        <v>83.288446785530695</v>
      </c>
      <c r="AM1066">
        <v>68.853206032587806</v>
      </c>
      <c r="AN1066">
        <v>1.0000000061913901</v>
      </c>
    </row>
    <row r="1067" spans="1:40" x14ac:dyDescent="0.25">
      <c r="A1067" t="str">
        <f>"20190312164240547"</f>
        <v>20190312164240547</v>
      </c>
      <c r="B1067" t="str">
        <f>"1552380160534964"</f>
        <v>1552380160534964</v>
      </c>
      <c r="C1067" t="s">
        <v>40</v>
      </c>
      <c r="D1067">
        <v>4.855505</v>
      </c>
      <c r="E1067">
        <v>0.52880609999999995</v>
      </c>
      <c r="F1067" t="s">
        <v>42</v>
      </c>
      <c r="G1067">
        <v>-192.21170000000001</v>
      </c>
      <c r="H1067" s="1">
        <v>-4.3464270000000001E-6</v>
      </c>
      <c r="I1067">
        <v>338.60610000000003</v>
      </c>
      <c r="J1067">
        <v>-192.9385</v>
      </c>
      <c r="K1067">
        <v>1.102792</v>
      </c>
      <c r="L1067">
        <v>354.70429999999999</v>
      </c>
      <c r="M1067">
        <v>0.45616329999999999</v>
      </c>
      <c r="N1067">
        <v>0</v>
      </c>
      <c r="O1067">
        <v>-0.88987000000000005</v>
      </c>
      <c r="P1067">
        <v>0.1092684</v>
      </c>
      <c r="Q1067">
        <v>0.1171557</v>
      </c>
      <c r="R1067">
        <v>-0.98708439999999997</v>
      </c>
      <c r="S1067">
        <v>0.1535492</v>
      </c>
      <c r="T1067">
        <v>-0.20616570000000001</v>
      </c>
      <c r="U1067">
        <v>-3.0476990000000002</v>
      </c>
      <c r="V1067">
        <v>0.35503689999999999</v>
      </c>
      <c r="W1067">
        <v>0.1176613</v>
      </c>
      <c r="X1067">
        <v>0.92741819999999997</v>
      </c>
      <c r="Y1067">
        <v>0.41084979999999899</v>
      </c>
      <c r="Z1067">
        <v>5.3384840000000003E-2</v>
      </c>
      <c r="AA1067">
        <v>0.91013869999999997</v>
      </c>
      <c r="AB1067">
        <v>23</v>
      </c>
      <c r="AC1067">
        <v>0.726799999999997</v>
      </c>
      <c r="AD1067">
        <v>-1.1027963464270001</v>
      </c>
      <c r="AE1067">
        <v>-16.098199999999899</v>
      </c>
      <c r="AF1067">
        <v>6.66558904702981</v>
      </c>
      <c r="AG1067">
        <v>-1.1027963464270001</v>
      </c>
      <c r="AH1067">
        <v>14.5888610044572</v>
      </c>
      <c r="AI1067">
        <v>93.933187971571698</v>
      </c>
      <c r="AJ1067">
        <v>65.444539154185506</v>
      </c>
      <c r="AK1067">
        <v>16.077347496802702</v>
      </c>
      <c r="AL1067">
        <v>83.242850962438098</v>
      </c>
      <c r="AM1067">
        <v>69.052011038782894</v>
      </c>
      <c r="AN1067">
        <v>0.99999994978526796</v>
      </c>
    </row>
    <row r="1068" spans="1:40" x14ac:dyDescent="0.25">
      <c r="A1068" t="str">
        <f>"20190312164240569"</f>
        <v>20190312164240569</v>
      </c>
      <c r="B1068" t="str">
        <f>"1552380160565219"</f>
        <v>1552380160565219</v>
      </c>
      <c r="C1068" t="s">
        <v>40</v>
      </c>
      <c r="D1068">
        <v>4.8536219999999997</v>
      </c>
      <c r="E1068">
        <v>0.52819519999999998</v>
      </c>
      <c r="F1068" t="s">
        <v>42</v>
      </c>
      <c r="G1068">
        <v>-192.18969999999999</v>
      </c>
      <c r="H1068" s="1">
        <v>-4.1168519999999999E-6</v>
      </c>
      <c r="I1068">
        <v>337.94299999999998</v>
      </c>
      <c r="J1068">
        <v>-192.84610000000001</v>
      </c>
      <c r="K1068">
        <v>1.102749</v>
      </c>
      <c r="L1068">
        <v>354.4982</v>
      </c>
      <c r="M1068">
        <v>0.44663399999999998</v>
      </c>
      <c r="N1068">
        <v>0</v>
      </c>
      <c r="O1068">
        <v>-0.89469089999999996</v>
      </c>
      <c r="P1068">
        <v>0.1025703</v>
      </c>
      <c r="Q1068">
        <v>0.11659460000000001</v>
      </c>
      <c r="R1068">
        <v>-0.98786929999999995</v>
      </c>
      <c r="S1068">
        <v>0.1361694</v>
      </c>
      <c r="T1068">
        <v>-0.2005372</v>
      </c>
      <c r="U1068">
        <v>-3.0479430000000001</v>
      </c>
      <c r="V1068">
        <v>0.3514506</v>
      </c>
      <c r="W1068">
        <v>0.1171191</v>
      </c>
      <c r="X1068">
        <v>0.92885180000000001</v>
      </c>
      <c r="Y1068">
        <v>0.40629150000000003</v>
      </c>
      <c r="Z1068">
        <v>5.2469830000000002E-2</v>
      </c>
      <c r="AA1068">
        <v>0.91223580000000004</v>
      </c>
      <c r="AB1068">
        <v>23</v>
      </c>
      <c r="AC1068">
        <v>0.65640000000001897</v>
      </c>
      <c r="AD1068">
        <v>-1.1027531168519999</v>
      </c>
      <c r="AE1068">
        <v>-16.5551999999999</v>
      </c>
      <c r="AF1068">
        <v>6.7769754241661504</v>
      </c>
      <c r="AG1068">
        <v>-1.1027531168519999</v>
      </c>
      <c r="AH1068">
        <v>15.038685110558999</v>
      </c>
      <c r="AI1068">
        <v>93.824717144122502</v>
      </c>
      <c r="AJ1068">
        <v>65.741950282458603</v>
      </c>
      <c r="AK1068">
        <v>16.531954215731002</v>
      </c>
      <c r="AL1068">
        <v>83.274133614324299</v>
      </c>
      <c r="AM1068">
        <v>69.274810099435996</v>
      </c>
      <c r="AN1068">
        <v>1.0000000370941999</v>
      </c>
    </row>
    <row r="1069" spans="1:40" x14ac:dyDescent="0.25">
      <c r="A1069" t="str">
        <f>"20190312164240591"</f>
        <v>20190312164240591</v>
      </c>
      <c r="B1069" t="str">
        <f>"1552380160584739"</f>
        <v>1552380160584739</v>
      </c>
      <c r="C1069" t="s">
        <v>40</v>
      </c>
      <c r="D1069">
        <v>5.1356909999999996</v>
      </c>
      <c r="E1069">
        <v>0.52875069999999902</v>
      </c>
      <c r="F1069" t="s">
        <v>42</v>
      </c>
      <c r="G1069">
        <v>-192.17250000000001</v>
      </c>
      <c r="H1069" s="1">
        <v>-3.9722410000000003E-6</v>
      </c>
      <c r="I1069">
        <v>337.52699999999999</v>
      </c>
      <c r="J1069">
        <v>-192.751</v>
      </c>
      <c r="K1069">
        <v>1.1026990000000001</v>
      </c>
      <c r="L1069">
        <v>354.28019999999998</v>
      </c>
      <c r="M1069">
        <v>0.43657119999999999</v>
      </c>
      <c r="N1069">
        <v>0</v>
      </c>
      <c r="O1069">
        <v>-0.899644</v>
      </c>
      <c r="P1069">
        <v>9.5288090000000006E-2</v>
      </c>
      <c r="Q1069">
        <v>0.11656999999999999</v>
      </c>
      <c r="R1069">
        <v>-0.98860110000000001</v>
      </c>
      <c r="S1069">
        <v>0.1209717</v>
      </c>
      <c r="T1069">
        <v>-0.19803290000000001</v>
      </c>
      <c r="U1069">
        <v>-3.0476990000000002</v>
      </c>
      <c r="V1069">
        <v>0.34788540000000001</v>
      </c>
      <c r="W1069">
        <v>0.11711390000000001</v>
      </c>
      <c r="X1069">
        <v>0.93019359999999995</v>
      </c>
      <c r="Y1069">
        <v>0.40057540000000003</v>
      </c>
      <c r="Z1069">
        <v>5.2383409999999998E-2</v>
      </c>
      <c r="AA1069">
        <v>0.91476519999999995</v>
      </c>
      <c r="AB1069">
        <v>23</v>
      </c>
      <c r="AC1069">
        <v>0.57849999999996204</v>
      </c>
      <c r="AD1069">
        <v>-1.10270297224099</v>
      </c>
      <c r="AE1069">
        <v>-16.7531999999999</v>
      </c>
      <c r="AF1069">
        <v>6.7644069728033704</v>
      </c>
      <c r="AG1069">
        <v>-1.10270297224099</v>
      </c>
      <c r="AH1069">
        <v>15.2587993447494</v>
      </c>
      <c r="AI1069">
        <v>93.779803193100904</v>
      </c>
      <c r="AJ1069">
        <v>66.091721422232993</v>
      </c>
      <c r="AK1069">
        <v>16.727346262393901</v>
      </c>
      <c r="AL1069">
        <v>83.274433537197694</v>
      </c>
      <c r="AM1069">
        <v>69.494581810014097</v>
      </c>
      <c r="AN1069">
        <v>1.0000000252936601</v>
      </c>
    </row>
    <row r="1070" spans="1:40" x14ac:dyDescent="0.25">
      <c r="A1070" t="str">
        <f>"20190312164240613"</f>
        <v>20190312164240613</v>
      </c>
      <c r="B1070" t="str">
        <f>"1552380160605235"</f>
        <v>1552380160605235</v>
      </c>
      <c r="C1070" t="s">
        <v>40</v>
      </c>
      <c r="D1070">
        <v>4.6771399999999996</v>
      </c>
      <c r="E1070">
        <v>0.54404370000000002</v>
      </c>
      <c r="F1070" t="s">
        <v>42</v>
      </c>
      <c r="G1070">
        <v>-192.22329999999999</v>
      </c>
      <c r="H1070" s="1">
        <v>-3.832747E-6</v>
      </c>
      <c r="I1070">
        <v>337.14440000000002</v>
      </c>
      <c r="J1070">
        <v>-192.65979999999999</v>
      </c>
      <c r="K1070">
        <v>1.1026530000000001</v>
      </c>
      <c r="L1070">
        <v>354.06459999999998</v>
      </c>
      <c r="M1070">
        <v>0.42665199999999998</v>
      </c>
      <c r="N1070">
        <v>0</v>
      </c>
      <c r="O1070">
        <v>-0.90439049999999999</v>
      </c>
      <c r="P1070">
        <v>8.8336590000000006E-2</v>
      </c>
      <c r="Q1070">
        <v>0.1167859</v>
      </c>
      <c r="R1070">
        <v>-0.98922109999999996</v>
      </c>
      <c r="S1070">
        <v>9.3902589999999994E-2</v>
      </c>
      <c r="T1070">
        <v>-0.19618769999999999</v>
      </c>
      <c r="U1070">
        <v>-3.0487060000000001</v>
      </c>
      <c r="V1070">
        <v>0.34419470000000002</v>
      </c>
      <c r="W1070">
        <v>0.1173559</v>
      </c>
      <c r="X1070">
        <v>0.93153509999999995</v>
      </c>
      <c r="Y1070">
        <v>0.39862429999999999</v>
      </c>
      <c r="Z1070">
        <v>5.2364140000000003E-2</v>
      </c>
      <c r="AA1070">
        <v>0.91561820000000005</v>
      </c>
      <c r="AB1070">
        <v>23</v>
      </c>
      <c r="AC1070">
        <v>0.436499999999995</v>
      </c>
      <c r="AD1070">
        <v>-1.1026568327470001</v>
      </c>
      <c r="AE1070">
        <v>-16.920199999999902</v>
      </c>
      <c r="AF1070">
        <v>6.7955864892664497</v>
      </c>
      <c r="AG1070">
        <v>-1.1026568327470001</v>
      </c>
      <c r="AH1070">
        <v>15.4235985963458</v>
      </c>
      <c r="AI1070">
        <v>93.743120823426594</v>
      </c>
      <c r="AJ1070">
        <v>66.221869199398498</v>
      </c>
      <c r="AK1070">
        <v>16.890329821679199</v>
      </c>
      <c r="AL1070">
        <v>83.260471649465998</v>
      </c>
      <c r="AM1070">
        <v>69.721135578124901</v>
      </c>
      <c r="AN1070">
        <v>1.00000002065245</v>
      </c>
    </row>
    <row r="1071" spans="1:40" x14ac:dyDescent="0.25">
      <c r="A1071" t="str">
        <f>"20190312164240635"</f>
        <v>20190312164240635</v>
      </c>
      <c r="B1071" t="str">
        <f>"1552380160624755"</f>
        <v>1552380160624755</v>
      </c>
      <c r="C1071" t="s">
        <v>40</v>
      </c>
      <c r="D1071">
        <v>4.6774789999999999</v>
      </c>
      <c r="E1071">
        <v>0.54297050000000002</v>
      </c>
      <c r="F1071" t="s">
        <v>42</v>
      </c>
      <c r="G1071">
        <v>-193.04409999999999</v>
      </c>
      <c r="H1071" s="1">
        <v>-1.6479600000000001E-6</v>
      </c>
      <c r="I1071">
        <v>331.54250000000002</v>
      </c>
      <c r="J1071">
        <v>-192.56899999999999</v>
      </c>
      <c r="K1071">
        <v>1.102603</v>
      </c>
      <c r="L1071">
        <v>353.84339999999997</v>
      </c>
      <c r="M1071">
        <v>0.41649229999999998</v>
      </c>
      <c r="N1071">
        <v>0</v>
      </c>
      <c r="O1071">
        <v>-0.90911379999999997</v>
      </c>
      <c r="P1071">
        <v>8.0620990000000003E-2</v>
      </c>
      <c r="Q1071">
        <v>0.1167835</v>
      </c>
      <c r="R1071">
        <v>-0.98988010000000004</v>
      </c>
      <c r="S1071">
        <v>-5.212402E-2</v>
      </c>
      <c r="T1071">
        <v>-0.1495687</v>
      </c>
      <c r="U1071">
        <v>-3.0549930000000001</v>
      </c>
      <c r="V1071">
        <v>0.34102870000000002</v>
      </c>
      <c r="W1071">
        <v>0.1173748</v>
      </c>
      <c r="X1071">
        <v>0.93269639999999998</v>
      </c>
      <c r="Y1071">
        <v>0.43191030000000002</v>
      </c>
      <c r="Z1071">
        <v>3.9828330000000002E-2</v>
      </c>
      <c r="AA1071">
        <v>0.90103670000000002</v>
      </c>
      <c r="AB1071">
        <v>23</v>
      </c>
      <c r="AC1071">
        <v>-0.47509999999996899</v>
      </c>
      <c r="AD1071">
        <v>-1.10260464796</v>
      </c>
      <c r="AE1071">
        <v>-22.300899999999899</v>
      </c>
      <c r="AF1071">
        <v>9.6966050849785592</v>
      </c>
      <c r="AG1071">
        <v>-1.10260464796</v>
      </c>
      <c r="AH1071">
        <v>20.027708789157501</v>
      </c>
      <c r="AI1071">
        <v>92.836784352940398</v>
      </c>
      <c r="AJ1071">
        <v>64.165615041098604</v>
      </c>
      <c r="AK1071">
        <v>22.278891501307498</v>
      </c>
      <c r="AL1071">
        <v>83.259381057760095</v>
      </c>
      <c r="AM1071">
        <v>69.915696849673097</v>
      </c>
      <c r="AN1071">
        <v>0.99999999623584501</v>
      </c>
    </row>
    <row r="1072" spans="1:40" x14ac:dyDescent="0.25">
      <c r="A1072" t="str">
        <f>"20190312164240658"</f>
        <v>20190312164240658</v>
      </c>
      <c r="B1072" t="str">
        <f>"1552380160655012"</f>
        <v>1552380160655012</v>
      </c>
      <c r="C1072" t="s">
        <v>40</v>
      </c>
      <c r="D1072">
        <v>4.9721010000000003</v>
      </c>
      <c r="E1072">
        <v>0.54170289999999999</v>
      </c>
      <c r="F1072" t="s">
        <v>42</v>
      </c>
      <c r="G1072">
        <v>-193.05779999999999</v>
      </c>
      <c r="H1072" s="1">
        <v>-1.6536949999999901E-6</v>
      </c>
      <c r="I1072">
        <v>331.54739999999998</v>
      </c>
      <c r="J1072">
        <v>-192.47739999999999</v>
      </c>
      <c r="K1072">
        <v>1.102555</v>
      </c>
      <c r="L1072">
        <v>353.61320000000001</v>
      </c>
      <c r="M1072">
        <v>0.4059528</v>
      </c>
      <c r="N1072">
        <v>0</v>
      </c>
      <c r="O1072">
        <v>-0.91386869999999998</v>
      </c>
      <c r="P1072">
        <v>7.3338070000000005E-2</v>
      </c>
      <c r="Q1072">
        <v>0.1171119</v>
      </c>
      <c r="R1072">
        <v>-0.99040720000000004</v>
      </c>
      <c r="S1072">
        <v>-6.6955570000000006E-2</v>
      </c>
      <c r="T1072">
        <v>-0.15102579999999999</v>
      </c>
      <c r="U1072">
        <v>-3.053925</v>
      </c>
      <c r="V1072">
        <v>0.33710069999999998</v>
      </c>
      <c r="W1072">
        <v>0.1177475</v>
      </c>
      <c r="X1072">
        <v>0.93407640000000003</v>
      </c>
      <c r="Y1072">
        <v>0.42585200000000001</v>
      </c>
      <c r="Z1072">
        <v>4.0649150000000002E-2</v>
      </c>
      <c r="AA1072">
        <v>0.90387930000000005</v>
      </c>
      <c r="AB1072">
        <v>23</v>
      </c>
      <c r="AC1072">
        <v>-0.58039999999999703</v>
      </c>
      <c r="AD1072">
        <v>-1.102556653695</v>
      </c>
      <c r="AE1072">
        <v>-22.065799999999999</v>
      </c>
      <c r="AF1072">
        <v>9.4646885162899004</v>
      </c>
      <c r="AG1072">
        <v>-1.102556653695</v>
      </c>
      <c r="AH1072">
        <v>19.880489717027601</v>
      </c>
      <c r="AI1072">
        <v>92.866640874735396</v>
      </c>
      <c r="AJ1072">
        <v>64.541850265406794</v>
      </c>
      <c r="AK1072">
        <v>22.046084261696802</v>
      </c>
      <c r="AL1072">
        <v>83.237878095598603</v>
      </c>
      <c r="AM1072">
        <v>70.155892332705093</v>
      </c>
      <c r="AN1072">
        <v>1.0000000383668399</v>
      </c>
    </row>
    <row r="1073" spans="1:40" x14ac:dyDescent="0.25">
      <c r="A1073" t="str">
        <f>"20190312164240680"</f>
        <v>20190312164240680</v>
      </c>
      <c r="B1073" t="str">
        <f>"1552380160675507"</f>
        <v>1552380160675507</v>
      </c>
      <c r="C1073" t="s">
        <v>40</v>
      </c>
      <c r="D1073">
        <v>4.6751940000000003</v>
      </c>
      <c r="E1073">
        <v>0.54078230000000005</v>
      </c>
      <c r="F1073" t="s">
        <v>42</v>
      </c>
      <c r="G1073">
        <v>-193.05</v>
      </c>
      <c r="H1073" s="1">
        <v>-1.604435E-6</v>
      </c>
      <c r="I1073">
        <v>331.43740000000003</v>
      </c>
      <c r="J1073">
        <v>-192.3913</v>
      </c>
      <c r="K1073">
        <v>1.1025100000000001</v>
      </c>
      <c r="L1073">
        <v>353.38959999999997</v>
      </c>
      <c r="M1073">
        <v>0.39574120000000002</v>
      </c>
      <c r="N1073">
        <v>0</v>
      </c>
      <c r="O1073">
        <v>-0.91833670000000001</v>
      </c>
      <c r="P1073">
        <v>6.6018399999999894E-2</v>
      </c>
      <c r="Q1073">
        <v>0.1171436</v>
      </c>
      <c r="R1073">
        <v>-0.99091859999999998</v>
      </c>
      <c r="S1073">
        <v>-7.8826899999999894E-2</v>
      </c>
      <c r="T1073">
        <v>-0.1517831</v>
      </c>
      <c r="U1073">
        <v>-3.052826</v>
      </c>
      <c r="V1073">
        <v>0.33359640000000002</v>
      </c>
      <c r="W1073">
        <v>0.1178252</v>
      </c>
      <c r="X1073">
        <v>0.93532380000000004</v>
      </c>
      <c r="Y1073">
        <v>0.41927639999999999</v>
      </c>
      <c r="Z1073">
        <v>4.1273169999999998E-2</v>
      </c>
      <c r="AA1073">
        <v>0.90691999999999995</v>
      </c>
      <c r="AB1073">
        <v>23</v>
      </c>
      <c r="AC1073">
        <v>-0.65870000000001006</v>
      </c>
      <c r="AD1073">
        <v>-1.1025116044350001</v>
      </c>
      <c r="AE1073">
        <v>-21.952199999999898</v>
      </c>
      <c r="AF1073">
        <v>9.2691556245491604</v>
      </c>
      <c r="AG1073">
        <v>-1.1025116044350001</v>
      </c>
      <c r="AH1073">
        <v>19.849277566184199</v>
      </c>
      <c r="AI1073">
        <v>92.881105471198396</v>
      </c>
      <c r="AJ1073">
        <v>64.968508347595204</v>
      </c>
      <c r="AK1073">
        <v>21.934598189377599</v>
      </c>
      <c r="AL1073">
        <v>83.233394564721706</v>
      </c>
      <c r="AM1073">
        <v>70.3705085257657</v>
      </c>
      <c r="AN1073">
        <v>0.99999997334721902</v>
      </c>
    </row>
    <row r="1074" spans="1:40" x14ac:dyDescent="0.25">
      <c r="A1074" t="str">
        <f>"20190312164240703"</f>
        <v>20190312164240703</v>
      </c>
      <c r="B1074" t="str">
        <f>"1552380160695028"</f>
        <v>1552380160695028</v>
      </c>
      <c r="C1074" t="s">
        <v>40</v>
      </c>
      <c r="D1074">
        <v>5.2523279999999897</v>
      </c>
      <c r="E1074">
        <v>0.53968289999999997</v>
      </c>
      <c r="F1074" t="s">
        <v>42</v>
      </c>
      <c r="G1074">
        <v>-193.06440000000001</v>
      </c>
      <c r="H1074" s="1">
        <v>-1.6780569999999999E-6</v>
      </c>
      <c r="I1074">
        <v>331.6001</v>
      </c>
      <c r="J1074">
        <v>-192.30600000000001</v>
      </c>
      <c r="K1074">
        <v>1.102473</v>
      </c>
      <c r="L1074">
        <v>353.16019999999997</v>
      </c>
      <c r="M1074">
        <v>0.38530209999999998</v>
      </c>
      <c r="N1074">
        <v>0</v>
      </c>
      <c r="O1074">
        <v>-0.92276539999999996</v>
      </c>
      <c r="P1074">
        <v>5.9106319999999997E-2</v>
      </c>
      <c r="Q1074">
        <v>0.11764479999999999</v>
      </c>
      <c r="R1074">
        <v>-0.99129520000000004</v>
      </c>
      <c r="S1074">
        <v>-9.4284060000000003E-2</v>
      </c>
      <c r="T1074">
        <v>-0.1544275</v>
      </c>
      <c r="U1074">
        <v>-3.0520320000000001</v>
      </c>
      <c r="V1074">
        <v>0.32950390000000002</v>
      </c>
      <c r="W1074">
        <v>0.1183905</v>
      </c>
      <c r="X1074">
        <v>0.93670209999999998</v>
      </c>
      <c r="Y1074">
        <v>0.41356779999999999</v>
      </c>
      <c r="Z1074">
        <v>4.23988E-2</v>
      </c>
      <c r="AA1074">
        <v>0.90948560000000001</v>
      </c>
      <c r="AB1074">
        <v>24</v>
      </c>
      <c r="AC1074">
        <v>-0.75840000000002294</v>
      </c>
      <c r="AD1074">
        <v>-1.1024746780570001</v>
      </c>
      <c r="AE1074">
        <v>-21.560099999999899</v>
      </c>
      <c r="AF1074">
        <v>8.9837241798371998</v>
      </c>
      <c r="AG1074">
        <v>-1.1024746780570001</v>
      </c>
      <c r="AH1074">
        <v>19.552093780053699</v>
      </c>
      <c r="AI1074">
        <v>92.933087775730797</v>
      </c>
      <c r="AJ1074">
        <v>65.322338986362396</v>
      </c>
      <c r="AK1074">
        <v>21.545466384814301</v>
      </c>
      <c r="AL1074">
        <v>83.200776988744806</v>
      </c>
      <c r="AM1074">
        <v>70.619646549853599</v>
      </c>
      <c r="AN1074">
        <v>0.99999997737493396</v>
      </c>
    </row>
    <row r="1075" spans="1:40" x14ac:dyDescent="0.25">
      <c r="A1075" t="str">
        <f>"20190312164240726"</f>
        <v>20190312164240726</v>
      </c>
      <c r="B1075" t="str">
        <f>"1552380160715523"</f>
        <v>1552380160715523</v>
      </c>
      <c r="C1075" t="s">
        <v>40</v>
      </c>
      <c r="D1075">
        <v>5.0918580000000002</v>
      </c>
      <c r="E1075">
        <v>0.53279779999999999</v>
      </c>
      <c r="F1075" t="s">
        <v>42</v>
      </c>
      <c r="G1075">
        <v>-193.08109999999999</v>
      </c>
      <c r="H1075" s="1">
        <v>-1.434164E-6</v>
      </c>
      <c r="I1075">
        <v>331.02120000000002</v>
      </c>
      <c r="J1075">
        <v>-192.22120000000001</v>
      </c>
      <c r="K1075">
        <v>1.102441</v>
      </c>
      <c r="L1075">
        <v>352.92380000000003</v>
      </c>
      <c r="M1075">
        <v>0.37458010000000003</v>
      </c>
      <c r="N1075">
        <v>0</v>
      </c>
      <c r="O1075">
        <v>-0.92716929999999997</v>
      </c>
      <c r="P1075">
        <v>5.2466520000000003E-2</v>
      </c>
      <c r="Q1075">
        <v>0.117718</v>
      </c>
      <c r="R1075">
        <v>-0.99166049999999994</v>
      </c>
      <c r="S1075">
        <v>-0.1068115</v>
      </c>
      <c r="T1075">
        <v>-0.15192410000000001</v>
      </c>
      <c r="U1075">
        <v>-3.0508120000000001</v>
      </c>
      <c r="V1075">
        <v>0.32492149999999997</v>
      </c>
      <c r="W1075">
        <v>0.1185411</v>
      </c>
      <c r="X1075">
        <v>0.93828250000000002</v>
      </c>
      <c r="Y1075">
        <v>0.40674729999999998</v>
      </c>
      <c r="Z1075">
        <v>4.2131109999999999E-2</v>
      </c>
      <c r="AA1075">
        <v>0.91256870000000001</v>
      </c>
      <c r="AB1075">
        <v>24</v>
      </c>
      <c r="AC1075">
        <v>-0.85989999999998101</v>
      </c>
      <c r="AD1075">
        <v>-1.102442434164</v>
      </c>
      <c r="AE1075">
        <v>-21.9026</v>
      </c>
      <c r="AF1075">
        <v>8.9790484051244199</v>
      </c>
      <c r="AG1075">
        <v>-1.102442434164</v>
      </c>
      <c r="AH1075">
        <v>19.935356483454701</v>
      </c>
      <c r="AI1075">
        <v>92.886542748721197</v>
      </c>
      <c r="AJ1075">
        <v>65.752807162917193</v>
      </c>
      <c r="AK1075">
        <v>21.8919420724757</v>
      </c>
      <c r="AL1075">
        <v>83.192087285400902</v>
      </c>
      <c r="AM1075">
        <v>70.899342786486898</v>
      </c>
      <c r="AN1075">
        <v>1.0000000116788501</v>
      </c>
    </row>
    <row r="1076" spans="1:40" x14ac:dyDescent="0.25">
      <c r="A1076" t="str">
        <f>"20190312164240748"</f>
        <v>20190312164240748</v>
      </c>
      <c r="B1076" t="str">
        <f>"1552380160744803"</f>
        <v>1552380160744803</v>
      </c>
      <c r="C1076" t="s">
        <v>40</v>
      </c>
      <c r="D1076">
        <v>4.8114359999999996</v>
      </c>
      <c r="E1076">
        <v>0.53266159999999996</v>
      </c>
      <c r="F1076" t="s">
        <v>42</v>
      </c>
      <c r="G1076">
        <v>-192.74080000000001</v>
      </c>
      <c r="H1076" s="1">
        <v>-1.337219E-6</v>
      </c>
      <c r="I1076">
        <v>331.00630000000001</v>
      </c>
      <c r="J1076">
        <v>-192.14080000000001</v>
      </c>
      <c r="K1076">
        <v>1.1024039999999999</v>
      </c>
      <c r="L1076">
        <v>352.69189999999998</v>
      </c>
      <c r="M1076">
        <v>0.36408289999999999</v>
      </c>
      <c r="N1076">
        <v>0</v>
      </c>
      <c r="O1076">
        <v>-0.93134130000000004</v>
      </c>
      <c r="P1076">
        <v>4.5340980000000003E-2</v>
      </c>
      <c r="Q1076">
        <v>0.1183646</v>
      </c>
      <c r="R1076">
        <v>-0.9919346</v>
      </c>
      <c r="S1076">
        <v>-7.2250369999999994E-2</v>
      </c>
      <c r="T1076">
        <v>-0.15327470000000001</v>
      </c>
      <c r="U1076">
        <v>-3.0472410000000001</v>
      </c>
      <c r="V1076">
        <v>0.32105280000000003</v>
      </c>
      <c r="W1076">
        <v>0.11925180000000001</v>
      </c>
      <c r="X1076">
        <v>0.93952329999999995</v>
      </c>
      <c r="Y1076">
        <v>0.38602360000000002</v>
      </c>
      <c r="Z1076">
        <v>4.310522E-2</v>
      </c>
      <c r="AA1076">
        <v>0.92148129999999995</v>
      </c>
      <c r="AB1076">
        <v>24</v>
      </c>
      <c r="AC1076">
        <v>-0.59999999999999398</v>
      </c>
      <c r="AD1076">
        <v>-1.1024053372189999</v>
      </c>
      <c r="AE1076">
        <v>-21.685599999999901</v>
      </c>
      <c r="AF1076">
        <v>8.4325842038888599</v>
      </c>
      <c r="AG1076">
        <v>-1.1024053372189999</v>
      </c>
      <c r="AH1076">
        <v>19.927256671234499</v>
      </c>
      <c r="AI1076">
        <v>92.916560741183602</v>
      </c>
      <c r="AJ1076">
        <v>67.063456914961606</v>
      </c>
      <c r="AK1076">
        <v>21.6660871484554</v>
      </c>
      <c r="AL1076">
        <v>83.1510759255452</v>
      </c>
      <c r="AM1076">
        <v>71.133736325721898</v>
      </c>
      <c r="AN1076">
        <v>0.99999996171698402</v>
      </c>
    </row>
    <row r="1077" spans="1:40" x14ac:dyDescent="0.25">
      <c r="A1077" t="str">
        <f>"20190312164240772"</f>
        <v>20190312164240772</v>
      </c>
      <c r="B1077" t="str">
        <f>"1552380160765300"</f>
        <v>1552380160765300</v>
      </c>
      <c r="C1077" t="s">
        <v>40</v>
      </c>
      <c r="D1077">
        <v>4.7041940000000002</v>
      </c>
      <c r="E1077">
        <v>0.53169160000000004</v>
      </c>
      <c r="F1077" t="s">
        <v>42</v>
      </c>
      <c r="G1077">
        <v>-192.7911</v>
      </c>
      <c r="H1077" s="1">
        <v>-1.4703890000000001E-6</v>
      </c>
      <c r="I1077">
        <v>331.28550000000001</v>
      </c>
      <c r="J1077">
        <v>-192.06020000000001</v>
      </c>
      <c r="K1077">
        <v>1.102366</v>
      </c>
      <c r="L1077">
        <v>352.45069999999998</v>
      </c>
      <c r="M1077">
        <v>0.35319299999999998</v>
      </c>
      <c r="N1077">
        <v>0</v>
      </c>
      <c r="O1077">
        <v>-0.93552519999999995</v>
      </c>
      <c r="P1077">
        <v>3.8375510000000002E-2</v>
      </c>
      <c r="Q1077">
        <v>0.11908249999999999</v>
      </c>
      <c r="R1077">
        <v>-0.99214259999999999</v>
      </c>
      <c r="S1077">
        <v>-9.2575069999999995E-2</v>
      </c>
      <c r="T1077">
        <v>-0.1569372</v>
      </c>
      <c r="U1077">
        <v>-3.0473940000000002</v>
      </c>
      <c r="V1077">
        <v>0.31667630000000002</v>
      </c>
      <c r="W1077">
        <v>0.12004380000000001</v>
      </c>
      <c r="X1077">
        <v>0.94090680000000004</v>
      </c>
      <c r="Y1077">
        <v>0.3813956</v>
      </c>
      <c r="Z1077">
        <v>4.4497170000000003E-2</v>
      </c>
      <c r="AA1077">
        <v>0.9233403</v>
      </c>
      <c r="AB1077">
        <v>24</v>
      </c>
      <c r="AC1077">
        <v>-0.730899999999991</v>
      </c>
      <c r="AD1077">
        <v>-1.1023674703889901</v>
      </c>
      <c r="AE1077">
        <v>-21.165199999999899</v>
      </c>
      <c r="AF1077">
        <v>8.1373207089141992</v>
      </c>
      <c r="AG1077">
        <v>-1.1023674703889901</v>
      </c>
      <c r="AH1077">
        <v>19.490082908538099</v>
      </c>
      <c r="AI1077">
        <v>92.9877831346394</v>
      </c>
      <c r="AJ1077">
        <v>67.338935249069294</v>
      </c>
      <c r="AK1077">
        <v>21.149338858252399</v>
      </c>
      <c r="AL1077">
        <v>83.105369589639807</v>
      </c>
      <c r="AM1077">
        <v>71.398568120199897</v>
      </c>
      <c r="AN1077">
        <v>0.99999999959318497</v>
      </c>
    </row>
    <row r="1078" spans="1:40" x14ac:dyDescent="0.25">
      <c r="A1078" t="str">
        <f>"20190312164240791"</f>
        <v>20190312164240791</v>
      </c>
      <c r="B1078" t="str">
        <f>"1552380160784820"</f>
        <v>1552380160784820</v>
      </c>
      <c r="C1078" t="s">
        <v>40</v>
      </c>
      <c r="D1078">
        <v>4.8164899999999999</v>
      </c>
      <c r="E1078">
        <v>0.53087249999999997</v>
      </c>
      <c r="F1078" t="s">
        <v>42</v>
      </c>
      <c r="G1078">
        <v>-192.82429999999999</v>
      </c>
      <c r="H1078" s="1">
        <v>-1.153438E-6</v>
      </c>
      <c r="I1078">
        <v>330.52609999999999</v>
      </c>
      <c r="J1078">
        <v>-191.99119999999999</v>
      </c>
      <c r="K1078">
        <v>1.102336</v>
      </c>
      <c r="L1078">
        <v>352.23669999999998</v>
      </c>
      <c r="M1078">
        <v>0.34356189999999998</v>
      </c>
      <c r="N1078">
        <v>0</v>
      </c>
      <c r="O1078">
        <v>-0.93910450000000001</v>
      </c>
      <c r="P1078">
        <v>3.295286E-2</v>
      </c>
      <c r="Q1078">
        <v>0.11968289999999999</v>
      </c>
      <c r="R1078">
        <v>-0.99226510000000001</v>
      </c>
      <c r="S1078">
        <v>-0.10617070000000001</v>
      </c>
      <c r="T1078">
        <v>-0.1531631</v>
      </c>
      <c r="U1078">
        <v>-3.0462039999999999</v>
      </c>
      <c r="V1078">
        <v>0.31213980000000002</v>
      </c>
      <c r="W1078">
        <v>0.120724</v>
      </c>
      <c r="X1078">
        <v>0.94233460000000002</v>
      </c>
      <c r="Y1078">
        <v>0.37602180000000002</v>
      </c>
      <c r="Z1078">
        <v>4.3767630000000002E-2</v>
      </c>
      <c r="AA1078">
        <v>0.92557659999999997</v>
      </c>
      <c r="AB1078">
        <v>24</v>
      </c>
      <c r="AC1078">
        <v>-0.83310000000000095</v>
      </c>
      <c r="AD1078">
        <v>-1.102337153438</v>
      </c>
      <c r="AE1078">
        <v>-21.710599999999999</v>
      </c>
      <c r="AF1078">
        <v>8.2203395845977703</v>
      </c>
      <c r="AG1078">
        <v>-1.102337153438</v>
      </c>
      <c r="AH1078">
        <v>20.051166618402199</v>
      </c>
      <c r="AI1078">
        <v>92.911978182688202</v>
      </c>
      <c r="AJ1078">
        <v>67.707933356104505</v>
      </c>
      <c r="AK1078">
        <v>21.698811323316299</v>
      </c>
      <c r="AL1078">
        <v>83.066111624379204</v>
      </c>
      <c r="AM1078">
        <v>71.673015525648907</v>
      </c>
      <c r="AN1078">
        <v>1.00000001863859</v>
      </c>
    </row>
    <row r="1079" spans="1:40" x14ac:dyDescent="0.25">
      <c r="A1079" t="str">
        <f>"20190312164240814"</f>
        <v>20190312164240814</v>
      </c>
      <c r="B1079" t="str">
        <f>"1552380160805315"</f>
        <v>1552380160805315</v>
      </c>
      <c r="C1079" t="s">
        <v>40</v>
      </c>
      <c r="D1079">
        <v>4.9199289999999998</v>
      </c>
      <c r="E1079">
        <v>0.52988169999999901</v>
      </c>
      <c r="F1079" t="s">
        <v>42</v>
      </c>
      <c r="G1079">
        <v>-192.84950000000001</v>
      </c>
      <c r="H1079" s="1">
        <v>-8.244946E-7</v>
      </c>
      <c r="I1079">
        <v>329.74369999999999</v>
      </c>
      <c r="J1079">
        <v>-191.91759999999999</v>
      </c>
      <c r="K1079">
        <v>1.1023019999999999</v>
      </c>
      <c r="L1079">
        <v>351.99990000000003</v>
      </c>
      <c r="M1079">
        <v>0.33293820000000002</v>
      </c>
      <c r="N1079">
        <v>0</v>
      </c>
      <c r="O1079">
        <v>-0.94292330000000002</v>
      </c>
      <c r="P1079">
        <v>2.6537669999999999E-2</v>
      </c>
      <c r="Q1079">
        <v>0.1204614</v>
      </c>
      <c r="R1079">
        <v>-0.99236329999999995</v>
      </c>
      <c r="S1079">
        <v>-0.1161957</v>
      </c>
      <c r="T1079">
        <v>-0.1492406</v>
      </c>
      <c r="U1079">
        <v>-3.0452270000000001</v>
      </c>
      <c r="V1079">
        <v>0.307579299999999</v>
      </c>
      <c r="W1079">
        <v>0.1215859</v>
      </c>
      <c r="X1079">
        <v>0.94372230000000001</v>
      </c>
      <c r="Y1079">
        <v>0.36860579999999998</v>
      </c>
      <c r="Z1079">
        <v>4.3013490000000001E-2</v>
      </c>
      <c r="AA1079">
        <v>0.92859009999999997</v>
      </c>
      <c r="AB1079">
        <v>24</v>
      </c>
      <c r="AC1079">
        <v>-0.93190000000001205</v>
      </c>
      <c r="AD1079">
        <v>-1.1023028244946</v>
      </c>
      <c r="AE1079">
        <v>-22.2562</v>
      </c>
      <c r="AF1079">
        <v>8.2686000346899302</v>
      </c>
      <c r="AG1079">
        <v>-1.1023028244946</v>
      </c>
      <c r="AH1079">
        <v>20.6256123190689</v>
      </c>
      <c r="AI1079">
        <v>92.839870142238496</v>
      </c>
      <c r="AJ1079">
        <v>68.154648355900804</v>
      </c>
      <c r="AK1079">
        <v>22.248611228278701</v>
      </c>
      <c r="AL1079">
        <v>83.016361561377394</v>
      </c>
      <c r="AM1079">
        <v>71.948102104441602</v>
      </c>
      <c r="AN1079">
        <v>0.99999996819229398</v>
      </c>
    </row>
    <row r="1080" spans="1:40" x14ac:dyDescent="0.25">
      <c r="A1080" t="str">
        <f>"20190312164240837"</f>
        <v>20190312164240837</v>
      </c>
      <c r="B1080" t="str">
        <f>"1552380160824835"</f>
        <v>1552380160824835</v>
      </c>
      <c r="C1080" t="s">
        <v>40</v>
      </c>
      <c r="D1080">
        <v>4.8914629999999999</v>
      </c>
      <c r="E1080">
        <v>0.52936359999999905</v>
      </c>
      <c r="F1080" t="s">
        <v>42</v>
      </c>
      <c r="G1080">
        <v>-192.8938</v>
      </c>
      <c r="H1080" s="1">
        <v>-4.525174E-6</v>
      </c>
      <c r="I1080">
        <v>328.7758</v>
      </c>
      <c r="J1080">
        <v>-191.84360000000001</v>
      </c>
      <c r="K1080">
        <v>1.102263</v>
      </c>
      <c r="L1080">
        <v>351.7525</v>
      </c>
      <c r="M1080">
        <v>0.3218705</v>
      </c>
      <c r="N1080">
        <v>0</v>
      </c>
      <c r="O1080">
        <v>-0.94675830000000005</v>
      </c>
      <c r="P1080">
        <v>1.9319119999999999E-2</v>
      </c>
      <c r="Q1080">
        <v>0.12109300000000001</v>
      </c>
      <c r="R1080">
        <v>-0.99245320000000004</v>
      </c>
      <c r="S1080">
        <v>-0.1279602</v>
      </c>
      <c r="T1080">
        <v>-0.14448169999999999</v>
      </c>
      <c r="U1080">
        <v>-3.0440369999999999</v>
      </c>
      <c r="V1080">
        <v>0.30338039999999999</v>
      </c>
      <c r="W1080">
        <v>0.1222992</v>
      </c>
      <c r="X1080">
        <v>0.94498850000000001</v>
      </c>
      <c r="Y1080">
        <v>0.36130679999999998</v>
      </c>
      <c r="Z1080">
        <v>4.199833E-2</v>
      </c>
      <c r="AA1080">
        <v>0.93150069999999996</v>
      </c>
      <c r="AB1080">
        <v>24</v>
      </c>
      <c r="AC1080">
        <v>-1.05019999999998</v>
      </c>
      <c r="AD1080">
        <v>-1.102267525174</v>
      </c>
      <c r="AE1080">
        <v>-22.976699999999902</v>
      </c>
      <c r="AF1080">
        <v>8.3707846233356893</v>
      </c>
      <c r="AG1080">
        <v>-1.102267525174</v>
      </c>
      <c r="AH1080">
        <v>21.366796343002498</v>
      </c>
      <c r="AI1080">
        <v>92.749991918520095</v>
      </c>
      <c r="AJ1080">
        <v>68.606442244819704</v>
      </c>
      <c r="AK1080">
        <v>22.9744426454848</v>
      </c>
      <c r="AL1080">
        <v>82.975185505247396</v>
      </c>
      <c r="AM1080">
        <v>72.201221067750794</v>
      </c>
      <c r="AN1080">
        <v>1.0000000132785201</v>
      </c>
    </row>
    <row r="1081" spans="1:40" x14ac:dyDescent="0.25">
      <c r="A1081" t="str">
        <f>"20190312164240858"</f>
        <v>20190312164240858</v>
      </c>
      <c r="B1081" t="str">
        <f>"1552380160855091"</f>
        <v>1552380160855091</v>
      </c>
      <c r="C1081" t="s">
        <v>40</v>
      </c>
      <c r="D1081">
        <v>4.7681259999999996</v>
      </c>
      <c r="E1081">
        <v>0.51618310000000001</v>
      </c>
      <c r="F1081" t="s">
        <v>42</v>
      </c>
      <c r="G1081">
        <v>-192.9675</v>
      </c>
      <c r="H1081" s="1">
        <v>-4.3872369999999996E-6</v>
      </c>
      <c r="I1081">
        <v>328.33210000000003</v>
      </c>
      <c r="J1081">
        <v>-191.77680000000001</v>
      </c>
      <c r="K1081">
        <v>1.1022320000000001</v>
      </c>
      <c r="L1081">
        <v>351.51949999999999</v>
      </c>
      <c r="M1081">
        <v>0.31148619999999999</v>
      </c>
      <c r="N1081">
        <v>0</v>
      </c>
      <c r="O1081">
        <v>-0.95022510000000004</v>
      </c>
      <c r="P1081">
        <v>1.3880740000000001E-2</v>
      </c>
      <c r="Q1081">
        <v>0.121422</v>
      </c>
      <c r="R1081">
        <v>-0.99250419999999995</v>
      </c>
      <c r="S1081">
        <v>-0.14602660000000001</v>
      </c>
      <c r="T1081">
        <v>-0.14322279999999901</v>
      </c>
      <c r="U1081">
        <v>-3.0431210000000002</v>
      </c>
      <c r="V1081">
        <v>0.29820780000000002</v>
      </c>
      <c r="W1081">
        <v>0.1227317</v>
      </c>
      <c r="X1081">
        <v>0.94657749999999996</v>
      </c>
      <c r="Y1081">
        <v>0.3566261</v>
      </c>
      <c r="Z1081">
        <v>4.1926419999999999E-2</v>
      </c>
      <c r="AA1081">
        <v>0.93330599999999997</v>
      </c>
      <c r="AB1081">
        <v>24</v>
      </c>
      <c r="AC1081">
        <v>-1.1906999999999901</v>
      </c>
      <c r="AD1081">
        <v>-1.10223638723699</v>
      </c>
      <c r="AE1081">
        <v>-23.187399999999901</v>
      </c>
      <c r="AF1081">
        <v>8.3354054327894502</v>
      </c>
      <c r="AG1081">
        <v>-1.10223638723699</v>
      </c>
      <c r="AH1081">
        <v>21.6141768553654</v>
      </c>
      <c r="AI1081">
        <v>92.724104352717404</v>
      </c>
      <c r="AJ1081">
        <v>68.911101929788501</v>
      </c>
      <c r="AK1081">
        <v>23.1919501102719</v>
      </c>
      <c r="AL1081">
        <v>82.950216625613194</v>
      </c>
      <c r="AM1081">
        <v>72.513596533884893</v>
      </c>
      <c r="AN1081">
        <v>0.99999996283598902</v>
      </c>
    </row>
    <row r="1082" spans="1:40" x14ac:dyDescent="0.25">
      <c r="A1082" t="str">
        <f>"20190312164240880"</f>
        <v>20190312164240880</v>
      </c>
      <c r="B1082" t="str">
        <f>"1552380160875588"</f>
        <v>1552380160875588</v>
      </c>
      <c r="C1082" t="s">
        <v>40</v>
      </c>
      <c r="D1082">
        <v>4.7878809999999996</v>
      </c>
      <c r="E1082">
        <v>0.5166752</v>
      </c>
      <c r="F1082" t="s">
        <v>42</v>
      </c>
      <c r="G1082">
        <v>-192.03890000000001</v>
      </c>
      <c r="H1082" s="1">
        <v>-3.426057E-6</v>
      </c>
      <c r="I1082">
        <v>336.31079999999997</v>
      </c>
      <c r="J1082">
        <v>-191.7141</v>
      </c>
      <c r="K1082">
        <v>1.1021939999999999</v>
      </c>
      <c r="L1082">
        <v>351.29169999999999</v>
      </c>
      <c r="M1082">
        <v>0.30135840000000003</v>
      </c>
      <c r="N1082">
        <v>0</v>
      </c>
      <c r="O1082">
        <v>-0.95348529999999998</v>
      </c>
      <c r="P1082">
        <v>8.1910639999999996E-3</v>
      </c>
      <c r="Q1082">
        <v>0.1214528</v>
      </c>
      <c r="R1082">
        <v>-0.99256369999999905</v>
      </c>
      <c r="S1082">
        <v>-5.256653E-2</v>
      </c>
      <c r="T1082">
        <v>-0.221079</v>
      </c>
      <c r="U1082">
        <v>-3.0504760000000002</v>
      </c>
      <c r="V1082">
        <v>0.29356490000000002</v>
      </c>
      <c r="W1082">
        <v>0.1228557</v>
      </c>
      <c r="X1082">
        <v>0.94801170000000001</v>
      </c>
      <c r="Y1082">
        <v>0.31769019999999998</v>
      </c>
      <c r="Z1082">
        <v>6.5365580000000006E-2</v>
      </c>
      <c r="AA1082">
        <v>0.94593879999999997</v>
      </c>
      <c r="AB1082">
        <v>24</v>
      </c>
      <c r="AC1082">
        <v>-0.32480000000001003</v>
      </c>
      <c r="AD1082">
        <v>-1.102197426057</v>
      </c>
      <c r="AE1082">
        <v>-14.9809</v>
      </c>
      <c r="AF1082">
        <v>4.7984678341337998</v>
      </c>
      <c r="AG1082">
        <v>-1.102197426057</v>
      </c>
      <c r="AH1082">
        <v>14.110190126152</v>
      </c>
      <c r="AI1082">
        <v>94.229564129620002</v>
      </c>
      <c r="AJ1082">
        <v>71.2183154097455</v>
      </c>
      <c r="AK1082">
        <v>14.9444838692202</v>
      </c>
      <c r="AL1082">
        <v>82.943058237325602</v>
      </c>
      <c r="AM1082">
        <v>72.794139762414304</v>
      </c>
      <c r="AN1082">
        <v>1.00000002843569</v>
      </c>
    </row>
    <row r="1083" spans="1:40" x14ac:dyDescent="0.25">
      <c r="A1083" t="str">
        <f>"20190312164240904"</f>
        <v>20190312164240904</v>
      </c>
      <c r="B1083" t="str">
        <f>"1552380160895108"</f>
        <v>1552380160895108</v>
      </c>
      <c r="C1083" t="s">
        <v>40</v>
      </c>
      <c r="D1083">
        <v>4.7631610000000002</v>
      </c>
      <c r="E1083">
        <v>0.51657410000000004</v>
      </c>
      <c r="F1083" t="s">
        <v>42</v>
      </c>
      <c r="G1083">
        <v>-192.0847</v>
      </c>
      <c r="H1083" s="1">
        <v>-3.3089129999999999E-6</v>
      </c>
      <c r="I1083">
        <v>336.0093</v>
      </c>
      <c r="J1083">
        <v>-191.64340000000001</v>
      </c>
      <c r="K1083">
        <v>1.10216</v>
      </c>
      <c r="L1083">
        <v>351.02249999999998</v>
      </c>
      <c r="M1083">
        <v>0.28943059999999998</v>
      </c>
      <c r="N1083">
        <v>0</v>
      </c>
      <c r="O1083">
        <v>-0.95717319999999995</v>
      </c>
      <c r="P1083">
        <v>5.8851650000000004E-4</v>
      </c>
      <c r="Q1083">
        <v>0.121159199999999</v>
      </c>
      <c r="R1083">
        <v>-0.99263290000000004</v>
      </c>
      <c r="S1083">
        <v>-7.3974609999999996E-2</v>
      </c>
      <c r="T1083">
        <v>-0.21997269999999999</v>
      </c>
      <c r="U1083">
        <v>-3.0500180000000001</v>
      </c>
      <c r="V1083">
        <v>0.28900039999999999</v>
      </c>
      <c r="W1083">
        <v>0.1226522</v>
      </c>
      <c r="X1083">
        <v>0.94943940000000004</v>
      </c>
      <c r="Y1083">
        <v>0.31248799999999999</v>
      </c>
      <c r="Z1083">
        <v>6.5503679999999995E-2</v>
      </c>
      <c r="AA1083">
        <v>0.94766059999999996</v>
      </c>
      <c r="AB1083">
        <v>25</v>
      </c>
      <c r="AC1083">
        <v>-0.44129999999998398</v>
      </c>
      <c r="AD1083">
        <v>-1.1021633089129901</v>
      </c>
      <c r="AE1083">
        <v>-15.0131999999999</v>
      </c>
      <c r="AF1083">
        <v>4.7422615946878199</v>
      </c>
      <c r="AG1083">
        <v>-1.1021633089129901</v>
      </c>
      <c r="AH1083">
        <v>14.166574421559901</v>
      </c>
      <c r="AI1083">
        <v>94.219432040152796</v>
      </c>
      <c r="AJ1083">
        <v>71.492027196465102</v>
      </c>
      <c r="AK1083">
        <v>14.9798411150974</v>
      </c>
      <c r="AL1083">
        <v>82.954806464855096</v>
      </c>
      <c r="AM1083">
        <v>73.0702455428832</v>
      </c>
      <c r="AN1083">
        <v>0.99999998381867905</v>
      </c>
    </row>
    <row r="1084" spans="1:40" x14ac:dyDescent="0.25">
      <c r="A1084" t="str">
        <f>"20190312164240928"</f>
        <v>20190312164240928</v>
      </c>
      <c r="B1084" t="str">
        <f>"1552380160925363"</f>
        <v>1552380160925363</v>
      </c>
      <c r="C1084" t="s">
        <v>40</v>
      </c>
      <c r="D1084">
        <v>5.0478489999999896</v>
      </c>
      <c r="E1084">
        <v>0.51618580000000003</v>
      </c>
      <c r="F1084" t="s">
        <v>42</v>
      </c>
      <c r="G1084">
        <v>-192.12610000000001</v>
      </c>
      <c r="H1084" s="1">
        <v>-3.2067199999999999E-6</v>
      </c>
      <c r="I1084">
        <v>335.74540000000002</v>
      </c>
      <c r="J1084">
        <v>-191.58070000000001</v>
      </c>
      <c r="K1084">
        <v>1.1021209999999999</v>
      </c>
      <c r="L1084">
        <v>350.77190000000002</v>
      </c>
      <c r="M1084">
        <v>0.27836250000000001</v>
      </c>
      <c r="N1084">
        <v>0</v>
      </c>
      <c r="O1084">
        <v>-0.96045009999999997</v>
      </c>
      <c r="P1084">
        <v>-5.7806259999999996E-3</v>
      </c>
      <c r="Q1084">
        <v>0.12215910000000001</v>
      </c>
      <c r="R1084">
        <v>-0.99249370000000003</v>
      </c>
      <c r="S1084">
        <v>-9.6343990000000004E-2</v>
      </c>
      <c r="T1084">
        <v>-0.2199856</v>
      </c>
      <c r="U1084">
        <v>-3.0492249999999999</v>
      </c>
      <c r="V1084">
        <v>0.28412110000000002</v>
      </c>
      <c r="W1084">
        <v>0.1237463</v>
      </c>
      <c r="X1084">
        <v>0.95076919999999998</v>
      </c>
      <c r="Y1084">
        <v>0.30847340000000001</v>
      </c>
      <c r="Z1084">
        <v>6.591735E-2</v>
      </c>
      <c r="AA1084">
        <v>0.94894630000000002</v>
      </c>
      <c r="AB1084">
        <v>25</v>
      </c>
      <c r="AC1084">
        <v>-0.5454</v>
      </c>
      <c r="AD1084">
        <v>-1.1021242067200001</v>
      </c>
      <c r="AE1084">
        <v>-15.0265</v>
      </c>
      <c r="AF1084">
        <v>4.6816092970328498</v>
      </c>
      <c r="AG1084">
        <v>-1.1021242067200001</v>
      </c>
      <c r="AH1084">
        <v>14.2044281971044</v>
      </c>
      <c r="AI1084">
        <v>94.214559270320805</v>
      </c>
      <c r="AJ1084">
        <v>71.758399517247796</v>
      </c>
      <c r="AK1084">
        <v>14.996597073462899</v>
      </c>
      <c r="AL1084">
        <v>82.891638106939197</v>
      </c>
      <c r="AM1084">
        <v>73.362124946517397</v>
      </c>
      <c r="AN1084">
        <v>1.0000000089487699</v>
      </c>
    </row>
    <row r="1085" spans="1:40" x14ac:dyDescent="0.25">
      <c r="A1085" t="str">
        <f>"20190312164240952"</f>
        <v>20190312164240952</v>
      </c>
      <c r="B1085" t="str">
        <f>"1552380160944884"</f>
        <v>1552380160944884</v>
      </c>
      <c r="C1085" t="s">
        <v>40</v>
      </c>
      <c r="D1085">
        <v>4.7633330000000003</v>
      </c>
      <c r="E1085">
        <v>0.51622270000000003</v>
      </c>
      <c r="F1085" t="s">
        <v>42</v>
      </c>
      <c r="G1085">
        <v>-192.1789</v>
      </c>
      <c r="H1085" s="1">
        <v>-2.7817329999999998E-6</v>
      </c>
      <c r="I1085">
        <v>334.72199999999998</v>
      </c>
      <c r="J1085">
        <v>-191.51730000000001</v>
      </c>
      <c r="K1085">
        <v>1.1020779999999999</v>
      </c>
      <c r="L1085">
        <v>350.50540000000001</v>
      </c>
      <c r="M1085">
        <v>0.26661869999999999</v>
      </c>
      <c r="N1085">
        <v>0</v>
      </c>
      <c r="O1085">
        <v>-0.96377610000000002</v>
      </c>
      <c r="P1085">
        <v>-1.275807E-2</v>
      </c>
      <c r="Q1085">
        <v>0.1228129</v>
      </c>
      <c r="R1085">
        <v>-0.99234809999999996</v>
      </c>
      <c r="S1085">
        <v>-0.1135864</v>
      </c>
      <c r="T1085">
        <v>-0.209287</v>
      </c>
      <c r="U1085">
        <v>-3.0477910000000001</v>
      </c>
      <c r="V1085">
        <v>0.27919670000000002</v>
      </c>
      <c r="W1085">
        <v>0.1244953</v>
      </c>
      <c r="X1085">
        <v>0.95212920000000001</v>
      </c>
      <c r="Y1085">
        <v>0.30224279999999998</v>
      </c>
      <c r="Z1085">
        <v>6.3159599999999996E-2</v>
      </c>
      <c r="AA1085">
        <v>0.95113619999999999</v>
      </c>
      <c r="AB1085">
        <v>25</v>
      </c>
      <c r="AC1085">
        <v>-0.66159999999999197</v>
      </c>
      <c r="AD1085">
        <v>-1.1020807817330001</v>
      </c>
      <c r="AE1085">
        <v>-15.7834</v>
      </c>
      <c r="AF1085">
        <v>4.8224343492884403</v>
      </c>
      <c r="AG1085">
        <v>-1.1020807817330001</v>
      </c>
      <c r="AH1085">
        <v>14.9628210165471</v>
      </c>
      <c r="AI1085">
        <v>94.010079156023096</v>
      </c>
      <c r="AJ1085">
        <v>72.136156296847304</v>
      </c>
      <c r="AK1085">
        <v>15.759329550329401</v>
      </c>
      <c r="AL1085">
        <v>82.848388670106601</v>
      </c>
      <c r="AM1085">
        <v>73.657066502665401</v>
      </c>
      <c r="AN1085">
        <v>0.999999945252808</v>
      </c>
    </row>
    <row r="1086" spans="1:40" x14ac:dyDescent="0.25">
      <c r="A1086" t="str">
        <f>"20190312164240972"</f>
        <v>20190312164240972</v>
      </c>
      <c r="B1086" t="str">
        <f>"1552380160965380"</f>
        <v>1552380160965380</v>
      </c>
      <c r="C1086" t="s">
        <v>40</v>
      </c>
      <c r="D1086">
        <v>4.852347</v>
      </c>
      <c r="E1086">
        <v>0.51611130000000005</v>
      </c>
      <c r="F1086" t="s">
        <v>42</v>
      </c>
      <c r="G1086">
        <v>-192.27350000000001</v>
      </c>
      <c r="H1086" s="1">
        <v>-2.3629580000000002E-6</v>
      </c>
      <c r="I1086">
        <v>333.68709999999999</v>
      </c>
      <c r="J1086">
        <v>-191.46530000000001</v>
      </c>
      <c r="K1086">
        <v>1.102047</v>
      </c>
      <c r="L1086">
        <v>350.2756</v>
      </c>
      <c r="M1086">
        <v>0.25651620000000003</v>
      </c>
      <c r="N1086">
        <v>0</v>
      </c>
      <c r="O1086">
        <v>-0.96651390000000004</v>
      </c>
      <c r="P1086">
        <v>-1.7676790000000001E-2</v>
      </c>
      <c r="Q1086">
        <v>0.1227251</v>
      </c>
      <c r="R1086">
        <v>-0.99228349999999998</v>
      </c>
      <c r="S1086">
        <v>-0.1369629</v>
      </c>
      <c r="T1086">
        <v>-0.1996058</v>
      </c>
      <c r="U1086">
        <v>-3.0460820000000002</v>
      </c>
      <c r="V1086">
        <v>0.273955</v>
      </c>
      <c r="W1086">
        <v>0.12451660000000001</v>
      </c>
      <c r="X1086">
        <v>0.95364789999999999</v>
      </c>
      <c r="Y1086">
        <v>0.29958089999999998</v>
      </c>
      <c r="Z1086">
        <v>6.056988E-2</v>
      </c>
      <c r="AA1086">
        <v>0.9521463</v>
      </c>
      <c r="AB1086">
        <v>25</v>
      </c>
      <c r="AC1086">
        <v>-0.80819999999999903</v>
      </c>
      <c r="AD1086">
        <v>-1.1020493629579999</v>
      </c>
      <c r="AE1086">
        <v>-16.5885</v>
      </c>
      <c r="AF1086">
        <v>5.0144033359981002</v>
      </c>
      <c r="AG1086">
        <v>-1.1020493629579999</v>
      </c>
      <c r="AH1086">
        <v>15.7567192733657</v>
      </c>
      <c r="AI1086">
        <v>93.813010249046101</v>
      </c>
      <c r="AJ1086">
        <v>72.346898268319705</v>
      </c>
      <c r="AK1086">
        <v>16.572053459789501</v>
      </c>
      <c r="AL1086">
        <v>82.847159247147601</v>
      </c>
      <c r="AM1086">
        <v>73.972197868068605</v>
      </c>
      <c r="AN1086">
        <v>1.00000002143748</v>
      </c>
    </row>
    <row r="1087" spans="1:40" x14ac:dyDescent="0.25">
      <c r="A1087" t="str">
        <f>"20190312164240995"</f>
        <v>20190312164240995</v>
      </c>
      <c r="B1087" t="str">
        <f>"1552380160984900"</f>
        <v>1552380160984900</v>
      </c>
      <c r="C1087" t="s">
        <v>40</v>
      </c>
      <c r="D1087">
        <v>4.8378880000000004</v>
      </c>
      <c r="E1087">
        <v>0.51539809999999997</v>
      </c>
      <c r="F1087" t="s">
        <v>42</v>
      </c>
      <c r="G1087">
        <v>-192.33500000000001</v>
      </c>
      <c r="H1087" s="1">
        <v>-2.0681819999999999E-6</v>
      </c>
      <c r="I1087">
        <v>332.96190000000001</v>
      </c>
      <c r="J1087">
        <v>-191.41059999999999</v>
      </c>
      <c r="K1087">
        <v>1.102014</v>
      </c>
      <c r="L1087">
        <v>350.02190000000002</v>
      </c>
      <c r="M1087">
        <v>0.24539330000000001</v>
      </c>
      <c r="N1087">
        <v>0</v>
      </c>
      <c r="O1087">
        <v>-0.96939739999999996</v>
      </c>
      <c r="P1087">
        <v>-2.3615799999999999E-2</v>
      </c>
      <c r="Q1087">
        <v>0.1231389</v>
      </c>
      <c r="R1087">
        <v>-0.99210849999999995</v>
      </c>
      <c r="S1087">
        <v>-0.15293880000000001</v>
      </c>
      <c r="T1087">
        <v>-0.1937951</v>
      </c>
      <c r="U1087">
        <v>-3.0446170000000001</v>
      </c>
      <c r="V1087">
        <v>0.26870429999999901</v>
      </c>
      <c r="W1087">
        <v>0.12504970000000001</v>
      </c>
      <c r="X1087">
        <v>0.955071</v>
      </c>
      <c r="Y1087">
        <v>0.2936241</v>
      </c>
      <c r="Z1087">
        <v>5.9167869999999997E-2</v>
      </c>
      <c r="AA1087">
        <v>0.95408809999999999</v>
      </c>
      <c r="AB1087">
        <v>25</v>
      </c>
      <c r="AC1087">
        <v>-0.92440000000001998</v>
      </c>
      <c r="AD1087">
        <v>-1.1020160681819999</v>
      </c>
      <c r="AE1087">
        <v>-17.059999999999999</v>
      </c>
      <c r="AF1087">
        <v>5.0615910759059002</v>
      </c>
      <c r="AG1087">
        <v>-1.1020160681819999</v>
      </c>
      <c r="AH1087">
        <v>16.243909832674099</v>
      </c>
      <c r="AI1087">
        <v>93.705884076229395</v>
      </c>
      <c r="AJ1087">
        <v>72.6930019531505</v>
      </c>
      <c r="AK1087">
        <v>17.049890037365898</v>
      </c>
      <c r="AL1087">
        <v>82.8163742547423</v>
      </c>
      <c r="AM1087">
        <v>74.286326559376505</v>
      </c>
      <c r="AN1087">
        <v>1.00000002167478</v>
      </c>
    </row>
    <row r="1088" spans="1:40" x14ac:dyDescent="0.25">
      <c r="A1088" t="str">
        <f>"20190312164241038"</f>
        <v>20190312164241038</v>
      </c>
      <c r="B1088" t="str">
        <f>"1552380161034676"</f>
        <v>1552380161034676</v>
      </c>
      <c r="C1088" t="s">
        <v>40</v>
      </c>
      <c r="D1088">
        <v>5.2123280000000003</v>
      </c>
      <c r="E1088">
        <v>0.51457310000000001</v>
      </c>
      <c r="F1088" t="s">
        <v>42</v>
      </c>
      <c r="G1088">
        <v>-192.339</v>
      </c>
      <c r="H1088" s="1">
        <v>-2.0827080000000002E-6</v>
      </c>
      <c r="I1088">
        <v>332.99329999999998</v>
      </c>
      <c r="J1088">
        <v>-191.31479999999999</v>
      </c>
      <c r="K1088">
        <v>1.1019779999999999</v>
      </c>
      <c r="L1088">
        <v>349.53879999999998</v>
      </c>
      <c r="M1088">
        <v>0.2243474</v>
      </c>
      <c r="N1088">
        <v>0</v>
      </c>
      <c r="O1088">
        <v>-0.97448250000000003</v>
      </c>
      <c r="P1088">
        <v>-3.3058860000000002E-2</v>
      </c>
      <c r="Q1088">
        <v>0.12616479999999999</v>
      </c>
      <c r="R1088">
        <v>-0.99145870000000003</v>
      </c>
      <c r="S1088">
        <v>-0.165969799999999</v>
      </c>
      <c r="T1088">
        <v>-0.197018</v>
      </c>
      <c r="U1088">
        <v>-3.0443730000000002</v>
      </c>
      <c r="V1088">
        <v>0.25707570000000002</v>
      </c>
      <c r="W1088">
        <v>0.12836500000000001</v>
      </c>
      <c r="X1088">
        <v>0.95782800000000001</v>
      </c>
      <c r="Y1088">
        <v>0.27695639999999999</v>
      </c>
      <c r="Z1088">
        <v>6.0799100000000002E-2</v>
      </c>
      <c r="AA1088">
        <v>0.95895699999999995</v>
      </c>
      <c r="AB1088">
        <v>25</v>
      </c>
      <c r="AC1088">
        <v>-1.02420000000003</v>
      </c>
      <c r="AD1088">
        <v>-1.101980082708</v>
      </c>
      <c r="AE1088">
        <v>-16.545500000000001</v>
      </c>
      <c r="AF1088">
        <v>4.6894049762785404</v>
      </c>
      <c r="AG1088">
        <v>-1.101980082708</v>
      </c>
      <c r="AH1088">
        <v>15.8240109072216</v>
      </c>
      <c r="AI1088">
        <v>93.819942118232305</v>
      </c>
      <c r="AJ1088">
        <v>73.492945320188198</v>
      </c>
      <c r="AK1088">
        <v>16.5409854702222</v>
      </c>
      <c r="AL1088">
        <v>82.624877750687702</v>
      </c>
      <c r="AM1088">
        <v>74.976201283904601</v>
      </c>
      <c r="AN1088">
        <v>0.99999998316974403</v>
      </c>
    </row>
    <row r="1089" spans="1:40" x14ac:dyDescent="0.25">
      <c r="A1089" t="str">
        <f>"20190312164241060"</f>
        <v>20190312164241060</v>
      </c>
      <c r="B1089" t="str">
        <f>"1552380161055172"</f>
        <v>1552380161055172</v>
      </c>
      <c r="C1089" t="s">
        <v>40</v>
      </c>
      <c r="D1089">
        <v>5.052308</v>
      </c>
      <c r="E1089">
        <v>0.51410659999999997</v>
      </c>
      <c r="F1089" t="s">
        <v>42</v>
      </c>
      <c r="G1089">
        <v>-192.38059999999999</v>
      </c>
      <c r="H1089" s="1">
        <v>-1.730746E-6</v>
      </c>
      <c r="I1089">
        <v>332.14699999999999</v>
      </c>
      <c r="J1089">
        <v>-191.26840000000001</v>
      </c>
      <c r="K1089">
        <v>1.101974</v>
      </c>
      <c r="L1089">
        <v>349.28390000000002</v>
      </c>
      <c r="M1089">
        <v>0.2133284</v>
      </c>
      <c r="N1089">
        <v>0</v>
      </c>
      <c r="O1089">
        <v>-0.97695359999999998</v>
      </c>
      <c r="P1089">
        <v>-3.6183279999999998E-2</v>
      </c>
      <c r="Q1089">
        <v>0.1266921</v>
      </c>
      <c r="R1089">
        <v>-0.9912822</v>
      </c>
      <c r="S1089">
        <v>-0.1865387</v>
      </c>
      <c r="T1089">
        <v>-0.19288269999999999</v>
      </c>
      <c r="U1089">
        <v>-3.0441280000000002</v>
      </c>
      <c r="V1089">
        <v>0.24926290000000001</v>
      </c>
      <c r="W1089">
        <v>0.12909789999999999</v>
      </c>
      <c r="X1089">
        <v>0.9597926</v>
      </c>
      <c r="Y1089">
        <v>0.27256999999999998</v>
      </c>
      <c r="Z1089">
        <v>5.9795010000000003E-2</v>
      </c>
      <c r="AA1089">
        <v>0.96027609999999997</v>
      </c>
      <c r="AB1089">
        <v>25</v>
      </c>
      <c r="AC1089">
        <v>-1.1121999999999701</v>
      </c>
      <c r="AD1089">
        <v>-1.1019757307459901</v>
      </c>
      <c r="AE1089">
        <v>-17.136900000000001</v>
      </c>
      <c r="AF1089">
        <v>4.7230321151774701</v>
      </c>
      <c r="AG1089">
        <v>-1.1019757307459901</v>
      </c>
      <c r="AH1089">
        <v>16.437442504869999</v>
      </c>
      <c r="AI1089">
        <v>93.686670735935607</v>
      </c>
      <c r="AJ1089">
        <v>73.968854893784595</v>
      </c>
      <c r="AK1089">
        <v>17.137995768848199</v>
      </c>
      <c r="AL1089">
        <v>82.582533829184001</v>
      </c>
      <c r="AM1089">
        <v>75.441619029503201</v>
      </c>
      <c r="AN1089">
        <v>1.00000004805778</v>
      </c>
    </row>
    <row r="1090" spans="1:40" x14ac:dyDescent="0.25">
      <c r="A1090" t="str">
        <f>"20190312164241083"</f>
        <v>20190312164241083</v>
      </c>
      <c r="B1090" t="str">
        <f>"1552380161074692"</f>
        <v>1552380161074692</v>
      </c>
      <c r="C1090" t="s">
        <v>40</v>
      </c>
      <c r="D1090">
        <v>5.192456</v>
      </c>
      <c r="E1090">
        <v>0.51366590000000001</v>
      </c>
      <c r="F1090" t="s">
        <v>42</v>
      </c>
      <c r="G1090">
        <v>-192.4025</v>
      </c>
      <c r="H1090" s="1">
        <v>-1.4498029999999999E-6</v>
      </c>
      <c r="I1090">
        <v>331.47859999999997</v>
      </c>
      <c r="J1090">
        <v>-191.22399999999999</v>
      </c>
      <c r="K1090">
        <v>1.1019950000000001</v>
      </c>
      <c r="L1090">
        <v>349.02269999999999</v>
      </c>
      <c r="M1090">
        <v>0.20215369999999999</v>
      </c>
      <c r="N1090">
        <v>0</v>
      </c>
      <c r="O1090">
        <v>-0.97932609999999998</v>
      </c>
      <c r="P1090">
        <v>-3.999436E-2</v>
      </c>
      <c r="Q1090">
        <v>0.12706419999999999</v>
      </c>
      <c r="R1090">
        <v>-0.99108790000000002</v>
      </c>
      <c r="S1090">
        <v>-0.19383239999999999</v>
      </c>
      <c r="T1090">
        <v>-0.18835789999999999</v>
      </c>
      <c r="U1090">
        <v>-3.0434269999999999</v>
      </c>
      <c r="V1090">
        <v>0.2419693</v>
      </c>
      <c r="W1090">
        <v>0.12969739999999999</v>
      </c>
      <c r="X1090">
        <v>0.96157649999999995</v>
      </c>
      <c r="Y1090">
        <v>0.26387939999999999</v>
      </c>
      <c r="Z1090">
        <v>5.8701490000000002E-2</v>
      </c>
      <c r="AA1090">
        <v>0.96276779999999995</v>
      </c>
      <c r="AB1090">
        <v>25</v>
      </c>
      <c r="AC1090">
        <v>-1.1784999999999799</v>
      </c>
      <c r="AD1090">
        <v>-1.1019964498029999</v>
      </c>
      <c r="AE1090">
        <v>-17.5441</v>
      </c>
      <c r="AF1090">
        <v>4.6824765406071602</v>
      </c>
      <c r="AG1090">
        <v>-1.1019964498029999</v>
      </c>
      <c r="AH1090">
        <v>16.877326894026101</v>
      </c>
      <c r="AI1090">
        <v>93.600182099858799</v>
      </c>
      <c r="AJ1090">
        <v>74.493759858949304</v>
      </c>
      <c r="AK1090">
        <v>17.549477080999601</v>
      </c>
      <c r="AL1090">
        <v>82.547893135665106</v>
      </c>
      <c r="AM1090">
        <v>75.8754544472893</v>
      </c>
      <c r="AN1090">
        <v>0.99999996153074899</v>
      </c>
    </row>
    <row r="1091" spans="1:40" x14ac:dyDescent="0.25">
      <c r="A1091" t="str">
        <f>"20190312164241104"</f>
        <v>20190312164241104</v>
      </c>
      <c r="B1091" t="str">
        <f>"1552380161095188"</f>
        <v>1552380161095188</v>
      </c>
      <c r="C1091" t="s">
        <v>40</v>
      </c>
      <c r="D1091">
        <v>4.893294</v>
      </c>
      <c r="E1091">
        <v>0.51314159999999998</v>
      </c>
      <c r="F1091" t="s">
        <v>42</v>
      </c>
      <c r="G1091">
        <v>-192.43350000000001</v>
      </c>
      <c r="H1091" s="1">
        <v>-1.2096569999999999E-6</v>
      </c>
      <c r="I1091">
        <v>330.89949999999999</v>
      </c>
      <c r="J1091">
        <v>-191.1841</v>
      </c>
      <c r="K1091">
        <v>1.1020529999999999</v>
      </c>
      <c r="L1091">
        <v>348.77190000000002</v>
      </c>
      <c r="M1091">
        <v>0.1915779</v>
      </c>
      <c r="N1091">
        <v>0</v>
      </c>
      <c r="O1091">
        <v>-0.98144909999999996</v>
      </c>
      <c r="P1091">
        <v>-4.3878489999999999E-2</v>
      </c>
      <c r="Q1091">
        <v>0.12838250000000001</v>
      </c>
      <c r="R1091">
        <v>-0.99075369999999996</v>
      </c>
      <c r="S1091">
        <v>-0.2030487</v>
      </c>
      <c r="T1091">
        <v>-0.185001</v>
      </c>
      <c r="U1091">
        <v>-3.0424799999999999</v>
      </c>
      <c r="V1091">
        <v>0.2353325</v>
      </c>
      <c r="W1091">
        <v>0.1312566</v>
      </c>
      <c r="X1091">
        <v>0.96301110000000001</v>
      </c>
      <c r="Y1091">
        <v>0.25639440000000002</v>
      </c>
      <c r="Z1091">
        <v>5.7925909999999997E-2</v>
      </c>
      <c r="AA1091">
        <v>0.96483490000000005</v>
      </c>
      <c r="AB1091">
        <v>26</v>
      </c>
      <c r="AC1091">
        <v>-1.2494000000000001</v>
      </c>
      <c r="AD1091">
        <v>-1.1020542096570001</v>
      </c>
      <c r="AE1091">
        <v>-17.872399999999999</v>
      </c>
      <c r="AF1091">
        <v>4.6327792816833204</v>
      </c>
      <c r="AG1091">
        <v>-1.1020542096570001</v>
      </c>
      <c r="AH1091">
        <v>17.236754579580101</v>
      </c>
      <c r="AI1091">
        <v>93.533241132774705</v>
      </c>
      <c r="AJ1091">
        <v>74.955954593003298</v>
      </c>
      <c r="AK1091">
        <v>17.882473984057398</v>
      </c>
      <c r="AL1091">
        <v>82.457787775079694</v>
      </c>
      <c r="AM1091">
        <v>76.267673666456801</v>
      </c>
      <c r="AN1091">
        <v>1.0000000296614999</v>
      </c>
    </row>
    <row r="1092" spans="1:40" x14ac:dyDescent="0.25">
      <c r="A1092" t="str">
        <f>"20190312164241130"</f>
        <v>20190312164241130</v>
      </c>
      <c r="B1092" t="str">
        <f>"1552380161125443"</f>
        <v>1552380161125443</v>
      </c>
      <c r="C1092" t="s">
        <v>40</v>
      </c>
      <c r="D1092">
        <v>4.9009739999999997</v>
      </c>
      <c r="E1092">
        <v>0.51259489999999996</v>
      </c>
      <c r="F1092" t="s">
        <v>42</v>
      </c>
      <c r="G1092">
        <v>-192.44470000000001</v>
      </c>
      <c r="H1092" s="1">
        <v>-9.8486709999999997E-7</v>
      </c>
      <c r="I1092">
        <v>330.36860000000001</v>
      </c>
      <c r="J1092">
        <v>-191.14160000000001</v>
      </c>
      <c r="K1092">
        <v>1.1021449999999999</v>
      </c>
      <c r="L1092">
        <v>348.4846</v>
      </c>
      <c r="M1092">
        <v>0.17962709999999901</v>
      </c>
      <c r="N1092">
        <v>0</v>
      </c>
      <c r="O1092">
        <v>-0.98370590000000002</v>
      </c>
      <c r="P1092">
        <v>-4.9168209999999997E-2</v>
      </c>
      <c r="Q1092">
        <v>0.12970619999999999</v>
      </c>
      <c r="R1092">
        <v>-0.99033300000000002</v>
      </c>
      <c r="S1092">
        <v>-0.2083893</v>
      </c>
      <c r="T1092">
        <v>-0.18218719999999999</v>
      </c>
      <c r="U1092">
        <v>-3.0423580000000001</v>
      </c>
      <c r="V1092">
        <v>0.2287228</v>
      </c>
      <c r="W1092">
        <v>0.13284470000000001</v>
      </c>
      <c r="X1092">
        <v>0.96438489999999999</v>
      </c>
      <c r="Y1092">
        <v>0.24631739999999999</v>
      </c>
      <c r="Z1092">
        <v>5.7327700000000002E-2</v>
      </c>
      <c r="AA1092">
        <v>0.96749229999999997</v>
      </c>
      <c r="AB1092">
        <v>26</v>
      </c>
      <c r="AC1092">
        <v>-1.3030999999999999</v>
      </c>
      <c r="AD1092">
        <v>-1.1021459848671</v>
      </c>
      <c r="AE1092">
        <v>-18.1159999999999</v>
      </c>
      <c r="AF1092">
        <v>4.5194787306311301</v>
      </c>
      <c r="AG1092">
        <v>-1.1021459848671</v>
      </c>
      <c r="AH1092">
        <v>17.522720657291799</v>
      </c>
      <c r="AI1092">
        <v>93.485289982812603</v>
      </c>
      <c r="AJ1092">
        <v>75.537412248083697</v>
      </c>
      <c r="AK1092">
        <v>18.129703610430699</v>
      </c>
      <c r="AL1092">
        <v>82.365992522840202</v>
      </c>
      <c r="AM1092">
        <v>76.657701556148197</v>
      </c>
      <c r="AN1092">
        <v>1.00000003445296</v>
      </c>
    </row>
    <row r="1093" spans="1:40" x14ac:dyDescent="0.25">
      <c r="A1093" t="str">
        <f>"20190312164241172"</f>
        <v>20190312164241172</v>
      </c>
      <c r="B1093" t="str">
        <f>"1552380161165459"</f>
        <v>1552380161165459</v>
      </c>
      <c r="C1093" t="s">
        <v>40</v>
      </c>
      <c r="D1093">
        <v>4.91282</v>
      </c>
      <c r="E1093">
        <v>0.51212250000000004</v>
      </c>
      <c r="F1093" t="s">
        <v>42</v>
      </c>
      <c r="G1093">
        <v>-192.4879</v>
      </c>
      <c r="H1093" s="1">
        <v>-6.9630129999999996E-7</v>
      </c>
      <c r="I1093">
        <v>329.66919999999999</v>
      </c>
      <c r="J1093">
        <v>-191.07660000000001</v>
      </c>
      <c r="K1093">
        <v>1.1023769999999999</v>
      </c>
      <c r="L1093">
        <v>347.99619999999999</v>
      </c>
      <c r="M1093">
        <v>0.15988359999999999</v>
      </c>
      <c r="N1093">
        <v>0</v>
      </c>
      <c r="O1093">
        <v>-0.98710569999999997</v>
      </c>
      <c r="P1093">
        <v>-5.3104499999999999E-2</v>
      </c>
      <c r="Q1093">
        <v>0.13186400000000001</v>
      </c>
      <c r="R1093">
        <v>-0.98984459999999996</v>
      </c>
      <c r="S1093">
        <v>-0.21765139999999999</v>
      </c>
      <c r="T1093">
        <v>-0.17817910000000001</v>
      </c>
      <c r="U1093">
        <v>-3.0418090000000002</v>
      </c>
      <c r="V1093">
        <v>0.21312719999999999</v>
      </c>
      <c r="W1093">
        <v>0.1355712</v>
      </c>
      <c r="X1093">
        <v>0.96757289999999996</v>
      </c>
      <c r="Y1093">
        <v>0.2298142</v>
      </c>
      <c r="Z1093">
        <v>5.6491680000000002E-2</v>
      </c>
      <c r="AA1093">
        <v>0.97159359999999995</v>
      </c>
      <c r="AB1093">
        <v>26</v>
      </c>
      <c r="AC1093">
        <v>-1.41129999999998</v>
      </c>
      <c r="AD1093">
        <v>-1.1023776963012999</v>
      </c>
      <c r="AE1093">
        <v>-18.327000000000002</v>
      </c>
      <c r="AF1093">
        <v>4.3079232647190002</v>
      </c>
      <c r="AG1093">
        <v>-1.1023776963012999</v>
      </c>
      <c r="AH1093">
        <v>17.801546864535901</v>
      </c>
      <c r="AI1093">
        <v>93.444398720766102</v>
      </c>
      <c r="AJ1093">
        <v>76.396120734410403</v>
      </c>
      <c r="AK1093">
        <v>18.348528829589501</v>
      </c>
      <c r="AL1093">
        <v>82.208349372020905</v>
      </c>
      <c r="AM1093">
        <v>77.577831293193995</v>
      </c>
      <c r="AN1093">
        <v>1.0000000352318399</v>
      </c>
    </row>
    <row r="1094" spans="1:40" x14ac:dyDescent="0.25">
      <c r="A1094" t="str">
        <f>"20190312164241193"</f>
        <v>20190312164241193</v>
      </c>
      <c r="B1094" t="str">
        <f>"1552380161184980"</f>
        <v>1552380161184980</v>
      </c>
      <c r="C1094" t="s">
        <v>40</v>
      </c>
      <c r="D1094">
        <v>4.9159739999999896</v>
      </c>
      <c r="E1094">
        <v>0.51176820000000001</v>
      </c>
      <c r="F1094" t="s">
        <v>42</v>
      </c>
      <c r="G1094">
        <v>-192.51329999999999</v>
      </c>
      <c r="H1094" s="1">
        <v>-4.5063609999999997E-6</v>
      </c>
      <c r="I1094">
        <v>328.91890000000001</v>
      </c>
      <c r="J1094">
        <v>-191.04519999999999</v>
      </c>
      <c r="K1094">
        <v>1.1025240000000001</v>
      </c>
      <c r="L1094">
        <v>347.73259999999999</v>
      </c>
      <c r="M1094">
        <v>0.14958979999999999</v>
      </c>
      <c r="N1094">
        <v>0</v>
      </c>
      <c r="O1094">
        <v>-0.98871739999999997</v>
      </c>
      <c r="P1094">
        <v>-5.7967659999999997E-2</v>
      </c>
      <c r="Q1094">
        <v>0.13323460000000001</v>
      </c>
      <c r="R1094">
        <v>-0.98938800000000005</v>
      </c>
      <c r="S1094">
        <v>-0.22908020000000001</v>
      </c>
      <c r="T1094">
        <v>-0.1757756</v>
      </c>
      <c r="U1094">
        <v>-3.0419010000000002</v>
      </c>
      <c r="V1094">
        <v>0.2077444</v>
      </c>
      <c r="W1094">
        <v>0.1372033</v>
      </c>
      <c r="X1094">
        <v>0.96851299999999996</v>
      </c>
      <c r="Y1094">
        <v>0.22330059999999999</v>
      </c>
      <c r="Z1094">
        <v>5.5906079999999997E-2</v>
      </c>
      <c r="AA1094">
        <v>0.97314509999999999</v>
      </c>
      <c r="AB1094">
        <v>26</v>
      </c>
      <c r="AC1094">
        <v>-1.46809999999999</v>
      </c>
      <c r="AD1094">
        <v>-1.102528506361</v>
      </c>
      <c r="AE1094">
        <v>-18.813699999999901</v>
      </c>
      <c r="AF1094">
        <v>4.2514910209650898</v>
      </c>
      <c r="AG1094">
        <v>-1.102528506361</v>
      </c>
      <c r="AH1094">
        <v>18.319844504191298</v>
      </c>
      <c r="AI1094">
        <v>93.355081907203001</v>
      </c>
      <c r="AJ1094">
        <v>76.9346291486859</v>
      </c>
      <c r="AK1094">
        <v>18.838987437397801</v>
      </c>
      <c r="AL1094">
        <v>82.113954235322396</v>
      </c>
      <c r="AM1094">
        <v>77.893597458557394</v>
      </c>
      <c r="AN1094">
        <v>0.99999995621562299</v>
      </c>
    </row>
    <row r="1095" spans="1:40" x14ac:dyDescent="0.25">
      <c r="A1095" t="str">
        <f>"20190312164241216"</f>
        <v>20190312164241216</v>
      </c>
      <c r="B1095" t="str">
        <f>"1552380161205476"</f>
        <v>1552380161205476</v>
      </c>
      <c r="C1095" t="s">
        <v>40</v>
      </c>
      <c r="D1095">
        <v>4.91967</v>
      </c>
      <c r="E1095">
        <v>0.51145249999999998</v>
      </c>
      <c r="F1095" t="s">
        <v>42</v>
      </c>
      <c r="G1095">
        <v>-192.57550000000001</v>
      </c>
      <c r="H1095" s="1">
        <v>-4.3070579999999999E-6</v>
      </c>
      <c r="I1095">
        <v>328.30079999999998</v>
      </c>
      <c r="J1095">
        <v>-191.0164</v>
      </c>
      <c r="K1095">
        <v>1.102703</v>
      </c>
      <c r="L1095">
        <v>347.47039999999998</v>
      </c>
      <c r="M1095">
        <v>0.13964309999999999</v>
      </c>
      <c r="N1095">
        <v>0</v>
      </c>
      <c r="O1095">
        <v>-0.99017040000000001</v>
      </c>
      <c r="P1095">
        <v>-6.2608349999999993E-2</v>
      </c>
      <c r="Q1095">
        <v>0.1337139</v>
      </c>
      <c r="R1095">
        <v>-0.98904040000000004</v>
      </c>
      <c r="S1095">
        <v>-0.23950199999999999</v>
      </c>
      <c r="T1095">
        <v>-0.17256150000000001</v>
      </c>
      <c r="U1095">
        <v>-3.0413510000000001</v>
      </c>
      <c r="V1095">
        <v>0.20249</v>
      </c>
      <c r="W1095">
        <v>0.137952399999999</v>
      </c>
      <c r="X1095">
        <v>0.96951889999999996</v>
      </c>
      <c r="Y1095">
        <v>0.21682989999999999</v>
      </c>
      <c r="Z1095">
        <v>5.5054609999999997E-2</v>
      </c>
      <c r="AA1095">
        <v>0.97465570000000001</v>
      </c>
      <c r="AB1095">
        <v>26</v>
      </c>
      <c r="AC1095">
        <v>-1.5590999999999999</v>
      </c>
      <c r="AD1095">
        <v>-1.102707307058</v>
      </c>
      <c r="AE1095">
        <v>-19.169599999999999</v>
      </c>
      <c r="AF1095">
        <v>4.20697935751949</v>
      </c>
      <c r="AG1095">
        <v>-1.102707307058</v>
      </c>
      <c r="AH1095">
        <v>18.7025584876192</v>
      </c>
      <c r="AI1095">
        <v>93.292191766579904</v>
      </c>
      <c r="AJ1095">
        <v>77.322813265108707</v>
      </c>
      <c r="AK1095">
        <v>19.201571099846301</v>
      </c>
      <c r="AL1095">
        <v>82.070622113657393</v>
      </c>
      <c r="AM1095">
        <v>78.203004074251893</v>
      </c>
      <c r="AN1095">
        <v>0.99999998111148403</v>
      </c>
    </row>
    <row r="1096" spans="1:40" x14ac:dyDescent="0.25">
      <c r="A1096" t="str">
        <f>"20190312164241239"</f>
        <v>20190312164241239</v>
      </c>
      <c r="B1096" t="str">
        <f>"1552380161234756"</f>
        <v>1552380161234756</v>
      </c>
      <c r="C1096" t="s">
        <v>40</v>
      </c>
      <c r="D1096">
        <v>4.9274570000000004</v>
      </c>
      <c r="E1096">
        <v>0.51100489999999998</v>
      </c>
      <c r="F1096" t="s">
        <v>42</v>
      </c>
      <c r="G1096">
        <v>-192.61429999999999</v>
      </c>
      <c r="H1096" s="1">
        <v>-4.2202909999999996E-6</v>
      </c>
      <c r="I1096">
        <v>328.0256</v>
      </c>
      <c r="J1096">
        <v>-190.98869999999999</v>
      </c>
      <c r="K1096">
        <v>1.1029420000000001</v>
      </c>
      <c r="L1096">
        <v>347.19650000000001</v>
      </c>
      <c r="M1096">
        <v>0.1296436</v>
      </c>
      <c r="N1096">
        <v>0</v>
      </c>
      <c r="O1096">
        <v>-0.99152850000000003</v>
      </c>
      <c r="P1096">
        <v>-6.6142190000000003E-2</v>
      </c>
      <c r="Q1096">
        <v>0.132776799999999</v>
      </c>
      <c r="R1096">
        <v>-0.9889367</v>
      </c>
      <c r="S1096">
        <v>-0.24987789999999999</v>
      </c>
      <c r="T1096">
        <v>-0.1724378</v>
      </c>
      <c r="U1096">
        <v>-3.0407099999999998</v>
      </c>
      <c r="V1096">
        <v>0.1960896</v>
      </c>
      <c r="W1096">
        <v>0.1373374</v>
      </c>
      <c r="X1096">
        <v>0.97092089999999998</v>
      </c>
      <c r="Y1096">
        <v>0.21029419999999999</v>
      </c>
      <c r="Z1096">
        <v>5.5175059999999998E-2</v>
      </c>
      <c r="AA1096">
        <v>0.9760799</v>
      </c>
      <c r="AB1096">
        <v>26</v>
      </c>
      <c r="AC1096">
        <v>-1.6255999999999899</v>
      </c>
      <c r="AD1096">
        <v>-1.1029462202910001</v>
      </c>
      <c r="AE1096">
        <v>-19.1709</v>
      </c>
      <c r="AF1096">
        <v>4.0839227195366297</v>
      </c>
      <c r="AG1096">
        <v>-1.1029462202910001</v>
      </c>
      <c r="AH1096">
        <v>18.7367691376501</v>
      </c>
      <c r="AI1096">
        <v>93.291739217922995</v>
      </c>
      <c r="AJ1096">
        <v>77.703951486937896</v>
      </c>
      <c r="AK1096">
        <v>19.208368823551801</v>
      </c>
      <c r="AL1096">
        <v>82.106198134484998</v>
      </c>
      <c r="AM1096">
        <v>78.5819909007121</v>
      </c>
      <c r="AN1096">
        <v>1.0000000433618601</v>
      </c>
    </row>
    <row r="1097" spans="1:40" x14ac:dyDescent="0.25">
      <c r="A1097" t="str">
        <f>"20190312164241261"</f>
        <v>20190312164241261</v>
      </c>
      <c r="B1097" t="str">
        <f>"1552380161255252"</f>
        <v>1552380161255252</v>
      </c>
      <c r="C1097" t="s">
        <v>40</v>
      </c>
      <c r="D1097">
        <v>4.8915829999999998</v>
      </c>
      <c r="E1097">
        <v>0.51065890000000003</v>
      </c>
      <c r="F1097" t="s">
        <v>42</v>
      </c>
      <c r="G1097">
        <v>-192.60220000000001</v>
      </c>
      <c r="H1097" s="1">
        <v>-4.2955029999999997E-6</v>
      </c>
      <c r="I1097">
        <v>328.25290000000001</v>
      </c>
      <c r="J1097">
        <v>-190.9657</v>
      </c>
      <c r="K1097">
        <v>1.103191</v>
      </c>
      <c r="L1097">
        <v>346.94819999999999</v>
      </c>
      <c r="M1097">
        <v>0.12097040000000001</v>
      </c>
      <c r="N1097">
        <v>0</v>
      </c>
      <c r="O1097">
        <v>-0.99262320000000004</v>
      </c>
      <c r="P1097">
        <v>-6.8657830000000003E-2</v>
      </c>
      <c r="Q1097">
        <v>0.13196669999999999</v>
      </c>
      <c r="R1097">
        <v>-0.98887360000000002</v>
      </c>
      <c r="S1097">
        <v>-0.2589264</v>
      </c>
      <c r="T1097">
        <v>-0.1769994</v>
      </c>
      <c r="U1097">
        <v>-3.0400390000000002</v>
      </c>
      <c r="V1097">
        <v>0.18998419999999999</v>
      </c>
      <c r="W1097">
        <v>0.13683629999999999</v>
      </c>
      <c r="X1097">
        <v>0.97220459999999997</v>
      </c>
      <c r="Y1097">
        <v>0.2046395</v>
      </c>
      <c r="Z1097">
        <v>5.6765549999999998E-2</v>
      </c>
      <c r="AA1097">
        <v>0.97719</v>
      </c>
      <c r="AB1097">
        <v>26</v>
      </c>
      <c r="AC1097">
        <v>-1.6365000000000101</v>
      </c>
      <c r="AD1097">
        <v>-1.103195295503</v>
      </c>
      <c r="AE1097">
        <v>-18.6952999999999</v>
      </c>
      <c r="AF1097">
        <v>3.87275004012242</v>
      </c>
      <c r="AG1097">
        <v>-1.103195295503</v>
      </c>
      <c r="AH1097">
        <v>18.2967937277004</v>
      </c>
      <c r="AI1097">
        <v>93.3758276714928</v>
      </c>
      <c r="AJ1097">
        <v>78.049005703659205</v>
      </c>
      <c r="AK1097">
        <v>18.7346708924204</v>
      </c>
      <c r="AL1097">
        <v>82.135182163756497</v>
      </c>
      <c r="AM1097">
        <v>78.942838488014999</v>
      </c>
      <c r="AN1097">
        <v>0.99999997675424401</v>
      </c>
    </row>
    <row r="1098" spans="1:40" x14ac:dyDescent="0.25">
      <c r="A1098" t="str">
        <f>"20190312164241287"</f>
        <v>20190312164241287</v>
      </c>
      <c r="B1098" t="str">
        <f>"1552380161274773"</f>
        <v>1552380161274773</v>
      </c>
      <c r="C1098" t="s">
        <v>40</v>
      </c>
      <c r="D1098">
        <v>4.9148110000000003</v>
      </c>
      <c r="E1098">
        <v>0.51048559999999998</v>
      </c>
      <c r="F1098" t="s">
        <v>42</v>
      </c>
      <c r="G1098">
        <v>-192.5889</v>
      </c>
      <c r="H1098" s="1">
        <v>-4.3421159999999999E-6</v>
      </c>
      <c r="I1098">
        <v>328.39690000000002</v>
      </c>
      <c r="J1098">
        <v>-190.9402</v>
      </c>
      <c r="K1098">
        <v>1.103532</v>
      </c>
      <c r="L1098">
        <v>346.64609999999999</v>
      </c>
      <c r="M1098">
        <v>0.11098719999999999</v>
      </c>
      <c r="N1098">
        <v>0</v>
      </c>
      <c r="O1098">
        <v>-0.99378789999999995</v>
      </c>
      <c r="P1098">
        <v>-7.2504170000000007E-2</v>
      </c>
      <c r="Q1098">
        <v>0.1316572</v>
      </c>
      <c r="R1098">
        <v>-0.98864050000000003</v>
      </c>
      <c r="S1098">
        <v>-0.2659454</v>
      </c>
      <c r="T1098">
        <v>-0.1807463</v>
      </c>
      <c r="U1098">
        <v>-3.0394290000000002</v>
      </c>
      <c r="V1098">
        <v>0.1838775</v>
      </c>
      <c r="W1098">
        <v>0.13689770000000001</v>
      </c>
      <c r="X1098">
        <v>0.9733695</v>
      </c>
      <c r="Y1098">
        <v>0.1970452</v>
      </c>
      <c r="Z1098">
        <v>5.8118789999999997E-2</v>
      </c>
      <c r="AA1098">
        <v>0.97867020000000005</v>
      </c>
      <c r="AB1098">
        <v>26</v>
      </c>
      <c r="AC1098">
        <v>-1.6486999999999901</v>
      </c>
      <c r="AD1098">
        <v>-1.103536342116</v>
      </c>
      <c r="AE1098">
        <v>-18.249199999999899</v>
      </c>
      <c r="AF1098">
        <v>3.6507677233193498</v>
      </c>
      <c r="AG1098">
        <v>-1.103536342116</v>
      </c>
      <c r="AH1098">
        <v>17.888572041553999</v>
      </c>
      <c r="AI1098">
        <v>93.458952485607995</v>
      </c>
      <c r="AJ1098">
        <v>78.465260240922007</v>
      </c>
      <c r="AK1098">
        <v>18.2906234752637</v>
      </c>
      <c r="AL1098">
        <v>82.131631357527795</v>
      </c>
      <c r="AM1098">
        <v>79.302419813240206</v>
      </c>
      <c r="AN1098">
        <v>1.00000004940089</v>
      </c>
    </row>
    <row r="1099" spans="1:40" x14ac:dyDescent="0.25">
      <c r="A1099" t="str">
        <f>"20190312164241334"</f>
        <v>20190312164241334</v>
      </c>
      <c r="B1099" t="str">
        <f>"1552380161325332"</f>
        <v>1552380161325332</v>
      </c>
      <c r="C1099" t="s">
        <v>40</v>
      </c>
      <c r="D1099">
        <v>4.9059689999999998</v>
      </c>
      <c r="E1099">
        <v>0.50960269999999996</v>
      </c>
      <c r="F1099" t="s">
        <v>42</v>
      </c>
      <c r="G1099">
        <v>-192.61410000000001</v>
      </c>
      <c r="H1099" s="1">
        <v>-4.2949899999999997E-6</v>
      </c>
      <c r="I1099">
        <v>328.24520000000001</v>
      </c>
      <c r="J1099">
        <v>-190.89949999999999</v>
      </c>
      <c r="K1099">
        <v>1.104131</v>
      </c>
      <c r="L1099">
        <v>346.09230000000002</v>
      </c>
      <c r="M1099">
        <v>9.401996E-2</v>
      </c>
      <c r="N1099">
        <v>0</v>
      </c>
      <c r="O1099">
        <v>-0.99553409999999998</v>
      </c>
      <c r="P1099">
        <v>-7.5865450000000001E-2</v>
      </c>
      <c r="Q1099">
        <v>0.12966059999999999</v>
      </c>
      <c r="R1099">
        <v>-0.98865190000000003</v>
      </c>
      <c r="S1099">
        <v>-0.27641300000000002</v>
      </c>
      <c r="T1099">
        <v>-0.18222369999999999</v>
      </c>
      <c r="U1099">
        <v>-3.0384829999999998</v>
      </c>
      <c r="V1099">
        <v>0.1703683</v>
      </c>
      <c r="W1099">
        <v>0.13562689999999999</v>
      </c>
      <c r="X1099">
        <v>0.97600200000000004</v>
      </c>
      <c r="Y1099">
        <v>0.1836729</v>
      </c>
      <c r="Z1099">
        <v>5.8835749999999999E-2</v>
      </c>
      <c r="AA1099">
        <v>0.98122509999999996</v>
      </c>
      <c r="AB1099">
        <v>26</v>
      </c>
      <c r="AC1099">
        <v>-1.7146000000000099</v>
      </c>
      <c r="AD1099">
        <v>-1.1041352949900001</v>
      </c>
      <c r="AE1099">
        <v>-17.847100000000001</v>
      </c>
      <c r="AF1099">
        <v>3.3722593279645898</v>
      </c>
      <c r="AG1099">
        <v>-1.1041352949900001</v>
      </c>
      <c r="AH1099">
        <v>17.5403041468807</v>
      </c>
      <c r="AI1099">
        <v>93.537316305164794</v>
      </c>
      <c r="AJ1099">
        <v>79.117232661437399</v>
      </c>
      <c r="AK1099">
        <v>17.895628440760799</v>
      </c>
      <c r="AL1099">
        <v>82.205127646964598</v>
      </c>
      <c r="AM1099">
        <v>80.098365981810801</v>
      </c>
      <c r="AN1099">
        <v>0.99999995882624904</v>
      </c>
    </row>
    <row r="1100" spans="1:40" x14ac:dyDescent="0.25">
      <c r="A1100" t="str">
        <f>"20190312164241355"</f>
        <v>20190312164241355</v>
      </c>
      <c r="B1100" t="str">
        <f>"1552380161344852"</f>
        <v>1552380161344852</v>
      </c>
      <c r="C1100" t="s">
        <v>40</v>
      </c>
      <c r="D1100">
        <v>5.520594</v>
      </c>
      <c r="E1100">
        <v>0.50930339999999996</v>
      </c>
      <c r="F1100" t="s">
        <v>42</v>
      </c>
      <c r="G1100">
        <v>-192.53540000000001</v>
      </c>
      <c r="H1100" s="1">
        <v>-4.3712779999999998E-6</v>
      </c>
      <c r="I1100">
        <v>328.5104</v>
      </c>
      <c r="J1100">
        <v>-190.8828</v>
      </c>
      <c r="K1100">
        <v>1.1043540000000001</v>
      </c>
      <c r="L1100">
        <v>345.82679999999999</v>
      </c>
      <c r="M1100">
        <v>8.6411100000000005E-2</v>
      </c>
      <c r="N1100">
        <v>0</v>
      </c>
      <c r="O1100">
        <v>-0.99622200000000005</v>
      </c>
      <c r="P1100">
        <v>-7.6915419999999998E-2</v>
      </c>
      <c r="Q1100">
        <v>0.12918869999999999</v>
      </c>
      <c r="R1100">
        <v>-0.98863239999999997</v>
      </c>
      <c r="S1100">
        <v>-0.28263850000000001</v>
      </c>
      <c r="T1100">
        <v>-0.1907701</v>
      </c>
      <c r="U1100">
        <v>-3.03775</v>
      </c>
      <c r="V1100">
        <v>0.16387270000000001</v>
      </c>
      <c r="W1100">
        <v>0.13547999999999999</v>
      </c>
      <c r="X1100">
        <v>0.97713399999999995</v>
      </c>
      <c r="Y1100">
        <v>0.1781596</v>
      </c>
      <c r="Z1100">
        <v>6.1690120000000001E-2</v>
      </c>
      <c r="AA1100">
        <v>0.98206590000000005</v>
      </c>
      <c r="AB1100">
        <v>26</v>
      </c>
      <c r="AC1100">
        <v>-1.6526000000000001</v>
      </c>
      <c r="AD1100">
        <v>-1.1043583712780001</v>
      </c>
      <c r="AE1100">
        <v>-17.316399999999899</v>
      </c>
      <c r="AF1100">
        <v>3.1301868098472898</v>
      </c>
      <c r="AG1100">
        <v>-1.1043583712780001</v>
      </c>
      <c r="AH1100">
        <v>17.040134381513599</v>
      </c>
      <c r="AI1100">
        <v>93.647254021879206</v>
      </c>
      <c r="AJ1100">
        <v>79.5910975345179</v>
      </c>
      <c r="AK1100">
        <v>17.360410611987099</v>
      </c>
      <c r="AL1100">
        <v>82.213622919048206</v>
      </c>
      <c r="AM1100">
        <v>80.479664030216995</v>
      </c>
      <c r="AN1100">
        <v>0.99999997308064403</v>
      </c>
    </row>
    <row r="1101" spans="1:40" x14ac:dyDescent="0.25">
      <c r="A1101" t="str">
        <f>"20190312164241376"</f>
        <v>20190312164241376</v>
      </c>
      <c r="B1101" t="str">
        <f>"1552380161365349"</f>
        <v>1552380161365349</v>
      </c>
      <c r="C1101" t="s">
        <v>40</v>
      </c>
      <c r="D1101">
        <v>5.0399890000000003</v>
      </c>
      <c r="E1101">
        <v>0.50904700000000003</v>
      </c>
      <c r="F1101" t="s">
        <v>42</v>
      </c>
      <c r="G1101">
        <v>-192.51509999999999</v>
      </c>
      <c r="H1101" s="1">
        <v>-4.3477169999999997E-6</v>
      </c>
      <c r="I1101">
        <v>328.45179999999999</v>
      </c>
      <c r="J1101">
        <v>-190.8689</v>
      </c>
      <c r="K1101">
        <v>1.1045609999999999</v>
      </c>
      <c r="L1101">
        <v>345.58359999999999</v>
      </c>
      <c r="M1101">
        <v>7.9768439999999996E-2</v>
      </c>
      <c r="N1101">
        <v>0</v>
      </c>
      <c r="O1101">
        <v>-0.99677470000000001</v>
      </c>
      <c r="P1101">
        <v>-7.7146779999999998E-2</v>
      </c>
      <c r="Q1101">
        <v>0.1286196</v>
      </c>
      <c r="R1101">
        <v>-0.98868920000000005</v>
      </c>
      <c r="S1101">
        <v>-0.28536990000000001</v>
      </c>
      <c r="T1101">
        <v>-0.1930625</v>
      </c>
      <c r="U1101">
        <v>-3.0374759999999998</v>
      </c>
      <c r="V1101">
        <v>0.1575211</v>
      </c>
      <c r="W1101">
        <v>0.1352315</v>
      </c>
      <c r="X1101">
        <v>0.97821239999999998</v>
      </c>
      <c r="Y1101">
        <v>0.17247680000000001</v>
      </c>
      <c r="Z1101">
        <v>6.2516160000000001E-2</v>
      </c>
      <c r="AA1101">
        <v>0.98302769999999995</v>
      </c>
      <c r="AB1101">
        <v>26</v>
      </c>
      <c r="AC1101">
        <v>-1.6461999999999899</v>
      </c>
      <c r="AD1101">
        <v>-1.1045653477169901</v>
      </c>
      <c r="AE1101">
        <v>-17.131799999999998</v>
      </c>
      <c r="AF1101">
        <v>2.9952463229799</v>
      </c>
      <c r="AG1101">
        <v>-1.1045653477169901</v>
      </c>
      <c r="AH1101">
        <v>16.876371341862701</v>
      </c>
      <c r="AI1101">
        <v>93.687230543643096</v>
      </c>
      <c r="AJ1101">
        <v>79.935849614599505</v>
      </c>
      <c r="AK1101">
        <v>17.175665192683098</v>
      </c>
      <c r="AL1101">
        <v>82.227993203946994</v>
      </c>
      <c r="AM1101">
        <v>80.852216033460707</v>
      </c>
      <c r="AN1101">
        <v>0.99999997752560899</v>
      </c>
    </row>
    <row r="1102" spans="1:40" x14ac:dyDescent="0.25">
      <c r="A1102" t="str">
        <f>"20190312164241398"</f>
        <v>20190312164241398</v>
      </c>
      <c r="B1102" t="str">
        <f>"1552380161385538"</f>
        <v>1552380161385538</v>
      </c>
      <c r="C1102" t="s">
        <v>40</v>
      </c>
      <c r="D1102">
        <v>5.1967749999999997</v>
      </c>
      <c r="E1102">
        <v>0.50877209999999995</v>
      </c>
      <c r="F1102" t="s">
        <v>42</v>
      </c>
      <c r="G1102">
        <v>-192.46610000000001</v>
      </c>
      <c r="H1102" s="1">
        <v>-4.3553630000000003E-6</v>
      </c>
      <c r="I1102">
        <v>328.49979999999999</v>
      </c>
      <c r="J1102">
        <v>-190.85560000000001</v>
      </c>
      <c r="K1102">
        <v>1.104824</v>
      </c>
      <c r="L1102">
        <v>345.32299999999998</v>
      </c>
      <c r="M1102">
        <v>7.30243E-2</v>
      </c>
      <c r="N1102">
        <v>0</v>
      </c>
      <c r="O1102">
        <v>-0.99728939999999999</v>
      </c>
      <c r="P1102">
        <v>-7.6807009999999995E-2</v>
      </c>
      <c r="Q1102">
        <v>0.12914339999999999</v>
      </c>
      <c r="R1102">
        <v>-0.98864730000000001</v>
      </c>
      <c r="S1102">
        <v>-0.28399659999999999</v>
      </c>
      <c r="T1102">
        <v>-0.1964053</v>
      </c>
      <c r="U1102">
        <v>-3.0377200000000002</v>
      </c>
      <c r="V1102">
        <v>0.15048800000000001</v>
      </c>
      <c r="W1102">
        <v>0.13614709999999999</v>
      </c>
      <c r="X1102">
        <v>0.97919219999999896</v>
      </c>
      <c r="Y1102">
        <v>0.16535529999999901</v>
      </c>
      <c r="Z1102">
        <v>6.3679669999999994E-2</v>
      </c>
      <c r="AA1102">
        <v>0.98417600000000005</v>
      </c>
      <c r="AB1102">
        <v>26</v>
      </c>
      <c r="AC1102">
        <v>-1.6105</v>
      </c>
      <c r="AD1102">
        <v>-1.1048283553630001</v>
      </c>
      <c r="AE1102">
        <v>-16.8232</v>
      </c>
      <c r="AF1102">
        <v>2.8226887195330002</v>
      </c>
      <c r="AG1102">
        <v>-1.1048283553630001</v>
      </c>
      <c r="AH1102">
        <v>16.589769951368901</v>
      </c>
      <c r="AI1102">
        <v>93.756273130802697</v>
      </c>
      <c r="AJ1102">
        <v>80.343805455736003</v>
      </c>
      <c r="AK1102">
        <v>16.864420664272298</v>
      </c>
      <c r="AL1102">
        <v>82.175043793082295</v>
      </c>
      <c r="AM1102">
        <v>81.2628094987314</v>
      </c>
      <c r="AN1102">
        <v>1.00000001776162</v>
      </c>
    </row>
    <row r="1103" spans="1:40" x14ac:dyDescent="0.25">
      <c r="A1103" t="str">
        <f>"20190312164241419"</f>
        <v>20190312164241419</v>
      </c>
      <c r="B1103" t="str">
        <f>"1552380161414807"</f>
        <v>1552380161414807</v>
      </c>
      <c r="C1103" t="s">
        <v>40</v>
      </c>
      <c r="D1103">
        <v>4.900474</v>
      </c>
      <c r="E1103">
        <v>0.50842869999999996</v>
      </c>
      <c r="F1103" t="s">
        <v>42</v>
      </c>
      <c r="G1103">
        <v>-192.44839999999999</v>
      </c>
      <c r="H1103" s="1">
        <v>-4.2403010000000001E-6</v>
      </c>
      <c r="I1103">
        <v>328.17090000000002</v>
      </c>
      <c r="J1103">
        <v>-190.84379999999999</v>
      </c>
      <c r="K1103">
        <v>1.105145</v>
      </c>
      <c r="L1103">
        <v>345.06760000000003</v>
      </c>
      <c r="M1103">
        <v>6.6782259999999996E-2</v>
      </c>
      <c r="N1103">
        <v>0</v>
      </c>
      <c r="O1103">
        <v>-0.99772450000000001</v>
      </c>
      <c r="P1103">
        <v>-7.6073870000000002E-2</v>
      </c>
      <c r="Q1103">
        <v>0.12960919999999901</v>
      </c>
      <c r="R1103">
        <v>-0.98864260000000004</v>
      </c>
      <c r="S1103">
        <v>-0.28213500000000002</v>
      </c>
      <c r="T1103">
        <v>-0.19569349999999999</v>
      </c>
      <c r="U1103">
        <v>-3.0380859999999998</v>
      </c>
      <c r="V1103">
        <v>0.14354040000000001</v>
      </c>
      <c r="W1103">
        <v>0.13703470000000001</v>
      </c>
      <c r="X1103">
        <v>0.98011110000000001</v>
      </c>
      <c r="Y1103">
        <v>0.15857270000000001</v>
      </c>
      <c r="Z1103">
        <v>6.3521900000000006E-2</v>
      </c>
      <c r="AA1103">
        <v>0.98530180000000001</v>
      </c>
      <c r="AB1103">
        <v>26</v>
      </c>
      <c r="AC1103">
        <v>-1.6046</v>
      </c>
      <c r="AD1103">
        <v>-1.1051492403009999</v>
      </c>
      <c r="AE1103">
        <v>-16.896699999999999</v>
      </c>
      <c r="AF1103">
        <v>2.7179424859902102</v>
      </c>
      <c r="AG1103">
        <v>-1.1051492403009999</v>
      </c>
      <c r="AH1103">
        <v>16.681089242741798</v>
      </c>
      <c r="AI1103">
        <v>93.741206586434004</v>
      </c>
      <c r="AJ1103">
        <v>80.745802157501601</v>
      </c>
      <c r="AK1103">
        <v>16.937157510184601</v>
      </c>
      <c r="AL1103">
        <v>82.123707255233398</v>
      </c>
      <c r="AM1103">
        <v>81.668082363161702</v>
      </c>
      <c r="AN1103">
        <v>1.00000006188972</v>
      </c>
    </row>
    <row r="1104" spans="1:40" x14ac:dyDescent="0.25">
      <c r="A1104" t="str">
        <f>"20190312164241441"</f>
        <v>20190312164241441</v>
      </c>
      <c r="B1104" t="str">
        <f>"1552380161435303"</f>
        <v>1552380161435303</v>
      </c>
      <c r="C1104" t="s">
        <v>40</v>
      </c>
      <c r="D1104">
        <v>4.9349030000000003</v>
      </c>
      <c r="E1104">
        <v>0.50810770000000005</v>
      </c>
      <c r="F1104" t="s">
        <v>42</v>
      </c>
      <c r="G1104">
        <v>-192.40430000000001</v>
      </c>
      <c r="H1104" s="1">
        <v>-4.1657709999999998E-6</v>
      </c>
      <c r="I1104">
        <v>327.97489999999999</v>
      </c>
      <c r="J1104">
        <v>-190.8331</v>
      </c>
      <c r="K1104">
        <v>1.105507</v>
      </c>
      <c r="L1104">
        <v>344.80509999999998</v>
      </c>
      <c r="M1104">
        <v>6.0745609999999998E-2</v>
      </c>
      <c r="N1104">
        <v>0</v>
      </c>
      <c r="O1104">
        <v>-0.99810790000000005</v>
      </c>
      <c r="P1104">
        <v>-7.5817460000000003E-2</v>
      </c>
      <c r="Q1104">
        <v>0.13039189999999901</v>
      </c>
      <c r="R1104">
        <v>-0.98855939999999998</v>
      </c>
      <c r="S1104">
        <v>-0.27742</v>
      </c>
      <c r="T1104">
        <v>-0.19648080000000001</v>
      </c>
      <c r="U1104">
        <v>-3.0388489999999999</v>
      </c>
      <c r="V1104">
        <v>0.13725039999999999</v>
      </c>
      <c r="W1104">
        <v>0.1382612</v>
      </c>
      <c r="X1104">
        <v>0.98083949999999998</v>
      </c>
      <c r="Y1104">
        <v>0.15105550000000001</v>
      </c>
      <c r="Z1104">
        <v>6.3840259999999996E-2</v>
      </c>
      <c r="AA1104">
        <v>0.9864617</v>
      </c>
      <c r="AB1104">
        <v>26</v>
      </c>
      <c r="AC1104">
        <v>-1.5711999999999999</v>
      </c>
      <c r="AD1104">
        <v>-1.1055111657709999</v>
      </c>
      <c r="AE1104">
        <v>-16.830199999999898</v>
      </c>
      <c r="AF1104">
        <v>2.5796709827269502</v>
      </c>
      <c r="AG1104">
        <v>-1.1055111657709999</v>
      </c>
      <c r="AH1104">
        <v>16.632524858459099</v>
      </c>
      <c r="AI1104">
        <v>93.757876489915603</v>
      </c>
      <c r="AJ1104">
        <v>81.183785047584706</v>
      </c>
      <c r="AK1104">
        <v>16.8676536745342</v>
      </c>
      <c r="AL1104">
        <v>82.052757967806599</v>
      </c>
      <c r="AM1104">
        <v>82.034235661526097</v>
      </c>
      <c r="AN1104">
        <v>0.99999997824292397</v>
      </c>
    </row>
    <row r="1105" spans="1:40" x14ac:dyDescent="0.25">
      <c r="A1105" t="str">
        <f>"20190312164241463"</f>
        <v>20190312164241463</v>
      </c>
      <c r="B1105" t="str">
        <f>"1552380161454823"</f>
        <v>1552380161454823</v>
      </c>
      <c r="C1105" t="s">
        <v>40</v>
      </c>
      <c r="D1105">
        <v>4.9342920000000001</v>
      </c>
      <c r="E1105">
        <v>0.50783500000000004</v>
      </c>
      <c r="F1105" t="s">
        <v>42</v>
      </c>
      <c r="G1105">
        <v>-192.38990000000001</v>
      </c>
      <c r="H1105" s="1">
        <v>-4.0306220000000002E-6</v>
      </c>
      <c r="I1105">
        <v>327.58519999999999</v>
      </c>
      <c r="J1105">
        <v>-190.82329999999999</v>
      </c>
      <c r="K1105">
        <v>1.1059000000000001</v>
      </c>
      <c r="L1105">
        <v>344.53879999999998</v>
      </c>
      <c r="M1105">
        <v>5.508507E-2</v>
      </c>
      <c r="N1105">
        <v>0</v>
      </c>
      <c r="O1105">
        <v>-0.99843320000000002</v>
      </c>
      <c r="P1105">
        <v>-7.5161030000000004E-2</v>
      </c>
      <c r="Q1105">
        <v>0.13070809999999999</v>
      </c>
      <c r="R1105">
        <v>-0.9885678</v>
      </c>
      <c r="S1105">
        <v>-0.27479550000000003</v>
      </c>
      <c r="T1105">
        <v>-0.1951262</v>
      </c>
      <c r="U1105">
        <v>-3.0393680000000001</v>
      </c>
      <c r="V1105">
        <v>0.13091749999999999</v>
      </c>
      <c r="W1105">
        <v>0.139050799999999</v>
      </c>
      <c r="X1105">
        <v>0.98159339999999995</v>
      </c>
      <c r="Y1105">
        <v>0.14458969999999999</v>
      </c>
      <c r="Z1105">
        <v>6.3456100000000001E-2</v>
      </c>
      <c r="AA1105">
        <v>0.98745490000000002</v>
      </c>
      <c r="AB1105">
        <v>26</v>
      </c>
      <c r="AC1105">
        <v>-1.56660000000002</v>
      </c>
      <c r="AD1105">
        <v>-1.105904030622</v>
      </c>
      <c r="AE1105">
        <v>-16.953599999999899</v>
      </c>
      <c r="AF1105">
        <v>2.4876609258585098</v>
      </c>
      <c r="AG1105">
        <v>-1.105904030622</v>
      </c>
      <c r="AH1105">
        <v>16.7707983617812</v>
      </c>
      <c r="AI1105">
        <v>93.732033372681599</v>
      </c>
      <c r="AJ1105">
        <v>81.562673864696194</v>
      </c>
      <c r="AK1105">
        <v>16.990325432389898</v>
      </c>
      <c r="AL1105">
        <v>82.007076614028193</v>
      </c>
      <c r="AM1105">
        <v>82.403155526287705</v>
      </c>
      <c r="AN1105">
        <v>1.0000000598552199</v>
      </c>
    </row>
    <row r="1106" spans="1:40" x14ac:dyDescent="0.25">
      <c r="A1106" t="str">
        <f>"20190312164241485"</f>
        <v>20190312164241485</v>
      </c>
      <c r="B1106" t="str">
        <f>"1552380161475319"</f>
        <v>1552380161475319</v>
      </c>
      <c r="C1106" t="s">
        <v>40</v>
      </c>
      <c r="D1106">
        <v>4.9390939999999999</v>
      </c>
      <c r="E1106">
        <v>0.50757779999999997</v>
      </c>
      <c r="F1106" t="s">
        <v>42</v>
      </c>
      <c r="G1106">
        <v>-192.3614</v>
      </c>
      <c r="H1106" s="1">
        <v>-3.9281870000000002E-6</v>
      </c>
      <c r="I1106">
        <v>327.29910000000001</v>
      </c>
      <c r="J1106">
        <v>-190.81489999999999</v>
      </c>
      <c r="K1106">
        <v>1.1062940000000001</v>
      </c>
      <c r="L1106">
        <v>344.28280000000001</v>
      </c>
      <c r="M1106">
        <v>5.0088430000000003E-2</v>
      </c>
      <c r="N1106">
        <v>0</v>
      </c>
      <c r="O1106">
        <v>-0.99869350000000001</v>
      </c>
      <c r="P1106">
        <v>-7.4604030000000002E-2</v>
      </c>
      <c r="Q1106">
        <v>0.1321215</v>
      </c>
      <c r="R1106">
        <v>-0.98842229999999998</v>
      </c>
      <c r="S1106">
        <v>-0.27119450000000001</v>
      </c>
      <c r="T1106">
        <v>-0.19500100000000001</v>
      </c>
      <c r="U1106">
        <v>-3.039825</v>
      </c>
      <c r="V1106">
        <v>0.1253368</v>
      </c>
      <c r="W1106">
        <v>0.14092569999999999</v>
      </c>
      <c r="X1106">
        <v>0.98205430000000005</v>
      </c>
      <c r="Y1106">
        <v>0.13846229999999901</v>
      </c>
      <c r="Z1106">
        <v>6.3462640000000001E-2</v>
      </c>
      <c r="AA1106">
        <v>0.98833230000000005</v>
      </c>
      <c r="AB1106">
        <v>26</v>
      </c>
      <c r="AC1106">
        <v>-1.5465</v>
      </c>
      <c r="AD1106">
        <v>-1.106297928187</v>
      </c>
      <c r="AE1106">
        <v>-16.983699999999999</v>
      </c>
      <c r="AF1106">
        <v>2.3852515108824099</v>
      </c>
      <c r="AG1106">
        <v>-1.106297928187</v>
      </c>
      <c r="AH1106">
        <v>16.814157064798401</v>
      </c>
      <c r="AI1106">
        <v>93.727176030765094</v>
      </c>
      <c r="AJ1106">
        <v>81.9259109492493</v>
      </c>
      <c r="AK1106">
        <v>17.018495752439101</v>
      </c>
      <c r="AL1106">
        <v>81.898584013006896</v>
      </c>
      <c r="AM1106">
        <v>82.726822553373097</v>
      </c>
      <c r="AN1106">
        <v>1.00000000725161</v>
      </c>
    </row>
    <row r="1107" spans="1:40" x14ac:dyDescent="0.25">
      <c r="A1107" t="str">
        <f>"20190312164241508"</f>
        <v>20190312164241508</v>
      </c>
      <c r="B1107" t="str">
        <f>"1552380161495397"</f>
        <v>1552380161495397</v>
      </c>
      <c r="C1107" t="s">
        <v>40</v>
      </c>
      <c r="D1107">
        <v>5.1922090000000001</v>
      </c>
      <c r="E1107">
        <v>0.49898609999999999</v>
      </c>
      <c r="F1107" t="s">
        <v>42</v>
      </c>
      <c r="G1107">
        <v>-192.35599999999999</v>
      </c>
      <c r="H1107" s="1">
        <v>-3.694316E-6</v>
      </c>
      <c r="I1107">
        <v>326.73939999999999</v>
      </c>
      <c r="J1107">
        <v>-190.80699999999999</v>
      </c>
      <c r="K1107">
        <v>1.106676</v>
      </c>
      <c r="L1107">
        <v>344.01339999999999</v>
      </c>
      <c r="M1107">
        <v>4.5239099999999997E-2</v>
      </c>
      <c r="N1107">
        <v>0</v>
      </c>
      <c r="O1107">
        <v>-0.99892150000000002</v>
      </c>
      <c r="P1107">
        <v>-7.4414309999999997E-2</v>
      </c>
      <c r="Q1107">
        <v>0.13417979999999999</v>
      </c>
      <c r="R1107">
        <v>-0.98815929999999996</v>
      </c>
      <c r="S1107">
        <v>-0.26710509999999998</v>
      </c>
      <c r="T1107">
        <v>-0.19174540000000001</v>
      </c>
      <c r="U1107">
        <v>-3.0406490000000002</v>
      </c>
      <c r="V1107">
        <v>0.1202713</v>
      </c>
      <c r="W1107">
        <v>0.1434405</v>
      </c>
      <c r="X1107">
        <v>0.98232359999999996</v>
      </c>
      <c r="Y1107">
        <v>0.13231479999999901</v>
      </c>
      <c r="Z1107">
        <v>6.2442449999999997E-2</v>
      </c>
      <c r="AA1107">
        <v>0.98923899999999998</v>
      </c>
      <c r="AB1107">
        <v>26</v>
      </c>
      <c r="AC1107">
        <v>-1.54899999999997</v>
      </c>
      <c r="AD1107">
        <v>-1.106679694316</v>
      </c>
      <c r="AE1107">
        <v>-17.274000000000001</v>
      </c>
      <c r="AF1107">
        <v>2.31947256583104</v>
      </c>
      <c r="AG1107">
        <v>-1.106679694316</v>
      </c>
      <c r="AH1107">
        <v>17.116539480154799</v>
      </c>
      <c r="AI1107">
        <v>93.665929220838393</v>
      </c>
      <c r="AJ1107">
        <v>82.282822483923695</v>
      </c>
      <c r="AK1107">
        <v>17.308397288748399</v>
      </c>
      <c r="AL1107">
        <v>81.753017660296194</v>
      </c>
      <c r="AM1107">
        <v>83.019702424664004</v>
      </c>
      <c r="AN1107">
        <v>1.0000000088804499</v>
      </c>
    </row>
    <row r="1108" spans="1:40" x14ac:dyDescent="0.25">
      <c r="A1108" t="str">
        <f>"20190312164241531"</f>
        <v>20190312164241531</v>
      </c>
      <c r="B1108" t="str">
        <f>"1552380161524677"</f>
        <v>1552380161524677</v>
      </c>
      <c r="C1108" t="s">
        <v>40</v>
      </c>
      <c r="D1108">
        <v>5.0985909999999999</v>
      </c>
      <c r="E1108">
        <v>0.49865589999999999</v>
      </c>
      <c r="F1108" t="s">
        <v>41</v>
      </c>
      <c r="G1108">
        <v>-190.864</v>
      </c>
      <c r="H1108">
        <v>1.0302519999999999</v>
      </c>
      <c r="I1108">
        <v>343.1241</v>
      </c>
      <c r="J1108">
        <v>-190.7996</v>
      </c>
      <c r="K1108">
        <v>1.107046</v>
      </c>
      <c r="L1108">
        <v>343.73509999999999</v>
      </c>
      <c r="M1108">
        <v>4.0697999999999998E-2</v>
      </c>
      <c r="N1108">
        <v>0</v>
      </c>
      <c r="O1108">
        <v>-0.99911320000000003</v>
      </c>
      <c r="P1108">
        <v>-7.3423299999999997E-2</v>
      </c>
      <c r="Q1108">
        <v>0.13537869999999999</v>
      </c>
      <c r="R1108">
        <v>-0.98806959999999999</v>
      </c>
      <c r="S1108">
        <v>-0.19509889999999999</v>
      </c>
      <c r="T1108">
        <v>-0.26281690000000002</v>
      </c>
      <c r="U1108">
        <v>-3.0569459999999999</v>
      </c>
      <c r="V1108">
        <v>0.1147094</v>
      </c>
      <c r="W1108">
        <v>0.14510509999999999</v>
      </c>
      <c r="X1108">
        <v>0.98274419999999996</v>
      </c>
      <c r="Y1108">
        <v>0.10402450000000001</v>
      </c>
      <c r="Z1108">
        <v>8.523269E-2</v>
      </c>
      <c r="AA1108">
        <v>0.99091589999999996</v>
      </c>
      <c r="AB1108">
        <v>26</v>
      </c>
      <c r="AC1108">
        <v>-6.4400000000006202E-2</v>
      </c>
      <c r="AD1108">
        <v>-7.6794000000000001E-2</v>
      </c>
      <c r="AE1108">
        <v>-0.61099999999999</v>
      </c>
      <c r="AF1108">
        <v>8.7842175750024606E-2</v>
      </c>
      <c r="AG1108">
        <v>-7.6794000000000001E-2</v>
      </c>
      <c r="AH1108">
        <v>0.59852170829981899</v>
      </c>
      <c r="AI1108">
        <v>97.234783148358105</v>
      </c>
      <c r="AJ1108">
        <v>81.650580192150102</v>
      </c>
      <c r="AK1108">
        <v>0.609788325226575</v>
      </c>
      <c r="AL1108">
        <v>81.656634233405995</v>
      </c>
      <c r="AM1108">
        <v>83.342359091812</v>
      </c>
      <c r="AN1108">
        <v>0.99999994956400295</v>
      </c>
    </row>
    <row r="1109" spans="1:40" x14ac:dyDescent="0.25">
      <c r="A1109" t="str">
        <f>"20190312164241574"</f>
        <v>20190312164241574</v>
      </c>
      <c r="B1109" t="str">
        <f>"1552380161564693"</f>
        <v>1552380161564693</v>
      </c>
      <c r="C1109" t="s">
        <v>40</v>
      </c>
      <c r="D1109">
        <v>5.2317530000000003</v>
      </c>
      <c r="E1109">
        <v>0.49854300000000001</v>
      </c>
      <c r="F1109" t="s">
        <v>41</v>
      </c>
      <c r="G1109">
        <v>-190.85300000000001</v>
      </c>
      <c r="H1109">
        <v>1.0415749999999999</v>
      </c>
      <c r="I1109">
        <v>342.88229999999999</v>
      </c>
      <c r="J1109">
        <v>-190.78809999999999</v>
      </c>
      <c r="K1109">
        <v>1.1077889999999999</v>
      </c>
      <c r="L1109">
        <v>343.22570000000002</v>
      </c>
      <c r="M1109">
        <v>3.3775569999999998E-2</v>
      </c>
      <c r="N1109">
        <v>0</v>
      </c>
      <c r="O1109">
        <v>-0.99936440000000004</v>
      </c>
      <c r="P1109">
        <v>-6.7819439999999995E-2</v>
      </c>
      <c r="Q1109">
        <v>0.13502</v>
      </c>
      <c r="R1109">
        <v>-0.98851940000000005</v>
      </c>
      <c r="S1109">
        <v>-0.19064329999999999</v>
      </c>
      <c r="T1109">
        <v>-0.23450280000000001</v>
      </c>
      <c r="U1109">
        <v>-3.0541689999999999</v>
      </c>
      <c r="V1109">
        <v>0.10207910000000001</v>
      </c>
      <c r="W1109">
        <v>0.145625</v>
      </c>
      <c r="X1109">
        <v>0.98405960000000003</v>
      </c>
      <c r="Y1109">
        <v>9.5794370000000004E-2</v>
      </c>
      <c r="Z1109">
        <v>7.6240479999999999E-2</v>
      </c>
      <c r="AA1109">
        <v>0.9924771</v>
      </c>
      <c r="AB1109">
        <v>26</v>
      </c>
      <c r="AC1109">
        <v>-6.4899999999994407E-2</v>
      </c>
      <c r="AD1109">
        <v>-6.6213999999999995E-2</v>
      </c>
      <c r="AE1109">
        <v>-0.34340000000003101</v>
      </c>
      <c r="AF1109">
        <v>7.3812603815442704E-2</v>
      </c>
      <c r="AG1109">
        <v>-6.6213999999999995E-2</v>
      </c>
      <c r="AH1109">
        <v>0.32919478128990298</v>
      </c>
      <c r="AI1109">
        <v>101.104077220089</v>
      </c>
      <c r="AJ1109">
        <v>77.362069729639899</v>
      </c>
      <c r="AK1109">
        <v>0.34380488406438098</v>
      </c>
      <c r="AL1109">
        <v>81.626527113652102</v>
      </c>
      <c r="AM1109">
        <v>84.077739016552201</v>
      </c>
      <c r="AN1109">
        <v>1.0000000398169799</v>
      </c>
    </row>
    <row r="1110" spans="1:40" x14ac:dyDescent="0.25">
      <c r="A1110" t="str">
        <f>"20190312164241597"</f>
        <v>20190312164241597</v>
      </c>
      <c r="B1110" t="str">
        <f>"1552380161585189"</f>
        <v>1552380161585189</v>
      </c>
      <c r="C1110" t="s">
        <v>40</v>
      </c>
      <c r="D1110">
        <v>4.9503059999999897</v>
      </c>
      <c r="E1110">
        <v>0.49854300000000001</v>
      </c>
      <c r="F1110" t="s">
        <v>41</v>
      </c>
      <c r="G1110">
        <v>-190.83539999999999</v>
      </c>
      <c r="H1110">
        <v>1.0424580000000001</v>
      </c>
      <c r="I1110">
        <v>342.41019999999997</v>
      </c>
      <c r="J1110">
        <v>-190.78270000000001</v>
      </c>
      <c r="K1110">
        <v>1.108203</v>
      </c>
      <c r="L1110">
        <v>342.95850000000002</v>
      </c>
      <c r="M1110">
        <v>3.0833019999999999E-2</v>
      </c>
      <c r="N1110">
        <v>0</v>
      </c>
      <c r="O1110">
        <v>-0.99945600000000001</v>
      </c>
      <c r="P1110">
        <v>-6.6263450000000002E-2</v>
      </c>
      <c r="Q1110">
        <v>0.13561400000000001</v>
      </c>
      <c r="R1110">
        <v>-0.98854350000000002</v>
      </c>
      <c r="S1110">
        <v>-0.1768951</v>
      </c>
      <c r="T1110">
        <v>-0.24493989999999999</v>
      </c>
      <c r="U1110">
        <v>-3.056152</v>
      </c>
      <c r="V1110">
        <v>9.7495319999999996E-2</v>
      </c>
      <c r="W1110">
        <v>0.1466392</v>
      </c>
      <c r="X1110">
        <v>0.98437370000000002</v>
      </c>
      <c r="Y1110">
        <v>8.8357370000000005E-2</v>
      </c>
      <c r="Z1110">
        <v>7.9610849999999997E-2</v>
      </c>
      <c r="AA1110">
        <v>0.99290230000000002</v>
      </c>
      <c r="AB1110">
        <v>26</v>
      </c>
      <c r="AC1110">
        <v>-5.2699999999987299E-2</v>
      </c>
      <c r="AD1110">
        <v>-6.5745000000000095E-2</v>
      </c>
      <c r="AE1110">
        <v>-0.54830000000003998</v>
      </c>
      <c r="AF1110">
        <v>6.8604498569497602E-2</v>
      </c>
      <c r="AG1110">
        <v>-6.5745000000000095E-2</v>
      </c>
      <c r="AH1110">
        <v>0.53873934065992202</v>
      </c>
      <c r="AI1110">
        <v>96.902484942615501</v>
      </c>
      <c r="AJ1110">
        <v>82.7428626629885</v>
      </c>
      <c r="AK1110">
        <v>0.54705489617008196</v>
      </c>
      <c r="AL1110">
        <v>81.567786715306397</v>
      </c>
      <c r="AM1110">
        <v>84.343701411904803</v>
      </c>
      <c r="AN1110">
        <v>0.99999998682511604</v>
      </c>
    </row>
    <row r="1111" spans="1:40" x14ac:dyDescent="0.25">
      <c r="A1111" t="str">
        <f>"20190312164241620"</f>
        <v>20190312164241620</v>
      </c>
      <c r="B1111" t="str">
        <f>"1552380161614688"</f>
        <v>1552380161614688</v>
      </c>
      <c r="C1111" t="s">
        <v>40</v>
      </c>
      <c r="D1111">
        <v>4.9251019999999999</v>
      </c>
      <c r="E1111">
        <v>0.49821789999999999</v>
      </c>
      <c r="F1111" t="s">
        <v>41</v>
      </c>
      <c r="G1111">
        <v>-190.8271</v>
      </c>
      <c r="H1111">
        <v>1.044878</v>
      </c>
      <c r="I1111">
        <v>342.17329999999998</v>
      </c>
      <c r="J1111">
        <v>-190.7774</v>
      </c>
      <c r="K1111">
        <v>1.108636</v>
      </c>
      <c r="L1111">
        <v>342.68349999999998</v>
      </c>
      <c r="M1111">
        <v>2.83079E-2</v>
      </c>
      <c r="N1111">
        <v>0</v>
      </c>
      <c r="O1111">
        <v>-0.99952719999999995</v>
      </c>
      <c r="P1111">
        <v>-6.4991560000000004E-2</v>
      </c>
      <c r="Q1111">
        <v>0.13739779999999999</v>
      </c>
      <c r="R1111">
        <v>-0.98838159999999997</v>
      </c>
      <c r="S1111">
        <v>-0.17184449999999901</v>
      </c>
      <c r="T1111">
        <v>-0.24677689999999999</v>
      </c>
      <c r="U1111">
        <v>-3.0571290000000002</v>
      </c>
      <c r="V1111">
        <v>9.3595490000000003E-2</v>
      </c>
      <c r="W1111">
        <v>0.14881659999999999</v>
      </c>
      <c r="X1111">
        <v>0.98442549999999995</v>
      </c>
      <c r="Y1111">
        <v>8.4184259999999997E-2</v>
      </c>
      <c r="Z1111">
        <v>8.0205949999999998E-2</v>
      </c>
      <c r="AA1111">
        <v>0.99321700000000002</v>
      </c>
      <c r="AB1111">
        <v>26</v>
      </c>
      <c r="AC1111">
        <v>-4.9700000000001403E-2</v>
      </c>
      <c r="AD1111">
        <v>-6.3757999999999898E-2</v>
      </c>
      <c r="AE1111">
        <v>-0.51019999999999699</v>
      </c>
      <c r="AF1111">
        <v>6.3146935649630406E-2</v>
      </c>
      <c r="AG1111">
        <v>-6.3757999999999898E-2</v>
      </c>
      <c r="AH1111">
        <v>0.50084056428490398</v>
      </c>
      <c r="AI1111">
        <v>97.198459210073594</v>
      </c>
      <c r="AJ1111">
        <v>82.813956519917497</v>
      </c>
      <c r="AK1111">
        <v>0.50881616412920705</v>
      </c>
      <c r="AL1111">
        <v>81.441647232766101</v>
      </c>
      <c r="AM1111">
        <v>84.568857513507297</v>
      </c>
      <c r="AN1111">
        <v>1.00000003061707</v>
      </c>
    </row>
    <row r="1112" spans="1:40" x14ac:dyDescent="0.25">
      <c r="A1112" t="str">
        <f>"20190312164241642"</f>
        <v>20190312164241642</v>
      </c>
      <c r="B1112" t="str">
        <f>"1552380161635184"</f>
        <v>1552380161635184</v>
      </c>
      <c r="C1112" t="s">
        <v>40</v>
      </c>
      <c r="D1112">
        <v>5.1817460000000004</v>
      </c>
      <c r="E1112">
        <v>0.49830229999999998</v>
      </c>
      <c r="F1112" t="s">
        <v>41</v>
      </c>
      <c r="G1112">
        <v>-190.8176</v>
      </c>
      <c r="H1112">
        <v>1.047194</v>
      </c>
      <c r="I1112">
        <v>341.93650000000002</v>
      </c>
      <c r="J1112">
        <v>-190.7723</v>
      </c>
      <c r="K1112">
        <v>1.1090690000000001</v>
      </c>
      <c r="L1112">
        <v>342.42</v>
      </c>
      <c r="M1112">
        <v>2.6488660000000001E-2</v>
      </c>
      <c r="N1112">
        <v>0</v>
      </c>
      <c r="O1112">
        <v>-0.99957419999999997</v>
      </c>
      <c r="P1112">
        <v>-6.2688510000000003E-2</v>
      </c>
      <c r="Q1112">
        <v>0.13953759999999901</v>
      </c>
      <c r="R1112">
        <v>-0.98823059999999996</v>
      </c>
      <c r="S1112">
        <v>-0.16432189999999999</v>
      </c>
      <c r="T1112">
        <v>-0.25178440000000002</v>
      </c>
      <c r="U1112">
        <v>-3.0594480000000002</v>
      </c>
      <c r="V1112">
        <v>8.9357549999999994E-2</v>
      </c>
      <c r="W1112">
        <v>0.15130199999999999</v>
      </c>
      <c r="X1112">
        <v>0.98444039999999999</v>
      </c>
      <c r="Y1112">
        <v>7.9886159999999998E-2</v>
      </c>
      <c r="Z1112">
        <v>8.1787219999999994E-2</v>
      </c>
      <c r="AA1112">
        <v>0.99344299999999996</v>
      </c>
      <c r="AB1112">
        <v>26</v>
      </c>
      <c r="AC1112">
        <v>-4.5299999999997398E-2</v>
      </c>
      <c r="AD1112">
        <v>-6.1875000000000097E-2</v>
      </c>
      <c r="AE1112">
        <v>-0.48349999999999199</v>
      </c>
      <c r="AF1112">
        <v>5.71642889642099E-2</v>
      </c>
      <c r="AG1112">
        <v>-6.1875000000000097E-2</v>
      </c>
      <c r="AH1112">
        <v>0.474428140284121</v>
      </c>
      <c r="AI1112">
        <v>97.377816291596602</v>
      </c>
      <c r="AJ1112">
        <v>83.129499145519503</v>
      </c>
      <c r="AK1112">
        <v>0.48184886826808399</v>
      </c>
      <c r="AL1112">
        <v>81.297612962642205</v>
      </c>
      <c r="AM1112">
        <v>84.813481258526593</v>
      </c>
      <c r="AN1112">
        <v>0.99999998404908097</v>
      </c>
    </row>
    <row r="1113" spans="1:40" x14ac:dyDescent="0.25">
      <c r="A1113" t="str">
        <f>"20190312164241663"</f>
        <v>20190312164241663</v>
      </c>
      <c r="B1113" t="str">
        <f>"1552380161654705"</f>
        <v>1552380161654705</v>
      </c>
      <c r="C1113" t="s">
        <v>40</v>
      </c>
      <c r="D1113">
        <v>4.947889</v>
      </c>
      <c r="E1113">
        <v>0.49831239999999999</v>
      </c>
      <c r="F1113" t="s">
        <v>41</v>
      </c>
      <c r="G1113">
        <v>-190.82130000000001</v>
      </c>
      <c r="H1113">
        <v>1.033358</v>
      </c>
      <c r="I1113">
        <v>341.476</v>
      </c>
      <c r="J1113">
        <v>-190.76759999999999</v>
      </c>
      <c r="K1113">
        <v>1.109456</v>
      </c>
      <c r="L1113">
        <v>342.17970000000003</v>
      </c>
      <c r="M1113">
        <v>2.530075E-2</v>
      </c>
      <c r="N1113">
        <v>0</v>
      </c>
      <c r="O1113">
        <v>-0.99960249999999995</v>
      </c>
      <c r="P1113">
        <v>-6.0655029999999999E-2</v>
      </c>
      <c r="Q1113">
        <v>0.14099139999999999</v>
      </c>
      <c r="R1113">
        <v>-0.98815109999999995</v>
      </c>
      <c r="S1113">
        <v>-0.158477799999999</v>
      </c>
      <c r="T1113">
        <v>-0.24560770000000001</v>
      </c>
      <c r="U1113">
        <v>-3.060333</v>
      </c>
      <c r="V1113">
        <v>8.6020959999999994E-2</v>
      </c>
      <c r="W1113">
        <v>0.1530415</v>
      </c>
      <c r="X1113">
        <v>0.98446880000000003</v>
      </c>
      <c r="Y1113">
        <v>7.6802430000000005E-2</v>
      </c>
      <c r="Z1113">
        <v>7.9788280000000003E-2</v>
      </c>
      <c r="AA1113">
        <v>0.99384870000000003</v>
      </c>
      <c r="AB1113">
        <v>26</v>
      </c>
      <c r="AC1113">
        <v>-5.3700000000020502E-2</v>
      </c>
      <c r="AD1113">
        <v>-7.6097999999999999E-2</v>
      </c>
      <c r="AE1113">
        <v>-0.70370000000002597</v>
      </c>
      <c r="AF1113">
        <v>7.06667145368996E-2</v>
      </c>
      <c r="AG1113">
        <v>-7.6097999999999999E-2</v>
      </c>
      <c r="AH1113">
        <v>0.69404659942106095</v>
      </c>
      <c r="AI1113">
        <v>96.225210078648601</v>
      </c>
      <c r="AJ1113">
        <v>84.186270426920998</v>
      </c>
      <c r="AK1113">
        <v>0.70177302050974999</v>
      </c>
      <c r="AL1113">
        <v>81.196773251701103</v>
      </c>
      <c r="AM1113">
        <v>85.006289839468295</v>
      </c>
      <c r="AN1113">
        <v>1.0000000622275</v>
      </c>
    </row>
    <row r="1114" spans="1:40" x14ac:dyDescent="0.25">
      <c r="A1114" t="str">
        <f>"20190312164241685"</f>
        <v>20190312164241685</v>
      </c>
      <c r="B1114" t="str">
        <f>"1552380161675200"</f>
        <v>1552380161675200</v>
      </c>
      <c r="C1114" t="s">
        <v>40</v>
      </c>
      <c r="D1114">
        <v>4.9868870000000003</v>
      </c>
      <c r="E1114">
        <v>0.49836360000000002</v>
      </c>
      <c r="F1114" t="s">
        <v>41</v>
      </c>
      <c r="G1114">
        <v>-190.8143</v>
      </c>
      <c r="H1114">
        <v>1.0351999999999999</v>
      </c>
      <c r="I1114">
        <v>341.24149999999997</v>
      </c>
      <c r="J1114">
        <v>-190.76220000000001</v>
      </c>
      <c r="K1114">
        <v>1.1098079999999999</v>
      </c>
      <c r="L1114">
        <v>341.9153</v>
      </c>
      <c r="M1114">
        <v>2.4411430000000001E-2</v>
      </c>
      <c r="N1114">
        <v>0</v>
      </c>
      <c r="O1114">
        <v>-0.99962229999999996</v>
      </c>
      <c r="P1114">
        <v>-5.9360820000000002E-2</v>
      </c>
      <c r="Q1114">
        <v>0.14040549999999999</v>
      </c>
      <c r="R1114">
        <v>-0.98831310000000006</v>
      </c>
      <c r="S1114">
        <v>-0.15200810000000001</v>
      </c>
      <c r="T1114">
        <v>-0.2424867</v>
      </c>
      <c r="U1114">
        <v>-3.0612490000000001</v>
      </c>
      <c r="V1114">
        <v>8.3723969999999995E-2</v>
      </c>
      <c r="W1114">
        <v>0.15272859999999999</v>
      </c>
      <c r="X1114">
        <v>0.98471529999999996</v>
      </c>
      <c r="Y1114">
        <v>7.3808769999999996E-2</v>
      </c>
      <c r="Z1114">
        <v>7.8773090000000004E-2</v>
      </c>
      <c r="AA1114">
        <v>0.9941565</v>
      </c>
      <c r="AB1114">
        <v>26</v>
      </c>
      <c r="AC1114">
        <v>-5.2099999999995802E-2</v>
      </c>
      <c r="AD1114">
        <v>-7.4607999999999994E-2</v>
      </c>
      <c r="AE1114">
        <v>-0.67380000000002804</v>
      </c>
      <c r="AF1114">
        <v>6.7708990237229497E-2</v>
      </c>
      <c r="AG1114">
        <v>-7.4607999999999994E-2</v>
      </c>
      <c r="AH1114">
        <v>0.66423181194272496</v>
      </c>
      <c r="AI1114">
        <v>96.375962297063595</v>
      </c>
      <c r="AJ1114">
        <v>84.179613951021494</v>
      </c>
      <c r="AK1114">
        <v>0.67182941363091597</v>
      </c>
      <c r="AL1114">
        <v>81.214913597084404</v>
      </c>
      <c r="AM1114">
        <v>85.140198633748</v>
      </c>
      <c r="AN1114">
        <v>0.99999997523230499</v>
      </c>
    </row>
    <row r="1115" spans="1:40" x14ac:dyDescent="0.25">
      <c r="A1115" t="str">
        <f>"20190312164241710"</f>
        <v>20190312164241710</v>
      </c>
      <c r="B1115" t="str">
        <f>"1552380161705456"</f>
        <v>1552380161705456</v>
      </c>
      <c r="C1115" t="s">
        <v>40</v>
      </c>
      <c r="D1115">
        <v>5.1041749999999997</v>
      </c>
      <c r="E1115">
        <v>0.49836609999999998</v>
      </c>
      <c r="F1115" t="s">
        <v>41</v>
      </c>
      <c r="G1115">
        <v>-190.8057</v>
      </c>
      <c r="H1115">
        <v>1.036486</v>
      </c>
      <c r="I1115">
        <v>341.00779999999997</v>
      </c>
      <c r="J1115">
        <v>-190.75630000000001</v>
      </c>
      <c r="K1115">
        <v>1.1101129999999999</v>
      </c>
      <c r="L1115">
        <v>341.6388</v>
      </c>
      <c r="M1115">
        <v>2.3880149999999999E-2</v>
      </c>
      <c r="N1115">
        <v>0</v>
      </c>
      <c r="O1115">
        <v>-0.99963299999999999</v>
      </c>
      <c r="P1115">
        <v>-5.7700969999999997E-2</v>
      </c>
      <c r="Q1115">
        <v>0.1383404</v>
      </c>
      <c r="R1115">
        <v>-0.98870279999999999</v>
      </c>
      <c r="S1115">
        <v>-0.14656069999999999</v>
      </c>
      <c r="T1115">
        <v>-0.2474835</v>
      </c>
      <c r="U1115">
        <v>-3.0618289999999999</v>
      </c>
      <c r="V1115">
        <v>8.1439139999999993E-2</v>
      </c>
      <c r="W1115">
        <v>0.1509094</v>
      </c>
      <c r="X1115">
        <v>0.98518729999999999</v>
      </c>
      <c r="Y1115">
        <v>7.1498599999999995E-2</v>
      </c>
      <c r="Z1115">
        <v>8.0382579999999995E-2</v>
      </c>
      <c r="AA1115">
        <v>0.99419650000000004</v>
      </c>
      <c r="AB1115">
        <v>26</v>
      </c>
      <c r="AC1115">
        <v>-4.9399999999991402E-2</v>
      </c>
      <c r="AD1115">
        <v>-7.3626999999999804E-2</v>
      </c>
      <c r="AE1115">
        <v>-0.63100000000002798</v>
      </c>
      <c r="AF1115">
        <v>6.3594951161473401E-2</v>
      </c>
      <c r="AG1115">
        <v>-7.3626999999999804E-2</v>
      </c>
      <c r="AH1115">
        <v>0.62123372057951498</v>
      </c>
      <c r="AI1115">
        <v>96.724200846049897</v>
      </c>
      <c r="AJ1115">
        <v>84.155060098992706</v>
      </c>
      <c r="AK1115">
        <v>0.62880568423583505</v>
      </c>
      <c r="AL1115">
        <v>81.320368699702598</v>
      </c>
      <c r="AM1115">
        <v>85.274468027111396</v>
      </c>
      <c r="AN1115">
        <v>0.99999999830679398</v>
      </c>
    </row>
    <row r="1116" spans="1:40" x14ac:dyDescent="0.25">
      <c r="A1116" t="str">
        <f>"20190312164241731"</f>
        <v>20190312164241731</v>
      </c>
      <c r="B1116" t="str">
        <f>"1552380161724976"</f>
        <v>1552380161724976</v>
      </c>
      <c r="C1116" t="s">
        <v>40</v>
      </c>
      <c r="D1116">
        <v>4.9777329999999997</v>
      </c>
      <c r="E1116">
        <v>0.49842910000000001</v>
      </c>
      <c r="F1116" t="s">
        <v>41</v>
      </c>
      <c r="G1116">
        <v>-190.7963</v>
      </c>
      <c r="H1116">
        <v>1.037615</v>
      </c>
      <c r="I1116">
        <v>340.77460000000002</v>
      </c>
      <c r="J1116">
        <v>-190.75069999999999</v>
      </c>
      <c r="K1116">
        <v>1.110333</v>
      </c>
      <c r="L1116">
        <v>341.38</v>
      </c>
      <c r="M1116">
        <v>2.3690550000000001E-2</v>
      </c>
      <c r="N1116">
        <v>0</v>
      </c>
      <c r="O1116">
        <v>-0.99963539999999995</v>
      </c>
      <c r="P1116">
        <v>-5.6030620000000003E-2</v>
      </c>
      <c r="Q1116">
        <v>0.13666809999999999</v>
      </c>
      <c r="R1116">
        <v>-0.98903149999999995</v>
      </c>
      <c r="S1116">
        <v>-0.14089969999999999</v>
      </c>
      <c r="T1116">
        <v>-0.25708170000000002</v>
      </c>
      <c r="U1116">
        <v>-3.0620120000000002</v>
      </c>
      <c r="V1116">
        <v>7.9511990000000005E-2</v>
      </c>
      <c r="W1116">
        <v>0.14942910000000001</v>
      </c>
      <c r="X1116">
        <v>0.98557030000000001</v>
      </c>
      <c r="Y1116">
        <v>6.9460729999999998E-2</v>
      </c>
      <c r="Z1116">
        <v>8.3483920000000003E-2</v>
      </c>
      <c r="AA1116">
        <v>0.99408529999999995</v>
      </c>
      <c r="AB1116">
        <v>26</v>
      </c>
      <c r="AC1116">
        <v>-4.5600000000007399E-2</v>
      </c>
      <c r="AD1116">
        <v>-7.2718000000000005E-2</v>
      </c>
      <c r="AE1116">
        <v>-0.60539999999997396</v>
      </c>
      <c r="AF1116">
        <v>5.90830352276513E-2</v>
      </c>
      <c r="AG1116">
        <v>-7.2718000000000005E-2</v>
      </c>
      <c r="AH1116">
        <v>0.59560491107600599</v>
      </c>
      <c r="AI1116">
        <v>96.927182245760406</v>
      </c>
      <c r="AJ1116">
        <v>84.334885831898802</v>
      </c>
      <c r="AK1116">
        <v>0.60292945082618798</v>
      </c>
      <c r="AL1116">
        <v>81.406156596860995</v>
      </c>
      <c r="AM1116">
        <v>85.387588216372393</v>
      </c>
      <c r="AN1116">
        <v>1.0000000143613299</v>
      </c>
    </row>
    <row r="1117" spans="1:40" x14ac:dyDescent="0.25">
      <c r="A1117" t="str">
        <f>"20190312164241754"</f>
        <v>20190312164241754</v>
      </c>
      <c r="B1117" t="str">
        <f>"1552380161745472"</f>
        <v>1552380161745472</v>
      </c>
      <c r="C1117" t="s">
        <v>40</v>
      </c>
      <c r="D1117">
        <v>4.9787929999999996</v>
      </c>
      <c r="E1117">
        <v>0.49843140000000002</v>
      </c>
      <c r="F1117" t="s">
        <v>41</v>
      </c>
      <c r="G1117">
        <v>-190.7885</v>
      </c>
      <c r="H1117">
        <v>1.039002</v>
      </c>
      <c r="I1117">
        <v>340.54140000000001</v>
      </c>
      <c r="J1117">
        <v>-190.74469999999999</v>
      </c>
      <c r="K1117">
        <v>1.110495</v>
      </c>
      <c r="L1117">
        <v>341.11900000000003</v>
      </c>
      <c r="M1117">
        <v>2.3712560000000001E-2</v>
      </c>
      <c r="N1117">
        <v>0</v>
      </c>
      <c r="O1117">
        <v>-0.99963310000000005</v>
      </c>
      <c r="P1117">
        <v>-5.4959840000000003E-2</v>
      </c>
      <c r="Q1117">
        <v>0.1359165</v>
      </c>
      <c r="R1117">
        <v>-0.98919509999999999</v>
      </c>
      <c r="S1117">
        <v>-0.13755800000000001</v>
      </c>
      <c r="T1117">
        <v>-0.260654</v>
      </c>
      <c r="U1117">
        <v>-3.0614620000000001</v>
      </c>
      <c r="V1117">
        <v>7.8411629999999996E-2</v>
      </c>
      <c r="W1117">
        <v>0.14883640000000001</v>
      </c>
      <c r="X1117">
        <v>0.98574810000000002</v>
      </c>
      <c r="Y1117">
        <v>6.8403619999999998E-2</v>
      </c>
      <c r="Z1117">
        <v>8.4655839999999996E-2</v>
      </c>
      <c r="AA1117">
        <v>0.99405949999999998</v>
      </c>
      <c r="AB1117">
        <v>26</v>
      </c>
      <c r="AC1117">
        <v>-4.3800000000004502E-2</v>
      </c>
      <c r="AD1117">
        <v>-7.1493000000000001E-2</v>
      </c>
      <c r="AE1117">
        <v>-0.57760000000001799</v>
      </c>
      <c r="AF1117">
        <v>5.6622702796901403E-2</v>
      </c>
      <c r="AG1117">
        <v>-7.1493000000000001E-2</v>
      </c>
      <c r="AH1117">
        <v>0.56775037951497798</v>
      </c>
      <c r="AI1117">
        <v>97.1420352654049</v>
      </c>
      <c r="AJ1117">
        <v>84.304628293746404</v>
      </c>
      <c r="AK1117">
        <v>0.57502858447248295</v>
      </c>
      <c r="AL1117">
        <v>81.440499625321195</v>
      </c>
      <c r="AM1117">
        <v>85.451966294059403</v>
      </c>
      <c r="AN1117">
        <v>0.99999998716891303</v>
      </c>
    </row>
    <row r="1118" spans="1:40" x14ac:dyDescent="0.25">
      <c r="A1118" t="str">
        <f>"20190312164241776"</f>
        <v>20190312164241776</v>
      </c>
      <c r="B1118" t="str">
        <f>"1552380161764992"</f>
        <v>1552380161764992</v>
      </c>
      <c r="C1118" t="s">
        <v>40</v>
      </c>
      <c r="D1118">
        <v>4.9475920000000002</v>
      </c>
      <c r="E1118">
        <v>0.49849510000000002</v>
      </c>
      <c r="F1118" t="s">
        <v>41</v>
      </c>
      <c r="G1118">
        <v>-190.7807</v>
      </c>
      <c r="H1118">
        <v>1.0414399999999999</v>
      </c>
      <c r="I1118">
        <v>340.3082</v>
      </c>
      <c r="J1118">
        <v>-190.73859999999999</v>
      </c>
      <c r="K1118">
        <v>1.1106039999999999</v>
      </c>
      <c r="L1118">
        <v>340.86200000000002</v>
      </c>
      <c r="M1118">
        <v>2.3845870000000002E-2</v>
      </c>
      <c r="N1118">
        <v>0</v>
      </c>
      <c r="O1118">
        <v>-0.99962850000000003</v>
      </c>
      <c r="P1118">
        <v>-5.4037149999999999E-2</v>
      </c>
      <c r="Q1118">
        <v>0.13420399999999999</v>
      </c>
      <c r="R1118">
        <v>-0.98947969999999996</v>
      </c>
      <c r="S1118">
        <v>-0.13529969999999999</v>
      </c>
      <c r="T1118">
        <v>-0.26099480000000003</v>
      </c>
      <c r="U1118">
        <v>-3.061188</v>
      </c>
      <c r="V1118">
        <v>7.759315E-2</v>
      </c>
      <c r="W1118">
        <v>0.1472552</v>
      </c>
      <c r="X1118">
        <v>0.98605030000000005</v>
      </c>
      <c r="Y1118">
        <v>6.7808339999999995E-2</v>
      </c>
      <c r="Z1118">
        <v>8.4775989999999996E-2</v>
      </c>
      <c r="AA1118">
        <v>0.99409009999999998</v>
      </c>
      <c r="AB1118">
        <v>26</v>
      </c>
      <c r="AC1118">
        <v>-4.2100000000004897E-2</v>
      </c>
      <c r="AD1118">
        <v>-6.9164000000000198E-2</v>
      </c>
      <c r="AE1118">
        <v>-0.55379999999996699</v>
      </c>
      <c r="AF1118">
        <v>5.4450607987624799E-2</v>
      </c>
      <c r="AG1118">
        <v>-6.9164000000000198E-2</v>
      </c>
      <c r="AH1118">
        <v>0.54419913833769096</v>
      </c>
      <c r="AI1118">
        <v>97.207464284403002</v>
      </c>
      <c r="AJ1118">
        <v>84.286207255422497</v>
      </c>
      <c r="AK1118">
        <v>0.55127237349037095</v>
      </c>
      <c r="AL1118">
        <v>81.532105215538607</v>
      </c>
      <c r="AM1118">
        <v>85.500617427459702</v>
      </c>
      <c r="AN1118">
        <v>0.99999999249202598</v>
      </c>
    </row>
    <row r="1119" spans="1:40" x14ac:dyDescent="0.25">
      <c r="A1119" t="str">
        <f>"20190312164241798"</f>
        <v>20190312164241798</v>
      </c>
      <c r="B1119" t="str">
        <f>"1552380161795248"</f>
        <v>1552380161795248</v>
      </c>
      <c r="C1119" t="s">
        <v>40</v>
      </c>
      <c r="D1119">
        <v>4.9696119999999997</v>
      </c>
      <c r="E1119">
        <v>0.49847730000000001</v>
      </c>
      <c r="F1119" t="s">
        <v>41</v>
      </c>
      <c r="G1119">
        <v>-190.77289999999999</v>
      </c>
      <c r="H1119">
        <v>1.041642</v>
      </c>
      <c r="I1119">
        <v>340.07639999999998</v>
      </c>
      <c r="J1119">
        <v>-190.73259999999999</v>
      </c>
      <c r="K1119">
        <v>1.1106609999999999</v>
      </c>
      <c r="L1119">
        <v>340.61070000000001</v>
      </c>
      <c r="M1119">
        <v>2.4010279999999998E-2</v>
      </c>
      <c r="N1119">
        <v>0</v>
      </c>
      <c r="O1119">
        <v>-0.99962329999999999</v>
      </c>
      <c r="P1119">
        <v>-5.2964589999999999E-2</v>
      </c>
      <c r="Q1119">
        <v>0.131935</v>
      </c>
      <c r="R1119">
        <v>-0.98984229999999995</v>
      </c>
      <c r="S1119">
        <v>-0.13374330000000001</v>
      </c>
      <c r="T1119">
        <v>-0.26869199999999999</v>
      </c>
      <c r="U1119">
        <v>-3.061096</v>
      </c>
      <c r="V1119">
        <v>7.6674359999999997E-2</v>
      </c>
      <c r="W1119">
        <v>0.14509330000000001</v>
      </c>
      <c r="X1119">
        <v>0.98644259999999995</v>
      </c>
      <c r="Y1119">
        <v>6.7459959999999999E-2</v>
      </c>
      <c r="Z1119">
        <v>8.7261459999999999E-2</v>
      </c>
      <c r="AA1119">
        <v>0.99389870000000002</v>
      </c>
      <c r="AB1119">
        <v>26</v>
      </c>
      <c r="AC1119">
        <v>-4.0300000000002001E-2</v>
      </c>
      <c r="AD1119">
        <v>-6.9019000000000094E-2</v>
      </c>
      <c r="AE1119">
        <v>-0.53430000000002997</v>
      </c>
      <c r="AF1119">
        <v>5.2251244839415803E-2</v>
      </c>
      <c r="AG1119">
        <v>-6.9019000000000094E-2</v>
      </c>
      <c r="AH1119">
        <v>0.52447604348591303</v>
      </c>
      <c r="AI1119">
        <v>97.460311184986793</v>
      </c>
      <c r="AJ1119">
        <v>84.310646329784802</v>
      </c>
      <c r="AK1119">
        <v>0.53157213540488102</v>
      </c>
      <c r="AL1119">
        <v>81.657318089335604</v>
      </c>
      <c r="AM1119">
        <v>85.555441431627699</v>
      </c>
      <c r="AN1119">
        <v>1.00000001314052</v>
      </c>
    </row>
    <row r="1120" spans="1:40" x14ac:dyDescent="0.25">
      <c r="A1120" t="str">
        <f>"20190312164241831"</f>
        <v>20190312164241831</v>
      </c>
      <c r="B1120" t="str">
        <f>"1552380161825505"</f>
        <v>1552380161825505</v>
      </c>
      <c r="C1120" t="s">
        <v>40</v>
      </c>
      <c r="D1120">
        <v>4.9605139999999999</v>
      </c>
      <c r="E1120">
        <v>0.4984789</v>
      </c>
      <c r="F1120" t="s">
        <v>41</v>
      </c>
      <c r="G1120">
        <v>-190.76570000000001</v>
      </c>
      <c r="H1120">
        <v>1.041771</v>
      </c>
      <c r="I1120">
        <v>339.84480000000002</v>
      </c>
      <c r="J1120">
        <v>-190.7234</v>
      </c>
      <c r="K1120">
        <v>1.1106830000000001</v>
      </c>
      <c r="L1120">
        <v>340.23419999999999</v>
      </c>
      <c r="M1120">
        <v>2.4231760000000001E-2</v>
      </c>
      <c r="N1120">
        <v>0</v>
      </c>
      <c r="O1120">
        <v>-0.99961639999999996</v>
      </c>
      <c r="P1120">
        <v>-5.1783330000000002E-2</v>
      </c>
      <c r="Q1120">
        <v>0.12882730000000001</v>
      </c>
      <c r="R1120">
        <v>-0.99031420000000003</v>
      </c>
      <c r="S1120">
        <v>-0.1315308</v>
      </c>
      <c r="T1120">
        <v>-0.27558650000000001</v>
      </c>
      <c r="U1120">
        <v>-3.0604550000000001</v>
      </c>
      <c r="V1120">
        <v>7.5719190000000006E-2</v>
      </c>
      <c r="W1120">
        <v>0.14211099999999999</v>
      </c>
      <c r="X1120">
        <v>0.98695040000000001</v>
      </c>
      <c r="Y1120">
        <v>6.6964369999999995E-2</v>
      </c>
      <c r="Z1120">
        <v>8.9503479999999996E-2</v>
      </c>
      <c r="AA1120">
        <v>0.99373279999999997</v>
      </c>
      <c r="AB1120">
        <v>26</v>
      </c>
      <c r="AC1120">
        <v>-4.2300000000011502E-2</v>
      </c>
      <c r="AD1120">
        <v>-6.8912000000000001E-2</v>
      </c>
      <c r="AE1120">
        <v>-0.389399999999966</v>
      </c>
      <c r="AF1120">
        <v>5.0171319255655898E-2</v>
      </c>
      <c r="AG1120">
        <v>-6.8912000000000001E-2</v>
      </c>
      <c r="AH1120">
        <v>0.37660352608154601</v>
      </c>
      <c r="AI1120">
        <v>100.280565379465</v>
      </c>
      <c r="AJ1120">
        <v>82.411707298849805</v>
      </c>
      <c r="AK1120">
        <v>0.38612982386356398</v>
      </c>
      <c r="AL1120">
        <v>81.829980914088395</v>
      </c>
      <c r="AM1120">
        <v>85.612841324907905</v>
      </c>
      <c r="AN1120">
        <v>1.0000000120576999</v>
      </c>
    </row>
    <row r="1121" spans="1:40" x14ac:dyDescent="0.25">
      <c r="A1121" t="str">
        <f>"20190312164241852"</f>
        <v>20190312164241852</v>
      </c>
      <c r="B1121" t="str">
        <f>"1552380161845024"</f>
        <v>1552380161845024</v>
      </c>
      <c r="C1121" t="s">
        <v>40</v>
      </c>
      <c r="D1121">
        <v>5.1465990000000001</v>
      </c>
      <c r="E1121">
        <v>0.498477</v>
      </c>
      <c r="F1121" t="s">
        <v>41</v>
      </c>
      <c r="G1121">
        <v>-190.75960000000001</v>
      </c>
      <c r="H1121">
        <v>1.032462</v>
      </c>
      <c r="I1121">
        <v>339.38709999999998</v>
      </c>
      <c r="J1121">
        <v>-190.71700000000001</v>
      </c>
      <c r="K1121">
        <v>1.1106780000000001</v>
      </c>
      <c r="L1121">
        <v>339.9753</v>
      </c>
      <c r="M1121">
        <v>2.434747E-2</v>
      </c>
      <c r="N1121">
        <v>0</v>
      </c>
      <c r="O1121">
        <v>-0.99961259999999996</v>
      </c>
      <c r="P1121">
        <v>-5.1296219999999997E-2</v>
      </c>
      <c r="Q1121">
        <v>0.12850139999999999</v>
      </c>
      <c r="R1121">
        <v>-0.99038179999999998</v>
      </c>
      <c r="S1121">
        <v>-0.13037109999999999</v>
      </c>
      <c r="T1121">
        <v>-0.28273340000000002</v>
      </c>
      <c r="U1121">
        <v>-3.0592959999999998</v>
      </c>
      <c r="V1121">
        <v>7.5353489999999995E-2</v>
      </c>
      <c r="W1121">
        <v>0.1418499</v>
      </c>
      <c r="X1121">
        <v>0.987016</v>
      </c>
      <c r="Y1121">
        <v>6.6710969999999994E-2</v>
      </c>
      <c r="Z1121">
        <v>9.1840850000000002E-2</v>
      </c>
      <c r="AA1121">
        <v>0.99353659999999999</v>
      </c>
      <c r="AB1121">
        <v>26</v>
      </c>
      <c r="AC1121">
        <v>-4.2599999999992998E-2</v>
      </c>
      <c r="AD1121">
        <v>-7.8215999999999994E-2</v>
      </c>
      <c r="AE1121">
        <v>-0.58820000000002803</v>
      </c>
      <c r="AF1121">
        <v>5.5926105766629902E-2</v>
      </c>
      <c r="AG1121">
        <v>-7.8215999999999994E-2</v>
      </c>
      <c r="AH1121">
        <v>0.576841583545884</v>
      </c>
      <c r="AI1121">
        <v>97.686238513559502</v>
      </c>
      <c r="AJ1121">
        <v>84.462351185744893</v>
      </c>
      <c r="AK1121">
        <v>0.58480055101713402</v>
      </c>
      <c r="AL1121">
        <v>81.845094366827198</v>
      </c>
      <c r="AM1121">
        <v>85.634236860776497</v>
      </c>
      <c r="AN1121">
        <v>1.0000000634205899</v>
      </c>
    </row>
    <row r="1122" spans="1:40" x14ac:dyDescent="0.25">
      <c r="A1122" t="str">
        <f>"20190312164241875"</f>
        <v>20190312164241875</v>
      </c>
      <c r="B1122" t="str">
        <f>"1552380161865520"</f>
        <v>1552380161865520</v>
      </c>
      <c r="C1122" t="s">
        <v>40</v>
      </c>
      <c r="D1122">
        <v>4.9762320000000004</v>
      </c>
      <c r="E1122">
        <v>0.4985135</v>
      </c>
      <c r="F1122" t="s">
        <v>41</v>
      </c>
      <c r="G1122">
        <v>-190.75200000000001</v>
      </c>
      <c r="H1122">
        <v>1.0351269999999999</v>
      </c>
      <c r="I1122">
        <v>339.1551</v>
      </c>
      <c r="J1122">
        <v>-190.7106</v>
      </c>
      <c r="K1122">
        <v>1.110662</v>
      </c>
      <c r="L1122">
        <v>339.71980000000002</v>
      </c>
      <c r="M1122">
        <v>2.4427959999999999E-2</v>
      </c>
      <c r="N1122">
        <v>0</v>
      </c>
      <c r="O1122">
        <v>-0.99960990000000005</v>
      </c>
      <c r="P1122">
        <v>-5.0828949999999998E-2</v>
      </c>
      <c r="Q1122">
        <v>0.12913450000000001</v>
      </c>
      <c r="R1122">
        <v>-0.99032379999999998</v>
      </c>
      <c r="S1122">
        <v>-0.1303406</v>
      </c>
      <c r="T1122">
        <v>-0.28184019999999999</v>
      </c>
      <c r="U1122">
        <v>-3.058929</v>
      </c>
      <c r="V1122">
        <v>7.4972739999999996E-2</v>
      </c>
      <c r="W1122">
        <v>0.142535299999999</v>
      </c>
      <c r="X1122">
        <v>0.9869462</v>
      </c>
      <c r="Y1122">
        <v>6.6787589999999994E-2</v>
      </c>
      <c r="Z1122">
        <v>9.1563519999999995E-2</v>
      </c>
      <c r="AA1122">
        <v>0.99355700000000002</v>
      </c>
      <c r="AB1122">
        <v>26</v>
      </c>
      <c r="AC1122">
        <v>-4.1400000000009998E-2</v>
      </c>
      <c r="AD1122">
        <v>-7.5534999999999894E-2</v>
      </c>
      <c r="AE1122">
        <v>-0.56470000000001597</v>
      </c>
      <c r="AF1122">
        <v>5.4218481886901697E-2</v>
      </c>
      <c r="AG1122">
        <v>-7.5534999999999894E-2</v>
      </c>
      <c r="AH1122">
        <v>0.55366675686182898</v>
      </c>
      <c r="AI1122">
        <v>97.732185560782995</v>
      </c>
      <c r="AJ1122">
        <v>84.407074376521905</v>
      </c>
      <c r="AK1122">
        <v>0.56141968050382496</v>
      </c>
      <c r="AL1122">
        <v>81.805420298297406</v>
      </c>
      <c r="AM1122">
        <v>85.655905739831397</v>
      </c>
      <c r="AN1122">
        <v>1.00000001259181</v>
      </c>
    </row>
    <row r="1123" spans="1:40" x14ac:dyDescent="0.25">
      <c r="A1123" t="str">
        <f>"20190312164241897"</f>
        <v>20190312164241897</v>
      </c>
      <c r="B1123" t="str">
        <f>"1552380161894800"</f>
        <v>1552380161894800</v>
      </c>
      <c r="C1123" t="s">
        <v>40</v>
      </c>
      <c r="D1123">
        <v>5.1465750000000003</v>
      </c>
      <c r="E1123">
        <v>0.4986082</v>
      </c>
      <c r="F1123" t="s">
        <v>41</v>
      </c>
      <c r="G1123">
        <v>-190.7448</v>
      </c>
      <c r="H1123">
        <v>1.03833</v>
      </c>
      <c r="I1123">
        <v>338.92309999999998</v>
      </c>
      <c r="J1123">
        <v>-190.70410000000001</v>
      </c>
      <c r="K1123">
        <v>1.110644</v>
      </c>
      <c r="L1123">
        <v>339.45800000000003</v>
      </c>
      <c r="M1123">
        <v>2.4478349999999999E-2</v>
      </c>
      <c r="N1123">
        <v>0</v>
      </c>
      <c r="O1123">
        <v>-0.99960800000000005</v>
      </c>
      <c r="P1123">
        <v>-5.0910209999999997E-2</v>
      </c>
      <c r="Q1123">
        <v>0.13040460000000001</v>
      </c>
      <c r="R1123">
        <v>-0.99015299999999995</v>
      </c>
      <c r="S1123">
        <v>-0.13040160000000001</v>
      </c>
      <c r="T1123">
        <v>-0.2779837</v>
      </c>
      <c r="U1123">
        <v>-3.0588989999999998</v>
      </c>
      <c r="V1123">
        <v>7.510878E-2</v>
      </c>
      <c r="W1123">
        <v>0.14384859999999999</v>
      </c>
      <c r="X1123">
        <v>0.98674530000000005</v>
      </c>
      <c r="Y1123">
        <v>6.6862959999999999E-2</v>
      </c>
      <c r="Z1123">
        <v>9.0321419999999999E-2</v>
      </c>
      <c r="AA1123">
        <v>0.99366560000000004</v>
      </c>
      <c r="AB1123">
        <v>26</v>
      </c>
      <c r="AC1123">
        <v>-4.0699999999986802E-2</v>
      </c>
      <c r="AD1123">
        <v>-7.2313999999999906E-2</v>
      </c>
      <c r="AE1123">
        <v>-0.53490000000005</v>
      </c>
      <c r="AF1123">
        <v>5.2822611094393401E-2</v>
      </c>
      <c r="AG1123">
        <v>-7.2313999999999906E-2</v>
      </c>
      <c r="AH1123">
        <v>0.52421747746134095</v>
      </c>
      <c r="AI1123">
        <v>97.815103971615201</v>
      </c>
      <c r="AJ1123">
        <v>84.246030498064698</v>
      </c>
      <c r="AK1123">
        <v>0.53181153288995198</v>
      </c>
      <c r="AL1123">
        <v>81.729390295121306</v>
      </c>
      <c r="AM1123">
        <v>85.647170876939398</v>
      </c>
      <c r="AN1123">
        <v>1.00000001781356</v>
      </c>
    </row>
    <row r="1124" spans="1:40" x14ac:dyDescent="0.25">
      <c r="A1124" t="str">
        <f>"20190312164241920"</f>
        <v>20190312164241920</v>
      </c>
      <c r="B1124" t="str">
        <f>"1552380161915296"</f>
        <v>1552380161915296</v>
      </c>
      <c r="C1124" t="s">
        <v>40</v>
      </c>
      <c r="D1124">
        <v>4.9639670000000002</v>
      </c>
      <c r="E1124">
        <v>0.49869809999999998</v>
      </c>
      <c r="F1124" t="s">
        <v>41</v>
      </c>
      <c r="G1124">
        <v>-190.7373</v>
      </c>
      <c r="H1124">
        <v>1.042503</v>
      </c>
      <c r="I1124">
        <v>338.6909</v>
      </c>
      <c r="J1124">
        <v>-190.6979</v>
      </c>
      <c r="K1124">
        <v>1.1106309999999999</v>
      </c>
      <c r="L1124">
        <v>339.20479999999998</v>
      </c>
      <c r="M1124">
        <v>2.4502409999999999E-2</v>
      </c>
      <c r="N1124">
        <v>0</v>
      </c>
      <c r="O1124">
        <v>-0.99960709999999997</v>
      </c>
      <c r="P1124">
        <v>-5.0835369999999998E-2</v>
      </c>
      <c r="Q1124">
        <v>0.1307855</v>
      </c>
      <c r="R1124">
        <v>-0.99010710000000002</v>
      </c>
      <c r="S1124">
        <v>-0.1319427</v>
      </c>
      <c r="T1124">
        <v>-0.27183010000000002</v>
      </c>
      <c r="U1124">
        <v>-3.0588380000000002</v>
      </c>
      <c r="V1124">
        <v>7.5064800000000001E-2</v>
      </c>
      <c r="W1124">
        <v>0.1442658</v>
      </c>
      <c r="X1124">
        <v>0.98668769999999995</v>
      </c>
      <c r="Y1124">
        <v>6.7395209999999997E-2</v>
      </c>
      <c r="Z1124">
        <v>8.8336990000000004E-2</v>
      </c>
      <c r="AA1124">
        <v>0.99380809999999997</v>
      </c>
      <c r="AB1124">
        <v>26</v>
      </c>
      <c r="AC1124">
        <v>-3.9400000000000497E-2</v>
      </c>
      <c r="AD1124">
        <v>-6.8127999999999897E-2</v>
      </c>
      <c r="AE1124">
        <v>-0.51389999999997804</v>
      </c>
      <c r="AF1124">
        <v>5.1088493276963E-2</v>
      </c>
      <c r="AG1124">
        <v>-6.8127999999999897E-2</v>
      </c>
      <c r="AH1124">
        <v>0.503974631217741</v>
      </c>
      <c r="AI1124">
        <v>97.659868748091995</v>
      </c>
      <c r="AJ1124">
        <v>84.211633592291406</v>
      </c>
      <c r="AK1124">
        <v>0.51111827147967304</v>
      </c>
      <c r="AL1124">
        <v>81.705234231100206</v>
      </c>
      <c r="AM1124">
        <v>85.649456909397699</v>
      </c>
      <c r="AN1124">
        <v>0.99999998128998402</v>
      </c>
    </row>
    <row r="1125" spans="1:40" x14ac:dyDescent="0.25">
      <c r="A1125" t="str">
        <f>"20190312164241943"</f>
        <v>20190312164241943</v>
      </c>
      <c r="B1125" t="str">
        <f>"1552380161934816"</f>
        <v>1552380161934816</v>
      </c>
      <c r="C1125" t="s">
        <v>40</v>
      </c>
      <c r="D1125">
        <v>4.9229729999999998</v>
      </c>
      <c r="E1125">
        <v>0.49873810000000002</v>
      </c>
      <c r="F1125" t="s">
        <v>41</v>
      </c>
      <c r="G1125">
        <v>-190.7304</v>
      </c>
      <c r="H1125">
        <v>1.0449489999999999</v>
      </c>
      <c r="I1125">
        <v>338.45920000000001</v>
      </c>
      <c r="J1125">
        <v>-190.69130000000001</v>
      </c>
      <c r="K1125">
        <v>1.1106069999999999</v>
      </c>
      <c r="L1125">
        <v>338.93720000000002</v>
      </c>
      <c r="M1125">
        <v>2.450714E-2</v>
      </c>
      <c r="N1125">
        <v>0</v>
      </c>
      <c r="O1125">
        <v>-0.99960640000000001</v>
      </c>
      <c r="P1125">
        <v>-5.0900229999999998E-2</v>
      </c>
      <c r="Q1125">
        <v>0.13202359999999999</v>
      </c>
      <c r="R1125">
        <v>-0.98993940000000002</v>
      </c>
      <c r="S1125">
        <v>-0.1324158</v>
      </c>
      <c r="T1125">
        <v>-0.26973799999999998</v>
      </c>
      <c r="U1125">
        <v>-3.0587460000000002</v>
      </c>
      <c r="V1125">
        <v>7.513773E-2</v>
      </c>
      <c r="W1125">
        <v>0.14553489999999999</v>
      </c>
      <c r="X1125">
        <v>0.98649580000000003</v>
      </c>
      <c r="Y1125">
        <v>6.7557179999999994E-2</v>
      </c>
      <c r="Z1125">
        <v>8.766417E-2</v>
      </c>
      <c r="AA1125">
        <v>0.99385670000000004</v>
      </c>
      <c r="AB1125">
        <v>26</v>
      </c>
      <c r="AC1125">
        <v>-3.9099999999990503E-2</v>
      </c>
      <c r="AD1125">
        <v>-6.5657999999999994E-2</v>
      </c>
      <c r="AE1125">
        <v>-0.47800000000000797</v>
      </c>
      <c r="AF1125">
        <v>4.98690970212287E-2</v>
      </c>
      <c r="AG1125">
        <v>-6.5657999999999994E-2</v>
      </c>
      <c r="AH1125">
        <v>0.46812435478919601</v>
      </c>
      <c r="AI1125">
        <v>97.939738276878899</v>
      </c>
      <c r="AJ1125">
        <v>83.919237343834197</v>
      </c>
      <c r="AK1125">
        <v>0.47532968700525502</v>
      </c>
      <c r="AL1125">
        <v>81.631744923466101</v>
      </c>
      <c r="AM1125">
        <v>85.644402487431407</v>
      </c>
      <c r="AN1125">
        <v>1.0000000245025999</v>
      </c>
    </row>
    <row r="1126" spans="1:40" x14ac:dyDescent="0.25">
      <c r="A1126" t="str">
        <f>"20190312164241966"</f>
        <v>20190312164241966</v>
      </c>
      <c r="B1126" t="str">
        <f>"1552380161955313"</f>
        <v>1552380161955313</v>
      </c>
      <c r="C1126" t="s">
        <v>40</v>
      </c>
      <c r="D1126">
        <v>4.9331139999999998</v>
      </c>
      <c r="E1126">
        <v>0.4987548</v>
      </c>
      <c r="F1126" t="s">
        <v>41</v>
      </c>
      <c r="G1126">
        <v>-190.7319</v>
      </c>
      <c r="H1126">
        <v>1.030497</v>
      </c>
      <c r="I1126">
        <v>338.00790000000001</v>
      </c>
      <c r="J1126">
        <v>-190.6849</v>
      </c>
      <c r="K1126">
        <v>1.110598</v>
      </c>
      <c r="L1126">
        <v>338.67970000000003</v>
      </c>
      <c r="M1126">
        <v>2.4500919999999999E-2</v>
      </c>
      <c r="N1126">
        <v>0</v>
      </c>
      <c r="O1126">
        <v>-0.99960590000000005</v>
      </c>
      <c r="P1126">
        <v>-5.1170460000000001E-2</v>
      </c>
      <c r="Q1126">
        <v>0.1330527</v>
      </c>
      <c r="R1126">
        <v>-0.98978730000000004</v>
      </c>
      <c r="S1126">
        <v>-0.1334381</v>
      </c>
      <c r="T1126">
        <v>-0.26385439999999999</v>
      </c>
      <c r="U1126">
        <v>-3.0588380000000002</v>
      </c>
      <c r="V1126">
        <v>7.5404230000000003E-2</v>
      </c>
      <c r="W1126">
        <v>0.1465892</v>
      </c>
      <c r="X1126">
        <v>0.98631930000000001</v>
      </c>
      <c r="Y1126">
        <v>6.7888470000000006E-2</v>
      </c>
      <c r="Z1126">
        <v>8.5762169999999999E-2</v>
      </c>
      <c r="AA1126">
        <v>0.99399999999999999</v>
      </c>
      <c r="AB1126">
        <v>26</v>
      </c>
      <c r="AC1126">
        <v>-4.6999999999997003E-2</v>
      </c>
      <c r="AD1126">
        <v>-8.0100999999999895E-2</v>
      </c>
      <c r="AE1126">
        <v>-0.67180000000001805</v>
      </c>
      <c r="AF1126">
        <v>6.2562063753867303E-2</v>
      </c>
      <c r="AG1126">
        <v>-8.0100999999999895E-2</v>
      </c>
      <c r="AH1126">
        <v>0.66109390857754802</v>
      </c>
      <c r="AI1126">
        <v>96.878094646806602</v>
      </c>
      <c r="AJ1126">
        <v>84.593962076979494</v>
      </c>
      <c r="AK1126">
        <v>0.66886122475479404</v>
      </c>
      <c r="AL1126">
        <v>81.570682712515406</v>
      </c>
      <c r="AM1126">
        <v>85.628234583585893</v>
      </c>
      <c r="AN1126">
        <v>0.99999997650551098</v>
      </c>
    </row>
    <row r="1127" spans="1:40" x14ac:dyDescent="0.25">
      <c r="A1127" t="str">
        <f>"20190312164241990"</f>
        <v>20190312164241990</v>
      </c>
      <c r="B1127" t="str">
        <f>"1552380161985568"</f>
        <v>1552380161985568</v>
      </c>
      <c r="C1127" t="s">
        <v>40</v>
      </c>
      <c r="D1127">
        <v>4.938663</v>
      </c>
      <c r="E1127">
        <v>0.49878850000000002</v>
      </c>
      <c r="F1127" t="s">
        <v>41</v>
      </c>
      <c r="G1127">
        <v>-190.72470000000001</v>
      </c>
      <c r="H1127">
        <v>1.0343560000000001</v>
      </c>
      <c r="I1127">
        <v>337.77710000000002</v>
      </c>
      <c r="J1127">
        <v>-190.6782</v>
      </c>
      <c r="K1127">
        <v>1.11059</v>
      </c>
      <c r="L1127">
        <v>338.40530000000001</v>
      </c>
      <c r="M1127">
        <v>2.448875E-2</v>
      </c>
      <c r="N1127">
        <v>0</v>
      </c>
      <c r="O1127">
        <v>-0.99960590000000005</v>
      </c>
      <c r="P1127">
        <v>-5.211408E-2</v>
      </c>
      <c r="Q1127">
        <v>0.13316539999999999</v>
      </c>
      <c r="R1127">
        <v>-0.98972300000000002</v>
      </c>
      <c r="S1127">
        <v>-0.1347961</v>
      </c>
      <c r="T1127">
        <v>-0.25836959999999998</v>
      </c>
      <c r="U1127">
        <v>-3.0587460000000002</v>
      </c>
      <c r="V1127">
        <v>7.6339550000000006E-2</v>
      </c>
      <c r="W1127">
        <v>0.146726</v>
      </c>
      <c r="X1127">
        <v>0.98622699999999996</v>
      </c>
      <c r="Y1127">
        <v>6.832473E-2</v>
      </c>
      <c r="Z1127">
        <v>8.3992620000000004E-2</v>
      </c>
      <c r="AA1127">
        <v>0.99412120000000004</v>
      </c>
      <c r="AB1127">
        <v>26</v>
      </c>
      <c r="AC1127">
        <v>-4.6500000000008798E-2</v>
      </c>
      <c r="AD1127">
        <v>-7.6233999999999899E-2</v>
      </c>
      <c r="AE1127">
        <v>-0.62819999999999199</v>
      </c>
      <c r="AF1127">
        <v>6.0978227385884501E-2</v>
      </c>
      <c r="AG1127">
        <v>-7.6233999999999899E-2</v>
      </c>
      <c r="AH1127">
        <v>0.61782389070560995</v>
      </c>
      <c r="AI1127">
        <v>97.000561311272094</v>
      </c>
      <c r="AJ1127">
        <v>84.363254340592107</v>
      </c>
      <c r="AK1127">
        <v>0.62548887032283895</v>
      </c>
      <c r="AL1127">
        <v>81.562758923880295</v>
      </c>
      <c r="AM1127">
        <v>85.573808441321106</v>
      </c>
      <c r="AN1127">
        <v>0.99999997074960001</v>
      </c>
    </row>
    <row r="1128" spans="1:40" x14ac:dyDescent="0.25">
      <c r="A1128" t="str">
        <f>"20190312164242010"</f>
        <v>20190312164242010</v>
      </c>
      <c r="B1128" t="str">
        <f>"1552380162005089"</f>
        <v>1552380162005089</v>
      </c>
      <c r="C1128" t="s">
        <v>40</v>
      </c>
      <c r="D1128">
        <v>5.0698100000000004</v>
      </c>
      <c r="E1128">
        <v>0.49881619999999999</v>
      </c>
      <c r="F1128" t="s">
        <v>41</v>
      </c>
      <c r="G1128">
        <v>-190.71700000000001</v>
      </c>
      <c r="H1128">
        <v>1.038632</v>
      </c>
      <c r="I1128">
        <v>337.5462</v>
      </c>
      <c r="J1128">
        <v>-190.67230000000001</v>
      </c>
      <c r="K1128">
        <v>1.110579</v>
      </c>
      <c r="L1128">
        <v>338.16719999999998</v>
      </c>
      <c r="M1128">
        <v>2.4466430000000001E-2</v>
      </c>
      <c r="N1128">
        <v>0</v>
      </c>
      <c r="O1128">
        <v>-0.99960610000000005</v>
      </c>
      <c r="P1128">
        <v>-5.3095870000000003E-2</v>
      </c>
      <c r="Q1128">
        <v>0.13191919999999999</v>
      </c>
      <c r="R1128">
        <v>-0.98983779999999999</v>
      </c>
      <c r="S1128">
        <v>-0.137603799999999</v>
      </c>
      <c r="T1128">
        <v>-0.2564014</v>
      </c>
      <c r="U1128">
        <v>-3.0583800000000001</v>
      </c>
      <c r="V1128">
        <v>7.7306910000000006E-2</v>
      </c>
      <c r="W1128">
        <v>0.14549860000000001</v>
      </c>
      <c r="X1128">
        <v>0.98633349999999997</v>
      </c>
      <c r="Y1128">
        <v>6.922085E-2</v>
      </c>
      <c r="Z1128">
        <v>8.3362969999999995E-2</v>
      </c>
      <c r="AA1128">
        <v>0.9941122</v>
      </c>
      <c r="AB1128">
        <v>26</v>
      </c>
      <c r="AC1128">
        <v>-4.4700000000005902E-2</v>
      </c>
      <c r="AD1128">
        <v>-7.19469999999999E-2</v>
      </c>
      <c r="AE1128">
        <v>-0.62099999999998001</v>
      </c>
      <c r="AF1128">
        <v>5.90926078945051E-2</v>
      </c>
      <c r="AG1128">
        <v>-7.19469999999999E-2</v>
      </c>
      <c r="AH1128">
        <v>0.61155388140437805</v>
      </c>
      <c r="AI1128">
        <v>96.678964608504998</v>
      </c>
      <c r="AJ1128">
        <v>84.480816121450502</v>
      </c>
      <c r="AK1128">
        <v>0.61860040169525699</v>
      </c>
      <c r="AL1128">
        <v>81.633846821276705</v>
      </c>
      <c r="AM1128">
        <v>85.518429694880993</v>
      </c>
      <c r="AN1128">
        <v>0.99999998707897797</v>
      </c>
    </row>
    <row r="1129" spans="1:40" x14ac:dyDescent="0.25">
      <c r="A1129" t="str">
        <f>"20190312164242032"</f>
        <v>20190312164242032</v>
      </c>
      <c r="B1129" t="str">
        <f>"1552380162024608"</f>
        <v>1552380162024608</v>
      </c>
      <c r="C1129" t="s">
        <v>40</v>
      </c>
      <c r="D1129">
        <v>5.1334470000000003</v>
      </c>
      <c r="E1129">
        <v>0.49884109999999998</v>
      </c>
      <c r="F1129" t="s">
        <v>41</v>
      </c>
      <c r="G1129">
        <v>-190.7114</v>
      </c>
      <c r="H1129">
        <v>1.0383910000000001</v>
      </c>
      <c r="I1129">
        <v>337.31799999999998</v>
      </c>
      <c r="J1129">
        <v>-190.6662</v>
      </c>
      <c r="K1129">
        <v>1.110555</v>
      </c>
      <c r="L1129">
        <v>337.91849999999999</v>
      </c>
      <c r="M1129">
        <v>2.4420009999999999E-2</v>
      </c>
      <c r="N1129">
        <v>0</v>
      </c>
      <c r="O1129">
        <v>-0.99960709999999997</v>
      </c>
      <c r="P1129">
        <v>-5.414998E-2</v>
      </c>
      <c r="Q1129">
        <v>0.13068109999999999</v>
      </c>
      <c r="R1129">
        <v>-0.98994510000000002</v>
      </c>
      <c r="S1129">
        <v>-0.14073179999999999</v>
      </c>
      <c r="T1129">
        <v>-0.25998250000000001</v>
      </c>
      <c r="U1129">
        <v>-3.0578919999999998</v>
      </c>
      <c r="V1129">
        <v>7.8324350000000001E-2</v>
      </c>
      <c r="W1129">
        <v>0.14427609999999999</v>
      </c>
      <c r="X1129">
        <v>0.9864328</v>
      </c>
      <c r="Y1129">
        <v>7.019193E-2</v>
      </c>
      <c r="Z1129">
        <v>8.4527699999999997E-2</v>
      </c>
      <c r="AA1129">
        <v>0.99394579999999999</v>
      </c>
      <c r="AB1129">
        <v>26</v>
      </c>
      <c r="AC1129">
        <v>-4.5199999999994099E-2</v>
      </c>
      <c r="AD1129">
        <v>-7.2163999999999895E-2</v>
      </c>
      <c r="AE1129">
        <v>-0.60049999999995396</v>
      </c>
      <c r="AF1129">
        <v>5.9004799663867603E-2</v>
      </c>
      <c r="AG1129">
        <v>-7.2163999999999895E-2</v>
      </c>
      <c r="AH1129">
        <v>0.59073392229436295</v>
      </c>
      <c r="AI1129">
        <v>96.930589945618806</v>
      </c>
      <c r="AJ1129">
        <v>84.295993918963802</v>
      </c>
      <c r="AK1129">
        <v>0.59804328959420305</v>
      </c>
      <c r="AL1129">
        <v>81.704637858544999</v>
      </c>
      <c r="AM1129">
        <v>85.460147691065899</v>
      </c>
      <c r="AN1129">
        <v>0.99999998287498604</v>
      </c>
    </row>
    <row r="1130" spans="1:40" x14ac:dyDescent="0.25">
      <c r="A1130" t="str">
        <f>"20190312164242054"</f>
        <v>20190312164242054</v>
      </c>
      <c r="B1130" t="str">
        <f>"1552380162045105"</f>
        <v>1552380162045105</v>
      </c>
      <c r="C1130" t="s">
        <v>40</v>
      </c>
      <c r="D1130">
        <v>4.9156760000000004</v>
      </c>
      <c r="E1130">
        <v>0.49887779999999998</v>
      </c>
      <c r="F1130" t="s">
        <v>41</v>
      </c>
      <c r="G1130">
        <v>-190.7056</v>
      </c>
      <c r="H1130">
        <v>1.0392490000000001</v>
      </c>
      <c r="I1130">
        <v>337.08940000000001</v>
      </c>
      <c r="J1130">
        <v>-190.6601</v>
      </c>
      <c r="K1130">
        <v>1.1105309999999999</v>
      </c>
      <c r="L1130">
        <v>337.66629999999998</v>
      </c>
      <c r="M1130">
        <v>2.4341660000000001E-2</v>
      </c>
      <c r="N1130">
        <v>0</v>
      </c>
      <c r="O1130">
        <v>-0.99960879999999996</v>
      </c>
      <c r="P1130">
        <v>-5.4686209999999999E-2</v>
      </c>
      <c r="Q1130">
        <v>0.12927520000000001</v>
      </c>
      <c r="R1130">
        <v>-0.99009999999999998</v>
      </c>
      <c r="S1130">
        <v>-0.14482120000000001</v>
      </c>
      <c r="T1130">
        <v>-0.26307259999999999</v>
      </c>
      <c r="U1130">
        <v>-3.057312</v>
      </c>
      <c r="V1130">
        <v>7.8795630000000005E-2</v>
      </c>
      <c r="W1130">
        <v>0.14287839999999999</v>
      </c>
      <c r="X1130">
        <v>0.98659870000000005</v>
      </c>
      <c r="Y1130">
        <v>7.1444850000000004E-2</v>
      </c>
      <c r="Z1130">
        <v>8.5534929999999995E-2</v>
      </c>
      <c r="AA1130">
        <v>0.9937703</v>
      </c>
      <c r="AB1130">
        <v>26</v>
      </c>
      <c r="AC1130">
        <v>-4.5500000000004003E-2</v>
      </c>
      <c r="AD1130">
        <v>-7.1281999999999998E-2</v>
      </c>
      <c r="AE1130">
        <v>-0.576899999999966</v>
      </c>
      <c r="AF1130">
        <v>5.8640806873531598E-2</v>
      </c>
      <c r="AG1130">
        <v>-7.1281999999999998E-2</v>
      </c>
      <c r="AH1130">
        <v>0.56701813146228897</v>
      </c>
      <c r="AI1130">
        <v>97.127659051054394</v>
      </c>
      <c r="AJ1130">
        <v>84.095482648246502</v>
      </c>
      <c r="AK1130">
        <v>0.57448187888023405</v>
      </c>
      <c r="AL1130">
        <v>81.785558661341497</v>
      </c>
      <c r="AM1130">
        <v>85.433711196125799</v>
      </c>
      <c r="AN1130">
        <v>0.99999999166767295</v>
      </c>
    </row>
    <row r="1131" spans="1:40" x14ac:dyDescent="0.25">
      <c r="A1131" t="str">
        <f>"20190312164242077"</f>
        <v>20190312164242077</v>
      </c>
      <c r="B1131" t="str">
        <f>"1552380162065600"</f>
        <v>1552380162065600</v>
      </c>
      <c r="C1131" t="s">
        <v>40</v>
      </c>
      <c r="D1131">
        <v>4.9455660000000004</v>
      </c>
      <c r="E1131">
        <v>0.49882359999999998</v>
      </c>
      <c r="F1131" t="s">
        <v>41</v>
      </c>
      <c r="G1131">
        <v>-190.69900000000001</v>
      </c>
      <c r="H1131">
        <v>1.039895</v>
      </c>
      <c r="I1131">
        <v>336.86110000000002</v>
      </c>
      <c r="J1131">
        <v>-190.65389999999999</v>
      </c>
      <c r="K1131">
        <v>1.1104889999999901</v>
      </c>
      <c r="L1131">
        <v>337.4074</v>
      </c>
      <c r="M1131">
        <v>2.422726E-2</v>
      </c>
      <c r="N1131">
        <v>0</v>
      </c>
      <c r="O1131">
        <v>-0.99961169999999999</v>
      </c>
      <c r="P1131">
        <v>-5.633051E-2</v>
      </c>
      <c r="Q1131">
        <v>0.1271255</v>
      </c>
      <c r="R1131">
        <v>-0.99028620000000001</v>
      </c>
      <c r="S1131">
        <v>-0.14721679999999901</v>
      </c>
      <c r="T1131">
        <v>-0.26828560000000001</v>
      </c>
      <c r="U1131">
        <v>-3.056915</v>
      </c>
      <c r="V1131">
        <v>8.0340579999999995E-2</v>
      </c>
      <c r="W1131">
        <v>0.14072319999999999</v>
      </c>
      <c r="X1131">
        <v>0.98678390000000005</v>
      </c>
      <c r="Y1131">
        <v>7.2106729999999994E-2</v>
      </c>
      <c r="Z1131">
        <v>8.7224949999999996E-2</v>
      </c>
      <c r="AA1131">
        <v>0.9935756</v>
      </c>
      <c r="AB1131">
        <v>26</v>
      </c>
      <c r="AC1131">
        <v>-4.5100000000019201E-2</v>
      </c>
      <c r="AD1131">
        <v>-7.0593999999999796E-2</v>
      </c>
      <c r="AE1131">
        <v>-0.54629999999997303</v>
      </c>
      <c r="AF1131">
        <v>5.7371836759257999E-2</v>
      </c>
      <c r="AG1131">
        <v>-7.0593999999999796E-2</v>
      </c>
      <c r="AH1131">
        <v>0.53615458032024799</v>
      </c>
      <c r="AI1131">
        <v>97.458733552628402</v>
      </c>
      <c r="AJ1131">
        <v>83.892240464374495</v>
      </c>
      <c r="AK1131">
        <v>0.54381685748743802</v>
      </c>
      <c r="AL1131">
        <v>81.910303514926298</v>
      </c>
      <c r="AM1131">
        <v>85.345439407643298</v>
      </c>
      <c r="AN1131">
        <v>1.0000000465560901</v>
      </c>
    </row>
    <row r="1132" spans="1:40" x14ac:dyDescent="0.25">
      <c r="A1132" t="str">
        <f>"20190312164242100"</f>
        <v>20190312164242100</v>
      </c>
      <c r="B1132" t="str">
        <f>"1552380162094881"</f>
        <v>1552380162094881</v>
      </c>
      <c r="C1132" t="s">
        <v>40</v>
      </c>
      <c r="D1132">
        <v>5.1791869999999998</v>
      </c>
      <c r="E1132">
        <v>0.49880740000000001</v>
      </c>
      <c r="F1132" t="s">
        <v>41</v>
      </c>
      <c r="G1132">
        <v>-190.6927</v>
      </c>
      <c r="H1132">
        <v>1.040832</v>
      </c>
      <c r="I1132">
        <v>336.63290000000001</v>
      </c>
      <c r="J1132">
        <v>-190.64769999999999</v>
      </c>
      <c r="K1132">
        <v>1.110457</v>
      </c>
      <c r="L1132">
        <v>337.14339999999999</v>
      </c>
      <c r="M1132">
        <v>2.40777E-2</v>
      </c>
      <c r="N1132">
        <v>0</v>
      </c>
      <c r="O1132">
        <v>-0.99961560000000005</v>
      </c>
      <c r="P1132">
        <v>-5.7844180000000002E-2</v>
      </c>
      <c r="Q1132">
        <v>0.12692010000000001</v>
      </c>
      <c r="R1132">
        <v>-0.99022500000000002</v>
      </c>
      <c r="S1132">
        <v>-0.15196229999999999</v>
      </c>
      <c r="T1132">
        <v>-0.2751112</v>
      </c>
      <c r="U1132">
        <v>-3.0560909999999999</v>
      </c>
      <c r="V1132">
        <v>8.1713670000000002E-2</v>
      </c>
      <c r="W1132">
        <v>0.140489</v>
      </c>
      <c r="X1132">
        <v>0.98670449999999998</v>
      </c>
      <c r="Y1132">
        <v>7.3499659999999994E-2</v>
      </c>
      <c r="Z1132">
        <v>8.9442939999999999E-2</v>
      </c>
      <c r="AA1132">
        <v>0.9932763</v>
      </c>
      <c r="AB1132">
        <v>25</v>
      </c>
      <c r="AC1132">
        <v>-4.5000000000015902E-2</v>
      </c>
      <c r="AD1132">
        <v>-6.9625000000000006E-2</v>
      </c>
      <c r="AE1132">
        <v>-0.51049999999997897</v>
      </c>
      <c r="AF1132">
        <v>5.6241686906146698E-2</v>
      </c>
      <c r="AG1132">
        <v>-6.9625000000000006E-2</v>
      </c>
      <c r="AH1132">
        <v>0.50003881168532205</v>
      </c>
      <c r="AI1132">
        <v>97.877809590653698</v>
      </c>
      <c r="AJ1132">
        <v>83.582647956507103</v>
      </c>
      <c r="AK1132">
        <v>0.50798580803278204</v>
      </c>
      <c r="AL1132">
        <v>81.923856667900395</v>
      </c>
      <c r="AM1132">
        <v>85.265868245796895</v>
      </c>
      <c r="AN1132">
        <v>1.00000002665305</v>
      </c>
    </row>
    <row r="1133" spans="1:40" x14ac:dyDescent="0.25">
      <c r="A1133" t="str">
        <f>"20190312164242122"</f>
        <v>20190312164242122</v>
      </c>
      <c r="B1133" t="str">
        <f>"1552380162115376"</f>
        <v>1552380162115376</v>
      </c>
      <c r="C1133" t="s">
        <v>40</v>
      </c>
      <c r="D1133">
        <v>4.9242189999999999</v>
      </c>
      <c r="E1133">
        <v>0.4987742</v>
      </c>
      <c r="F1133" t="s">
        <v>41</v>
      </c>
      <c r="G1133">
        <v>-190.68530000000001</v>
      </c>
      <c r="H1133">
        <v>1.0440739999999999</v>
      </c>
      <c r="I1133">
        <v>336.40370000000001</v>
      </c>
      <c r="J1133">
        <v>-190.642</v>
      </c>
      <c r="K1133">
        <v>1.110433</v>
      </c>
      <c r="L1133">
        <v>336.89839999999998</v>
      </c>
      <c r="M1133">
        <v>2.3911740000000001E-2</v>
      </c>
      <c r="N1133">
        <v>0</v>
      </c>
      <c r="O1133">
        <v>-0.99962030000000002</v>
      </c>
      <c r="P1133">
        <v>-6.0549989999999998E-2</v>
      </c>
      <c r="Q1133">
        <v>0.1280966</v>
      </c>
      <c r="R1133">
        <v>-0.98991200000000001</v>
      </c>
      <c r="S1133">
        <v>-0.15518189999999901</v>
      </c>
      <c r="T1133">
        <v>-0.27433479999999999</v>
      </c>
      <c r="U1133">
        <v>-3.0557249999999998</v>
      </c>
      <c r="V1133">
        <v>8.4253770000000006E-2</v>
      </c>
      <c r="W1133">
        <v>0.14160780000000001</v>
      </c>
      <c r="X1133">
        <v>0.98633090000000001</v>
      </c>
      <c r="Y1133">
        <v>7.4384980000000003E-2</v>
      </c>
      <c r="Z1133">
        <v>8.9198399999999997E-2</v>
      </c>
      <c r="AA1133">
        <v>0.99323240000000002</v>
      </c>
      <c r="AB1133">
        <v>25</v>
      </c>
      <c r="AC1133">
        <v>-4.3300000000016298E-2</v>
      </c>
      <c r="AD1133">
        <v>-6.6359000000000001E-2</v>
      </c>
      <c r="AE1133">
        <v>-0.494699999999966</v>
      </c>
      <c r="AF1133">
        <v>5.4150907063164402E-2</v>
      </c>
      <c r="AG1133">
        <v>-6.6359000000000001E-2</v>
      </c>
      <c r="AH1133">
        <v>0.48486495923751999</v>
      </c>
      <c r="AI1133">
        <v>97.745563340699505</v>
      </c>
      <c r="AJ1133">
        <v>83.627474131248505</v>
      </c>
      <c r="AK1133">
        <v>0.49237167497040801</v>
      </c>
      <c r="AL1133">
        <v>81.859107061128</v>
      </c>
      <c r="AM1133">
        <v>85.117566474593801</v>
      </c>
      <c r="AN1133">
        <v>1.00000005553743</v>
      </c>
    </row>
    <row r="1134" spans="1:40" x14ac:dyDescent="0.25">
      <c r="A1134" t="str">
        <f>"20190312164242145"</f>
        <v>20190312164242145</v>
      </c>
      <c r="B1134" t="str">
        <f>"1552380162134896"</f>
        <v>1552380162134896</v>
      </c>
      <c r="C1134" t="s">
        <v>40</v>
      </c>
      <c r="D1134">
        <v>5.1415110000000004</v>
      </c>
      <c r="E1134">
        <v>0.49874560000000001</v>
      </c>
      <c r="F1134" t="s">
        <v>41</v>
      </c>
      <c r="G1134">
        <v>-190.6918</v>
      </c>
      <c r="H1134">
        <v>1.0269410000000001</v>
      </c>
      <c r="I1134">
        <v>335.95740000000001</v>
      </c>
      <c r="J1134">
        <v>-190.63589999999999</v>
      </c>
      <c r="K1134">
        <v>1.110409</v>
      </c>
      <c r="L1134">
        <v>336.63420000000002</v>
      </c>
      <c r="M1134">
        <v>2.3715219999999999E-2</v>
      </c>
      <c r="N1134">
        <v>0</v>
      </c>
      <c r="O1134">
        <v>-0.99962580000000001</v>
      </c>
      <c r="P1134">
        <v>-6.3309950000000004E-2</v>
      </c>
      <c r="Q1134">
        <v>0.13079739999999901</v>
      </c>
      <c r="R1134">
        <v>-0.98938579999999998</v>
      </c>
      <c r="S1134">
        <v>-0.16165160000000001</v>
      </c>
      <c r="T1134">
        <v>-0.27115679999999998</v>
      </c>
      <c r="U1134">
        <v>-3.0558169999999998</v>
      </c>
      <c r="V1134">
        <v>8.6811440000000004E-2</v>
      </c>
      <c r="W1134">
        <v>0.1442243</v>
      </c>
      <c r="X1134">
        <v>0.98572979999999999</v>
      </c>
      <c r="Y1134">
        <v>7.6289350000000006E-2</v>
      </c>
      <c r="Z1134">
        <v>8.8160050000000004E-2</v>
      </c>
      <c r="AA1134">
        <v>0.99318059999999997</v>
      </c>
      <c r="AB1134">
        <v>25</v>
      </c>
      <c r="AC1134">
        <v>-5.59000000000082E-2</v>
      </c>
      <c r="AD1134">
        <v>-8.3468000000000098E-2</v>
      </c>
      <c r="AE1134">
        <v>-0.67680000000001395</v>
      </c>
      <c r="AF1134">
        <v>7.0865688558161E-2</v>
      </c>
      <c r="AG1134">
        <v>-8.3468000000000098E-2</v>
      </c>
      <c r="AH1134">
        <v>0.66523438518433498</v>
      </c>
      <c r="AI1134">
        <v>97.111794561653497</v>
      </c>
      <c r="AJ1134">
        <v>83.919361662921403</v>
      </c>
      <c r="AK1134">
        <v>0.67418516749510504</v>
      </c>
      <c r="AL1134">
        <v>81.707637765445398</v>
      </c>
      <c r="AM1134">
        <v>84.967049425896803</v>
      </c>
      <c r="AN1134">
        <v>1.0000000567167</v>
      </c>
    </row>
    <row r="1135" spans="1:40" x14ac:dyDescent="0.25">
      <c r="A1135" t="str">
        <f>"20190312164242169"</f>
        <v>20190312164242169</v>
      </c>
      <c r="B1135" t="str">
        <f>"1552380162165152"</f>
        <v>1552380162165152</v>
      </c>
      <c r="C1135" t="s">
        <v>40</v>
      </c>
      <c r="D1135">
        <v>4.9186120000000004</v>
      </c>
      <c r="E1135">
        <v>0.49915589999999999</v>
      </c>
      <c r="F1135" t="s">
        <v>41</v>
      </c>
      <c r="G1135">
        <v>-190.68629999999999</v>
      </c>
      <c r="H1135">
        <v>1.0325770000000001</v>
      </c>
      <c r="I1135">
        <v>335.72750000000002</v>
      </c>
      <c r="J1135">
        <v>-190.62989999999999</v>
      </c>
      <c r="K1135">
        <v>1.1103989999999999</v>
      </c>
      <c r="L1135">
        <v>336.37360000000001</v>
      </c>
      <c r="M1135">
        <v>2.3520269999999999E-2</v>
      </c>
      <c r="N1135">
        <v>0</v>
      </c>
      <c r="O1135">
        <v>-0.99963159999999895</v>
      </c>
      <c r="P1135">
        <v>-6.5322119999999997E-2</v>
      </c>
      <c r="Q1135">
        <v>0.13216510000000001</v>
      </c>
      <c r="R1135">
        <v>-0.98907330000000004</v>
      </c>
      <c r="S1135">
        <v>-0.16934199999999999</v>
      </c>
      <c r="T1135">
        <v>-0.26250849999999998</v>
      </c>
      <c r="U1135">
        <v>-3.0560610000000001</v>
      </c>
      <c r="V1135">
        <v>8.8626490000000002E-2</v>
      </c>
      <c r="W1135">
        <v>0.14550750000000001</v>
      </c>
      <c r="X1135">
        <v>0.98537960000000002</v>
      </c>
      <c r="Y1135">
        <v>7.8596020000000003E-2</v>
      </c>
      <c r="Z1135">
        <v>8.5349590000000003E-2</v>
      </c>
      <c r="AA1135">
        <v>0.99324630000000003</v>
      </c>
      <c r="AB1135">
        <v>25</v>
      </c>
      <c r="AC1135">
        <v>-5.6399999999996397E-2</v>
      </c>
      <c r="AD1135">
        <v>-7.7821999999999794E-2</v>
      </c>
      <c r="AE1135">
        <v>-0.64609999999998902</v>
      </c>
      <c r="AF1135">
        <v>7.0566208224752403E-2</v>
      </c>
      <c r="AG1135">
        <v>-7.7821999999999794E-2</v>
      </c>
      <c r="AH1135">
        <v>0.63544529090948798</v>
      </c>
      <c r="AI1135">
        <v>96.939915576948493</v>
      </c>
      <c r="AJ1135">
        <v>83.663266213773397</v>
      </c>
      <c r="AK1135">
        <v>0.64407031538975901</v>
      </c>
      <c r="AL1135">
        <v>81.633331695320393</v>
      </c>
      <c r="AM1135">
        <v>84.8605620207409</v>
      </c>
      <c r="AN1135">
        <v>1.0000000216910601</v>
      </c>
    </row>
    <row r="1136" spans="1:40" x14ac:dyDescent="0.25">
      <c r="A1136" t="str">
        <f>"20190312164242212"</f>
        <v>20190312164242212</v>
      </c>
      <c r="B1136" t="str">
        <f>"1552380162205170"</f>
        <v>1552380162205170</v>
      </c>
      <c r="C1136" t="s">
        <v>40</v>
      </c>
      <c r="D1136">
        <v>4.897437</v>
      </c>
      <c r="E1136">
        <v>0.50041740000000001</v>
      </c>
      <c r="F1136" t="s">
        <v>41</v>
      </c>
      <c r="G1136">
        <v>-190.68100000000001</v>
      </c>
      <c r="H1136">
        <v>1.0366120000000001</v>
      </c>
      <c r="I1136">
        <v>335.49849999999998</v>
      </c>
      <c r="J1136">
        <v>-190.61869999999999</v>
      </c>
      <c r="K1136">
        <v>1.1103799999999999</v>
      </c>
      <c r="L1136">
        <v>335.87099999999998</v>
      </c>
      <c r="M1136">
        <v>2.3127060000000001E-2</v>
      </c>
      <c r="N1136">
        <v>0</v>
      </c>
      <c r="O1136">
        <v>-0.99964330000000001</v>
      </c>
      <c r="P1136">
        <v>-7.0979100000000003E-2</v>
      </c>
      <c r="Q1136">
        <v>0.1361329</v>
      </c>
      <c r="R1136">
        <v>-0.9881451</v>
      </c>
      <c r="S1136">
        <v>-0.1788177</v>
      </c>
      <c r="T1136">
        <v>-0.25759979999999999</v>
      </c>
      <c r="U1136">
        <v>-3.0557859999999999</v>
      </c>
      <c r="V1136">
        <v>9.3877050000000004E-2</v>
      </c>
      <c r="W1136">
        <v>0.149281</v>
      </c>
      <c r="X1136">
        <v>0.98432830000000004</v>
      </c>
      <c r="Y1136">
        <v>8.1286369999999997E-2</v>
      </c>
      <c r="Z1136">
        <v>8.3757209999999999E-2</v>
      </c>
      <c r="AA1136">
        <v>0.99316530000000003</v>
      </c>
      <c r="AB1136">
        <v>25</v>
      </c>
      <c r="AC1136">
        <v>-6.2299999999993298E-2</v>
      </c>
      <c r="AD1136">
        <v>-7.3767999999999806E-2</v>
      </c>
      <c r="AE1136">
        <v>-0.372500000000002</v>
      </c>
      <c r="AF1136">
        <v>6.8293489881059904E-2</v>
      </c>
      <c r="AG1136">
        <v>-7.3767999999999806E-2</v>
      </c>
      <c r="AH1136">
        <v>0.35732713672668098</v>
      </c>
      <c r="AI1136">
        <v>101.46265579082799</v>
      </c>
      <c r="AJ1136">
        <v>79.179935828855093</v>
      </c>
      <c r="AK1136">
        <v>0.37119860078591699</v>
      </c>
      <c r="AL1136">
        <v>81.4147378861812</v>
      </c>
      <c r="AM1136">
        <v>84.552082653475594</v>
      </c>
      <c r="AN1136">
        <v>0.99999995982929502</v>
      </c>
    </row>
    <row r="1137" spans="1:40" x14ac:dyDescent="0.25">
      <c r="A1137" t="str">
        <f>"20190312164242233"</f>
        <v>20190312164242233</v>
      </c>
      <c r="B1137" t="str">
        <f>"1552380162224689"</f>
        <v>1552380162224689</v>
      </c>
      <c r="C1137" t="s">
        <v>40</v>
      </c>
      <c r="D1137">
        <v>4.983403</v>
      </c>
      <c r="E1137">
        <v>0.50105080000000002</v>
      </c>
      <c r="F1137" t="s">
        <v>41</v>
      </c>
      <c r="G1137">
        <v>-190.6738</v>
      </c>
      <c r="H1137">
        <v>1.0434779999999999</v>
      </c>
      <c r="I1137">
        <v>335.04129999999998</v>
      </c>
      <c r="J1137">
        <v>-190.61349999999999</v>
      </c>
      <c r="K1137">
        <v>1.1103730000000001</v>
      </c>
      <c r="L1137">
        <v>335.63670000000002</v>
      </c>
      <c r="M1137">
        <v>2.291733E-2</v>
      </c>
      <c r="N1137">
        <v>0</v>
      </c>
      <c r="O1137">
        <v>-0.99964920000000002</v>
      </c>
      <c r="P1137">
        <v>-7.4044170000000006E-2</v>
      </c>
      <c r="Q1137">
        <v>0.13807839999999999</v>
      </c>
      <c r="R1137">
        <v>-0.98764989999999997</v>
      </c>
      <c r="S1137">
        <v>-0.2027283</v>
      </c>
      <c r="T1137">
        <v>-0.24642900000000001</v>
      </c>
      <c r="U1137">
        <v>-3.0553590000000002</v>
      </c>
      <c r="V1137">
        <v>9.6725599999999995E-2</v>
      </c>
      <c r="W1137">
        <v>0.15112619999999999</v>
      </c>
      <c r="X1137">
        <v>0.98377079999999995</v>
      </c>
      <c r="Y1137">
        <v>8.8844800000000002E-2</v>
      </c>
      <c r="Z1137">
        <v>8.0115389999999995E-2</v>
      </c>
      <c r="AA1137">
        <v>0.99281830000000004</v>
      </c>
      <c r="AB1137">
        <v>25</v>
      </c>
      <c r="AC1137">
        <v>-6.0300000000012198E-2</v>
      </c>
      <c r="AD1137">
        <v>-6.6894999999999899E-2</v>
      </c>
      <c r="AE1137">
        <v>-0.59540000000004001</v>
      </c>
      <c r="AF1137">
        <v>7.3017978368516798E-2</v>
      </c>
      <c r="AG1137">
        <v>-6.6894999999999899E-2</v>
      </c>
      <c r="AH1137">
        <v>0.58653280806338104</v>
      </c>
      <c r="AI1137">
        <v>96.457141950576897</v>
      </c>
      <c r="AJ1137">
        <v>82.903707778757294</v>
      </c>
      <c r="AK1137">
        <v>0.59483384329133504</v>
      </c>
      <c r="AL1137">
        <v>81.307802683862704</v>
      </c>
      <c r="AM1137">
        <v>84.384654111207894</v>
      </c>
      <c r="AN1137">
        <v>0.999999978477219</v>
      </c>
    </row>
    <row r="1138" spans="1:40" x14ac:dyDescent="0.25">
      <c r="A1138" t="str">
        <f>"20190312164242255"</f>
        <v>20190312164242255</v>
      </c>
      <c r="B1138" t="str">
        <f>"1552380162245186"</f>
        <v>1552380162245186</v>
      </c>
      <c r="C1138" t="s">
        <v>40</v>
      </c>
      <c r="D1138">
        <v>4.960356</v>
      </c>
      <c r="E1138">
        <v>0.501664</v>
      </c>
      <c r="F1138" t="s">
        <v>41</v>
      </c>
      <c r="G1138">
        <v>-190.6721</v>
      </c>
      <c r="H1138">
        <v>1.045617</v>
      </c>
      <c r="I1138">
        <v>334.81299999999999</v>
      </c>
      <c r="J1138">
        <v>-190.608</v>
      </c>
      <c r="K1138">
        <v>1.1103590000000001</v>
      </c>
      <c r="L1138">
        <v>335.38010000000003</v>
      </c>
      <c r="M1138">
        <v>2.2654799999999999E-2</v>
      </c>
      <c r="N1138">
        <v>0</v>
      </c>
      <c r="O1138">
        <v>-0.9996564</v>
      </c>
      <c r="P1138">
        <v>-7.7729670000000001E-2</v>
      </c>
      <c r="Q1138">
        <v>0.14107999999999901</v>
      </c>
      <c r="R1138">
        <v>-0.98694190000000004</v>
      </c>
      <c r="S1138">
        <v>-0.2168427</v>
      </c>
      <c r="T1138">
        <v>-0.24029249999999999</v>
      </c>
      <c r="U1138">
        <v>-3.05484</v>
      </c>
      <c r="V1138">
        <v>0.10014140000000001</v>
      </c>
      <c r="W1138">
        <v>0.1540127</v>
      </c>
      <c r="X1138">
        <v>0.98298110000000005</v>
      </c>
      <c r="Y1138">
        <v>9.3170290000000003E-2</v>
      </c>
      <c r="Z1138">
        <v>7.8118889999999996E-2</v>
      </c>
      <c r="AA1138">
        <v>0.99258080000000004</v>
      </c>
      <c r="AB1138">
        <v>25</v>
      </c>
      <c r="AC1138">
        <v>-6.4099999999996202E-2</v>
      </c>
      <c r="AD1138">
        <v>-6.4741999999999994E-2</v>
      </c>
      <c r="AE1138">
        <v>-0.56709999999998195</v>
      </c>
      <c r="AF1138">
        <v>7.5954749879693195E-2</v>
      </c>
      <c r="AG1138">
        <v>-6.4741999999999994E-2</v>
      </c>
      <c r="AH1138">
        <v>0.55831723109102505</v>
      </c>
      <c r="AI1138">
        <v>96.554585455011505</v>
      </c>
      <c r="AJ1138">
        <v>82.2529109132076</v>
      </c>
      <c r="AK1138">
        <v>0.56716733079968196</v>
      </c>
      <c r="AL1138">
        <v>81.140459654681706</v>
      </c>
      <c r="AM1138">
        <v>84.183049236746399</v>
      </c>
      <c r="AN1138">
        <v>1.00000002735622</v>
      </c>
    </row>
    <row r="1139" spans="1:40" x14ac:dyDescent="0.25">
      <c r="A1139" t="str">
        <f>"20190312164242279"</f>
        <v>20190312164242279</v>
      </c>
      <c r="B1139" t="str">
        <f>"1552380162275440"</f>
        <v>1552380162275440</v>
      </c>
      <c r="C1139" t="s">
        <v>40</v>
      </c>
      <c r="D1139">
        <v>4.9529680000000003</v>
      </c>
      <c r="E1139">
        <v>0.5025039</v>
      </c>
      <c r="F1139" t="s">
        <v>41</v>
      </c>
      <c r="G1139">
        <v>-190.6686</v>
      </c>
      <c r="H1139">
        <v>1.0500370000000001</v>
      </c>
      <c r="I1139">
        <v>334.5822</v>
      </c>
      <c r="J1139">
        <v>-190.60230000000001</v>
      </c>
      <c r="K1139">
        <v>1.1103190000000001</v>
      </c>
      <c r="L1139">
        <v>335.11309999999997</v>
      </c>
      <c r="M1139">
        <v>2.2330429999999998E-2</v>
      </c>
      <c r="N1139">
        <v>0</v>
      </c>
      <c r="O1139">
        <v>-0.99966549999999998</v>
      </c>
      <c r="P1139">
        <v>-8.1817109999999998E-2</v>
      </c>
      <c r="Q1139">
        <v>0.14432509999999901</v>
      </c>
      <c r="R1139">
        <v>-0.98614250000000003</v>
      </c>
      <c r="S1139">
        <v>-0.23217769999999999</v>
      </c>
      <c r="T1139">
        <v>-0.23090269999999999</v>
      </c>
      <c r="U1139">
        <v>-3.0544129999999998</v>
      </c>
      <c r="V1139">
        <v>0.1039035</v>
      </c>
      <c r="W1139">
        <v>0.1571205</v>
      </c>
      <c r="X1139">
        <v>0.98209829999999998</v>
      </c>
      <c r="Y1139">
        <v>9.7830360000000005E-2</v>
      </c>
      <c r="Z1139">
        <v>7.5064599999999995E-2</v>
      </c>
      <c r="AA1139">
        <v>0.99236820000000003</v>
      </c>
      <c r="AB1139">
        <v>25</v>
      </c>
      <c r="AC1139">
        <v>-6.6299999999983997E-2</v>
      </c>
      <c r="AD1139">
        <v>-6.0281999999999898E-2</v>
      </c>
      <c r="AE1139">
        <v>-0.53089999999997395</v>
      </c>
      <c r="AF1139">
        <v>7.7160159488057795E-2</v>
      </c>
      <c r="AG1139">
        <v>-6.0281999999999898E-2</v>
      </c>
      <c r="AH1139">
        <v>0.52265195057647096</v>
      </c>
      <c r="AI1139">
        <v>96.509409540319297</v>
      </c>
      <c r="AJ1139">
        <v>81.601970403741305</v>
      </c>
      <c r="AK1139">
        <v>0.53174493056127303</v>
      </c>
      <c r="AL1139">
        <v>80.960200294676795</v>
      </c>
      <c r="AM1139">
        <v>83.9607182852601</v>
      </c>
      <c r="AN1139">
        <v>0.99999992984769204</v>
      </c>
    </row>
    <row r="1140" spans="1:40" x14ac:dyDescent="0.25">
      <c r="A1140" t="str">
        <f>"20190312164242303"</f>
        <v>20190312164242303</v>
      </c>
      <c r="B1140" t="str">
        <f>"1552380162294960"</f>
        <v>1552380162294960</v>
      </c>
      <c r="C1140" t="s">
        <v>40</v>
      </c>
      <c r="D1140">
        <v>4.9895050000000003</v>
      </c>
      <c r="E1140">
        <v>0.50297619999999998</v>
      </c>
      <c r="F1140" t="s">
        <v>42</v>
      </c>
      <c r="G1140">
        <v>-191.86670000000001</v>
      </c>
      <c r="H1140" s="1">
        <v>-5.5899339999999995E-7</v>
      </c>
      <c r="I1140">
        <v>319.73430000000002</v>
      </c>
      <c r="J1140">
        <v>-190.5966</v>
      </c>
      <c r="K1140">
        <v>1.1102540000000001</v>
      </c>
      <c r="L1140">
        <v>334.83940000000001</v>
      </c>
      <c r="M1140">
        <v>2.1920769999999999E-2</v>
      </c>
      <c r="N1140">
        <v>0</v>
      </c>
      <c r="O1140">
        <v>-0.99967629999999996</v>
      </c>
      <c r="P1140">
        <v>-8.5327249999999993E-2</v>
      </c>
      <c r="Q1140">
        <v>0.1467108</v>
      </c>
      <c r="R1140">
        <v>-0.98549260000000005</v>
      </c>
      <c r="S1140">
        <v>-0.25106810000000002</v>
      </c>
      <c r="T1140">
        <v>-0.22046160000000001</v>
      </c>
      <c r="U1140">
        <v>-3.0535580000000002</v>
      </c>
      <c r="V1140">
        <v>0.10701579999999999</v>
      </c>
      <c r="W1140">
        <v>0.15934609999999999</v>
      </c>
      <c r="X1140">
        <v>0.98140530000000004</v>
      </c>
      <c r="Y1140">
        <v>0.10356319999999999</v>
      </c>
      <c r="Z1140">
        <v>7.1670890000000001E-2</v>
      </c>
      <c r="AA1140">
        <v>0.99203730000000001</v>
      </c>
      <c r="AB1140">
        <v>25</v>
      </c>
      <c r="AC1140">
        <v>-1.27010000000001</v>
      </c>
      <c r="AD1140">
        <v>-1.1102545589933901</v>
      </c>
      <c r="AE1140">
        <v>-15.105099999999901</v>
      </c>
      <c r="AF1140">
        <v>1.5923952152401299</v>
      </c>
      <c r="AG1140">
        <v>-1.1102545589933901</v>
      </c>
      <c r="AH1140">
        <v>14.9931932715677</v>
      </c>
      <c r="AI1140">
        <v>94.211455357843903</v>
      </c>
      <c r="AJ1140">
        <v>83.937464137337102</v>
      </c>
      <c r="AK1140">
        <v>15.1183409204141</v>
      </c>
      <c r="AL1140">
        <v>80.831056071944701</v>
      </c>
      <c r="AM1140">
        <v>83.776859314803204</v>
      </c>
      <c r="AN1140">
        <v>0.99999996195146901</v>
      </c>
    </row>
    <row r="1141" spans="1:40" x14ac:dyDescent="0.25">
      <c r="A1141" t="str">
        <f>"20190312164242324"</f>
        <v>20190312164242324</v>
      </c>
      <c r="B1141" t="str">
        <f>"1552380162315457"</f>
        <v>1552380162315457</v>
      </c>
      <c r="C1141" t="s">
        <v>40</v>
      </c>
      <c r="D1141">
        <v>5.0253420000000002</v>
      </c>
      <c r="E1141">
        <v>0.5033803</v>
      </c>
      <c r="F1141" t="s">
        <v>41</v>
      </c>
      <c r="G1141">
        <v>-190.678</v>
      </c>
      <c r="H1141">
        <v>1.0448949999999999</v>
      </c>
      <c r="I1141">
        <v>333.90440000000001</v>
      </c>
      <c r="J1141">
        <v>-190.59190000000001</v>
      </c>
      <c r="K1141">
        <v>1.11019</v>
      </c>
      <c r="L1141">
        <v>334.60570000000001</v>
      </c>
      <c r="M1141">
        <v>2.1495770000000001E-2</v>
      </c>
      <c r="N1141">
        <v>0</v>
      </c>
      <c r="O1141">
        <v>-0.99968690000000004</v>
      </c>
      <c r="P1141">
        <v>-8.9152430000000005E-2</v>
      </c>
      <c r="Q1141">
        <v>0.14856369999999999</v>
      </c>
      <c r="R1141">
        <v>-0.98487579999999997</v>
      </c>
      <c r="S1141">
        <v>-0.26516719999999999</v>
      </c>
      <c r="T1141">
        <v>-0.2135727</v>
      </c>
      <c r="U1141">
        <v>-3.0530089999999999</v>
      </c>
      <c r="V1141">
        <v>0.1104308</v>
      </c>
      <c r="W1141">
        <v>0.1610519</v>
      </c>
      <c r="X1141">
        <v>0.98074839999999996</v>
      </c>
      <c r="Y1141">
        <v>0.1077166</v>
      </c>
      <c r="Z1141">
        <v>6.9426979999999999E-2</v>
      </c>
      <c r="AA1141">
        <v>0.99175449999999998</v>
      </c>
      <c r="AB1141">
        <v>25</v>
      </c>
      <c r="AC1141">
        <v>-8.6099999999987603E-2</v>
      </c>
      <c r="AD1141">
        <v>-6.5294999999999798E-2</v>
      </c>
      <c r="AE1141">
        <v>-0.70130000000000303</v>
      </c>
      <c r="AF1141">
        <v>0.10029976827076401</v>
      </c>
      <c r="AG1141">
        <v>-6.5294999999999798E-2</v>
      </c>
      <c r="AH1141">
        <v>0.69336569020237504</v>
      </c>
      <c r="AI1141">
        <v>95.324641975956396</v>
      </c>
      <c r="AJ1141">
        <v>81.768896472864895</v>
      </c>
      <c r="AK1141">
        <v>0.70361883210299703</v>
      </c>
      <c r="AL1141">
        <v>80.732042947329901</v>
      </c>
      <c r="AM1141">
        <v>83.575640157032694</v>
      </c>
      <c r="AN1141">
        <v>1.0000000500924</v>
      </c>
    </row>
    <row r="1142" spans="1:40" x14ac:dyDescent="0.25">
      <c r="A1142" t="str">
        <f>"20190312164242348"</f>
        <v>20190312164242348</v>
      </c>
      <c r="B1142" t="str">
        <f>"1552380162344737"</f>
        <v>1552380162344737</v>
      </c>
      <c r="C1142" t="s">
        <v>40</v>
      </c>
      <c r="D1142">
        <v>5.0179839999999896</v>
      </c>
      <c r="E1142">
        <v>0.50394170000000005</v>
      </c>
      <c r="F1142" t="s">
        <v>41</v>
      </c>
      <c r="G1142">
        <v>-190.67740000000001</v>
      </c>
      <c r="H1142">
        <v>1.0466329999999999</v>
      </c>
      <c r="I1142">
        <v>333.67540000000002</v>
      </c>
      <c r="J1142">
        <v>-190.58670000000001</v>
      </c>
      <c r="K1142">
        <v>1.1101219999999901</v>
      </c>
      <c r="L1142">
        <v>334.33260000000001</v>
      </c>
      <c r="M1142">
        <v>2.091287E-2</v>
      </c>
      <c r="N1142">
        <v>0</v>
      </c>
      <c r="O1142">
        <v>-0.99970110000000001</v>
      </c>
      <c r="P1142">
        <v>-9.2456040000000003E-2</v>
      </c>
      <c r="Q1142">
        <v>0.15075189999999999</v>
      </c>
      <c r="R1142">
        <v>-0.98423890000000003</v>
      </c>
      <c r="S1142">
        <v>-0.28057860000000001</v>
      </c>
      <c r="T1142">
        <v>-0.20853749999999999</v>
      </c>
      <c r="U1142">
        <v>-3.052155</v>
      </c>
      <c r="V1142">
        <v>0.1131738</v>
      </c>
      <c r="W1142">
        <v>0.1630752</v>
      </c>
      <c r="X1142">
        <v>0.98010109999999995</v>
      </c>
      <c r="Y1142">
        <v>0.112138</v>
      </c>
      <c r="Z1142">
        <v>6.7786109999999997E-2</v>
      </c>
      <c r="AA1142">
        <v>0.99137790000000003</v>
      </c>
      <c r="AB1142">
        <v>25</v>
      </c>
      <c r="AC1142">
        <v>-9.0699999999998199E-2</v>
      </c>
      <c r="AD1142">
        <v>-6.3488999999999907E-2</v>
      </c>
      <c r="AE1142">
        <v>-0.65719999999998802</v>
      </c>
      <c r="AF1142">
        <v>0.103477538332163</v>
      </c>
      <c r="AG1142">
        <v>-6.3488999999999907E-2</v>
      </c>
      <c r="AH1142">
        <v>0.64921370234518205</v>
      </c>
      <c r="AI1142">
        <v>95.516212763216004</v>
      </c>
      <c r="AJ1142">
        <v>80.943858886141697</v>
      </c>
      <c r="AK1142">
        <v>0.66046717206309602</v>
      </c>
      <c r="AL1142">
        <v>80.614562845222295</v>
      </c>
      <c r="AM1142">
        <v>83.413139456749093</v>
      </c>
      <c r="AN1142">
        <v>0.99999999804134498</v>
      </c>
    </row>
    <row r="1143" spans="1:40" x14ac:dyDescent="0.25">
      <c r="A1143" t="str">
        <f>"20190312164242372"</f>
        <v>20190312164242372</v>
      </c>
      <c r="B1143" t="str">
        <f>"1552380162365232"</f>
        <v>1552380162365232</v>
      </c>
      <c r="C1143" t="s">
        <v>40</v>
      </c>
      <c r="D1143">
        <v>5.0602039999999997</v>
      </c>
      <c r="E1143">
        <v>0.50425940000000002</v>
      </c>
      <c r="F1143" t="s">
        <v>41</v>
      </c>
      <c r="G1143">
        <v>-190.67359999999999</v>
      </c>
      <c r="H1143">
        <v>1.0506690000000001</v>
      </c>
      <c r="I1143">
        <v>333.43509999999998</v>
      </c>
      <c r="J1143">
        <v>-190.58199999999999</v>
      </c>
      <c r="K1143">
        <v>1.1100620000000001</v>
      </c>
      <c r="L1143">
        <v>334.07159999999999</v>
      </c>
      <c r="M1143">
        <v>2.0265330000000002E-2</v>
      </c>
      <c r="N1143">
        <v>0</v>
      </c>
      <c r="O1143">
        <v>-0.9997163</v>
      </c>
      <c r="P1143">
        <v>-9.6369070000000001E-2</v>
      </c>
      <c r="Q1143">
        <v>0.15277550000000001</v>
      </c>
      <c r="R1143">
        <v>-0.98355119999999896</v>
      </c>
      <c r="S1143">
        <v>-0.29502869999999998</v>
      </c>
      <c r="T1143">
        <v>-0.20223099999999999</v>
      </c>
      <c r="U1143">
        <v>-3.0512999999999999</v>
      </c>
      <c r="V1143">
        <v>0.1164617</v>
      </c>
      <c r="W1143">
        <v>0.16494300000000001</v>
      </c>
      <c r="X1143">
        <v>0.97940309999999997</v>
      </c>
      <c r="Y1143">
        <v>0.11618539999999999</v>
      </c>
      <c r="Z1143">
        <v>6.5734940000000006E-2</v>
      </c>
      <c r="AA1143">
        <v>0.99104990000000004</v>
      </c>
      <c r="AB1143">
        <v>25</v>
      </c>
      <c r="AC1143">
        <v>-9.1599999999999598E-2</v>
      </c>
      <c r="AD1143">
        <v>-5.9393000000000001E-2</v>
      </c>
      <c r="AE1143">
        <v>-0.63650000000001195</v>
      </c>
      <c r="AF1143">
        <v>0.103597348493804</v>
      </c>
      <c r="AG1143">
        <v>-5.9393000000000001E-2</v>
      </c>
      <c r="AH1143">
        <v>0.62914592948428005</v>
      </c>
      <c r="AI1143">
        <v>95.321643775232403</v>
      </c>
      <c r="AJ1143">
        <v>80.649386934202894</v>
      </c>
      <c r="AK1143">
        <v>0.64037843471699196</v>
      </c>
      <c r="AL1143">
        <v>80.506076535599206</v>
      </c>
      <c r="AM1143">
        <v>83.218749742933298</v>
      </c>
      <c r="AN1143">
        <v>0.99999997655274897</v>
      </c>
    </row>
    <row r="1144" spans="1:40" x14ac:dyDescent="0.25">
      <c r="A1144" t="str">
        <f>"20190312164242395"</f>
        <v>20190312164242395</v>
      </c>
      <c r="B1144" t="str">
        <f>"1552380162384753"</f>
        <v>1552380162384753</v>
      </c>
      <c r="C1144" t="s">
        <v>40</v>
      </c>
      <c r="D1144">
        <v>5.0684370000000003</v>
      </c>
      <c r="E1144">
        <v>0.50456970000000001</v>
      </c>
      <c r="F1144" t="s">
        <v>42</v>
      </c>
      <c r="G1144">
        <v>-192.33080000000001</v>
      </c>
      <c r="H1144" s="1">
        <v>-4.0256110000000001E-6</v>
      </c>
      <c r="I1144">
        <v>316.79579999999999</v>
      </c>
      <c r="J1144">
        <v>-190.57730000000001</v>
      </c>
      <c r="K1144">
        <v>1.1099950000000001</v>
      </c>
      <c r="L1144">
        <v>333.80250000000001</v>
      </c>
      <c r="M1144">
        <v>1.9499409999999998E-2</v>
      </c>
      <c r="N1144">
        <v>0</v>
      </c>
      <c r="O1144">
        <v>-0.99973290000000004</v>
      </c>
      <c r="P1144">
        <v>-9.9628939999999999E-2</v>
      </c>
      <c r="Q1144">
        <v>0.15560940000000001</v>
      </c>
      <c r="R1144">
        <v>-0.98278169999999998</v>
      </c>
      <c r="S1144">
        <v>-0.30879210000000001</v>
      </c>
      <c r="T1144">
        <v>-0.19600339999999999</v>
      </c>
      <c r="U1144">
        <v>-3.0503849999999999</v>
      </c>
      <c r="V1144">
        <v>0.1189823</v>
      </c>
      <c r="W1144">
        <v>0.16761609999999999</v>
      </c>
      <c r="X1144">
        <v>0.97864600000000002</v>
      </c>
      <c r="Y1144">
        <v>0.1198936</v>
      </c>
      <c r="Z1144">
        <v>6.3711329999999997E-2</v>
      </c>
      <c r="AA1144">
        <v>0.99074030000000002</v>
      </c>
      <c r="AB1144">
        <v>25</v>
      </c>
      <c r="AC1144">
        <v>-1.7535000000000001</v>
      </c>
      <c r="AD1144">
        <v>-1.1099990256109999</v>
      </c>
      <c r="AE1144">
        <v>-17.006699999999999</v>
      </c>
      <c r="AF1144">
        <v>2.0760617892304301</v>
      </c>
      <c r="AG1144">
        <v>-1.1099990256109999</v>
      </c>
      <c r="AH1144">
        <v>16.898043443557501</v>
      </c>
      <c r="AI1144">
        <v>93.730279925131498</v>
      </c>
      <c r="AJ1144">
        <v>82.995848207501197</v>
      </c>
      <c r="AK1144">
        <v>17.0612427041502</v>
      </c>
      <c r="AL1144">
        <v>80.350756800460601</v>
      </c>
      <c r="AM1144">
        <v>83.068086518322502</v>
      </c>
      <c r="AN1144">
        <v>0.99999996900424903</v>
      </c>
    </row>
    <row r="1145" spans="1:40" x14ac:dyDescent="0.25">
      <c r="A1145" t="str">
        <f>"20190312164242415"</f>
        <v>20190312164242415</v>
      </c>
      <c r="B1145" t="str">
        <f>"1552380162405249"</f>
        <v>1552380162405249</v>
      </c>
      <c r="C1145" t="s">
        <v>40</v>
      </c>
      <c r="D1145">
        <v>4.9717250000000002</v>
      </c>
      <c r="E1145">
        <v>0.54142639999999997</v>
      </c>
      <c r="F1145" t="s">
        <v>42</v>
      </c>
      <c r="G1145">
        <v>-192.4751</v>
      </c>
      <c r="H1145" s="1">
        <v>-3.591538E-6</v>
      </c>
      <c r="I1145">
        <v>315.79629999999997</v>
      </c>
      <c r="J1145">
        <v>-190.5736</v>
      </c>
      <c r="K1145">
        <v>1.109939</v>
      </c>
      <c r="L1145">
        <v>333.56920000000002</v>
      </c>
      <c r="M1145">
        <v>1.8751429999999999E-2</v>
      </c>
      <c r="N1145">
        <v>0</v>
      </c>
      <c r="O1145">
        <v>-0.99974890000000005</v>
      </c>
      <c r="P1145">
        <v>-0.1036986</v>
      </c>
      <c r="Q1145">
        <v>0.15836020000000001</v>
      </c>
      <c r="R1145">
        <v>-0.9819213</v>
      </c>
      <c r="S1145">
        <v>-0.3214264</v>
      </c>
      <c r="T1145">
        <v>-0.18800210000000001</v>
      </c>
      <c r="U1145">
        <v>-3.049744</v>
      </c>
      <c r="V1145">
        <v>0.1223277</v>
      </c>
      <c r="W1145">
        <v>0.17022079999999901</v>
      </c>
      <c r="X1145">
        <v>0.97778359999999997</v>
      </c>
      <c r="Y1145">
        <v>0.1232491</v>
      </c>
      <c r="Z1145">
        <v>6.1109009999999998E-2</v>
      </c>
      <c r="AA1145">
        <v>0.9904925</v>
      </c>
      <c r="AB1145">
        <v>25</v>
      </c>
      <c r="AC1145">
        <v>-1.90149999999999</v>
      </c>
      <c r="AD1145">
        <v>-1.1099425915379999</v>
      </c>
      <c r="AE1145">
        <v>-17.7729</v>
      </c>
      <c r="AF1145">
        <v>2.2258749342652</v>
      </c>
      <c r="AG1145">
        <v>-1.1099425915379999</v>
      </c>
      <c r="AH1145">
        <v>17.665995330222</v>
      </c>
      <c r="AI1145">
        <v>93.567000941090001</v>
      </c>
      <c r="AJ1145">
        <v>82.818705533580996</v>
      </c>
      <c r="AK1145">
        <v>17.840232139378799</v>
      </c>
      <c r="AL1145">
        <v>80.199342700239896</v>
      </c>
      <c r="AM1145">
        <v>82.868940063729795</v>
      </c>
      <c r="AN1145">
        <v>0.99999997768444404</v>
      </c>
    </row>
    <row r="1146" spans="1:40" x14ac:dyDescent="0.25">
      <c r="A1146" t="str">
        <f>"20190312164242434"</f>
        <v>20190312164242434</v>
      </c>
      <c r="B1146" t="str">
        <f>"1552380162424769"</f>
        <v>1552380162424769</v>
      </c>
      <c r="C1146" t="s">
        <v>40</v>
      </c>
      <c r="D1146">
        <v>5.0007539999999997</v>
      </c>
      <c r="E1146">
        <v>0.54472310000000002</v>
      </c>
      <c r="F1146" t="s">
        <v>42</v>
      </c>
      <c r="G1146">
        <v>-194.40180000000001</v>
      </c>
      <c r="H1146" s="1">
        <v>-3.7844620000000002E-6</v>
      </c>
      <c r="I1146">
        <v>315.11989999999997</v>
      </c>
      <c r="J1146">
        <v>-190.5703</v>
      </c>
      <c r="K1146">
        <v>1.1098779999999999</v>
      </c>
      <c r="L1146">
        <v>333.34890000000001</v>
      </c>
      <c r="M1146">
        <v>1.7974919999999998E-2</v>
      </c>
      <c r="N1146">
        <v>0</v>
      </c>
      <c r="O1146">
        <v>-0.9997646</v>
      </c>
      <c r="P1146">
        <v>-0.10707990000000001</v>
      </c>
      <c r="Q1146">
        <v>0.1603858</v>
      </c>
      <c r="R1146">
        <v>-0.98122949999999998</v>
      </c>
      <c r="S1146">
        <v>-0.62631230000000004</v>
      </c>
      <c r="T1146">
        <v>-0.18159040000000001</v>
      </c>
      <c r="U1146">
        <v>-3.0183719999999998</v>
      </c>
      <c r="V1146">
        <v>0.12496060000000001</v>
      </c>
      <c r="W1146">
        <v>0.17211309999999999</v>
      </c>
      <c r="X1146">
        <v>0.97711919999999997</v>
      </c>
      <c r="Y1146">
        <v>0.22039020000000001</v>
      </c>
      <c r="Z1146">
        <v>5.8677470000000002E-2</v>
      </c>
      <c r="AA1146">
        <v>0.97364530000000005</v>
      </c>
      <c r="AB1146">
        <v>25</v>
      </c>
      <c r="AC1146">
        <v>-3.8315000000000001</v>
      </c>
      <c r="AD1146">
        <v>-1.1098817844619999</v>
      </c>
      <c r="AE1146">
        <v>-18.228999999999999</v>
      </c>
      <c r="AF1146">
        <v>4.1438583617633302</v>
      </c>
      <c r="AG1146">
        <v>-1.1098817844619999</v>
      </c>
      <c r="AH1146">
        <v>18.092944867017099</v>
      </c>
      <c r="AI1146">
        <v>93.421932347982505</v>
      </c>
      <c r="AJ1146">
        <v>77.099937384661203</v>
      </c>
      <c r="AK1146">
        <v>18.5945705424663</v>
      </c>
      <c r="AL1146">
        <v>80.0892980703766</v>
      </c>
      <c r="AM1146">
        <v>82.712187865304003</v>
      </c>
      <c r="AN1146">
        <v>1.0000000008762999</v>
      </c>
    </row>
    <row r="1147" spans="1:40" x14ac:dyDescent="0.25">
      <c r="A1147" t="str">
        <f>"20190312164242456"</f>
        <v>20190312164242456</v>
      </c>
      <c r="B1147" t="str">
        <f>"1552380162445265"</f>
        <v>1552380162445265</v>
      </c>
      <c r="C1147" t="s">
        <v>40</v>
      </c>
      <c r="D1147">
        <v>6.1912940000000001</v>
      </c>
      <c r="E1147">
        <v>0.5443924</v>
      </c>
      <c r="F1147" t="s">
        <v>42</v>
      </c>
      <c r="G1147">
        <v>-194.61529999999999</v>
      </c>
      <c r="H1147" s="1">
        <v>-3.7549350000000002E-6</v>
      </c>
      <c r="I1147">
        <v>314.93729999999999</v>
      </c>
      <c r="J1147">
        <v>-190.5668</v>
      </c>
      <c r="K1147">
        <v>1.1098140000000001</v>
      </c>
      <c r="L1147">
        <v>333.10090000000002</v>
      </c>
      <c r="M1147">
        <v>1.7026010000000001E-2</v>
      </c>
      <c r="N1147">
        <v>0</v>
      </c>
      <c r="O1147">
        <v>-0.99978219999999995</v>
      </c>
      <c r="P1147">
        <v>-0.1106988</v>
      </c>
      <c r="Q1147">
        <v>0.16223899999999999</v>
      </c>
      <c r="R1147">
        <v>-0.98052269999999997</v>
      </c>
      <c r="S1147">
        <v>-0.66235350000000004</v>
      </c>
      <c r="T1147">
        <v>-0.1817365</v>
      </c>
      <c r="U1147">
        <v>-3.0148009999999998</v>
      </c>
      <c r="V1147">
        <v>0.12766630000000001</v>
      </c>
      <c r="W1147">
        <v>0.17382639999999999</v>
      </c>
      <c r="X1147">
        <v>0.9764659</v>
      </c>
      <c r="Y1147">
        <v>0.2308125</v>
      </c>
      <c r="Z1147">
        <v>5.8649729999999997E-2</v>
      </c>
      <c r="AA1147">
        <v>0.97122900000000001</v>
      </c>
      <c r="AB1147">
        <v>25</v>
      </c>
      <c r="AC1147">
        <v>-4.04849999999999</v>
      </c>
      <c r="AD1147">
        <v>-1.1098177549349999</v>
      </c>
      <c r="AE1147">
        <v>-18.163599999999999</v>
      </c>
      <c r="AF1147">
        <v>4.3417471132273198</v>
      </c>
      <c r="AG1147">
        <v>-1.1098177549349999</v>
      </c>
      <c r="AH1147">
        <v>18.0279127587559</v>
      </c>
      <c r="AI1147">
        <v>93.425058514643794</v>
      </c>
      <c r="AJ1147">
        <v>76.459054725922002</v>
      </c>
      <c r="AK1147">
        <v>18.576547092549301</v>
      </c>
      <c r="AL1147">
        <v>79.989630694133496</v>
      </c>
      <c r="AM1147">
        <v>82.551215955331003</v>
      </c>
      <c r="AN1147">
        <v>0.99999997767772897</v>
      </c>
    </row>
    <row r="1148" spans="1:40" x14ac:dyDescent="0.25">
      <c r="A1148" t="str">
        <f>"20190312164242479"</f>
        <v>20190312164242479</v>
      </c>
      <c r="B1148" t="str">
        <f>"1552380162475521"</f>
        <v>1552380162475521</v>
      </c>
      <c r="C1148" t="s">
        <v>40</v>
      </c>
      <c r="D1148">
        <v>4.978453</v>
      </c>
      <c r="E1148">
        <v>0.54294030000000004</v>
      </c>
      <c r="F1148" t="s">
        <v>42</v>
      </c>
      <c r="G1148">
        <v>-195.0307</v>
      </c>
      <c r="H1148" s="1">
        <v>-2.9700349999999998E-6</v>
      </c>
      <c r="I1148">
        <v>313.04300000000001</v>
      </c>
      <c r="J1148">
        <v>-190.56360000000001</v>
      </c>
      <c r="K1148">
        <v>1.109753</v>
      </c>
      <c r="L1148">
        <v>332.84519999999998</v>
      </c>
      <c r="M1148">
        <v>1.597144E-2</v>
      </c>
      <c r="N1148">
        <v>0</v>
      </c>
      <c r="O1148">
        <v>-0.99980080000000005</v>
      </c>
      <c r="P1148">
        <v>-0.1143414</v>
      </c>
      <c r="Q1148">
        <v>0.16448750000000001</v>
      </c>
      <c r="R1148">
        <v>-0.97972939999999997</v>
      </c>
      <c r="S1148">
        <v>-0.67021180000000002</v>
      </c>
      <c r="T1148">
        <v>-0.1666309</v>
      </c>
      <c r="U1148">
        <v>-3.011536</v>
      </c>
      <c r="V1148">
        <v>0.1302932</v>
      </c>
      <c r="W1148">
        <v>0.17594199999999999</v>
      </c>
      <c r="X1148">
        <v>0.97573980000000005</v>
      </c>
      <c r="Y1148">
        <v>0.23248189999999999</v>
      </c>
      <c r="Z1148">
        <v>5.3822469999999997E-2</v>
      </c>
      <c r="AA1148">
        <v>0.97111029999999998</v>
      </c>
      <c r="AB1148">
        <v>25</v>
      </c>
      <c r="AC1148">
        <v>-4.4670999999999799</v>
      </c>
      <c r="AD1148">
        <v>-1.1097559700349999</v>
      </c>
      <c r="AE1148">
        <v>-19.8021999999999</v>
      </c>
      <c r="AF1148">
        <v>4.7685709770089399</v>
      </c>
      <c r="AG1148">
        <v>-1.1097559700349999</v>
      </c>
      <c r="AH1148">
        <v>19.6695378597773</v>
      </c>
      <c r="AI1148">
        <v>93.138481544380895</v>
      </c>
      <c r="AJ1148">
        <v>76.372459950514596</v>
      </c>
      <c r="AK1148">
        <v>20.2697199559593</v>
      </c>
      <c r="AL1148">
        <v>79.866518982016203</v>
      </c>
      <c r="AM1148">
        <v>82.394131850945499</v>
      </c>
      <c r="AN1148">
        <v>1.00000003131713</v>
      </c>
    </row>
    <row r="1149" spans="1:40" x14ac:dyDescent="0.25">
      <c r="A1149" t="str">
        <f>"20190312164242500"</f>
        <v>20190312164242500</v>
      </c>
      <c r="B1149" t="str">
        <f>"1552380162495041"</f>
        <v>1552380162495041</v>
      </c>
      <c r="C1149" t="s">
        <v>40</v>
      </c>
      <c r="D1149">
        <v>5.4442550000000001</v>
      </c>
      <c r="E1149">
        <v>0.5422922</v>
      </c>
      <c r="F1149" t="s">
        <v>42</v>
      </c>
      <c r="G1149">
        <v>-195.34639999999999</v>
      </c>
      <c r="H1149" s="1">
        <v>-2.243929E-6</v>
      </c>
      <c r="I1149">
        <v>311.32929999999999</v>
      </c>
      <c r="J1149">
        <v>-190.5609</v>
      </c>
      <c r="K1149">
        <v>1.1097030000000001</v>
      </c>
      <c r="L1149">
        <v>332.59710000000001</v>
      </c>
      <c r="M1149">
        <v>1.4880239999999999E-2</v>
      </c>
      <c r="N1149">
        <v>0</v>
      </c>
      <c r="O1149">
        <v>-0.99981889999999995</v>
      </c>
      <c r="P1149">
        <v>-0.11727609999999999</v>
      </c>
      <c r="Q1149">
        <v>0.166551799999999</v>
      </c>
      <c r="R1149">
        <v>-0.97903379999999995</v>
      </c>
      <c r="S1149">
        <v>-0.66909790000000002</v>
      </c>
      <c r="T1149">
        <v>-0.15525320000000001</v>
      </c>
      <c r="U1149">
        <v>-3.01004</v>
      </c>
      <c r="V1149">
        <v>0.13217599999999999</v>
      </c>
      <c r="W1149">
        <v>0.17788770000000001</v>
      </c>
      <c r="X1149">
        <v>0.97513349999999999</v>
      </c>
      <c r="Y1149">
        <v>0.23122119999999999</v>
      </c>
      <c r="Z1149">
        <v>5.0192479999999998E-2</v>
      </c>
      <c r="AA1149">
        <v>0.97160559999999996</v>
      </c>
      <c r="AB1149">
        <v>25</v>
      </c>
      <c r="AC1149">
        <v>-4.7854999999999803</v>
      </c>
      <c r="AD1149">
        <v>-1.1097052439290001</v>
      </c>
      <c r="AE1149">
        <v>-21.267800000000001</v>
      </c>
      <c r="AF1149">
        <v>5.0882770008977403</v>
      </c>
      <c r="AG1149">
        <v>-1.1097052439290001</v>
      </c>
      <c r="AH1149">
        <v>21.139451577999299</v>
      </c>
      <c r="AI1149">
        <v>92.921662534963403</v>
      </c>
      <c r="AJ1149">
        <v>76.466321852651404</v>
      </c>
      <c r="AK1149">
        <v>21.771504807542499</v>
      </c>
      <c r="AL1149">
        <v>79.753250921697102</v>
      </c>
      <c r="AM1149">
        <v>82.280798899056194</v>
      </c>
      <c r="AN1149">
        <v>0.99999993580476698</v>
      </c>
    </row>
    <row r="1150" spans="1:40" x14ac:dyDescent="0.25">
      <c r="A1150" t="str">
        <f>"20190312164242524"</f>
        <v>20190312164242524</v>
      </c>
      <c r="B1150" t="str">
        <f>"1552380162515536"</f>
        <v>1552380162515536</v>
      </c>
      <c r="C1150" t="s">
        <v>40</v>
      </c>
      <c r="D1150">
        <v>4.977792</v>
      </c>
      <c r="E1150">
        <v>0.54174279999999997</v>
      </c>
      <c r="F1150" t="s">
        <v>42</v>
      </c>
      <c r="G1150">
        <v>-195.5787</v>
      </c>
      <c r="H1150" s="1">
        <v>-1.7378129999999901E-6</v>
      </c>
      <c r="I1150">
        <v>310.12779999999998</v>
      </c>
      <c r="J1150">
        <v>-190.5583</v>
      </c>
      <c r="K1150">
        <v>1.109653</v>
      </c>
      <c r="L1150">
        <v>332.33139999999997</v>
      </c>
      <c r="M1150">
        <v>1.363937E-2</v>
      </c>
      <c r="N1150">
        <v>0</v>
      </c>
      <c r="O1150">
        <v>-0.9998378</v>
      </c>
      <c r="P1150">
        <v>-0.12045939999999999</v>
      </c>
      <c r="Q1150">
        <v>0.168461</v>
      </c>
      <c r="R1150">
        <v>-0.97832050000000004</v>
      </c>
      <c r="S1150">
        <v>-0.67198179999999996</v>
      </c>
      <c r="T1150">
        <v>-0.14861079999999999</v>
      </c>
      <c r="U1150">
        <v>-3.009064</v>
      </c>
      <c r="V1150">
        <v>0.13416059999999999</v>
      </c>
      <c r="W1150">
        <v>0.17967749999999999</v>
      </c>
      <c r="X1150">
        <v>0.97453420000000002</v>
      </c>
      <c r="Y1150">
        <v>0.23099059999999999</v>
      </c>
      <c r="Z1150">
        <v>4.8063139999999997E-2</v>
      </c>
      <c r="AA1150">
        <v>0.97176810000000002</v>
      </c>
      <c r="AB1150">
        <v>25</v>
      </c>
      <c r="AC1150">
        <v>-5.0203999999999898</v>
      </c>
      <c r="AD1150">
        <v>-1.1096547378129999</v>
      </c>
      <c r="AE1150">
        <v>-22.203599999999899</v>
      </c>
      <c r="AF1150">
        <v>5.3101791923017503</v>
      </c>
      <c r="AG1150">
        <v>-1.1096547378129999</v>
      </c>
      <c r="AH1150">
        <v>22.080587595968701</v>
      </c>
      <c r="AI1150">
        <v>92.797341410908402</v>
      </c>
      <c r="AJ1150">
        <v>76.477677958830498</v>
      </c>
      <c r="AK1150">
        <v>22.737231257889601</v>
      </c>
      <c r="AL1150">
        <v>79.649024220867005</v>
      </c>
      <c r="AM1150">
        <v>82.161567455249894</v>
      </c>
      <c r="AN1150">
        <v>0.99999998878412399</v>
      </c>
    </row>
    <row r="1151" spans="1:40" x14ac:dyDescent="0.25">
      <c r="A1151" t="str">
        <f>"20190312164242547"</f>
        <v>20190312164242547</v>
      </c>
      <c r="B1151" t="str">
        <f>"1552380162535057"</f>
        <v>1552380162535057</v>
      </c>
      <c r="C1151" t="s">
        <v>40</v>
      </c>
      <c r="D1151">
        <v>4.9733309999999999</v>
      </c>
      <c r="E1151">
        <v>0.54130210000000001</v>
      </c>
      <c r="F1151" t="s">
        <v>42</v>
      </c>
      <c r="G1151">
        <v>-196.09530000000001</v>
      </c>
      <c r="H1151" s="1">
        <v>-4.7443989999999996E-6</v>
      </c>
      <c r="I1151">
        <v>307.75130000000001</v>
      </c>
      <c r="J1151">
        <v>-190.55609999999999</v>
      </c>
      <c r="K1151">
        <v>1.1096060000000001</v>
      </c>
      <c r="L1151">
        <v>332.06189999999998</v>
      </c>
      <c r="M1151">
        <v>1.231968E-2</v>
      </c>
      <c r="N1151">
        <v>0</v>
      </c>
      <c r="O1151">
        <v>-0.99985579999999996</v>
      </c>
      <c r="P1151">
        <v>-0.1233485</v>
      </c>
      <c r="Q1151">
        <v>0.16944219999999999</v>
      </c>
      <c r="R1151">
        <v>-0.97779070000000001</v>
      </c>
      <c r="S1151">
        <v>-0.67724609999999996</v>
      </c>
      <c r="T1151">
        <v>-0.1357256</v>
      </c>
      <c r="U1151">
        <v>-3.0064700000000002</v>
      </c>
      <c r="V1151">
        <v>0.135773</v>
      </c>
      <c r="W1151">
        <v>0.1805542</v>
      </c>
      <c r="X1151">
        <v>0.97414880000000004</v>
      </c>
      <c r="Y1151">
        <v>0.23154659999999999</v>
      </c>
      <c r="Z1151">
        <v>4.3931310000000001E-2</v>
      </c>
      <c r="AA1151">
        <v>0.97183140000000001</v>
      </c>
      <c r="AB1151">
        <v>25</v>
      </c>
      <c r="AC1151">
        <v>-5.5392000000000197</v>
      </c>
      <c r="AD1151">
        <v>-1.10961074439899</v>
      </c>
      <c r="AE1151">
        <v>-24.310599999999901</v>
      </c>
      <c r="AF1151">
        <v>5.8267591069292299</v>
      </c>
      <c r="AG1151">
        <v>-1.10961074439899</v>
      </c>
      <c r="AH1151">
        <v>24.192596208747801</v>
      </c>
      <c r="AI1151">
        <v>92.553163965112901</v>
      </c>
      <c r="AJ1151">
        <v>76.458288602129798</v>
      </c>
      <c r="AK1151">
        <v>24.9091161829115</v>
      </c>
      <c r="AL1151">
        <v>79.597958015406306</v>
      </c>
      <c r="AM1151">
        <v>82.065455766621398</v>
      </c>
      <c r="AN1151">
        <v>1.0000000056040399</v>
      </c>
    </row>
    <row r="1152" spans="1:40" x14ac:dyDescent="0.25">
      <c r="A1152" t="str">
        <f>"20190312164242593"</f>
        <v>20190312164242593</v>
      </c>
      <c r="B1152" t="str">
        <f>"1552380162584833"</f>
        <v>1552380162584833</v>
      </c>
      <c r="C1152" t="s">
        <v>40</v>
      </c>
      <c r="D1152">
        <v>5.781606</v>
      </c>
      <c r="E1152">
        <v>0.53993400000000003</v>
      </c>
      <c r="F1152" t="s">
        <v>42</v>
      </c>
      <c r="G1152">
        <v>-196.28800000000001</v>
      </c>
      <c r="H1152" s="1">
        <v>-4.4556049999999997E-6</v>
      </c>
      <c r="I1152">
        <v>306.80220000000003</v>
      </c>
      <c r="J1152">
        <v>-190.553</v>
      </c>
      <c r="K1152">
        <v>1.1095349999999999</v>
      </c>
      <c r="L1152">
        <v>331.53629999999998</v>
      </c>
      <c r="M1152">
        <v>9.6288280000000007E-3</v>
      </c>
      <c r="N1152">
        <v>0</v>
      </c>
      <c r="O1152">
        <v>-0.99988710000000003</v>
      </c>
      <c r="P1152">
        <v>-0.12904069999999901</v>
      </c>
      <c r="Q1152">
        <v>0.16913520000000001</v>
      </c>
      <c r="R1152">
        <v>-0.97710900000000001</v>
      </c>
      <c r="S1152">
        <v>-0.68188479999999996</v>
      </c>
      <c r="T1152">
        <v>-0.1320026</v>
      </c>
      <c r="U1152">
        <v>-3.0049739999999998</v>
      </c>
      <c r="V1152">
        <v>0.13885359999999999</v>
      </c>
      <c r="W1152">
        <v>0.180083299999999</v>
      </c>
      <c r="X1152">
        <v>0.97380169999999999</v>
      </c>
      <c r="Y1152">
        <v>0.2304708</v>
      </c>
      <c r="Z1152">
        <v>4.2749540000000003E-2</v>
      </c>
      <c r="AA1152">
        <v>0.97213970000000005</v>
      </c>
      <c r="AB1152">
        <v>26</v>
      </c>
      <c r="AC1152">
        <v>-5.7349999999999799</v>
      </c>
      <c r="AD1152">
        <v>-1.109539455605</v>
      </c>
      <c r="AE1152">
        <v>-24.734099999999899</v>
      </c>
      <c r="AF1152">
        <v>5.96152599303859</v>
      </c>
      <c r="AG1152">
        <v>-1.109539455605</v>
      </c>
      <c r="AH1152">
        <v>24.6306925370973</v>
      </c>
      <c r="AI1152">
        <v>92.506970960322903</v>
      </c>
      <c r="AJ1152">
        <v>76.393991219728207</v>
      </c>
      <c r="AK1152">
        <v>25.3661562879802</v>
      </c>
      <c r="AL1152">
        <v>79.625388526220505</v>
      </c>
      <c r="AM1152">
        <v>81.884943474031203</v>
      </c>
      <c r="AN1152">
        <v>1.00000003404736</v>
      </c>
    </row>
    <row r="1153" spans="1:40" x14ac:dyDescent="0.25">
      <c r="A1153" t="str">
        <f>"20190312164242614"</f>
        <v>20190312164242614</v>
      </c>
      <c r="B1153" t="str">
        <f>"1552380162605329"</f>
        <v>1552380162605329</v>
      </c>
      <c r="C1153" t="s">
        <v>40</v>
      </c>
      <c r="D1153">
        <v>5.243868</v>
      </c>
      <c r="E1153">
        <v>0.53930690000000003</v>
      </c>
      <c r="F1153" t="s">
        <v>42</v>
      </c>
      <c r="G1153">
        <v>-196.3237</v>
      </c>
      <c r="H1153" s="1">
        <v>-4.2886379999999997E-6</v>
      </c>
      <c r="I1153">
        <v>306.29300000000001</v>
      </c>
      <c r="J1153">
        <v>-190.5521</v>
      </c>
      <c r="K1153">
        <v>1.10951</v>
      </c>
      <c r="L1153">
        <v>331.30610000000001</v>
      </c>
      <c r="M1153">
        <v>8.4124239999999999E-3</v>
      </c>
      <c r="N1153">
        <v>0</v>
      </c>
      <c r="O1153">
        <v>-0.99989859999999997</v>
      </c>
      <c r="P1153">
        <v>-0.13112409999999999</v>
      </c>
      <c r="Q1153">
        <v>0.16899330000000001</v>
      </c>
      <c r="R1153">
        <v>-0.97685639999999996</v>
      </c>
      <c r="S1153">
        <v>-0.68635559999999995</v>
      </c>
      <c r="T1153">
        <v>-0.13196729999999901</v>
      </c>
      <c r="U1153">
        <v>-3.0024109999999999</v>
      </c>
      <c r="V1153">
        <v>0.13975499999999999</v>
      </c>
      <c r="W1153">
        <v>0.1798835</v>
      </c>
      <c r="X1153">
        <v>0.97370959999999995</v>
      </c>
      <c r="Y1153">
        <v>0.2308422</v>
      </c>
      <c r="Z1153">
        <v>4.2765490000000003E-2</v>
      </c>
      <c r="AA1153">
        <v>0.97205090000000005</v>
      </c>
      <c r="AB1153">
        <v>26</v>
      </c>
      <c r="AC1153">
        <v>-5.7716000000000003</v>
      </c>
      <c r="AD1153">
        <v>-1.1095142886380001</v>
      </c>
      <c r="AE1153">
        <v>-25.013100000000001</v>
      </c>
      <c r="AF1153">
        <v>5.97067655831128</v>
      </c>
      <c r="AG1153">
        <v>-1.1095142886380001</v>
      </c>
      <c r="AH1153">
        <v>24.9171105387761</v>
      </c>
      <c r="AI1153">
        <v>92.479494654275996</v>
      </c>
      <c r="AJ1153">
        <v>76.524771312024995</v>
      </c>
      <c r="AK1153">
        <v>25.646489001854501</v>
      </c>
      <c r="AL1153">
        <v>79.637025488573997</v>
      </c>
      <c r="AM1153">
        <v>81.832209097590194</v>
      </c>
      <c r="AN1153">
        <v>0.99999995936470398</v>
      </c>
    </row>
    <row r="1154" spans="1:40" x14ac:dyDescent="0.25">
      <c r="A1154" t="str">
        <f>"20190312164242635"</f>
        <v>20190312164242635</v>
      </c>
      <c r="B1154" t="str">
        <f>"1552380162624849"</f>
        <v>1552380162624849</v>
      </c>
      <c r="C1154" t="s">
        <v>40</v>
      </c>
      <c r="D1154">
        <v>5.1374879999999896</v>
      </c>
      <c r="E1154">
        <v>0.5387613</v>
      </c>
      <c r="F1154" t="s">
        <v>42</v>
      </c>
      <c r="G1154">
        <v>-196.3064</v>
      </c>
      <c r="H1154" s="1">
        <v>-4.2390439999999999E-6</v>
      </c>
      <c r="I1154">
        <v>306.15620000000001</v>
      </c>
      <c r="J1154">
        <v>-190.5515</v>
      </c>
      <c r="K1154">
        <v>1.109478</v>
      </c>
      <c r="L1154">
        <v>331.05759999999998</v>
      </c>
      <c r="M1154">
        <v>7.0790100000000002E-3</v>
      </c>
      <c r="N1154">
        <v>0</v>
      </c>
      <c r="O1154">
        <v>-0.99990939999999995</v>
      </c>
      <c r="P1154">
        <v>-0.13251650000000001</v>
      </c>
      <c r="Q1154">
        <v>0.16882710000000001</v>
      </c>
      <c r="R1154">
        <v>-0.97669700000000004</v>
      </c>
      <c r="S1154">
        <v>-0.68681340000000002</v>
      </c>
      <c r="T1154">
        <v>-0.13242779999999901</v>
      </c>
      <c r="U1154">
        <v>-3.0018009999999999</v>
      </c>
      <c r="V1154">
        <v>0.13985210000000001</v>
      </c>
      <c r="W1154">
        <v>0.17965829999999999</v>
      </c>
      <c r="X1154">
        <v>0.97373730000000003</v>
      </c>
      <c r="Y1154">
        <v>0.22972690000000001</v>
      </c>
      <c r="Z1154">
        <v>4.2928620000000001E-2</v>
      </c>
      <c r="AA1154">
        <v>0.9723079</v>
      </c>
      <c r="AB1154">
        <v>26</v>
      </c>
      <c r="AC1154">
        <v>-5.7548999999999904</v>
      </c>
      <c r="AD1154">
        <v>-1.109482239044</v>
      </c>
      <c r="AE1154">
        <v>-24.901399999999899</v>
      </c>
      <c r="AF1154">
        <v>5.9198885846444602</v>
      </c>
      <c r="AG1154">
        <v>-1.109482239044</v>
      </c>
      <c r="AH1154">
        <v>24.813273769550701</v>
      </c>
      <c r="AI1154">
        <v>92.490373050725196</v>
      </c>
      <c r="AJ1154">
        <v>76.581356418137702</v>
      </c>
      <c r="AK1154">
        <v>25.533793036993799</v>
      </c>
      <c r="AL1154">
        <v>79.650142844997703</v>
      </c>
      <c r="AM1154">
        <v>81.826840237407097</v>
      </c>
      <c r="AN1154">
        <v>1.00000002202229</v>
      </c>
    </row>
    <row r="1155" spans="1:40" x14ac:dyDescent="0.25">
      <c r="A1155" t="str">
        <f>"20190312164242658"</f>
        <v>20190312164242658</v>
      </c>
      <c r="B1155" t="str">
        <f>"1552380162645345"</f>
        <v>1552380162645345</v>
      </c>
      <c r="C1155" t="s">
        <v>40</v>
      </c>
      <c r="D1155">
        <v>5.3683779999999999</v>
      </c>
      <c r="E1155">
        <v>0.53828390000000004</v>
      </c>
      <c r="F1155" t="s">
        <v>42</v>
      </c>
      <c r="G1155">
        <v>-196.32560000000001</v>
      </c>
      <c r="H1155" s="1">
        <v>-4.1286480000000002E-6</v>
      </c>
      <c r="I1155">
        <v>305.8218</v>
      </c>
      <c r="J1155">
        <v>-190.5513</v>
      </c>
      <c r="K1155">
        <v>1.109448</v>
      </c>
      <c r="L1155">
        <v>330.80220000000003</v>
      </c>
      <c r="M1155">
        <v>5.6873560000000002E-3</v>
      </c>
      <c r="N1155">
        <v>0</v>
      </c>
      <c r="O1155">
        <v>-0.99991909999999895</v>
      </c>
      <c r="P1155">
        <v>-0.13389200000000001</v>
      </c>
      <c r="Q1155">
        <v>0.16847290000000001</v>
      </c>
      <c r="R1155">
        <v>-0.97657050000000001</v>
      </c>
      <c r="S1155">
        <v>-0.6866913</v>
      </c>
      <c r="T1155">
        <v>-0.13194739999999999</v>
      </c>
      <c r="U1155">
        <v>-3.0012210000000001</v>
      </c>
      <c r="V1155">
        <v>0.13987469999999999</v>
      </c>
      <c r="W1155">
        <v>0.17923710000000001</v>
      </c>
      <c r="X1155">
        <v>0.9738116</v>
      </c>
      <c r="Y1155">
        <v>0.22837669999999999</v>
      </c>
      <c r="Z1155">
        <v>4.2788880000000001E-2</v>
      </c>
      <c r="AA1155">
        <v>0.9726321</v>
      </c>
      <c r="AB1155">
        <v>26</v>
      </c>
      <c r="AC1155">
        <v>-5.77430000000001</v>
      </c>
      <c r="AD1155">
        <v>-1.1094521286479999</v>
      </c>
      <c r="AE1155">
        <v>-24.980399999999999</v>
      </c>
      <c r="AF1155">
        <v>5.9052309305860398</v>
      </c>
      <c r="AG1155">
        <v>-1.1094521286479999</v>
      </c>
      <c r="AH1155">
        <v>24.9005281342844</v>
      </c>
      <c r="AI1155">
        <v>92.482385203226897</v>
      </c>
      <c r="AJ1155">
        <v>76.658611842175205</v>
      </c>
      <c r="AK1155">
        <v>25.615209109738</v>
      </c>
      <c r="AL1155">
        <v>79.674673287753393</v>
      </c>
      <c r="AM1155">
        <v>81.826152577311305</v>
      </c>
      <c r="AN1155">
        <v>0.99999995100552797</v>
      </c>
    </row>
    <row r="1156" spans="1:40" x14ac:dyDescent="0.25">
      <c r="A1156" t="str">
        <f>"20190312164242681"</f>
        <v>20190312164242681</v>
      </c>
      <c r="B1156" t="str">
        <f>"1552380162675601"</f>
        <v>1552380162675601</v>
      </c>
      <c r="C1156" t="s">
        <v>40</v>
      </c>
      <c r="D1156">
        <v>5.3362119999999997</v>
      </c>
      <c r="E1156">
        <v>0.50879839999999998</v>
      </c>
      <c r="F1156" t="s">
        <v>42</v>
      </c>
      <c r="G1156">
        <v>-196.2732</v>
      </c>
      <c r="H1156" s="1">
        <v>-4.1026700000000001E-6</v>
      </c>
      <c r="I1156">
        <v>305.77280000000002</v>
      </c>
      <c r="J1156">
        <v>-190.5514</v>
      </c>
      <c r="K1156">
        <v>1.1094170000000001</v>
      </c>
      <c r="L1156">
        <v>330.5292</v>
      </c>
      <c r="M1156">
        <v>4.1839140000000004E-3</v>
      </c>
      <c r="N1156">
        <v>0</v>
      </c>
      <c r="O1156">
        <v>-0.99992720000000002</v>
      </c>
      <c r="P1156">
        <v>-0.13535069999999999</v>
      </c>
      <c r="Q1156">
        <v>0.16745019999999999</v>
      </c>
      <c r="R1156">
        <v>-0.97654549999999996</v>
      </c>
      <c r="S1156">
        <v>-0.68601990000000002</v>
      </c>
      <c r="T1156">
        <v>-0.13301579999999999</v>
      </c>
      <c r="U1156">
        <v>-3.0008539999999999</v>
      </c>
      <c r="V1156">
        <v>0.1398693</v>
      </c>
      <c r="W1156">
        <v>0.17814199999999999</v>
      </c>
      <c r="X1156">
        <v>0.97401329999999997</v>
      </c>
      <c r="Y1156">
        <v>0.22672819999999999</v>
      </c>
      <c r="Z1156">
        <v>4.3149769999999997E-2</v>
      </c>
      <c r="AA1156">
        <v>0.97300180000000003</v>
      </c>
      <c r="AB1156">
        <v>26</v>
      </c>
      <c r="AC1156">
        <v>-5.7218</v>
      </c>
      <c r="AD1156">
        <v>-1.10942110267</v>
      </c>
      <c r="AE1156">
        <v>-24.7563999999999</v>
      </c>
      <c r="AF1156">
        <v>5.8142508324623101</v>
      </c>
      <c r="AG1156">
        <v>-1.10942110267</v>
      </c>
      <c r="AH1156">
        <v>24.685182084940401</v>
      </c>
      <c r="AI1156">
        <v>92.5048485815704</v>
      </c>
      <c r="AJ1156">
        <v>76.746345051107298</v>
      </c>
      <c r="AK1156">
        <v>25.3849274667567</v>
      </c>
      <c r="AL1156">
        <v>79.738444263258302</v>
      </c>
      <c r="AM1156">
        <v>81.828133596778699</v>
      </c>
      <c r="AN1156">
        <v>0.99999995091168803</v>
      </c>
    </row>
    <row r="1157" spans="1:40" x14ac:dyDescent="0.25">
      <c r="A1157" t="str">
        <f>"20190312164242701"</f>
        <v>20190312164242701</v>
      </c>
      <c r="B1157" t="str">
        <f>"1552380162695122"</f>
        <v>1552380162695122</v>
      </c>
      <c r="C1157" t="s">
        <v>40</v>
      </c>
      <c r="D1157">
        <v>5.2846590000000004</v>
      </c>
      <c r="E1157">
        <v>0.50687609999999905</v>
      </c>
      <c r="F1157" t="s">
        <v>42</v>
      </c>
      <c r="G1157">
        <v>-192.8185</v>
      </c>
      <c r="H1157" s="1">
        <v>-3.4597340000000002E-6</v>
      </c>
      <c r="I1157">
        <v>315.32409999999999</v>
      </c>
      <c r="J1157">
        <v>-190.55189999999999</v>
      </c>
      <c r="K1157">
        <v>1.1094029999999999</v>
      </c>
      <c r="L1157">
        <v>330.29349999999999</v>
      </c>
      <c r="M1157">
        <v>2.8753289999999998E-3</v>
      </c>
      <c r="N1157">
        <v>0</v>
      </c>
      <c r="O1157">
        <v>-0.99993270000000001</v>
      </c>
      <c r="P1157">
        <v>-0.13614209999999999</v>
      </c>
      <c r="Q1157">
        <v>0.16682459999999999</v>
      </c>
      <c r="R1157">
        <v>-0.97654269999999999</v>
      </c>
      <c r="S1157">
        <v>-0.45434570000000002</v>
      </c>
      <c r="T1157">
        <v>-0.22233339999999999</v>
      </c>
      <c r="U1157">
        <v>-3.04718</v>
      </c>
      <c r="V1157">
        <v>0.1393847</v>
      </c>
      <c r="W1157">
        <v>0.1774588</v>
      </c>
      <c r="X1157">
        <v>0.9742075</v>
      </c>
      <c r="Y1157">
        <v>0.1499344</v>
      </c>
      <c r="Z1157">
        <v>7.1962769999999995E-2</v>
      </c>
      <c r="AA1157">
        <v>0.98607359999999999</v>
      </c>
      <c r="AB1157">
        <v>26</v>
      </c>
      <c r="AC1157">
        <v>-2.2666000000000102</v>
      </c>
      <c r="AD1157">
        <v>-1.1094064597339901</v>
      </c>
      <c r="AE1157">
        <v>-14.9694</v>
      </c>
      <c r="AF1157">
        <v>2.2973001086292801</v>
      </c>
      <c r="AG1157">
        <v>-1.1094064597339901</v>
      </c>
      <c r="AH1157">
        <v>14.8829077654306</v>
      </c>
      <c r="AI1157">
        <v>94.213359544242707</v>
      </c>
      <c r="AJ1157">
        <v>81.225175479089302</v>
      </c>
      <c r="AK1157">
        <v>15.0999772859539</v>
      </c>
      <c r="AL1157">
        <v>79.778222916579594</v>
      </c>
      <c r="AM1157">
        <v>81.857667563841801</v>
      </c>
      <c r="AN1157">
        <v>0.99999998667389001</v>
      </c>
    </row>
    <row r="1158" spans="1:40" x14ac:dyDescent="0.25">
      <c r="A1158" t="str">
        <f>"20190312164242726"</f>
        <v>20190312164242726</v>
      </c>
      <c r="B1158" t="str">
        <f>"1552380162715617"</f>
        <v>1552380162715617</v>
      </c>
      <c r="C1158" t="s">
        <v>40</v>
      </c>
      <c r="D1158">
        <v>5.1058760000000003</v>
      </c>
      <c r="E1158">
        <v>0.50518479999999999</v>
      </c>
      <c r="F1158" t="s">
        <v>41</v>
      </c>
      <c r="G1158">
        <v>-190.69030000000001</v>
      </c>
      <c r="H1158">
        <v>1.0396019999999999</v>
      </c>
      <c r="I1158">
        <v>329.33789999999999</v>
      </c>
      <c r="J1158">
        <v>-190.55279999999999</v>
      </c>
      <c r="K1158">
        <v>1.109389</v>
      </c>
      <c r="L1158">
        <v>330.01799999999997</v>
      </c>
      <c r="M1158">
        <v>1.3411269999999999E-3</v>
      </c>
      <c r="N1158">
        <v>0</v>
      </c>
      <c r="O1158">
        <v>-0.99993679999999996</v>
      </c>
      <c r="P1158">
        <v>-0.13706979999999999</v>
      </c>
      <c r="Q1158">
        <v>0.1666029</v>
      </c>
      <c r="R1158">
        <v>-0.97645079999999995</v>
      </c>
      <c r="S1158">
        <v>-0.44103999999999999</v>
      </c>
      <c r="T1158">
        <v>-0.2228695</v>
      </c>
      <c r="U1158">
        <v>-3.048645</v>
      </c>
      <c r="V1158">
        <v>0.138815299999999</v>
      </c>
      <c r="W1158">
        <v>0.17717160000000001</v>
      </c>
      <c r="X1158">
        <v>0.97434109999999996</v>
      </c>
      <c r="Y1158">
        <v>0.14413110000000001</v>
      </c>
      <c r="Z1158">
        <v>7.2155549999999999E-2</v>
      </c>
      <c r="AA1158">
        <v>0.98692440000000003</v>
      </c>
      <c r="AB1158">
        <v>26</v>
      </c>
      <c r="AC1158">
        <v>-0.137500000000017</v>
      </c>
      <c r="AD1158">
        <v>-6.9786999999999794E-2</v>
      </c>
      <c r="AE1158">
        <v>-0.68010000000003801</v>
      </c>
      <c r="AF1158">
        <v>0.13702589237752499</v>
      </c>
      <c r="AG1158">
        <v>-6.9786999999999794E-2</v>
      </c>
      <c r="AH1158">
        <v>0.67310589487984396</v>
      </c>
      <c r="AI1158">
        <v>95.8010779788099</v>
      </c>
      <c r="AJ1158">
        <v>78.4933834293427</v>
      </c>
      <c r="AK1158">
        <v>0.69044758401550799</v>
      </c>
      <c r="AL1158">
        <v>79.794943569335103</v>
      </c>
      <c r="AM1158">
        <v>81.891583617072399</v>
      </c>
      <c r="AN1158">
        <v>1.00000002125492</v>
      </c>
    </row>
    <row r="1159" spans="1:40" x14ac:dyDescent="0.25">
      <c r="A1159" t="str">
        <f>"20190312164242747"</f>
        <v>20190312164242747</v>
      </c>
      <c r="B1159" t="str">
        <f>"1552380162736113"</f>
        <v>1552380162736113</v>
      </c>
      <c r="C1159" t="s">
        <v>40</v>
      </c>
      <c r="D1159">
        <v>5.0826830000000003</v>
      </c>
      <c r="E1159">
        <v>0.50360349999999998</v>
      </c>
      <c r="F1159" t="s">
        <v>41</v>
      </c>
      <c r="G1159">
        <v>-190.6816</v>
      </c>
      <c r="H1159">
        <v>1.0425739999999999</v>
      </c>
      <c r="I1159">
        <v>329.10730000000001</v>
      </c>
      <c r="J1159">
        <v>-190.55410000000001</v>
      </c>
      <c r="K1159">
        <v>1.1093729999999999</v>
      </c>
      <c r="L1159">
        <v>329.76859999999999</v>
      </c>
      <c r="M1159" s="1">
        <v>-4.9719490000000003E-5</v>
      </c>
      <c r="N1159">
        <v>0</v>
      </c>
      <c r="O1159">
        <v>-0.99993840000000001</v>
      </c>
      <c r="P1159">
        <v>-0.13835720000000001</v>
      </c>
      <c r="Q1159">
        <v>0.1670565</v>
      </c>
      <c r="R1159">
        <v>-0.97619160000000005</v>
      </c>
      <c r="S1159">
        <v>-0.43084719999999999</v>
      </c>
      <c r="T1159">
        <v>-0.2237778</v>
      </c>
      <c r="U1159">
        <v>-3.0500180000000001</v>
      </c>
      <c r="V1159">
        <v>0.13874600000000001</v>
      </c>
      <c r="W1159">
        <v>0.1775611</v>
      </c>
      <c r="X1159">
        <v>0.97428009999999998</v>
      </c>
      <c r="Y1159">
        <v>0.139455</v>
      </c>
      <c r="Z1159">
        <v>7.2457369999999993E-2</v>
      </c>
      <c r="AA1159">
        <v>0.9875739</v>
      </c>
      <c r="AB1159">
        <v>26</v>
      </c>
      <c r="AC1159">
        <v>-0.127499999999997</v>
      </c>
      <c r="AD1159">
        <v>-6.6798999999999997E-2</v>
      </c>
      <c r="AE1159">
        <v>-0.66129999999998201</v>
      </c>
      <c r="AF1159">
        <v>0.12622535612712499</v>
      </c>
      <c r="AG1159">
        <v>-6.6798999999999997E-2</v>
      </c>
      <c r="AH1159">
        <v>0.65486400905992503</v>
      </c>
      <c r="AI1159">
        <v>95.719710907864894</v>
      </c>
      <c r="AJ1159">
        <v>79.0900095224018</v>
      </c>
      <c r="AK1159">
        <v>0.67025503899072403</v>
      </c>
      <c r="AL1159">
        <v>79.772267678296302</v>
      </c>
      <c r="AM1159">
        <v>81.895077067768597</v>
      </c>
      <c r="AN1159">
        <v>1.0000000550026</v>
      </c>
    </row>
    <row r="1160" spans="1:40" x14ac:dyDescent="0.25">
      <c r="A1160" t="str">
        <f>"20190312164242773"</f>
        <v>20190312164242773</v>
      </c>
      <c r="B1160" t="str">
        <f>"1552380162765393"</f>
        <v>1552380162765393</v>
      </c>
      <c r="C1160" t="s">
        <v>40</v>
      </c>
      <c r="D1160">
        <v>5.2666909999999998</v>
      </c>
      <c r="E1160">
        <v>0.50262669999999998</v>
      </c>
      <c r="F1160" t="s">
        <v>41</v>
      </c>
      <c r="G1160">
        <v>-190.67949999999999</v>
      </c>
      <c r="H1160">
        <v>1.0472129999999999</v>
      </c>
      <c r="I1160">
        <v>328.86419999999998</v>
      </c>
      <c r="J1160">
        <v>-190.55590000000001</v>
      </c>
      <c r="K1160">
        <v>1.109361</v>
      </c>
      <c r="L1160">
        <v>329.4796</v>
      </c>
      <c r="M1160">
        <v>-1.660435E-3</v>
      </c>
      <c r="N1160">
        <v>0</v>
      </c>
      <c r="O1160">
        <v>-0.99993790000000005</v>
      </c>
      <c r="P1160">
        <v>-0.13985300000000001</v>
      </c>
      <c r="Q1160">
        <v>0.16730320000000001</v>
      </c>
      <c r="R1160">
        <v>-0.97593609999999997</v>
      </c>
      <c r="S1160">
        <v>-0.42201230000000001</v>
      </c>
      <c r="T1160">
        <v>-0.20982429999999999</v>
      </c>
      <c r="U1160">
        <v>-3.049255</v>
      </c>
      <c r="V1160">
        <v>0.1386696</v>
      </c>
      <c r="W1160">
        <v>0.17772869999999999</v>
      </c>
      <c r="X1160">
        <v>0.97426040000000003</v>
      </c>
      <c r="Y1160">
        <v>0.13512929999999901</v>
      </c>
      <c r="Z1160">
        <v>6.8011760000000004E-2</v>
      </c>
      <c r="AA1160">
        <v>0.98849100000000001</v>
      </c>
      <c r="AB1160">
        <v>26</v>
      </c>
      <c r="AC1160">
        <v>-0.123599999999981</v>
      </c>
      <c r="AD1160">
        <v>-6.2148000000000002E-2</v>
      </c>
      <c r="AE1160">
        <v>-0.61540000000002204</v>
      </c>
      <c r="AF1160">
        <v>0.121387954461621</v>
      </c>
      <c r="AG1160">
        <v>-6.2148000000000002E-2</v>
      </c>
      <c r="AH1160">
        <v>0.60962813253707904</v>
      </c>
      <c r="AI1160">
        <v>95.709535162262199</v>
      </c>
      <c r="AJ1160">
        <v>78.738665180899005</v>
      </c>
      <c r="AK1160">
        <v>0.624695021088709</v>
      </c>
      <c r="AL1160">
        <v>79.762509525104505</v>
      </c>
      <c r="AM1160">
        <v>81.899319142569595</v>
      </c>
      <c r="AN1160">
        <v>1.0000000378880001</v>
      </c>
    </row>
    <row r="1161" spans="1:40" x14ac:dyDescent="0.25">
      <c r="A1161" t="str">
        <f>"20190312164242795"</f>
        <v>20190312164242795</v>
      </c>
      <c r="B1161" t="str">
        <f>"1552380162784913"</f>
        <v>1552380162784913</v>
      </c>
      <c r="C1161" t="s">
        <v>40</v>
      </c>
      <c r="D1161">
        <v>5.2241390000000001</v>
      </c>
      <c r="E1161">
        <v>0.50224990000000003</v>
      </c>
      <c r="F1161" t="s">
        <v>42</v>
      </c>
      <c r="G1161">
        <v>-192.90559999999999</v>
      </c>
      <c r="H1161" s="1">
        <v>-2.0936690000000002E-6</v>
      </c>
      <c r="I1161">
        <v>312.3852</v>
      </c>
      <c r="J1161">
        <v>-190.55789999999999</v>
      </c>
      <c r="K1161">
        <v>1.1093409999999999</v>
      </c>
      <c r="L1161">
        <v>329.22559999999999</v>
      </c>
      <c r="M1161">
        <v>-3.0728159999999999E-3</v>
      </c>
      <c r="N1161">
        <v>0</v>
      </c>
      <c r="O1161">
        <v>-0.99993529999999997</v>
      </c>
      <c r="P1161">
        <v>-0.14146779999999901</v>
      </c>
      <c r="Q1161">
        <v>0.16696269999999999</v>
      </c>
      <c r="R1161">
        <v>-0.97576180000000001</v>
      </c>
      <c r="S1161">
        <v>-0.41894530000000002</v>
      </c>
      <c r="T1161">
        <v>-0.19779720000000001</v>
      </c>
      <c r="U1161">
        <v>-3.047882</v>
      </c>
      <c r="V1161">
        <v>0.13890469999999999</v>
      </c>
      <c r="W1161">
        <v>0.17731340000000001</v>
      </c>
      <c r="X1161">
        <v>0.97430249999999996</v>
      </c>
      <c r="Y1161">
        <v>0.13284849999999901</v>
      </c>
      <c r="Z1161">
        <v>6.4172480000000004E-2</v>
      </c>
      <c r="AA1161">
        <v>0.98905670000000001</v>
      </c>
      <c r="AB1161">
        <v>26</v>
      </c>
      <c r="AC1161">
        <v>-2.3477000000000001</v>
      </c>
      <c r="AD1161">
        <v>-1.1093430936690001</v>
      </c>
      <c r="AE1161">
        <v>-16.840399999999899</v>
      </c>
      <c r="AF1161">
        <v>2.2862067881774899</v>
      </c>
      <c r="AG1161">
        <v>-1.1093430936690001</v>
      </c>
      <c r="AH1161">
        <v>16.7761249481179</v>
      </c>
      <c r="AI1161">
        <v>93.748700816557005</v>
      </c>
      <c r="AJ1161">
        <v>82.239684487623606</v>
      </c>
      <c r="AK1161">
        <v>16.967491029985698</v>
      </c>
      <c r="AL1161">
        <v>79.786687686958899</v>
      </c>
      <c r="AM1161">
        <v>81.886113970648296</v>
      </c>
      <c r="AN1161">
        <v>0.99999995950394904</v>
      </c>
    </row>
    <row r="1162" spans="1:40" x14ac:dyDescent="0.25">
      <c r="A1162" t="str">
        <f>"20190312164242814"</f>
        <v>20190312164242814</v>
      </c>
      <c r="B1162" t="str">
        <f>"1552380162804998"</f>
        <v>1552380162804998</v>
      </c>
      <c r="C1162" t="s">
        <v>40</v>
      </c>
      <c r="D1162">
        <v>5.2513239999999897</v>
      </c>
      <c r="E1162">
        <v>0.50191409999999903</v>
      </c>
      <c r="F1162" t="s">
        <v>42</v>
      </c>
      <c r="G1162">
        <v>-192.953</v>
      </c>
      <c r="H1162" s="1">
        <v>-1.872091E-6</v>
      </c>
      <c r="I1162">
        <v>311.88979999999998</v>
      </c>
      <c r="J1162">
        <v>-190.56010000000001</v>
      </c>
      <c r="K1162">
        <v>1.109324</v>
      </c>
      <c r="L1162">
        <v>328.9923</v>
      </c>
      <c r="M1162">
        <v>-4.3668800000000001E-3</v>
      </c>
      <c r="N1162">
        <v>0</v>
      </c>
      <c r="O1162">
        <v>-0.99993120000000002</v>
      </c>
      <c r="P1162">
        <v>-0.14302479999999901</v>
      </c>
      <c r="Q1162">
        <v>0.16634589999999999</v>
      </c>
      <c r="R1162">
        <v>-0.9756399</v>
      </c>
      <c r="S1162">
        <v>-0.42094419999999999</v>
      </c>
      <c r="T1162">
        <v>-0.19497220000000001</v>
      </c>
      <c r="U1162">
        <v>-3.0468440000000001</v>
      </c>
      <c r="V1162">
        <v>0.13919679999999901</v>
      </c>
      <c r="W1162">
        <v>0.17662720000000001</v>
      </c>
      <c r="X1162">
        <v>0.97438550000000002</v>
      </c>
      <c r="Y1162">
        <v>0.13225590000000001</v>
      </c>
      <c r="Z1162">
        <v>6.328019E-2</v>
      </c>
      <c r="AA1162">
        <v>0.98919360000000001</v>
      </c>
      <c r="AB1162">
        <v>26</v>
      </c>
      <c r="AC1162">
        <v>-2.3928999999999898</v>
      </c>
      <c r="AD1162">
        <v>-1.109325872091</v>
      </c>
      <c r="AE1162">
        <v>-17.102499999999999</v>
      </c>
      <c r="AF1162">
        <v>2.3086615522535299</v>
      </c>
      <c r="AG1162">
        <v>-1.109325872091</v>
      </c>
      <c r="AH1162">
        <v>17.042461720720599</v>
      </c>
      <c r="AI1162">
        <v>93.690621512933006</v>
      </c>
      <c r="AJ1162">
        <v>82.285373402363405</v>
      </c>
      <c r="AK1162">
        <v>17.233862699800401</v>
      </c>
      <c r="AL1162">
        <v>79.826635083976797</v>
      </c>
      <c r="AM1162">
        <v>81.869962680824898</v>
      </c>
      <c r="AN1162">
        <v>1.00000000976016</v>
      </c>
    </row>
    <row r="1163" spans="1:40" x14ac:dyDescent="0.25">
      <c r="A1163" t="str">
        <f>"20190312164242837"</f>
        <v>20190312164242837</v>
      </c>
      <c r="B1163" t="str">
        <f>"1552380162825494"</f>
        <v>1552380162825494</v>
      </c>
      <c r="C1163" t="s">
        <v>40</v>
      </c>
      <c r="D1163">
        <v>5.0869039999999996</v>
      </c>
      <c r="E1163">
        <v>0.50159920000000002</v>
      </c>
      <c r="F1163" t="s">
        <v>42</v>
      </c>
      <c r="G1163">
        <v>-192.97739999999999</v>
      </c>
      <c r="H1163" s="1">
        <v>-1.7364480000000001E-6</v>
      </c>
      <c r="I1163">
        <v>311.58920000000001</v>
      </c>
      <c r="J1163">
        <v>-190.56280000000001</v>
      </c>
      <c r="K1163">
        <v>1.109316</v>
      </c>
      <c r="L1163">
        <v>328.73059999999998</v>
      </c>
      <c r="M1163">
        <v>-5.8128199999999998E-3</v>
      </c>
      <c r="N1163">
        <v>0</v>
      </c>
      <c r="O1163">
        <v>-0.9999247</v>
      </c>
      <c r="P1163">
        <v>-0.1447174</v>
      </c>
      <c r="Q1163">
        <v>0.16625290000000001</v>
      </c>
      <c r="R1163">
        <v>-0.9754062</v>
      </c>
      <c r="S1163">
        <v>-0.42309570000000002</v>
      </c>
      <c r="T1163">
        <v>-0.1941619</v>
      </c>
      <c r="U1163">
        <v>-3.0460210000000001</v>
      </c>
      <c r="V1163">
        <v>0.13947770000000001</v>
      </c>
      <c r="W1163">
        <v>0.17646110000000001</v>
      </c>
      <c r="X1163">
        <v>0.9743754</v>
      </c>
      <c r="Y1163">
        <v>0.13154649999999901</v>
      </c>
      <c r="Z1163">
        <v>6.3034339999999994E-2</v>
      </c>
      <c r="AA1163">
        <v>0.98930390000000001</v>
      </c>
      <c r="AB1163">
        <v>26</v>
      </c>
      <c r="AC1163">
        <v>-2.4145999999999699</v>
      </c>
      <c r="AD1163">
        <v>-1.109317736448</v>
      </c>
      <c r="AE1163">
        <v>-17.141399999999901</v>
      </c>
      <c r="AF1163">
        <v>2.3054458822294501</v>
      </c>
      <c r="AG1163">
        <v>-1.109317736448</v>
      </c>
      <c r="AH1163">
        <v>17.084985011369099</v>
      </c>
      <c r="AI1163">
        <v>93.681690301123297</v>
      </c>
      <c r="AJ1163">
        <v>82.314935043610404</v>
      </c>
      <c r="AK1163">
        <v>17.275484925031598</v>
      </c>
      <c r="AL1163">
        <v>79.836303520970901</v>
      </c>
      <c r="AM1163">
        <v>81.853692900245804</v>
      </c>
      <c r="AN1163">
        <v>0.999999984367829</v>
      </c>
    </row>
    <row r="1164" spans="1:40" x14ac:dyDescent="0.25">
      <c r="A1164" t="str">
        <f>"20190312164242859"</f>
        <v>20190312164242859</v>
      </c>
      <c r="B1164" t="str">
        <f>"1552380162854774"</f>
        <v>1552380162854774</v>
      </c>
      <c r="C1164" t="s">
        <v>40</v>
      </c>
      <c r="D1164">
        <v>5.1146180000000001</v>
      </c>
      <c r="E1164">
        <v>0.50135229999999997</v>
      </c>
      <c r="F1164" t="s">
        <v>42</v>
      </c>
      <c r="G1164">
        <v>-192.96010000000001</v>
      </c>
      <c r="H1164" s="1">
        <v>-1.7152140000000001E-6</v>
      </c>
      <c r="I1164">
        <v>311.55399999999997</v>
      </c>
      <c r="J1164">
        <v>-190.5659</v>
      </c>
      <c r="K1164">
        <v>1.109308</v>
      </c>
      <c r="L1164">
        <v>328.47149999999999</v>
      </c>
      <c r="M1164">
        <v>-7.2352889999999998E-3</v>
      </c>
      <c r="N1164">
        <v>0</v>
      </c>
      <c r="O1164">
        <v>-0.99991640000000004</v>
      </c>
      <c r="P1164">
        <v>-0.14644309999999999</v>
      </c>
      <c r="Q1164">
        <v>0.16587979999999899</v>
      </c>
      <c r="R1164">
        <v>-0.97521230000000003</v>
      </c>
      <c r="S1164">
        <v>-0.42514039999999997</v>
      </c>
      <c r="T1164">
        <v>-0.1967267</v>
      </c>
      <c r="U1164">
        <v>-3.0461119999999999</v>
      </c>
      <c r="V1164">
        <v>0.13981350000000001</v>
      </c>
      <c r="W1164">
        <v>0.1760227</v>
      </c>
      <c r="X1164">
        <v>0.97440660000000001</v>
      </c>
      <c r="Y1164">
        <v>0.13077639999999999</v>
      </c>
      <c r="Z1164">
        <v>6.3861150000000005E-2</v>
      </c>
      <c r="AA1164">
        <v>0.98935289999999998</v>
      </c>
      <c r="AB1164">
        <v>26</v>
      </c>
      <c r="AC1164">
        <v>-2.3942000000000099</v>
      </c>
      <c r="AD1164">
        <v>-1.1093097152139999</v>
      </c>
      <c r="AE1164">
        <v>-16.917499999999901</v>
      </c>
      <c r="AF1164">
        <v>2.2621916426175099</v>
      </c>
      <c r="AG1164">
        <v>-1.1093097152139999</v>
      </c>
      <c r="AH1164">
        <v>16.863298228488201</v>
      </c>
      <c r="AI1164">
        <v>93.730316412770804</v>
      </c>
      <c r="AJ1164">
        <v>82.359453459440502</v>
      </c>
      <c r="AK1164">
        <v>17.050481113890299</v>
      </c>
      <c r="AL1164">
        <v>79.861821728684504</v>
      </c>
      <c r="AM1164">
        <v>81.834602350213103</v>
      </c>
      <c r="AN1164">
        <v>1.0000000139105401</v>
      </c>
    </row>
    <row r="1165" spans="1:40" x14ac:dyDescent="0.25">
      <c r="A1165" t="str">
        <f>"20190312164242882"</f>
        <v>20190312164242882</v>
      </c>
      <c r="B1165" t="str">
        <f>"1552380162875270"</f>
        <v>1552380162875270</v>
      </c>
      <c r="C1165" t="s">
        <v>40</v>
      </c>
      <c r="D1165">
        <v>5.1055869999999999</v>
      </c>
      <c r="E1165">
        <v>0.50106110000000004</v>
      </c>
      <c r="F1165" t="s">
        <v>42</v>
      </c>
      <c r="G1165">
        <v>-192.88900000000001</v>
      </c>
      <c r="H1165" s="1">
        <v>-1.874561E-6</v>
      </c>
      <c r="I1165">
        <v>311.93110000000001</v>
      </c>
      <c r="J1165">
        <v>-190.5694</v>
      </c>
      <c r="K1165">
        <v>1.1093120000000001</v>
      </c>
      <c r="L1165">
        <v>328.21280000000002</v>
      </c>
      <c r="M1165">
        <v>-8.6429939999999993E-3</v>
      </c>
      <c r="N1165">
        <v>0</v>
      </c>
      <c r="O1165">
        <v>-0.99990579999999996</v>
      </c>
      <c r="P1165">
        <v>-0.1485281</v>
      </c>
      <c r="Q1165">
        <v>0.16570289999999999</v>
      </c>
      <c r="R1165">
        <v>-0.97492730000000005</v>
      </c>
      <c r="S1165">
        <v>-0.42791750000000001</v>
      </c>
      <c r="T1165">
        <v>-0.20433509999999999</v>
      </c>
      <c r="U1165">
        <v>-3.0467529999999998</v>
      </c>
      <c r="V1165">
        <v>0.1405236</v>
      </c>
      <c r="W1165">
        <v>0.17578559999999999</v>
      </c>
      <c r="X1165">
        <v>0.97434719999999997</v>
      </c>
      <c r="Y1165">
        <v>0.13021460000000001</v>
      </c>
      <c r="Z1165">
        <v>6.6303689999999998E-2</v>
      </c>
      <c r="AA1165">
        <v>0.98926639999999999</v>
      </c>
      <c r="AB1165">
        <v>26</v>
      </c>
      <c r="AC1165">
        <v>-2.3195999999999999</v>
      </c>
      <c r="AD1165">
        <v>-1.1093138745610001</v>
      </c>
      <c r="AE1165">
        <v>-16.281700000000001</v>
      </c>
      <c r="AF1165">
        <v>2.16891479995222</v>
      </c>
      <c r="AG1165">
        <v>-1.1093138745610001</v>
      </c>
      <c r="AH1165">
        <v>16.227311793967299</v>
      </c>
      <c r="AI1165">
        <v>93.8763428250613</v>
      </c>
      <c r="AJ1165">
        <v>82.387063793485197</v>
      </c>
      <c r="AK1165">
        <v>16.409156490824799</v>
      </c>
      <c r="AL1165">
        <v>79.875621213687197</v>
      </c>
      <c r="AM1165">
        <v>81.793201009920296</v>
      </c>
      <c r="AN1165">
        <v>0.99999996273607905</v>
      </c>
    </row>
    <row r="1166" spans="1:40" x14ac:dyDescent="0.25">
      <c r="A1166" t="str">
        <f>"20190312164242903"</f>
        <v>20190312164242903</v>
      </c>
      <c r="B1166" t="str">
        <f>"1552380162895633"</f>
        <v>1552380162895633</v>
      </c>
      <c r="C1166" t="s">
        <v>40</v>
      </c>
      <c r="D1166">
        <v>5.1107469999999999</v>
      </c>
      <c r="E1166">
        <v>0.500733599999999</v>
      </c>
      <c r="F1166" t="s">
        <v>41</v>
      </c>
      <c r="G1166">
        <v>-190.70490000000001</v>
      </c>
      <c r="H1166">
        <v>1.0436379999999901</v>
      </c>
      <c r="I1166">
        <v>327.25760000000002</v>
      </c>
      <c r="J1166">
        <v>-190.57310000000001</v>
      </c>
      <c r="K1166">
        <v>1.109313</v>
      </c>
      <c r="L1166">
        <v>327.95870000000002</v>
      </c>
      <c r="M1166">
        <v>-1.000887E-2</v>
      </c>
      <c r="N1166">
        <v>0</v>
      </c>
      <c r="O1166">
        <v>-0.99989360000000005</v>
      </c>
      <c r="P1166">
        <v>-0.15021039999999999</v>
      </c>
      <c r="Q1166">
        <v>0.165767</v>
      </c>
      <c r="R1166">
        <v>-0.97465800000000002</v>
      </c>
      <c r="S1166">
        <v>-0.43183899999999997</v>
      </c>
      <c r="T1166">
        <v>-0.20959159999999999</v>
      </c>
      <c r="U1166">
        <v>-3.0469970000000002</v>
      </c>
      <c r="V1166">
        <v>0.1408712</v>
      </c>
      <c r="W1166">
        <v>0.17579359999999999</v>
      </c>
      <c r="X1166">
        <v>0.97429560000000004</v>
      </c>
      <c r="Y1166">
        <v>0.1300818</v>
      </c>
      <c r="Z1166">
        <v>6.7989380000000002E-2</v>
      </c>
      <c r="AA1166">
        <v>0.98916939999999998</v>
      </c>
      <c r="AB1166">
        <v>26</v>
      </c>
      <c r="AC1166">
        <v>-0.131799999999998</v>
      </c>
      <c r="AD1166">
        <v>-6.5675000000000094E-2</v>
      </c>
      <c r="AE1166">
        <v>-0.70109999999999595</v>
      </c>
      <c r="AF1166">
        <v>0.123727153901492</v>
      </c>
      <c r="AG1166">
        <v>-6.5675000000000094E-2</v>
      </c>
      <c r="AH1166">
        <v>0.69648120684077897</v>
      </c>
      <c r="AI1166">
        <v>95.304241371558604</v>
      </c>
      <c r="AJ1166">
        <v>79.926716911756799</v>
      </c>
      <c r="AK1166">
        <v>0.71042781879649897</v>
      </c>
      <c r="AL1166">
        <v>79.875155982964401</v>
      </c>
      <c r="AM1166">
        <v>81.772748418942101</v>
      </c>
      <c r="AN1166">
        <v>1.0000000004848799</v>
      </c>
    </row>
    <row r="1167" spans="1:40" x14ac:dyDescent="0.25">
      <c r="A1167" t="str">
        <f>"20190312164242925"</f>
        <v>20190312164242925</v>
      </c>
      <c r="B1167" t="str">
        <f>"1552380162915142"</f>
        <v>1552380162915142</v>
      </c>
      <c r="C1167" t="s">
        <v>40</v>
      </c>
      <c r="D1167">
        <v>5.0580949999999998</v>
      </c>
      <c r="E1167">
        <v>0.5005423</v>
      </c>
      <c r="F1167" t="s">
        <v>41</v>
      </c>
      <c r="G1167">
        <v>-190.70609999999999</v>
      </c>
      <c r="H1167">
        <v>1.0442070000000001</v>
      </c>
      <c r="I1167">
        <v>327.02510000000001</v>
      </c>
      <c r="J1167">
        <v>-190.5772</v>
      </c>
      <c r="K1167">
        <v>1.1093120000000001</v>
      </c>
      <c r="L1167">
        <v>327.70269999999999</v>
      </c>
      <c r="M1167">
        <v>-1.136916E-2</v>
      </c>
      <c r="N1167">
        <v>0</v>
      </c>
      <c r="O1167">
        <v>-0.99987939999999997</v>
      </c>
      <c r="P1167">
        <v>-0.15254949999999901</v>
      </c>
      <c r="Q1167">
        <v>0.1658424</v>
      </c>
      <c r="R1167">
        <v>-0.97428199999999998</v>
      </c>
      <c r="S1167">
        <v>-0.4335175</v>
      </c>
      <c r="T1167">
        <v>-0.21265290000000001</v>
      </c>
      <c r="U1167">
        <v>-3.0473940000000002</v>
      </c>
      <c r="V1167">
        <v>0.14188190000000001</v>
      </c>
      <c r="W1167">
        <v>0.17581329999999901</v>
      </c>
      <c r="X1167">
        <v>0.97414540000000005</v>
      </c>
      <c r="Y1167">
        <v>0.12923959999999901</v>
      </c>
      <c r="Z1167">
        <v>6.8968520000000005E-2</v>
      </c>
      <c r="AA1167">
        <v>0.98921199999999998</v>
      </c>
      <c r="AB1167">
        <v>26</v>
      </c>
      <c r="AC1167">
        <v>-0.128899999999987</v>
      </c>
      <c r="AD1167">
        <v>-6.5105000000000093E-2</v>
      </c>
      <c r="AE1167">
        <v>-0.67759999999998399</v>
      </c>
      <c r="AF1167">
        <v>0.120117332933889</v>
      </c>
      <c r="AG1167">
        <v>-6.5105000000000093E-2</v>
      </c>
      <c r="AH1167">
        <v>0.67302558184363204</v>
      </c>
      <c r="AI1167">
        <v>95.439873671171597</v>
      </c>
      <c r="AJ1167">
        <v>79.880757545801799</v>
      </c>
      <c r="AK1167">
        <v>0.68675342628348801</v>
      </c>
      <c r="AL1167">
        <v>79.874009651009104</v>
      </c>
      <c r="AM1167">
        <v>81.713277712424997</v>
      </c>
      <c r="AN1167">
        <v>1.0000000251728201</v>
      </c>
    </row>
    <row r="1168" spans="1:40" x14ac:dyDescent="0.25">
      <c r="A1168" t="str">
        <f>"20190312164242951"</f>
        <v>20190312164242951</v>
      </c>
      <c r="B1168" t="str">
        <f>"1552380162945398"</f>
        <v>1552380162945398</v>
      </c>
      <c r="C1168" t="s">
        <v>40</v>
      </c>
      <c r="D1168">
        <v>5.1753239999999998</v>
      </c>
      <c r="E1168">
        <v>0.46665899999999999</v>
      </c>
      <c r="F1168" t="s">
        <v>41</v>
      </c>
      <c r="G1168">
        <v>-190.70849999999999</v>
      </c>
      <c r="H1168">
        <v>1.0454490000000001</v>
      </c>
      <c r="I1168">
        <v>326.79160000000002</v>
      </c>
      <c r="J1168">
        <v>-190.5823</v>
      </c>
      <c r="K1168">
        <v>1.1093150000000001</v>
      </c>
      <c r="L1168">
        <v>327.40809999999999</v>
      </c>
      <c r="M1168">
        <v>-1.290503E-2</v>
      </c>
      <c r="N1168">
        <v>0</v>
      </c>
      <c r="O1168">
        <v>-0.99986140000000001</v>
      </c>
      <c r="P1168">
        <v>-0.15432419999999999</v>
      </c>
      <c r="Q1168">
        <v>0.1651552</v>
      </c>
      <c r="R1168">
        <v>-0.97411919999999996</v>
      </c>
      <c r="S1168">
        <v>-0.43835449999999998</v>
      </c>
      <c r="T1168">
        <v>-0.2137589</v>
      </c>
      <c r="U1168">
        <v>-3.0469360000000001</v>
      </c>
      <c r="V1168">
        <v>0.14215050000000001</v>
      </c>
      <c r="W1168">
        <v>0.17507439999999999</v>
      </c>
      <c r="X1168">
        <v>0.97423930000000003</v>
      </c>
      <c r="Y1168">
        <v>0.12927259999999999</v>
      </c>
      <c r="Z1168">
        <v>6.9325960000000006E-2</v>
      </c>
      <c r="AA1168">
        <v>0.98918280000000003</v>
      </c>
      <c r="AB1168">
        <v>26</v>
      </c>
      <c r="AC1168">
        <v>-0.12619999999998299</v>
      </c>
      <c r="AD1168">
        <v>-6.3865999999999895E-2</v>
      </c>
      <c r="AE1168">
        <v>-0.61649999999997296</v>
      </c>
      <c r="AF1168">
        <v>0.11702768989438</v>
      </c>
      <c r="AG1168">
        <v>-6.3865999999999895E-2</v>
      </c>
      <c r="AH1168">
        <v>0.61177594619154496</v>
      </c>
      <c r="AI1168">
        <v>95.854378818916402</v>
      </c>
      <c r="AJ1168">
        <v>79.170616909005901</v>
      </c>
      <c r="AK1168">
        <v>0.62613429429841605</v>
      </c>
      <c r="AL1168">
        <v>79.917012365831795</v>
      </c>
      <c r="AM1168">
        <v>81.698597425304001</v>
      </c>
      <c r="AN1168">
        <v>1.0000000119250401</v>
      </c>
    </row>
    <row r="1169" spans="1:40" x14ac:dyDescent="0.25">
      <c r="A1169" t="str">
        <f>"20190312164242974"</f>
        <v>20190312164242974</v>
      </c>
      <c r="B1169" t="str">
        <f>"1552380162964919"</f>
        <v>1552380162964919</v>
      </c>
      <c r="C1169" t="s">
        <v>40</v>
      </c>
      <c r="D1169">
        <v>5.1901669999999998</v>
      </c>
      <c r="E1169">
        <v>0.46591179999999899</v>
      </c>
      <c r="F1169" t="s">
        <v>41</v>
      </c>
      <c r="G1169">
        <v>-190.63030000000001</v>
      </c>
      <c r="H1169">
        <v>1.0374030000000001</v>
      </c>
      <c r="I1169">
        <v>326.56439999999998</v>
      </c>
      <c r="J1169">
        <v>-190.5873</v>
      </c>
      <c r="K1169">
        <v>1.109335</v>
      </c>
      <c r="L1169">
        <v>327.14190000000002</v>
      </c>
      <c r="M1169">
        <v>-1.4255779999999999E-2</v>
      </c>
      <c r="N1169">
        <v>0</v>
      </c>
      <c r="O1169">
        <v>-0.9998437</v>
      </c>
      <c r="P1169">
        <v>-0.1555242</v>
      </c>
      <c r="Q1169">
        <v>0.1641155</v>
      </c>
      <c r="R1169">
        <v>-0.97410390000000002</v>
      </c>
      <c r="S1169">
        <v>-0.175293</v>
      </c>
      <c r="T1169">
        <v>-0.2641078</v>
      </c>
      <c r="U1169">
        <v>-3.0967099999999999</v>
      </c>
      <c r="V1169">
        <v>0.1420206</v>
      </c>
      <c r="W1169">
        <v>0.17399879999999901</v>
      </c>
      <c r="X1169">
        <v>0.97445090000000001</v>
      </c>
      <c r="Y1169">
        <v>4.2072350000000001E-2</v>
      </c>
      <c r="Z1169">
        <v>8.4860169999999999E-2</v>
      </c>
      <c r="AA1169">
        <v>0.99550419999999995</v>
      </c>
      <c r="AB1169">
        <v>26</v>
      </c>
      <c r="AC1169">
        <v>-4.3000000000006297E-2</v>
      </c>
      <c r="AD1169">
        <v>-7.1931999999999802E-2</v>
      </c>
      <c r="AE1169">
        <v>-0.57750000000004298</v>
      </c>
      <c r="AF1169">
        <v>3.4234264659484002E-2</v>
      </c>
      <c r="AG1169">
        <v>-7.1931999999999802E-2</v>
      </c>
      <c r="AH1169">
        <v>0.56927103010130198</v>
      </c>
      <c r="AI1169">
        <v>97.188768211194997</v>
      </c>
      <c r="AJ1169">
        <v>86.558547060925306</v>
      </c>
      <c r="AK1169">
        <v>0.57481797398252399</v>
      </c>
      <c r="AL1169">
        <v>79.979600219401107</v>
      </c>
      <c r="AM1169">
        <v>81.707853799700302</v>
      </c>
      <c r="AN1169">
        <v>0.99999999486830404</v>
      </c>
    </row>
    <row r="1170" spans="1:40" x14ac:dyDescent="0.25">
      <c r="A1170" t="str">
        <f>"20190312164242999"</f>
        <v>20190312164242999</v>
      </c>
      <c r="B1170" t="str">
        <f>"1552380162995174"</f>
        <v>1552380162995174</v>
      </c>
      <c r="C1170" t="s">
        <v>40</v>
      </c>
      <c r="D1170">
        <v>5.1102610000000004</v>
      </c>
      <c r="E1170">
        <v>0.46522930000000001</v>
      </c>
      <c r="F1170" t="s">
        <v>41</v>
      </c>
      <c r="G1170">
        <v>-190.63249999999999</v>
      </c>
      <c r="H1170">
        <v>1.0375909999999999</v>
      </c>
      <c r="I1170">
        <v>326.33100000000002</v>
      </c>
      <c r="J1170">
        <v>-190.59309999999999</v>
      </c>
      <c r="K1170">
        <v>1.1093580000000001</v>
      </c>
      <c r="L1170">
        <v>326.85039999999998</v>
      </c>
      <c r="M1170">
        <v>-1.5680429999999999E-2</v>
      </c>
      <c r="N1170">
        <v>0</v>
      </c>
      <c r="O1170">
        <v>-0.99982269999999895</v>
      </c>
      <c r="P1170">
        <v>-0.1572692</v>
      </c>
      <c r="Q1170">
        <v>0.16411999999999999</v>
      </c>
      <c r="R1170">
        <v>-0.97382290000000005</v>
      </c>
      <c r="S1170">
        <v>-0.17230219999999999</v>
      </c>
      <c r="T1170">
        <v>-0.27433039999999997</v>
      </c>
      <c r="U1170">
        <v>-3.0984500000000001</v>
      </c>
      <c r="V1170">
        <v>0.14236509999999999</v>
      </c>
      <c r="W1170">
        <v>0.1739687</v>
      </c>
      <c r="X1170">
        <v>0.97440599999999999</v>
      </c>
      <c r="Y1170">
        <v>3.9643699999999997E-2</v>
      </c>
      <c r="Z1170">
        <v>8.8074609999999998E-2</v>
      </c>
      <c r="AA1170">
        <v>0.99532469999999995</v>
      </c>
      <c r="AB1170">
        <v>26</v>
      </c>
      <c r="AC1170">
        <v>-3.9400000000000497E-2</v>
      </c>
      <c r="AD1170">
        <v>-7.1767000000000095E-2</v>
      </c>
      <c r="AE1170">
        <v>-0.51940000000001796</v>
      </c>
      <c r="AF1170">
        <v>3.0668138926755399E-2</v>
      </c>
      <c r="AG1170">
        <v>-7.1767000000000095E-2</v>
      </c>
      <c r="AH1170">
        <v>0.51026780984231102</v>
      </c>
      <c r="AI1170">
        <v>97.991660675849204</v>
      </c>
      <c r="AJ1170">
        <v>86.560543891640407</v>
      </c>
      <c r="AK1170">
        <v>0.51620177721071403</v>
      </c>
      <c r="AL1170">
        <v>79.981351498965196</v>
      </c>
      <c r="AM1170">
        <v>81.687642539990904</v>
      </c>
      <c r="AN1170">
        <v>0.99999999155685004</v>
      </c>
    </row>
    <row r="1171" spans="1:40" x14ac:dyDescent="0.25">
      <c r="A1171" t="str">
        <f>"20190312164243019"</f>
        <v>20190312164243019</v>
      </c>
      <c r="B1171" t="str">
        <f>"1552380163006183"</f>
        <v>1552380163006183</v>
      </c>
      <c r="C1171" t="s">
        <v>40</v>
      </c>
      <c r="D1171">
        <v>5.0732010000000001</v>
      </c>
      <c r="E1171">
        <v>0.46503830000000002</v>
      </c>
      <c r="F1171" t="s">
        <v>41</v>
      </c>
      <c r="G1171">
        <v>-190.63509999999999</v>
      </c>
      <c r="H1171">
        <v>1.043434</v>
      </c>
      <c r="I1171">
        <v>326.09370000000001</v>
      </c>
      <c r="J1171">
        <v>-190.59809999999999</v>
      </c>
      <c r="K1171">
        <v>1.1093820000000001</v>
      </c>
      <c r="L1171">
        <v>326.6112</v>
      </c>
      <c r="M1171">
        <v>-1.679143E-2</v>
      </c>
      <c r="N1171">
        <v>0</v>
      </c>
      <c r="O1171">
        <v>-0.99980519999999995</v>
      </c>
      <c r="P1171">
        <v>-0.15851670000000001</v>
      </c>
      <c r="Q1171">
        <v>0.16360559999999999</v>
      </c>
      <c r="R1171">
        <v>-0.97370749999999995</v>
      </c>
      <c r="S1171">
        <v>-0.171402</v>
      </c>
      <c r="T1171">
        <v>-0.27012720000000001</v>
      </c>
      <c r="U1171">
        <v>-3.0984799999999999</v>
      </c>
      <c r="V1171">
        <v>0.14251329999999901</v>
      </c>
      <c r="W1171">
        <v>0.17343520000000001</v>
      </c>
      <c r="X1171">
        <v>0.9744794</v>
      </c>
      <c r="Y1171">
        <v>3.8250989999999999E-2</v>
      </c>
      <c r="Z1171">
        <v>8.6735259999999995E-2</v>
      </c>
      <c r="AA1171">
        <v>0.99549679999999996</v>
      </c>
      <c r="AB1171">
        <v>26</v>
      </c>
      <c r="AC1171">
        <v>-3.7000000000006097E-2</v>
      </c>
      <c r="AD1171">
        <v>-6.5947999999999896E-2</v>
      </c>
      <c r="AE1171">
        <v>-0.51749999999998397</v>
      </c>
      <c r="AF1171">
        <v>2.7854694377764801E-2</v>
      </c>
      <c r="AG1171">
        <v>-6.5947999999999896E-2</v>
      </c>
      <c r="AH1171">
        <v>0.50981118834983097</v>
      </c>
      <c r="AI1171">
        <v>97.359862738068898</v>
      </c>
      <c r="AJ1171">
        <v>86.872624213901403</v>
      </c>
      <c r="AK1171">
        <v>0.514813044191331</v>
      </c>
      <c r="AL1171">
        <v>80.012390279410496</v>
      </c>
      <c r="AM1171">
        <v>81.679728563556793</v>
      </c>
      <c r="AN1171">
        <v>0.99999995515014395</v>
      </c>
    </row>
    <row r="1172" spans="1:40" x14ac:dyDescent="0.25">
      <c r="A1172" t="str">
        <f>"20190312164243038"</f>
        <v>20190312164243038</v>
      </c>
      <c r="B1172" t="str">
        <f>"1552380163035464"</f>
        <v>1552380163035464</v>
      </c>
      <c r="C1172" t="s">
        <v>40</v>
      </c>
      <c r="D1172">
        <v>4.9722749999999998</v>
      </c>
      <c r="E1172">
        <v>0.4646478</v>
      </c>
      <c r="F1172" t="s">
        <v>41</v>
      </c>
      <c r="G1172">
        <v>-190.64009999999999</v>
      </c>
      <c r="H1172">
        <v>1.043506</v>
      </c>
      <c r="I1172">
        <v>325.85980000000001</v>
      </c>
      <c r="J1172">
        <v>-190.6028</v>
      </c>
      <c r="K1172">
        <v>1.1094139999999999</v>
      </c>
      <c r="L1172">
        <v>326.3929</v>
      </c>
      <c r="M1172">
        <v>-1.7749299999999999E-2</v>
      </c>
      <c r="N1172">
        <v>0</v>
      </c>
      <c r="O1172">
        <v>-0.99978880000000003</v>
      </c>
      <c r="P1172">
        <v>-0.1593251</v>
      </c>
      <c r="Q1172">
        <v>0.16280790000000001</v>
      </c>
      <c r="R1172">
        <v>-0.97370909999999999</v>
      </c>
      <c r="S1172">
        <v>-0.17294309999999999</v>
      </c>
      <c r="T1172">
        <v>-0.27178930000000001</v>
      </c>
      <c r="U1172">
        <v>-3.0984500000000001</v>
      </c>
      <c r="V1172">
        <v>0.142367299999999</v>
      </c>
      <c r="W1172">
        <v>0.1726279</v>
      </c>
      <c r="X1172">
        <v>0.97464410000000001</v>
      </c>
      <c r="Y1172">
        <v>3.7785220000000001E-2</v>
      </c>
      <c r="Z1172">
        <v>8.7263170000000001E-2</v>
      </c>
      <c r="AA1172">
        <v>0.99546840000000003</v>
      </c>
      <c r="AB1172">
        <v>26</v>
      </c>
      <c r="AC1172">
        <v>-3.72999999999876E-2</v>
      </c>
      <c r="AD1172">
        <v>-6.59079999999998E-2</v>
      </c>
      <c r="AE1172">
        <v>-0.53309999999999003</v>
      </c>
      <c r="AF1172">
        <v>2.7414481176255501E-2</v>
      </c>
      <c r="AG1172">
        <v>-6.59079999999998E-2</v>
      </c>
      <c r="AH1172">
        <v>0.52568230616837897</v>
      </c>
      <c r="AI1172">
        <v>97.136635271598095</v>
      </c>
      <c r="AJ1172">
        <v>87.014713222092794</v>
      </c>
      <c r="AK1172">
        <v>0.53050664959137706</v>
      </c>
      <c r="AL1172">
        <v>80.059353804166093</v>
      </c>
      <c r="AM1172">
        <v>81.689518209541802</v>
      </c>
      <c r="AN1172">
        <v>0.99999998081625396</v>
      </c>
    </row>
    <row r="1173" spans="1:40" x14ac:dyDescent="0.25">
      <c r="A1173" t="str">
        <f>"20190312164243061"</f>
        <v>20190312164243061</v>
      </c>
      <c r="B1173" t="str">
        <f>"1552380163054983"</f>
        <v>1552380163054983</v>
      </c>
      <c r="C1173" t="s">
        <v>40</v>
      </c>
      <c r="D1173">
        <v>5.03592</v>
      </c>
      <c r="E1173">
        <v>0.46460479999999998</v>
      </c>
      <c r="F1173" t="s">
        <v>41</v>
      </c>
      <c r="G1173">
        <v>-190.6456</v>
      </c>
      <c r="H1173">
        <v>1.0415129999999999</v>
      </c>
      <c r="I1173">
        <v>325.62759999999997</v>
      </c>
      <c r="J1173">
        <v>-190.60890000000001</v>
      </c>
      <c r="K1173">
        <v>1.109467</v>
      </c>
      <c r="L1173">
        <v>326.12299999999999</v>
      </c>
      <c r="M1173">
        <v>-1.8860399999999999E-2</v>
      </c>
      <c r="N1173">
        <v>0</v>
      </c>
      <c r="O1173">
        <v>-0.99976889999999996</v>
      </c>
      <c r="P1173">
        <v>-0.1609604</v>
      </c>
      <c r="Q1173">
        <v>0.162195799999999</v>
      </c>
      <c r="R1173">
        <v>-0.97354249999999998</v>
      </c>
      <c r="S1173">
        <v>-0.1726837</v>
      </c>
      <c r="T1173">
        <v>-0.27503139999999998</v>
      </c>
      <c r="U1173">
        <v>-3.0987849999999999</v>
      </c>
      <c r="V1173">
        <v>0.14289460000000001</v>
      </c>
      <c r="W1173">
        <v>0.17200650000000001</v>
      </c>
      <c r="X1173">
        <v>0.97467680000000001</v>
      </c>
      <c r="Y1173">
        <v>3.658057E-2</v>
      </c>
      <c r="Z1173">
        <v>8.8286069999999994E-2</v>
      </c>
      <c r="AA1173">
        <v>0.99542330000000001</v>
      </c>
      <c r="AB1173">
        <v>26</v>
      </c>
      <c r="AC1173">
        <v>-3.6699999999996097E-2</v>
      </c>
      <c r="AD1173">
        <v>-6.7954000000000001E-2</v>
      </c>
      <c r="AE1173">
        <v>-0.49540000000001699</v>
      </c>
      <c r="AF1173">
        <v>2.68471439896301E-2</v>
      </c>
      <c r="AG1173">
        <v>-6.7954000000000001E-2</v>
      </c>
      <c r="AH1173">
        <v>0.48689290695464998</v>
      </c>
      <c r="AI1173">
        <v>97.933358425165906</v>
      </c>
      <c r="AJ1173">
        <v>86.843922101457196</v>
      </c>
      <c r="AK1173">
        <v>0.49234461315134698</v>
      </c>
      <c r="AL1173">
        <v>80.095498094273594</v>
      </c>
      <c r="AM1173">
        <v>81.659445987973797</v>
      </c>
      <c r="AN1173">
        <v>0.99999998360482401</v>
      </c>
    </row>
    <row r="1174" spans="1:40" x14ac:dyDescent="0.25">
      <c r="A1174" t="str">
        <f>"20190312164243085"</f>
        <v>20190312164243085</v>
      </c>
      <c r="B1174" t="str">
        <f>"1552380163075479"</f>
        <v>1552380163075479</v>
      </c>
      <c r="C1174" t="s">
        <v>40</v>
      </c>
      <c r="D1174">
        <v>5.0457219999999996</v>
      </c>
      <c r="E1174">
        <v>0.46431070000000002</v>
      </c>
      <c r="F1174" t="s">
        <v>41</v>
      </c>
      <c r="G1174">
        <v>-190.6507</v>
      </c>
      <c r="H1174">
        <v>1.044478</v>
      </c>
      <c r="I1174">
        <v>325.39049999999997</v>
      </c>
      <c r="J1174">
        <v>-190.61519999999999</v>
      </c>
      <c r="K1174">
        <v>1.1095219999999999</v>
      </c>
      <c r="L1174">
        <v>325.85239999999999</v>
      </c>
      <c r="M1174">
        <v>-1.9872290000000001E-2</v>
      </c>
      <c r="N1174">
        <v>0</v>
      </c>
      <c r="O1174">
        <v>-0.99974949999999996</v>
      </c>
      <c r="P1174">
        <v>-0.16228429999999999</v>
      </c>
      <c r="Q1174">
        <v>0.16187969999999999</v>
      </c>
      <c r="R1174">
        <v>-0.9733754</v>
      </c>
      <c r="S1174">
        <v>-0.176666299999999</v>
      </c>
      <c r="T1174">
        <v>-0.27485680000000001</v>
      </c>
      <c r="U1174">
        <v>-3.0981450000000001</v>
      </c>
      <c r="V1174">
        <v>0.14320629999999901</v>
      </c>
      <c r="W1174">
        <v>0.17168800000000001</v>
      </c>
      <c r="X1174">
        <v>0.97468719999999998</v>
      </c>
      <c r="Y1174">
        <v>3.6856310000000003E-2</v>
      </c>
      <c r="Z1174">
        <v>8.8242340000000002E-2</v>
      </c>
      <c r="AA1174">
        <v>0.99541690000000005</v>
      </c>
      <c r="AB1174">
        <v>26</v>
      </c>
      <c r="AC1174">
        <v>-3.5500000000013097E-2</v>
      </c>
      <c r="AD1174">
        <v>-6.5043999999999796E-2</v>
      </c>
      <c r="AE1174">
        <v>-0.46190000000001402</v>
      </c>
      <c r="AF1174">
        <v>2.5804792247948301E-2</v>
      </c>
      <c r="AG1174">
        <v>-6.5043999999999796E-2</v>
      </c>
      <c r="AH1174">
        <v>0.45357283418880101</v>
      </c>
      <c r="AI1174">
        <v>98.147788193638306</v>
      </c>
      <c r="AJ1174">
        <v>86.743822620812296</v>
      </c>
      <c r="AK1174">
        <v>0.45893891222364303</v>
      </c>
      <c r="AL1174">
        <v>80.114022296712093</v>
      </c>
      <c r="AM1174">
        <v>81.641597187465607</v>
      </c>
      <c r="AN1174">
        <v>0.99999997577376398</v>
      </c>
    </row>
    <row r="1175" spans="1:40" x14ac:dyDescent="0.25">
      <c r="A1175" t="str">
        <f>"20190312164243105"</f>
        <v>20190312164243105</v>
      </c>
      <c r="B1175" t="str">
        <f>"1552380163095000"</f>
        <v>1552380163095000</v>
      </c>
      <c r="C1175" t="s">
        <v>40</v>
      </c>
      <c r="D1175">
        <v>5.0482230000000001</v>
      </c>
      <c r="E1175">
        <v>0.46405049999999998</v>
      </c>
      <c r="F1175" t="s">
        <v>41</v>
      </c>
      <c r="G1175">
        <v>-190.66820000000001</v>
      </c>
      <c r="H1175">
        <v>1.029123</v>
      </c>
      <c r="I1175">
        <v>324.93029999999999</v>
      </c>
      <c r="J1175">
        <v>-190.62100000000001</v>
      </c>
      <c r="K1175">
        <v>1.1095790000000001</v>
      </c>
      <c r="L1175">
        <v>325.60610000000003</v>
      </c>
      <c r="M1175">
        <v>-2.0712729999999999E-2</v>
      </c>
      <c r="N1175">
        <v>0</v>
      </c>
      <c r="O1175">
        <v>-0.99973290000000004</v>
      </c>
      <c r="P1175">
        <v>-0.1632506</v>
      </c>
      <c r="Q1175">
        <v>0.1617364</v>
      </c>
      <c r="R1175">
        <v>-0.97323789999999999</v>
      </c>
      <c r="S1175">
        <v>-0.17779539999999999</v>
      </c>
      <c r="T1175">
        <v>-0.2701885</v>
      </c>
      <c r="U1175">
        <v>-3.0973820000000001</v>
      </c>
      <c r="V1175">
        <v>0.14332990000000001</v>
      </c>
      <c r="W1175">
        <v>0.17154620000000001</v>
      </c>
      <c r="X1175">
        <v>0.97469399999999995</v>
      </c>
      <c r="Y1175">
        <v>3.6399250000000001E-2</v>
      </c>
      <c r="Z1175">
        <v>8.6773729999999993E-2</v>
      </c>
      <c r="AA1175">
        <v>0.99556290000000003</v>
      </c>
      <c r="AB1175">
        <v>26</v>
      </c>
      <c r="AC1175">
        <v>-4.7200000000032098E-2</v>
      </c>
      <c r="AD1175">
        <v>-8.0456E-2</v>
      </c>
      <c r="AE1175">
        <v>-0.67580000000003704</v>
      </c>
      <c r="AF1175">
        <v>3.2729826524062103E-2</v>
      </c>
      <c r="AG1175">
        <v>-8.0456E-2</v>
      </c>
      <c r="AH1175">
        <v>0.66722166406997996</v>
      </c>
      <c r="AI1175">
        <v>96.8675564251064</v>
      </c>
      <c r="AJ1175">
        <v>87.191669516777594</v>
      </c>
      <c r="AK1175">
        <v>0.67285151295408996</v>
      </c>
      <c r="AL1175">
        <v>80.122269196905904</v>
      </c>
      <c r="AM1175">
        <v>81.634542711188601</v>
      </c>
      <c r="AN1175">
        <v>0.99999997630222404</v>
      </c>
    </row>
    <row r="1176" spans="1:40" x14ac:dyDescent="0.25">
      <c r="A1176" t="str">
        <f>"20190312164243126"</f>
        <v>20190312164243126</v>
      </c>
      <c r="B1176" t="str">
        <f>"1552380163116002"</f>
        <v>1552380163116002</v>
      </c>
      <c r="C1176" t="s">
        <v>40</v>
      </c>
      <c r="D1176">
        <v>4.8478180000000002</v>
      </c>
      <c r="E1176">
        <v>0.46378320000000001</v>
      </c>
      <c r="F1176" t="s">
        <v>41</v>
      </c>
      <c r="G1176">
        <v>-190.6738</v>
      </c>
      <c r="H1176">
        <v>1.031202</v>
      </c>
      <c r="I1176">
        <v>324.6943</v>
      </c>
      <c r="J1176">
        <v>-190.62719999999999</v>
      </c>
      <c r="K1176">
        <v>1.109631</v>
      </c>
      <c r="L1176">
        <v>325.35419999999999</v>
      </c>
      <c r="M1176">
        <v>-2.150343E-2</v>
      </c>
      <c r="N1176">
        <v>0</v>
      </c>
      <c r="O1176">
        <v>-0.99971620000000005</v>
      </c>
      <c r="P1176">
        <v>-0.16471640000000001</v>
      </c>
      <c r="Q1176">
        <v>0.1615007</v>
      </c>
      <c r="R1176">
        <v>-0.97302960000000005</v>
      </c>
      <c r="S1176">
        <v>-0.1787262</v>
      </c>
      <c r="T1176">
        <v>-0.26635809999999999</v>
      </c>
      <c r="U1176">
        <v>-3.096832</v>
      </c>
      <c r="V1176">
        <v>0.14400539999999901</v>
      </c>
      <c r="W1176">
        <v>0.17130989999999999</v>
      </c>
      <c r="X1176">
        <v>0.97463599999999995</v>
      </c>
      <c r="Y1176">
        <v>3.5923219999999999E-2</v>
      </c>
      <c r="Z1176">
        <v>8.5565600000000006E-2</v>
      </c>
      <c r="AA1176">
        <v>0.99568469999999998</v>
      </c>
      <c r="AB1176">
        <v>26</v>
      </c>
      <c r="AC1176">
        <v>-4.6600000000012097E-2</v>
      </c>
      <c r="AD1176">
        <v>-7.8428999999999999E-2</v>
      </c>
      <c r="AE1176">
        <v>-0.65989999999999305</v>
      </c>
      <c r="AF1176">
        <v>3.19493107115413E-2</v>
      </c>
      <c r="AG1176">
        <v>-7.8428999999999999E-2</v>
      </c>
      <c r="AH1176">
        <v>0.65159127056944699</v>
      </c>
      <c r="AI1176">
        <v>96.855250122738298</v>
      </c>
      <c r="AJ1176">
        <v>87.192878665409793</v>
      </c>
      <c r="AK1176">
        <v>0.65707157173191399</v>
      </c>
      <c r="AL1176">
        <v>80.136011708514104</v>
      </c>
      <c r="AM1176">
        <v>81.595185924621802</v>
      </c>
      <c r="AN1176">
        <v>0.99999998478158403</v>
      </c>
    </row>
    <row r="1177" spans="1:40" x14ac:dyDescent="0.25">
      <c r="A1177" t="str">
        <f>"20190312164243150"</f>
        <v>20190312164243150</v>
      </c>
      <c r="B1177" t="str">
        <f>"1552380163145282"</f>
        <v>1552380163145282</v>
      </c>
      <c r="C1177" t="s">
        <v>40</v>
      </c>
      <c r="D1177">
        <v>4.9415100000000001</v>
      </c>
      <c r="E1177">
        <v>0.4634317</v>
      </c>
      <c r="F1177" t="s">
        <v>41</v>
      </c>
      <c r="G1177">
        <v>-190.6797</v>
      </c>
      <c r="H1177">
        <v>1.0328870000000001</v>
      </c>
      <c r="I1177">
        <v>324.45819999999998</v>
      </c>
      <c r="J1177">
        <v>-190.63409999999999</v>
      </c>
      <c r="K1177">
        <v>1.109674</v>
      </c>
      <c r="L1177">
        <v>325.0763</v>
      </c>
      <c r="M1177">
        <v>-2.229714E-2</v>
      </c>
      <c r="N1177">
        <v>0</v>
      </c>
      <c r="O1177">
        <v>-0.99969889999999995</v>
      </c>
      <c r="P1177">
        <v>-0.16554779999999999</v>
      </c>
      <c r="Q1177">
        <v>0.16122590000000001</v>
      </c>
      <c r="R1177">
        <v>-0.97293379999999996</v>
      </c>
      <c r="S1177">
        <v>-0.181366</v>
      </c>
      <c r="T1177">
        <v>-0.26530690000000001</v>
      </c>
      <c r="U1177">
        <v>-3.0964969999999998</v>
      </c>
      <c r="V1177">
        <v>0.14404229999999901</v>
      </c>
      <c r="W1177">
        <v>0.17103740000000001</v>
      </c>
      <c r="X1177">
        <v>0.9746785</v>
      </c>
      <c r="Y1177">
        <v>3.5983630000000003E-2</v>
      </c>
      <c r="Z1177">
        <v>8.5235110000000003E-2</v>
      </c>
      <c r="AA1177">
        <v>0.99571080000000001</v>
      </c>
      <c r="AB1177">
        <v>26</v>
      </c>
      <c r="AC1177">
        <v>-4.5600000000007399E-2</v>
      </c>
      <c r="AD1177">
        <v>-7.6786999999999897E-2</v>
      </c>
      <c r="AE1177">
        <v>-0.61810000000002596</v>
      </c>
      <c r="AF1177">
        <v>3.1325242761040199E-2</v>
      </c>
      <c r="AG1177">
        <v>-7.6786999999999897E-2</v>
      </c>
      <c r="AH1177">
        <v>0.60960583766298404</v>
      </c>
      <c r="AI1177">
        <v>97.169903414073303</v>
      </c>
      <c r="AJ1177">
        <v>87.058382898262707</v>
      </c>
      <c r="AK1177">
        <v>0.61522092902942305</v>
      </c>
      <c r="AL1177">
        <v>80.151859617369297</v>
      </c>
      <c r="AM1177">
        <v>81.593424384829902</v>
      </c>
      <c r="AN1177">
        <v>1.0000000773751401</v>
      </c>
    </row>
    <row r="1178" spans="1:40" x14ac:dyDescent="0.25">
      <c r="A1178" t="str">
        <f>"20190312164243194"</f>
        <v>20190312164243194</v>
      </c>
      <c r="B1178" t="str">
        <f>"1552380163185298"</f>
        <v>1552380163185298</v>
      </c>
      <c r="C1178" t="s">
        <v>40</v>
      </c>
      <c r="D1178">
        <v>4.9093210000000003</v>
      </c>
      <c r="E1178">
        <v>0.46243970000000001</v>
      </c>
      <c r="F1178" t="s">
        <v>41</v>
      </c>
      <c r="G1178">
        <v>-190.68440000000001</v>
      </c>
      <c r="H1178">
        <v>1.0364819999999999</v>
      </c>
      <c r="I1178">
        <v>324.22089999999997</v>
      </c>
      <c r="J1178">
        <v>-190.6472</v>
      </c>
      <c r="K1178">
        <v>1.10975</v>
      </c>
      <c r="L1178">
        <v>324.56099999999998</v>
      </c>
      <c r="M1178">
        <v>-2.358727E-2</v>
      </c>
      <c r="N1178">
        <v>0</v>
      </c>
      <c r="O1178">
        <v>-0.99966960000000005</v>
      </c>
      <c r="P1178">
        <v>-0.16639909999999999</v>
      </c>
      <c r="Q1178">
        <v>0.16047549999999999</v>
      </c>
      <c r="R1178">
        <v>-0.97291280000000002</v>
      </c>
      <c r="S1178">
        <v>-0.18196109999999999</v>
      </c>
      <c r="T1178">
        <v>-0.2650594</v>
      </c>
      <c r="U1178">
        <v>-3.0963440000000002</v>
      </c>
      <c r="V1178">
        <v>0.14360020000000001</v>
      </c>
      <c r="W1178">
        <v>0.17029459999999999</v>
      </c>
      <c r="X1178">
        <v>0.97487369999999995</v>
      </c>
      <c r="Y1178">
        <v>3.4887870000000001E-2</v>
      </c>
      <c r="Z1178">
        <v>8.5157709999999998E-2</v>
      </c>
      <c r="AA1178">
        <v>0.99575650000000004</v>
      </c>
      <c r="AB1178">
        <v>26</v>
      </c>
      <c r="AC1178">
        <v>-3.7200000000012702E-2</v>
      </c>
      <c r="AD1178">
        <v>-7.3268000000000097E-2</v>
      </c>
      <c r="AE1178">
        <v>-0.34010000000000601</v>
      </c>
      <c r="AF1178">
        <v>2.7888199222198599E-2</v>
      </c>
      <c r="AG1178">
        <v>-7.3268000000000097E-2</v>
      </c>
      <c r="AH1178">
        <v>0.32593492231689603</v>
      </c>
      <c r="AI1178">
        <v>102.624470671295</v>
      </c>
      <c r="AJ1178">
        <v>85.109472426720799</v>
      </c>
      <c r="AK1178">
        <v>0.33523055508944499</v>
      </c>
      <c r="AL1178">
        <v>80.195051836912299</v>
      </c>
      <c r="AM1178">
        <v>81.620513455359799</v>
      </c>
      <c r="AN1178">
        <v>0.99999999959044406</v>
      </c>
    </row>
    <row r="1179" spans="1:40" x14ac:dyDescent="0.25">
      <c r="A1179" t="str">
        <f>"20190312164243216"</f>
        <v>20190312164243216</v>
      </c>
      <c r="B1179" t="str">
        <f>"1552380163205327"</f>
        <v>1552380163205327</v>
      </c>
      <c r="C1179" t="s">
        <v>40</v>
      </c>
      <c r="D1179">
        <v>4.8697530000000002</v>
      </c>
      <c r="E1179">
        <v>0.46213650000000001</v>
      </c>
      <c r="F1179" t="s">
        <v>41</v>
      </c>
      <c r="G1179">
        <v>-190.69380000000001</v>
      </c>
      <c r="H1179">
        <v>1.037509</v>
      </c>
      <c r="I1179">
        <v>323.74849999999998</v>
      </c>
      <c r="J1179">
        <v>-190.6542</v>
      </c>
      <c r="K1179">
        <v>1.109775</v>
      </c>
      <c r="L1179">
        <v>324.29649999999998</v>
      </c>
      <c r="M1179">
        <v>-2.4184839999999999E-2</v>
      </c>
      <c r="N1179">
        <v>0</v>
      </c>
      <c r="O1179">
        <v>-0.99965550000000003</v>
      </c>
      <c r="P1179">
        <v>-0.16660620000000001</v>
      </c>
      <c r="Q1179">
        <v>0.1604817</v>
      </c>
      <c r="R1179">
        <v>-0.97287639999999997</v>
      </c>
      <c r="S1179">
        <v>-0.17718510000000001</v>
      </c>
      <c r="T1179">
        <v>-0.27566659999999998</v>
      </c>
      <c r="U1179">
        <v>-3.0986630000000002</v>
      </c>
      <c r="V1179">
        <v>0.14321139999999999</v>
      </c>
      <c r="W1179">
        <v>0.1703035</v>
      </c>
      <c r="X1179">
        <v>0.9749293</v>
      </c>
      <c r="Y1179">
        <v>3.270058E-2</v>
      </c>
      <c r="Z1179">
        <v>8.8479000000000002E-2</v>
      </c>
      <c r="AA1179">
        <v>0.99554120000000002</v>
      </c>
      <c r="AB1179">
        <v>26</v>
      </c>
      <c r="AC1179">
        <v>-3.9600000000007102E-2</v>
      </c>
      <c r="AD1179">
        <v>-7.22659999999999E-2</v>
      </c>
      <c r="AE1179">
        <v>-0.54800000000000104</v>
      </c>
      <c r="AF1179">
        <v>2.5886597603561799E-2</v>
      </c>
      <c r="AG1179">
        <v>-7.22659999999999E-2</v>
      </c>
      <c r="AH1179">
        <v>0.53946474913378994</v>
      </c>
      <c r="AI1179">
        <v>97.621179770797696</v>
      </c>
      <c r="AJ1179">
        <v>87.252728843846697</v>
      </c>
      <c r="AK1179">
        <v>0.54489880367777599</v>
      </c>
      <c r="AL1179">
        <v>80.194533988789999</v>
      </c>
      <c r="AM1179">
        <v>81.643350089385606</v>
      </c>
      <c r="AN1179">
        <v>0.99999996360034904</v>
      </c>
    </row>
    <row r="1180" spans="1:40" x14ac:dyDescent="0.25">
      <c r="A1180" t="str">
        <f>"20190312164243241"</f>
        <v>20190312164243241</v>
      </c>
      <c r="B1180" t="str">
        <f>"1552380163235583"</f>
        <v>1552380163235583</v>
      </c>
      <c r="C1180" t="s">
        <v>40</v>
      </c>
      <c r="D1180">
        <v>4.7684499999999996</v>
      </c>
      <c r="E1180">
        <v>0.4617077</v>
      </c>
      <c r="F1180" t="s">
        <v>41</v>
      </c>
      <c r="G1180">
        <v>-190.69890000000001</v>
      </c>
      <c r="H1180">
        <v>1.0389999999999999</v>
      </c>
      <c r="I1180">
        <v>323.51150000000001</v>
      </c>
      <c r="J1180">
        <v>-190.66220000000001</v>
      </c>
      <c r="K1180">
        <v>1.1097939999999999</v>
      </c>
      <c r="L1180">
        <v>323.9982</v>
      </c>
      <c r="M1180">
        <v>-2.4829779999999999E-2</v>
      </c>
      <c r="N1180">
        <v>0</v>
      </c>
      <c r="O1180">
        <v>-0.99963970000000002</v>
      </c>
      <c r="P1180">
        <v>-0.16697500000000001</v>
      </c>
      <c r="Q1180">
        <v>0.16018450000000001</v>
      </c>
      <c r="R1180">
        <v>-0.97286220000000001</v>
      </c>
      <c r="S1180">
        <v>-0.1762543</v>
      </c>
      <c r="T1180">
        <v>-0.27955459999999999</v>
      </c>
      <c r="U1180">
        <v>-3.0995789999999999</v>
      </c>
      <c r="V1180">
        <v>0.1429397</v>
      </c>
      <c r="W1180">
        <v>0.17000750000000001</v>
      </c>
      <c r="X1180">
        <v>0.97502089999999997</v>
      </c>
      <c r="Y1180">
        <v>3.173484E-2</v>
      </c>
      <c r="Z1180">
        <v>8.9690710000000007E-2</v>
      </c>
      <c r="AA1180">
        <v>0.99546400000000002</v>
      </c>
      <c r="AB1180">
        <v>26</v>
      </c>
      <c r="AC1180">
        <v>-3.6699999999996097E-2</v>
      </c>
      <c r="AD1180">
        <v>-7.0793999999999802E-2</v>
      </c>
      <c r="AE1180">
        <v>-0.48669999999998398</v>
      </c>
      <c r="AF1180">
        <v>2.4096456729944302E-2</v>
      </c>
      <c r="AG1180">
        <v>-7.0793999999999802E-2</v>
      </c>
      <c r="AH1180">
        <v>0.47741725053206302</v>
      </c>
      <c r="AI1180">
        <v>98.424093890685498</v>
      </c>
      <c r="AJ1180">
        <v>87.110588926276805</v>
      </c>
      <c r="AK1180">
        <v>0.48323872027035802</v>
      </c>
      <c r="AL1180">
        <v>80.211745190300107</v>
      </c>
      <c r="AM1180">
        <v>81.659753616189107</v>
      </c>
      <c r="AN1180">
        <v>1.0000000316645701</v>
      </c>
    </row>
    <row r="1181" spans="1:40" x14ac:dyDescent="0.25">
      <c r="A1181" t="str">
        <f>"20190312164243260"</f>
        <v>20190312164243260</v>
      </c>
      <c r="B1181" t="str">
        <f>"1552380163255104"</f>
        <v>1552380163255104</v>
      </c>
      <c r="C1181" t="s">
        <v>40</v>
      </c>
      <c r="D1181">
        <v>4.7296670000000001</v>
      </c>
      <c r="E1181">
        <v>0.4614026</v>
      </c>
      <c r="F1181" t="s">
        <v>41</v>
      </c>
      <c r="G1181">
        <v>-190.71600000000001</v>
      </c>
      <c r="H1181">
        <v>1.0233680000000001</v>
      </c>
      <c r="I1181">
        <v>323.04590000000002</v>
      </c>
      <c r="J1181">
        <v>-190.66849999999999</v>
      </c>
      <c r="K1181">
        <v>1.1097999999999999</v>
      </c>
      <c r="L1181">
        <v>323.7663</v>
      </c>
      <c r="M1181">
        <v>-2.5317099999999999E-2</v>
      </c>
      <c r="N1181">
        <v>0</v>
      </c>
      <c r="O1181">
        <v>-0.9996275</v>
      </c>
      <c r="P1181">
        <v>-0.1663201</v>
      </c>
      <c r="Q1181">
        <v>0.15983929999999999</v>
      </c>
      <c r="R1181">
        <v>-0.97303090000000003</v>
      </c>
      <c r="S1181">
        <v>-0.17504879999999901</v>
      </c>
      <c r="T1181">
        <v>-0.28147450000000002</v>
      </c>
      <c r="U1181">
        <v>-3.0999759999999998</v>
      </c>
      <c r="V1181">
        <v>0.14179990000000001</v>
      </c>
      <c r="W1181">
        <v>0.16966439999999999</v>
      </c>
      <c r="X1181">
        <v>0.97524699999999998</v>
      </c>
      <c r="Y1181">
        <v>3.0851440000000001E-2</v>
      </c>
      <c r="Z1181">
        <v>9.0290809999999999E-2</v>
      </c>
      <c r="AA1181">
        <v>0.99543740000000003</v>
      </c>
      <c r="AB1181">
        <v>26</v>
      </c>
      <c r="AC1181">
        <v>-4.74999999999852E-2</v>
      </c>
      <c r="AD1181">
        <v>-8.6431999999999801E-2</v>
      </c>
      <c r="AE1181">
        <v>-0.72039999999998305</v>
      </c>
      <c r="AF1181">
        <v>2.8832154015166499E-2</v>
      </c>
      <c r="AG1181">
        <v>-8.6431999999999801E-2</v>
      </c>
      <c r="AH1181">
        <v>0.71117882054583903</v>
      </c>
      <c r="AI1181">
        <v>96.923737062277496</v>
      </c>
      <c r="AJ1181">
        <v>87.678422742589206</v>
      </c>
      <c r="AK1181">
        <v>0.71699170045553895</v>
      </c>
      <c r="AL1181">
        <v>80.231692517707998</v>
      </c>
      <c r="AM1181">
        <v>81.727225998180401</v>
      </c>
      <c r="AN1181">
        <v>0.99999996563818405</v>
      </c>
    </row>
    <row r="1182" spans="1:40" x14ac:dyDescent="0.25">
      <c r="A1182" t="str">
        <f>"20190312164243284"</f>
        <v>20190312164243284</v>
      </c>
      <c r="B1182" t="str">
        <f>"1552380163275598"</f>
        <v>1552380163275598</v>
      </c>
      <c r="C1182" t="s">
        <v>40</v>
      </c>
      <c r="D1182">
        <v>4.742896</v>
      </c>
      <c r="E1182">
        <v>0.46114460000000002</v>
      </c>
      <c r="F1182" t="s">
        <v>41</v>
      </c>
      <c r="G1182">
        <v>-190.70859999999999</v>
      </c>
      <c r="H1182">
        <v>1.0436379999999901</v>
      </c>
      <c r="I1182">
        <v>323.0342</v>
      </c>
      <c r="J1182">
        <v>-190.67599999999999</v>
      </c>
      <c r="K1182">
        <v>1.109802</v>
      </c>
      <c r="L1182">
        <v>323.49270000000001</v>
      </c>
      <c r="M1182">
        <v>-2.588561E-2</v>
      </c>
      <c r="N1182">
        <v>0</v>
      </c>
      <c r="O1182">
        <v>-0.99961290000000003</v>
      </c>
      <c r="P1182">
        <v>-0.16679240000000001</v>
      </c>
      <c r="Q1182">
        <v>0.1592064</v>
      </c>
      <c r="R1182">
        <v>-0.97305390000000003</v>
      </c>
      <c r="S1182">
        <v>-0.169799799999999</v>
      </c>
      <c r="T1182">
        <v>-0.28041110000000002</v>
      </c>
      <c r="U1182">
        <v>-3.1002200000000002</v>
      </c>
      <c r="V1182">
        <v>0.14171320000000001</v>
      </c>
      <c r="W1182">
        <v>0.1690286</v>
      </c>
      <c r="X1182">
        <v>0.97536999999999996</v>
      </c>
      <c r="Y1182">
        <v>2.86E-2</v>
      </c>
      <c r="Z1182">
        <v>8.9950699999999995E-2</v>
      </c>
      <c r="AA1182">
        <v>0.99553550000000002</v>
      </c>
      <c r="AB1182">
        <v>26</v>
      </c>
      <c r="AC1182">
        <v>-3.26000000000021E-2</v>
      </c>
      <c r="AD1182">
        <v>-6.6164000000000098E-2</v>
      </c>
      <c r="AE1182">
        <v>-0.45850000000001501</v>
      </c>
      <c r="AF1182">
        <v>2.0299318252564098E-2</v>
      </c>
      <c r="AG1182">
        <v>-6.6164000000000098E-2</v>
      </c>
      <c r="AH1182">
        <v>0.449869289477701</v>
      </c>
      <c r="AI1182">
        <v>98.358343420629595</v>
      </c>
      <c r="AJ1182">
        <v>87.416412062960603</v>
      </c>
      <c r="AK1182">
        <v>0.455161635941223</v>
      </c>
      <c r="AL1182">
        <v>80.268655062840097</v>
      </c>
      <c r="AM1182">
        <v>81.733242440565803</v>
      </c>
      <c r="AN1182">
        <v>0.99999996778609901</v>
      </c>
    </row>
    <row r="1183" spans="1:40" x14ac:dyDescent="0.25">
      <c r="A1183" t="str">
        <f>"20190312164243329"</f>
        <v>20190312164243329</v>
      </c>
      <c r="B1183" t="str">
        <f>"1552380163325374"</f>
        <v>1552380163325374</v>
      </c>
      <c r="C1183" t="s">
        <v>40</v>
      </c>
      <c r="D1183">
        <v>4.5575099999999997</v>
      </c>
      <c r="E1183">
        <v>0.46057809999999999</v>
      </c>
      <c r="F1183" t="s">
        <v>41</v>
      </c>
      <c r="G1183">
        <v>-190.72669999999999</v>
      </c>
      <c r="H1183">
        <v>1.0265500000000001</v>
      </c>
      <c r="I1183">
        <v>322.56990000000002</v>
      </c>
      <c r="J1183">
        <v>-190.691</v>
      </c>
      <c r="K1183">
        <v>1.1097900000000001</v>
      </c>
      <c r="L1183">
        <v>322.9674</v>
      </c>
      <c r="M1183">
        <v>-2.6980000000000001E-2</v>
      </c>
      <c r="N1183">
        <v>0</v>
      </c>
      <c r="O1183">
        <v>-0.99958409999999998</v>
      </c>
      <c r="P1183">
        <v>-0.16684649999999901</v>
      </c>
      <c r="Q1183">
        <v>0.15794059999999999</v>
      </c>
      <c r="R1183">
        <v>-0.97325070000000002</v>
      </c>
      <c r="S1183">
        <v>-0.16954040000000001</v>
      </c>
      <c r="T1183">
        <v>-0.27977289999999999</v>
      </c>
      <c r="U1183">
        <v>-3.0997919999999999</v>
      </c>
      <c r="V1183">
        <v>0.1406924</v>
      </c>
      <c r="W1183">
        <v>0.16774449999999999</v>
      </c>
      <c r="X1183">
        <v>0.97573940000000003</v>
      </c>
      <c r="Y1183">
        <v>2.7430989999999999E-2</v>
      </c>
      <c r="Z1183">
        <v>8.9757669999999998E-2</v>
      </c>
      <c r="AA1183">
        <v>0.99558579999999997</v>
      </c>
      <c r="AB1183">
        <v>27</v>
      </c>
      <c r="AC1183">
        <v>-3.5700000000019799E-2</v>
      </c>
      <c r="AD1183">
        <v>-8.3239999999999897E-2</v>
      </c>
      <c r="AE1183">
        <v>-0.39749999999997898</v>
      </c>
      <c r="AF1183">
        <v>2.39212926834424E-2</v>
      </c>
      <c r="AG1183">
        <v>-8.3239999999999897E-2</v>
      </c>
      <c r="AH1183">
        <v>0.381713537219733</v>
      </c>
      <c r="AI1183">
        <v>102.278506968108</v>
      </c>
      <c r="AJ1183">
        <v>86.414067211906399</v>
      </c>
      <c r="AK1183">
        <v>0.39141582791252499</v>
      </c>
      <c r="AL1183">
        <v>80.343294400761906</v>
      </c>
      <c r="AM1183">
        <v>81.795041075547999</v>
      </c>
      <c r="AN1183">
        <v>0.99999997270518404</v>
      </c>
    </row>
    <row r="1184" spans="1:40" x14ac:dyDescent="0.25">
      <c r="A1184" t="str">
        <f>"20190312164243351"</f>
        <v>20190312164243351</v>
      </c>
      <c r="B1184" t="str">
        <f>"1552380163344894"</f>
        <v>1552380163344894</v>
      </c>
      <c r="C1184" t="s">
        <v>40</v>
      </c>
      <c r="D1184">
        <v>4.6509210000000003</v>
      </c>
      <c r="E1184">
        <v>0.4603469</v>
      </c>
      <c r="F1184" t="s">
        <v>41</v>
      </c>
      <c r="G1184">
        <v>-190.73769999999999</v>
      </c>
      <c r="H1184">
        <v>1.029987</v>
      </c>
      <c r="I1184">
        <v>322.09249999999997</v>
      </c>
      <c r="J1184">
        <v>-190.69900000000001</v>
      </c>
      <c r="K1184">
        <v>1.10978</v>
      </c>
      <c r="L1184">
        <v>322.69529999999997</v>
      </c>
      <c r="M1184">
        <v>-2.7554559999999999E-2</v>
      </c>
      <c r="N1184">
        <v>0</v>
      </c>
      <c r="O1184">
        <v>-0.99956880000000004</v>
      </c>
      <c r="P1184">
        <v>-0.16749229999999901</v>
      </c>
      <c r="Q1184">
        <v>0.157419</v>
      </c>
      <c r="R1184">
        <v>-0.9732246</v>
      </c>
      <c r="S1184">
        <v>-0.1651154</v>
      </c>
      <c r="T1184">
        <v>-0.28281820000000002</v>
      </c>
      <c r="U1184">
        <v>-3.1000369999999999</v>
      </c>
      <c r="V1184">
        <v>0.14077790000000001</v>
      </c>
      <c r="W1184">
        <v>0.16721040000000001</v>
      </c>
      <c r="X1184">
        <v>0.97581879999999999</v>
      </c>
      <c r="Y1184">
        <v>2.543043E-2</v>
      </c>
      <c r="Z1184">
        <v>9.0723310000000001E-2</v>
      </c>
      <c r="AA1184">
        <v>0.99555139999999998</v>
      </c>
      <c r="AB1184">
        <v>27</v>
      </c>
      <c r="AC1184">
        <v>-3.8699999999977301E-2</v>
      </c>
      <c r="AD1184">
        <v>-7.9792999999999906E-2</v>
      </c>
      <c r="AE1184">
        <v>-0.602800000000002</v>
      </c>
      <c r="AF1184">
        <v>2.1695964491769901E-2</v>
      </c>
      <c r="AG1184">
        <v>-7.9792999999999906E-2</v>
      </c>
      <c r="AH1184">
        <v>0.59328466145146197</v>
      </c>
      <c r="AI1184">
        <v>97.654895518812694</v>
      </c>
      <c r="AJ1184">
        <v>87.905670595714994</v>
      </c>
      <c r="AK1184">
        <v>0.59901947150139001</v>
      </c>
      <c r="AL1184">
        <v>80.374335074121902</v>
      </c>
      <c r="AM1184">
        <v>81.790781713931295</v>
      </c>
      <c r="AN1184">
        <v>1.000000032715</v>
      </c>
    </row>
    <row r="1185" spans="1:40" x14ac:dyDescent="0.25">
      <c r="A1185" t="str">
        <f>"20190312164243373"</f>
        <v>20190312164243373</v>
      </c>
      <c r="B1185" t="str">
        <f>"1552380163365391"</f>
        <v>1552380163365391</v>
      </c>
      <c r="C1185" t="s">
        <v>40</v>
      </c>
      <c r="D1185">
        <v>4.5407630000000001</v>
      </c>
      <c r="E1185">
        <v>0.46021600000000001</v>
      </c>
      <c r="F1185" t="s">
        <v>41</v>
      </c>
      <c r="G1185">
        <v>-190.7441</v>
      </c>
      <c r="H1185">
        <v>1.03278</v>
      </c>
      <c r="I1185">
        <v>321.8528</v>
      </c>
      <c r="J1185">
        <v>-190.70689999999999</v>
      </c>
      <c r="K1185">
        <v>1.109766</v>
      </c>
      <c r="L1185">
        <v>322.43259999999998</v>
      </c>
      <c r="M1185">
        <v>-2.8114210000000001E-2</v>
      </c>
      <c r="N1185">
        <v>0</v>
      </c>
      <c r="O1185">
        <v>-0.99955309999999997</v>
      </c>
      <c r="P1185">
        <v>-0.1685045</v>
      </c>
      <c r="Q1185">
        <v>0.157491299999999</v>
      </c>
      <c r="R1185">
        <v>-0.97303779999999995</v>
      </c>
      <c r="S1185">
        <v>-0.1649475</v>
      </c>
      <c r="T1185">
        <v>-0.28357900000000003</v>
      </c>
      <c r="U1185">
        <v>-3.1000369999999999</v>
      </c>
      <c r="V1185">
        <v>0.14124909999999999</v>
      </c>
      <c r="W1185">
        <v>0.16727059999999999</v>
      </c>
      <c r="X1185">
        <v>0.97574039999999995</v>
      </c>
      <c r="Y1185">
        <v>2.4815779999999999E-2</v>
      </c>
      <c r="Z1185">
        <v>9.0964050000000005E-2</v>
      </c>
      <c r="AA1185">
        <v>0.99554489999999995</v>
      </c>
      <c r="AB1185">
        <v>27</v>
      </c>
      <c r="AC1185">
        <v>-3.7200000000012702E-2</v>
      </c>
      <c r="AD1185">
        <v>-7.6985999999999999E-2</v>
      </c>
      <c r="AE1185">
        <v>-0.579799999999977</v>
      </c>
      <c r="AF1185">
        <v>2.05234761288197E-2</v>
      </c>
      <c r="AG1185">
        <v>-7.6985999999999999E-2</v>
      </c>
      <c r="AH1185">
        <v>0.57059795221840603</v>
      </c>
      <c r="AI1185">
        <v>97.679130833172493</v>
      </c>
      <c r="AJ1185">
        <v>87.940052445537106</v>
      </c>
      <c r="AK1185">
        <v>0.57613373477366203</v>
      </c>
      <c r="AL1185">
        <v>80.370836715950006</v>
      </c>
      <c r="AM1185">
        <v>81.763028159571704</v>
      </c>
      <c r="AN1185">
        <v>1.0000000450336599</v>
      </c>
    </row>
    <row r="1186" spans="1:40" x14ac:dyDescent="0.25">
      <c r="A1186" t="str">
        <f>"20190312164243396"</f>
        <v>20190312164243396</v>
      </c>
      <c r="B1186" t="str">
        <f>"1552380163384912"</f>
        <v>1552380163384912</v>
      </c>
      <c r="C1186" t="s">
        <v>40</v>
      </c>
      <c r="D1186">
        <v>4.6418179999999998</v>
      </c>
      <c r="E1186">
        <v>0.46000809999999998</v>
      </c>
      <c r="F1186" t="s">
        <v>41</v>
      </c>
      <c r="G1186">
        <v>-190.75110000000001</v>
      </c>
      <c r="H1186">
        <v>1.0352939999999999</v>
      </c>
      <c r="I1186">
        <v>321.613</v>
      </c>
      <c r="J1186">
        <v>-190.71530000000001</v>
      </c>
      <c r="K1186">
        <v>1.109761</v>
      </c>
      <c r="L1186">
        <v>322.15620000000001</v>
      </c>
      <c r="M1186">
        <v>-2.870756E-2</v>
      </c>
      <c r="N1186">
        <v>0</v>
      </c>
      <c r="O1186">
        <v>-0.99953639999999999</v>
      </c>
      <c r="P1186">
        <v>-0.1701956</v>
      </c>
      <c r="Q1186">
        <v>0.1574555</v>
      </c>
      <c r="R1186">
        <v>-0.97274970000000005</v>
      </c>
      <c r="S1186">
        <v>-0.1667786</v>
      </c>
      <c r="T1186">
        <v>-0.28193249999999997</v>
      </c>
      <c r="U1186">
        <v>-3.0998540000000001</v>
      </c>
      <c r="V1186">
        <v>0.1423691</v>
      </c>
      <c r="W1186">
        <v>0.1672217</v>
      </c>
      <c r="X1186">
        <v>0.97558590000000001</v>
      </c>
      <c r="Y1186">
        <v>2.4814409999999999E-2</v>
      </c>
      <c r="Z1186">
        <v>9.0441820000000006E-2</v>
      </c>
      <c r="AA1186">
        <v>0.99559249999999999</v>
      </c>
      <c r="AB1186">
        <v>27</v>
      </c>
      <c r="AC1186">
        <v>-3.5799999999994697E-2</v>
      </c>
      <c r="AD1186">
        <v>-7.4466999999999797E-2</v>
      </c>
      <c r="AE1186">
        <v>-0.54320000000001301</v>
      </c>
      <c r="AF1186">
        <v>1.9819625281744802E-2</v>
      </c>
      <c r="AG1186">
        <v>-7.4466999999999797E-2</v>
      </c>
      <c r="AH1186">
        <v>0.53401133147624202</v>
      </c>
      <c r="AI1186">
        <v>97.933216037409395</v>
      </c>
      <c r="AJ1186">
        <v>87.874464782072806</v>
      </c>
      <c r="AK1186">
        <v>0.53954263388571799</v>
      </c>
      <c r="AL1186">
        <v>80.373677610522805</v>
      </c>
      <c r="AM1186">
        <v>81.6973254893324</v>
      </c>
      <c r="AN1186">
        <v>0.99999995293225297</v>
      </c>
    </row>
    <row r="1187" spans="1:40" x14ac:dyDescent="0.25">
      <c r="A1187" t="str">
        <f>"20190312164243418"</f>
        <v>20190312164243418</v>
      </c>
      <c r="B1187" t="str">
        <f>"1552380163405408"</f>
        <v>1552380163405408</v>
      </c>
      <c r="C1187" t="s">
        <v>40</v>
      </c>
      <c r="D1187">
        <v>4.5404689999999999</v>
      </c>
      <c r="E1187">
        <v>0.45973839999999999</v>
      </c>
      <c r="F1187" t="s">
        <v>41</v>
      </c>
      <c r="G1187">
        <v>-190.7586</v>
      </c>
      <c r="H1187">
        <v>1.0387439999999999</v>
      </c>
      <c r="I1187">
        <v>321.37259999999998</v>
      </c>
      <c r="J1187">
        <v>-190.72309999999999</v>
      </c>
      <c r="K1187">
        <v>1.109756</v>
      </c>
      <c r="L1187">
        <v>321.90559999999999</v>
      </c>
      <c r="M1187">
        <v>-2.9247479999999999E-2</v>
      </c>
      <c r="N1187">
        <v>0</v>
      </c>
      <c r="O1187">
        <v>-0.99952070000000004</v>
      </c>
      <c r="P1187">
        <v>-0.1715469</v>
      </c>
      <c r="Q1187">
        <v>0.1565144</v>
      </c>
      <c r="R1187">
        <v>-0.97266379999999997</v>
      </c>
      <c r="S1187">
        <v>-0.1702118</v>
      </c>
      <c r="T1187">
        <v>-0.28118290000000001</v>
      </c>
      <c r="U1187">
        <v>-3.0998230000000002</v>
      </c>
      <c r="V1187">
        <v>0.14319470000000001</v>
      </c>
      <c r="W1187">
        <v>0.16627110000000001</v>
      </c>
      <c r="X1187">
        <v>0.97562760000000004</v>
      </c>
      <c r="Y1187">
        <v>2.5375559999999998E-2</v>
      </c>
      <c r="Z1187">
        <v>9.0198780000000006E-2</v>
      </c>
      <c r="AA1187">
        <v>0.9956005</v>
      </c>
      <c r="AB1187">
        <v>27</v>
      </c>
      <c r="AC1187">
        <v>-3.5500000000013097E-2</v>
      </c>
      <c r="AD1187">
        <v>-7.1011999999999798E-2</v>
      </c>
      <c r="AE1187">
        <v>-0.53300000000001502</v>
      </c>
      <c r="AF1187">
        <v>1.95496204598728E-2</v>
      </c>
      <c r="AG1187">
        <v>-7.1011999999999798E-2</v>
      </c>
      <c r="AH1187">
        <v>0.52454059480219895</v>
      </c>
      <c r="AI1187">
        <v>97.704511783557706</v>
      </c>
      <c r="AJ1187">
        <v>87.865575027528806</v>
      </c>
      <c r="AK1187">
        <v>0.52968644252951202</v>
      </c>
      <c r="AL1187">
        <v>80.428916861409903</v>
      </c>
      <c r="AM1187">
        <v>81.650206998839707</v>
      </c>
      <c r="AN1187">
        <v>1.0000000073425299</v>
      </c>
    </row>
    <row r="1188" spans="1:40" x14ac:dyDescent="0.25">
      <c r="A1188" t="str">
        <f>"20190312164243440"</f>
        <v>20190312164243440</v>
      </c>
      <c r="B1188" t="str">
        <f>"1552380163435663"</f>
        <v>1552380163435663</v>
      </c>
      <c r="C1188" t="s">
        <v>40</v>
      </c>
      <c r="D1188">
        <v>4.4474410000000004</v>
      </c>
      <c r="E1188">
        <v>0.45972800000000003</v>
      </c>
      <c r="F1188" t="s">
        <v>41</v>
      </c>
      <c r="G1188">
        <v>-190.76599999999999</v>
      </c>
      <c r="H1188">
        <v>1.0393669999999999</v>
      </c>
      <c r="I1188">
        <v>321.13319999999999</v>
      </c>
      <c r="J1188">
        <v>-190.73159999999999</v>
      </c>
      <c r="K1188">
        <v>1.109742</v>
      </c>
      <c r="L1188">
        <v>321.63569999999999</v>
      </c>
      <c r="M1188">
        <v>-2.982986E-2</v>
      </c>
      <c r="N1188">
        <v>0</v>
      </c>
      <c r="O1188">
        <v>-0.99950360000000005</v>
      </c>
      <c r="P1188">
        <v>-0.17301929999999999</v>
      </c>
      <c r="Q1188">
        <v>0.1552992</v>
      </c>
      <c r="R1188">
        <v>-0.97259759999999995</v>
      </c>
      <c r="S1188">
        <v>-0.17176820000000001</v>
      </c>
      <c r="T1188">
        <v>-0.28259859999999998</v>
      </c>
      <c r="U1188">
        <v>-3.0994869999999999</v>
      </c>
      <c r="V1188">
        <v>0.1440989</v>
      </c>
      <c r="W1188">
        <v>0.16505590000000001</v>
      </c>
      <c r="X1188">
        <v>0.97570080000000003</v>
      </c>
      <c r="Y1188">
        <v>2.5295109999999999E-2</v>
      </c>
      <c r="Z1188">
        <v>9.0655429999999995E-2</v>
      </c>
      <c r="AA1188">
        <v>0.99556100000000003</v>
      </c>
      <c r="AB1188">
        <v>27</v>
      </c>
      <c r="AC1188">
        <v>-3.4400000000005003E-2</v>
      </c>
      <c r="AD1188">
        <v>-7.0374999999999993E-2</v>
      </c>
      <c r="AE1188">
        <v>-0.50249999999999695</v>
      </c>
      <c r="AF1188">
        <v>1.90230392639377E-2</v>
      </c>
      <c r="AG1188">
        <v>-7.0374999999999993E-2</v>
      </c>
      <c r="AH1188">
        <v>0.49366501329984902</v>
      </c>
      <c r="AI1188">
        <v>98.107265893099395</v>
      </c>
      <c r="AJ1188">
        <v>87.7932386682795</v>
      </c>
      <c r="AK1188">
        <v>0.49901869905262802</v>
      </c>
      <c r="AL1188">
        <v>80.499518144834695</v>
      </c>
      <c r="AM1188">
        <v>81.598853999512002</v>
      </c>
      <c r="AN1188">
        <v>0.99999999711332999</v>
      </c>
    </row>
    <row r="1189" spans="1:40" x14ac:dyDescent="0.25">
      <c r="A1189" t="str">
        <f>"20190312164243462"</f>
        <v>20190312164243462</v>
      </c>
      <c r="B1189" t="str">
        <f>"1552380163455184"</f>
        <v>1552380163455184</v>
      </c>
      <c r="C1189" t="s">
        <v>40</v>
      </c>
      <c r="D1189">
        <v>4.8129140000000001</v>
      </c>
      <c r="E1189">
        <v>0.49474449999999998</v>
      </c>
      <c r="F1189" t="s">
        <v>41</v>
      </c>
      <c r="G1189">
        <v>-190.7739</v>
      </c>
      <c r="H1189">
        <v>1.0412429999999999</v>
      </c>
      <c r="I1189">
        <v>320.89229999999998</v>
      </c>
      <c r="J1189">
        <v>-190.7398</v>
      </c>
      <c r="K1189">
        <v>1.109737</v>
      </c>
      <c r="L1189">
        <v>321.38069999999999</v>
      </c>
      <c r="M1189">
        <v>-3.0379690000000001E-2</v>
      </c>
      <c r="N1189">
        <v>0</v>
      </c>
      <c r="O1189">
        <v>-0.99948709999999996</v>
      </c>
      <c r="P1189">
        <v>-0.17480519999999999</v>
      </c>
      <c r="Q1189">
        <v>0.15395149999999999</v>
      </c>
      <c r="R1189">
        <v>-0.97249319999999895</v>
      </c>
      <c r="S1189">
        <v>-0.17552190000000001</v>
      </c>
      <c r="T1189">
        <v>-0.28586339999999999</v>
      </c>
      <c r="U1189">
        <v>-3.098938</v>
      </c>
      <c r="V1189">
        <v>0.14534910000000001</v>
      </c>
      <c r="W1189">
        <v>0.16372249999999999</v>
      </c>
      <c r="X1189">
        <v>0.97574000000000005</v>
      </c>
      <c r="Y1189">
        <v>2.595161E-2</v>
      </c>
      <c r="Z1189">
        <v>9.1703950000000006E-2</v>
      </c>
      <c r="AA1189">
        <v>0.99544809999999995</v>
      </c>
      <c r="AB1189">
        <v>27</v>
      </c>
      <c r="AC1189">
        <v>-3.40999999999951E-2</v>
      </c>
      <c r="AD1189">
        <v>-6.8493999999999999E-2</v>
      </c>
      <c r="AE1189">
        <v>-0.48840000000001199</v>
      </c>
      <c r="AF1189">
        <v>1.8876598583901501E-2</v>
      </c>
      <c r="AG1189">
        <v>-6.8493999999999999E-2</v>
      </c>
      <c r="AH1189">
        <v>0.47981937974779398</v>
      </c>
      <c r="AI1189">
        <v>98.117865018710305</v>
      </c>
      <c r="AJ1189">
        <v>87.747085641618497</v>
      </c>
      <c r="AK1189">
        <v>0.48505091608165801</v>
      </c>
      <c r="AL1189">
        <v>80.576969897039504</v>
      </c>
      <c r="AM1189">
        <v>81.527354808228907</v>
      </c>
      <c r="AN1189">
        <v>0.99999998273852997</v>
      </c>
    </row>
    <row r="1190" spans="1:40" x14ac:dyDescent="0.25">
      <c r="A1190" t="str">
        <f>"20190312164243483"</f>
        <v>20190312164243483</v>
      </c>
      <c r="B1190" t="str">
        <f>"1552380163475680"</f>
        <v>1552380163475680</v>
      </c>
      <c r="C1190" t="s">
        <v>40</v>
      </c>
      <c r="D1190">
        <v>4.3245019999999998</v>
      </c>
      <c r="E1190">
        <v>0.49662469999999997</v>
      </c>
      <c r="F1190" t="s">
        <v>41</v>
      </c>
      <c r="G1190">
        <v>-190.8844</v>
      </c>
      <c r="H1190">
        <v>1.030151</v>
      </c>
      <c r="I1190">
        <v>320.4221</v>
      </c>
      <c r="J1190">
        <v>-190.74870000000001</v>
      </c>
      <c r="K1190">
        <v>1.1097379999999999</v>
      </c>
      <c r="L1190">
        <v>321.10899999999998</v>
      </c>
      <c r="M1190">
        <v>-3.0964729999999999E-2</v>
      </c>
      <c r="N1190">
        <v>0</v>
      </c>
      <c r="O1190">
        <v>-0.99946849999999998</v>
      </c>
      <c r="P1190">
        <v>-0.17671210000000001</v>
      </c>
      <c r="Q1190">
        <v>0.15348010000000001</v>
      </c>
      <c r="R1190">
        <v>-0.97222280000000005</v>
      </c>
      <c r="S1190">
        <v>-0.45809939999999999</v>
      </c>
      <c r="T1190">
        <v>-0.25278220000000001</v>
      </c>
      <c r="U1190">
        <v>-3.0425420000000001</v>
      </c>
      <c r="V1190">
        <v>0.14669199999999999</v>
      </c>
      <c r="W1190">
        <v>0.16328409999999999</v>
      </c>
      <c r="X1190">
        <v>0.97561249999999999</v>
      </c>
      <c r="Y1190">
        <v>0.1176928</v>
      </c>
      <c r="Z1190">
        <v>8.1991549999999996E-2</v>
      </c>
      <c r="AA1190">
        <v>0.98965939999999997</v>
      </c>
      <c r="AB1190">
        <v>27</v>
      </c>
      <c r="AC1190">
        <v>-0.135699999999985</v>
      </c>
      <c r="AD1190">
        <v>-7.9586999999999797E-2</v>
      </c>
      <c r="AE1190">
        <v>-0.68690000000003604</v>
      </c>
      <c r="AF1190">
        <v>0.11290538088159199</v>
      </c>
      <c r="AG1190">
        <v>-7.9586999999999797E-2</v>
      </c>
      <c r="AH1190">
        <v>0.68196161570056302</v>
      </c>
      <c r="AI1190">
        <v>96.567874309529202</v>
      </c>
      <c r="AJ1190">
        <v>80.599397523358803</v>
      </c>
      <c r="AK1190">
        <v>0.69581129689732701</v>
      </c>
      <c r="AL1190">
        <v>80.602431120820697</v>
      </c>
      <c r="AM1190">
        <v>81.449125773163402</v>
      </c>
      <c r="AN1190">
        <v>0.99999999516652904</v>
      </c>
    </row>
    <row r="1191" spans="1:40" x14ac:dyDescent="0.25">
      <c r="A1191" t="str">
        <f>"20190312164243506"</f>
        <v>20190312164243506</v>
      </c>
      <c r="B1191" t="str">
        <f>"1552380163495199"</f>
        <v>1552380163495199</v>
      </c>
      <c r="C1191" t="s">
        <v>40</v>
      </c>
      <c r="D1191">
        <v>4.3071169999999999</v>
      </c>
      <c r="E1191">
        <v>0.49702829999999898</v>
      </c>
      <c r="F1191" t="s">
        <v>41</v>
      </c>
      <c r="G1191">
        <v>-190.8947</v>
      </c>
      <c r="H1191">
        <v>1.0308200000000001</v>
      </c>
      <c r="I1191">
        <v>320.18189999999998</v>
      </c>
      <c r="J1191">
        <v>-190.75790000000001</v>
      </c>
      <c r="K1191">
        <v>1.1097379999999999</v>
      </c>
      <c r="L1191">
        <v>320.83539999999999</v>
      </c>
      <c r="M1191">
        <v>-3.1552999999999998E-2</v>
      </c>
      <c r="N1191">
        <v>0</v>
      </c>
      <c r="O1191">
        <v>-0.9994497</v>
      </c>
      <c r="P1191">
        <v>-0.178753</v>
      </c>
      <c r="Q1191">
        <v>0.1534142</v>
      </c>
      <c r="R1191">
        <v>-0.9718599</v>
      </c>
      <c r="S1191">
        <v>-0.47802729999999999</v>
      </c>
      <c r="T1191">
        <v>-0.2588917</v>
      </c>
      <c r="U1191">
        <v>-3.0397029999999998</v>
      </c>
      <c r="V1191">
        <v>0.1481692</v>
      </c>
      <c r="W1191">
        <v>0.16326009999999999</v>
      </c>
      <c r="X1191">
        <v>0.97539330000000002</v>
      </c>
      <c r="Y1191">
        <v>0.1235546</v>
      </c>
      <c r="Z1191">
        <v>8.3962560000000006E-2</v>
      </c>
      <c r="AA1191">
        <v>0.98877930000000003</v>
      </c>
      <c r="AB1191">
        <v>27</v>
      </c>
      <c r="AC1191">
        <v>-0.13679999999999301</v>
      </c>
      <c r="AD1191">
        <v>-7.8917999999999794E-2</v>
      </c>
      <c r="AE1191">
        <v>-0.65350000000000796</v>
      </c>
      <c r="AF1191">
        <v>0.114511050860697</v>
      </c>
      <c r="AG1191">
        <v>-7.8917999999999794E-2</v>
      </c>
      <c r="AH1191">
        <v>0.64843185404811998</v>
      </c>
      <c r="AI1191">
        <v>96.834380228829204</v>
      </c>
      <c r="AJ1191">
        <v>79.985002169571203</v>
      </c>
      <c r="AK1191">
        <v>0.66317772944928099</v>
      </c>
      <c r="AL1191">
        <v>80.603825261495402</v>
      </c>
      <c r="AM1191">
        <v>81.362398206907699</v>
      </c>
      <c r="AN1191">
        <v>1.0000000308827599</v>
      </c>
    </row>
    <row r="1192" spans="1:40" x14ac:dyDescent="0.25">
      <c r="A1192" t="str">
        <f>"20190312164243529"</f>
        <v>20190312164243529</v>
      </c>
      <c r="B1192" t="str">
        <f>"1552380163525455"</f>
        <v>1552380163525455</v>
      </c>
      <c r="C1192" t="s">
        <v>40</v>
      </c>
      <c r="D1192">
        <v>4.2933890000000003</v>
      </c>
      <c r="E1192">
        <v>0.49707180000000001</v>
      </c>
      <c r="F1192" t="s">
        <v>41</v>
      </c>
      <c r="G1192">
        <v>-190.90129999999999</v>
      </c>
      <c r="H1192">
        <v>1.0321880000000001</v>
      </c>
      <c r="I1192">
        <v>319.94119999999998</v>
      </c>
      <c r="J1192">
        <v>-190.76689999999999</v>
      </c>
      <c r="K1192">
        <v>1.109747</v>
      </c>
      <c r="L1192">
        <v>320.56959999999998</v>
      </c>
      <c r="M1192">
        <v>-3.2124359999999998E-2</v>
      </c>
      <c r="N1192">
        <v>0</v>
      </c>
      <c r="O1192">
        <v>-0.99943079999999995</v>
      </c>
      <c r="P1192">
        <v>-0.18093880000000001</v>
      </c>
      <c r="Q1192">
        <v>0.15205859999999999</v>
      </c>
      <c r="R1192">
        <v>-0.97166870000000005</v>
      </c>
      <c r="S1192">
        <v>-0.48674010000000001</v>
      </c>
      <c r="T1192">
        <v>-0.26371050000000001</v>
      </c>
      <c r="U1192">
        <v>-3.0389400000000002</v>
      </c>
      <c r="V1192">
        <v>0.14980099999999999</v>
      </c>
      <c r="W1192">
        <v>0.16197</v>
      </c>
      <c r="X1192">
        <v>0.97535910000000003</v>
      </c>
      <c r="Y1192">
        <v>0.12576960000000001</v>
      </c>
      <c r="Z1192">
        <v>8.5501779999999999E-2</v>
      </c>
      <c r="AA1192">
        <v>0.98836809999999997</v>
      </c>
      <c r="AB1192">
        <v>27</v>
      </c>
      <c r="AC1192">
        <v>-0.13439999999999899</v>
      </c>
      <c r="AD1192">
        <v>-7.75590000000001E-2</v>
      </c>
      <c r="AE1192">
        <v>-0.62839999999999896</v>
      </c>
      <c r="AF1192">
        <v>0.112503776412763</v>
      </c>
      <c r="AG1192">
        <v>-7.75590000000001E-2</v>
      </c>
      <c r="AH1192">
        <v>0.62331363374649296</v>
      </c>
      <c r="AI1192">
        <v>96.981201050232499</v>
      </c>
      <c r="AJ1192">
        <v>79.768665731338899</v>
      </c>
      <c r="AK1192">
        <v>0.63811627796381298</v>
      </c>
      <c r="AL1192">
        <v>80.678739375322095</v>
      </c>
      <c r="AM1192">
        <v>81.268428234597195</v>
      </c>
      <c r="AN1192">
        <v>0.99999999722690502</v>
      </c>
    </row>
    <row r="1193" spans="1:40" x14ac:dyDescent="0.25">
      <c r="A1193" t="str">
        <f>"20190312164243552"</f>
        <v>20190312164243552</v>
      </c>
      <c r="B1193" t="str">
        <f>"1552380163544975"</f>
        <v>1552380163544975</v>
      </c>
      <c r="C1193" t="s">
        <v>40</v>
      </c>
      <c r="D1193">
        <v>4.3033099999999997</v>
      </c>
      <c r="E1193">
        <v>0.4969536</v>
      </c>
      <c r="F1193" t="s">
        <v>41</v>
      </c>
      <c r="G1193">
        <v>-190.90819999999999</v>
      </c>
      <c r="H1193">
        <v>1.034392</v>
      </c>
      <c r="I1193">
        <v>319.7</v>
      </c>
      <c r="J1193">
        <v>-190.77680000000001</v>
      </c>
      <c r="K1193">
        <v>1.1097570000000001</v>
      </c>
      <c r="L1193">
        <v>320.28300000000002</v>
      </c>
      <c r="M1193">
        <v>-3.2742920000000002E-2</v>
      </c>
      <c r="N1193">
        <v>0</v>
      </c>
      <c r="O1193">
        <v>-0.9994094</v>
      </c>
      <c r="P1193">
        <v>-0.1829414</v>
      </c>
      <c r="Q1193">
        <v>0.14977509999999999</v>
      </c>
      <c r="R1193">
        <v>-0.97164819999999996</v>
      </c>
      <c r="S1193">
        <v>-0.49319459999999998</v>
      </c>
      <c r="T1193">
        <v>-0.26326929999999998</v>
      </c>
      <c r="U1193">
        <v>-3.036835</v>
      </c>
      <c r="V1193">
        <v>0.15119769999999999</v>
      </c>
      <c r="W1193">
        <v>0.15980459999999999</v>
      </c>
      <c r="X1193">
        <v>0.97550079999999995</v>
      </c>
      <c r="Y1193">
        <v>0.12731129999999999</v>
      </c>
      <c r="Z1193">
        <v>8.5392529999999994E-2</v>
      </c>
      <c r="AA1193">
        <v>0.98818010000000001</v>
      </c>
      <c r="AB1193">
        <v>27</v>
      </c>
      <c r="AC1193">
        <v>-0.131399999999985</v>
      </c>
      <c r="AD1193">
        <v>-7.5364999999999904E-2</v>
      </c>
      <c r="AE1193">
        <v>-0.58300000000002605</v>
      </c>
      <c r="AF1193">
        <v>0.11048236032324001</v>
      </c>
      <c r="AG1193">
        <v>-7.5364999999999904E-2</v>
      </c>
      <c r="AH1193">
        <v>0.57780116955194405</v>
      </c>
      <c r="AI1193">
        <v>97.300573917028203</v>
      </c>
      <c r="AJ1193">
        <v>79.175039889652794</v>
      </c>
      <c r="AK1193">
        <v>0.59307708327264597</v>
      </c>
      <c r="AL1193">
        <v>80.804445610806198</v>
      </c>
      <c r="AM1193">
        <v>81.1895494388081</v>
      </c>
      <c r="AN1193">
        <v>1.0000000327335401</v>
      </c>
    </row>
    <row r="1194" spans="1:40" x14ac:dyDescent="0.25">
      <c r="A1194" t="str">
        <f>"20190312164243596"</f>
        <v>20190312164243596</v>
      </c>
      <c r="B1194" t="str">
        <f>"1552380163584991"</f>
        <v>1552380163584991</v>
      </c>
      <c r="C1194" t="s">
        <v>40</v>
      </c>
      <c r="D1194">
        <v>4.352042</v>
      </c>
      <c r="E1194">
        <v>0.49773109999999998</v>
      </c>
      <c r="F1194" t="s">
        <v>41</v>
      </c>
      <c r="G1194">
        <v>-190.91229999999999</v>
      </c>
      <c r="H1194">
        <v>1.0361670000000001</v>
      </c>
      <c r="I1194">
        <v>319.45909999999998</v>
      </c>
      <c r="J1194">
        <v>-190.7953</v>
      </c>
      <c r="K1194">
        <v>1.109815</v>
      </c>
      <c r="L1194">
        <v>319.76280000000003</v>
      </c>
      <c r="M1194">
        <v>-3.3850129999999999E-2</v>
      </c>
      <c r="N1194">
        <v>0</v>
      </c>
      <c r="O1194">
        <v>-0.99936840000000005</v>
      </c>
      <c r="P1194">
        <v>-0.1870243</v>
      </c>
      <c r="Q1194">
        <v>0.14748729999999999</v>
      </c>
      <c r="R1194">
        <v>-0.9712208</v>
      </c>
      <c r="S1194">
        <v>-0.49821470000000001</v>
      </c>
      <c r="T1194">
        <v>-0.27131739999999999</v>
      </c>
      <c r="U1194">
        <v>-3.0354920000000001</v>
      </c>
      <c r="V1194">
        <v>0.1542105</v>
      </c>
      <c r="W1194">
        <v>0.15787999999999999</v>
      </c>
      <c r="X1194">
        <v>0.9753425</v>
      </c>
      <c r="Y1194">
        <v>0.12783659999999999</v>
      </c>
      <c r="Z1194">
        <v>8.8001570000000001E-2</v>
      </c>
      <c r="AA1194">
        <v>0.98788330000000002</v>
      </c>
      <c r="AB1194">
        <v>27</v>
      </c>
      <c r="AC1194">
        <v>-0.11699999999999</v>
      </c>
      <c r="AD1194">
        <v>-7.3647999999999894E-2</v>
      </c>
      <c r="AE1194">
        <v>-0.30370000000004799</v>
      </c>
      <c r="AF1194">
        <v>0.101456718993889</v>
      </c>
      <c r="AG1194">
        <v>-7.3647999999999894E-2</v>
      </c>
      <c r="AH1194">
        <v>0.29250804898592098</v>
      </c>
      <c r="AI1194">
        <v>103.380735830511</v>
      </c>
      <c r="AJ1194">
        <v>70.870844079065094</v>
      </c>
      <c r="AK1194">
        <v>0.31824275711248401</v>
      </c>
      <c r="AL1194">
        <v>80.916134636437604</v>
      </c>
      <c r="AM1194">
        <v>81.015391855806101</v>
      </c>
      <c r="AN1194">
        <v>0.99999998250824895</v>
      </c>
    </row>
    <row r="1195" spans="1:40" x14ac:dyDescent="0.25">
      <c r="A1195" t="str">
        <f>"20190312164243619"</f>
        <v>20190312164243619</v>
      </c>
      <c r="B1195" t="str">
        <f>"1552380163615248"</f>
        <v>1552380163615248</v>
      </c>
      <c r="C1195" t="s">
        <v>40</v>
      </c>
      <c r="D1195">
        <v>4.3304010000000002</v>
      </c>
      <c r="E1195">
        <v>0.49791760000000002</v>
      </c>
      <c r="F1195" t="s">
        <v>41</v>
      </c>
      <c r="G1195">
        <v>-190.92949999999999</v>
      </c>
      <c r="H1195">
        <v>1.040055</v>
      </c>
      <c r="I1195">
        <v>318.97750000000002</v>
      </c>
      <c r="J1195">
        <v>-190.80510000000001</v>
      </c>
      <c r="K1195">
        <v>1.109866</v>
      </c>
      <c r="L1195">
        <v>319.4941</v>
      </c>
      <c r="M1195">
        <v>-3.4420770000000003E-2</v>
      </c>
      <c r="N1195">
        <v>0</v>
      </c>
      <c r="O1195">
        <v>-0.99934639999999997</v>
      </c>
      <c r="P1195">
        <v>-0.18887889999999999</v>
      </c>
      <c r="Q1195">
        <v>0.14711540000000001</v>
      </c>
      <c r="R1195">
        <v>-0.97091839999999996</v>
      </c>
      <c r="S1195">
        <v>-0.51695249999999904</v>
      </c>
      <c r="T1195">
        <v>-0.2693605</v>
      </c>
      <c r="U1195">
        <v>-3.030243</v>
      </c>
      <c r="V1195">
        <v>0.1555146</v>
      </c>
      <c r="W1195">
        <v>0.157739299999999</v>
      </c>
      <c r="X1195">
        <v>0.97515819999999998</v>
      </c>
      <c r="Y1195">
        <v>0.1334919</v>
      </c>
      <c r="Z1195">
        <v>8.744064E-2</v>
      </c>
      <c r="AA1195">
        <v>0.98718490000000003</v>
      </c>
      <c r="AB1195">
        <v>27</v>
      </c>
      <c r="AC1195">
        <v>-0.12439999999998</v>
      </c>
      <c r="AD1195">
        <v>-6.9810999999999998E-2</v>
      </c>
      <c r="AE1195">
        <v>-0.51659999999998196</v>
      </c>
      <c r="AF1195">
        <v>0.10473561044558299</v>
      </c>
      <c r="AG1195">
        <v>-6.9810999999999998E-2</v>
      </c>
      <c r="AH1195">
        <v>0.51174300122502803</v>
      </c>
      <c r="AI1195">
        <v>97.612340506100296</v>
      </c>
      <c r="AJ1195">
        <v>78.433324085910996</v>
      </c>
      <c r="AK1195">
        <v>0.52699527808056101</v>
      </c>
      <c r="AL1195">
        <v>80.924298575252905</v>
      </c>
      <c r="AM1195">
        <v>80.938983532678705</v>
      </c>
      <c r="AN1195">
        <v>0.99999999630244496</v>
      </c>
    </row>
    <row r="1196" spans="1:40" x14ac:dyDescent="0.25">
      <c r="A1196" t="str">
        <f>"20190312164243639"</f>
        <v>20190312164243639</v>
      </c>
      <c r="B1196" t="str">
        <f>"1552380163634767"</f>
        <v>1552380163634767</v>
      </c>
      <c r="C1196" t="s">
        <v>40</v>
      </c>
      <c r="D1196">
        <v>4.3800549999999996</v>
      </c>
      <c r="E1196">
        <v>0.49798989999999999</v>
      </c>
      <c r="F1196" t="s">
        <v>41</v>
      </c>
      <c r="G1196">
        <v>-190.9365</v>
      </c>
      <c r="H1196">
        <v>1.043847</v>
      </c>
      <c r="I1196">
        <v>318.7353</v>
      </c>
      <c r="J1196">
        <v>-190.81440000000001</v>
      </c>
      <c r="K1196">
        <v>1.109917</v>
      </c>
      <c r="L1196">
        <v>319.24189999999999</v>
      </c>
      <c r="M1196">
        <v>-3.4961069999999997E-2</v>
      </c>
      <c r="N1196">
        <v>0</v>
      </c>
      <c r="O1196">
        <v>-0.99932469999999995</v>
      </c>
      <c r="P1196">
        <v>-0.1909208</v>
      </c>
      <c r="Q1196">
        <v>0.14693979999999901</v>
      </c>
      <c r="R1196">
        <v>-0.97054530000000006</v>
      </c>
      <c r="S1196">
        <v>-0.52410889999999999</v>
      </c>
      <c r="T1196">
        <v>-0.26354480000000002</v>
      </c>
      <c r="U1196">
        <v>-3.0278019999999999</v>
      </c>
      <c r="V1196">
        <v>0.15703739999999999</v>
      </c>
      <c r="W1196">
        <v>0.1577991</v>
      </c>
      <c r="X1196">
        <v>0.97490449999999995</v>
      </c>
      <c r="Y1196">
        <v>0.13538129999999901</v>
      </c>
      <c r="Z1196">
        <v>8.5604E-2</v>
      </c>
      <c r="AA1196">
        <v>0.98708859999999998</v>
      </c>
      <c r="AB1196">
        <v>27</v>
      </c>
      <c r="AC1196">
        <v>-0.122099999999989</v>
      </c>
      <c r="AD1196">
        <v>-6.6070000000000004E-2</v>
      </c>
      <c r="AE1196">
        <v>-0.50659999999999095</v>
      </c>
      <c r="AF1196">
        <v>0.102662617798115</v>
      </c>
      <c r="AG1196">
        <v>-6.6070000000000004E-2</v>
      </c>
      <c r="AH1196">
        <v>0.50248180080961602</v>
      </c>
      <c r="AI1196">
        <v>97.340757305777103</v>
      </c>
      <c r="AJ1196">
        <v>78.452757180225404</v>
      </c>
      <c r="AK1196">
        <v>0.51710039464115298</v>
      </c>
      <c r="AL1196">
        <v>80.920829255965799</v>
      </c>
      <c r="AM1196">
        <v>80.849410818836105</v>
      </c>
      <c r="AN1196">
        <v>1.0000000425399</v>
      </c>
    </row>
    <row r="1197" spans="1:40" x14ac:dyDescent="0.25">
      <c r="A1197" t="str">
        <f>"20190312164243664"</f>
        <v>20190312164243664</v>
      </c>
      <c r="B1197" t="str">
        <f>"1552380163655263"</f>
        <v>1552380163655263</v>
      </c>
      <c r="C1197" t="s">
        <v>40</v>
      </c>
      <c r="D1197">
        <v>4.4417339999999896</v>
      </c>
      <c r="E1197">
        <v>0.49806260000000002</v>
      </c>
      <c r="F1197" t="s">
        <v>41</v>
      </c>
      <c r="G1197">
        <v>-190.94579999999999</v>
      </c>
      <c r="H1197">
        <v>1.045469</v>
      </c>
      <c r="I1197">
        <v>318.49450000000002</v>
      </c>
      <c r="J1197">
        <v>-190.82509999999999</v>
      </c>
      <c r="K1197">
        <v>1.109966</v>
      </c>
      <c r="L1197">
        <v>318.95620000000002</v>
      </c>
      <c r="M1197">
        <v>-3.5574210000000002E-2</v>
      </c>
      <c r="N1197">
        <v>0</v>
      </c>
      <c r="O1197">
        <v>-0.99929999999999997</v>
      </c>
      <c r="P1197">
        <v>-0.1928523</v>
      </c>
      <c r="Q1197">
        <v>0.14656440000000001</v>
      </c>
      <c r="R1197">
        <v>-0.97022010000000003</v>
      </c>
      <c r="S1197">
        <v>-0.53099059999999998</v>
      </c>
      <c r="T1197">
        <v>-0.26119579999999998</v>
      </c>
      <c r="U1197">
        <v>-3.0260929999999999</v>
      </c>
      <c r="V1197">
        <v>0.15837699999999999</v>
      </c>
      <c r="W1197">
        <v>0.1577054</v>
      </c>
      <c r="X1197">
        <v>0.97470290000000004</v>
      </c>
      <c r="Y1197">
        <v>0.13705629999999999</v>
      </c>
      <c r="Z1197">
        <v>8.4864529999999994E-2</v>
      </c>
      <c r="AA1197">
        <v>0.9869213</v>
      </c>
      <c r="AB1197">
        <v>27</v>
      </c>
      <c r="AC1197">
        <v>-0.120699999999999</v>
      </c>
      <c r="AD1197">
        <v>-6.4496999999999999E-2</v>
      </c>
      <c r="AE1197">
        <v>-0.46170000000000699</v>
      </c>
      <c r="AF1197">
        <v>0.102328719769621</v>
      </c>
      <c r="AG1197">
        <v>-6.4496999999999999E-2</v>
      </c>
      <c r="AH1197">
        <v>0.45734780434654998</v>
      </c>
      <c r="AI1197">
        <v>97.835896334408403</v>
      </c>
      <c r="AJ1197">
        <v>77.388143608500002</v>
      </c>
      <c r="AK1197">
        <v>0.47307297961234201</v>
      </c>
      <c r="AL1197">
        <v>80.926265603740006</v>
      </c>
      <c r="AM1197">
        <v>80.770813674939504</v>
      </c>
      <c r="AN1197">
        <v>1.00000000529328</v>
      </c>
    </row>
    <row r="1198" spans="1:40" x14ac:dyDescent="0.25">
      <c r="A1198" t="str">
        <f>"20190312164243686"</f>
        <v>20190312164243686</v>
      </c>
      <c r="B1198" t="str">
        <f>"1552380163674784"</f>
        <v>1552380163674784</v>
      </c>
      <c r="C1198" t="s">
        <v>40</v>
      </c>
      <c r="D1198">
        <v>4.4240059999999897</v>
      </c>
      <c r="E1198">
        <v>0.49789739999999999</v>
      </c>
      <c r="F1198" t="s">
        <v>41</v>
      </c>
      <c r="G1198">
        <v>-190.99039999999999</v>
      </c>
      <c r="H1198">
        <v>1.0303290000000001</v>
      </c>
      <c r="I1198">
        <v>318.02620000000002</v>
      </c>
      <c r="J1198">
        <v>-190.8355</v>
      </c>
      <c r="K1198">
        <v>1.1100110000000001</v>
      </c>
      <c r="L1198">
        <v>318.68200000000002</v>
      </c>
      <c r="M1198">
        <v>-3.6156639999999997E-2</v>
      </c>
      <c r="N1198">
        <v>0</v>
      </c>
      <c r="O1198">
        <v>-0.99927589999999999</v>
      </c>
      <c r="P1198">
        <v>-0.19526279999999999</v>
      </c>
      <c r="Q1198">
        <v>0.146652</v>
      </c>
      <c r="R1198">
        <v>-0.9697247</v>
      </c>
      <c r="S1198">
        <v>-0.53694149999999996</v>
      </c>
      <c r="T1198">
        <v>-0.25918790000000003</v>
      </c>
      <c r="U1198">
        <v>-3.0244450000000001</v>
      </c>
      <c r="V1198">
        <v>0.160233399999999</v>
      </c>
      <c r="W1198">
        <v>0.15805520000000001</v>
      </c>
      <c r="X1198">
        <v>0.97434279999999995</v>
      </c>
      <c r="Y1198">
        <v>0.1384628</v>
      </c>
      <c r="Z1198">
        <v>8.4236610000000003E-2</v>
      </c>
      <c r="AA1198">
        <v>0.98677870000000001</v>
      </c>
      <c r="AB1198">
        <v>27</v>
      </c>
      <c r="AC1198">
        <v>-0.15489999999999701</v>
      </c>
      <c r="AD1198">
        <v>-7.9682000000000003E-2</v>
      </c>
      <c r="AE1198">
        <v>-0.65579999999999905</v>
      </c>
      <c r="AF1198">
        <v>0.12927782329863299</v>
      </c>
      <c r="AG1198">
        <v>-7.9682000000000003E-2</v>
      </c>
      <c r="AH1198">
        <v>0.65185728116647501</v>
      </c>
      <c r="AI1198">
        <v>96.8373033400498</v>
      </c>
      <c r="AJ1198">
        <v>78.782526297401702</v>
      </c>
      <c r="AK1198">
        <v>0.66931299982189296</v>
      </c>
      <c r="AL1198">
        <v>80.905969306314205</v>
      </c>
      <c r="AM1198">
        <v>80.661138984219207</v>
      </c>
      <c r="AN1198">
        <v>1.00000004031721</v>
      </c>
    </row>
    <row r="1199" spans="1:40" x14ac:dyDescent="0.25">
      <c r="A1199" t="str">
        <f>"20190312164243706"</f>
        <v>20190312164243706</v>
      </c>
      <c r="B1199" t="str">
        <f>"1552380163695279"</f>
        <v>1552380163695279</v>
      </c>
      <c r="C1199" t="s">
        <v>40</v>
      </c>
      <c r="D1199">
        <v>4.4552589999999999</v>
      </c>
      <c r="E1199">
        <v>0.49743150000000003</v>
      </c>
      <c r="F1199" t="s">
        <v>41</v>
      </c>
      <c r="G1199">
        <v>-190.9966</v>
      </c>
      <c r="H1199">
        <v>1.0334620000000001</v>
      </c>
      <c r="I1199">
        <v>317.78620000000001</v>
      </c>
      <c r="J1199">
        <v>-190.8451</v>
      </c>
      <c r="K1199">
        <v>1.1100380000000001</v>
      </c>
      <c r="L1199">
        <v>318.43579999999997</v>
      </c>
      <c r="M1199">
        <v>-3.667277E-2</v>
      </c>
      <c r="N1199">
        <v>0</v>
      </c>
      <c r="O1199">
        <v>-0.99925419999999998</v>
      </c>
      <c r="P1199">
        <v>-0.19713020000000001</v>
      </c>
      <c r="Q1199">
        <v>0.14680889999999999</v>
      </c>
      <c r="R1199">
        <v>-0.96932300000000005</v>
      </c>
      <c r="S1199">
        <v>-0.54316709999999901</v>
      </c>
      <c r="T1199">
        <v>-0.25845829999999997</v>
      </c>
      <c r="U1199">
        <v>-3.0233759999999998</v>
      </c>
      <c r="V1199">
        <v>0.16160920000000001</v>
      </c>
      <c r="W1199">
        <v>0.1584333</v>
      </c>
      <c r="X1199">
        <v>0.97405410000000003</v>
      </c>
      <c r="Y1199">
        <v>0.13998360000000001</v>
      </c>
      <c r="Z1199">
        <v>8.4003770000000005E-2</v>
      </c>
      <c r="AA1199">
        <v>0.98658400000000002</v>
      </c>
      <c r="AB1199">
        <v>27</v>
      </c>
      <c r="AC1199">
        <v>-0.151499999999998</v>
      </c>
      <c r="AD1199">
        <v>-7.65759999999997E-2</v>
      </c>
      <c r="AE1199">
        <v>-0.64959999999996398</v>
      </c>
      <c r="AF1199">
        <v>0.1259142451395</v>
      </c>
      <c r="AG1199">
        <v>-7.65759999999997E-2</v>
      </c>
      <c r="AH1199">
        <v>0.64620281833512905</v>
      </c>
      <c r="AI1199">
        <v>96.634488650434307</v>
      </c>
      <c r="AJ1199">
        <v>78.973931872304505</v>
      </c>
      <c r="AK1199">
        <v>0.662794359759733</v>
      </c>
      <c r="AL1199">
        <v>80.884029113802299</v>
      </c>
      <c r="AM1199">
        <v>80.5796426833342</v>
      </c>
      <c r="AN1199">
        <v>1.0000000169001599</v>
      </c>
    </row>
    <row r="1200" spans="1:40" x14ac:dyDescent="0.25">
      <c r="A1200" t="str">
        <f>"20190312164243730"</f>
        <v>20190312164243730</v>
      </c>
      <c r="B1200" t="str">
        <f>"1552380163725536"</f>
        <v>1552380163725536</v>
      </c>
      <c r="C1200" t="s">
        <v>40</v>
      </c>
      <c r="D1200">
        <v>4.4966749999999998</v>
      </c>
      <c r="E1200">
        <v>0.49695230000000001</v>
      </c>
      <c r="F1200" t="s">
        <v>41</v>
      </c>
      <c r="G1200">
        <v>-191.00550000000001</v>
      </c>
      <c r="H1200">
        <v>1.0337529999999999</v>
      </c>
      <c r="I1200">
        <v>317.548</v>
      </c>
      <c r="J1200">
        <v>-190.8554</v>
      </c>
      <c r="K1200">
        <v>1.110069</v>
      </c>
      <c r="L1200">
        <v>318.17070000000001</v>
      </c>
      <c r="M1200">
        <v>-3.7216899999999997E-2</v>
      </c>
      <c r="N1200">
        <v>0</v>
      </c>
      <c r="O1200">
        <v>-0.99923130000000004</v>
      </c>
      <c r="P1200">
        <v>-0.19865189999999999</v>
      </c>
      <c r="Q1200">
        <v>0.14709239999999901</v>
      </c>
      <c r="R1200">
        <v>-0.96896890000000002</v>
      </c>
      <c r="S1200">
        <v>-0.54579160000000004</v>
      </c>
      <c r="T1200">
        <v>-0.25991360000000002</v>
      </c>
      <c r="U1200">
        <v>-3.023285</v>
      </c>
      <c r="V1200">
        <v>0.16261020000000001</v>
      </c>
      <c r="W1200">
        <v>0.15893560000000001</v>
      </c>
      <c r="X1200">
        <v>0.97380560000000005</v>
      </c>
      <c r="Y1200">
        <v>0.14027220000000001</v>
      </c>
      <c r="Z1200">
        <v>8.4465199999999893E-2</v>
      </c>
      <c r="AA1200">
        <v>0.98650360000000004</v>
      </c>
      <c r="AB1200">
        <v>27</v>
      </c>
      <c r="AC1200">
        <v>-0.150100000000009</v>
      </c>
      <c r="AD1200">
        <v>-7.6315999999999801E-2</v>
      </c>
      <c r="AE1200">
        <v>-0.62270000000000802</v>
      </c>
      <c r="AF1200">
        <v>0.12504423172686599</v>
      </c>
      <c r="AG1200">
        <v>-7.6315999999999801E-2</v>
      </c>
      <c r="AH1200">
        <v>0.61906735510991995</v>
      </c>
      <c r="AI1200">
        <v>96.889954787097096</v>
      </c>
      <c r="AJ1200">
        <v>78.580581555236705</v>
      </c>
      <c r="AK1200">
        <v>0.63616395835268202</v>
      </c>
      <c r="AL1200">
        <v>80.854879714509906</v>
      </c>
      <c r="AM1200">
        <v>80.519974180281096</v>
      </c>
      <c r="AN1200">
        <v>0.99999997434137899</v>
      </c>
    </row>
    <row r="1201" spans="1:40" x14ac:dyDescent="0.25">
      <c r="A1201" t="str">
        <f>"20190312164243751"</f>
        <v>20190312164243751</v>
      </c>
      <c r="B1201" t="str">
        <f>"1552380163745055"</f>
        <v>1552380163745055</v>
      </c>
      <c r="C1201" t="s">
        <v>40</v>
      </c>
      <c r="D1201">
        <v>4.4837449999999999</v>
      </c>
      <c r="E1201">
        <v>0.49664839999999999</v>
      </c>
      <c r="F1201" t="s">
        <v>41</v>
      </c>
      <c r="G1201">
        <v>-191.01140000000001</v>
      </c>
      <c r="H1201">
        <v>1.035887</v>
      </c>
      <c r="I1201">
        <v>317.3091</v>
      </c>
      <c r="J1201">
        <v>-190.86600000000001</v>
      </c>
      <c r="K1201">
        <v>1.110107</v>
      </c>
      <c r="L1201">
        <v>317.90339999999998</v>
      </c>
      <c r="M1201">
        <v>-3.7756280000000003E-2</v>
      </c>
      <c r="N1201">
        <v>0</v>
      </c>
      <c r="O1201">
        <v>-0.9992086</v>
      </c>
      <c r="P1201">
        <v>-0.20124</v>
      </c>
      <c r="Q1201">
        <v>0.148071799999999</v>
      </c>
      <c r="R1201">
        <v>-0.96828579999999997</v>
      </c>
      <c r="S1201">
        <v>-0.54705809999999999</v>
      </c>
      <c r="T1201">
        <v>-0.26037589999999999</v>
      </c>
      <c r="U1201">
        <v>-3.0234070000000002</v>
      </c>
      <c r="V1201">
        <v>0.164693899999999</v>
      </c>
      <c r="W1201">
        <v>0.16011059999999999</v>
      </c>
      <c r="X1201">
        <v>0.97326279999999998</v>
      </c>
      <c r="Y1201">
        <v>0.14012869999999999</v>
      </c>
      <c r="Z1201">
        <v>8.4606200000000006E-2</v>
      </c>
      <c r="AA1201">
        <v>0.9865119</v>
      </c>
      <c r="AB1201">
        <v>27</v>
      </c>
      <c r="AC1201">
        <v>-0.14540000000002301</v>
      </c>
      <c r="AD1201">
        <v>-7.4219999999999897E-2</v>
      </c>
      <c r="AE1201">
        <v>-0.59429999999997496</v>
      </c>
      <c r="AF1201">
        <v>0.121074293885991</v>
      </c>
      <c r="AG1201">
        <v>-7.4219999999999897E-2</v>
      </c>
      <c r="AH1201">
        <v>0.59067415165301196</v>
      </c>
      <c r="AI1201">
        <v>97.017450245260704</v>
      </c>
      <c r="AJ1201">
        <v>78.416168383272804</v>
      </c>
      <c r="AK1201">
        <v>0.60750600529624199</v>
      </c>
      <c r="AL1201">
        <v>80.786683930407193</v>
      </c>
      <c r="AM1201">
        <v>80.395489042959198</v>
      </c>
      <c r="AN1201">
        <v>0.99999998139670399</v>
      </c>
    </row>
    <row r="1202" spans="1:40" x14ac:dyDescent="0.25">
      <c r="A1202" t="str">
        <f>"20190312164243776"</f>
        <v>20190312164243776</v>
      </c>
      <c r="B1202" t="str">
        <f>"1552380163765551"</f>
        <v>1552380163765551</v>
      </c>
      <c r="C1202" t="s">
        <v>40</v>
      </c>
      <c r="D1202">
        <v>4.5169739999999896</v>
      </c>
      <c r="E1202">
        <v>0.49641459999999998</v>
      </c>
      <c r="F1202" t="s">
        <v>41</v>
      </c>
      <c r="G1202">
        <v>-191.01830000000001</v>
      </c>
      <c r="H1202">
        <v>1.038851</v>
      </c>
      <c r="I1202">
        <v>317.06950000000001</v>
      </c>
      <c r="J1202">
        <v>-190.8775</v>
      </c>
      <c r="K1202">
        <v>1.1101299999999901</v>
      </c>
      <c r="L1202">
        <v>317.61799999999999</v>
      </c>
      <c r="M1202">
        <v>-3.8325699999999997E-2</v>
      </c>
      <c r="N1202">
        <v>0</v>
      </c>
      <c r="O1202">
        <v>-0.99918450000000003</v>
      </c>
      <c r="P1202">
        <v>-0.203876</v>
      </c>
      <c r="Q1202">
        <v>0.14948699999999901</v>
      </c>
      <c r="R1202">
        <v>-0.96751670000000001</v>
      </c>
      <c r="S1202">
        <v>-0.55178830000000001</v>
      </c>
      <c r="T1202">
        <v>-0.25842130000000002</v>
      </c>
      <c r="U1202">
        <v>-3.0231020000000002</v>
      </c>
      <c r="V1202">
        <v>0.16680010000000001</v>
      </c>
      <c r="W1202">
        <v>0.16171259999999901</v>
      </c>
      <c r="X1202">
        <v>0.97263909999999998</v>
      </c>
      <c r="Y1202">
        <v>0.14108579999999901</v>
      </c>
      <c r="Z1202">
        <v>8.3963860000000001E-2</v>
      </c>
      <c r="AA1202">
        <v>0.98643029999999998</v>
      </c>
      <c r="AB1202">
        <v>27</v>
      </c>
      <c r="AC1202">
        <v>-0.140800000000012</v>
      </c>
      <c r="AD1202">
        <v>-7.1278999999999801E-2</v>
      </c>
      <c r="AE1202">
        <v>-0.54849999999999</v>
      </c>
      <c r="AF1202">
        <v>0.117806704244427</v>
      </c>
      <c r="AG1202">
        <v>-7.1278999999999801E-2</v>
      </c>
      <c r="AH1202">
        <v>0.54486105284295205</v>
      </c>
      <c r="AI1202">
        <v>97.286635038791601</v>
      </c>
      <c r="AJ1202">
        <v>77.799640871234203</v>
      </c>
      <c r="AK1202">
        <v>0.56198993079152604</v>
      </c>
      <c r="AL1202">
        <v>80.693684626023597</v>
      </c>
      <c r="AM1202">
        <v>80.268875284846104</v>
      </c>
      <c r="AN1202">
        <v>1.00000002860378</v>
      </c>
    </row>
    <row r="1203" spans="1:40" x14ac:dyDescent="0.25">
      <c r="A1203" t="str">
        <f>"20190312164243799"</f>
        <v>20190312164243799</v>
      </c>
      <c r="B1203" t="str">
        <f>"1552380163795807"</f>
        <v>1552380163795807</v>
      </c>
      <c r="C1203" t="s">
        <v>40</v>
      </c>
      <c r="D1203">
        <v>4.9443320000000002</v>
      </c>
      <c r="E1203">
        <v>0.4963631</v>
      </c>
      <c r="F1203" t="s">
        <v>41</v>
      </c>
      <c r="G1203">
        <v>-191.02269999999999</v>
      </c>
      <c r="H1203">
        <v>1.0434950000000001</v>
      </c>
      <c r="I1203">
        <v>316.82889999999998</v>
      </c>
      <c r="J1203">
        <v>-190.8886</v>
      </c>
      <c r="K1203">
        <v>1.1101430000000001</v>
      </c>
      <c r="L1203">
        <v>317.34629999999999</v>
      </c>
      <c r="M1203">
        <v>-3.8863450000000001E-2</v>
      </c>
      <c r="N1203">
        <v>0</v>
      </c>
      <c r="O1203">
        <v>-0.99916159999999998</v>
      </c>
      <c r="P1203">
        <v>-0.20642079999999999</v>
      </c>
      <c r="Q1203">
        <v>0.1499209</v>
      </c>
      <c r="R1203">
        <v>-0.96690949999999998</v>
      </c>
      <c r="S1203">
        <v>-0.55603029999999998</v>
      </c>
      <c r="T1203">
        <v>-0.25535819999999998</v>
      </c>
      <c r="U1203">
        <v>-3.0230410000000001</v>
      </c>
      <c r="V1203">
        <v>0.1688402</v>
      </c>
      <c r="W1203">
        <v>0.16230359999999999</v>
      </c>
      <c r="X1203">
        <v>0.97218850000000001</v>
      </c>
      <c r="Y1203">
        <v>0.1419108</v>
      </c>
      <c r="Z1203">
        <v>8.2959409999999997E-2</v>
      </c>
      <c r="AA1203">
        <v>0.98639699999999997</v>
      </c>
      <c r="AB1203">
        <v>27</v>
      </c>
      <c r="AC1203">
        <v>-0.13409999999998901</v>
      </c>
      <c r="AD1203">
        <v>-6.6647999999999999E-2</v>
      </c>
      <c r="AE1203">
        <v>-0.51740000000000896</v>
      </c>
      <c r="AF1203">
        <v>0.112145377180594</v>
      </c>
      <c r="AG1203">
        <v>-6.6647999999999999E-2</v>
      </c>
      <c r="AH1203">
        <v>0.51422568501690302</v>
      </c>
      <c r="AI1203">
        <v>97.217068112572505</v>
      </c>
      <c r="AJ1203">
        <v>77.697229644971898</v>
      </c>
      <c r="AK1203">
        <v>0.53051540661707597</v>
      </c>
      <c r="AL1203">
        <v>80.659368998991795</v>
      </c>
      <c r="AM1203">
        <v>80.147697389299395</v>
      </c>
      <c r="AN1203">
        <v>0.99999997562062404</v>
      </c>
    </row>
    <row r="1204" spans="1:40" x14ac:dyDescent="0.25">
      <c r="A1204" t="str">
        <f>"20190312164243822"</f>
        <v>20190312164243822</v>
      </c>
      <c r="B1204" t="str">
        <f>"1552380163815328"</f>
        <v>1552380163815328</v>
      </c>
      <c r="C1204" t="s">
        <v>40</v>
      </c>
      <c r="D1204">
        <v>4.85968</v>
      </c>
      <c r="E1204">
        <v>0.51369390000000004</v>
      </c>
      <c r="F1204" t="s">
        <v>41</v>
      </c>
      <c r="G1204">
        <v>-191.02950000000001</v>
      </c>
      <c r="H1204">
        <v>1.046916</v>
      </c>
      <c r="I1204">
        <v>316.58929999999998</v>
      </c>
      <c r="J1204">
        <v>-190.89949999999999</v>
      </c>
      <c r="K1204">
        <v>1.1101430000000001</v>
      </c>
      <c r="L1204">
        <v>317.0806</v>
      </c>
      <c r="M1204">
        <v>-3.9385280000000002E-2</v>
      </c>
      <c r="N1204">
        <v>0</v>
      </c>
      <c r="O1204">
        <v>-0.99913920000000001</v>
      </c>
      <c r="P1204">
        <v>-0.2091594</v>
      </c>
      <c r="Q1204">
        <v>0.14922739999999901</v>
      </c>
      <c r="R1204">
        <v>-0.96642810000000001</v>
      </c>
      <c r="S1204">
        <v>-0.56192019999999998</v>
      </c>
      <c r="T1204">
        <v>-0.25262259999999997</v>
      </c>
      <c r="U1204">
        <v>-3.0219119999999999</v>
      </c>
      <c r="V1204">
        <v>0.1710846</v>
      </c>
      <c r="W1204">
        <v>0.1617451</v>
      </c>
      <c r="X1204">
        <v>0.97188920000000001</v>
      </c>
      <c r="Y1204">
        <v>0.1433315</v>
      </c>
      <c r="Z1204">
        <v>8.2081420000000002E-2</v>
      </c>
      <c r="AA1204">
        <v>0.98626510000000001</v>
      </c>
      <c r="AB1204">
        <v>27</v>
      </c>
      <c r="AC1204">
        <v>-0.13000000000002301</v>
      </c>
      <c r="AD1204">
        <v>-6.3227000000000103E-2</v>
      </c>
      <c r="AE1204">
        <v>-0.491300000000023</v>
      </c>
      <c r="AF1204">
        <v>0.10886248614590099</v>
      </c>
      <c r="AG1204">
        <v>-6.3227000000000103E-2</v>
      </c>
      <c r="AH1204">
        <v>0.48847846809797502</v>
      </c>
      <c r="AI1204">
        <v>97.200444145462498</v>
      </c>
      <c r="AJ1204">
        <v>77.436355118138593</v>
      </c>
      <c r="AK1204">
        <v>0.504440192901211</v>
      </c>
      <c r="AL1204">
        <v>80.691797566757202</v>
      </c>
      <c r="AM1204">
        <v>80.016335143210995</v>
      </c>
      <c r="AN1204">
        <v>1.0000000174039001</v>
      </c>
    </row>
    <row r="1205" spans="1:40" x14ac:dyDescent="0.25">
      <c r="A1205" t="str">
        <f>"20190312164243842"</f>
        <v>20190312164243842</v>
      </c>
      <c r="B1205" t="str">
        <f>"1552380163834847"</f>
        <v>1552380163834847</v>
      </c>
      <c r="C1205" t="s">
        <v>40</v>
      </c>
      <c r="D1205">
        <v>4.6611250000000002</v>
      </c>
      <c r="E1205">
        <v>0.52152969999999998</v>
      </c>
      <c r="F1205" t="s">
        <v>42</v>
      </c>
      <c r="G1205">
        <v>-193.554</v>
      </c>
      <c r="H1205" s="1">
        <v>-3.5944260000000001E-6</v>
      </c>
      <c r="I1205">
        <v>305.76350000000002</v>
      </c>
      <c r="J1205">
        <v>-190.91</v>
      </c>
      <c r="K1205">
        <v>1.110144</v>
      </c>
      <c r="L1205">
        <v>316.82929999999999</v>
      </c>
      <c r="M1205">
        <v>-3.9876710000000003E-2</v>
      </c>
      <c r="N1205">
        <v>0</v>
      </c>
      <c r="O1205">
        <v>-0.99911819999999896</v>
      </c>
      <c r="P1205">
        <v>-0.21176490000000001</v>
      </c>
      <c r="Q1205">
        <v>0.1470601</v>
      </c>
      <c r="R1205">
        <v>-0.96619330000000003</v>
      </c>
      <c r="S1205">
        <v>-0.70307919999999902</v>
      </c>
      <c r="T1205">
        <v>-0.29403590000000002</v>
      </c>
      <c r="U1205">
        <v>-2.9974669999999999</v>
      </c>
      <c r="V1205">
        <v>0.17321539999999999</v>
      </c>
      <c r="W1205">
        <v>0.15969120000000001</v>
      </c>
      <c r="X1205">
        <v>0.97185140000000003</v>
      </c>
      <c r="Y1205">
        <v>0.18831220000000001</v>
      </c>
      <c r="Z1205">
        <v>9.535602E-2</v>
      </c>
      <c r="AA1205">
        <v>0.97746909999999998</v>
      </c>
      <c r="AB1205">
        <v>26</v>
      </c>
      <c r="AC1205">
        <v>-2.6440000000000001</v>
      </c>
      <c r="AD1205">
        <v>-1.110147594426</v>
      </c>
      <c r="AE1205">
        <v>-11.0657999999999</v>
      </c>
      <c r="AF1205">
        <v>2.1798365279786398</v>
      </c>
      <c r="AG1205">
        <v>-1.110147594426</v>
      </c>
      <c r="AH1205">
        <v>11.057164343366599</v>
      </c>
      <c r="AI1205">
        <v>95.625759883375395</v>
      </c>
      <c r="AJ1205">
        <v>78.847581810549102</v>
      </c>
      <c r="AK1205">
        <v>11.324530819700099</v>
      </c>
      <c r="AL1205">
        <v>80.811027163927903</v>
      </c>
      <c r="AM1205">
        <v>79.894154506053795</v>
      </c>
      <c r="AN1205">
        <v>0.99999999891827995</v>
      </c>
    </row>
    <row r="1206" spans="1:40" x14ac:dyDescent="0.25">
      <c r="A1206" t="str">
        <f>"20190312164243864"</f>
        <v>20190312164243864</v>
      </c>
      <c r="B1206" t="str">
        <f>"1552380163855343"</f>
        <v>1552380163855343</v>
      </c>
      <c r="C1206" t="s">
        <v>40</v>
      </c>
      <c r="D1206">
        <v>4.5684740000000001</v>
      </c>
      <c r="E1206">
        <v>0.52519289999999996</v>
      </c>
      <c r="F1206" t="s">
        <v>42</v>
      </c>
      <c r="G1206">
        <v>-193.7602</v>
      </c>
      <c r="H1206" s="1">
        <v>-3.6689760000000001E-6</v>
      </c>
      <c r="I1206">
        <v>305.80939999999998</v>
      </c>
      <c r="J1206">
        <v>-190.92089999999999</v>
      </c>
      <c r="K1206">
        <v>1.110144</v>
      </c>
      <c r="L1206">
        <v>316.572</v>
      </c>
      <c r="M1206">
        <v>-4.0379089999999999E-2</v>
      </c>
      <c r="N1206">
        <v>0</v>
      </c>
      <c r="O1206">
        <v>-0.99909680000000001</v>
      </c>
      <c r="P1206">
        <v>-0.21430179999999999</v>
      </c>
      <c r="Q1206">
        <v>0.14570859999999999</v>
      </c>
      <c r="R1206">
        <v>-0.9658388</v>
      </c>
      <c r="S1206">
        <v>-0.77117919999999995</v>
      </c>
      <c r="T1206">
        <v>-0.3003728</v>
      </c>
      <c r="U1206">
        <v>-2.9816590000000001</v>
      </c>
      <c r="V1206">
        <v>0.17527319999999999</v>
      </c>
      <c r="W1206">
        <v>0.15843940000000001</v>
      </c>
      <c r="X1206">
        <v>0.97168730000000003</v>
      </c>
      <c r="Y1206">
        <v>0.2099113</v>
      </c>
      <c r="Z1206">
        <v>9.7408529999999993E-2</v>
      </c>
      <c r="AA1206">
        <v>0.97285600000000005</v>
      </c>
      <c r="AB1206">
        <v>26</v>
      </c>
      <c r="AC1206">
        <v>-2.8393000000000002</v>
      </c>
      <c r="AD1206">
        <v>-1.1101476689759999</v>
      </c>
      <c r="AE1206">
        <v>-10.762600000000001</v>
      </c>
      <c r="AF1206">
        <v>2.3787001565572501</v>
      </c>
      <c r="AG1206">
        <v>-1.1101476689759999</v>
      </c>
      <c r="AH1206">
        <v>10.7614315715155</v>
      </c>
      <c r="AI1206">
        <v>95.751915599303601</v>
      </c>
      <c r="AJ1206">
        <v>77.535791077345493</v>
      </c>
      <c r="AK1206">
        <v>11.0769604021206</v>
      </c>
      <c r="AL1206">
        <v>80.883674739959702</v>
      </c>
      <c r="AM1206">
        <v>79.774924585956995</v>
      </c>
      <c r="AN1206">
        <v>0.99999997354594405</v>
      </c>
    </row>
    <row r="1207" spans="1:40" x14ac:dyDescent="0.25">
      <c r="A1207" t="str">
        <f>"20190312164243886"</f>
        <v>20190312164243886</v>
      </c>
      <c r="B1207" t="str">
        <f>"1552380163874863"</f>
        <v>1552380163874863</v>
      </c>
      <c r="C1207" t="s">
        <v>40</v>
      </c>
      <c r="D1207">
        <v>4.8941600000000003</v>
      </c>
      <c r="E1207">
        <v>0.52797249999999996</v>
      </c>
      <c r="F1207" t="s">
        <v>42</v>
      </c>
      <c r="G1207">
        <v>-193.98349999999999</v>
      </c>
      <c r="H1207" s="1">
        <v>-3.5135560000000002E-6</v>
      </c>
      <c r="I1207">
        <v>305.30860000000001</v>
      </c>
      <c r="J1207">
        <v>-190.93180000000001</v>
      </c>
      <c r="K1207">
        <v>1.1101460000000001</v>
      </c>
      <c r="L1207">
        <v>316.31700000000001</v>
      </c>
      <c r="M1207">
        <v>-4.0877620000000003E-2</v>
      </c>
      <c r="N1207">
        <v>0</v>
      </c>
      <c r="O1207">
        <v>-0.9990753</v>
      </c>
      <c r="P1207">
        <v>-0.21728040000000001</v>
      </c>
      <c r="Q1207">
        <v>0.14450950000000001</v>
      </c>
      <c r="R1207">
        <v>-0.96535329999999997</v>
      </c>
      <c r="S1207">
        <v>-0.8078613</v>
      </c>
      <c r="T1207">
        <v>-0.29283360000000003</v>
      </c>
      <c r="U1207">
        <v>-2.9710390000000002</v>
      </c>
      <c r="V1207">
        <v>0.17778179999999999</v>
      </c>
      <c r="W1207">
        <v>0.15732349999999901</v>
      </c>
      <c r="X1207">
        <v>0.97141279999999997</v>
      </c>
      <c r="Y1207">
        <v>0.22153049999999999</v>
      </c>
      <c r="Z1207">
        <v>9.5038479999999995E-2</v>
      </c>
      <c r="AA1207">
        <v>0.97051109999999896</v>
      </c>
      <c r="AB1207">
        <v>26</v>
      </c>
      <c r="AC1207">
        <v>-3.0516999999999799</v>
      </c>
      <c r="AD1207">
        <v>-1.11014951355599</v>
      </c>
      <c r="AE1207">
        <v>-11.0083999999999</v>
      </c>
      <c r="AF1207">
        <v>2.5747950802528301</v>
      </c>
      <c r="AG1207">
        <v>-1.11014951355599</v>
      </c>
      <c r="AH1207">
        <v>11.019881709283601</v>
      </c>
      <c r="AI1207">
        <v>95.602702096776696</v>
      </c>
      <c r="AJ1207">
        <v>76.848773439434197</v>
      </c>
      <c r="AK1207">
        <v>11.3710067511345</v>
      </c>
      <c r="AL1207">
        <v>80.9484228699244</v>
      </c>
      <c r="AM1207">
        <v>79.628864200604497</v>
      </c>
      <c r="AN1207">
        <v>0.99999994003366299</v>
      </c>
    </row>
    <row r="1208" spans="1:40" x14ac:dyDescent="0.25">
      <c r="A1208" t="str">
        <f>"20190312164243910"</f>
        <v>20190312164243910</v>
      </c>
      <c r="B1208" t="str">
        <f>"1552380163905118"</f>
        <v>1552380163905118</v>
      </c>
      <c r="C1208" t="s">
        <v>40</v>
      </c>
      <c r="D1208">
        <v>4.6092810000000002</v>
      </c>
      <c r="E1208">
        <v>0.52951040000000005</v>
      </c>
      <c r="F1208" t="s">
        <v>42</v>
      </c>
      <c r="G1208">
        <v>-194.21639999999999</v>
      </c>
      <c r="H1208" s="1">
        <v>-3.3254470000000002E-6</v>
      </c>
      <c r="I1208">
        <v>304.72570000000002</v>
      </c>
      <c r="J1208">
        <v>-190.9435</v>
      </c>
      <c r="K1208">
        <v>1.110141</v>
      </c>
      <c r="L1208">
        <v>316.04579999999999</v>
      </c>
      <c r="M1208">
        <v>-4.1410000000000002E-2</v>
      </c>
      <c r="N1208">
        <v>0</v>
      </c>
      <c r="O1208">
        <v>-0.99905219999999995</v>
      </c>
      <c r="P1208">
        <v>-0.22022949999999999</v>
      </c>
      <c r="Q1208">
        <v>0.14425450000000001</v>
      </c>
      <c r="R1208">
        <v>-0.96472279999999999</v>
      </c>
      <c r="S1208">
        <v>-0.8391113</v>
      </c>
      <c r="T1208">
        <v>-0.28361120000000001</v>
      </c>
      <c r="U1208">
        <v>-2.9612430000000001</v>
      </c>
      <c r="V1208">
        <v>0.18023510000000001</v>
      </c>
      <c r="W1208">
        <v>0.15713840000000001</v>
      </c>
      <c r="X1208">
        <v>0.97099069999999998</v>
      </c>
      <c r="Y1208">
        <v>0.2313936</v>
      </c>
      <c r="Z1208">
        <v>9.212592E-2</v>
      </c>
      <c r="AA1208">
        <v>0.96848840000000003</v>
      </c>
      <c r="AB1208">
        <v>26</v>
      </c>
      <c r="AC1208">
        <v>-3.2728999999999902</v>
      </c>
      <c r="AD1208">
        <v>-1.110144325447</v>
      </c>
      <c r="AE1208">
        <v>-11.320099999999901</v>
      </c>
      <c r="AF1208">
        <v>2.77664055272002</v>
      </c>
      <c r="AG1208">
        <v>-1.110144325447</v>
      </c>
      <c r="AH1208">
        <v>11.345236699428501</v>
      </c>
      <c r="AI1208">
        <v>95.429424580453798</v>
      </c>
      <c r="AJ1208">
        <v>76.247718616935302</v>
      </c>
      <c r="AK1208">
        <v>11.732712770216001</v>
      </c>
      <c r="AL1208">
        <v>80.959162929614905</v>
      </c>
      <c r="AM1208">
        <v>79.484448891034702</v>
      </c>
      <c r="AN1208">
        <v>1.0000000537565199</v>
      </c>
    </row>
    <row r="1209" spans="1:40" x14ac:dyDescent="0.25">
      <c r="A1209" t="str">
        <f>"20190312164243931"</f>
        <v>20190312164243931</v>
      </c>
      <c r="B1209" t="str">
        <f>"1552380163925615"</f>
        <v>1552380163925615</v>
      </c>
      <c r="C1209" t="s">
        <v>40</v>
      </c>
      <c r="D1209">
        <v>4.6442560000000004</v>
      </c>
      <c r="E1209">
        <v>0.53005970000000002</v>
      </c>
      <c r="F1209" t="s">
        <v>42</v>
      </c>
      <c r="G1209">
        <v>-194.2852</v>
      </c>
      <c r="H1209" s="1">
        <v>-3.2666190000000001E-6</v>
      </c>
      <c r="I1209">
        <v>304.54590000000002</v>
      </c>
      <c r="J1209">
        <v>-190.95500000000001</v>
      </c>
      <c r="K1209">
        <v>1.110147</v>
      </c>
      <c r="L1209">
        <v>315.78309999999999</v>
      </c>
      <c r="M1209">
        <v>-4.1927190000000003E-2</v>
      </c>
      <c r="N1209">
        <v>0</v>
      </c>
      <c r="O1209">
        <v>-0.99902979999999997</v>
      </c>
      <c r="P1209">
        <v>-0.22387550000000001</v>
      </c>
      <c r="Q1209">
        <v>0.14461099999999999</v>
      </c>
      <c r="R1209">
        <v>-0.96382979999999996</v>
      </c>
      <c r="S1209">
        <v>-0.8590546</v>
      </c>
      <c r="T1209">
        <v>-0.28538599999999997</v>
      </c>
      <c r="U1209">
        <v>-2.956299</v>
      </c>
      <c r="V1209">
        <v>0.18341170000000001</v>
      </c>
      <c r="W1209">
        <v>0.1575415</v>
      </c>
      <c r="X1209">
        <v>0.97033020000000003</v>
      </c>
      <c r="Y1209">
        <v>0.2373315</v>
      </c>
      <c r="Z1209">
        <v>9.2690819999999993E-2</v>
      </c>
      <c r="AA1209">
        <v>0.96699650000000004</v>
      </c>
      <c r="AB1209">
        <v>26</v>
      </c>
      <c r="AC1209">
        <v>-3.3301999999999898</v>
      </c>
      <c r="AD1209">
        <v>-1.110150266619</v>
      </c>
      <c r="AE1209">
        <v>-11.2371999999999</v>
      </c>
      <c r="AF1209">
        <v>2.8306872819772799</v>
      </c>
      <c r="AG1209">
        <v>-1.110150266619</v>
      </c>
      <c r="AH1209">
        <v>11.265878474841299</v>
      </c>
      <c r="AI1209">
        <v>95.459194761284394</v>
      </c>
      <c r="AJ1209">
        <v>75.895722265144997</v>
      </c>
      <c r="AK1209">
        <v>11.6689863275571</v>
      </c>
      <c r="AL1209">
        <v>80.9357746303737</v>
      </c>
      <c r="AM1209">
        <v>79.296242638012899</v>
      </c>
      <c r="AN1209">
        <v>0.99999993647558805</v>
      </c>
    </row>
    <row r="1210" spans="1:40" x14ac:dyDescent="0.25">
      <c r="A1210" t="str">
        <f>"20190312164243953"</f>
        <v>20190312164243953</v>
      </c>
      <c r="B1210" t="str">
        <f>"1552380163945135"</f>
        <v>1552380163945135</v>
      </c>
      <c r="C1210" t="s">
        <v>40</v>
      </c>
      <c r="D1210">
        <v>5.0078610000000001</v>
      </c>
      <c r="E1210">
        <v>0.53041740000000004</v>
      </c>
      <c r="F1210" t="s">
        <v>42</v>
      </c>
      <c r="G1210">
        <v>-194.3374</v>
      </c>
      <c r="H1210" s="1">
        <v>-3.1918180000000002E-6</v>
      </c>
      <c r="I1210">
        <v>304.33909999999997</v>
      </c>
      <c r="J1210">
        <v>-190.96680000000001</v>
      </c>
      <c r="K1210">
        <v>1.1101529999999999</v>
      </c>
      <c r="L1210">
        <v>315.51900000000001</v>
      </c>
      <c r="M1210">
        <v>-4.2448090000000001E-2</v>
      </c>
      <c r="N1210">
        <v>0</v>
      </c>
      <c r="O1210">
        <v>-0.99900710000000004</v>
      </c>
      <c r="P1210">
        <v>-0.22736709999999999</v>
      </c>
      <c r="Q1210">
        <v>0.14515400000000001</v>
      </c>
      <c r="R1210">
        <v>-0.96293039999999996</v>
      </c>
      <c r="S1210">
        <v>-0.87274169999999995</v>
      </c>
      <c r="T1210">
        <v>-0.28644779999999997</v>
      </c>
      <c r="U1210">
        <v>-2.9528500000000002</v>
      </c>
      <c r="V1210">
        <v>0.18643190000000001</v>
      </c>
      <c r="W1210">
        <v>0.15811269999999999</v>
      </c>
      <c r="X1210">
        <v>0.96966149999999995</v>
      </c>
      <c r="Y1210">
        <v>0.24124419999999999</v>
      </c>
      <c r="Z1210">
        <v>9.3028429999999995E-2</v>
      </c>
      <c r="AA1210">
        <v>0.9659953</v>
      </c>
      <c r="AB1210">
        <v>26</v>
      </c>
      <c r="AC1210">
        <v>-3.3705999999999898</v>
      </c>
      <c r="AD1210">
        <v>-1.1101561918179901</v>
      </c>
      <c r="AE1210">
        <v>-11.1799</v>
      </c>
      <c r="AF1210">
        <v>2.8670381015455302</v>
      </c>
      <c r="AG1210">
        <v>-1.1101561918179901</v>
      </c>
      <c r="AH1210">
        <v>11.211571188553901</v>
      </c>
      <c r="AI1210">
        <v>95.479718664163201</v>
      </c>
      <c r="AJ1210">
        <v>75.655648056573099</v>
      </c>
      <c r="AK1210">
        <v>11.625475592936301</v>
      </c>
      <c r="AL1210">
        <v>80.902632034290406</v>
      </c>
      <c r="AM1210">
        <v>79.116835709094701</v>
      </c>
      <c r="AN1210">
        <v>0.999999951910573</v>
      </c>
    </row>
    <row r="1211" spans="1:40" x14ac:dyDescent="0.25">
      <c r="A1211" t="str">
        <f>"20190312164243978"</f>
        <v>20190312164243978</v>
      </c>
      <c r="B1211" t="str">
        <f>"1552380163975392"</f>
        <v>1552380163975392</v>
      </c>
      <c r="C1211" t="s">
        <v>40</v>
      </c>
      <c r="D1211">
        <v>4.6630649999999996</v>
      </c>
      <c r="E1211">
        <v>0.53064540000000004</v>
      </c>
      <c r="F1211" t="s">
        <v>42</v>
      </c>
      <c r="G1211">
        <v>-194.50370000000001</v>
      </c>
      <c r="H1211" s="1">
        <v>-2.9801289999999998E-6</v>
      </c>
      <c r="I1211">
        <v>303.74250000000001</v>
      </c>
      <c r="J1211">
        <v>-190.97909999999999</v>
      </c>
      <c r="K1211">
        <v>1.1101479999999999</v>
      </c>
      <c r="L1211">
        <v>315.24299999999999</v>
      </c>
      <c r="M1211">
        <v>-4.2993030000000002E-2</v>
      </c>
      <c r="N1211">
        <v>0</v>
      </c>
      <c r="O1211">
        <v>-0.99898370000000003</v>
      </c>
      <c r="P1211">
        <v>-0.23079269999999999</v>
      </c>
      <c r="Q1211">
        <v>0.1457772</v>
      </c>
      <c r="R1211">
        <v>-0.96202100000000002</v>
      </c>
      <c r="S1211">
        <v>-0.88549800000000001</v>
      </c>
      <c r="T1211">
        <v>-0.27793200000000001</v>
      </c>
      <c r="U1211">
        <v>-2.9482729999999999</v>
      </c>
      <c r="V1211">
        <v>0.18936410000000001</v>
      </c>
      <c r="W1211">
        <v>0.15873889999999999</v>
      </c>
      <c r="X1211">
        <v>0.96899080000000004</v>
      </c>
      <c r="Y1211">
        <v>0.2450309</v>
      </c>
      <c r="Z1211">
        <v>9.0318670000000004E-2</v>
      </c>
      <c r="AA1211">
        <v>0.96529909999999997</v>
      </c>
      <c r="AB1211">
        <v>26</v>
      </c>
      <c r="AC1211">
        <v>-3.5246000000000199</v>
      </c>
      <c r="AD1211">
        <v>-1.1101509801289999</v>
      </c>
      <c r="AE1211">
        <v>-11.500499999999899</v>
      </c>
      <c r="AF1211">
        <v>3.0012885570626602</v>
      </c>
      <c r="AG1211">
        <v>-1.1101509801289999</v>
      </c>
      <c r="AH1211">
        <v>11.5430863334664</v>
      </c>
      <c r="AI1211">
        <v>95.317752608496704</v>
      </c>
      <c r="AJ1211">
        <v>75.425383445588096</v>
      </c>
      <c r="AK1211">
        <v>11.978439393480899</v>
      </c>
      <c r="AL1211">
        <v>80.866294814382101</v>
      </c>
      <c r="AM1211">
        <v>78.942386982889303</v>
      </c>
      <c r="AN1211">
        <v>0.99999998561333003</v>
      </c>
    </row>
    <row r="1212" spans="1:40" x14ac:dyDescent="0.25">
      <c r="A1212" t="str">
        <f>"20190312164244021"</f>
        <v>20190312164244021</v>
      </c>
      <c r="B1212" t="str">
        <f>"1552380164015407"</f>
        <v>1552380164015407</v>
      </c>
      <c r="C1212" t="s">
        <v>40</v>
      </c>
      <c r="D1212">
        <v>4.9488370000000002</v>
      </c>
      <c r="E1212">
        <v>0.53053339999999904</v>
      </c>
      <c r="F1212" t="s">
        <v>42</v>
      </c>
      <c r="G1212">
        <v>-194.69659999999999</v>
      </c>
      <c r="H1212" s="1">
        <v>-2.733931E-6</v>
      </c>
      <c r="I1212">
        <v>303.04899999999998</v>
      </c>
      <c r="J1212">
        <v>-191.00229999999999</v>
      </c>
      <c r="K1212">
        <v>1.11012</v>
      </c>
      <c r="L1212">
        <v>314.7346</v>
      </c>
      <c r="M1212">
        <v>-4.399351E-2</v>
      </c>
      <c r="N1212">
        <v>0</v>
      </c>
      <c r="O1212">
        <v>-0.99894079999999996</v>
      </c>
      <c r="P1212">
        <v>-0.23742199999999999</v>
      </c>
      <c r="Q1212">
        <v>0.1465052</v>
      </c>
      <c r="R1212">
        <v>-0.96029560000000003</v>
      </c>
      <c r="S1212">
        <v>-0.89743039999999996</v>
      </c>
      <c r="T1212">
        <v>-0.26800380000000001</v>
      </c>
      <c r="U1212">
        <v>-2.943756</v>
      </c>
      <c r="V1212">
        <v>0.1950926</v>
      </c>
      <c r="W1212">
        <v>0.15939320000000001</v>
      </c>
      <c r="X1212">
        <v>0.9677462</v>
      </c>
      <c r="Y1212">
        <v>0.2481333</v>
      </c>
      <c r="Z1212">
        <v>8.7154599999999999E-2</v>
      </c>
      <c r="AA1212">
        <v>0.96479740000000003</v>
      </c>
      <c r="AB1212">
        <v>26</v>
      </c>
      <c r="AC1212">
        <v>-3.6942999999999899</v>
      </c>
      <c r="AD1212">
        <v>-1.110122733931</v>
      </c>
      <c r="AE1212">
        <v>-11.6855999999999</v>
      </c>
      <c r="AF1212">
        <v>3.1507340843550802</v>
      </c>
      <c r="AG1212">
        <v>-1.110122733931</v>
      </c>
      <c r="AH1212">
        <v>11.7404955305798</v>
      </c>
      <c r="AI1212">
        <v>95.217985188078998</v>
      </c>
      <c r="AJ1212">
        <v>74.977792402821905</v>
      </c>
      <c r="AK1212">
        <v>12.206503719668101</v>
      </c>
      <c r="AL1212">
        <v>80.828322958391297</v>
      </c>
      <c r="AM1212">
        <v>78.602233751869093</v>
      </c>
      <c r="AN1212">
        <v>1.0000000111977101</v>
      </c>
    </row>
    <row r="1213" spans="1:40" x14ac:dyDescent="0.25">
      <c r="A1213" t="str">
        <f>"20190312164244043"</f>
        <v>20190312164244043</v>
      </c>
      <c r="B1213" t="str">
        <f>"1552380164034927"</f>
        <v>1552380164034927</v>
      </c>
      <c r="C1213" t="s">
        <v>40</v>
      </c>
      <c r="D1213">
        <v>4.8675199999999998</v>
      </c>
      <c r="E1213">
        <v>0.52995249999999905</v>
      </c>
      <c r="F1213" t="s">
        <v>42</v>
      </c>
      <c r="G1213">
        <v>-194.92490000000001</v>
      </c>
      <c r="H1213" s="1">
        <v>-2.4102210000000002E-6</v>
      </c>
      <c r="I1213">
        <v>302.15280000000001</v>
      </c>
      <c r="J1213">
        <v>-191.01439999999999</v>
      </c>
      <c r="K1213">
        <v>1.110107</v>
      </c>
      <c r="L1213">
        <v>314.47579999999999</v>
      </c>
      <c r="M1213">
        <v>-4.4497639999999998E-2</v>
      </c>
      <c r="N1213">
        <v>0</v>
      </c>
      <c r="O1213">
        <v>-0.99891909999999895</v>
      </c>
      <c r="P1213">
        <v>-0.2415822</v>
      </c>
      <c r="Q1213">
        <v>0.14704349999999999</v>
      </c>
      <c r="R1213">
        <v>-0.959175</v>
      </c>
      <c r="S1213">
        <v>-0.91571040000000004</v>
      </c>
      <c r="T1213">
        <v>-0.25915169999999998</v>
      </c>
      <c r="U1213">
        <v>-2.9371339999999999</v>
      </c>
      <c r="V1213">
        <v>0.1988106</v>
      </c>
      <c r="W1213">
        <v>0.15987199999999999</v>
      </c>
      <c r="X1213">
        <v>0.96691020000000005</v>
      </c>
      <c r="Y1213">
        <v>0.25380160000000002</v>
      </c>
      <c r="Z1213">
        <v>8.4336679999999997E-2</v>
      </c>
      <c r="AA1213">
        <v>0.9635726</v>
      </c>
      <c r="AB1213">
        <v>26</v>
      </c>
      <c r="AC1213">
        <v>-3.9105000000000101</v>
      </c>
      <c r="AD1213">
        <v>-1.1101094102209901</v>
      </c>
      <c r="AE1213">
        <v>-12.322999999999899</v>
      </c>
      <c r="AF1213">
        <v>3.3336537753523201</v>
      </c>
      <c r="AG1213">
        <v>-1.1101094102209901</v>
      </c>
      <c r="AH1213">
        <v>12.3934417220771</v>
      </c>
      <c r="AI1213">
        <v>94.943652855779007</v>
      </c>
      <c r="AJ1213">
        <v>74.944625858156499</v>
      </c>
      <c r="AK1213">
        <v>12.881886046503601</v>
      </c>
      <c r="AL1213">
        <v>80.800533488538804</v>
      </c>
      <c r="AM1213">
        <v>78.381098504219494</v>
      </c>
      <c r="AN1213">
        <v>1.00000002296019</v>
      </c>
    </row>
    <row r="1214" spans="1:40" x14ac:dyDescent="0.25">
      <c r="A1214" t="str">
        <f>"20190312164244065"</f>
        <v>20190312164244065</v>
      </c>
      <c r="B1214" t="str">
        <f>"1552380164055424"</f>
        <v>1552380164055424</v>
      </c>
      <c r="C1214" t="s">
        <v>40</v>
      </c>
      <c r="D1214">
        <v>4.7239009999999997</v>
      </c>
      <c r="E1214">
        <v>0.52961859999999905</v>
      </c>
      <c r="F1214" t="s">
        <v>42</v>
      </c>
      <c r="G1214">
        <v>-194.9264</v>
      </c>
      <c r="H1214" s="1">
        <v>-2.3542549999999999E-6</v>
      </c>
      <c r="I1214">
        <v>302.0215</v>
      </c>
      <c r="J1214">
        <v>-191.0265</v>
      </c>
      <c r="K1214">
        <v>1.1100989999999999</v>
      </c>
      <c r="L1214">
        <v>314.21719999999999</v>
      </c>
      <c r="M1214">
        <v>-4.5003429999999997E-2</v>
      </c>
      <c r="N1214">
        <v>0</v>
      </c>
      <c r="O1214">
        <v>-0.99889720000000004</v>
      </c>
      <c r="P1214">
        <v>-0.24506240000000001</v>
      </c>
      <c r="Q1214">
        <v>0.14699679999999901</v>
      </c>
      <c r="R1214">
        <v>-0.95829900000000001</v>
      </c>
      <c r="S1214">
        <v>-0.92208860000000004</v>
      </c>
      <c r="T1214">
        <v>-0.26166060000000002</v>
      </c>
      <c r="U1214">
        <v>-2.9355769999999999</v>
      </c>
      <c r="V1214">
        <v>0.20183609999999999</v>
      </c>
      <c r="W1214">
        <v>0.1597594</v>
      </c>
      <c r="X1214">
        <v>0.96630179999999999</v>
      </c>
      <c r="Y1214">
        <v>0.25534309999999999</v>
      </c>
      <c r="Z1214">
        <v>8.5142549999999997E-2</v>
      </c>
      <c r="AA1214">
        <v>0.96309429999999996</v>
      </c>
      <c r="AB1214">
        <v>26</v>
      </c>
      <c r="AC1214">
        <v>-3.8999000000000001</v>
      </c>
      <c r="AD1214">
        <v>-1.110101354255</v>
      </c>
      <c r="AE1214">
        <v>-12.195699999999899</v>
      </c>
      <c r="AF1214">
        <v>3.3220793886366602</v>
      </c>
      <c r="AG1214">
        <v>-1.110101354255</v>
      </c>
      <c r="AH1214">
        <v>12.2666609247925</v>
      </c>
      <c r="AI1214">
        <v>94.992158922795895</v>
      </c>
      <c r="AJ1214">
        <v>74.846546746986604</v>
      </c>
      <c r="AK1214">
        <v>12.756939551669699</v>
      </c>
      <c r="AL1214">
        <v>80.807068994482606</v>
      </c>
      <c r="AM1214">
        <v>78.201980763832495</v>
      </c>
      <c r="AN1214">
        <v>1.0000000229174</v>
      </c>
    </row>
    <row r="1215" spans="1:40" x14ac:dyDescent="0.25">
      <c r="A1215" t="str">
        <f>"20190312164244087"</f>
        <v>20190312164244087</v>
      </c>
      <c r="B1215" t="str">
        <f>"1552380164074943"</f>
        <v>1552380164074943</v>
      </c>
      <c r="C1215" t="s">
        <v>40</v>
      </c>
      <c r="D1215">
        <v>4.7465539999999997</v>
      </c>
      <c r="E1215">
        <v>0.52959160000000005</v>
      </c>
      <c r="F1215" t="s">
        <v>42</v>
      </c>
      <c r="G1215">
        <v>-194.9417</v>
      </c>
      <c r="H1215" s="1">
        <v>-2.286406E-6</v>
      </c>
      <c r="I1215">
        <v>301.85390000000001</v>
      </c>
      <c r="J1215">
        <v>-191.0386</v>
      </c>
      <c r="K1215">
        <v>1.110106</v>
      </c>
      <c r="L1215">
        <v>313.96230000000003</v>
      </c>
      <c r="M1215">
        <v>-4.5504799999999998E-2</v>
      </c>
      <c r="N1215">
        <v>0</v>
      </c>
      <c r="O1215">
        <v>-0.99887550000000003</v>
      </c>
      <c r="P1215">
        <v>-0.24861900000000001</v>
      </c>
      <c r="Q1215">
        <v>0.1472888</v>
      </c>
      <c r="R1215">
        <v>-0.95733749999999995</v>
      </c>
      <c r="S1215">
        <v>-0.92890930000000005</v>
      </c>
      <c r="T1215">
        <v>-0.26338470000000003</v>
      </c>
      <c r="U1215">
        <v>-2.9333499999999999</v>
      </c>
      <c r="V1215">
        <v>0.2049463</v>
      </c>
      <c r="W1215">
        <v>0.15998019999999999</v>
      </c>
      <c r="X1215">
        <v>0.96561039999999998</v>
      </c>
      <c r="Y1215">
        <v>0.2570887</v>
      </c>
      <c r="Z1215">
        <v>8.5708740000000005E-2</v>
      </c>
      <c r="AA1215">
        <v>0.96257950000000003</v>
      </c>
      <c r="AB1215">
        <v>26</v>
      </c>
      <c r="AC1215">
        <v>-3.90309999999999</v>
      </c>
      <c r="AD1215">
        <v>-1.1101082864059999</v>
      </c>
      <c r="AE1215">
        <v>-12.1084</v>
      </c>
      <c r="AF1215">
        <v>3.3227171868354501</v>
      </c>
      <c r="AG1215">
        <v>-1.1101082864059999</v>
      </c>
      <c r="AH1215">
        <v>12.1807338301162</v>
      </c>
      <c r="AI1215">
        <v>95.024742600208796</v>
      </c>
      <c r="AJ1215">
        <v>74.741821581923105</v>
      </c>
      <c r="AK1215">
        <v>12.6745045880057</v>
      </c>
      <c r="AL1215">
        <v>80.794253479593806</v>
      </c>
      <c r="AM1215">
        <v>78.0170623870264</v>
      </c>
      <c r="AN1215">
        <v>1.0000000474319399</v>
      </c>
    </row>
    <row r="1216" spans="1:40" x14ac:dyDescent="0.25">
      <c r="A1216" t="str">
        <f>"20190312164244110"</f>
        <v>20190312164244110</v>
      </c>
      <c r="B1216" t="str">
        <f>"1552380164105200"</f>
        <v>1552380164105200</v>
      </c>
      <c r="C1216" t="s">
        <v>40</v>
      </c>
      <c r="D1216">
        <v>4.8178660000000004</v>
      </c>
      <c r="E1216">
        <v>0.5294354</v>
      </c>
      <c r="F1216" t="s">
        <v>42</v>
      </c>
      <c r="G1216">
        <v>-195.02719999999999</v>
      </c>
      <c r="H1216" s="1">
        <v>-2.1666550000000002E-6</v>
      </c>
      <c r="I1216">
        <v>301.52170000000001</v>
      </c>
      <c r="J1216">
        <v>-191.05119999999999</v>
      </c>
      <c r="K1216">
        <v>1.1100989999999999</v>
      </c>
      <c r="L1216">
        <v>313.70069999999998</v>
      </c>
      <c r="M1216">
        <v>-4.6020869999999998E-2</v>
      </c>
      <c r="N1216">
        <v>0</v>
      </c>
      <c r="O1216">
        <v>-0.99885259999999998</v>
      </c>
      <c r="P1216">
        <v>-0.25228279999999997</v>
      </c>
      <c r="Q1216">
        <v>0.14719019999999999</v>
      </c>
      <c r="R1216">
        <v>-0.95639370000000001</v>
      </c>
      <c r="S1216">
        <v>-0.93936160000000002</v>
      </c>
      <c r="T1216">
        <v>-0.26144800000000001</v>
      </c>
      <c r="U1216">
        <v>-2.9299620000000002</v>
      </c>
      <c r="V1216">
        <v>0.20814849999999999</v>
      </c>
      <c r="W1216">
        <v>0.15980839999999999</v>
      </c>
      <c r="X1216">
        <v>0.96495359999999997</v>
      </c>
      <c r="Y1216">
        <v>0.26004179999999999</v>
      </c>
      <c r="Z1216">
        <v>8.5094329999999996E-2</v>
      </c>
      <c r="AA1216">
        <v>0.96184049999999999</v>
      </c>
      <c r="AB1216">
        <v>26</v>
      </c>
      <c r="AC1216">
        <v>-3.9759999999999902</v>
      </c>
      <c r="AD1216">
        <v>-1.110101166655</v>
      </c>
      <c r="AE1216">
        <v>-12.178999999999901</v>
      </c>
      <c r="AF1216">
        <v>3.3858286884361601</v>
      </c>
      <c r="AG1216">
        <v>-1.110101166655</v>
      </c>
      <c r="AH1216">
        <v>12.2570638083254</v>
      </c>
      <c r="AI1216">
        <v>94.9892042476353</v>
      </c>
      <c r="AJ1216">
        <v>74.557990056662405</v>
      </c>
      <c r="AK1216">
        <v>12.764473107379199</v>
      </c>
      <c r="AL1216">
        <v>80.804224623080302</v>
      </c>
      <c r="AM1216">
        <v>77.827335963030507</v>
      </c>
      <c r="AN1216">
        <v>0.99999998645788402</v>
      </c>
    </row>
    <row r="1217" spans="1:40" x14ac:dyDescent="0.25">
      <c r="A1217" t="str">
        <f>"20190312164244132"</f>
        <v>20190312164244132</v>
      </c>
      <c r="B1217" t="str">
        <f>"1552380164125696"</f>
        <v>1552380164125696</v>
      </c>
      <c r="C1217" t="s">
        <v>40</v>
      </c>
      <c r="D1217">
        <v>4.9138809999999999</v>
      </c>
      <c r="E1217">
        <v>0.51861069999999998</v>
      </c>
      <c r="F1217" t="s">
        <v>42</v>
      </c>
      <c r="G1217">
        <v>-195.09139999999999</v>
      </c>
      <c r="H1217" s="1">
        <v>-2.0615110000000002E-6</v>
      </c>
      <c r="I1217">
        <v>301.23669999999998</v>
      </c>
      <c r="J1217">
        <v>-191.0642</v>
      </c>
      <c r="K1217">
        <v>1.1100920000000001</v>
      </c>
      <c r="L1217">
        <v>313.43369999999999</v>
      </c>
      <c r="M1217">
        <v>-4.6548859999999997E-2</v>
      </c>
      <c r="N1217">
        <v>0</v>
      </c>
      <c r="O1217">
        <v>-0.99882870000000001</v>
      </c>
      <c r="P1217">
        <v>-0.25625879999999901</v>
      </c>
      <c r="Q1217">
        <v>0.14705389999999999</v>
      </c>
      <c r="R1217">
        <v>-0.95535680000000001</v>
      </c>
      <c r="S1217">
        <v>-0.9486694</v>
      </c>
      <c r="T1217">
        <v>-0.26066080000000003</v>
      </c>
      <c r="U1217">
        <v>-2.9266359999999998</v>
      </c>
      <c r="V1217">
        <v>0.21165600000000001</v>
      </c>
      <c r="W1217">
        <v>0.1595956</v>
      </c>
      <c r="X1217">
        <v>0.96422560000000002</v>
      </c>
      <c r="Y1217">
        <v>0.26262550000000001</v>
      </c>
      <c r="Z1217">
        <v>8.485761E-2</v>
      </c>
      <c r="AA1217">
        <v>0.96115919999999999</v>
      </c>
      <c r="AB1217">
        <v>26</v>
      </c>
      <c r="AC1217">
        <v>-4.0271999999999899</v>
      </c>
      <c r="AD1217">
        <v>-1.110094061511</v>
      </c>
      <c r="AE1217">
        <v>-12.196999999999999</v>
      </c>
      <c r="AF1217">
        <v>3.4294128347762398</v>
      </c>
      <c r="AG1217">
        <v>-1.110094061511</v>
      </c>
      <c r="AH1217">
        <v>12.279535800160501</v>
      </c>
      <c r="AI1217">
        <v>94.976200433503394</v>
      </c>
      <c r="AJ1217">
        <v>74.3960834710537</v>
      </c>
      <c r="AK1217">
        <v>12.797663094649399</v>
      </c>
      <c r="AL1217">
        <v>80.816575931598194</v>
      </c>
      <c r="AM1217">
        <v>77.619428903622506</v>
      </c>
      <c r="AN1217">
        <v>1.0000000127853499</v>
      </c>
    </row>
    <row r="1218" spans="1:40" x14ac:dyDescent="0.25">
      <c r="A1218" t="str">
        <f>"20190312164244154"</f>
        <v>20190312164244154</v>
      </c>
      <c r="B1218" t="str">
        <f>"1552380164145216"</f>
        <v>1552380164145216</v>
      </c>
      <c r="C1218" t="s">
        <v>40</v>
      </c>
      <c r="D1218">
        <v>4.7428189999999999</v>
      </c>
      <c r="E1218">
        <v>0.51918880000000001</v>
      </c>
      <c r="F1218" t="s">
        <v>42</v>
      </c>
      <c r="G1218">
        <v>-194.17420000000001</v>
      </c>
      <c r="H1218" s="1">
        <v>-2.5338140000000002E-6</v>
      </c>
      <c r="I1218">
        <v>302.90649999999999</v>
      </c>
      <c r="J1218">
        <v>-191.07689999999999</v>
      </c>
      <c r="K1218">
        <v>1.1100890000000001</v>
      </c>
      <c r="L1218">
        <v>313.1737</v>
      </c>
      <c r="M1218">
        <v>-4.7062600000000003E-2</v>
      </c>
      <c r="N1218">
        <v>0</v>
      </c>
      <c r="O1218">
        <v>-0.99880579999999997</v>
      </c>
      <c r="P1218">
        <v>-0.2595363</v>
      </c>
      <c r="Q1218">
        <v>0.1469058</v>
      </c>
      <c r="R1218">
        <v>-0.95449470000000003</v>
      </c>
      <c r="S1218">
        <v>-0.87272640000000001</v>
      </c>
      <c r="T1218">
        <v>-0.31150600000000001</v>
      </c>
      <c r="U1218">
        <v>-2.9540410000000001</v>
      </c>
      <c r="V1218">
        <v>0.21447240000000001</v>
      </c>
      <c r="W1218">
        <v>0.15937670000000001</v>
      </c>
      <c r="X1218">
        <v>0.96363929999999998</v>
      </c>
      <c r="Y1218">
        <v>0.23642759999999999</v>
      </c>
      <c r="Z1218">
        <v>0.101075</v>
      </c>
      <c r="AA1218">
        <v>0.96637770000000001</v>
      </c>
      <c r="AB1218">
        <v>26</v>
      </c>
      <c r="AC1218">
        <v>-3.0973000000000099</v>
      </c>
      <c r="AD1218">
        <v>-1.1100915338139901</v>
      </c>
      <c r="AE1218">
        <v>-10.267200000000001</v>
      </c>
      <c r="AF1218">
        <v>2.5829487450657198</v>
      </c>
      <c r="AG1218">
        <v>-1.1100915338139901</v>
      </c>
      <c r="AH1218">
        <v>10.291330621859</v>
      </c>
      <c r="AI1218">
        <v>95.972658892768607</v>
      </c>
      <c r="AJ1218">
        <v>75.910761608370507</v>
      </c>
      <c r="AK1218">
        <v>10.668430690663699</v>
      </c>
      <c r="AL1218">
        <v>80.829280677496698</v>
      </c>
      <c r="AM1218">
        <v>77.452477064626194</v>
      </c>
      <c r="AN1218">
        <v>1.0000000216845599</v>
      </c>
    </row>
    <row r="1219" spans="1:40" x14ac:dyDescent="0.25">
      <c r="A1219" t="str">
        <f>"20190312164244177"</f>
        <v>20190312164244177</v>
      </c>
      <c r="B1219" t="str">
        <f>"1552380164165712"</f>
        <v>1552380164165712</v>
      </c>
      <c r="C1219" t="s">
        <v>40</v>
      </c>
      <c r="D1219">
        <v>4.8757929999999998</v>
      </c>
      <c r="E1219">
        <v>0.5211481</v>
      </c>
      <c r="F1219" t="s">
        <v>42</v>
      </c>
      <c r="G1219">
        <v>-194.3383</v>
      </c>
      <c r="H1219" s="1">
        <v>-2.3314140000000002E-6</v>
      </c>
      <c r="I1219">
        <v>302.33300000000003</v>
      </c>
      <c r="J1219">
        <v>-191.09010000000001</v>
      </c>
      <c r="K1219">
        <v>1.1100909999999999</v>
      </c>
      <c r="L1219">
        <v>312.90730000000002</v>
      </c>
      <c r="M1219">
        <v>-4.7588270000000002E-2</v>
      </c>
      <c r="N1219">
        <v>0</v>
      </c>
      <c r="O1219">
        <v>-0.99878160000000005</v>
      </c>
      <c r="P1219">
        <v>-0.2630865</v>
      </c>
      <c r="Q1219">
        <v>0.147088</v>
      </c>
      <c r="R1219">
        <v>-0.95349410000000001</v>
      </c>
      <c r="S1219">
        <v>-0.88697809999999899</v>
      </c>
      <c r="T1219">
        <v>-0.30190669999999997</v>
      </c>
      <c r="U1219">
        <v>-2.9483030000000001</v>
      </c>
      <c r="V1219">
        <v>0.21755740000000001</v>
      </c>
      <c r="W1219">
        <v>0.1594892</v>
      </c>
      <c r="X1219">
        <v>0.96292880000000003</v>
      </c>
      <c r="Y1219">
        <v>0.2408015</v>
      </c>
      <c r="Z1219">
        <v>9.8049650000000002E-2</v>
      </c>
      <c r="AA1219">
        <v>0.9656091</v>
      </c>
      <c r="AB1219">
        <v>26</v>
      </c>
      <c r="AC1219">
        <v>-3.24819999999999</v>
      </c>
      <c r="AD1219">
        <v>-1.110093331414</v>
      </c>
      <c r="AE1219">
        <v>-10.574299999999999</v>
      </c>
      <c r="AF1219">
        <v>2.7139327156213899</v>
      </c>
      <c r="AG1219">
        <v>-1.110093331414</v>
      </c>
      <c r="AH1219">
        <v>10.6100572628359</v>
      </c>
      <c r="AI1219">
        <v>95.787907385310007</v>
      </c>
      <c r="AJ1219">
        <v>75.6520262074242</v>
      </c>
      <c r="AK1219">
        <v>11.0077723954499</v>
      </c>
      <c r="AL1219">
        <v>80.822750726136107</v>
      </c>
      <c r="AM1219">
        <v>77.268745159168603</v>
      </c>
      <c r="AN1219">
        <v>0.99999995054041801</v>
      </c>
    </row>
    <row r="1220" spans="1:40" x14ac:dyDescent="0.25">
      <c r="A1220" t="str">
        <f>"20190312164244202"</f>
        <v>20190312164244202</v>
      </c>
      <c r="B1220" t="str">
        <f>"1552380164194991"</f>
        <v>1552380164194991</v>
      </c>
      <c r="C1220" t="s">
        <v>40</v>
      </c>
      <c r="D1220">
        <v>4.7864199999999997</v>
      </c>
      <c r="E1220">
        <v>0.52095519999999995</v>
      </c>
      <c r="F1220" t="s">
        <v>42</v>
      </c>
      <c r="G1220">
        <v>-194.6138</v>
      </c>
      <c r="H1220" s="1">
        <v>-2.080154E-6</v>
      </c>
      <c r="I1220">
        <v>301.57639999999998</v>
      </c>
      <c r="J1220">
        <v>-191.10409999999999</v>
      </c>
      <c r="K1220">
        <v>1.11009</v>
      </c>
      <c r="L1220">
        <v>312.62779999999998</v>
      </c>
      <c r="M1220">
        <v>-4.8140670000000003E-2</v>
      </c>
      <c r="N1220">
        <v>0</v>
      </c>
      <c r="O1220">
        <v>-0.99875610000000004</v>
      </c>
      <c r="P1220">
        <v>-0.2661578</v>
      </c>
      <c r="Q1220">
        <v>0.1468961</v>
      </c>
      <c r="R1220">
        <v>-0.95267109999999999</v>
      </c>
      <c r="S1220">
        <v>-0.91383360000000002</v>
      </c>
      <c r="T1220">
        <v>-0.28788979999999997</v>
      </c>
      <c r="U1220">
        <v>-2.9385379999999999</v>
      </c>
      <c r="V1220">
        <v>0.22013060000000001</v>
      </c>
      <c r="W1220">
        <v>0.1592285</v>
      </c>
      <c r="X1220">
        <v>0.96238699999999999</v>
      </c>
      <c r="Y1220">
        <v>0.2493351</v>
      </c>
      <c r="Z1220">
        <v>9.360628E-2</v>
      </c>
      <c r="AA1220">
        <v>0.96388269999999998</v>
      </c>
      <c r="AB1220">
        <v>26</v>
      </c>
      <c r="AC1220">
        <v>-3.5097</v>
      </c>
      <c r="AD1220">
        <v>-1.110092080154</v>
      </c>
      <c r="AE1220">
        <v>-11.051399999999999</v>
      </c>
      <c r="AF1220">
        <v>2.9465569132956402</v>
      </c>
      <c r="AG1220">
        <v>-1.110092080154</v>
      </c>
      <c r="AH1220">
        <v>11.1057689488497</v>
      </c>
      <c r="AI1220">
        <v>95.518428837478893</v>
      </c>
      <c r="AJ1220">
        <v>75.140766605495401</v>
      </c>
      <c r="AK1220">
        <v>11.5435092591008</v>
      </c>
      <c r="AL1220">
        <v>80.837881244063198</v>
      </c>
      <c r="AM1220">
        <v>77.116148164728799</v>
      </c>
      <c r="AN1220">
        <v>0.999999967018804</v>
      </c>
    </row>
    <row r="1221" spans="1:40" x14ac:dyDescent="0.25">
      <c r="A1221" t="str">
        <f>"20190312164244222"</f>
        <v>20190312164244222</v>
      </c>
      <c r="B1221" t="str">
        <f>"1552380164215489"</f>
        <v>1552380164215489</v>
      </c>
      <c r="C1221" t="s">
        <v>40</v>
      </c>
      <c r="D1221">
        <v>4.8957350000000002</v>
      </c>
      <c r="E1221">
        <v>0.52040649999999999</v>
      </c>
      <c r="F1221" t="s">
        <v>42</v>
      </c>
      <c r="G1221">
        <v>-194.63820000000001</v>
      </c>
      <c r="H1221" s="1">
        <v>-1.9983570000000001E-6</v>
      </c>
      <c r="I1221">
        <v>301.37060000000002</v>
      </c>
      <c r="J1221">
        <v>-191.1165</v>
      </c>
      <c r="K1221">
        <v>1.1100859999999999</v>
      </c>
      <c r="L1221">
        <v>312.38240000000002</v>
      </c>
      <c r="M1221">
        <v>-4.8627219999999999E-2</v>
      </c>
      <c r="N1221">
        <v>0</v>
      </c>
      <c r="O1221">
        <v>-0.99873319999999999</v>
      </c>
      <c r="P1221">
        <v>-0.2692252</v>
      </c>
      <c r="Q1221">
        <v>0.14647199999999999</v>
      </c>
      <c r="R1221">
        <v>-0.951874</v>
      </c>
      <c r="S1221">
        <v>-0.92178340000000003</v>
      </c>
      <c r="T1221">
        <v>-0.2895393</v>
      </c>
      <c r="U1221">
        <v>-2.9361570000000001</v>
      </c>
      <c r="V1221">
        <v>0.22276290000000001</v>
      </c>
      <c r="W1221">
        <v>0.1587421</v>
      </c>
      <c r="X1221">
        <v>0.96186159999999998</v>
      </c>
      <c r="Y1221">
        <v>0.25144689999999997</v>
      </c>
      <c r="Z1221">
        <v>9.4143580000000004E-2</v>
      </c>
      <c r="AA1221">
        <v>0.96328159999999896</v>
      </c>
      <c r="AB1221">
        <v>26</v>
      </c>
      <c r="AC1221">
        <v>-3.5217000000000001</v>
      </c>
      <c r="AD1221">
        <v>-1.110087998357</v>
      </c>
      <c r="AE1221">
        <v>-11.0117999999999</v>
      </c>
      <c r="AF1221">
        <v>2.95477359670405</v>
      </c>
      <c r="AG1221">
        <v>-1.110087998357</v>
      </c>
      <c r="AH1221">
        <v>11.067994469106001</v>
      </c>
      <c r="AI1221">
        <v>95.5348725970982</v>
      </c>
      <c r="AJ1221">
        <v>75.0525944034312</v>
      </c>
      <c r="AK1221">
        <v>11.5092781676366</v>
      </c>
      <c r="AL1221">
        <v>80.866109713224205</v>
      </c>
      <c r="AM1221">
        <v>76.960438671312403</v>
      </c>
      <c r="AN1221">
        <v>1.00000005074168</v>
      </c>
    </row>
    <row r="1222" spans="1:40" x14ac:dyDescent="0.25">
      <c r="A1222" t="str">
        <f>"20190312164244243"</f>
        <v>20190312164244243</v>
      </c>
      <c r="B1222" t="str">
        <f>"1552380164235008"</f>
        <v>1552380164235008</v>
      </c>
      <c r="C1222" t="s">
        <v>40</v>
      </c>
      <c r="D1222">
        <v>4.8967499999999999</v>
      </c>
      <c r="E1222">
        <v>0.5201443</v>
      </c>
      <c r="F1222" t="s">
        <v>42</v>
      </c>
      <c r="G1222">
        <v>-194.57310000000001</v>
      </c>
      <c r="H1222" s="1">
        <v>-2.0046930000000001E-6</v>
      </c>
      <c r="I1222">
        <v>301.42570000000001</v>
      </c>
      <c r="J1222">
        <v>-191.1292</v>
      </c>
      <c r="K1222">
        <v>1.1100730000000001</v>
      </c>
      <c r="L1222">
        <v>312.13639999999998</v>
      </c>
      <c r="M1222">
        <v>-4.9116239999999999E-2</v>
      </c>
      <c r="N1222">
        <v>0</v>
      </c>
      <c r="O1222">
        <v>-0.99870959999999998</v>
      </c>
      <c r="P1222">
        <v>-0.272725</v>
      </c>
      <c r="Q1222">
        <v>0.14688370000000001</v>
      </c>
      <c r="R1222">
        <v>-0.95081340000000003</v>
      </c>
      <c r="S1222">
        <v>-0.92608639999999998</v>
      </c>
      <c r="T1222">
        <v>-0.29741390000000001</v>
      </c>
      <c r="U1222">
        <v>-2.9355159999999998</v>
      </c>
      <c r="V1222">
        <v>0.22583900000000001</v>
      </c>
      <c r="W1222">
        <v>0.15909289999999901</v>
      </c>
      <c r="X1222">
        <v>0.96108590000000005</v>
      </c>
      <c r="Y1222">
        <v>0.2522452</v>
      </c>
      <c r="Z1222">
        <v>9.6665269999999998E-2</v>
      </c>
      <c r="AA1222">
        <v>0.96282299999999998</v>
      </c>
      <c r="AB1222">
        <v>26</v>
      </c>
      <c r="AC1222">
        <v>-3.44390000000001</v>
      </c>
      <c r="AD1222">
        <v>-1.1100750046929999</v>
      </c>
      <c r="AE1222">
        <v>-10.7106999999999</v>
      </c>
      <c r="AF1222">
        <v>2.8855385320849001</v>
      </c>
      <c r="AG1222">
        <v>-1.1100750046929999</v>
      </c>
      <c r="AH1222">
        <v>10.762165362933001</v>
      </c>
      <c r="AI1222">
        <v>95.689445273996</v>
      </c>
      <c r="AJ1222">
        <v>74.9909351968127</v>
      </c>
      <c r="AK1222">
        <v>11.197446246144899</v>
      </c>
      <c r="AL1222">
        <v>80.845750766529207</v>
      </c>
      <c r="AM1222">
        <v>76.776363278781602</v>
      </c>
      <c r="AN1222">
        <v>0.99999995596510904</v>
      </c>
    </row>
    <row r="1223" spans="1:40" x14ac:dyDescent="0.25">
      <c r="A1223" t="str">
        <f>"20190312164244267"</f>
        <v>20190312164244267</v>
      </c>
      <c r="B1223" t="str">
        <f>"1552380164255503"</f>
        <v>1552380164255503</v>
      </c>
      <c r="C1223" t="s">
        <v>40</v>
      </c>
      <c r="D1223">
        <v>4.8665039999999999</v>
      </c>
      <c r="E1223">
        <v>0.52003239999999995</v>
      </c>
      <c r="F1223" t="s">
        <v>42</v>
      </c>
      <c r="G1223">
        <v>-194.60759999999999</v>
      </c>
      <c r="H1223" s="1">
        <v>-1.924293E-6</v>
      </c>
      <c r="I1223">
        <v>301.21690000000001</v>
      </c>
      <c r="J1223">
        <v>-191.14320000000001</v>
      </c>
      <c r="K1223">
        <v>1.1100699999999999</v>
      </c>
      <c r="L1223">
        <v>311.86369999999999</v>
      </c>
      <c r="M1223">
        <v>-4.9658220000000003E-2</v>
      </c>
      <c r="N1223">
        <v>0</v>
      </c>
      <c r="O1223">
        <v>-0.9986836</v>
      </c>
      <c r="P1223">
        <v>-0.27615260000000003</v>
      </c>
      <c r="Q1223">
        <v>0.14743149999999999</v>
      </c>
      <c r="R1223">
        <v>-0.94973890000000005</v>
      </c>
      <c r="S1223">
        <v>-0.93440250000000002</v>
      </c>
      <c r="T1223">
        <v>-0.2981974</v>
      </c>
      <c r="U1223">
        <v>-2.9332579999999999</v>
      </c>
      <c r="V1223">
        <v>0.22879340000000001</v>
      </c>
      <c r="W1223">
        <v>0.1595801</v>
      </c>
      <c r="X1223">
        <v>0.96030610000000005</v>
      </c>
      <c r="Y1223">
        <v>0.2544053</v>
      </c>
      <c r="Z1223">
        <v>9.6915920000000003E-2</v>
      </c>
      <c r="AA1223">
        <v>0.96222929999999995</v>
      </c>
      <c r="AB1223">
        <v>26</v>
      </c>
      <c r="AC1223">
        <v>-3.4643999999999799</v>
      </c>
      <c r="AD1223">
        <v>-1.1100719242929999</v>
      </c>
      <c r="AE1223">
        <v>-10.646799999999899</v>
      </c>
      <c r="AF1223">
        <v>2.9028452541103</v>
      </c>
      <c r="AG1223">
        <v>-1.1100719242929999</v>
      </c>
      <c r="AH1223">
        <v>10.7005260004326</v>
      </c>
      <c r="AI1223">
        <v>95.717469538840703</v>
      </c>
      <c r="AJ1223">
        <v>74.8220587172394</v>
      </c>
      <c r="AK1223">
        <v>11.142711830266</v>
      </c>
      <c r="AL1223">
        <v>80.817475584425594</v>
      </c>
      <c r="AM1223">
        <v>76.599084412888899</v>
      </c>
      <c r="AN1223">
        <v>1.00000001694838</v>
      </c>
    </row>
    <row r="1224" spans="1:40" x14ac:dyDescent="0.25">
      <c r="A1224" t="str">
        <f>"20190312164244290"</f>
        <v>20190312164244290</v>
      </c>
      <c r="B1224" t="str">
        <f>"1552380164284784"</f>
        <v>1552380164284784</v>
      </c>
      <c r="C1224" t="s">
        <v>40</v>
      </c>
      <c r="D1224">
        <v>4.8719000000000001</v>
      </c>
      <c r="E1224">
        <v>0.51968380000000003</v>
      </c>
      <c r="F1224" t="s">
        <v>42</v>
      </c>
      <c r="G1224">
        <v>-194.65219999999999</v>
      </c>
      <c r="H1224" s="1">
        <v>-1.826147E-6</v>
      </c>
      <c r="I1224">
        <v>300.96050000000002</v>
      </c>
      <c r="J1224">
        <v>-191.1575</v>
      </c>
      <c r="K1224">
        <v>1.11007099999999</v>
      </c>
      <c r="L1224">
        <v>311.58929999999998</v>
      </c>
      <c r="M1224">
        <v>-5.0204760000000001E-2</v>
      </c>
      <c r="N1224">
        <v>0</v>
      </c>
      <c r="O1224">
        <v>-0.99865689999999996</v>
      </c>
      <c r="P1224">
        <v>-0.2796322</v>
      </c>
      <c r="Q1224">
        <v>0.1479036</v>
      </c>
      <c r="R1224">
        <v>-0.94864660000000001</v>
      </c>
      <c r="S1224">
        <v>-0.943222</v>
      </c>
      <c r="T1224">
        <v>-0.29839369999999998</v>
      </c>
      <c r="U1224">
        <v>-2.930847</v>
      </c>
      <c r="V1224">
        <v>0.23179720000000001</v>
      </c>
      <c r="W1224">
        <v>0.15999430000000001</v>
      </c>
      <c r="X1224">
        <v>0.95951649999999999</v>
      </c>
      <c r="Y1224">
        <v>0.25672879999999998</v>
      </c>
      <c r="Z1224">
        <v>9.6977019999999997E-2</v>
      </c>
      <c r="AA1224">
        <v>0.96160579999999996</v>
      </c>
      <c r="AB1224">
        <v>26</v>
      </c>
      <c r="AC1224">
        <v>-3.4946999999999901</v>
      </c>
      <c r="AD1224">
        <v>-1.1100728261470001</v>
      </c>
      <c r="AE1224">
        <v>-10.628799999999901</v>
      </c>
      <c r="AF1224">
        <v>2.9278120407939401</v>
      </c>
      <c r="AG1224">
        <v>-1.1100728261470001</v>
      </c>
      <c r="AH1224">
        <v>10.6856739900864</v>
      </c>
      <c r="AI1224">
        <v>95.721453011594406</v>
      </c>
      <c r="AJ1224">
        <v>74.6773421670716</v>
      </c>
      <c r="AK1224">
        <v>11.1349887134194</v>
      </c>
      <c r="AL1224">
        <v>80.793434774100106</v>
      </c>
      <c r="AM1224">
        <v>76.418858270523401</v>
      </c>
      <c r="AN1224">
        <v>1.0000000158662801</v>
      </c>
    </row>
    <row r="1225" spans="1:40" x14ac:dyDescent="0.25">
      <c r="A1225" t="str">
        <f>"20190312164244312"</f>
        <v>20190312164244312</v>
      </c>
      <c r="B1225" t="str">
        <f>"1552380164305546"</f>
        <v>1552380164305546</v>
      </c>
      <c r="C1225" t="s">
        <v>40</v>
      </c>
      <c r="D1225">
        <v>4.7616110000000003</v>
      </c>
      <c r="E1225">
        <v>0.4945813</v>
      </c>
      <c r="F1225" t="s">
        <v>42</v>
      </c>
      <c r="G1225">
        <v>-194.65289999999999</v>
      </c>
      <c r="H1225" s="1">
        <v>-1.7655449999999901E-6</v>
      </c>
      <c r="I1225">
        <v>300.81880000000001</v>
      </c>
      <c r="J1225">
        <v>-191.17070000000001</v>
      </c>
      <c r="K1225">
        <v>1.1100749999999999</v>
      </c>
      <c r="L1225">
        <v>311.34050000000002</v>
      </c>
      <c r="M1225">
        <v>-5.0701780000000002E-2</v>
      </c>
      <c r="N1225">
        <v>0</v>
      </c>
      <c r="O1225">
        <v>-0.99863239999999998</v>
      </c>
      <c r="P1225">
        <v>-0.282499</v>
      </c>
      <c r="Q1225">
        <v>0.1481642</v>
      </c>
      <c r="R1225">
        <v>-0.94775620000000005</v>
      </c>
      <c r="S1225">
        <v>-0.95063779999999998</v>
      </c>
      <c r="T1225">
        <v>-0.30190679999999998</v>
      </c>
      <c r="U1225">
        <v>-2.9292600000000002</v>
      </c>
      <c r="V1225">
        <v>0.2342274</v>
      </c>
      <c r="W1225">
        <v>0.16020279999999901</v>
      </c>
      <c r="X1225">
        <v>0.9588913</v>
      </c>
      <c r="Y1225">
        <v>0.25856990000000002</v>
      </c>
      <c r="Z1225">
        <v>9.8092380000000007E-2</v>
      </c>
      <c r="AA1225">
        <v>0.96099920000000005</v>
      </c>
      <c r="AB1225">
        <v>26</v>
      </c>
      <c r="AC1225">
        <v>-3.48219999999997</v>
      </c>
      <c r="AD1225">
        <v>-1.1100767655449999</v>
      </c>
      <c r="AE1225">
        <v>-10.521699999999999</v>
      </c>
      <c r="AF1225">
        <v>2.9149648615046901</v>
      </c>
      <c r="AG1225">
        <v>-1.1100767655449999</v>
      </c>
      <c r="AH1225">
        <v>10.5786068949679</v>
      </c>
      <c r="AI1225">
        <v>95.7767054980918</v>
      </c>
      <c r="AJ1225">
        <v>74.594306118228602</v>
      </c>
      <c r="AK1225">
        <v>11.028880922717001</v>
      </c>
      <c r="AL1225">
        <v>80.781332058125599</v>
      </c>
      <c r="AM1225">
        <v>76.273218589041406</v>
      </c>
      <c r="AN1225">
        <v>0.99999996862714402</v>
      </c>
    </row>
    <row r="1226" spans="1:40" x14ac:dyDescent="0.25">
      <c r="A1226" t="str">
        <f>"20190312164244334"</f>
        <v>20190312164244334</v>
      </c>
      <c r="B1226" t="str">
        <f>"1552380164325067"</f>
        <v>1552380164325067</v>
      </c>
      <c r="C1226" t="s">
        <v>40</v>
      </c>
      <c r="D1226">
        <v>4.8857160000000004</v>
      </c>
      <c r="E1226">
        <v>0.4889444</v>
      </c>
      <c r="F1226" t="s">
        <v>42</v>
      </c>
      <c r="G1226">
        <v>-194.0017</v>
      </c>
      <c r="H1226" s="1">
        <v>-1.3780810000000001E-6</v>
      </c>
      <c r="I1226">
        <v>300.31950000000001</v>
      </c>
      <c r="J1226">
        <v>-191.18440000000001</v>
      </c>
      <c r="K1226">
        <v>1.1100749999999999</v>
      </c>
      <c r="L1226">
        <v>311.08339999999998</v>
      </c>
      <c r="M1226">
        <v>-5.1217119999999998E-2</v>
      </c>
      <c r="N1226">
        <v>0</v>
      </c>
      <c r="O1226">
        <v>-0.99860660000000001</v>
      </c>
      <c r="P1226">
        <v>-0.28602709999999998</v>
      </c>
      <c r="Q1226">
        <v>0.14851489999999901</v>
      </c>
      <c r="R1226">
        <v>-0.94664280000000001</v>
      </c>
      <c r="S1226">
        <v>-0.76647949999999998</v>
      </c>
      <c r="T1226">
        <v>-0.30054809999999998</v>
      </c>
      <c r="U1226">
        <v>-2.9838870000000002</v>
      </c>
      <c r="V1226">
        <v>0.2373123</v>
      </c>
      <c r="W1226">
        <v>0.1604979</v>
      </c>
      <c r="X1226">
        <v>0.95808320000000002</v>
      </c>
      <c r="Y1226">
        <v>0.19767480000000001</v>
      </c>
      <c r="Z1226">
        <v>9.7466410000000003E-2</v>
      </c>
      <c r="AA1226">
        <v>0.97541020000000001</v>
      </c>
      <c r="AB1226">
        <v>26</v>
      </c>
      <c r="AC1226">
        <v>-2.8172999999999799</v>
      </c>
      <c r="AD1226">
        <v>-1.1100763780809999</v>
      </c>
      <c r="AE1226">
        <v>-10.7638999999999</v>
      </c>
      <c r="AF1226">
        <v>2.2399650900747501</v>
      </c>
      <c r="AG1226">
        <v>-1.1100763780809999</v>
      </c>
      <c r="AH1226">
        <v>10.786707317507</v>
      </c>
      <c r="AI1226">
        <v>95.753810591387193</v>
      </c>
      <c r="AJ1226">
        <v>78.268703394802003</v>
      </c>
      <c r="AK1226">
        <v>11.0726134188585</v>
      </c>
      <c r="AL1226">
        <v>80.764203277705903</v>
      </c>
      <c r="AM1226">
        <v>76.088128586342506</v>
      </c>
      <c r="AN1226">
        <v>1.0000000608789601</v>
      </c>
    </row>
    <row r="1227" spans="1:40" x14ac:dyDescent="0.25">
      <c r="A1227" t="str">
        <f>"20190312164244357"</f>
        <v>20190312164244357</v>
      </c>
      <c r="B1227" t="str">
        <f>"1552380164345562"</f>
        <v>1552380164345562</v>
      </c>
      <c r="C1227" t="s">
        <v>40</v>
      </c>
      <c r="D1227">
        <v>4.9688309999999998</v>
      </c>
      <c r="E1227">
        <v>0.48594159999999997</v>
      </c>
      <c r="F1227" t="s">
        <v>45</v>
      </c>
      <c r="G1227">
        <v>-194.06720000000001</v>
      </c>
      <c r="H1227" s="1">
        <v>4.860644E-8</v>
      </c>
      <c r="I1227">
        <v>299.34030000000001</v>
      </c>
      <c r="J1227">
        <v>-191.1986</v>
      </c>
      <c r="K1227">
        <v>1.1100650000000001</v>
      </c>
      <c r="L1227">
        <v>310.81760000000003</v>
      </c>
      <c r="M1227">
        <v>-5.1751810000000002E-2</v>
      </c>
      <c r="N1227">
        <v>0</v>
      </c>
      <c r="O1227">
        <v>-0.99857969999999896</v>
      </c>
      <c r="P1227">
        <v>-0.29002929999999999</v>
      </c>
      <c r="Q1227">
        <v>0.14873220000000001</v>
      </c>
      <c r="R1227">
        <v>-0.94538990000000001</v>
      </c>
      <c r="S1227">
        <v>-0.73439030000000005</v>
      </c>
      <c r="T1227">
        <v>-0.28279090000000001</v>
      </c>
      <c r="U1227">
        <v>-2.9915470000000002</v>
      </c>
      <c r="V1227">
        <v>0.24085999999999999</v>
      </c>
      <c r="W1227">
        <v>0.16066220000000001</v>
      </c>
      <c r="X1227">
        <v>0.95716979999999996</v>
      </c>
      <c r="Y1227">
        <v>0.18682170000000001</v>
      </c>
      <c r="Z1227">
        <v>9.1744629999999994E-2</v>
      </c>
      <c r="AA1227">
        <v>0.97810050000000004</v>
      </c>
      <c r="AB1227">
        <v>26</v>
      </c>
      <c r="AC1227">
        <v>-2.86860000000001</v>
      </c>
      <c r="AD1227">
        <v>-1.1100649513935601</v>
      </c>
      <c r="AE1227">
        <v>-11.4773</v>
      </c>
      <c r="AF1227">
        <v>2.2509186651163202</v>
      </c>
      <c r="AG1227">
        <v>-1.1100649513935601</v>
      </c>
      <c r="AH1227">
        <v>11.5090541628438</v>
      </c>
      <c r="AI1227">
        <v>95.407395680671698</v>
      </c>
      <c r="AJ1227">
        <v>78.933886474099893</v>
      </c>
      <c r="AK1227">
        <v>11.7795248951965</v>
      </c>
      <c r="AL1227">
        <v>80.754664816163498</v>
      </c>
      <c r="AM1227">
        <v>75.875477320408095</v>
      </c>
      <c r="AN1227">
        <v>0.99999995407043796</v>
      </c>
    </row>
    <row r="1228" spans="1:40" x14ac:dyDescent="0.25">
      <c r="A1228" t="str">
        <f>"20190312164244380"</f>
        <v>20190312164244380</v>
      </c>
      <c r="B1228" t="str">
        <f>"1552380164374842"</f>
        <v>1552380164374842</v>
      </c>
      <c r="C1228" t="s">
        <v>40</v>
      </c>
      <c r="D1228">
        <v>4.7386900000000001</v>
      </c>
      <c r="E1228">
        <v>0.48462729999999998</v>
      </c>
      <c r="F1228" t="s">
        <v>45</v>
      </c>
      <c r="G1228">
        <v>-194.14779999999999</v>
      </c>
      <c r="H1228" s="1">
        <v>1.81378E-7</v>
      </c>
      <c r="I1228">
        <v>298.5865</v>
      </c>
      <c r="J1228">
        <v>-191.21299999999999</v>
      </c>
      <c r="K1228">
        <v>1.1100669999999999</v>
      </c>
      <c r="L1228">
        <v>310.55349999999999</v>
      </c>
      <c r="M1228">
        <v>-5.228638E-2</v>
      </c>
      <c r="N1228">
        <v>0</v>
      </c>
      <c r="O1228">
        <v>-0.99855229999999995</v>
      </c>
      <c r="P1228">
        <v>-0.29390379999999999</v>
      </c>
      <c r="Q1228">
        <v>0.14904700000000001</v>
      </c>
      <c r="R1228">
        <v>-0.94414319999999896</v>
      </c>
      <c r="S1228">
        <v>-0.72203059999999997</v>
      </c>
      <c r="T1228">
        <v>-0.27177309999999999</v>
      </c>
      <c r="U1228">
        <v>-2.994507</v>
      </c>
      <c r="V1228">
        <v>0.24428159999999999</v>
      </c>
      <c r="W1228">
        <v>0.1609276</v>
      </c>
      <c r="X1228">
        <v>0.95625769999999999</v>
      </c>
      <c r="Y1228">
        <v>0.18233360000000001</v>
      </c>
      <c r="Z1228">
        <v>8.8190920000000006E-2</v>
      </c>
      <c r="AA1228">
        <v>0.97927359999999997</v>
      </c>
      <c r="AB1228">
        <v>26</v>
      </c>
      <c r="AC1228">
        <v>-2.9347999999999899</v>
      </c>
      <c r="AD1228">
        <v>-1.110066818622</v>
      </c>
      <c r="AE1228">
        <v>-11.966999999999899</v>
      </c>
      <c r="AF1228">
        <v>2.2864660827093601</v>
      </c>
      <c r="AG1228">
        <v>-1.110066818622</v>
      </c>
      <c r="AH1228">
        <v>12.006639788459999</v>
      </c>
      <c r="AI1228">
        <v>95.189493885941701</v>
      </c>
      <c r="AJ1228">
        <v>79.218064135696494</v>
      </c>
      <c r="AK1228">
        <v>12.272716671504201</v>
      </c>
      <c r="AL1228">
        <v>80.739258382075803</v>
      </c>
      <c r="AM1228">
        <v>75.669928525145906</v>
      </c>
      <c r="AN1228">
        <v>0.99999999067480405</v>
      </c>
    </row>
    <row r="1229" spans="1:40" x14ac:dyDescent="0.25">
      <c r="A1229" t="str">
        <f>"20190312164244403"</f>
        <v>20190312164244403</v>
      </c>
      <c r="B1229" t="str">
        <f>"1552380164395338"</f>
        <v>1552380164395338</v>
      </c>
      <c r="C1229" t="s">
        <v>40</v>
      </c>
      <c r="D1229">
        <v>4.7170639999999997</v>
      </c>
      <c r="E1229">
        <v>0.48394870000000001</v>
      </c>
      <c r="F1229" t="s">
        <v>45</v>
      </c>
      <c r="G1229">
        <v>-194.3022</v>
      </c>
      <c r="H1229" s="1">
        <v>3.2468869999999997E-7</v>
      </c>
      <c r="I1229">
        <v>297.77269999999999</v>
      </c>
      <c r="J1229">
        <v>-191.2276</v>
      </c>
      <c r="K1229">
        <v>1.110053</v>
      </c>
      <c r="L1229">
        <v>310.2878</v>
      </c>
      <c r="M1229">
        <v>-5.284378E-2</v>
      </c>
      <c r="N1229">
        <v>0</v>
      </c>
      <c r="O1229">
        <v>-0.99852320000000006</v>
      </c>
      <c r="P1229">
        <v>-0.29721019999999998</v>
      </c>
      <c r="Q1229">
        <v>0.1493901</v>
      </c>
      <c r="R1229">
        <v>-0.94305289999999997</v>
      </c>
      <c r="S1229">
        <v>-0.72351069999999995</v>
      </c>
      <c r="T1229">
        <v>-0.25998320000000003</v>
      </c>
      <c r="U1229">
        <v>-2.9933169999999998</v>
      </c>
      <c r="V1229">
        <v>0.24711060000000001</v>
      </c>
      <c r="W1229">
        <v>0.16122129999999901</v>
      </c>
      <c r="X1229">
        <v>0.95548109999999997</v>
      </c>
      <c r="Y1229">
        <v>0.18240790000000001</v>
      </c>
      <c r="Z1229">
        <v>8.4416699999999997E-2</v>
      </c>
      <c r="AA1229">
        <v>0.97959240000000003</v>
      </c>
      <c r="AB1229">
        <v>26</v>
      </c>
      <c r="AC1229">
        <v>-3.0746000000000002</v>
      </c>
      <c r="AD1229">
        <v>-1.1100526753113</v>
      </c>
      <c r="AE1229">
        <v>-12.5151</v>
      </c>
      <c r="AF1229">
        <v>2.3911647444775901</v>
      </c>
      <c r="AG1229">
        <v>-1.1100526753113</v>
      </c>
      <c r="AH1229">
        <v>12.566859133246799</v>
      </c>
      <c r="AI1229">
        <v>94.959411712761096</v>
      </c>
      <c r="AJ1229">
        <v>79.226801584313904</v>
      </c>
      <c r="AK1229">
        <v>12.8403985238803</v>
      </c>
      <c r="AL1229">
        <v>80.722208473764994</v>
      </c>
      <c r="AM1229">
        <v>75.499641067069504</v>
      </c>
      <c r="AN1229">
        <v>1.0000000443316199</v>
      </c>
    </row>
    <row r="1230" spans="1:40" x14ac:dyDescent="0.25">
      <c r="A1230" t="str">
        <f>"20190312164244423"</f>
        <v>20190312164244423</v>
      </c>
      <c r="B1230" t="str">
        <f>"1552380164414858"</f>
        <v>1552380164414858</v>
      </c>
      <c r="C1230" t="s">
        <v>40</v>
      </c>
      <c r="D1230">
        <v>4.7032759999999998</v>
      </c>
      <c r="E1230">
        <v>0.48342479999999899</v>
      </c>
      <c r="F1230" t="s">
        <v>45</v>
      </c>
      <c r="G1230">
        <v>-194.38290000000001</v>
      </c>
      <c r="H1230" s="1">
        <v>4.0594570000000002E-7</v>
      </c>
      <c r="I1230">
        <v>297.35770000000002</v>
      </c>
      <c r="J1230">
        <v>-191.2413</v>
      </c>
      <c r="K1230">
        <v>1.110033</v>
      </c>
      <c r="L1230">
        <v>310.03989999999999</v>
      </c>
      <c r="M1230">
        <v>-5.340818E-2</v>
      </c>
      <c r="N1230">
        <v>0</v>
      </c>
      <c r="O1230">
        <v>-0.99849370000000004</v>
      </c>
      <c r="P1230">
        <v>-0.30121409999999998</v>
      </c>
      <c r="Q1230">
        <v>0.14941989999999999</v>
      </c>
      <c r="R1230">
        <v>-0.94177710000000003</v>
      </c>
      <c r="S1230">
        <v>-0.73007200000000005</v>
      </c>
      <c r="T1230">
        <v>-0.25684309999999999</v>
      </c>
      <c r="U1230">
        <v>-2.9917600000000002</v>
      </c>
      <c r="V1230">
        <v>0.25064589999999998</v>
      </c>
      <c r="W1230">
        <v>0.16118979999999999</v>
      </c>
      <c r="X1230">
        <v>0.954565</v>
      </c>
      <c r="Y1230">
        <v>0.18401709999999999</v>
      </c>
      <c r="Z1230">
        <v>8.3408700000000002E-2</v>
      </c>
      <c r="AA1230">
        <v>0.97937770000000002</v>
      </c>
      <c r="AB1230">
        <v>26</v>
      </c>
      <c r="AC1230">
        <v>-3.1416000000000102</v>
      </c>
      <c r="AD1230">
        <v>-1.1100325940543001</v>
      </c>
      <c r="AE1230">
        <v>-12.6821999999999</v>
      </c>
      <c r="AF1230">
        <v>2.4421016532141202</v>
      </c>
      <c r="AG1230">
        <v>-1.1100325940543001</v>
      </c>
      <c r="AH1230">
        <v>12.7399399228053</v>
      </c>
      <c r="AI1230">
        <v>94.8910083199588</v>
      </c>
      <c r="AJ1230">
        <v>79.148681459353099</v>
      </c>
      <c r="AK1230">
        <v>13.0192972959827</v>
      </c>
      <c r="AL1230">
        <v>80.724036129944494</v>
      </c>
      <c r="AM1230">
        <v>75.287620127888204</v>
      </c>
      <c r="AN1230">
        <v>0.99999992901792201</v>
      </c>
    </row>
    <row r="1231" spans="1:40" x14ac:dyDescent="0.25">
      <c r="A1231" t="str">
        <f>"20190312164244445"</f>
        <v>20190312164244445</v>
      </c>
      <c r="B1231" t="str">
        <f>"1552380164435354"</f>
        <v>1552380164435354</v>
      </c>
      <c r="C1231" t="s">
        <v>40</v>
      </c>
      <c r="D1231">
        <v>4.7025090000000001</v>
      </c>
      <c r="E1231">
        <v>0.48305900000000002</v>
      </c>
      <c r="F1231" t="s">
        <v>45</v>
      </c>
      <c r="G1231">
        <v>-194.4479</v>
      </c>
      <c r="H1231" s="1">
        <v>5.0530329999999996E-7</v>
      </c>
      <c r="I1231">
        <v>297.06029999999998</v>
      </c>
      <c r="J1231">
        <v>-191.25540000000001</v>
      </c>
      <c r="K1231">
        <v>1.1099939999999999</v>
      </c>
      <c r="L1231">
        <v>309.79020000000003</v>
      </c>
      <c r="M1231">
        <v>-5.4024669999999997E-2</v>
      </c>
      <c r="N1231">
        <v>0</v>
      </c>
      <c r="O1231">
        <v>-0.99846080000000004</v>
      </c>
      <c r="P1231">
        <v>-0.30540780000000001</v>
      </c>
      <c r="Q1231">
        <v>0.14980470000000001</v>
      </c>
      <c r="R1231">
        <v>-0.94036439999999999</v>
      </c>
      <c r="S1231">
        <v>-0.73861690000000002</v>
      </c>
      <c r="T1231">
        <v>-0.25569249999999999</v>
      </c>
      <c r="U1231">
        <v>-2.9898069999999999</v>
      </c>
      <c r="V1231">
        <v>0.25433430000000001</v>
      </c>
      <c r="W1231">
        <v>0.1615036</v>
      </c>
      <c r="X1231">
        <v>0.95353589999999999</v>
      </c>
      <c r="Y1231">
        <v>0.18620439999999999</v>
      </c>
      <c r="Z1231">
        <v>8.3040859999999994E-2</v>
      </c>
      <c r="AA1231">
        <v>0.97899539999999996</v>
      </c>
      <c r="AB1231">
        <v>26</v>
      </c>
      <c r="AC1231">
        <v>-3.1924999999999901</v>
      </c>
      <c r="AD1231">
        <v>-1.1099934946967001</v>
      </c>
      <c r="AE1231">
        <v>-12.729900000000001</v>
      </c>
      <c r="AF1231">
        <v>2.4822977876413601</v>
      </c>
      <c r="AG1231">
        <v>-1.1099934946967001</v>
      </c>
      <c r="AH1231">
        <v>12.792287793246899</v>
      </c>
      <c r="AI1231">
        <v>94.868794521299805</v>
      </c>
      <c r="AJ1231">
        <v>79.018434493697498</v>
      </c>
      <c r="AK1231">
        <v>13.0780929362829</v>
      </c>
      <c r="AL1231">
        <v>80.705818969497798</v>
      </c>
      <c r="AM1231">
        <v>75.065325793751498</v>
      </c>
      <c r="AN1231">
        <v>1.0000000307791199</v>
      </c>
    </row>
    <row r="1232" spans="1:40" x14ac:dyDescent="0.25">
      <c r="A1232" t="str">
        <f>"20190312164244467"</f>
        <v>20190312164244467</v>
      </c>
      <c r="B1232" t="str">
        <f>"1552380164455850"</f>
        <v>1552380164455850</v>
      </c>
      <c r="C1232" t="s">
        <v>40</v>
      </c>
      <c r="D1232">
        <v>4.6816110000000002</v>
      </c>
      <c r="E1232">
        <v>0.48265249999999998</v>
      </c>
      <c r="F1232" t="s">
        <v>45</v>
      </c>
      <c r="G1232">
        <v>-194.52959999999999</v>
      </c>
      <c r="H1232" s="1">
        <v>6.2008369999999995E-7</v>
      </c>
      <c r="I1232">
        <v>296.71510000000001</v>
      </c>
      <c r="J1232">
        <v>-191.26990000000001</v>
      </c>
      <c r="K1232">
        <v>1.1099399999999999</v>
      </c>
      <c r="L1232">
        <v>309.53800000000001</v>
      </c>
      <c r="M1232">
        <v>-5.4726700000000003E-2</v>
      </c>
      <c r="N1232">
        <v>0</v>
      </c>
      <c r="O1232">
        <v>-0.99842319999999996</v>
      </c>
      <c r="P1232">
        <v>-0.30882159999999997</v>
      </c>
      <c r="Q1232">
        <v>0.1488313</v>
      </c>
      <c r="R1232">
        <v>-0.93940369999999995</v>
      </c>
      <c r="S1232">
        <v>-0.74815369999999903</v>
      </c>
      <c r="T1232">
        <v>-0.25363469999999999</v>
      </c>
      <c r="U1232">
        <v>-2.9876710000000002</v>
      </c>
      <c r="V1232">
        <v>0.25714369999999998</v>
      </c>
      <c r="W1232">
        <v>0.16045699999999999</v>
      </c>
      <c r="X1232">
        <v>0.95295890000000005</v>
      </c>
      <c r="Y1232">
        <v>0.1886323</v>
      </c>
      <c r="Z1232">
        <v>8.2378880000000002E-2</v>
      </c>
      <c r="AA1232">
        <v>0.97858650000000003</v>
      </c>
      <c r="AB1232">
        <v>26</v>
      </c>
      <c r="AC1232">
        <v>-3.2596999999999801</v>
      </c>
      <c r="AD1232">
        <v>-1.1099393799163</v>
      </c>
      <c r="AE1232">
        <v>-12.822900000000001</v>
      </c>
      <c r="AF1232">
        <v>2.5351626747398299</v>
      </c>
      <c r="AG1232">
        <v>-1.1099393799163</v>
      </c>
      <c r="AH1232">
        <v>12.8913613130991</v>
      </c>
      <c r="AI1232">
        <v>94.828959406729496</v>
      </c>
      <c r="AJ1232">
        <v>78.874417153752006</v>
      </c>
      <c r="AK1232">
        <v>13.1850753399195</v>
      </c>
      <c r="AL1232">
        <v>80.7665768614645</v>
      </c>
      <c r="AM1232">
        <v>74.899122631758203</v>
      </c>
      <c r="AN1232">
        <v>0.99999999819395002</v>
      </c>
    </row>
    <row r="1233" spans="1:40" x14ac:dyDescent="0.25">
      <c r="A1233" t="str">
        <f>"20190312164244490"</f>
        <v>20190312164244490</v>
      </c>
      <c r="B1233" t="str">
        <f>"1552380164485130"</f>
        <v>1552380164485130</v>
      </c>
      <c r="C1233" t="s">
        <v>40</v>
      </c>
      <c r="D1233">
        <v>4.699065</v>
      </c>
      <c r="E1233">
        <v>0.48203279999999898</v>
      </c>
      <c r="F1233" t="s">
        <v>45</v>
      </c>
      <c r="G1233">
        <v>-194.54499999999999</v>
      </c>
      <c r="H1233" s="1">
        <v>6.5519929999999999E-7</v>
      </c>
      <c r="I1233">
        <v>296.61189999999999</v>
      </c>
      <c r="J1233">
        <v>-191.28579999999999</v>
      </c>
      <c r="K1233">
        <v>1.109845</v>
      </c>
      <c r="L1233">
        <v>309.26499999999999</v>
      </c>
      <c r="M1233">
        <v>-5.562288E-2</v>
      </c>
      <c r="N1233">
        <v>0</v>
      </c>
      <c r="O1233">
        <v>-0.99837399999999998</v>
      </c>
      <c r="P1233">
        <v>-0.31193690000000002</v>
      </c>
      <c r="Q1233">
        <v>0.147643</v>
      </c>
      <c r="R1233">
        <v>-0.93856150000000005</v>
      </c>
      <c r="S1233">
        <v>-0.75643919999999998</v>
      </c>
      <c r="T1233">
        <v>-0.25635839999999999</v>
      </c>
      <c r="U1233">
        <v>-2.985474</v>
      </c>
      <c r="V1233">
        <v>0.25947530000000002</v>
      </c>
      <c r="W1233">
        <v>0.15917999999999999</v>
      </c>
      <c r="X1233">
        <v>0.95254099999999997</v>
      </c>
      <c r="Y1233">
        <v>0.19045599999999999</v>
      </c>
      <c r="Z1233">
        <v>8.32677E-2</v>
      </c>
      <c r="AA1233">
        <v>0.97815799999999997</v>
      </c>
      <c r="AB1233">
        <v>26</v>
      </c>
      <c r="AC1233">
        <v>-3.2591999999999901</v>
      </c>
      <c r="AD1233">
        <v>-1.1098443448007</v>
      </c>
      <c r="AE1233">
        <v>-12.653099999999901</v>
      </c>
      <c r="AF1233">
        <v>2.53202853553897</v>
      </c>
      <c r="AG1233">
        <v>-1.1098443448007</v>
      </c>
      <c r="AH1233">
        <v>12.7230127579405</v>
      </c>
      <c r="AI1233">
        <v>94.889947305331006</v>
      </c>
      <c r="AJ1233">
        <v>78.744524782442497</v>
      </c>
      <c r="AK1233">
        <v>13.0199069356576</v>
      </c>
      <c r="AL1233">
        <v>80.840696573302097</v>
      </c>
      <c r="AM1233">
        <v>74.762160567043395</v>
      </c>
      <c r="AN1233">
        <v>1.0000000301955401</v>
      </c>
    </row>
    <row r="1234" spans="1:40" x14ac:dyDescent="0.25">
      <c r="A1234" t="str">
        <f>"20190312164244511"</f>
        <v>20190312164244511</v>
      </c>
      <c r="B1234" t="str">
        <f>"1552380164505626"</f>
        <v>1552380164505626</v>
      </c>
      <c r="C1234" t="s">
        <v>40</v>
      </c>
      <c r="D1234">
        <v>4.8440799999999999</v>
      </c>
      <c r="E1234">
        <v>0.48171239999999999</v>
      </c>
      <c r="F1234" t="s">
        <v>45</v>
      </c>
      <c r="G1234">
        <v>-194.5326</v>
      </c>
      <c r="H1234" s="1">
        <v>6.7753159999999898E-7</v>
      </c>
      <c r="I1234">
        <v>296.55189999999999</v>
      </c>
      <c r="J1234">
        <v>-191.30009999999999</v>
      </c>
      <c r="K1234">
        <v>1.1097379999999999</v>
      </c>
      <c r="L1234">
        <v>309.02690000000001</v>
      </c>
      <c r="M1234">
        <v>-5.6554460000000001E-2</v>
      </c>
      <c r="N1234">
        <v>0</v>
      </c>
      <c r="O1234">
        <v>-0.99832180000000004</v>
      </c>
      <c r="P1234">
        <v>-0.31552529999999901</v>
      </c>
      <c r="Q1234">
        <v>0.1468614</v>
      </c>
      <c r="R1234">
        <v>-0.93748399999999998</v>
      </c>
      <c r="S1234">
        <v>-0.76208500000000001</v>
      </c>
      <c r="T1234">
        <v>-0.26050410000000002</v>
      </c>
      <c r="U1234">
        <v>-2.9840390000000001</v>
      </c>
      <c r="V1234">
        <v>0.26226569999999999</v>
      </c>
      <c r="W1234">
        <v>0.15830239999999901</v>
      </c>
      <c r="X1234">
        <v>0.95192279999999996</v>
      </c>
      <c r="Y1234">
        <v>0.19136210000000001</v>
      </c>
      <c r="Z1234">
        <v>8.4610160000000004E-2</v>
      </c>
      <c r="AA1234">
        <v>0.97786589999999995</v>
      </c>
      <c r="AB1234">
        <v>26</v>
      </c>
      <c r="AC1234">
        <v>-3.2325000000000101</v>
      </c>
      <c r="AD1234">
        <v>-1.1097373224684</v>
      </c>
      <c r="AE1234">
        <v>-12.475</v>
      </c>
      <c r="AF1234">
        <v>2.50319172689712</v>
      </c>
      <c r="AG1234">
        <v>-1.1097373224684</v>
      </c>
      <c r="AH1234">
        <v>12.5448318805235</v>
      </c>
      <c r="AI1234">
        <v>94.958082806454996</v>
      </c>
      <c r="AJ1234">
        <v>78.715429816523795</v>
      </c>
      <c r="AK1234">
        <v>12.840182734567501</v>
      </c>
      <c r="AL1234">
        <v>80.891624671045605</v>
      </c>
      <c r="AM1234">
        <v>74.5965048232394</v>
      </c>
      <c r="AN1234">
        <v>0.99999998220104402</v>
      </c>
    </row>
    <row r="1235" spans="1:40" x14ac:dyDescent="0.25">
      <c r="A1235" t="str">
        <f>"20190312164244533"</f>
        <v>20190312164244533</v>
      </c>
      <c r="B1235" t="str">
        <f>"1552380164525146"</f>
        <v>1552380164525146</v>
      </c>
      <c r="C1235" t="s">
        <v>40</v>
      </c>
      <c r="D1235">
        <v>4.6886130000000001</v>
      </c>
      <c r="E1235">
        <v>0.4814602</v>
      </c>
      <c r="F1235" t="s">
        <v>45</v>
      </c>
      <c r="G1235">
        <v>-194.5384</v>
      </c>
      <c r="H1235" s="1">
        <v>6.9566199999999997E-7</v>
      </c>
      <c r="I1235">
        <v>296.4991</v>
      </c>
      <c r="J1235">
        <v>-191.3167</v>
      </c>
      <c r="K1235">
        <v>1.109591</v>
      </c>
      <c r="L1235">
        <v>308.75760000000002</v>
      </c>
      <c r="M1235">
        <v>-5.7811359999999999E-2</v>
      </c>
      <c r="N1235">
        <v>0</v>
      </c>
      <c r="O1235">
        <v>-0.99824990000000002</v>
      </c>
      <c r="P1235">
        <v>-0.31974530000000001</v>
      </c>
      <c r="Q1235">
        <v>0.14648029999999901</v>
      </c>
      <c r="R1235">
        <v>-0.93611219999999995</v>
      </c>
      <c r="S1235">
        <v>-0.77081299999999997</v>
      </c>
      <c r="T1235">
        <v>-0.26415260000000002</v>
      </c>
      <c r="U1235">
        <v>-2.981995</v>
      </c>
      <c r="V1235">
        <v>0.26541100000000001</v>
      </c>
      <c r="W1235">
        <v>0.1577944</v>
      </c>
      <c r="X1235">
        <v>0.95113499999999995</v>
      </c>
      <c r="Y1235">
        <v>0.19294649999999999</v>
      </c>
      <c r="Z1235">
        <v>8.5789619999999997E-2</v>
      </c>
      <c r="AA1235">
        <v>0.97745170000000003</v>
      </c>
      <c r="AB1235">
        <v>26</v>
      </c>
      <c r="AC1235">
        <v>-3.22169999999999</v>
      </c>
      <c r="AD1235">
        <v>-1.109590304338</v>
      </c>
      <c r="AE1235">
        <v>-12.2585</v>
      </c>
      <c r="AF1235">
        <v>2.4885040754366901</v>
      </c>
      <c r="AG1235">
        <v>-1.109590304338</v>
      </c>
      <c r="AH1235">
        <v>12.329767216301899</v>
      </c>
      <c r="AI1235">
        <v>95.041242686469602</v>
      </c>
      <c r="AJ1235">
        <v>78.589341902275905</v>
      </c>
      <c r="AK1235">
        <v>12.627232586166301</v>
      </c>
      <c r="AL1235">
        <v>80.921100931480495</v>
      </c>
      <c r="AM1235">
        <v>74.408419879781206</v>
      </c>
      <c r="AN1235">
        <v>0.99999992990867703</v>
      </c>
    </row>
    <row r="1236" spans="1:40" x14ac:dyDescent="0.25">
      <c r="A1236" t="str">
        <f>"20190312164244556"</f>
        <v>20190312164244556</v>
      </c>
      <c r="B1236" t="str">
        <f>"1552380164545642"</f>
        <v>1552380164545642</v>
      </c>
      <c r="C1236" t="s">
        <v>40</v>
      </c>
      <c r="D1236">
        <v>4.7189709999999998</v>
      </c>
      <c r="E1236">
        <v>0.48128409999999999</v>
      </c>
      <c r="F1236" t="s">
        <v>45</v>
      </c>
      <c r="G1236">
        <v>-194.5805</v>
      </c>
      <c r="H1236" s="1">
        <v>7.5951069999999995E-7</v>
      </c>
      <c r="I1236">
        <v>296.30799999999999</v>
      </c>
      <c r="J1236">
        <v>-191.333</v>
      </c>
      <c r="K1236">
        <v>1.1094299999999999</v>
      </c>
      <c r="L1236">
        <v>308.50119999999998</v>
      </c>
      <c r="M1236">
        <v>-5.9234240000000001E-2</v>
      </c>
      <c r="N1236">
        <v>0</v>
      </c>
      <c r="O1236">
        <v>-0.99816680000000002</v>
      </c>
      <c r="P1236">
        <v>-0.32414379999999998</v>
      </c>
      <c r="Q1236">
        <v>0.1457859</v>
      </c>
      <c r="R1236">
        <v>-0.93470719999999996</v>
      </c>
      <c r="S1236">
        <v>-0.78109740000000005</v>
      </c>
      <c r="T1236">
        <v>-0.26555030000000002</v>
      </c>
      <c r="U1236">
        <v>-2.979492</v>
      </c>
      <c r="V1236">
        <v>0.26858579999999999</v>
      </c>
      <c r="W1236">
        <v>0.15696370000000001</v>
      </c>
      <c r="X1236">
        <v>0.95038100000000003</v>
      </c>
      <c r="Y1236">
        <v>0.19489629999999999</v>
      </c>
      <c r="Z1236">
        <v>8.62454E-2</v>
      </c>
      <c r="AA1236">
        <v>0.97702469999999997</v>
      </c>
      <c r="AB1236">
        <v>26</v>
      </c>
      <c r="AC1236">
        <v>-3.2475000000000001</v>
      </c>
      <c r="AD1236">
        <v>-1.10942924048929</v>
      </c>
      <c r="AE1236">
        <v>-12.1931999999999</v>
      </c>
      <c r="AF1236">
        <v>2.5001590229417099</v>
      </c>
      <c r="AG1236">
        <v>-1.10942924048929</v>
      </c>
      <c r="AH1236">
        <v>12.269318395188501</v>
      </c>
      <c r="AI1236">
        <v>95.063311548672601</v>
      </c>
      <c r="AJ1236">
        <v>78.482342296932302</v>
      </c>
      <c r="AK1236">
        <v>12.570513205997599</v>
      </c>
      <c r="AL1236">
        <v>80.969297697001295</v>
      </c>
      <c r="AM1236">
        <v>74.219254215167794</v>
      </c>
      <c r="AN1236">
        <v>0.99999999012016505</v>
      </c>
    </row>
    <row r="1237" spans="1:40" x14ac:dyDescent="0.25">
      <c r="A1237" t="str">
        <f>"20190312164244582"</f>
        <v>20190312164244582</v>
      </c>
      <c r="B1237" t="str">
        <f>"1552380164574922"</f>
        <v>1552380164574922</v>
      </c>
      <c r="C1237" t="s">
        <v>40</v>
      </c>
      <c r="D1237">
        <v>4.6217030000000001</v>
      </c>
      <c r="E1237">
        <v>0.51131870000000001</v>
      </c>
      <c r="F1237" t="s">
        <v>45</v>
      </c>
      <c r="G1237">
        <v>-194.58699999999999</v>
      </c>
      <c r="H1237" s="1">
        <v>7.7889050000000002E-7</v>
      </c>
      <c r="I1237">
        <v>296.25150000000002</v>
      </c>
      <c r="J1237">
        <v>-191.35239999999999</v>
      </c>
      <c r="K1237">
        <v>1.1092299999999999</v>
      </c>
      <c r="L1237">
        <v>308.20830000000001</v>
      </c>
      <c r="M1237">
        <v>-6.1139369999999998E-2</v>
      </c>
      <c r="N1237">
        <v>0</v>
      </c>
      <c r="O1237">
        <v>-0.99805200000000005</v>
      </c>
      <c r="P1237">
        <v>-0.32923799999999998</v>
      </c>
      <c r="Q1237">
        <v>0.14506350000000001</v>
      </c>
      <c r="R1237">
        <v>-0.93303760000000002</v>
      </c>
      <c r="S1237">
        <v>-0.79089359999999997</v>
      </c>
      <c r="T1237">
        <v>-0.26964929999999998</v>
      </c>
      <c r="U1237">
        <v>-2.977325</v>
      </c>
      <c r="V1237">
        <v>0.27202809999999999</v>
      </c>
      <c r="W1237">
        <v>0.15607779999999999</v>
      </c>
      <c r="X1237">
        <v>0.94954749999999999</v>
      </c>
      <c r="Y1237">
        <v>0.1961744</v>
      </c>
      <c r="Z1237">
        <v>8.7565160000000003E-2</v>
      </c>
      <c r="AA1237">
        <v>0.97665139999999995</v>
      </c>
      <c r="AB1237">
        <v>26</v>
      </c>
      <c r="AC1237">
        <v>-3.2346000000000199</v>
      </c>
      <c r="AD1237">
        <v>-1.1092292211094901</v>
      </c>
      <c r="AE1237">
        <v>-11.9567999999999</v>
      </c>
      <c r="AF1237">
        <v>2.4775916613037201</v>
      </c>
      <c r="AG1237">
        <v>-1.1092292211094901</v>
      </c>
      <c r="AH1237">
        <v>12.0356865784675</v>
      </c>
      <c r="AI1237">
        <v>95.158048717844196</v>
      </c>
      <c r="AJ1237">
        <v>78.367936162945895</v>
      </c>
      <c r="AK1237">
        <v>12.338014480467599</v>
      </c>
      <c r="AL1237">
        <v>81.020689637931994</v>
      </c>
      <c r="AM1237">
        <v>74.013954627016901</v>
      </c>
      <c r="AN1237">
        <v>1.0000000107993401</v>
      </c>
    </row>
    <row r="1238" spans="1:40" x14ac:dyDescent="0.25">
      <c r="A1238" t="str">
        <f>"20190312164244625"</f>
        <v>20190312164244625</v>
      </c>
      <c r="B1238" t="str">
        <f>"1552380164614938"</f>
        <v>1552380164614938</v>
      </c>
      <c r="C1238" t="s">
        <v>40</v>
      </c>
      <c r="D1238">
        <v>4.81867</v>
      </c>
      <c r="E1238">
        <v>0.52871800000000002</v>
      </c>
      <c r="F1238" t="s">
        <v>45</v>
      </c>
      <c r="G1238">
        <v>-195.19669999999999</v>
      </c>
      <c r="H1238" s="1">
        <v>3.8609399999999999E-7</v>
      </c>
      <c r="I1238">
        <v>297.42399999999998</v>
      </c>
      <c r="J1238">
        <v>-191.38829999999999</v>
      </c>
      <c r="K1238">
        <v>1.1088899999999999</v>
      </c>
      <c r="L1238">
        <v>307.70209999999997</v>
      </c>
      <c r="M1238">
        <v>-6.5189289999999997E-2</v>
      </c>
      <c r="N1238">
        <v>0</v>
      </c>
      <c r="O1238">
        <v>-0.99779620000000002</v>
      </c>
      <c r="P1238">
        <v>-0.34107789999999999</v>
      </c>
      <c r="Q1238">
        <v>0.145704799999999</v>
      </c>
      <c r="R1238">
        <v>-0.92867469999999996</v>
      </c>
      <c r="S1238">
        <v>-1.032761</v>
      </c>
      <c r="T1238">
        <v>-0.29799700000000001</v>
      </c>
      <c r="U1238">
        <v>-2.8972169999999999</v>
      </c>
      <c r="V1238">
        <v>0.28039140000000001</v>
      </c>
      <c r="W1238">
        <v>0.15642259999999999</v>
      </c>
      <c r="X1238">
        <v>0.94705470000000003</v>
      </c>
      <c r="Y1238">
        <v>0.27206320000000001</v>
      </c>
      <c r="Z1238">
        <v>9.7102980000000005E-2</v>
      </c>
      <c r="AA1238">
        <v>0.95736750000000004</v>
      </c>
      <c r="AB1238">
        <v>26</v>
      </c>
      <c r="AC1238">
        <v>-3.8083999999999998</v>
      </c>
      <c r="AD1238">
        <v>-1.1088896139059901</v>
      </c>
      <c r="AE1238">
        <v>-10.278099999999901</v>
      </c>
      <c r="AF1238">
        <v>3.0985121357126002</v>
      </c>
      <c r="AG1238">
        <v>-1.1088896139059901</v>
      </c>
      <c r="AH1238">
        <v>10.3980982258506</v>
      </c>
      <c r="AI1238">
        <v>95.835502357603801</v>
      </c>
      <c r="AJ1238">
        <v>73.406556464742195</v>
      </c>
      <c r="AK1238">
        <v>10.9064595696965</v>
      </c>
      <c r="AL1238">
        <v>81.000688162025796</v>
      </c>
      <c r="AM1238">
        <v>73.507730352635704</v>
      </c>
      <c r="AN1238">
        <v>0.999999985888404</v>
      </c>
    </row>
    <row r="1239" spans="1:40" x14ac:dyDescent="0.25">
      <c r="A1239" t="str">
        <f>"20190312164244646"</f>
        <v>20190312164244646</v>
      </c>
      <c r="B1239" t="str">
        <f>"1552380164635435"</f>
        <v>1552380164635435</v>
      </c>
      <c r="C1239" t="s">
        <v>40</v>
      </c>
      <c r="D1239">
        <v>4.6014689999999998</v>
      </c>
      <c r="E1239">
        <v>0.53110930000000001</v>
      </c>
      <c r="F1239" t="s">
        <v>45</v>
      </c>
      <c r="G1239">
        <v>-195.84549999999999</v>
      </c>
      <c r="H1239" s="1">
        <v>4.3222139999999998E-7</v>
      </c>
      <c r="I1239">
        <v>297.16210000000001</v>
      </c>
      <c r="J1239">
        <v>-191.40610000000001</v>
      </c>
      <c r="K1239">
        <v>1.108762</v>
      </c>
      <c r="L1239">
        <v>307.4649</v>
      </c>
      <c r="M1239">
        <v>-6.7349610000000004E-2</v>
      </c>
      <c r="N1239">
        <v>0</v>
      </c>
      <c r="O1239">
        <v>-0.99765239999999999</v>
      </c>
      <c r="P1239">
        <v>-0.34770190000000001</v>
      </c>
      <c r="Q1239">
        <v>0.14627889999999999</v>
      </c>
      <c r="R1239">
        <v>-0.92612419999999995</v>
      </c>
      <c r="S1239">
        <v>-1.199554</v>
      </c>
      <c r="T1239">
        <v>-0.29843429999999999</v>
      </c>
      <c r="U1239">
        <v>-2.8366090000000002</v>
      </c>
      <c r="V1239">
        <v>0.28516799999999998</v>
      </c>
      <c r="W1239">
        <v>0.15686530000000001</v>
      </c>
      <c r="X1239">
        <v>0.94555409999999995</v>
      </c>
      <c r="Y1239">
        <v>0.32472380000000001</v>
      </c>
      <c r="Z1239">
        <v>9.7317200000000006E-2</v>
      </c>
      <c r="AA1239">
        <v>0.94078890000000004</v>
      </c>
      <c r="AB1239">
        <v>26</v>
      </c>
      <c r="AC1239">
        <v>-4.4393999999999698</v>
      </c>
      <c r="AD1239">
        <v>-1.1087615677786</v>
      </c>
      <c r="AE1239">
        <v>-10.3027999999999</v>
      </c>
      <c r="AF1239">
        <v>3.6992416785156599</v>
      </c>
      <c r="AG1239">
        <v>-1.1087615677786</v>
      </c>
      <c r="AH1239">
        <v>10.4760883890432</v>
      </c>
      <c r="AI1239">
        <v>95.699146864366895</v>
      </c>
      <c r="AJ1239">
        <v>70.551217800603098</v>
      </c>
      <c r="AK1239">
        <v>11.1652214104914</v>
      </c>
      <c r="AL1239">
        <v>80.975006712015102</v>
      </c>
      <c r="AM1239">
        <v>73.217306395009501</v>
      </c>
      <c r="AN1239">
        <v>1.0000000332974399</v>
      </c>
    </row>
    <row r="1240" spans="1:40" x14ac:dyDescent="0.25">
      <c r="A1240" t="str">
        <f>"20190312164244669"</f>
        <v>20190312164244669</v>
      </c>
      <c r="B1240" t="str">
        <f>"1552380164665691"</f>
        <v>1552380164665691</v>
      </c>
      <c r="C1240" t="s">
        <v>40</v>
      </c>
      <c r="D1240">
        <v>4.6401059999999896</v>
      </c>
      <c r="E1240">
        <v>0.53227309999999906</v>
      </c>
      <c r="F1240" t="s">
        <v>45</v>
      </c>
      <c r="G1240">
        <v>-196.02420000000001</v>
      </c>
      <c r="H1240" s="1">
        <v>4.7422340000000002E-7</v>
      </c>
      <c r="I1240">
        <v>296.92360000000002</v>
      </c>
      <c r="J1240">
        <v>-191.42740000000001</v>
      </c>
      <c r="K1240">
        <v>1.1086259999999999</v>
      </c>
      <c r="L1240">
        <v>307.19380000000001</v>
      </c>
      <c r="M1240">
        <v>-7.0001889999999997E-2</v>
      </c>
      <c r="N1240">
        <v>0</v>
      </c>
      <c r="O1240">
        <v>-0.99746999999999997</v>
      </c>
      <c r="P1240">
        <v>-0.35457349999999999</v>
      </c>
      <c r="Q1240">
        <v>0.146097799999999</v>
      </c>
      <c r="R1240">
        <v>-0.92354389999999997</v>
      </c>
      <c r="S1240">
        <v>-1.2363280000000001</v>
      </c>
      <c r="T1240">
        <v>-0.296832599999999</v>
      </c>
      <c r="U1240">
        <v>-2.8220519999999998</v>
      </c>
      <c r="V1240">
        <v>0.28973100000000002</v>
      </c>
      <c r="W1240">
        <v>0.15655450000000001</v>
      </c>
      <c r="X1240">
        <v>0.94421739999999998</v>
      </c>
      <c r="Y1240">
        <v>0.33428760000000002</v>
      </c>
      <c r="Z1240">
        <v>9.6823500000000007E-2</v>
      </c>
      <c r="AA1240">
        <v>0.9374844</v>
      </c>
      <c r="AB1240">
        <v>26</v>
      </c>
      <c r="AC1240">
        <v>-4.5968</v>
      </c>
      <c r="AD1240">
        <v>-1.1086255257766</v>
      </c>
      <c r="AE1240">
        <v>-10.2701999999999</v>
      </c>
      <c r="AF1240">
        <v>3.8293594002148899</v>
      </c>
      <c r="AG1240">
        <v>-1.1086255257766</v>
      </c>
      <c r="AH1240">
        <v>10.4652195038814</v>
      </c>
      <c r="AI1240">
        <v>95.681285844361796</v>
      </c>
      <c r="AJ1240">
        <v>69.901772456940407</v>
      </c>
      <c r="AK1240">
        <v>11.1988331194297</v>
      </c>
      <c r="AL1240">
        <v>80.993036082200305</v>
      </c>
      <c r="AM1240">
        <v>72.941485215457305</v>
      </c>
      <c r="AN1240">
        <v>0.99999993114700203</v>
      </c>
    </row>
    <row r="1241" spans="1:40" x14ac:dyDescent="0.25">
      <c r="A1241" t="str">
        <f>"20190312164244693"</f>
        <v>20190312164244693</v>
      </c>
      <c r="B1241" t="str">
        <f>"1552380164685210"</f>
        <v>1552380164685210</v>
      </c>
      <c r="C1241" t="s">
        <v>40</v>
      </c>
      <c r="D1241">
        <v>4.6073199999999996</v>
      </c>
      <c r="E1241">
        <v>0.5328659</v>
      </c>
      <c r="F1241" t="s">
        <v>45</v>
      </c>
      <c r="G1241">
        <v>-196.40209999999999</v>
      </c>
      <c r="H1241" s="1">
        <v>6.4766809999999997E-7</v>
      </c>
      <c r="I1241">
        <v>296.16730000000001</v>
      </c>
      <c r="J1241">
        <v>-191.45</v>
      </c>
      <c r="K1241">
        <v>1.108493</v>
      </c>
      <c r="L1241">
        <v>306.91669999999999</v>
      </c>
      <c r="M1241">
        <v>-7.2928359999999998E-2</v>
      </c>
      <c r="N1241">
        <v>0</v>
      </c>
      <c r="O1241">
        <v>-0.99726040000000005</v>
      </c>
      <c r="P1241">
        <v>-0.3620274</v>
      </c>
      <c r="Q1241">
        <v>0.14612919999999999</v>
      </c>
      <c r="R1241">
        <v>-0.92064259999999998</v>
      </c>
      <c r="S1241">
        <v>-1.2663420000000001</v>
      </c>
      <c r="T1241">
        <v>-0.28220509999999999</v>
      </c>
      <c r="U1241">
        <v>-2.806854</v>
      </c>
      <c r="V1241">
        <v>0.29465019999999997</v>
      </c>
      <c r="W1241">
        <v>0.15644710000000001</v>
      </c>
      <c r="X1241">
        <v>0.94271179999999999</v>
      </c>
      <c r="Y1241">
        <v>0.34192060000000002</v>
      </c>
      <c r="Z1241">
        <v>9.2197669999999995E-2</v>
      </c>
      <c r="AA1241">
        <v>0.93519509999999995</v>
      </c>
      <c r="AB1241">
        <v>26</v>
      </c>
      <c r="AC1241">
        <v>-4.9520999999999997</v>
      </c>
      <c r="AD1241">
        <v>-1.1084923523318999</v>
      </c>
      <c r="AE1241">
        <v>-10.7493999999999</v>
      </c>
      <c r="AF1241">
        <v>4.1187842563789001</v>
      </c>
      <c r="AG1241">
        <v>-1.1084923523318999</v>
      </c>
      <c r="AH1241">
        <v>10.9855797834364</v>
      </c>
      <c r="AI1241">
        <v>95.397393615456807</v>
      </c>
      <c r="AJ1241">
        <v>69.447650218356401</v>
      </c>
      <c r="AK1241">
        <v>11.784570515043001</v>
      </c>
      <c r="AL1241">
        <v>80.999266924433599</v>
      </c>
      <c r="AM1241">
        <v>72.643053931756796</v>
      </c>
      <c r="AN1241">
        <v>0.99999998665884404</v>
      </c>
    </row>
    <row r="1242" spans="1:40" x14ac:dyDescent="0.25">
      <c r="A1242" t="str">
        <f>"20190312164244714"</f>
        <v>20190312164244714</v>
      </c>
      <c r="B1242" t="str">
        <f>"1552380164705318"</f>
        <v>1552380164705318</v>
      </c>
      <c r="C1242" t="s">
        <v>40</v>
      </c>
      <c r="D1242">
        <v>4.84558</v>
      </c>
      <c r="E1242">
        <v>0.53251210000000004</v>
      </c>
      <c r="F1242" t="s">
        <v>45</v>
      </c>
      <c r="G1242">
        <v>-196.6755</v>
      </c>
      <c r="H1242" s="1">
        <v>8.1304230000000001E-7</v>
      </c>
      <c r="I1242">
        <v>295.6309</v>
      </c>
      <c r="J1242">
        <v>-191.47059999999999</v>
      </c>
      <c r="K1242">
        <v>1.1083689999999999</v>
      </c>
      <c r="L1242">
        <v>306.67570000000001</v>
      </c>
      <c r="M1242">
        <v>-7.5647350000000002E-2</v>
      </c>
      <c r="N1242">
        <v>0</v>
      </c>
      <c r="O1242">
        <v>-0.99705790000000005</v>
      </c>
      <c r="P1242">
        <v>-0.36929909999999999</v>
      </c>
      <c r="Q1242">
        <v>0.1471935</v>
      </c>
      <c r="R1242">
        <v>-0.9175797</v>
      </c>
      <c r="S1242">
        <v>-1.293442</v>
      </c>
      <c r="T1242">
        <v>-0.27437929999999999</v>
      </c>
      <c r="U1242">
        <v>-2.7935180000000002</v>
      </c>
      <c r="V1242">
        <v>0.29960829999999999</v>
      </c>
      <c r="W1242">
        <v>0.15737619999999999</v>
      </c>
      <c r="X1242">
        <v>0.94099290000000002</v>
      </c>
      <c r="Y1242">
        <v>0.3486165</v>
      </c>
      <c r="Z1242">
        <v>8.9735640000000005E-2</v>
      </c>
      <c r="AA1242">
        <v>0.93295989999999995</v>
      </c>
      <c r="AB1242">
        <v>26</v>
      </c>
      <c r="AC1242">
        <v>-5.2049000000000003</v>
      </c>
      <c r="AD1242">
        <v>-1.1083681869577</v>
      </c>
      <c r="AE1242">
        <v>-11.0448</v>
      </c>
      <c r="AF1242">
        <v>4.3188208042548597</v>
      </c>
      <c r="AG1242">
        <v>-1.1083681869577</v>
      </c>
      <c r="AH1242">
        <v>11.313684518020199</v>
      </c>
      <c r="AI1242">
        <v>95.229436362546807</v>
      </c>
      <c r="AJ1242">
        <v>69.106431996576802</v>
      </c>
      <c r="AK1242">
        <v>12.160598280940601</v>
      </c>
      <c r="AL1242">
        <v>80.945366022049996</v>
      </c>
      <c r="AM1242">
        <v>72.338737092175407</v>
      </c>
      <c r="AN1242">
        <v>1.00000001980286</v>
      </c>
    </row>
    <row r="1243" spans="1:40" x14ac:dyDescent="0.25">
      <c r="A1243" t="str">
        <f>"20190312164244736"</f>
        <v>20190312164244736</v>
      </c>
      <c r="B1243" t="str">
        <f>"1552380164724821"</f>
        <v>1552380164724821</v>
      </c>
      <c r="C1243" t="s">
        <v>40</v>
      </c>
      <c r="D1243">
        <v>4.6433499999999999</v>
      </c>
      <c r="E1243">
        <v>0.53198199999999995</v>
      </c>
      <c r="F1243" t="s">
        <v>45</v>
      </c>
      <c r="G1243">
        <v>-196.84610000000001</v>
      </c>
      <c r="H1243" s="1">
        <v>9.2733049999999999E-7</v>
      </c>
      <c r="I1243">
        <v>295.26479999999998</v>
      </c>
      <c r="J1243">
        <v>-191.49369999999999</v>
      </c>
      <c r="K1243">
        <v>1.108236</v>
      </c>
      <c r="L1243">
        <v>306.41469999999998</v>
      </c>
      <c r="M1243">
        <v>-7.8762680000000002E-2</v>
      </c>
      <c r="N1243">
        <v>0</v>
      </c>
      <c r="O1243">
        <v>-0.99681640000000005</v>
      </c>
      <c r="P1243">
        <v>-0.37735849999999999</v>
      </c>
      <c r="Q1243">
        <v>0.1484915</v>
      </c>
      <c r="R1243">
        <v>-0.91408489999999998</v>
      </c>
      <c r="S1243">
        <v>-1.31192</v>
      </c>
      <c r="T1243">
        <v>-0.27050109999999999</v>
      </c>
      <c r="U1243">
        <v>-2.7848820000000001</v>
      </c>
      <c r="V1243">
        <v>0.30503029999999998</v>
      </c>
      <c r="W1243">
        <v>0.15851989999999999</v>
      </c>
      <c r="X1243">
        <v>0.93905689999999997</v>
      </c>
      <c r="Y1243">
        <v>0.3519156</v>
      </c>
      <c r="Z1243">
        <v>8.8517879999999993E-2</v>
      </c>
      <c r="AA1243">
        <v>0.93183689999999997</v>
      </c>
      <c r="AB1243">
        <v>26</v>
      </c>
      <c r="AC1243">
        <v>-5.35240000000001</v>
      </c>
      <c r="AD1243">
        <v>-1.1082350726695001</v>
      </c>
      <c r="AE1243">
        <v>-11.149900000000001</v>
      </c>
      <c r="AF1243">
        <v>4.4220019417715797</v>
      </c>
      <c r="AG1243">
        <v>-1.1082350726695001</v>
      </c>
      <c r="AH1243">
        <v>11.4449663352231</v>
      </c>
      <c r="AI1243">
        <v>95.161188355167596</v>
      </c>
      <c r="AJ1243">
        <v>68.8749187423211</v>
      </c>
      <c r="AK1243">
        <v>12.3194780962391</v>
      </c>
      <c r="AL1243">
        <v>80.879003196294605</v>
      </c>
      <c r="AM1243">
        <v>72.004844670088801</v>
      </c>
      <c r="AN1243">
        <v>0.99999995202585301</v>
      </c>
    </row>
    <row r="1244" spans="1:40" x14ac:dyDescent="0.25">
      <c r="A1244" t="str">
        <f>"20190312164244758"</f>
        <v>20190312164244758</v>
      </c>
      <c r="B1244" t="str">
        <f>"1552380164755077"</f>
        <v>1552380164755077</v>
      </c>
      <c r="C1244" t="s">
        <v>40</v>
      </c>
      <c r="D1244">
        <v>4.6477380000000004</v>
      </c>
      <c r="E1244">
        <v>0.53183879999999994</v>
      </c>
      <c r="F1244" t="s">
        <v>45</v>
      </c>
      <c r="G1244">
        <v>-196.98939999999999</v>
      </c>
      <c r="H1244" s="1">
        <v>1.0217140000000001E-6</v>
      </c>
      <c r="I1244">
        <v>294.96179999999998</v>
      </c>
      <c r="J1244">
        <v>-191.5181</v>
      </c>
      <c r="K1244">
        <v>1.108101</v>
      </c>
      <c r="L1244">
        <v>306.15210000000002</v>
      </c>
      <c r="M1244">
        <v>-8.2071480000000002E-2</v>
      </c>
      <c r="N1244">
        <v>0</v>
      </c>
      <c r="O1244">
        <v>-0.99654980000000004</v>
      </c>
      <c r="P1244">
        <v>-0.38512610000000003</v>
      </c>
      <c r="Q1244">
        <v>0.14936169999999999</v>
      </c>
      <c r="R1244">
        <v>-0.91069750000000005</v>
      </c>
      <c r="S1244">
        <v>-1.3319399999999999</v>
      </c>
      <c r="T1244">
        <v>-0.26859460000000002</v>
      </c>
      <c r="U1244">
        <v>-2.775757</v>
      </c>
      <c r="V1244">
        <v>0.30998239999999999</v>
      </c>
      <c r="W1244">
        <v>0.15923979999999999</v>
      </c>
      <c r="X1244">
        <v>0.93731189999999998</v>
      </c>
      <c r="Y1244">
        <v>0.35548869999999999</v>
      </c>
      <c r="Z1244">
        <v>8.7931990000000002E-2</v>
      </c>
      <c r="AA1244">
        <v>0.93053520000000001</v>
      </c>
      <c r="AB1244">
        <v>26</v>
      </c>
      <c r="AC1244">
        <v>-5.4712999999999798</v>
      </c>
      <c r="AD1244">
        <v>-1.1080999782859999</v>
      </c>
      <c r="AE1244">
        <v>-11.190300000000001</v>
      </c>
      <c r="AF1244">
        <v>4.4987625939292704</v>
      </c>
      <c r="AG1244">
        <v>-1.1080999782859999</v>
      </c>
      <c r="AH1244">
        <v>11.5105233954715</v>
      </c>
      <c r="AI1244">
        <v>95.123634663637702</v>
      </c>
      <c r="AJ1244">
        <v>68.652498496764494</v>
      </c>
      <c r="AK1244">
        <v>12.408017540127499</v>
      </c>
      <c r="AL1244">
        <v>80.837225739395294</v>
      </c>
      <c r="AM1244">
        <v>71.700213417442896</v>
      </c>
      <c r="AN1244">
        <v>1.0000000000477001</v>
      </c>
    </row>
    <row r="1245" spans="1:40" x14ac:dyDescent="0.25">
      <c r="A1245" t="str">
        <f>"20190312164244784"</f>
        <v>20190312164244784</v>
      </c>
      <c r="B1245" t="str">
        <f>"1552380164775574"</f>
        <v>1552380164775574</v>
      </c>
      <c r="C1245" t="s">
        <v>40</v>
      </c>
      <c r="D1245">
        <v>4.801393</v>
      </c>
      <c r="E1245">
        <v>0.53178479999999995</v>
      </c>
      <c r="F1245" t="s">
        <v>45</v>
      </c>
      <c r="G1245">
        <v>-197.10120000000001</v>
      </c>
      <c r="H1245" s="1">
        <v>1.088238E-6</v>
      </c>
      <c r="I1245">
        <v>294.74560000000002</v>
      </c>
      <c r="J1245">
        <v>-191.5461</v>
      </c>
      <c r="K1245">
        <v>1.1079600000000001</v>
      </c>
      <c r="L1245">
        <v>305.86439999999999</v>
      </c>
      <c r="M1245">
        <v>-8.5903709999999994E-2</v>
      </c>
      <c r="N1245">
        <v>0</v>
      </c>
      <c r="O1245">
        <v>-0.99622650000000001</v>
      </c>
      <c r="P1245">
        <v>-0.39394800000000002</v>
      </c>
      <c r="Q1245">
        <v>0.14974379999999901</v>
      </c>
      <c r="R1245">
        <v>-0.90685289999999996</v>
      </c>
      <c r="S1245">
        <v>-1.3537140000000001</v>
      </c>
      <c r="T1245">
        <v>-0.26867819999999998</v>
      </c>
      <c r="U1245">
        <v>-2.765717</v>
      </c>
      <c r="V1245">
        <v>0.31554339999999997</v>
      </c>
      <c r="W1245">
        <v>0.15946289999999999</v>
      </c>
      <c r="X1245">
        <v>0.93541649999999998</v>
      </c>
      <c r="Y1245">
        <v>0.35913640000000002</v>
      </c>
      <c r="Z1245">
        <v>8.7994580000000003E-2</v>
      </c>
      <c r="AA1245">
        <v>0.92912760000000005</v>
      </c>
      <c r="AB1245">
        <v>26</v>
      </c>
      <c r="AC1245">
        <v>-5.5551000000000004</v>
      </c>
      <c r="AD1245">
        <v>-1.1079589117619999</v>
      </c>
      <c r="AE1245">
        <v>-11.118799999999901</v>
      </c>
      <c r="AF1245">
        <v>4.5432415116493896</v>
      </c>
      <c r="AG1245">
        <v>-1.1079589117619999</v>
      </c>
      <c r="AH1245">
        <v>11.4638395181316</v>
      </c>
      <c r="AI1245">
        <v>95.134205479611893</v>
      </c>
      <c r="AJ1245">
        <v>68.381050539767003</v>
      </c>
      <c r="AK1245">
        <v>12.3809625183506</v>
      </c>
      <c r="AL1245">
        <v>80.824277978850702</v>
      </c>
      <c r="AM1245">
        <v>71.359241586258804</v>
      </c>
      <c r="AN1245">
        <v>1.0000000411161001</v>
      </c>
    </row>
    <row r="1246" spans="1:40" x14ac:dyDescent="0.25">
      <c r="A1246" t="str">
        <f>"20190312164244825"</f>
        <v>20190312164244825</v>
      </c>
      <c r="B1246" t="str">
        <f>"1552380164815130"</f>
        <v>1552380164815130</v>
      </c>
      <c r="C1246" t="s">
        <v>40</v>
      </c>
      <c r="D1246">
        <v>4.901446</v>
      </c>
      <c r="E1246">
        <v>0.53103140000000004</v>
      </c>
      <c r="F1246" t="s">
        <v>45</v>
      </c>
      <c r="G1246">
        <v>-197.33349999999999</v>
      </c>
      <c r="H1246" s="1">
        <v>1.165326E-6</v>
      </c>
      <c r="I1246">
        <v>294.32100000000003</v>
      </c>
      <c r="J1246">
        <v>-191.59630000000001</v>
      </c>
      <c r="K1246">
        <v>1.1077650000000001</v>
      </c>
      <c r="L1246">
        <v>305.38060000000002</v>
      </c>
      <c r="M1246">
        <v>-9.2782660000000003E-2</v>
      </c>
      <c r="N1246">
        <v>0</v>
      </c>
      <c r="O1246">
        <v>-0.99560959999999998</v>
      </c>
      <c r="P1246">
        <v>-0.40949140000000001</v>
      </c>
      <c r="Q1246">
        <v>0.14970249999999999</v>
      </c>
      <c r="R1246">
        <v>-0.89994839999999998</v>
      </c>
      <c r="S1246">
        <v>-1.3799129999999999</v>
      </c>
      <c r="T1246">
        <v>-0.26417360000000001</v>
      </c>
      <c r="U1246">
        <v>-2.752319</v>
      </c>
      <c r="V1246">
        <v>0.32525169999999998</v>
      </c>
      <c r="W1246">
        <v>0.15916440000000001</v>
      </c>
      <c r="X1246">
        <v>0.93213630000000003</v>
      </c>
      <c r="Y1246">
        <v>0.36162660000000002</v>
      </c>
      <c r="Z1246">
        <v>8.6608379999999999E-2</v>
      </c>
      <c r="AA1246">
        <v>0.92829159999999999</v>
      </c>
      <c r="AB1246">
        <v>26</v>
      </c>
      <c r="AC1246">
        <v>-5.7371999999999703</v>
      </c>
      <c r="AD1246">
        <v>-1.107763834674</v>
      </c>
      <c r="AE1246">
        <v>-11.0596</v>
      </c>
      <c r="AF1246">
        <v>4.6494750980770601</v>
      </c>
      <c r="AG1246">
        <v>-1.107763834674</v>
      </c>
      <c r="AH1246">
        <v>11.4536943762078</v>
      </c>
      <c r="AI1246">
        <v>95.120859530714995</v>
      </c>
      <c r="AJ1246">
        <v>67.905960347266202</v>
      </c>
      <c r="AK1246">
        <v>12.4109578302653</v>
      </c>
      <c r="AL1246">
        <v>80.841601911349102</v>
      </c>
      <c r="AM1246">
        <v>70.7645123492604</v>
      </c>
      <c r="AN1246">
        <v>1.0000000281789601</v>
      </c>
    </row>
    <row r="1247" spans="1:40" x14ac:dyDescent="0.25">
      <c r="A1247" t="str">
        <f>"20190312164244847"</f>
        <v>20190312164244847</v>
      </c>
      <c r="B1247" t="str">
        <f>"1552380164835626"</f>
        <v>1552380164835626</v>
      </c>
      <c r="C1247" t="s">
        <v>40</v>
      </c>
      <c r="D1247">
        <v>4.8891799999999996</v>
      </c>
      <c r="E1247">
        <v>0.53005930000000001</v>
      </c>
      <c r="F1247" t="s">
        <v>45</v>
      </c>
      <c r="G1247">
        <v>-197.6155</v>
      </c>
      <c r="H1247" s="1">
        <v>1.229075E-6</v>
      </c>
      <c r="I1247">
        <v>293.81700000000001</v>
      </c>
      <c r="J1247">
        <v>-191.6234</v>
      </c>
      <c r="K1247">
        <v>1.107691</v>
      </c>
      <c r="L1247">
        <v>305.13350000000003</v>
      </c>
      <c r="M1247">
        <v>-9.6457509999999996E-2</v>
      </c>
      <c r="N1247">
        <v>0</v>
      </c>
      <c r="O1247">
        <v>-0.99526020000000004</v>
      </c>
      <c r="P1247">
        <v>-0.41737570000000002</v>
      </c>
      <c r="Q1247">
        <v>0.15027929999999901</v>
      </c>
      <c r="R1247">
        <v>-0.89622179999999996</v>
      </c>
      <c r="S1247">
        <v>-1.421219</v>
      </c>
      <c r="T1247">
        <v>-0.26155909999999999</v>
      </c>
      <c r="U1247">
        <v>-2.7303160000000002</v>
      </c>
      <c r="V1247">
        <v>0.33003969999999999</v>
      </c>
      <c r="W1247">
        <v>0.1596243</v>
      </c>
      <c r="X1247">
        <v>0.93037300000000001</v>
      </c>
      <c r="Y1247">
        <v>0.37230390000000002</v>
      </c>
      <c r="Z1247">
        <v>8.5857069999999994E-2</v>
      </c>
      <c r="AA1247">
        <v>0.92413120000000004</v>
      </c>
      <c r="AB1247">
        <v>26</v>
      </c>
      <c r="AC1247">
        <v>-5.99209999999999</v>
      </c>
      <c r="AD1247">
        <v>-1.107689770925</v>
      </c>
      <c r="AE1247">
        <v>-11.3165</v>
      </c>
      <c r="AF1247">
        <v>4.8363199891453696</v>
      </c>
      <c r="AG1247">
        <v>-1.107689770925</v>
      </c>
      <c r="AH1247">
        <v>11.7537977909305</v>
      </c>
      <c r="AI1247">
        <v>94.980838204194498</v>
      </c>
      <c r="AJ1247">
        <v>67.634367281212207</v>
      </c>
      <c r="AK1247">
        <v>12.758084894532599</v>
      </c>
      <c r="AL1247">
        <v>80.814910254351602</v>
      </c>
      <c r="AM1247">
        <v>70.468413141096306</v>
      </c>
      <c r="AN1247">
        <v>1.0000000199277801</v>
      </c>
    </row>
    <row r="1248" spans="1:40" x14ac:dyDescent="0.25">
      <c r="A1248" t="str">
        <f>"20190312164244870"</f>
        <v>20190312164244870</v>
      </c>
      <c r="B1248" t="str">
        <f>"1552380164864907"</f>
        <v>1552380164864907</v>
      </c>
      <c r="C1248" t="s">
        <v>40</v>
      </c>
      <c r="D1248">
        <v>4.6862440000000003</v>
      </c>
      <c r="E1248">
        <v>0.52922139999999995</v>
      </c>
      <c r="F1248" t="s">
        <v>45</v>
      </c>
      <c r="G1248">
        <v>-197.69739999999999</v>
      </c>
      <c r="H1248" s="1">
        <v>1.253311E-6</v>
      </c>
      <c r="I1248">
        <v>293.63819999999998</v>
      </c>
      <c r="J1248">
        <v>-191.65459999999999</v>
      </c>
      <c r="K1248">
        <v>1.1076189999999999</v>
      </c>
      <c r="L1248">
        <v>304.86070000000001</v>
      </c>
      <c r="M1248">
        <v>-0.10061489999999999</v>
      </c>
      <c r="N1248">
        <v>0</v>
      </c>
      <c r="O1248">
        <v>-0.99484850000000002</v>
      </c>
      <c r="P1248">
        <v>-0.42534470000000002</v>
      </c>
      <c r="Q1248">
        <v>0.150231</v>
      </c>
      <c r="R1248">
        <v>-0.89247579999999904</v>
      </c>
      <c r="S1248">
        <v>-1.4380649999999999</v>
      </c>
      <c r="T1248">
        <v>-0.26225730000000003</v>
      </c>
      <c r="U1248">
        <v>-2.721619</v>
      </c>
      <c r="V1248">
        <v>0.334472099999999</v>
      </c>
      <c r="W1248">
        <v>0.1594681</v>
      </c>
      <c r="X1248">
        <v>0.92881550000000002</v>
      </c>
      <c r="Y1248">
        <v>0.37410939999999998</v>
      </c>
      <c r="Z1248">
        <v>8.6123409999999997E-2</v>
      </c>
      <c r="AA1248">
        <v>0.92337689999999994</v>
      </c>
      <c r="AB1248">
        <v>26</v>
      </c>
      <c r="AC1248">
        <v>-6.0427999999999997</v>
      </c>
      <c r="AD1248">
        <v>-1.107617746689</v>
      </c>
      <c r="AE1248">
        <v>-11.2225</v>
      </c>
      <c r="AF1248">
        <v>4.8462967745398098</v>
      </c>
      <c r="AG1248">
        <v>-1.107617746689</v>
      </c>
      <c r="AH1248">
        <v>11.685342410208801</v>
      </c>
      <c r="AI1248">
        <v>95.003807072123706</v>
      </c>
      <c r="AJ1248">
        <v>67.4746029847378</v>
      </c>
      <c r="AK1248">
        <v>12.6988439136608</v>
      </c>
      <c r="AL1248">
        <v>80.823975306071404</v>
      </c>
      <c r="AM1248">
        <v>70.195743695771398</v>
      </c>
      <c r="AN1248">
        <v>0.99999994681813298</v>
      </c>
    </row>
    <row r="1249" spans="1:40" x14ac:dyDescent="0.25">
      <c r="A1249" t="str">
        <f>"20190312164244892"</f>
        <v>20190312164244892</v>
      </c>
      <c r="B1249" t="str">
        <f>"1552380164885402"</f>
        <v>1552380164885402</v>
      </c>
      <c r="C1249" t="s">
        <v>40</v>
      </c>
      <c r="D1249">
        <v>4.9040179999999998</v>
      </c>
      <c r="E1249">
        <v>0.52899609999999997</v>
      </c>
      <c r="F1249" t="s">
        <v>45</v>
      </c>
      <c r="G1249">
        <v>-197.70050000000001</v>
      </c>
      <c r="H1249" s="1">
        <v>1.2597800000000001E-6</v>
      </c>
      <c r="I1249">
        <v>293.59989999999999</v>
      </c>
      <c r="J1249">
        <v>-191.68430000000001</v>
      </c>
      <c r="K1249">
        <v>1.1075440000000001</v>
      </c>
      <c r="L1249">
        <v>304.6096</v>
      </c>
      <c r="M1249">
        <v>-0.10454430000000001</v>
      </c>
      <c r="N1249">
        <v>0</v>
      </c>
      <c r="O1249">
        <v>-0.99444350000000004</v>
      </c>
      <c r="P1249">
        <v>-0.43271789999999999</v>
      </c>
      <c r="Q1249">
        <v>0.14962829999999999</v>
      </c>
      <c r="R1249">
        <v>-0.88902569999999903</v>
      </c>
      <c r="S1249">
        <v>-1.4562839999999999</v>
      </c>
      <c r="T1249">
        <v>-0.26678960000000002</v>
      </c>
      <c r="U1249">
        <v>-2.7123719999999998</v>
      </c>
      <c r="V1249">
        <v>0.33850599999999997</v>
      </c>
      <c r="W1249">
        <v>0.15876570000000001</v>
      </c>
      <c r="X1249">
        <v>0.92747349999999995</v>
      </c>
      <c r="Y1249">
        <v>0.37651230000000002</v>
      </c>
      <c r="Z1249">
        <v>8.7632849999999998E-2</v>
      </c>
      <c r="AA1249">
        <v>0.92225749999999995</v>
      </c>
      <c r="AB1249">
        <v>26</v>
      </c>
      <c r="AC1249">
        <v>-6.0161999999999898</v>
      </c>
      <c r="AD1249">
        <v>-1.10754274022</v>
      </c>
      <c r="AE1249">
        <v>-11.0097</v>
      </c>
      <c r="AF1249">
        <v>4.7947736152991398</v>
      </c>
      <c r="AG1249">
        <v>-1.10754274022</v>
      </c>
      <c r="AH1249">
        <v>11.488837309511601</v>
      </c>
      <c r="AI1249">
        <v>95.083922243290104</v>
      </c>
      <c r="AJ1249">
        <v>67.347176216209903</v>
      </c>
      <c r="AK1249">
        <v>12.498395403723199</v>
      </c>
      <c r="AL1249">
        <v>80.864739479290293</v>
      </c>
      <c r="AM1249">
        <v>69.949107758833605</v>
      </c>
      <c r="AN1249">
        <v>0.99999997636736904</v>
      </c>
    </row>
    <row r="1250" spans="1:40" x14ac:dyDescent="0.25">
      <c r="A1250" t="str">
        <f>"20190312164244914"</f>
        <v>20190312164244914</v>
      </c>
      <c r="B1250" t="str">
        <f>"1552380164905515"</f>
        <v>1552380164905515</v>
      </c>
      <c r="C1250" t="s">
        <v>40</v>
      </c>
      <c r="D1250">
        <v>4.6823119999999996</v>
      </c>
      <c r="E1250">
        <v>0.52877839999999998</v>
      </c>
      <c r="F1250" t="s">
        <v>45</v>
      </c>
      <c r="G1250">
        <v>-197.72380000000001</v>
      </c>
      <c r="H1250" s="1">
        <v>1.2655500000000001E-6</v>
      </c>
      <c r="I1250">
        <v>293.55540000000002</v>
      </c>
      <c r="J1250">
        <v>-191.7157</v>
      </c>
      <c r="K1250">
        <v>1.1074619999999999</v>
      </c>
      <c r="L1250">
        <v>304.35390000000001</v>
      </c>
      <c r="M1250">
        <v>-0.108638899999999</v>
      </c>
      <c r="N1250">
        <v>0</v>
      </c>
      <c r="O1250">
        <v>-0.99400440000000001</v>
      </c>
      <c r="P1250">
        <v>-0.43987969999999998</v>
      </c>
      <c r="Q1250">
        <v>0.14794969999999999</v>
      </c>
      <c r="R1250">
        <v>-0.88578579999999996</v>
      </c>
      <c r="S1250">
        <v>-1.476013</v>
      </c>
      <c r="T1250">
        <v>-0.27067639999999998</v>
      </c>
      <c r="U1250">
        <v>-2.7015690000000001</v>
      </c>
      <c r="V1250">
        <v>0.3421612</v>
      </c>
      <c r="W1250">
        <v>0.15698909999999999</v>
      </c>
      <c r="X1250">
        <v>0.92643410000000004</v>
      </c>
      <c r="Y1250">
        <v>0.37938080000000002</v>
      </c>
      <c r="Z1250">
        <v>8.8950299999999996E-2</v>
      </c>
      <c r="AA1250">
        <v>0.92095490000000002</v>
      </c>
      <c r="AB1250">
        <v>26</v>
      </c>
      <c r="AC1250">
        <v>-6.0081000000000104</v>
      </c>
      <c r="AD1250">
        <v>-1.10746073445</v>
      </c>
      <c r="AE1250">
        <v>-10.798499999999899</v>
      </c>
      <c r="AF1250">
        <v>4.7610683085261396</v>
      </c>
      <c r="AG1250">
        <v>-1.10746073445</v>
      </c>
      <c r="AH1250">
        <v>11.2966099426695</v>
      </c>
      <c r="AI1250">
        <v>95.162040374181899</v>
      </c>
      <c r="AJ1250">
        <v>67.1465269764564</v>
      </c>
      <c r="AK1250">
        <v>12.3088438495912</v>
      </c>
      <c r="AL1250">
        <v>80.967824232307194</v>
      </c>
      <c r="AM1250">
        <v>69.729228890708896</v>
      </c>
      <c r="AN1250">
        <v>1.0000000029735301</v>
      </c>
    </row>
    <row r="1251" spans="1:40" x14ac:dyDescent="0.25">
      <c r="A1251" t="str">
        <f>"20190312164244937"</f>
        <v>20190312164244937</v>
      </c>
      <c r="B1251" t="str">
        <f>"1552380164925021"</f>
        <v>1552380164925021</v>
      </c>
      <c r="C1251" t="s">
        <v>40</v>
      </c>
      <c r="D1251">
        <v>4.6589229999999997</v>
      </c>
      <c r="E1251">
        <v>0.52853479999999997</v>
      </c>
      <c r="F1251" t="s">
        <v>45</v>
      </c>
      <c r="G1251">
        <v>-197.74940000000001</v>
      </c>
      <c r="H1251" s="1">
        <v>1.2731120000000001E-6</v>
      </c>
      <c r="I1251">
        <v>293.49959999999999</v>
      </c>
      <c r="J1251">
        <v>-191.74950000000001</v>
      </c>
      <c r="K1251">
        <v>1.107375</v>
      </c>
      <c r="L1251">
        <v>304.08909999999997</v>
      </c>
      <c r="M1251">
        <v>-0.1129675</v>
      </c>
      <c r="N1251">
        <v>0</v>
      </c>
      <c r="O1251">
        <v>-0.99352180000000001</v>
      </c>
      <c r="P1251">
        <v>-0.44745889999999999</v>
      </c>
      <c r="Q1251">
        <v>0.14658299999999999</v>
      </c>
      <c r="R1251">
        <v>-0.88220969999999999</v>
      </c>
      <c r="S1251">
        <v>-1.495377</v>
      </c>
      <c r="T1251">
        <v>-0.27447379999999999</v>
      </c>
      <c r="U1251">
        <v>-2.6901250000000001</v>
      </c>
      <c r="V1251">
        <v>0.34606629999999999</v>
      </c>
      <c r="W1251">
        <v>0.15551679999999901</v>
      </c>
      <c r="X1251">
        <v>0.92523120000000003</v>
      </c>
      <c r="Y1251">
        <v>0.38202190000000003</v>
      </c>
      <c r="Z1251">
        <v>9.025648E-2</v>
      </c>
      <c r="AA1251">
        <v>0.91973530000000003</v>
      </c>
      <c r="AB1251">
        <v>26</v>
      </c>
      <c r="AC1251">
        <v>-5.9998999999999896</v>
      </c>
      <c r="AD1251">
        <v>-1.107373726888</v>
      </c>
      <c r="AE1251">
        <v>-10.5894999999999</v>
      </c>
      <c r="AF1251">
        <v>4.7260041250273401</v>
      </c>
      <c r="AG1251">
        <v>-1.107373726888</v>
      </c>
      <c r="AH1251">
        <v>11.1075993312016</v>
      </c>
      <c r="AI1251">
        <v>95.241462947169197</v>
      </c>
      <c r="AJ1251">
        <v>66.951467590963503</v>
      </c>
      <c r="AK1251">
        <v>12.121887413405901</v>
      </c>
      <c r="AL1251">
        <v>81.053230418498501</v>
      </c>
      <c r="AM1251">
        <v>69.492582585015398</v>
      </c>
      <c r="AN1251">
        <v>1.0000000662656801</v>
      </c>
    </row>
    <row r="1252" spans="1:40" x14ac:dyDescent="0.25">
      <c r="A1252" t="str">
        <f>"20190312164244960"</f>
        <v>20190312164244960</v>
      </c>
      <c r="B1252" t="str">
        <f>"1552380164955277"</f>
        <v>1552380164955277</v>
      </c>
      <c r="C1252" t="s">
        <v>40</v>
      </c>
      <c r="D1252">
        <v>4.6805260000000004</v>
      </c>
      <c r="E1252">
        <v>0.52823439999999999</v>
      </c>
      <c r="F1252" t="s">
        <v>45</v>
      </c>
      <c r="G1252">
        <v>-197.7878</v>
      </c>
      <c r="H1252" s="1">
        <v>1.284072E-6</v>
      </c>
      <c r="I1252">
        <v>293.41800000000001</v>
      </c>
      <c r="J1252">
        <v>-191.78389999999999</v>
      </c>
      <c r="K1252">
        <v>1.107299</v>
      </c>
      <c r="L1252">
        <v>303.8295</v>
      </c>
      <c r="M1252">
        <v>-0.1172937</v>
      </c>
      <c r="N1252">
        <v>0</v>
      </c>
      <c r="O1252">
        <v>-0.99302040000000003</v>
      </c>
      <c r="P1252">
        <v>-0.45475860000000001</v>
      </c>
      <c r="Q1252">
        <v>0.1450043</v>
      </c>
      <c r="R1252">
        <v>-0.87873140000000005</v>
      </c>
      <c r="S1252">
        <v>-1.5154110000000001</v>
      </c>
      <c r="T1252">
        <v>-0.2779162</v>
      </c>
      <c r="U1252">
        <v>-2.6781009999999998</v>
      </c>
      <c r="V1252">
        <v>0.34969539999999999</v>
      </c>
      <c r="W1252">
        <v>0.1538397</v>
      </c>
      <c r="X1252">
        <v>0.92414640000000003</v>
      </c>
      <c r="Y1252">
        <v>0.38492490000000001</v>
      </c>
      <c r="Z1252">
        <v>9.1449639999999999E-2</v>
      </c>
      <c r="AA1252">
        <v>0.9184061</v>
      </c>
      <c r="AB1252">
        <v>26</v>
      </c>
      <c r="AC1252">
        <v>-6.0039000000000096</v>
      </c>
      <c r="AD1252">
        <v>-1.107297715928</v>
      </c>
      <c r="AE1252">
        <v>-10.411499999999901</v>
      </c>
      <c r="AF1252">
        <v>4.7012479609144799</v>
      </c>
      <c r="AG1252">
        <v>-1.107297715928</v>
      </c>
      <c r="AH1252">
        <v>10.9509393122493</v>
      </c>
      <c r="AI1252">
        <v>95.308353358496802</v>
      </c>
      <c r="AJ1252">
        <v>66.766109335643307</v>
      </c>
      <c r="AK1252">
        <v>11.968747321347699</v>
      </c>
      <c r="AL1252">
        <v>81.150491557279906</v>
      </c>
      <c r="AM1252">
        <v>69.273444116422198</v>
      </c>
      <c r="AN1252">
        <v>1.0000000473551001</v>
      </c>
    </row>
    <row r="1253" spans="1:40" x14ac:dyDescent="0.25">
      <c r="A1253" t="str">
        <f>"20190312164244985"</f>
        <v>20190312164244985</v>
      </c>
      <c r="B1253" t="str">
        <f>"1552380164975773"</f>
        <v>1552380164975773</v>
      </c>
      <c r="C1253" t="s">
        <v>40</v>
      </c>
      <c r="D1253">
        <v>4.6581830000000002</v>
      </c>
      <c r="E1253">
        <v>0.52797669999999997</v>
      </c>
      <c r="F1253" t="s">
        <v>45</v>
      </c>
      <c r="G1253">
        <v>-197.8126</v>
      </c>
      <c r="H1253" s="1">
        <v>1.2927889999999901E-6</v>
      </c>
      <c r="I1253">
        <v>293.35599999999999</v>
      </c>
      <c r="J1253">
        <v>-191.82380000000001</v>
      </c>
      <c r="K1253">
        <v>1.107218</v>
      </c>
      <c r="L1253">
        <v>303.54000000000002</v>
      </c>
      <c r="M1253">
        <v>-0.12223530000000001</v>
      </c>
      <c r="N1253">
        <v>0</v>
      </c>
      <c r="O1253">
        <v>-0.99242439999999998</v>
      </c>
      <c r="P1253">
        <v>-0.46239130000000001</v>
      </c>
      <c r="Q1253">
        <v>0.14424219999999999</v>
      </c>
      <c r="R1253">
        <v>-0.874865</v>
      </c>
      <c r="S1253">
        <v>-1.5347599999999999</v>
      </c>
      <c r="T1253">
        <v>-0.28189059999999999</v>
      </c>
      <c r="U1253">
        <v>-2.66629</v>
      </c>
      <c r="V1253">
        <v>0.35314980000000001</v>
      </c>
      <c r="W1253">
        <v>0.15297649999999999</v>
      </c>
      <c r="X1253">
        <v>0.92297530000000005</v>
      </c>
      <c r="Y1253">
        <v>0.38703409999999999</v>
      </c>
      <c r="Z1253">
        <v>9.2816449999999995E-2</v>
      </c>
      <c r="AA1253">
        <v>0.91738200000000003</v>
      </c>
      <c r="AB1253">
        <v>26</v>
      </c>
      <c r="AC1253">
        <v>-5.9887999999999897</v>
      </c>
      <c r="AD1253">
        <v>-1.107216707211</v>
      </c>
      <c r="AE1253">
        <v>-10.183999999999999</v>
      </c>
      <c r="AF1253">
        <v>4.6580333352216297</v>
      </c>
      <c r="AG1253">
        <v>-1.107216707211</v>
      </c>
      <c r="AH1253">
        <v>10.7453421109111</v>
      </c>
      <c r="AI1253">
        <v>95.400738587651006</v>
      </c>
      <c r="AJ1253">
        <v>66.563593339425793</v>
      </c>
      <c r="AK1253">
        <v>11.7637400714774</v>
      </c>
      <c r="AL1253">
        <v>81.200541279996798</v>
      </c>
      <c r="AM1253">
        <v>69.062096097103407</v>
      </c>
      <c r="AN1253">
        <v>0.99999999760118996</v>
      </c>
    </row>
    <row r="1254" spans="1:40" x14ac:dyDescent="0.25">
      <c r="A1254" t="str">
        <f>"20190312164245007"</f>
        <v>20190312164245007</v>
      </c>
      <c r="B1254" t="str">
        <f>"1552380164995293"</f>
        <v>1552380164995293</v>
      </c>
      <c r="C1254" t="s">
        <v>40</v>
      </c>
      <c r="D1254">
        <v>4.6426730000000003</v>
      </c>
      <c r="E1254">
        <v>0.52769149999999998</v>
      </c>
      <c r="F1254" t="s">
        <v>45</v>
      </c>
      <c r="G1254">
        <v>-197.8852</v>
      </c>
      <c r="H1254" s="1">
        <v>1.314204E-6</v>
      </c>
      <c r="I1254">
        <v>293.1979</v>
      </c>
      <c r="J1254">
        <v>-191.8613</v>
      </c>
      <c r="K1254">
        <v>1.1071569999999999</v>
      </c>
      <c r="L1254">
        <v>303.27730000000003</v>
      </c>
      <c r="M1254">
        <v>-0.12681709999999999</v>
      </c>
      <c r="N1254">
        <v>0</v>
      </c>
      <c r="O1254">
        <v>-0.99184919999999999</v>
      </c>
      <c r="P1254">
        <v>-0.46959430000000002</v>
      </c>
      <c r="Q1254">
        <v>0.1438605</v>
      </c>
      <c r="R1254">
        <v>-0.8710833</v>
      </c>
      <c r="S1254">
        <v>-1.5553889999999999</v>
      </c>
      <c r="T1254">
        <v>-0.28411809999999998</v>
      </c>
      <c r="U1254">
        <v>-2.6538390000000001</v>
      </c>
      <c r="V1254">
        <v>0.35651860000000002</v>
      </c>
      <c r="W1254">
        <v>0.1525029</v>
      </c>
      <c r="X1254">
        <v>0.92175779999999996</v>
      </c>
      <c r="Y1254">
        <v>0.38992529999999997</v>
      </c>
      <c r="Z1254">
        <v>9.3607599999999999E-2</v>
      </c>
      <c r="AA1254">
        <v>0.91607640000000001</v>
      </c>
      <c r="AB1254">
        <v>26</v>
      </c>
      <c r="AC1254">
        <v>-6.0238999999999896</v>
      </c>
      <c r="AD1254">
        <v>-1.1071556857960001</v>
      </c>
      <c r="AE1254">
        <v>-10.0794</v>
      </c>
      <c r="AF1254">
        <v>4.6555299513763302</v>
      </c>
      <c r="AG1254">
        <v>-1.1071556857960001</v>
      </c>
      <c r="AH1254">
        <v>10.6671663695082</v>
      </c>
      <c r="AI1254">
        <v>95.433968113015993</v>
      </c>
      <c r="AJ1254">
        <v>66.421835637174397</v>
      </c>
      <c r="AK1254">
        <v>11.6913725111947</v>
      </c>
      <c r="AL1254">
        <v>81.227999147327395</v>
      </c>
      <c r="AM1254">
        <v>68.854466007685602</v>
      </c>
      <c r="AN1254">
        <v>1.0000000442576</v>
      </c>
    </row>
    <row r="1255" spans="1:40" x14ac:dyDescent="0.25">
      <c r="A1255" t="str">
        <f>"20190312164245050"</f>
        <v>20190312164245050</v>
      </c>
      <c r="B1255" t="str">
        <f>"1552380165045069"</f>
        <v>1552380165045069</v>
      </c>
      <c r="C1255" t="s">
        <v>40</v>
      </c>
      <c r="D1255">
        <v>4.6538269999999997</v>
      </c>
      <c r="E1255">
        <v>0.52712510000000001</v>
      </c>
      <c r="F1255" t="s">
        <v>45</v>
      </c>
      <c r="G1255">
        <v>-197.9786</v>
      </c>
      <c r="H1255" s="1">
        <v>1.33897E-6</v>
      </c>
      <c r="I1255">
        <v>293.0102</v>
      </c>
      <c r="J1255">
        <v>-191.93539999999999</v>
      </c>
      <c r="K1255">
        <v>1.107059</v>
      </c>
      <c r="L1255">
        <v>302.78410000000002</v>
      </c>
      <c r="M1255">
        <v>-0.13563749999999999</v>
      </c>
      <c r="N1255">
        <v>0</v>
      </c>
      <c r="O1255">
        <v>-0.99068160000000005</v>
      </c>
      <c r="P1255">
        <v>-0.48340090000000002</v>
      </c>
      <c r="Q1255">
        <v>0.14526610000000001</v>
      </c>
      <c r="R1255">
        <v>-0.86326229999999904</v>
      </c>
      <c r="S1255">
        <v>-1.5743560000000001</v>
      </c>
      <c r="T1255">
        <v>-0.28493770000000002</v>
      </c>
      <c r="U1255">
        <v>-2.642334</v>
      </c>
      <c r="V1255">
        <v>0.3630739</v>
      </c>
      <c r="W1255">
        <v>0.153729</v>
      </c>
      <c r="X1255">
        <v>0.91899109999999995</v>
      </c>
      <c r="Y1255">
        <v>0.38832870000000003</v>
      </c>
      <c r="Z1255">
        <v>9.3930180000000002E-2</v>
      </c>
      <c r="AA1255">
        <v>0.91672129999999996</v>
      </c>
      <c r="AB1255">
        <v>26</v>
      </c>
      <c r="AC1255">
        <v>-6.0432000000000103</v>
      </c>
      <c r="AD1255">
        <v>-1.10705766102999</v>
      </c>
      <c r="AE1255">
        <v>-9.7739000000000207</v>
      </c>
      <c r="AF1255">
        <v>4.6186682107683099</v>
      </c>
      <c r="AG1255">
        <v>-1.10705766102999</v>
      </c>
      <c r="AH1255">
        <v>10.406721150284699</v>
      </c>
      <c r="AI1255">
        <v>95.553589683690504</v>
      </c>
      <c r="AJ1255">
        <v>66.067591175866895</v>
      </c>
      <c r="AK1255">
        <v>11.4392970853016</v>
      </c>
      <c r="AL1255">
        <v>81.156909708218393</v>
      </c>
      <c r="AM1255">
        <v>68.442074693740395</v>
      </c>
      <c r="AN1255">
        <v>0.99999995209070802</v>
      </c>
    </row>
    <row r="1256" spans="1:40" x14ac:dyDescent="0.25">
      <c r="A1256" t="str">
        <f>"20190312164245071"</f>
        <v>20190312164245071</v>
      </c>
      <c r="B1256" t="str">
        <f>"1552380165065565"</f>
        <v>1552380165065565</v>
      </c>
      <c r="C1256" t="s">
        <v>40</v>
      </c>
      <c r="D1256">
        <v>4.635535</v>
      </c>
      <c r="E1256">
        <v>0.52690789999999998</v>
      </c>
      <c r="F1256" t="s">
        <v>45</v>
      </c>
      <c r="G1256">
        <v>-198.2809</v>
      </c>
      <c r="H1256" s="1">
        <v>1.4100999999999899E-6</v>
      </c>
      <c r="I1256">
        <v>292.45409999999998</v>
      </c>
      <c r="J1256">
        <v>-191.97399999999999</v>
      </c>
      <c r="K1256">
        <v>1.1070070000000001</v>
      </c>
      <c r="L1256">
        <v>302.53919999999999</v>
      </c>
      <c r="M1256">
        <v>-0.14012439999999901</v>
      </c>
      <c r="N1256">
        <v>0</v>
      </c>
      <c r="O1256">
        <v>-0.99005710000000002</v>
      </c>
      <c r="P1256">
        <v>-0.49109799999999998</v>
      </c>
      <c r="Q1256">
        <v>0.14701810000000001</v>
      </c>
      <c r="R1256">
        <v>-0.858608499999999</v>
      </c>
      <c r="S1256">
        <v>-1.609985</v>
      </c>
      <c r="T1256">
        <v>-0.28088380000000002</v>
      </c>
      <c r="U1256">
        <v>-2.6209410000000002</v>
      </c>
      <c r="V1256">
        <v>0.36720399999999997</v>
      </c>
      <c r="W1256">
        <v>0.1553727</v>
      </c>
      <c r="X1256">
        <v>0.91707169999999905</v>
      </c>
      <c r="Y1256">
        <v>0.39658969999999999</v>
      </c>
      <c r="Z1256">
        <v>9.2686420000000005E-2</v>
      </c>
      <c r="AA1256">
        <v>0.91330489999999998</v>
      </c>
      <c r="AB1256">
        <v>26</v>
      </c>
      <c r="AC1256">
        <v>-6.3068999999999802</v>
      </c>
      <c r="AD1256">
        <v>-1.1070055899</v>
      </c>
      <c r="AE1256">
        <v>-10.085100000000001</v>
      </c>
      <c r="AF1256">
        <v>4.7899029445807804</v>
      </c>
      <c r="AG1256">
        <v>-1.1070055899</v>
      </c>
      <c r="AH1256">
        <v>10.776066782378599</v>
      </c>
      <c r="AI1256">
        <v>95.362779129413894</v>
      </c>
      <c r="AJ1256">
        <v>66.035113820401506</v>
      </c>
      <c r="AK1256">
        <v>11.8445028132403</v>
      </c>
      <c r="AL1256">
        <v>81.061587540341606</v>
      </c>
      <c r="AM1256">
        <v>68.178378864250703</v>
      </c>
      <c r="AN1256">
        <v>0.99999997823108899</v>
      </c>
    </row>
    <row r="1257" spans="1:40" x14ac:dyDescent="0.25">
      <c r="A1257" t="str">
        <f>"20190312164245093"</f>
        <v>20190312164245093</v>
      </c>
      <c r="B1257" t="str">
        <f>"1552380165085086"</f>
        <v>1552380165085086</v>
      </c>
      <c r="C1257" t="s">
        <v>40</v>
      </c>
      <c r="D1257">
        <v>4.6255819999999996</v>
      </c>
      <c r="E1257">
        <v>0.52666349999999995</v>
      </c>
      <c r="F1257" t="s">
        <v>45</v>
      </c>
      <c r="G1257">
        <v>-198.52199999999999</v>
      </c>
      <c r="H1257" s="1">
        <v>1.45700799999999E-6</v>
      </c>
      <c r="I1257">
        <v>292.06630000000001</v>
      </c>
      <c r="J1257">
        <v>-192.01669999999999</v>
      </c>
      <c r="K1257">
        <v>1.106954</v>
      </c>
      <c r="L1257">
        <v>302.27659999999997</v>
      </c>
      <c r="M1257">
        <v>-0.14501339999999999</v>
      </c>
      <c r="N1257">
        <v>0</v>
      </c>
      <c r="O1257">
        <v>-0.98935289999999998</v>
      </c>
      <c r="P1257">
        <v>-0.4983688</v>
      </c>
      <c r="Q1257">
        <v>0.14847080000000001</v>
      </c>
      <c r="R1257">
        <v>-0.85415739999999996</v>
      </c>
      <c r="S1257">
        <v>-1.63089</v>
      </c>
      <c r="T1257">
        <v>-0.2757173</v>
      </c>
      <c r="U1257">
        <v>-2.6084290000000001</v>
      </c>
      <c r="V1257">
        <v>0.37053209999999998</v>
      </c>
      <c r="W1257">
        <v>0.15672259999999999</v>
      </c>
      <c r="X1257">
        <v>0.91550209999999999</v>
      </c>
      <c r="Y1257">
        <v>0.39937109999999998</v>
      </c>
      <c r="Z1257">
        <v>9.103224E-2</v>
      </c>
      <c r="AA1257">
        <v>0.91225860000000003</v>
      </c>
      <c r="AB1257">
        <v>26</v>
      </c>
      <c r="AC1257">
        <v>-6.5053000000000303</v>
      </c>
      <c r="AD1257">
        <v>-1.106952542992</v>
      </c>
      <c r="AE1257">
        <v>-10.210299999999901</v>
      </c>
      <c r="AF1257">
        <v>4.9146959168566999</v>
      </c>
      <c r="AG1257">
        <v>-1.106952542992</v>
      </c>
      <c r="AH1257">
        <v>10.954205749742499</v>
      </c>
      <c r="AI1257">
        <v>95.267686963604802</v>
      </c>
      <c r="AJ1257">
        <v>65.836212484440793</v>
      </c>
      <c r="AK1257">
        <v>12.057122521368701</v>
      </c>
      <c r="AL1257">
        <v>80.983285390726905</v>
      </c>
      <c r="AM1257">
        <v>67.965293474034894</v>
      </c>
      <c r="AN1257">
        <v>1.0000000527927799</v>
      </c>
    </row>
    <row r="1258" spans="1:40" x14ac:dyDescent="0.25">
      <c r="A1258" t="str">
        <f>"20190312164245115"</f>
        <v>20190312164245115</v>
      </c>
      <c r="B1258" t="str">
        <f>"1552380165105581"</f>
        <v>1552380165105581</v>
      </c>
      <c r="C1258" t="s">
        <v>40</v>
      </c>
      <c r="D1258">
        <v>4.5845969999999996</v>
      </c>
      <c r="E1258">
        <v>0.52642109999999998</v>
      </c>
      <c r="F1258" t="s">
        <v>45</v>
      </c>
      <c r="G1258">
        <v>-198.7602</v>
      </c>
      <c r="H1258" s="1">
        <v>1.5046650000000001E-6</v>
      </c>
      <c r="I1258">
        <v>291.67579999999998</v>
      </c>
      <c r="J1258">
        <v>-192.05690000000001</v>
      </c>
      <c r="K1258">
        <v>1.106895</v>
      </c>
      <c r="L1258">
        <v>302.03699999999998</v>
      </c>
      <c r="M1258">
        <v>-0.14956179999999999</v>
      </c>
      <c r="N1258">
        <v>0</v>
      </c>
      <c r="O1258">
        <v>-0.98867570000000005</v>
      </c>
      <c r="P1258">
        <v>-0.50541389999999997</v>
      </c>
      <c r="Q1258">
        <v>0.14902550000000001</v>
      </c>
      <c r="R1258">
        <v>-0.84991079999999997</v>
      </c>
      <c r="S1258">
        <v>-1.6512910000000001</v>
      </c>
      <c r="T1258">
        <v>-0.27106239999999998</v>
      </c>
      <c r="U1258">
        <v>-2.5958559999999999</v>
      </c>
      <c r="V1258">
        <v>0.37393660000000001</v>
      </c>
      <c r="W1258">
        <v>0.15717419999999999</v>
      </c>
      <c r="X1258">
        <v>0.91403920000000005</v>
      </c>
      <c r="Y1258">
        <v>0.4023352</v>
      </c>
      <c r="Z1258">
        <v>8.9546230000000004E-2</v>
      </c>
      <c r="AA1258">
        <v>0.91110259999999998</v>
      </c>
      <c r="AB1258">
        <v>26</v>
      </c>
      <c r="AC1258">
        <v>-6.7032999999999801</v>
      </c>
      <c r="AD1258">
        <v>-1.106893495335</v>
      </c>
      <c r="AE1258">
        <v>-10.3612</v>
      </c>
      <c r="AF1258">
        <v>5.0376058917125901</v>
      </c>
      <c r="AG1258">
        <v>-1.106893495335</v>
      </c>
      <c r="AH1258">
        <v>11.157511123603101</v>
      </c>
      <c r="AI1258">
        <v>95.1664873590382</v>
      </c>
      <c r="AJ1258">
        <v>65.7008682681507</v>
      </c>
      <c r="AK1258">
        <v>12.2919787179917</v>
      </c>
      <c r="AL1258">
        <v>80.957085300439502</v>
      </c>
      <c r="AM1258">
        <v>67.750360287791295</v>
      </c>
      <c r="AN1258">
        <v>0.99999998455091998</v>
      </c>
    </row>
    <row r="1259" spans="1:40" x14ac:dyDescent="0.25">
      <c r="A1259" t="str">
        <f>"20190312164245137"</f>
        <v>20190312164245137</v>
      </c>
      <c r="B1259" t="str">
        <f>"1552380165125104"</f>
        <v>1552380165125104</v>
      </c>
      <c r="C1259" t="s">
        <v>40</v>
      </c>
      <c r="D1259">
        <v>4.5943550000000002</v>
      </c>
      <c r="E1259">
        <v>0.52630069999999995</v>
      </c>
      <c r="F1259" t="s">
        <v>45</v>
      </c>
      <c r="G1259">
        <v>-198.9093</v>
      </c>
      <c r="H1259" s="1">
        <v>1.5333250000000001E-6</v>
      </c>
      <c r="I1259">
        <v>291.43790000000001</v>
      </c>
      <c r="J1259">
        <v>-192.10120000000001</v>
      </c>
      <c r="K1259">
        <v>1.106824</v>
      </c>
      <c r="L1259">
        <v>301.78129999999999</v>
      </c>
      <c r="M1259">
        <v>-0.15450810000000001</v>
      </c>
      <c r="N1259">
        <v>0</v>
      </c>
      <c r="O1259">
        <v>-0.98791470000000003</v>
      </c>
      <c r="P1259">
        <v>-0.51285409999999998</v>
      </c>
      <c r="Q1259">
        <v>0.14956520000000001</v>
      </c>
      <c r="R1259">
        <v>-0.84534669999999901</v>
      </c>
      <c r="S1259">
        <v>-1.67041</v>
      </c>
      <c r="T1259">
        <v>-0.26982810000000002</v>
      </c>
      <c r="U1259">
        <v>-2.5837400000000001</v>
      </c>
      <c r="V1259">
        <v>0.3774343</v>
      </c>
      <c r="W1259">
        <v>0.15759989999999999</v>
      </c>
      <c r="X1259">
        <v>0.91252710000000004</v>
      </c>
      <c r="Y1259">
        <v>0.40447709999999998</v>
      </c>
      <c r="Z1259">
        <v>8.9179309999999998E-2</v>
      </c>
      <c r="AA1259">
        <v>0.91018969999999999</v>
      </c>
      <c r="AB1259">
        <v>26</v>
      </c>
      <c r="AC1259">
        <v>-6.8080999999999898</v>
      </c>
      <c r="AD1259">
        <v>-1.1068224666749999</v>
      </c>
      <c r="AE1259">
        <v>-10.3433999999999</v>
      </c>
      <c r="AF1259">
        <v>5.0874269755181603</v>
      </c>
      <c r="AG1259">
        <v>-1.1068224666749999</v>
      </c>
      <c r="AH1259">
        <v>11.1818234875045</v>
      </c>
      <c r="AI1259">
        <v>95.148292903096305</v>
      </c>
      <c r="AJ1259">
        <v>65.535749959365504</v>
      </c>
      <c r="AK1259">
        <v>12.3345103554893</v>
      </c>
      <c r="AL1259">
        <v>80.932387208785599</v>
      </c>
      <c r="AM1259">
        <v>67.529310870453401</v>
      </c>
      <c r="AN1259">
        <v>1.0000000437654499</v>
      </c>
    </row>
    <row r="1260" spans="1:40" x14ac:dyDescent="0.25">
      <c r="A1260" t="str">
        <f>"20190312164245161"</f>
        <v>20190312164245161</v>
      </c>
      <c r="B1260" t="str">
        <f>"1552380165155357"</f>
        <v>1552380165155357</v>
      </c>
      <c r="C1260" t="s">
        <v>40</v>
      </c>
      <c r="D1260">
        <v>4.6046870000000002</v>
      </c>
      <c r="E1260">
        <v>0.5156501</v>
      </c>
      <c r="F1260" t="s">
        <v>45</v>
      </c>
      <c r="G1260">
        <v>-199.06720000000001</v>
      </c>
      <c r="H1260" s="1">
        <v>1.5634060000000001E-6</v>
      </c>
      <c r="I1260">
        <v>291.18759999999997</v>
      </c>
      <c r="J1260">
        <v>-192.14930000000001</v>
      </c>
      <c r="K1260">
        <v>1.106749</v>
      </c>
      <c r="L1260">
        <v>301.512</v>
      </c>
      <c r="M1260">
        <v>-0.15981409999999999</v>
      </c>
      <c r="N1260">
        <v>0</v>
      </c>
      <c r="O1260">
        <v>-0.98707040000000001</v>
      </c>
      <c r="P1260">
        <v>-0.52057969999999998</v>
      </c>
      <c r="Q1260">
        <v>0.14987809999999999</v>
      </c>
      <c r="R1260">
        <v>-0.84055539999999995</v>
      </c>
      <c r="S1260">
        <v>-1.690445</v>
      </c>
      <c r="T1260">
        <v>-0.2685939</v>
      </c>
      <c r="U1260">
        <v>-2.57077</v>
      </c>
      <c r="V1260">
        <v>0.38093830000000001</v>
      </c>
      <c r="W1260">
        <v>0.1577934</v>
      </c>
      <c r="X1260">
        <v>0.91103639999999997</v>
      </c>
      <c r="Y1260">
        <v>0.40664479999999997</v>
      </c>
      <c r="Z1260">
        <v>8.8814009999999999E-2</v>
      </c>
      <c r="AA1260">
        <v>0.90925909999999999</v>
      </c>
      <c r="AB1260">
        <v>26</v>
      </c>
      <c r="AC1260">
        <v>-6.9179000000000004</v>
      </c>
      <c r="AD1260">
        <v>-1.106747436594</v>
      </c>
      <c r="AE1260">
        <v>-10.324400000000001</v>
      </c>
      <c r="AF1260">
        <v>5.1381134246303697</v>
      </c>
      <c r="AG1260">
        <v>-1.106747436594</v>
      </c>
      <c r="AH1260">
        <v>11.2084532265549</v>
      </c>
      <c r="AI1260">
        <v>95.129142055708996</v>
      </c>
      <c r="AJ1260">
        <v>65.372609295360306</v>
      </c>
      <c r="AK1260">
        <v>12.379601091499</v>
      </c>
      <c r="AL1260">
        <v>80.921159905425895</v>
      </c>
      <c r="AM1260">
        <v>67.308376156860504</v>
      </c>
      <c r="AN1260">
        <v>1.0000000338077</v>
      </c>
    </row>
    <row r="1261" spans="1:40" x14ac:dyDescent="0.25">
      <c r="A1261" t="str">
        <f>"20190312164245183"</f>
        <v>20190312164245183</v>
      </c>
      <c r="B1261" t="str">
        <f>"1552380165174878"</f>
        <v>1552380165174878</v>
      </c>
      <c r="C1261" t="s">
        <v>40</v>
      </c>
      <c r="D1261">
        <v>4.4467049999999997</v>
      </c>
      <c r="E1261">
        <v>0.51732239999999996</v>
      </c>
      <c r="F1261" t="s">
        <v>45</v>
      </c>
      <c r="G1261">
        <v>-197.37270000000001</v>
      </c>
      <c r="H1261" s="1">
        <v>1.366377E-6</v>
      </c>
      <c r="I1261">
        <v>293.15969999999999</v>
      </c>
      <c r="J1261">
        <v>-192.19579999999999</v>
      </c>
      <c r="K1261">
        <v>1.106687</v>
      </c>
      <c r="L1261">
        <v>301.26049999999998</v>
      </c>
      <c r="M1261">
        <v>-0.16486389999999901</v>
      </c>
      <c r="N1261">
        <v>0</v>
      </c>
      <c r="O1261">
        <v>-0.98623939999999999</v>
      </c>
      <c r="P1261">
        <v>-0.52738509999999905</v>
      </c>
      <c r="Q1261">
        <v>0.14981169999999999</v>
      </c>
      <c r="R1261">
        <v>-0.83631440000000001</v>
      </c>
      <c r="S1261">
        <v>-1.636765</v>
      </c>
      <c r="T1261">
        <v>-0.34680040000000001</v>
      </c>
      <c r="U1261">
        <v>-2.6171880000000001</v>
      </c>
      <c r="V1261">
        <v>0.38369599999999998</v>
      </c>
      <c r="W1261">
        <v>0.1576272</v>
      </c>
      <c r="X1261">
        <v>0.90990720000000003</v>
      </c>
      <c r="Y1261">
        <v>0.37973750000000001</v>
      </c>
      <c r="Z1261">
        <v>0.113772</v>
      </c>
      <c r="AA1261">
        <v>0.91807150000000004</v>
      </c>
      <c r="AB1261">
        <v>26</v>
      </c>
      <c r="AC1261">
        <v>-5.1769000000000096</v>
      </c>
      <c r="AD1261">
        <v>-1.106685633623</v>
      </c>
      <c r="AE1261">
        <v>-8.1007999999999907</v>
      </c>
      <c r="AF1261">
        <v>3.72110881337766</v>
      </c>
      <c r="AG1261">
        <v>-1.106685633623</v>
      </c>
      <c r="AH1261">
        <v>8.7278256573406807</v>
      </c>
      <c r="AI1261">
        <v>96.652969560623802</v>
      </c>
      <c r="AJ1261">
        <v>66.909022375050199</v>
      </c>
      <c r="AK1261">
        <v>9.5522952528488503</v>
      </c>
      <c r="AL1261">
        <v>80.930803142856007</v>
      </c>
      <c r="AM1261">
        <v>67.135481572137493</v>
      </c>
      <c r="AN1261">
        <v>1.0000000336038299</v>
      </c>
    </row>
    <row r="1262" spans="1:40" x14ac:dyDescent="0.25">
      <c r="A1262" t="str">
        <f>"20190312164245227"</f>
        <v>20190312164245227</v>
      </c>
      <c r="B1262" t="str">
        <f>"1552380165215869"</f>
        <v>1552380165215869</v>
      </c>
      <c r="C1262" t="s">
        <v>40</v>
      </c>
      <c r="D1262">
        <v>4.3702909999999999</v>
      </c>
      <c r="E1262">
        <v>0.53537330000000005</v>
      </c>
      <c r="F1262" t="s">
        <v>45</v>
      </c>
      <c r="G1262">
        <v>-197.62909999999999</v>
      </c>
      <c r="H1262" s="1">
        <v>1.406031E-6</v>
      </c>
      <c r="I1262">
        <v>292.80549999999999</v>
      </c>
      <c r="J1262">
        <v>-192.2927</v>
      </c>
      <c r="K1262">
        <v>1.106582</v>
      </c>
      <c r="L1262">
        <v>300.7595</v>
      </c>
      <c r="M1262">
        <v>-0.17515120000000001</v>
      </c>
      <c r="N1262">
        <v>0</v>
      </c>
      <c r="O1262">
        <v>-0.98446449999999996</v>
      </c>
      <c r="P1262">
        <v>-0.54136530000000005</v>
      </c>
      <c r="Q1262">
        <v>0.15002299999999999</v>
      </c>
      <c r="R1262">
        <v>-0.8272948</v>
      </c>
      <c r="S1262">
        <v>-1.6682279999999901</v>
      </c>
      <c r="T1262">
        <v>-0.33979730000000002</v>
      </c>
      <c r="U1262">
        <v>-2.5960390000000002</v>
      </c>
      <c r="V1262">
        <v>0.38954030000000001</v>
      </c>
      <c r="W1262">
        <v>0.15765689999999999</v>
      </c>
      <c r="X1262">
        <v>0.90741539999999998</v>
      </c>
      <c r="Y1262">
        <v>0.381498</v>
      </c>
      <c r="Z1262">
        <v>0.11158659999999999</v>
      </c>
      <c r="AA1262">
        <v>0.91760980000000003</v>
      </c>
      <c r="AB1262">
        <v>26</v>
      </c>
      <c r="AC1262">
        <v>-5.3363999999999896</v>
      </c>
      <c r="AD1262">
        <v>-1.1065805939690001</v>
      </c>
      <c r="AE1262">
        <v>-7.9539999999999997</v>
      </c>
      <c r="AF1262">
        <v>3.80978638807888</v>
      </c>
      <c r="AG1262">
        <v>-1.1065805939690001</v>
      </c>
      <c r="AH1262">
        <v>8.6503145091577203</v>
      </c>
      <c r="AI1262">
        <v>96.677353864858802</v>
      </c>
      <c r="AJ1262">
        <v>66.230265078371005</v>
      </c>
      <c r="AK1262">
        <v>9.5166661200803109</v>
      </c>
      <c r="AL1262">
        <v>80.929079840141199</v>
      </c>
      <c r="AM1262">
        <v>66.7668523554442</v>
      </c>
      <c r="AN1262">
        <v>1.0000000257994199</v>
      </c>
    </row>
    <row r="1263" spans="1:40" x14ac:dyDescent="0.25">
      <c r="A1263" t="str">
        <f>"20190312164245251"</f>
        <v>20190312164245251</v>
      </c>
      <c r="B1263" t="str">
        <f>"1552380165245149"</f>
        <v>1552380165245149</v>
      </c>
      <c r="C1263" t="s">
        <v>40</v>
      </c>
      <c r="D1263">
        <v>4.3348599999999999</v>
      </c>
      <c r="E1263">
        <v>0.53520599999999996</v>
      </c>
      <c r="F1263" t="s">
        <v>45</v>
      </c>
      <c r="G1263">
        <v>-199.00980000000001</v>
      </c>
      <c r="H1263" s="1">
        <v>1.483336E-6</v>
      </c>
      <c r="I1263">
        <v>291.67110000000002</v>
      </c>
      <c r="J1263">
        <v>-192.3493</v>
      </c>
      <c r="K1263">
        <v>1.106544</v>
      </c>
      <c r="L1263">
        <v>300.4794</v>
      </c>
      <c r="M1263">
        <v>-0.1809991</v>
      </c>
      <c r="N1263">
        <v>0</v>
      </c>
      <c r="O1263">
        <v>-0.98340609999999995</v>
      </c>
      <c r="P1263">
        <v>-0.5491355</v>
      </c>
      <c r="Q1263">
        <v>0.1501963</v>
      </c>
      <c r="R1263">
        <v>-0.82212640000000003</v>
      </c>
      <c r="S1263">
        <v>-1.833755</v>
      </c>
      <c r="T1263">
        <v>-0.30209200000000003</v>
      </c>
      <c r="U1263">
        <v>-2.4810789999999998</v>
      </c>
      <c r="V1263">
        <v>0.39272220000000002</v>
      </c>
      <c r="W1263">
        <v>0.15774679999999999</v>
      </c>
      <c r="X1263">
        <v>0.90602709999999997</v>
      </c>
      <c r="Y1263">
        <v>0.436004</v>
      </c>
      <c r="Z1263">
        <v>9.9909449999999997E-2</v>
      </c>
      <c r="AA1263">
        <v>0.89438169999999995</v>
      </c>
      <c r="AB1263">
        <v>26</v>
      </c>
      <c r="AC1263">
        <v>-6.6605000000000096</v>
      </c>
      <c r="AD1263">
        <v>-1.1065425166639999</v>
      </c>
      <c r="AE1263">
        <v>-8.8082999999999707</v>
      </c>
      <c r="AF1263">
        <v>4.9067908863794196</v>
      </c>
      <c r="AG1263">
        <v>-1.1065425166639999</v>
      </c>
      <c r="AH1263">
        <v>9.7703292820043792</v>
      </c>
      <c r="AI1263">
        <v>95.779166174088203</v>
      </c>
      <c r="AJ1263">
        <v>63.333581087483701</v>
      </c>
      <c r="AK1263">
        <v>10.989102211856601</v>
      </c>
      <c r="AL1263">
        <v>80.923862917254397</v>
      </c>
      <c r="AM1263">
        <v>66.565426628831702</v>
      </c>
      <c r="AN1263">
        <v>0.99999994260874303</v>
      </c>
    </row>
    <row r="1264" spans="1:40" x14ac:dyDescent="0.25">
      <c r="A1264" t="str">
        <f>"20190312164245272"</f>
        <v>20190312164245272</v>
      </c>
      <c r="B1264" t="str">
        <f>"1552380165265645"</f>
        <v>1552380165265645</v>
      </c>
      <c r="C1264" t="s">
        <v>40</v>
      </c>
      <c r="D1264">
        <v>4.3148499999999999</v>
      </c>
      <c r="E1264">
        <v>0.53510449999999998</v>
      </c>
      <c r="F1264" t="s">
        <v>45</v>
      </c>
      <c r="G1264">
        <v>-199.54179999999999</v>
      </c>
      <c r="H1264" s="1">
        <v>1.5657150000000001E-6</v>
      </c>
      <c r="I1264">
        <v>290.93549999999999</v>
      </c>
      <c r="J1264">
        <v>-192.40029999999999</v>
      </c>
      <c r="K1264">
        <v>1.106508</v>
      </c>
      <c r="L1264">
        <v>300.23439999999999</v>
      </c>
      <c r="M1264">
        <v>-0.18615780000000001</v>
      </c>
      <c r="N1264">
        <v>0</v>
      </c>
      <c r="O1264">
        <v>-0.98244279999999995</v>
      </c>
      <c r="P1264">
        <v>-0.55584509999999998</v>
      </c>
      <c r="Q1264">
        <v>0.15010029999999999</v>
      </c>
      <c r="R1264">
        <v>-0.81762239999999997</v>
      </c>
      <c r="S1264">
        <v>-1.8553770000000001</v>
      </c>
      <c r="T1264">
        <v>-0.28544459999999999</v>
      </c>
      <c r="U1264">
        <v>-2.4619450000000001</v>
      </c>
      <c r="V1264">
        <v>0.39539160000000001</v>
      </c>
      <c r="W1264">
        <v>0.1575858</v>
      </c>
      <c r="X1264">
        <v>0.90489350000000002</v>
      </c>
      <c r="Y1264">
        <v>0.43994250000000001</v>
      </c>
      <c r="Z1264">
        <v>9.4583559999999997E-2</v>
      </c>
      <c r="AA1264">
        <v>0.89303109999999997</v>
      </c>
      <c r="AB1264">
        <v>26</v>
      </c>
      <c r="AC1264">
        <v>-7.1414999999999997</v>
      </c>
      <c r="AD1264">
        <v>-1.106506434285</v>
      </c>
      <c r="AE1264">
        <v>-9.2988999999999997</v>
      </c>
      <c r="AF1264">
        <v>5.2387942963906102</v>
      </c>
      <c r="AG1264">
        <v>-1.106506434285</v>
      </c>
      <c r="AH1264">
        <v>10.3734861125827</v>
      </c>
      <c r="AI1264">
        <v>95.438952905629606</v>
      </c>
      <c r="AJ1264">
        <v>63.205415442078603</v>
      </c>
      <c r="AK1264">
        <v>11.6738398265932</v>
      </c>
      <c r="AL1264">
        <v>80.933205121519407</v>
      </c>
      <c r="AM1264">
        <v>66.397163451813299</v>
      </c>
      <c r="AN1264">
        <v>1.00000002402722</v>
      </c>
    </row>
    <row r="1265" spans="1:40" x14ac:dyDescent="0.25">
      <c r="A1265" t="str">
        <f>"20190312164245317"</f>
        <v>20190312164245317</v>
      </c>
      <c r="B1265" t="str">
        <f>"1552380165305661"</f>
        <v>1552380165305661</v>
      </c>
      <c r="C1265" t="s">
        <v>40</v>
      </c>
      <c r="D1265">
        <v>4.3069410000000001</v>
      </c>
      <c r="E1265">
        <v>0.53483239999999999</v>
      </c>
      <c r="F1265" t="s">
        <v>45</v>
      </c>
      <c r="G1265">
        <v>-199.66970000000001</v>
      </c>
      <c r="H1265" s="1">
        <v>1.5884859999999999E-6</v>
      </c>
      <c r="I1265">
        <v>290.74180000000001</v>
      </c>
      <c r="J1265">
        <v>-192.5094</v>
      </c>
      <c r="K1265">
        <v>1.1064449999999999</v>
      </c>
      <c r="L1265">
        <v>299.73059999999998</v>
      </c>
      <c r="M1265">
        <v>-0.19690949999999999</v>
      </c>
      <c r="N1265">
        <v>0</v>
      </c>
      <c r="O1265">
        <v>-0.9803444</v>
      </c>
      <c r="P1265">
        <v>-0.56959919999999997</v>
      </c>
      <c r="Q1265">
        <v>0.15046399999999999</v>
      </c>
      <c r="R1265">
        <v>-0.80803329999999995</v>
      </c>
      <c r="S1265">
        <v>-1.8741909999999999</v>
      </c>
      <c r="T1265">
        <v>-0.28527649999999999</v>
      </c>
      <c r="U1265">
        <v>-2.4473569999999998</v>
      </c>
      <c r="V1265">
        <v>0.40083439999999998</v>
      </c>
      <c r="W1265">
        <v>0.15780759999999999</v>
      </c>
      <c r="X1265">
        <v>0.90245690000000001</v>
      </c>
      <c r="Y1265">
        <v>0.43701139999999999</v>
      </c>
      <c r="Z1265">
        <v>9.4541979999999998E-2</v>
      </c>
      <c r="AA1265">
        <v>0.89447350000000003</v>
      </c>
      <c r="AB1265">
        <v>26</v>
      </c>
      <c r="AC1265">
        <v>-7.1603000000000003</v>
      </c>
      <c r="AD1265">
        <v>-1.1064434115140001</v>
      </c>
      <c r="AE1265">
        <v>-8.9887999999999693</v>
      </c>
      <c r="AF1265">
        <v>5.2017595544780697</v>
      </c>
      <c r="AG1265">
        <v>-1.1064434115140001</v>
      </c>
      <c r="AH1265">
        <v>10.1289344436678</v>
      </c>
      <c r="AI1265">
        <v>95.550066464364605</v>
      </c>
      <c r="AJ1265">
        <v>62.817032009099997</v>
      </c>
      <c r="AK1265">
        <v>11.440184983190001</v>
      </c>
      <c r="AL1265">
        <v>80.920335266355195</v>
      </c>
      <c r="AM1265">
        <v>66.051167115216401</v>
      </c>
      <c r="AN1265">
        <v>0.99999995559936306</v>
      </c>
    </row>
    <row r="1266" spans="1:40" x14ac:dyDescent="0.25">
      <c r="A1266" t="str">
        <f>"20190312164245339"</f>
        <v>20190312164245339</v>
      </c>
      <c r="B1266" t="str">
        <f>"1552380165334941"</f>
        <v>1552380165334941</v>
      </c>
      <c r="C1266" t="s">
        <v>40</v>
      </c>
      <c r="D1266">
        <v>4.7959040000000002</v>
      </c>
      <c r="E1266">
        <v>0.53445759999999998</v>
      </c>
      <c r="F1266" t="s">
        <v>45</v>
      </c>
      <c r="G1266">
        <v>-199.96690000000001</v>
      </c>
      <c r="H1266" s="1">
        <v>1.6437179999999999E-6</v>
      </c>
      <c r="I1266">
        <v>290.30849999999998</v>
      </c>
      <c r="J1266">
        <v>-192.5668</v>
      </c>
      <c r="K1266">
        <v>1.1064080000000001</v>
      </c>
      <c r="L1266">
        <v>299.47590000000002</v>
      </c>
      <c r="M1266">
        <v>-0.20240910000000001</v>
      </c>
      <c r="N1266">
        <v>0</v>
      </c>
      <c r="O1266">
        <v>-0.97922359999999997</v>
      </c>
      <c r="P1266">
        <v>-0.57595160000000001</v>
      </c>
      <c r="Q1266">
        <v>0.1505166</v>
      </c>
      <c r="R1266">
        <v>-0.803508</v>
      </c>
      <c r="S1266">
        <v>-1.9130549999999999</v>
      </c>
      <c r="T1266">
        <v>-0.28383269999999999</v>
      </c>
      <c r="U1266">
        <v>-2.4170229999999999</v>
      </c>
      <c r="V1266">
        <v>0.40290310000000001</v>
      </c>
      <c r="W1266">
        <v>0.15779480000000001</v>
      </c>
      <c r="X1266">
        <v>0.90153749999999999</v>
      </c>
      <c r="Y1266">
        <v>0.4462739</v>
      </c>
      <c r="Z1266">
        <v>9.4184610000000002E-2</v>
      </c>
      <c r="AA1266">
        <v>0.88992629999999995</v>
      </c>
      <c r="AB1266">
        <v>26</v>
      </c>
      <c r="AC1266">
        <v>-7.4001000000000001</v>
      </c>
      <c r="AD1266">
        <v>-1.1064063562819999</v>
      </c>
      <c r="AE1266">
        <v>-9.1674000000000397</v>
      </c>
      <c r="AF1266">
        <v>5.3440656859495803</v>
      </c>
      <c r="AG1266">
        <v>-1.1064063562819999</v>
      </c>
      <c r="AH1266">
        <v>10.3839975832812</v>
      </c>
      <c r="AI1266">
        <v>95.411994948003894</v>
      </c>
      <c r="AJ1266">
        <v>62.767640536475596</v>
      </c>
      <c r="AK1266">
        <v>11.7307535516928</v>
      </c>
      <c r="AL1266">
        <v>80.921078230476695</v>
      </c>
      <c r="AM1266">
        <v>65.919814902847804</v>
      </c>
      <c r="AN1266">
        <v>0.99999998540144996</v>
      </c>
    </row>
    <row r="1267" spans="1:40" x14ac:dyDescent="0.25">
      <c r="A1267" t="str">
        <f>"20190312164245362"</f>
        <v>20190312164245362</v>
      </c>
      <c r="B1267" t="str">
        <f>"1552380165355437"</f>
        <v>1552380165355437</v>
      </c>
      <c r="C1267" t="s">
        <v>40</v>
      </c>
      <c r="D1267">
        <v>4.2819159999999998</v>
      </c>
      <c r="E1267">
        <v>0.53422879999999995</v>
      </c>
      <c r="F1267" t="s">
        <v>45</v>
      </c>
      <c r="G1267">
        <v>-200.06290000000001</v>
      </c>
      <c r="H1267" s="1">
        <v>1.72095E-6</v>
      </c>
      <c r="I1267">
        <v>290.1354</v>
      </c>
      <c r="J1267">
        <v>-192.62520000000001</v>
      </c>
      <c r="K1267">
        <v>1.106371</v>
      </c>
      <c r="L1267">
        <v>299.2242</v>
      </c>
      <c r="M1267">
        <v>-0.20788580000000001</v>
      </c>
      <c r="N1267">
        <v>0</v>
      </c>
      <c r="O1267">
        <v>-0.97807580000000005</v>
      </c>
      <c r="P1267">
        <v>-0.58127689999999999</v>
      </c>
      <c r="Q1267">
        <v>0.1503139</v>
      </c>
      <c r="R1267">
        <v>-0.79970220000000003</v>
      </c>
      <c r="S1267">
        <v>-1.9293370000000001</v>
      </c>
      <c r="T1267">
        <v>-0.28476810000000002</v>
      </c>
      <c r="U1267">
        <v>-2.4040530000000002</v>
      </c>
      <c r="V1267">
        <v>0.40385270000000001</v>
      </c>
      <c r="W1267">
        <v>0.15754479999999901</v>
      </c>
      <c r="X1267">
        <v>0.90115619999999996</v>
      </c>
      <c r="Y1267">
        <v>0.44726149999999998</v>
      </c>
      <c r="Z1267">
        <v>9.4517450000000003E-2</v>
      </c>
      <c r="AA1267">
        <v>0.88939509999999899</v>
      </c>
      <c r="AB1267">
        <v>26</v>
      </c>
      <c r="AC1267">
        <v>-7.4377000000000004</v>
      </c>
      <c r="AD1267">
        <v>-1.1063692790499999</v>
      </c>
      <c r="AE1267">
        <v>-9.0887999999999902</v>
      </c>
      <c r="AF1267">
        <v>5.3382337690109303</v>
      </c>
      <c r="AG1267">
        <v>-1.1063692790499999</v>
      </c>
      <c r="AH1267">
        <v>10.344710194808901</v>
      </c>
      <c r="AI1267">
        <v>95.429187933974603</v>
      </c>
      <c r="AJ1267">
        <v>62.704676853261297</v>
      </c>
      <c r="AK1267">
        <v>11.6933238118517</v>
      </c>
      <c r="AL1267">
        <v>80.935583122826998</v>
      </c>
      <c r="AM1267">
        <v>65.860486913326298</v>
      </c>
      <c r="AN1267">
        <v>0.99999993205138205</v>
      </c>
    </row>
    <row r="1268" spans="1:40" x14ac:dyDescent="0.25">
      <c r="A1268" t="str">
        <f>"20190312164245384"</f>
        <v>20190312164245384</v>
      </c>
      <c r="B1268" t="str">
        <f>"1552380165375934"</f>
        <v>1552380165375934</v>
      </c>
      <c r="C1268" t="s">
        <v>40</v>
      </c>
      <c r="D1268">
        <v>4.5812299999999997</v>
      </c>
      <c r="E1268">
        <v>0.53400369999999997</v>
      </c>
      <c r="F1268" t="s">
        <v>45</v>
      </c>
      <c r="G1268">
        <v>-200.15379999999999</v>
      </c>
      <c r="H1268" s="1">
        <v>1.796205E-6</v>
      </c>
      <c r="I1268">
        <v>289.95979999999997</v>
      </c>
      <c r="J1268">
        <v>-192.6867</v>
      </c>
      <c r="K1268">
        <v>1.10633</v>
      </c>
      <c r="L1268">
        <v>298.96589999999998</v>
      </c>
      <c r="M1268">
        <v>-0.21356220000000001</v>
      </c>
      <c r="N1268">
        <v>0</v>
      </c>
      <c r="O1268">
        <v>-0.97685200000000005</v>
      </c>
      <c r="P1268">
        <v>-0.58719429999999995</v>
      </c>
      <c r="Q1268">
        <v>0.14896119999999999</v>
      </c>
      <c r="R1268">
        <v>-0.79562180000000005</v>
      </c>
      <c r="S1268">
        <v>-1.9439390000000001</v>
      </c>
      <c r="T1268">
        <v>-0.28567019999999999</v>
      </c>
      <c r="U1268">
        <v>-2.3921199999999998</v>
      </c>
      <c r="V1268">
        <v>0.40525369999999999</v>
      </c>
      <c r="W1268">
        <v>0.1561419</v>
      </c>
      <c r="X1268">
        <v>0.9007714</v>
      </c>
      <c r="Y1268">
        <v>0.44749549999999999</v>
      </c>
      <c r="Z1268">
        <v>9.4832109999999997E-2</v>
      </c>
      <c r="AA1268">
        <v>0.88924380000000003</v>
      </c>
      <c r="AB1268">
        <v>26</v>
      </c>
      <c r="AC1268">
        <v>-7.4670999999999799</v>
      </c>
      <c r="AD1268">
        <v>-1.106328203795</v>
      </c>
      <c r="AE1268">
        <v>-9.0061</v>
      </c>
      <c r="AF1268">
        <v>5.3236874909161198</v>
      </c>
      <c r="AG1268">
        <v>-1.106328203795</v>
      </c>
      <c r="AH1268">
        <v>10.3009852077553</v>
      </c>
      <c r="AI1268">
        <v>95.450174385020105</v>
      </c>
      <c r="AJ1268">
        <v>62.669471960028503</v>
      </c>
      <c r="AK1268">
        <v>11.6480001221602</v>
      </c>
      <c r="AL1268">
        <v>81.016971155105495</v>
      </c>
      <c r="AM1268">
        <v>65.777196948590799</v>
      </c>
      <c r="AN1268">
        <v>0.99999998467862905</v>
      </c>
    </row>
    <row r="1269" spans="1:40" x14ac:dyDescent="0.25">
      <c r="A1269" t="str">
        <f>"20190312164245409"</f>
        <v>20190312164245409</v>
      </c>
      <c r="B1269" t="str">
        <f>"1552380165405214"</f>
        <v>1552380165405214</v>
      </c>
      <c r="C1269" t="s">
        <v>40</v>
      </c>
      <c r="D1269">
        <v>4.332001</v>
      </c>
      <c r="E1269">
        <v>0.52606799999999998</v>
      </c>
      <c r="F1269" t="s">
        <v>45</v>
      </c>
      <c r="G1269">
        <v>-200.1567</v>
      </c>
      <c r="H1269" s="1">
        <v>1.808442E-6</v>
      </c>
      <c r="I1269">
        <v>289.8981</v>
      </c>
      <c r="J1269">
        <v>-192.7517</v>
      </c>
      <c r="K1269">
        <v>1.1062940000000001</v>
      </c>
      <c r="L1269">
        <v>298.7002</v>
      </c>
      <c r="M1269">
        <v>-0.219444</v>
      </c>
      <c r="N1269">
        <v>0</v>
      </c>
      <c r="O1269">
        <v>-0.97554739999999995</v>
      </c>
      <c r="P1269">
        <v>-0.59297129999999998</v>
      </c>
      <c r="Q1269">
        <v>0.14676410000000001</v>
      </c>
      <c r="R1269">
        <v>-0.79173590000000005</v>
      </c>
      <c r="S1269">
        <v>-1.959579</v>
      </c>
      <c r="T1269">
        <v>-0.29022179999999997</v>
      </c>
      <c r="U1269">
        <v>-2.3787229999999999</v>
      </c>
      <c r="V1269">
        <v>0.4062866</v>
      </c>
      <c r="W1269">
        <v>0.15390619999999999</v>
      </c>
      <c r="X1269">
        <v>0.90069089999999996</v>
      </c>
      <c r="Y1269">
        <v>0.44795960000000001</v>
      </c>
      <c r="Z1269">
        <v>9.635966E-2</v>
      </c>
      <c r="AA1269">
        <v>0.88884589999999997</v>
      </c>
      <c r="AB1269">
        <v>26</v>
      </c>
      <c r="AC1269">
        <v>-7.4050000000000002</v>
      </c>
      <c r="AD1269">
        <v>-1.106292191558</v>
      </c>
      <c r="AE1269">
        <v>-8.8020999999999905</v>
      </c>
      <c r="AF1269">
        <v>5.2442521139643503</v>
      </c>
      <c r="AG1269">
        <v>-1.106292191558</v>
      </c>
      <c r="AH1269">
        <v>10.1190213537782</v>
      </c>
      <c r="AI1269">
        <v>95.544148649421203</v>
      </c>
      <c r="AJ1269">
        <v>62.604241617810104</v>
      </c>
      <c r="AK1269">
        <v>11.450792802515499</v>
      </c>
      <c r="AL1269">
        <v>81.146635118132295</v>
      </c>
      <c r="AM1269">
        <v>65.720660620847994</v>
      </c>
      <c r="AN1269">
        <v>1.0000000085403999</v>
      </c>
    </row>
    <row r="1270" spans="1:40" x14ac:dyDescent="0.25">
      <c r="A1270" t="str">
        <f>"20190312164245452"</f>
        <v>20190312164245452</v>
      </c>
      <c r="B1270" t="str">
        <f>"1552380165445229"</f>
        <v>1552380165445229</v>
      </c>
      <c r="C1270" t="s">
        <v>40</v>
      </c>
      <c r="D1270">
        <v>4.415432</v>
      </c>
      <c r="E1270">
        <v>0.52641389999999999</v>
      </c>
      <c r="F1270" t="s">
        <v>45</v>
      </c>
      <c r="G1270">
        <v>-198.5428</v>
      </c>
      <c r="H1270" s="1">
        <v>1.568634E-6</v>
      </c>
      <c r="I1270">
        <v>291.42200000000003</v>
      </c>
      <c r="J1270">
        <v>-192.8768</v>
      </c>
      <c r="K1270">
        <v>1.1062160000000001</v>
      </c>
      <c r="L1270">
        <v>298.20769999999999</v>
      </c>
      <c r="M1270">
        <v>-0.23047039999999999</v>
      </c>
      <c r="N1270">
        <v>0</v>
      </c>
      <c r="O1270">
        <v>-0.97300140000000002</v>
      </c>
      <c r="P1270">
        <v>-0.60375710000000005</v>
      </c>
      <c r="Q1270">
        <v>0.14353779999999999</v>
      </c>
      <c r="R1270">
        <v>-0.78413900000000003</v>
      </c>
      <c r="S1270">
        <v>-1.9230959999999999</v>
      </c>
      <c r="T1270">
        <v>-0.36737639999999999</v>
      </c>
      <c r="U1270">
        <v>-2.4169309999999999</v>
      </c>
      <c r="V1270">
        <v>0.40827930000000001</v>
      </c>
      <c r="W1270">
        <v>0.1506101</v>
      </c>
      <c r="X1270">
        <v>0.90034689999999995</v>
      </c>
      <c r="Y1270">
        <v>0.420879</v>
      </c>
      <c r="Z1270">
        <v>0.1209891</v>
      </c>
      <c r="AA1270">
        <v>0.89901200000000003</v>
      </c>
      <c r="AB1270">
        <v>26</v>
      </c>
      <c r="AC1270">
        <v>-5.6659999999999897</v>
      </c>
      <c r="AD1270">
        <v>-1.1062144313660001</v>
      </c>
      <c r="AE1270">
        <v>-6.7856999999999603</v>
      </c>
      <c r="AF1270">
        <v>3.8885333652726599</v>
      </c>
      <c r="AG1270">
        <v>-1.1062144313660001</v>
      </c>
      <c r="AH1270">
        <v>7.7870068556262799</v>
      </c>
      <c r="AI1270">
        <v>97.243109726424706</v>
      </c>
      <c r="AJ1270">
        <v>63.464211548053001</v>
      </c>
      <c r="AK1270">
        <v>8.7739317224703708</v>
      </c>
      <c r="AL1270">
        <v>81.337715300650501</v>
      </c>
      <c r="AM1270">
        <v>65.607186955504801</v>
      </c>
      <c r="AN1270">
        <v>0.99999996468505403</v>
      </c>
    </row>
    <row r="1271" spans="1:40" x14ac:dyDescent="0.25">
      <c r="A1271" t="str">
        <f>"20190312164245474"</f>
        <v>20190312164245474</v>
      </c>
      <c r="B1271" t="str">
        <f>"1552380165465725"</f>
        <v>1552380165465725</v>
      </c>
      <c r="C1271" t="s">
        <v>40</v>
      </c>
      <c r="D1271">
        <v>4.4775999999999998</v>
      </c>
      <c r="E1271">
        <v>0.52679350000000003</v>
      </c>
      <c r="F1271" t="s">
        <v>45</v>
      </c>
      <c r="G1271">
        <v>-199.077</v>
      </c>
      <c r="H1271" s="1">
        <v>1.6547419999999999E-6</v>
      </c>
      <c r="I1271">
        <v>290.66410000000002</v>
      </c>
      <c r="J1271">
        <v>-192.94380000000001</v>
      </c>
      <c r="K1271">
        <v>1.106182</v>
      </c>
      <c r="L1271">
        <v>297.9529</v>
      </c>
      <c r="M1271">
        <v>-0.236239</v>
      </c>
      <c r="N1271">
        <v>0</v>
      </c>
      <c r="O1271">
        <v>-0.9716167</v>
      </c>
      <c r="P1271">
        <v>-0.60936480000000004</v>
      </c>
      <c r="Q1271">
        <v>0.1435176</v>
      </c>
      <c r="R1271">
        <v>-0.77979309999999902</v>
      </c>
      <c r="S1271">
        <v>-1.9579930000000001</v>
      </c>
      <c r="T1271">
        <v>-0.34933720000000001</v>
      </c>
      <c r="U1271">
        <v>-2.3822329999999998</v>
      </c>
      <c r="V1271">
        <v>0.40940539999999997</v>
      </c>
      <c r="W1271">
        <v>0.15054690000000001</v>
      </c>
      <c r="X1271">
        <v>0.89984599999999904</v>
      </c>
      <c r="Y1271">
        <v>0.43017329999999998</v>
      </c>
      <c r="Z1271">
        <v>0.11543970000000001</v>
      </c>
      <c r="AA1271">
        <v>0.89533490000000004</v>
      </c>
      <c r="AB1271">
        <v>26</v>
      </c>
      <c r="AC1271">
        <v>-6.13319999999998</v>
      </c>
      <c r="AD1271">
        <v>-1.1061803452579999</v>
      </c>
      <c r="AE1271">
        <v>-7.2887999999999797</v>
      </c>
      <c r="AF1271">
        <v>4.1811615129326301</v>
      </c>
      <c r="AG1271">
        <v>-1.1061803452579999</v>
      </c>
      <c r="AH1271">
        <v>8.4179565113916297</v>
      </c>
      <c r="AI1271">
        <v>96.712226662285403</v>
      </c>
      <c r="AJ1271">
        <v>63.586613911698301</v>
      </c>
      <c r="AK1271">
        <v>9.4640233717560598</v>
      </c>
      <c r="AL1271">
        <v>81.341378354032898</v>
      </c>
      <c r="AM1271">
        <v>65.535758906950093</v>
      </c>
      <c r="AN1271">
        <v>0.99999998718238403</v>
      </c>
    </row>
    <row r="1272" spans="1:40" x14ac:dyDescent="0.25">
      <c r="A1272" t="str">
        <f>"20190312164245495"</f>
        <v>20190312164245495</v>
      </c>
      <c r="B1272" t="str">
        <f>"1552380165485245"</f>
        <v>1552380165485245</v>
      </c>
      <c r="C1272" t="s">
        <v>40</v>
      </c>
      <c r="D1272">
        <v>4.7566670000000002</v>
      </c>
      <c r="E1272">
        <v>0.52692689999999998</v>
      </c>
      <c r="F1272" t="s">
        <v>45</v>
      </c>
      <c r="G1272">
        <v>-199.435</v>
      </c>
      <c r="H1272" s="1">
        <v>1.7059879999999999E-6</v>
      </c>
      <c r="I1272">
        <v>290.19279999999998</v>
      </c>
      <c r="J1272">
        <v>-193.00790000000001</v>
      </c>
      <c r="K1272">
        <v>1.1061479999999999</v>
      </c>
      <c r="L1272">
        <v>297.71530000000001</v>
      </c>
      <c r="M1272">
        <v>-0.24166570000000001</v>
      </c>
      <c r="N1272">
        <v>0</v>
      </c>
      <c r="O1272">
        <v>-0.97028119999999995</v>
      </c>
      <c r="P1272">
        <v>-0.61477090000000001</v>
      </c>
      <c r="Q1272">
        <v>0.14339759999999999</v>
      </c>
      <c r="R1272">
        <v>-0.77556069999999999</v>
      </c>
      <c r="S1272">
        <v>-1.9774020000000001</v>
      </c>
      <c r="T1272">
        <v>-0.33697500000000002</v>
      </c>
      <c r="U1272">
        <v>-2.363953</v>
      </c>
      <c r="V1272">
        <v>0.41063870000000002</v>
      </c>
      <c r="W1272">
        <v>0.1503786</v>
      </c>
      <c r="X1272">
        <v>0.899312</v>
      </c>
      <c r="Y1272">
        <v>0.43315530000000002</v>
      </c>
      <c r="Z1272">
        <v>0.11149630000000001</v>
      </c>
      <c r="AA1272">
        <v>0.89439650000000004</v>
      </c>
      <c r="AB1272">
        <v>26</v>
      </c>
      <c r="AC1272">
        <v>-6.4270999999999896</v>
      </c>
      <c r="AD1272">
        <v>-1.1061462940119999</v>
      </c>
      <c r="AE1272">
        <v>-7.5225000000000302</v>
      </c>
      <c r="AF1272">
        <v>4.3639566610310698</v>
      </c>
      <c r="AG1272">
        <v>-1.1061462940119999</v>
      </c>
      <c r="AH1272">
        <v>8.7435410038676906</v>
      </c>
      <c r="AI1272">
        <v>96.458079007101404</v>
      </c>
      <c r="AJ1272">
        <v>63.475926282709601</v>
      </c>
      <c r="AK1272">
        <v>9.8344896486512905</v>
      </c>
      <c r="AL1272">
        <v>81.3511321198757</v>
      </c>
      <c r="AM1272">
        <v>65.457884006717805</v>
      </c>
      <c r="AN1272">
        <v>0.99999996930982404</v>
      </c>
    </row>
    <row r="1273" spans="1:40" x14ac:dyDescent="0.25">
      <c r="A1273" t="str">
        <f>"20190312164245517"</f>
        <v>20190312164245517</v>
      </c>
      <c r="B1273" t="str">
        <f>"1552380165505741"</f>
        <v>1552380165505741</v>
      </c>
      <c r="C1273" t="s">
        <v>40</v>
      </c>
      <c r="D1273">
        <v>4.6079280000000002</v>
      </c>
      <c r="E1273">
        <v>0.52694560000000001</v>
      </c>
      <c r="F1273" t="s">
        <v>45</v>
      </c>
      <c r="G1273">
        <v>-199.69130000000001</v>
      </c>
      <c r="H1273" s="1">
        <v>1.7444650000000001E-6</v>
      </c>
      <c r="I1273">
        <v>289.84519999999998</v>
      </c>
      <c r="J1273">
        <v>-193.07689999999999</v>
      </c>
      <c r="K1273">
        <v>1.106109</v>
      </c>
      <c r="L1273">
        <v>297.46530000000001</v>
      </c>
      <c r="M1273">
        <v>-0.24744669999999999</v>
      </c>
      <c r="N1273">
        <v>0</v>
      </c>
      <c r="O1273">
        <v>-0.96882310000000005</v>
      </c>
      <c r="P1273">
        <v>-0.61984779999999995</v>
      </c>
      <c r="Q1273">
        <v>0.14300079999999901</v>
      </c>
      <c r="R1273">
        <v>-0.77158260000000001</v>
      </c>
      <c r="S1273">
        <v>-1.994278</v>
      </c>
      <c r="T1273">
        <v>-0.33006809999999998</v>
      </c>
      <c r="U1273">
        <v>-2.3483890000000001</v>
      </c>
      <c r="V1273">
        <v>0.4111747</v>
      </c>
      <c r="W1273">
        <v>0.1499317</v>
      </c>
      <c r="X1273">
        <v>0.89914169999999904</v>
      </c>
      <c r="Y1273">
        <v>0.43460710000000002</v>
      </c>
      <c r="Z1273">
        <v>0.1092803</v>
      </c>
      <c r="AA1273">
        <v>0.89396559999999903</v>
      </c>
      <c r="AB1273">
        <v>26</v>
      </c>
      <c r="AC1273">
        <v>-6.6144000000000096</v>
      </c>
      <c r="AD1273">
        <v>-1.106107255535</v>
      </c>
      <c r="AE1273">
        <v>-7.6201000000000301</v>
      </c>
      <c r="AF1273">
        <v>4.4692537835849802</v>
      </c>
      <c r="AG1273">
        <v>-1.106107255535</v>
      </c>
      <c r="AH1273">
        <v>8.9128247388770507</v>
      </c>
      <c r="AI1273">
        <v>96.3303365943747</v>
      </c>
      <c r="AJ1273">
        <v>63.3689464277114</v>
      </c>
      <c r="AK1273">
        <v>10.031756948250599</v>
      </c>
      <c r="AL1273">
        <v>81.377031266301501</v>
      </c>
      <c r="AM1273">
        <v>65.425529364802898</v>
      </c>
      <c r="AN1273">
        <v>0.99999997263193396</v>
      </c>
    </row>
    <row r="1274" spans="1:40" x14ac:dyDescent="0.25">
      <c r="A1274" t="str">
        <f>"20190312164245540"</f>
        <v>20190312164245540</v>
      </c>
      <c r="B1274" t="str">
        <f>"1552380165535022"</f>
        <v>1552380165535022</v>
      </c>
      <c r="C1274" t="s">
        <v>40</v>
      </c>
      <c r="D1274">
        <v>4.4946479999999998</v>
      </c>
      <c r="E1274">
        <v>0.51832869999999998</v>
      </c>
      <c r="F1274" t="s">
        <v>45</v>
      </c>
      <c r="G1274">
        <v>-199.8493</v>
      </c>
      <c r="H1274" s="1">
        <v>1.781307E-6</v>
      </c>
      <c r="I1274">
        <v>289.60579999999999</v>
      </c>
      <c r="J1274">
        <v>-193.15029999999999</v>
      </c>
      <c r="K1274">
        <v>1.1060509999999999</v>
      </c>
      <c r="L1274">
        <v>297.2054</v>
      </c>
      <c r="M1274">
        <v>-0.25354270000000001</v>
      </c>
      <c r="N1274">
        <v>0</v>
      </c>
      <c r="O1274">
        <v>-0.96724560000000004</v>
      </c>
      <c r="P1274">
        <v>-0.62540109999999904</v>
      </c>
      <c r="Q1274">
        <v>0.14276610000000001</v>
      </c>
      <c r="R1274">
        <v>-0.76713209999999998</v>
      </c>
      <c r="S1274">
        <v>-2.0108489999999999</v>
      </c>
      <c r="T1274">
        <v>-0.32842490000000002</v>
      </c>
      <c r="U1274">
        <v>-2.333618</v>
      </c>
      <c r="V1274">
        <v>0.41201450000000001</v>
      </c>
      <c r="W1274">
        <v>0.1496257</v>
      </c>
      <c r="X1274">
        <v>0.89880819999999995</v>
      </c>
      <c r="Y1274">
        <v>0.43542189999999997</v>
      </c>
      <c r="Z1274">
        <v>0.1087528</v>
      </c>
      <c r="AA1274">
        <v>0.89363340000000002</v>
      </c>
      <c r="AB1274">
        <v>26</v>
      </c>
      <c r="AC1274">
        <v>-6.6990000000000096</v>
      </c>
      <c r="AD1274">
        <v>-1.106049218693</v>
      </c>
      <c r="AE1274">
        <v>-7.5995999999999997</v>
      </c>
      <c r="AF1274">
        <v>4.4994681500742297</v>
      </c>
      <c r="AG1274">
        <v>-1.106049218693</v>
      </c>
      <c r="AH1274">
        <v>8.9432476842994504</v>
      </c>
      <c r="AI1274">
        <v>96.304450872990202</v>
      </c>
      <c r="AJ1274">
        <v>63.2924168264515</v>
      </c>
      <c r="AK1274">
        <v>10.0722508730884</v>
      </c>
      <c r="AL1274">
        <v>81.394763951444403</v>
      </c>
      <c r="AM1274">
        <v>65.373235428093494</v>
      </c>
      <c r="AN1274">
        <v>0.99999998934899004</v>
      </c>
    </row>
    <row r="1275" spans="1:40" x14ac:dyDescent="0.25">
      <c r="A1275" t="str">
        <f>"20190312164245564"</f>
        <v>20190312164245564</v>
      </c>
      <c r="B1275" t="str">
        <f>"1552380165555516"</f>
        <v>1552380165555516</v>
      </c>
      <c r="C1275" t="s">
        <v>40</v>
      </c>
      <c r="D1275">
        <v>4.5178209999999996</v>
      </c>
      <c r="E1275">
        <v>0.51992640000000001</v>
      </c>
      <c r="F1275" t="s">
        <v>45</v>
      </c>
      <c r="G1275">
        <v>-199.3647</v>
      </c>
      <c r="H1275" s="1">
        <v>1.818906E-6</v>
      </c>
      <c r="I1275">
        <v>289.75049999999999</v>
      </c>
      <c r="J1275">
        <v>-193.2269</v>
      </c>
      <c r="K1275">
        <v>1.1059650000000001</v>
      </c>
      <c r="L1275">
        <v>296.94200000000001</v>
      </c>
      <c r="M1275">
        <v>-0.2598587</v>
      </c>
      <c r="N1275">
        <v>0</v>
      </c>
      <c r="O1275">
        <v>-0.96556779999999998</v>
      </c>
      <c r="P1275">
        <v>-0.63170389999999998</v>
      </c>
      <c r="Q1275">
        <v>0.14276749999999999</v>
      </c>
      <c r="R1275">
        <v>-0.76195000000000002</v>
      </c>
      <c r="S1275">
        <v>-1.973373</v>
      </c>
      <c r="T1275">
        <v>-0.35122599999999998</v>
      </c>
      <c r="U1275">
        <v>-2.3673099999999998</v>
      </c>
      <c r="V1275">
        <v>0.41358319999999998</v>
      </c>
      <c r="W1275">
        <v>0.14951919999999999</v>
      </c>
      <c r="X1275">
        <v>0.8981053</v>
      </c>
      <c r="Y1275">
        <v>0.41429969999999999</v>
      </c>
      <c r="Z1275">
        <v>0.1157741</v>
      </c>
      <c r="AA1275">
        <v>0.90274699999999997</v>
      </c>
      <c r="AB1275">
        <v>26</v>
      </c>
      <c r="AC1275">
        <v>-6.1377999999999897</v>
      </c>
      <c r="AD1275">
        <v>-1.1059631810939901</v>
      </c>
      <c r="AE1275">
        <v>-7.1915000000000102</v>
      </c>
      <c r="AF1275">
        <v>4.0032198941921404</v>
      </c>
      <c r="AG1275">
        <v>-1.1059631810939901</v>
      </c>
      <c r="AH1275">
        <v>8.4242205701058293</v>
      </c>
      <c r="AI1275">
        <v>96.762345371516204</v>
      </c>
      <c r="AJ1275">
        <v>64.5827649716407</v>
      </c>
      <c r="AK1275">
        <v>9.3923594635738592</v>
      </c>
      <c r="AL1275">
        <v>81.400936266845605</v>
      </c>
      <c r="AM1275">
        <v>65.273629076450305</v>
      </c>
      <c r="AN1275">
        <v>1.00000009218948</v>
      </c>
    </row>
    <row r="1276" spans="1:40" x14ac:dyDescent="0.25">
      <c r="A1276" t="str">
        <f>"20190312164245585"</f>
        <v>20190312164245585</v>
      </c>
      <c r="B1276" t="str">
        <f>"1552380165575038"</f>
        <v>1552380165575038</v>
      </c>
      <c r="C1276" t="s">
        <v>40</v>
      </c>
      <c r="D1276">
        <v>4.5374860000000004</v>
      </c>
      <c r="E1276">
        <v>0.52080660000000001</v>
      </c>
      <c r="F1276" t="s">
        <v>45</v>
      </c>
      <c r="G1276">
        <v>-199.47980000000001</v>
      </c>
      <c r="H1276" s="1">
        <v>1.843514E-6</v>
      </c>
      <c r="I1276">
        <v>289.62310000000002</v>
      </c>
      <c r="J1276">
        <v>-193.29740000000001</v>
      </c>
      <c r="K1276">
        <v>1.1058749999999999</v>
      </c>
      <c r="L1276">
        <v>296.7054</v>
      </c>
      <c r="M1276">
        <v>-0.26565349999999999</v>
      </c>
      <c r="N1276">
        <v>0</v>
      </c>
      <c r="O1276">
        <v>-0.9639896</v>
      </c>
      <c r="P1276">
        <v>-0.63768449999999999</v>
      </c>
      <c r="Q1276">
        <v>0.14276749999999999</v>
      </c>
      <c r="R1276">
        <v>-0.75695190000000001</v>
      </c>
      <c r="S1276">
        <v>-2.0022890000000002</v>
      </c>
      <c r="T1276">
        <v>-0.35415020000000003</v>
      </c>
      <c r="U1276">
        <v>-2.3436279999999998</v>
      </c>
      <c r="V1276">
        <v>0.41529660000000002</v>
      </c>
      <c r="W1276">
        <v>0.14940039999999999</v>
      </c>
      <c r="X1276">
        <v>0.89733399999999996</v>
      </c>
      <c r="Y1276">
        <v>0.4197032</v>
      </c>
      <c r="Z1276">
        <v>0.11676599999999999</v>
      </c>
      <c r="AA1276">
        <v>0.90011939999999901</v>
      </c>
      <c r="AB1276">
        <v>26</v>
      </c>
      <c r="AC1276">
        <v>-6.1824000000000003</v>
      </c>
      <c r="AD1276">
        <v>-1.105873156486</v>
      </c>
      <c r="AE1276">
        <v>-7.0822999999999698</v>
      </c>
      <c r="AF1276">
        <v>4.0229749266636503</v>
      </c>
      <c r="AG1276">
        <v>-1.105873156486</v>
      </c>
      <c r="AH1276">
        <v>8.3546784156366005</v>
      </c>
      <c r="AI1276">
        <v>96.800960618848805</v>
      </c>
      <c r="AJ1276">
        <v>64.288086643333898</v>
      </c>
      <c r="AK1276">
        <v>9.3385188401322399</v>
      </c>
      <c r="AL1276">
        <v>81.407819759466406</v>
      </c>
      <c r="AM1276">
        <v>65.1647522165769</v>
      </c>
      <c r="AN1276">
        <v>1.00000002652385</v>
      </c>
    </row>
    <row r="1277" spans="1:40" x14ac:dyDescent="0.25">
      <c r="A1277" t="str">
        <f>"20190312164245609"</f>
        <v>20190312164245609</v>
      </c>
      <c r="B1277" t="str">
        <f>"1552380165605294"</f>
        <v>1552380165605294</v>
      </c>
      <c r="C1277" t="s">
        <v>40</v>
      </c>
      <c r="D1277">
        <v>4.753444</v>
      </c>
      <c r="E1277">
        <v>0.52148600000000001</v>
      </c>
      <c r="F1277" t="s">
        <v>45</v>
      </c>
      <c r="G1277">
        <v>-199.59530000000001</v>
      </c>
      <c r="H1277" s="1">
        <v>1.836902E-6</v>
      </c>
      <c r="I1277">
        <v>289.48520000000002</v>
      </c>
      <c r="J1277">
        <v>-193.37649999999999</v>
      </c>
      <c r="K1277">
        <v>1.1057779999999999</v>
      </c>
      <c r="L1277">
        <v>296.44650000000001</v>
      </c>
      <c r="M1277">
        <v>-0.27212540000000002</v>
      </c>
      <c r="N1277">
        <v>0</v>
      </c>
      <c r="O1277">
        <v>-0.9621828</v>
      </c>
      <c r="P1277">
        <v>-0.64344440000000003</v>
      </c>
      <c r="Q1277">
        <v>0.14386930000000001</v>
      </c>
      <c r="R1277">
        <v>-0.75185190000000002</v>
      </c>
      <c r="S1277">
        <v>-2.0264739999999999</v>
      </c>
      <c r="T1277">
        <v>-0.35583530000000002</v>
      </c>
      <c r="U1277">
        <v>-2.323242</v>
      </c>
      <c r="V1277">
        <v>0.41622399999999998</v>
      </c>
      <c r="W1277">
        <v>0.1503843</v>
      </c>
      <c r="X1277">
        <v>0.89673969999999903</v>
      </c>
      <c r="Y1277">
        <v>0.42280240000000002</v>
      </c>
      <c r="Z1277">
        <v>0.1173153</v>
      </c>
      <c r="AA1277">
        <v>0.89859630000000001</v>
      </c>
      <c r="AB1277">
        <v>26</v>
      </c>
      <c r="AC1277">
        <v>-6.2188000000000097</v>
      </c>
      <c r="AD1277">
        <v>-1.1057761630980001</v>
      </c>
      <c r="AE1277">
        <v>-6.9612999999999898</v>
      </c>
      <c r="AF1277">
        <v>4.0329916983944099</v>
      </c>
      <c r="AG1277">
        <v>-1.1057761630980001</v>
      </c>
      <c r="AH1277">
        <v>8.2748532870688294</v>
      </c>
      <c r="AI1277">
        <v>96.849742334072801</v>
      </c>
      <c r="AJ1277">
        <v>64.016357161768298</v>
      </c>
      <c r="AK1277">
        <v>9.2715133546097892</v>
      </c>
      <c r="AL1277">
        <v>81.350801806910496</v>
      </c>
      <c r="AM1277">
        <v>65.101509212171806</v>
      </c>
      <c r="AN1277">
        <v>0.99999997270928898</v>
      </c>
    </row>
    <row r="1278" spans="1:40" x14ac:dyDescent="0.25">
      <c r="A1278" t="str">
        <f>"20190312164245652"</f>
        <v>20190312164245652</v>
      </c>
      <c r="B1278" t="str">
        <f>"1552380165645309"</f>
        <v>1552380165645309</v>
      </c>
      <c r="C1278" t="s">
        <v>40</v>
      </c>
      <c r="D1278">
        <v>4.5385839999999904</v>
      </c>
      <c r="E1278">
        <v>0.53755459999999899</v>
      </c>
      <c r="F1278" t="s">
        <v>45</v>
      </c>
      <c r="G1278">
        <v>-199.86689999999999</v>
      </c>
      <c r="H1278" s="1">
        <v>1.8171759999999999E-6</v>
      </c>
      <c r="I1278">
        <v>289.15980000000002</v>
      </c>
      <c r="J1278">
        <v>-193.5283</v>
      </c>
      <c r="K1278">
        <v>1.105586</v>
      </c>
      <c r="L1278">
        <v>295.96749999999997</v>
      </c>
      <c r="M1278">
        <v>-0.28454620000000003</v>
      </c>
      <c r="N1278">
        <v>0</v>
      </c>
      <c r="O1278">
        <v>-0.95858299999999996</v>
      </c>
      <c r="P1278">
        <v>-0.65575939999999999</v>
      </c>
      <c r="Q1278">
        <v>0.14705799999999999</v>
      </c>
      <c r="R1278">
        <v>-0.74050930000000004</v>
      </c>
      <c r="S1278">
        <v>-2.050583</v>
      </c>
      <c r="T1278">
        <v>-0.34935939999999999</v>
      </c>
      <c r="U1278">
        <v>-2.302155</v>
      </c>
      <c r="V1278">
        <v>0.41971380000000003</v>
      </c>
      <c r="W1278">
        <v>0.153304</v>
      </c>
      <c r="X1278">
        <v>0.89461619999999997</v>
      </c>
      <c r="Y1278">
        <v>0.42061019999999999</v>
      </c>
      <c r="Z1278">
        <v>0.1150689</v>
      </c>
      <c r="AA1278">
        <v>0.89991460000000001</v>
      </c>
      <c r="AB1278">
        <v>26</v>
      </c>
      <c r="AC1278">
        <v>-6.33859999999998</v>
      </c>
      <c r="AD1278">
        <v>-1.1055841828240001</v>
      </c>
      <c r="AE1278">
        <v>-6.8076999999999499</v>
      </c>
      <c r="AF1278">
        <v>4.08162222082069</v>
      </c>
      <c r="AG1278">
        <v>-1.1055841828240001</v>
      </c>
      <c r="AH1278">
        <v>8.2139637907748906</v>
      </c>
      <c r="AI1278">
        <v>96.873086644111396</v>
      </c>
      <c r="AJ1278">
        <v>63.576638852644301</v>
      </c>
      <c r="AK1278">
        <v>9.2385690177087891</v>
      </c>
      <c r="AL1278">
        <v>81.181552669598005</v>
      </c>
      <c r="AM1278">
        <v>64.866136315957803</v>
      </c>
      <c r="AN1278">
        <v>0.99999996781443901</v>
      </c>
    </row>
    <row r="1279" spans="1:40" x14ac:dyDescent="0.25">
      <c r="A1279" t="str">
        <f>"20190312164245674"</f>
        <v>20190312164245674</v>
      </c>
      <c r="B1279" t="str">
        <f>"1552380165665805"</f>
        <v>1552380165665805</v>
      </c>
      <c r="C1279" t="s">
        <v>40</v>
      </c>
      <c r="D1279">
        <v>4.6377610000000002</v>
      </c>
      <c r="E1279">
        <v>0.54114459999999998</v>
      </c>
      <c r="F1279" t="s">
        <v>45</v>
      </c>
      <c r="G1279">
        <v>-201.1165</v>
      </c>
      <c r="H1279" s="1">
        <v>2.3802960000000002E-6</v>
      </c>
      <c r="I1279">
        <v>288.41199999999998</v>
      </c>
      <c r="J1279">
        <v>-193.6113</v>
      </c>
      <c r="K1279">
        <v>1.105472</v>
      </c>
      <c r="L1279">
        <v>295.71510000000001</v>
      </c>
      <c r="M1279">
        <v>-0.29135270000000002</v>
      </c>
      <c r="N1279">
        <v>0</v>
      </c>
      <c r="O1279">
        <v>-0.95653589999999999</v>
      </c>
      <c r="P1279">
        <v>-0.66217950000000003</v>
      </c>
      <c r="Q1279">
        <v>0.1477675</v>
      </c>
      <c r="R1279">
        <v>-0.73463140000000005</v>
      </c>
      <c r="S1279">
        <v>-2.1871489999999998</v>
      </c>
      <c r="T1279">
        <v>-0.31866100000000003</v>
      </c>
      <c r="U1279">
        <v>-2.1777039999999999</v>
      </c>
      <c r="V1279">
        <v>0.42124040000000001</v>
      </c>
      <c r="W1279">
        <v>0.1538638</v>
      </c>
      <c r="X1279">
        <v>0.89380219999999899</v>
      </c>
      <c r="Y1279">
        <v>0.46823609999999999</v>
      </c>
      <c r="Z1279">
        <v>0.1057346</v>
      </c>
      <c r="AA1279">
        <v>0.87725429999999904</v>
      </c>
      <c r="AB1279">
        <v>26</v>
      </c>
      <c r="AC1279">
        <v>-7.5052000000000003</v>
      </c>
      <c r="AD1279">
        <v>-1.1054696197039999</v>
      </c>
      <c r="AE1279">
        <v>-7.3030999999999704</v>
      </c>
      <c r="AF1279">
        <v>4.9959274869275996</v>
      </c>
      <c r="AG1279">
        <v>-1.1054696197039999</v>
      </c>
      <c r="AH1279">
        <v>9.07194221351455</v>
      </c>
      <c r="AI1279">
        <v>96.0927086812749</v>
      </c>
      <c r="AJ1279">
        <v>61.158379823546902</v>
      </c>
      <c r="AK1279">
        <v>10.415444784553101</v>
      </c>
      <c r="AL1279">
        <v>81.149093294711307</v>
      </c>
      <c r="AM1279">
        <v>64.765948019906602</v>
      </c>
      <c r="AN1279">
        <v>0.999999958133719</v>
      </c>
    </row>
    <row r="1280" spans="1:40" x14ac:dyDescent="0.25">
      <c r="A1280" t="str">
        <f>"20190312164245720"</f>
        <v>20190312164245720</v>
      </c>
      <c r="B1280" t="str">
        <f>"1552380165715582"</f>
        <v>1552380165715582</v>
      </c>
      <c r="C1280" t="s">
        <v>40</v>
      </c>
      <c r="D1280">
        <v>4.6518750000000004</v>
      </c>
      <c r="E1280">
        <v>0.54271069999999999</v>
      </c>
      <c r="F1280" t="s">
        <v>45</v>
      </c>
      <c r="G1280">
        <v>-200.98660000000001</v>
      </c>
      <c r="H1280" s="1">
        <v>2.3045300000000001E-6</v>
      </c>
      <c r="I1280">
        <v>288.61959999999999</v>
      </c>
      <c r="J1280">
        <v>-193.78139999999999</v>
      </c>
      <c r="K1280">
        <v>1.1051550000000001</v>
      </c>
      <c r="L1280">
        <v>295.21769999999998</v>
      </c>
      <c r="M1280">
        <v>-0.30545660000000002</v>
      </c>
      <c r="N1280">
        <v>0</v>
      </c>
      <c r="O1280">
        <v>-0.95212560000000002</v>
      </c>
      <c r="P1280">
        <v>-0.6759541</v>
      </c>
      <c r="Q1280">
        <v>0.15170149999999999</v>
      </c>
      <c r="R1280">
        <v>-0.72116059999999904</v>
      </c>
      <c r="S1280">
        <v>-2.2274780000000001</v>
      </c>
      <c r="T1280">
        <v>-0.33387050000000001</v>
      </c>
      <c r="U1280">
        <v>-2.1429749999999999</v>
      </c>
      <c r="V1280">
        <v>0.42536089999999999</v>
      </c>
      <c r="W1280">
        <v>0.15739220000000001</v>
      </c>
      <c r="X1280">
        <v>0.89123269999999899</v>
      </c>
      <c r="Y1280">
        <v>0.46987299999999899</v>
      </c>
      <c r="Z1280">
        <v>0.1105087</v>
      </c>
      <c r="AA1280">
        <v>0.8757895</v>
      </c>
      <c r="AB1280">
        <v>26</v>
      </c>
      <c r="AC1280">
        <v>-7.2052000000000103</v>
      </c>
      <c r="AD1280">
        <v>-1.1051526954699999</v>
      </c>
      <c r="AE1280">
        <v>-6.5980999999999801</v>
      </c>
      <c r="AF1280">
        <v>4.7839780088403101</v>
      </c>
      <c r="AG1280">
        <v>-1.1051526954699999</v>
      </c>
      <c r="AH1280">
        <v>8.3765600296128202</v>
      </c>
      <c r="AI1280">
        <v>96.535666406668696</v>
      </c>
      <c r="AJ1280">
        <v>60.268669904816697</v>
      </c>
      <c r="AK1280">
        <v>9.7095090503629198</v>
      </c>
      <c r="AL1280">
        <v>80.944437199231004</v>
      </c>
      <c r="AM1280">
        <v>64.486138021623006</v>
      </c>
      <c r="AN1280">
        <v>0.999999962709469</v>
      </c>
    </row>
    <row r="1281" spans="1:40" x14ac:dyDescent="0.25">
      <c r="A1281" t="str">
        <f>"20190312164245742"</f>
        <v>20190312164245742</v>
      </c>
      <c r="B1281" t="str">
        <f>"1552380165735102"</f>
        <v>1552380165735102</v>
      </c>
      <c r="C1281" t="s">
        <v>40</v>
      </c>
      <c r="D1281">
        <v>5.1271259999999996</v>
      </c>
      <c r="E1281">
        <v>0.54306100000000002</v>
      </c>
      <c r="F1281" t="s">
        <v>45</v>
      </c>
      <c r="G1281">
        <v>-201.44040000000001</v>
      </c>
      <c r="H1281" s="1">
        <v>2.5436239999999999E-6</v>
      </c>
      <c r="I1281">
        <v>288.1866</v>
      </c>
      <c r="J1281">
        <v>-193.87180000000001</v>
      </c>
      <c r="K1281">
        <v>1.104957</v>
      </c>
      <c r="L1281">
        <v>294.96449999999999</v>
      </c>
      <c r="M1281">
        <v>-0.3130366</v>
      </c>
      <c r="N1281">
        <v>0</v>
      </c>
      <c r="O1281">
        <v>-0.94966059999999997</v>
      </c>
      <c r="P1281">
        <v>-0.6835791</v>
      </c>
      <c r="Q1281">
        <v>0.15168010000000001</v>
      </c>
      <c r="R1281">
        <v>-0.71394209999999902</v>
      </c>
      <c r="S1281">
        <v>-2.2794949999999998</v>
      </c>
      <c r="T1281">
        <v>-0.32892110000000002</v>
      </c>
      <c r="U1281">
        <v>-2.0926209999999998</v>
      </c>
      <c r="V1281">
        <v>0.42780489999999999</v>
      </c>
      <c r="W1281">
        <v>0.15712950000000001</v>
      </c>
      <c r="X1281">
        <v>0.89010859999999903</v>
      </c>
      <c r="Y1281">
        <v>0.48340430000000001</v>
      </c>
      <c r="Z1281">
        <v>0.1089825</v>
      </c>
      <c r="AA1281">
        <v>0.86858679999999999</v>
      </c>
      <c r="AB1281">
        <v>26</v>
      </c>
      <c r="AC1281">
        <v>-7.5686</v>
      </c>
      <c r="AD1281">
        <v>-1.1049544563760001</v>
      </c>
      <c r="AE1281">
        <v>-6.7778999999999803</v>
      </c>
      <c r="AF1281">
        <v>5.0070346306784304</v>
      </c>
      <c r="AG1281">
        <v>-1.1049544563760001</v>
      </c>
      <c r="AH1281">
        <v>8.7036796651641897</v>
      </c>
      <c r="AI1281">
        <v>96.279719209400795</v>
      </c>
      <c r="AJ1281">
        <v>60.089133069897699</v>
      </c>
      <c r="AK1281">
        <v>10.101750336316501</v>
      </c>
      <c r="AL1281">
        <v>80.959678932383198</v>
      </c>
      <c r="AM1281">
        <v>64.330082443736103</v>
      </c>
      <c r="AN1281">
        <v>1.0000000160141</v>
      </c>
    </row>
    <row r="1282" spans="1:40" x14ac:dyDescent="0.25">
      <c r="A1282" t="str">
        <f>"20190312164245764"</f>
        <v>20190312164245764</v>
      </c>
      <c r="B1282" t="str">
        <f>"1552380165755597"</f>
        <v>1552380165755597</v>
      </c>
      <c r="C1282" t="s">
        <v>40</v>
      </c>
      <c r="D1282">
        <v>4.7734719999999999</v>
      </c>
      <c r="E1282">
        <v>0.54293939999999996</v>
      </c>
      <c r="F1282" t="s">
        <v>45</v>
      </c>
      <c r="G1282">
        <v>-201.7296</v>
      </c>
      <c r="H1282" s="1">
        <v>2.6958769999999999E-6</v>
      </c>
      <c r="I1282">
        <v>287.91219999999998</v>
      </c>
      <c r="J1282">
        <v>-193.95820000000001</v>
      </c>
      <c r="K1282">
        <v>1.1047419999999999</v>
      </c>
      <c r="L1282">
        <v>294.72899999999998</v>
      </c>
      <c r="M1282">
        <v>-0.32038329999999998</v>
      </c>
      <c r="N1282">
        <v>0</v>
      </c>
      <c r="O1282">
        <v>-0.94720689999999996</v>
      </c>
      <c r="P1282">
        <v>-0.69072880000000003</v>
      </c>
      <c r="Q1282">
        <v>0.15017440000000001</v>
      </c>
      <c r="R1282">
        <v>-0.70734849999999905</v>
      </c>
      <c r="S1282">
        <v>-2.3023829999999998</v>
      </c>
      <c r="T1282">
        <v>-0.32375589999999999</v>
      </c>
      <c r="U1282">
        <v>-2.0663450000000001</v>
      </c>
      <c r="V1282">
        <v>0.42982710000000002</v>
      </c>
      <c r="W1282">
        <v>0.15538350000000001</v>
      </c>
      <c r="X1282">
        <v>0.88944059999999903</v>
      </c>
      <c r="Y1282">
        <v>0.48655189999999998</v>
      </c>
      <c r="Z1282">
        <v>0.1073206</v>
      </c>
      <c r="AA1282">
        <v>0.86703490000000005</v>
      </c>
      <c r="AB1282">
        <v>26</v>
      </c>
      <c r="AC1282">
        <v>-7.7713999999999999</v>
      </c>
      <c r="AD1282">
        <v>-1.104739304123</v>
      </c>
      <c r="AE1282">
        <v>-6.8168000000000504</v>
      </c>
      <c r="AF1282">
        <v>5.1190694867156399</v>
      </c>
      <c r="AG1282">
        <v>-1.104739304123</v>
      </c>
      <c r="AH1282">
        <v>8.8464024943656501</v>
      </c>
      <c r="AI1282">
        <v>96.169030693057906</v>
      </c>
      <c r="AJ1282">
        <v>59.943700798583997</v>
      </c>
      <c r="AK1282">
        <v>10.2802800755726</v>
      </c>
      <c r="AL1282">
        <v>81.060961104203599</v>
      </c>
      <c r="AM1282">
        <v>64.207586638740807</v>
      </c>
      <c r="AN1282">
        <v>0.99999997444750899</v>
      </c>
    </row>
    <row r="1283" spans="1:40" x14ac:dyDescent="0.25">
      <c r="A1283" t="str">
        <f>"20190312164245786"</f>
        <v>20190312164245786</v>
      </c>
      <c r="B1283" t="str">
        <f>"1552380165775117"</f>
        <v>1552380165775117</v>
      </c>
      <c r="C1283" t="s">
        <v>40</v>
      </c>
      <c r="D1283">
        <v>4.9141500000000002</v>
      </c>
      <c r="E1283">
        <v>0.54280839999999997</v>
      </c>
      <c r="F1283" t="s">
        <v>45</v>
      </c>
      <c r="G1283">
        <v>-201.989</v>
      </c>
      <c r="H1283" s="1">
        <v>2.832024E-6</v>
      </c>
      <c r="I1283">
        <v>287.6705</v>
      </c>
      <c r="J1283">
        <v>-194.04920000000001</v>
      </c>
      <c r="K1283">
        <v>1.1045229999999999</v>
      </c>
      <c r="L1283">
        <v>294.48820000000001</v>
      </c>
      <c r="M1283">
        <v>-0.32818029999999998</v>
      </c>
      <c r="N1283">
        <v>0</v>
      </c>
      <c r="O1283">
        <v>-0.94453359999999997</v>
      </c>
      <c r="P1283">
        <v>-0.69852860000000006</v>
      </c>
      <c r="Q1283">
        <v>0.14981520000000001</v>
      </c>
      <c r="R1283">
        <v>-0.69972389999999995</v>
      </c>
      <c r="S1283">
        <v>-2.3223419999999999</v>
      </c>
      <c r="T1283">
        <v>-0.31946869999999999</v>
      </c>
      <c r="U1283">
        <v>-2.0411990000000002</v>
      </c>
      <c r="V1283">
        <v>0.4324114</v>
      </c>
      <c r="W1283">
        <v>0.15476500000000001</v>
      </c>
      <c r="X1283">
        <v>0.888295099999999</v>
      </c>
      <c r="Y1283">
        <v>0.48846200000000001</v>
      </c>
      <c r="Z1283">
        <v>0.1059485</v>
      </c>
      <c r="AA1283">
        <v>0.86612919999999904</v>
      </c>
      <c r="AB1283">
        <v>26</v>
      </c>
      <c r="AC1283">
        <v>-7.9397999999999902</v>
      </c>
      <c r="AD1283">
        <v>-1.1045201679759999</v>
      </c>
      <c r="AE1283">
        <v>-6.8177000000000003</v>
      </c>
      <c r="AF1283">
        <v>5.2044060532245604</v>
      </c>
      <c r="AG1283">
        <v>-1.1045201679759999</v>
      </c>
      <c r="AH1283">
        <v>8.9462760931588292</v>
      </c>
      <c r="AI1283">
        <v>96.091397925619304</v>
      </c>
      <c r="AJ1283">
        <v>59.811726646504198</v>
      </c>
      <c r="AK1283">
        <v>10.408730138846501</v>
      </c>
      <c r="AL1283">
        <v>81.096832756711095</v>
      </c>
      <c r="AM1283">
        <v>64.043736573116902</v>
      </c>
      <c r="AN1283">
        <v>1.0000000043794799</v>
      </c>
    </row>
    <row r="1284" spans="1:40" x14ac:dyDescent="0.25">
      <c r="A1284" t="str">
        <f>"20190312164245812"</f>
        <v>20190312164245812</v>
      </c>
      <c r="B1284" t="str">
        <f>"1552380165805374"</f>
        <v>1552380165805374</v>
      </c>
      <c r="C1284" t="s">
        <v>40</v>
      </c>
      <c r="D1284">
        <v>4.6821289999999998</v>
      </c>
      <c r="E1284">
        <v>0.54232179999999997</v>
      </c>
      <c r="F1284" t="s">
        <v>45</v>
      </c>
      <c r="G1284">
        <v>-202.32169999999999</v>
      </c>
      <c r="H1284" s="1">
        <v>3.0042700000000002E-6</v>
      </c>
      <c r="I1284">
        <v>287.38810000000001</v>
      </c>
      <c r="J1284">
        <v>-194.15639999999999</v>
      </c>
      <c r="K1284">
        <v>1.1042799999999999</v>
      </c>
      <c r="L1284">
        <v>294.21280000000002</v>
      </c>
      <c r="M1284">
        <v>-0.337453</v>
      </c>
      <c r="N1284">
        <v>0</v>
      </c>
      <c r="O1284">
        <v>-0.94126050000000006</v>
      </c>
      <c r="P1284">
        <v>-0.70757510000000001</v>
      </c>
      <c r="Q1284">
        <v>0.15060950000000001</v>
      </c>
      <c r="R1284">
        <v>-0.69040190000000001</v>
      </c>
      <c r="S1284">
        <v>-2.3454440000000001</v>
      </c>
      <c r="T1284">
        <v>-0.31315510000000002</v>
      </c>
      <c r="U1284">
        <v>-2.0130309999999998</v>
      </c>
      <c r="V1284">
        <v>0.4354015</v>
      </c>
      <c r="W1284">
        <v>0.15525539999999999</v>
      </c>
      <c r="X1284">
        <v>0.88674759999999997</v>
      </c>
      <c r="Y1284">
        <v>0.49026930000000002</v>
      </c>
      <c r="Z1284">
        <v>0.1038623</v>
      </c>
      <c r="AA1284">
        <v>0.86536039999999903</v>
      </c>
      <c r="AB1284">
        <v>26</v>
      </c>
      <c r="AC1284">
        <v>-8.1653000000000002</v>
      </c>
      <c r="AD1284">
        <v>-1.1042769957299901</v>
      </c>
      <c r="AE1284">
        <v>-6.8247</v>
      </c>
      <c r="AF1284">
        <v>5.3257279240080004</v>
      </c>
      <c r="AG1284">
        <v>-1.1042769957299901</v>
      </c>
      <c r="AH1284">
        <v>9.08213929471186</v>
      </c>
      <c r="AI1284">
        <v>95.987568501487303</v>
      </c>
      <c r="AJ1284">
        <v>59.612821323880397</v>
      </c>
      <c r="AK1284">
        <v>10.5862202779087</v>
      </c>
      <c r="AL1284">
        <v>81.068391141094196</v>
      </c>
      <c r="AM1284">
        <v>63.848522902526298</v>
      </c>
      <c r="AN1284">
        <v>1.0000000057685801</v>
      </c>
    </row>
    <row r="1285" spans="1:40" x14ac:dyDescent="0.25">
      <c r="A1285" t="str">
        <f>"20190312164245854"</f>
        <v>20190312164245854</v>
      </c>
      <c r="B1285" t="str">
        <f>"1552380165845390"</f>
        <v>1552380165845390</v>
      </c>
      <c r="C1285" t="s">
        <v>40</v>
      </c>
      <c r="D1285">
        <v>4.6651319999999998</v>
      </c>
      <c r="E1285">
        <v>0.54146269999999996</v>
      </c>
      <c r="F1285" t="s">
        <v>45</v>
      </c>
      <c r="G1285">
        <v>-202.78020000000001</v>
      </c>
      <c r="H1285" s="1">
        <v>3.2422979999999998E-6</v>
      </c>
      <c r="I1285">
        <v>286.9907</v>
      </c>
      <c r="J1285">
        <v>-194.3443</v>
      </c>
      <c r="K1285">
        <v>1.103842</v>
      </c>
      <c r="L1285">
        <v>293.75049999999999</v>
      </c>
      <c r="M1285">
        <v>-0.35393330000000001</v>
      </c>
      <c r="N1285">
        <v>0</v>
      </c>
      <c r="O1285">
        <v>-0.93518760000000001</v>
      </c>
      <c r="P1285">
        <v>-0.72290410000000005</v>
      </c>
      <c r="Q1285">
        <v>0.1489238</v>
      </c>
      <c r="R1285">
        <v>-0.67470869999999905</v>
      </c>
      <c r="S1285">
        <v>-2.3687900000000002</v>
      </c>
      <c r="T1285">
        <v>-0.30332429999999999</v>
      </c>
      <c r="U1285">
        <v>-1.983765</v>
      </c>
      <c r="V1285">
        <v>0.43975340000000002</v>
      </c>
      <c r="W1285">
        <v>0.15305289999999999</v>
      </c>
      <c r="X1285">
        <v>0.88498120000000002</v>
      </c>
      <c r="Y1285">
        <v>0.48573430000000001</v>
      </c>
      <c r="Z1285">
        <v>0.10040200000000001</v>
      </c>
      <c r="AA1285">
        <v>0.86832109999999996</v>
      </c>
      <c r="AB1285">
        <v>26</v>
      </c>
      <c r="AC1285">
        <v>-8.4359000000000002</v>
      </c>
      <c r="AD1285">
        <v>-1.1038387577019999</v>
      </c>
      <c r="AE1285">
        <v>-6.7597999999999798</v>
      </c>
      <c r="AF1285">
        <v>5.4403329510119303</v>
      </c>
      <c r="AG1285">
        <v>-1.1038387577019999</v>
      </c>
      <c r="AH1285">
        <v>9.2120981772160899</v>
      </c>
      <c r="AI1285">
        <v>95.890707326739602</v>
      </c>
      <c r="AJ1285">
        <v>59.435433179774499</v>
      </c>
      <c r="AK1285">
        <v>10.755390994637899</v>
      </c>
      <c r="AL1285">
        <v>81.196111596020103</v>
      </c>
      <c r="AM1285">
        <v>63.576894395135298</v>
      </c>
      <c r="AN1285">
        <v>0.99999998368170495</v>
      </c>
    </row>
    <row r="1286" spans="1:40" x14ac:dyDescent="0.25">
      <c r="A1286" t="str">
        <f>"20190312164245877"</f>
        <v>20190312164245877</v>
      </c>
      <c r="B1286" t="str">
        <f>"1552380165865886"</f>
        <v>1552380165865886</v>
      </c>
      <c r="C1286" t="s">
        <v>40</v>
      </c>
      <c r="D1286">
        <v>6.3161490000000002</v>
      </c>
      <c r="E1286">
        <v>0.54129530000000003</v>
      </c>
      <c r="F1286" t="s">
        <v>45</v>
      </c>
      <c r="G1286">
        <v>-203.126</v>
      </c>
      <c r="H1286" s="1">
        <v>3.4205180000000002E-6</v>
      </c>
      <c r="I1286">
        <v>286.7063</v>
      </c>
      <c r="J1286">
        <v>-194.44919999999999</v>
      </c>
      <c r="K1286">
        <v>1.1035999999999999</v>
      </c>
      <c r="L1286">
        <v>293.50360000000001</v>
      </c>
      <c r="M1286">
        <v>-0.36321540000000002</v>
      </c>
      <c r="N1286">
        <v>0</v>
      </c>
      <c r="O1286">
        <v>-0.93162140000000004</v>
      </c>
      <c r="P1286">
        <v>-0.73124319999999998</v>
      </c>
      <c r="Q1286">
        <v>0.147439299999999</v>
      </c>
      <c r="R1286">
        <v>-0.66599229999999998</v>
      </c>
      <c r="S1286">
        <v>-2.4088590000000001</v>
      </c>
      <c r="T1286">
        <v>-0.30279040000000002</v>
      </c>
      <c r="U1286">
        <v>-1.9322809999999999</v>
      </c>
      <c r="V1286">
        <v>0.44191380000000002</v>
      </c>
      <c r="W1286">
        <v>0.1512908</v>
      </c>
      <c r="X1286">
        <v>0.88420779999999999</v>
      </c>
      <c r="Y1286">
        <v>0.49536249999999998</v>
      </c>
      <c r="Z1286">
        <v>0.1003796</v>
      </c>
      <c r="AA1286">
        <v>0.86286719999999895</v>
      </c>
      <c r="AB1286">
        <v>26</v>
      </c>
      <c r="AC1286">
        <v>-8.6767999999999805</v>
      </c>
      <c r="AD1286">
        <v>-1.103596579482</v>
      </c>
      <c r="AE1286">
        <v>-6.7972999999999999</v>
      </c>
      <c r="AF1286">
        <v>5.5593153815094496</v>
      </c>
      <c r="AG1286">
        <v>-1.103596579482</v>
      </c>
      <c r="AH1286">
        <v>9.3906577175975894</v>
      </c>
      <c r="AI1286">
        <v>95.774582016111793</v>
      </c>
      <c r="AJ1286">
        <v>59.374259397663401</v>
      </c>
      <c r="AK1286">
        <v>10.9685170050653</v>
      </c>
      <c r="AL1286">
        <v>81.298262930206803</v>
      </c>
      <c r="AM1286">
        <v>63.444804301999397</v>
      </c>
      <c r="AN1286">
        <v>1.0000000731879499</v>
      </c>
    </row>
    <row r="1287" spans="1:40" x14ac:dyDescent="0.25">
      <c r="A1287" t="str">
        <f>"20190312164245898"</f>
        <v>20190312164245898</v>
      </c>
      <c r="B1287" t="str">
        <f>"1552380165895165"</f>
        <v>1552380165895165</v>
      </c>
      <c r="C1287" t="s">
        <v>40</v>
      </c>
      <c r="D1287">
        <v>5.0520670000000001</v>
      </c>
      <c r="E1287">
        <v>0.53336419999999996</v>
      </c>
      <c r="F1287" t="s">
        <v>45</v>
      </c>
      <c r="G1287">
        <v>-203.2337</v>
      </c>
      <c r="H1287" s="1">
        <v>3.4741930000000001E-6</v>
      </c>
      <c r="I1287">
        <v>286.6388</v>
      </c>
      <c r="J1287">
        <v>-194.54990000000001</v>
      </c>
      <c r="K1287">
        <v>1.103359</v>
      </c>
      <c r="L1287">
        <v>293.27370000000002</v>
      </c>
      <c r="M1287">
        <v>-0.37218459999999998</v>
      </c>
      <c r="N1287">
        <v>0</v>
      </c>
      <c r="O1287">
        <v>-0.92807410000000001</v>
      </c>
      <c r="P1287">
        <v>-0.73915369999999903</v>
      </c>
      <c r="Q1287">
        <v>0.1470505</v>
      </c>
      <c r="R1287">
        <v>-0.6572886</v>
      </c>
      <c r="S1287">
        <v>-2.4327700000000001</v>
      </c>
      <c r="T1287">
        <v>-0.30562790000000001</v>
      </c>
      <c r="U1287">
        <v>-1.9011229999999999</v>
      </c>
      <c r="V1287">
        <v>0.44400859999999898</v>
      </c>
      <c r="W1287">
        <v>0.1506266</v>
      </c>
      <c r="X1287">
        <v>0.88327119999999903</v>
      </c>
      <c r="Y1287">
        <v>0.4978921</v>
      </c>
      <c r="Z1287">
        <v>0.1012767</v>
      </c>
      <c r="AA1287">
        <v>0.86130509999999905</v>
      </c>
      <c r="AB1287">
        <v>26</v>
      </c>
      <c r="AC1287">
        <v>-8.6837999999999909</v>
      </c>
      <c r="AD1287">
        <v>-1.103355525807</v>
      </c>
      <c r="AE1287">
        <v>-6.6349000000000098</v>
      </c>
      <c r="AF1287">
        <v>5.5338331246557102</v>
      </c>
      <c r="AG1287">
        <v>-1.103355525807</v>
      </c>
      <c r="AH1287">
        <v>9.2956394551196695</v>
      </c>
      <c r="AI1287">
        <v>95.823529137682002</v>
      </c>
      <c r="AJ1287">
        <v>59.234029193028299</v>
      </c>
      <c r="AK1287">
        <v>10.8742638991079</v>
      </c>
      <c r="AL1287">
        <v>81.336759416305199</v>
      </c>
      <c r="AM1287">
        <v>63.311936346957502</v>
      </c>
      <c r="AN1287">
        <v>1.0000000111254701</v>
      </c>
    </row>
    <row r="1288" spans="1:40" x14ac:dyDescent="0.25">
      <c r="A1288" t="str">
        <f>"20190312164245922"</f>
        <v>20190312164245922</v>
      </c>
      <c r="B1288" t="str">
        <f>"1552380165915661"</f>
        <v>1552380165915661</v>
      </c>
      <c r="C1288" t="s">
        <v>40</v>
      </c>
      <c r="D1288">
        <v>4.9700810000000004</v>
      </c>
      <c r="E1288">
        <v>0.53347739999999999</v>
      </c>
      <c r="F1288" t="s">
        <v>45</v>
      </c>
      <c r="G1288">
        <v>-203.87010000000001</v>
      </c>
      <c r="H1288" s="1">
        <v>3.8226919999999996E-6</v>
      </c>
      <c r="I1288">
        <v>285.88040000000001</v>
      </c>
      <c r="J1288">
        <v>-194.66149999999999</v>
      </c>
      <c r="K1288">
        <v>1.1030770000000001</v>
      </c>
      <c r="L1288">
        <v>293.02640000000002</v>
      </c>
      <c r="M1288">
        <v>-0.38221759999999999</v>
      </c>
      <c r="N1288">
        <v>0</v>
      </c>
      <c r="O1288">
        <v>-0.92398690000000006</v>
      </c>
      <c r="P1288">
        <v>-0.74754069999999995</v>
      </c>
      <c r="Q1288">
        <v>0.14704819999999999</v>
      </c>
      <c r="R1288">
        <v>-0.64773459999999905</v>
      </c>
      <c r="S1288">
        <v>-2.4132389999999999</v>
      </c>
      <c r="T1288">
        <v>-0.28568660000000001</v>
      </c>
      <c r="U1288">
        <v>-1.914307</v>
      </c>
      <c r="V1288">
        <v>0.44589760000000001</v>
      </c>
      <c r="W1288">
        <v>0.1503121</v>
      </c>
      <c r="X1288">
        <v>0.88237269999999901</v>
      </c>
      <c r="Y1288">
        <v>0.48270289999999999</v>
      </c>
      <c r="Z1288">
        <v>9.4479259999999995E-2</v>
      </c>
      <c r="AA1288">
        <v>0.87067309999999998</v>
      </c>
      <c r="AB1288">
        <v>26</v>
      </c>
      <c r="AC1288">
        <v>-9.2086000000000094</v>
      </c>
      <c r="AD1288">
        <v>-1.103073177308</v>
      </c>
      <c r="AE1288">
        <v>-7.1460000000000097</v>
      </c>
      <c r="AF1288">
        <v>5.7264697707164096</v>
      </c>
      <c r="AG1288">
        <v>-1.103073177308</v>
      </c>
      <c r="AH1288">
        <v>10.033441012128399</v>
      </c>
      <c r="AI1288">
        <v>95.454222760581203</v>
      </c>
      <c r="AJ1288">
        <v>60.284938878199704</v>
      </c>
      <c r="AK1288">
        <v>11.605135286298299</v>
      </c>
      <c r="AL1288">
        <v>81.354986270392502</v>
      </c>
      <c r="AM1288">
        <v>63.1907365221847</v>
      </c>
      <c r="AN1288">
        <v>0.99999998939872903</v>
      </c>
    </row>
    <row r="1289" spans="1:40" x14ac:dyDescent="0.25">
      <c r="A1289" t="str">
        <f>"20190312164245943"</f>
        <v>20190312164245943</v>
      </c>
      <c r="B1289" t="str">
        <f>"1552380165935184"</f>
        <v>1552380165935184</v>
      </c>
      <c r="C1289" t="s">
        <v>40</v>
      </c>
      <c r="D1289">
        <v>4.8558579999999996</v>
      </c>
      <c r="E1289">
        <v>0.55438659999999995</v>
      </c>
      <c r="F1289" t="s">
        <v>45</v>
      </c>
      <c r="G1289">
        <v>-204.2706</v>
      </c>
      <c r="H1289" s="1">
        <v>4.0234710000000004E-6</v>
      </c>
      <c r="I1289">
        <v>285.61529999999999</v>
      </c>
      <c r="J1289">
        <v>-194.7731</v>
      </c>
      <c r="K1289">
        <v>1.102787</v>
      </c>
      <c r="L1289">
        <v>292.78769999999997</v>
      </c>
      <c r="M1289">
        <v>-0.39233279999999998</v>
      </c>
      <c r="N1289">
        <v>0</v>
      </c>
      <c r="O1289">
        <v>-0.91973700000000003</v>
      </c>
      <c r="P1289">
        <v>-0.7555944</v>
      </c>
      <c r="Q1289">
        <v>0.1472398</v>
      </c>
      <c r="R1289">
        <v>-0.63827719999999999</v>
      </c>
      <c r="S1289">
        <v>-2.4385530000000002</v>
      </c>
      <c r="T1289">
        <v>-0.27993400000000002</v>
      </c>
      <c r="U1289">
        <v>-1.880768</v>
      </c>
      <c r="V1289">
        <v>0.44739640000000003</v>
      </c>
      <c r="W1289">
        <v>0.15019759999999999</v>
      </c>
      <c r="X1289">
        <v>0.88163320000000001</v>
      </c>
      <c r="Y1289">
        <v>0.48513289999999998</v>
      </c>
      <c r="Z1289">
        <v>9.2517929999999998E-2</v>
      </c>
      <c r="AA1289">
        <v>0.86953230000000004</v>
      </c>
      <c r="AB1289">
        <v>26</v>
      </c>
      <c r="AC1289">
        <v>-9.4975000000000005</v>
      </c>
      <c r="AD1289">
        <v>-1.102782976529</v>
      </c>
      <c r="AE1289">
        <v>-7.1723999999999801</v>
      </c>
      <c r="AF1289">
        <v>5.87129540669366</v>
      </c>
      <c r="AG1289">
        <v>-1.102782976529</v>
      </c>
      <c r="AH1289">
        <v>10.2358403137154</v>
      </c>
      <c r="AI1289">
        <v>95.339050391786699</v>
      </c>
      <c r="AJ1289">
        <v>60.161344352519201</v>
      </c>
      <c r="AK1289">
        <v>11.851610311424601</v>
      </c>
      <c r="AL1289">
        <v>81.361621876004406</v>
      </c>
      <c r="AM1289">
        <v>63.0938834038839</v>
      </c>
      <c r="AN1289">
        <v>0.99999997856047895</v>
      </c>
    </row>
    <row r="1290" spans="1:40" x14ac:dyDescent="0.25">
      <c r="A1290" t="str">
        <f>"20190312164245964"</f>
        <v>20190312164245964</v>
      </c>
      <c r="B1290" t="str">
        <f>"1552380165955677"</f>
        <v>1552380165955677</v>
      </c>
      <c r="C1290" t="s">
        <v>40</v>
      </c>
      <c r="D1290">
        <v>4.9308350000000001</v>
      </c>
      <c r="E1290">
        <v>0.56620099999999995</v>
      </c>
      <c r="F1290" t="s">
        <v>45</v>
      </c>
      <c r="G1290">
        <v>-206.24019999999999</v>
      </c>
      <c r="H1290" s="1">
        <v>4.9389500000000004E-6</v>
      </c>
      <c r="I1290">
        <v>285.13470000000001</v>
      </c>
      <c r="J1290">
        <v>-194.8793</v>
      </c>
      <c r="K1290">
        <v>1.1025370000000001</v>
      </c>
      <c r="L1290">
        <v>292.56729999999999</v>
      </c>
      <c r="M1290">
        <v>-0.40196290000000001</v>
      </c>
      <c r="N1290">
        <v>0</v>
      </c>
      <c r="O1290">
        <v>-0.9155683</v>
      </c>
      <c r="P1290">
        <v>-0.76382569999999905</v>
      </c>
      <c r="Q1290">
        <v>0.1486208</v>
      </c>
      <c r="R1290">
        <v>-0.62807800000000003</v>
      </c>
      <c r="S1290">
        <v>-2.5697779999999999</v>
      </c>
      <c r="T1290">
        <v>-0.24713289999999999</v>
      </c>
      <c r="U1290">
        <v>-1.7150270000000001</v>
      </c>
      <c r="V1290">
        <v>0.44985560000000002</v>
      </c>
      <c r="W1290">
        <v>0.15128179999999999</v>
      </c>
      <c r="X1290">
        <v>0.88019530000000001</v>
      </c>
      <c r="Y1290">
        <v>0.53546910000000003</v>
      </c>
      <c r="Z1290">
        <v>8.2360249999999996E-2</v>
      </c>
      <c r="AA1290">
        <v>0.84052939999999998</v>
      </c>
      <c r="AB1290">
        <v>26</v>
      </c>
      <c r="AC1290">
        <v>-11.3608999999999</v>
      </c>
      <c r="AD1290">
        <v>-1.10253206105</v>
      </c>
      <c r="AE1290">
        <v>-7.4325999999999697</v>
      </c>
      <c r="AF1290">
        <v>7.3660652025770101</v>
      </c>
      <c r="AG1290">
        <v>-1.10253206105</v>
      </c>
      <c r="AH1290">
        <v>11.298113210108999</v>
      </c>
      <c r="AI1290">
        <v>94.673318961415106</v>
      </c>
      <c r="AJ1290">
        <v>56.896733570388797</v>
      </c>
      <c r="AK1290">
        <v>13.532252422368501</v>
      </c>
      <c r="AL1290">
        <v>81.298783998668895</v>
      </c>
      <c r="AM1290">
        <v>62.929055115056599</v>
      </c>
      <c r="AN1290">
        <v>1.0000000050023401</v>
      </c>
    </row>
    <row r="1291" spans="1:40" x14ac:dyDescent="0.25">
      <c r="A1291" t="str">
        <f>"20190312164245992"</f>
        <v>20190312164245992</v>
      </c>
      <c r="B1291" t="str">
        <f>"1552380165984958"</f>
        <v>1552380165984958</v>
      </c>
      <c r="C1291" t="s">
        <v>40</v>
      </c>
      <c r="D1291">
        <v>4.9908950000000001</v>
      </c>
      <c r="E1291">
        <v>0.56866090000000002</v>
      </c>
      <c r="F1291" t="s">
        <v>45</v>
      </c>
      <c r="G1291">
        <v>-204.35429999999999</v>
      </c>
      <c r="H1291" s="1">
        <v>3.9580799999999997E-6</v>
      </c>
      <c r="I1291">
        <v>286.78829999999999</v>
      </c>
      <c r="J1291">
        <v>-195.0214</v>
      </c>
      <c r="K1291">
        <v>1.102228</v>
      </c>
      <c r="L1291">
        <v>292.28269999999998</v>
      </c>
      <c r="M1291">
        <v>-0.414858</v>
      </c>
      <c r="N1291">
        <v>0</v>
      </c>
      <c r="O1291">
        <v>-0.90979750000000004</v>
      </c>
      <c r="P1291">
        <v>-0.77374849999999995</v>
      </c>
      <c r="Q1291">
        <v>0.15054770000000001</v>
      </c>
      <c r="R1291">
        <v>-0.61534489999999997</v>
      </c>
      <c r="S1291">
        <v>-2.6558069999999998</v>
      </c>
      <c r="T1291">
        <v>-0.30903459999999899</v>
      </c>
      <c r="U1291">
        <v>-1.619812</v>
      </c>
      <c r="V1291">
        <v>0.4518123</v>
      </c>
      <c r="W1291">
        <v>0.15286959999999999</v>
      </c>
      <c r="X1291">
        <v>0.87891790000000003</v>
      </c>
      <c r="Y1291">
        <v>0.55598459999999905</v>
      </c>
      <c r="Z1291">
        <v>0.1024938</v>
      </c>
      <c r="AA1291">
        <v>0.82484919999999995</v>
      </c>
      <c r="AB1291">
        <v>26</v>
      </c>
      <c r="AC1291">
        <v>-9.3328999999999898</v>
      </c>
      <c r="AD1291">
        <v>-1.10222404192</v>
      </c>
      <c r="AE1291">
        <v>-5.4943999999999802</v>
      </c>
      <c r="AF1291">
        <v>6.1484690017908701</v>
      </c>
      <c r="AG1291">
        <v>-1.10222404192</v>
      </c>
      <c r="AH1291">
        <v>8.7803885927927894</v>
      </c>
      <c r="AI1291">
        <v>95.870983578327198</v>
      </c>
      <c r="AJ1291">
        <v>54.998359270757099</v>
      </c>
      <c r="AK1291">
        <v>10.7756110149269</v>
      </c>
      <c r="AL1291">
        <v>81.206739756239301</v>
      </c>
      <c r="AM1291">
        <v>62.794335212423803</v>
      </c>
      <c r="AN1291">
        <v>1.0000000719879201</v>
      </c>
    </row>
    <row r="1292" spans="1:40" x14ac:dyDescent="0.25">
      <c r="A1292" t="str">
        <f>"20190312164246036"</f>
        <v>20190312164246036</v>
      </c>
      <c r="B1292" t="str">
        <f>"1552380166024974"</f>
        <v>1552380166024974</v>
      </c>
      <c r="C1292" t="s">
        <v>40</v>
      </c>
      <c r="D1292">
        <v>4.8550769999999996</v>
      </c>
      <c r="E1292">
        <v>0.57271890000000003</v>
      </c>
      <c r="F1292" t="s">
        <v>45</v>
      </c>
      <c r="G1292">
        <v>-203.56229999999999</v>
      </c>
      <c r="H1292" s="1">
        <v>3.5607660000000002E-6</v>
      </c>
      <c r="I1292">
        <v>287.31509999999997</v>
      </c>
      <c r="J1292">
        <v>-195.26220000000001</v>
      </c>
      <c r="K1292">
        <v>1.1017250000000001</v>
      </c>
      <c r="L1292">
        <v>291.82420000000002</v>
      </c>
      <c r="M1292">
        <v>-0.43675770000000003</v>
      </c>
      <c r="N1292">
        <v>0</v>
      </c>
      <c r="O1292">
        <v>-0.8994875</v>
      </c>
      <c r="P1292">
        <v>-0.79043079999999999</v>
      </c>
      <c r="Q1292">
        <v>0.15455070000000001</v>
      </c>
      <c r="R1292">
        <v>-0.59273390000000004</v>
      </c>
      <c r="S1292">
        <v>-2.6972960000000001</v>
      </c>
      <c r="T1292">
        <v>-0.3480953</v>
      </c>
      <c r="U1292">
        <v>-1.5688169999999999</v>
      </c>
      <c r="V1292">
        <v>0.45551760000000002</v>
      </c>
      <c r="W1292">
        <v>0.1563011</v>
      </c>
      <c r="X1292">
        <v>0.87639809999999996</v>
      </c>
      <c r="Y1292">
        <v>0.55190629999999996</v>
      </c>
      <c r="Z1292">
        <v>0.1144506</v>
      </c>
      <c r="AA1292">
        <v>0.82601480000000005</v>
      </c>
      <c r="AB1292">
        <v>26</v>
      </c>
      <c r="AC1292">
        <v>-8.3000999999999792</v>
      </c>
      <c r="AD1292">
        <v>-1.101721439234</v>
      </c>
      <c r="AE1292">
        <v>-4.5091000000000401</v>
      </c>
      <c r="AF1292">
        <v>5.42312967527163</v>
      </c>
      <c r="AG1292">
        <v>-1.101721439234</v>
      </c>
      <c r="AH1292">
        <v>7.5785473843532998</v>
      </c>
      <c r="AI1292">
        <v>96.742354297611001</v>
      </c>
      <c r="AJ1292">
        <v>54.412884542176101</v>
      </c>
      <c r="AK1292">
        <v>9.3839493850599904</v>
      </c>
      <c r="AL1292">
        <v>81.007736182219006</v>
      </c>
      <c r="AM1292">
        <v>62.536346040645398</v>
      </c>
      <c r="AN1292">
        <v>0.99999997372728899</v>
      </c>
    </row>
    <row r="1293" spans="1:40" x14ac:dyDescent="0.25">
      <c r="A1293" t="str">
        <f>"20190312164246076"</f>
        <v>20190312164246076</v>
      </c>
      <c r="B1293" t="str">
        <f>"1552380166064990"</f>
        <v>1552380166064990</v>
      </c>
      <c r="C1293" t="s">
        <v>40</v>
      </c>
      <c r="D1293">
        <v>5.0826640000000003</v>
      </c>
      <c r="E1293">
        <v>0.57147179999999997</v>
      </c>
      <c r="F1293" t="s">
        <v>45</v>
      </c>
      <c r="G1293">
        <v>-204.2448</v>
      </c>
      <c r="H1293" s="1">
        <v>3.8853470000000001E-6</v>
      </c>
      <c r="I1293">
        <v>287.06450000000001</v>
      </c>
      <c r="J1293">
        <v>-195.4933</v>
      </c>
      <c r="K1293">
        <v>1.1012459999999999</v>
      </c>
      <c r="L1293">
        <v>291.41120000000001</v>
      </c>
      <c r="M1293">
        <v>-0.45774949999999998</v>
      </c>
      <c r="N1293">
        <v>0</v>
      </c>
      <c r="O1293">
        <v>-0.88898670000000002</v>
      </c>
      <c r="P1293">
        <v>-0.80573459999999997</v>
      </c>
      <c r="Q1293">
        <v>0.15834010000000001</v>
      </c>
      <c r="R1293">
        <v>-0.57071919999999898</v>
      </c>
      <c r="S1293">
        <v>-2.7635649999999998</v>
      </c>
      <c r="T1293">
        <v>-0.33895439999999999</v>
      </c>
      <c r="U1293">
        <v>-1.4643550000000001</v>
      </c>
      <c r="V1293">
        <v>0.45872980000000002</v>
      </c>
      <c r="W1293">
        <v>0.1595618</v>
      </c>
      <c r="X1293">
        <v>0.87413220000000003</v>
      </c>
      <c r="Y1293">
        <v>0.56532139999999997</v>
      </c>
      <c r="Z1293">
        <v>0.1112181</v>
      </c>
      <c r="AA1293">
        <v>0.81733849999999997</v>
      </c>
      <c r="AB1293">
        <v>26</v>
      </c>
      <c r="AC1293">
        <v>-8.7514999999999894</v>
      </c>
      <c r="AD1293">
        <v>-1.101242114653</v>
      </c>
      <c r="AE1293">
        <v>-4.3466999999999896</v>
      </c>
      <c r="AF1293">
        <v>5.7181273683478198</v>
      </c>
      <c r="AG1293">
        <v>-1.101242114653</v>
      </c>
      <c r="AH1293">
        <v>7.7721002982141201</v>
      </c>
      <c r="AI1293">
        <v>96.511028560560902</v>
      </c>
      <c r="AJ1293">
        <v>53.657158557496302</v>
      </c>
      <c r="AK1293">
        <v>9.7116042877185702</v>
      </c>
      <c r="AL1293">
        <v>80.818538015137094</v>
      </c>
      <c r="AM1293">
        <v>62.310270603449702</v>
      </c>
      <c r="AN1293">
        <v>1.0000000502520501</v>
      </c>
    </row>
    <row r="1294" spans="1:40" x14ac:dyDescent="0.25">
      <c r="A1294" t="str">
        <f>"20190312164246122"</f>
        <v>20190312164246122</v>
      </c>
      <c r="B1294" t="str">
        <f>"1552380166115743"</f>
        <v>1552380166115743</v>
      </c>
      <c r="C1294" t="s">
        <v>40</v>
      </c>
      <c r="D1294">
        <v>4.9653349999999996</v>
      </c>
      <c r="E1294">
        <v>0.5695732</v>
      </c>
      <c r="F1294" t="s">
        <v>45</v>
      </c>
      <c r="G1294">
        <v>-204.9529</v>
      </c>
      <c r="H1294" s="1">
        <v>4.2327369999999997E-6</v>
      </c>
      <c r="I1294">
        <v>286.68299999999999</v>
      </c>
      <c r="J1294">
        <v>-195.76840000000001</v>
      </c>
      <c r="K1294">
        <v>1.1006629999999999</v>
      </c>
      <c r="L1294">
        <v>290.95069999999998</v>
      </c>
      <c r="M1294">
        <v>-0.48261920000000003</v>
      </c>
      <c r="N1294">
        <v>0</v>
      </c>
      <c r="O1294">
        <v>-0.87573219999999996</v>
      </c>
      <c r="P1294">
        <v>-0.82181139999999997</v>
      </c>
      <c r="Q1294">
        <v>0.1607316</v>
      </c>
      <c r="R1294">
        <v>-0.54661859999999995</v>
      </c>
      <c r="S1294">
        <v>-2.7970429999999999</v>
      </c>
      <c r="T1294">
        <v>-0.32561869999999998</v>
      </c>
      <c r="U1294">
        <v>-1.3980410000000001</v>
      </c>
      <c r="V1294">
        <v>0.45985480000000001</v>
      </c>
      <c r="W1294">
        <v>0.16140760000000001</v>
      </c>
      <c r="X1294">
        <v>0.87320169999999997</v>
      </c>
      <c r="Y1294">
        <v>0.56206109999999998</v>
      </c>
      <c r="Z1294">
        <v>0.1062256</v>
      </c>
      <c r="AA1294">
        <v>0.82024599999999903</v>
      </c>
      <c r="AB1294">
        <v>26</v>
      </c>
      <c r="AC1294">
        <v>-9.1844999999999803</v>
      </c>
      <c r="AD1294">
        <v>-1.1006587672629999</v>
      </c>
      <c r="AE1294">
        <v>-4.2676999999999898</v>
      </c>
      <c r="AF1294">
        <v>5.9141496294443296</v>
      </c>
      <c r="AG1294">
        <v>-1.1006587672629999</v>
      </c>
      <c r="AH1294">
        <v>8.0753017243654899</v>
      </c>
      <c r="AI1294">
        <v>96.275189444276705</v>
      </c>
      <c r="AJ1294">
        <v>53.781882505706598</v>
      </c>
      <c r="AK1294">
        <v>10.0697126821448</v>
      </c>
      <c r="AL1294">
        <v>80.711392478297597</v>
      </c>
      <c r="AM1294">
        <v>62.227333237578499</v>
      </c>
      <c r="AN1294">
        <v>1.0000000296518401</v>
      </c>
    </row>
    <row r="1295" spans="1:40" x14ac:dyDescent="0.25">
      <c r="A1295" t="str">
        <f>"20190312164246144"</f>
        <v>20190312164246144</v>
      </c>
      <c r="B1295" t="str">
        <f>"1552380166135262"</f>
        <v>1552380166135262</v>
      </c>
      <c r="C1295" t="s">
        <v>40</v>
      </c>
      <c r="D1295">
        <v>4.8718240000000002</v>
      </c>
      <c r="E1295">
        <v>0.56893369999999999</v>
      </c>
      <c r="F1295" t="s">
        <v>45</v>
      </c>
      <c r="G1295">
        <v>-206.53630000000001</v>
      </c>
      <c r="H1295" s="1">
        <v>5.001113E-6</v>
      </c>
      <c r="I1295">
        <v>285.92559999999997</v>
      </c>
      <c r="J1295">
        <v>-195.9023</v>
      </c>
      <c r="K1295">
        <v>1.10039</v>
      </c>
      <c r="L1295">
        <v>290.73820000000001</v>
      </c>
      <c r="M1295">
        <v>-0.4946643</v>
      </c>
      <c r="N1295">
        <v>0</v>
      </c>
      <c r="O1295">
        <v>-0.86898359999999997</v>
      </c>
      <c r="P1295">
        <v>-0.82911950000000001</v>
      </c>
      <c r="Q1295">
        <v>0.1610174</v>
      </c>
      <c r="R1295">
        <v>-0.53538240000000004</v>
      </c>
      <c r="S1295">
        <v>-2.8289179999999998</v>
      </c>
      <c r="T1295">
        <v>-0.2891611</v>
      </c>
      <c r="U1295">
        <v>-1.32019</v>
      </c>
      <c r="V1295">
        <v>0.45974989999999999</v>
      </c>
      <c r="W1295">
        <v>0.1614679</v>
      </c>
      <c r="X1295">
        <v>0.87324579999999996</v>
      </c>
      <c r="Y1295">
        <v>0.57383260000000003</v>
      </c>
      <c r="Z1295">
        <v>9.4652230000000004E-2</v>
      </c>
      <c r="AA1295">
        <v>0.81348450000000005</v>
      </c>
      <c r="AB1295">
        <v>26</v>
      </c>
      <c r="AC1295">
        <v>-10.634</v>
      </c>
      <c r="AD1295">
        <v>-1.100384998887</v>
      </c>
      <c r="AE1295">
        <v>-4.81260000000003</v>
      </c>
      <c r="AF1295">
        <v>6.80031249947214</v>
      </c>
      <c r="AG1295">
        <v>-1.100384998887</v>
      </c>
      <c r="AH1295">
        <v>9.3599698655533103</v>
      </c>
      <c r="AI1295">
        <v>95.433107853214295</v>
      </c>
      <c r="AJ1295">
        <v>54.000415349234999</v>
      </c>
      <c r="AK1295">
        <v>11.621709561003399</v>
      </c>
      <c r="AL1295">
        <v>80.707891721145799</v>
      </c>
      <c r="AM1295">
        <v>62.233914933558303</v>
      </c>
      <c r="AN1295">
        <v>1.0000000402490199</v>
      </c>
    </row>
    <row r="1296" spans="1:40" x14ac:dyDescent="0.25">
      <c r="A1296" t="str">
        <f>"20190312164246165"</f>
        <v>20190312164246165</v>
      </c>
      <c r="B1296" t="str">
        <f>"1552380166155759"</f>
        <v>1552380166155759</v>
      </c>
      <c r="C1296" t="s">
        <v>40</v>
      </c>
      <c r="D1296">
        <v>5.0485419999999896</v>
      </c>
      <c r="E1296">
        <v>0.56876539999999998</v>
      </c>
      <c r="F1296" t="s">
        <v>45</v>
      </c>
      <c r="G1296">
        <v>-206.71940000000001</v>
      </c>
      <c r="H1296" s="1">
        <v>5.0890669999999998E-6</v>
      </c>
      <c r="I1296">
        <v>285.84809999999999</v>
      </c>
      <c r="J1296">
        <v>-196.04660000000001</v>
      </c>
      <c r="K1296">
        <v>1.1001299999999901</v>
      </c>
      <c r="L1296">
        <v>290.5172</v>
      </c>
      <c r="M1296">
        <v>-0.50751040000000003</v>
      </c>
      <c r="N1296">
        <v>0</v>
      </c>
      <c r="O1296">
        <v>-0.86154310000000001</v>
      </c>
      <c r="P1296">
        <v>-0.83706919999999996</v>
      </c>
      <c r="Q1296">
        <v>0.16187660000000001</v>
      </c>
      <c r="R1296">
        <v>-0.52260109999999904</v>
      </c>
      <c r="S1296">
        <v>-2.8442229999999999</v>
      </c>
      <c r="T1296">
        <v>-0.28933429999999999</v>
      </c>
      <c r="U1296">
        <v>-1.2857970000000001</v>
      </c>
      <c r="V1296">
        <v>0.46016360000000001</v>
      </c>
      <c r="W1296">
        <v>0.16210359999999999</v>
      </c>
      <c r="X1296">
        <v>0.87290999999999996</v>
      </c>
      <c r="Y1296">
        <v>0.57152609999999904</v>
      </c>
      <c r="Z1296">
        <v>9.434025E-2</v>
      </c>
      <c r="AA1296">
        <v>0.81514279999999995</v>
      </c>
      <c r="AB1296">
        <v>26</v>
      </c>
      <c r="AC1296">
        <v>-10.672799999999899</v>
      </c>
      <c r="AD1296">
        <v>-1.10012491093299</v>
      </c>
      <c r="AE1296">
        <v>-4.66910000000001</v>
      </c>
      <c r="AF1296">
        <v>6.7657256652127096</v>
      </c>
      <c r="AG1296">
        <v>-1.10012491093299</v>
      </c>
      <c r="AH1296">
        <v>9.3565784715548705</v>
      </c>
      <c r="AI1296">
        <v>95.442606933690897</v>
      </c>
      <c r="AJ1296">
        <v>54.1293734912486</v>
      </c>
      <c r="AK1296">
        <v>11.5987447291048</v>
      </c>
      <c r="AL1296">
        <v>80.670982095942904</v>
      </c>
      <c r="AM1296">
        <v>62.203576504518502</v>
      </c>
      <c r="AN1296">
        <v>0.99999999199895995</v>
      </c>
    </row>
    <row r="1297" spans="1:40" x14ac:dyDescent="0.25">
      <c r="A1297" t="str">
        <f>"20190312164246187"</f>
        <v>20190312164246187</v>
      </c>
      <c r="B1297" t="str">
        <f>"1552380166185037"</f>
        <v>1552380166185037</v>
      </c>
      <c r="C1297" t="s">
        <v>40</v>
      </c>
      <c r="D1297">
        <v>4.8320160000000003</v>
      </c>
      <c r="E1297">
        <v>0.56737349999999998</v>
      </c>
      <c r="F1297" t="s">
        <v>45</v>
      </c>
      <c r="G1297">
        <v>-206.90459999999999</v>
      </c>
      <c r="H1297" s="1">
        <v>5.1751779999999998E-6</v>
      </c>
      <c r="I1297">
        <v>285.80250000000001</v>
      </c>
      <c r="J1297">
        <v>-196.19290000000001</v>
      </c>
      <c r="K1297">
        <v>1.099877</v>
      </c>
      <c r="L1297">
        <v>290.30070000000001</v>
      </c>
      <c r="M1297">
        <v>-0.52046300000000001</v>
      </c>
      <c r="N1297">
        <v>0</v>
      </c>
      <c r="O1297">
        <v>-0.85377930000000002</v>
      </c>
      <c r="P1297">
        <v>-0.84515429999999903</v>
      </c>
      <c r="Q1297">
        <v>0.1621078</v>
      </c>
      <c r="R1297">
        <v>-0.50934849999999998</v>
      </c>
      <c r="S1297">
        <v>-2.8637239999999999</v>
      </c>
      <c r="T1297">
        <v>-0.29015059999999998</v>
      </c>
      <c r="U1297">
        <v>-1.2434689999999999</v>
      </c>
      <c r="V1297">
        <v>0.46080589999999999</v>
      </c>
      <c r="W1297">
        <v>0.16210359999999999</v>
      </c>
      <c r="X1297">
        <v>0.87257109999999904</v>
      </c>
      <c r="Y1297">
        <v>0.57132680000000002</v>
      </c>
      <c r="Z1297">
        <v>9.4239530000000002E-2</v>
      </c>
      <c r="AA1297">
        <v>0.81529419999999897</v>
      </c>
      <c r="AB1297">
        <v>26</v>
      </c>
      <c r="AC1297">
        <v>-10.711699999999899</v>
      </c>
      <c r="AD1297">
        <v>-1.0998718248220001</v>
      </c>
      <c r="AE1297">
        <v>-4.49819999999999</v>
      </c>
      <c r="AF1297">
        <v>6.7444431078770304</v>
      </c>
      <c r="AG1297">
        <v>-1.0998718248220001</v>
      </c>
      <c r="AH1297">
        <v>9.3327120080748092</v>
      </c>
      <c r="AI1297">
        <v>95.456304006728402</v>
      </c>
      <c r="AJ1297">
        <v>54.145602067824001</v>
      </c>
      <c r="AK1297">
        <v>11.5670542616558</v>
      </c>
      <c r="AL1297">
        <v>80.670982073188895</v>
      </c>
      <c r="AM1297">
        <v>62.161409169651797</v>
      </c>
      <c r="AN1297">
        <v>0.99999998958148995</v>
      </c>
    </row>
    <row r="1298" spans="1:40" x14ac:dyDescent="0.25">
      <c r="A1298" t="str">
        <f>"20190312164246213"</f>
        <v>20190312164246213</v>
      </c>
      <c r="B1298" t="str">
        <f>"1552380166205533"</f>
        <v>1552380166205533</v>
      </c>
      <c r="C1298" t="s">
        <v>40</v>
      </c>
      <c r="D1298">
        <v>5.3376140000000003</v>
      </c>
      <c r="E1298">
        <v>0.56625380000000003</v>
      </c>
      <c r="F1298" t="s">
        <v>45</v>
      </c>
      <c r="G1298">
        <v>-207.38980000000001</v>
      </c>
      <c r="H1298" s="1">
        <v>5.4072560000000004E-6</v>
      </c>
      <c r="I1298">
        <v>285.60919999999999</v>
      </c>
      <c r="J1298">
        <v>-196.3612</v>
      </c>
      <c r="K1298">
        <v>1.09958</v>
      </c>
      <c r="L1298">
        <v>290.0609</v>
      </c>
      <c r="M1298">
        <v>-0.53526180000000001</v>
      </c>
      <c r="N1298">
        <v>0</v>
      </c>
      <c r="O1298">
        <v>-0.84457839999999995</v>
      </c>
      <c r="P1298">
        <v>-0.85451129999999997</v>
      </c>
      <c r="Q1298">
        <v>0.1617759</v>
      </c>
      <c r="R1298">
        <v>-0.49359809999999998</v>
      </c>
      <c r="S1298">
        <v>-2.8772890000000002</v>
      </c>
      <c r="T1298">
        <v>-0.282636</v>
      </c>
      <c r="U1298">
        <v>-1.205597</v>
      </c>
      <c r="V1298">
        <v>0.46193719999999999</v>
      </c>
      <c r="W1298">
        <v>0.16149379999999999</v>
      </c>
      <c r="X1298">
        <v>0.87208589999999997</v>
      </c>
      <c r="Y1298">
        <v>0.56780200000000003</v>
      </c>
      <c r="Z1298">
        <v>9.1361520000000002E-2</v>
      </c>
      <c r="AA1298">
        <v>0.81807949999999996</v>
      </c>
      <c r="AB1298">
        <v>26</v>
      </c>
      <c r="AC1298">
        <v>-11.028600000000001</v>
      </c>
      <c r="AD1298">
        <v>-1.0995745927439999</v>
      </c>
      <c r="AE1298">
        <v>-4.4517000000000104</v>
      </c>
      <c r="AF1298">
        <v>6.8735699075847796</v>
      </c>
      <c r="AG1298">
        <v>-1.0995745927439999</v>
      </c>
      <c r="AH1298">
        <v>9.5819733798687299</v>
      </c>
      <c r="AI1298">
        <v>95.327114028043795</v>
      </c>
      <c r="AJ1298">
        <v>54.346466114041299</v>
      </c>
      <c r="AK1298">
        <v>11.8435316275161</v>
      </c>
      <c r="AL1298">
        <v>80.706387841376596</v>
      </c>
      <c r="AM1298">
        <v>62.0901750182108</v>
      </c>
      <c r="AN1298">
        <v>1.0000000205805399</v>
      </c>
    </row>
    <row r="1299" spans="1:40" x14ac:dyDescent="0.25">
      <c r="A1299" t="str">
        <f>"20190312164246255"</f>
        <v>20190312164246255</v>
      </c>
      <c r="B1299" t="str">
        <f>"1552380166245551"</f>
        <v>1552380166245551</v>
      </c>
      <c r="C1299" t="s">
        <v>40</v>
      </c>
      <c r="D1299">
        <v>4.9881489999999999</v>
      </c>
      <c r="E1299">
        <v>0.56439010000000001</v>
      </c>
      <c r="F1299" t="s">
        <v>45</v>
      </c>
      <c r="G1299">
        <v>-207.61959999999999</v>
      </c>
      <c r="H1299" s="1">
        <v>5.5142310000000003E-6</v>
      </c>
      <c r="I1299">
        <v>285.55099999999999</v>
      </c>
      <c r="J1299">
        <v>-196.65950000000001</v>
      </c>
      <c r="K1299">
        <v>1.0990359999999999</v>
      </c>
      <c r="L1299">
        <v>289.6583</v>
      </c>
      <c r="M1299">
        <v>-0.56116889999999997</v>
      </c>
      <c r="N1299">
        <v>0</v>
      </c>
      <c r="O1299">
        <v>-0.82758809999999905</v>
      </c>
      <c r="P1299">
        <v>-0.86984450000000002</v>
      </c>
      <c r="Q1299">
        <v>0.15946859999999999</v>
      </c>
      <c r="R1299">
        <v>-0.4668408</v>
      </c>
      <c r="S1299">
        <v>-2.8945159999999999</v>
      </c>
      <c r="T1299">
        <v>-0.28269919999999998</v>
      </c>
      <c r="U1299">
        <v>-1.1594850000000001</v>
      </c>
      <c r="V1299">
        <v>0.46248529999999999</v>
      </c>
      <c r="W1299">
        <v>0.15876189999999901</v>
      </c>
      <c r="X1299">
        <v>0.87229699999999999</v>
      </c>
      <c r="Y1299">
        <v>0.55526119999999901</v>
      </c>
      <c r="Z1299">
        <v>9.0204989999999999E-2</v>
      </c>
      <c r="AA1299">
        <v>0.82676970000000005</v>
      </c>
      <c r="AB1299">
        <v>26</v>
      </c>
      <c r="AC1299">
        <v>-10.960099999999899</v>
      </c>
      <c r="AD1299">
        <v>-1.0990304857690001</v>
      </c>
      <c r="AE1299">
        <v>-4.1073000000000004</v>
      </c>
      <c r="AF1299">
        <v>6.7070574850063798</v>
      </c>
      <c r="AG1299">
        <v>-1.0990304857690001</v>
      </c>
      <c r="AH1299">
        <v>9.4670442509980504</v>
      </c>
      <c r="AI1299">
        <v>95.411285790241905</v>
      </c>
      <c r="AJ1299">
        <v>54.683811827146499</v>
      </c>
      <c r="AK1299">
        <v>11.654072891748401</v>
      </c>
      <c r="AL1299">
        <v>80.864960447433901</v>
      </c>
      <c r="AM1299">
        <v>62.067801670193397</v>
      </c>
      <c r="AN1299">
        <v>1.0000000249083401</v>
      </c>
    </row>
    <row r="1300" spans="1:40" x14ac:dyDescent="0.25">
      <c r="A1300" t="str">
        <f>"20190312164246279"</f>
        <v>20190312164246279</v>
      </c>
      <c r="B1300" t="str">
        <f>"1552380166275806"</f>
        <v>1552380166275806</v>
      </c>
      <c r="C1300" t="s">
        <v>40</v>
      </c>
      <c r="D1300">
        <v>5.0712609999999998</v>
      </c>
      <c r="E1300">
        <v>0.56464440000000005</v>
      </c>
      <c r="F1300" t="s">
        <v>45</v>
      </c>
      <c r="G1300">
        <v>-207.7841</v>
      </c>
      <c r="H1300" s="1">
        <v>5.5871859999999997E-6</v>
      </c>
      <c r="I1300">
        <v>285.55119999999999</v>
      </c>
      <c r="J1300">
        <v>-196.83279999999999</v>
      </c>
      <c r="K1300">
        <v>1.0987420000000001</v>
      </c>
      <c r="L1300">
        <v>289.43669999999997</v>
      </c>
      <c r="M1300">
        <v>-0.57595830000000003</v>
      </c>
      <c r="N1300">
        <v>0</v>
      </c>
      <c r="O1300">
        <v>-0.81736239999999905</v>
      </c>
      <c r="P1300">
        <v>-0.87809349999999997</v>
      </c>
      <c r="Q1300">
        <v>0.1578022</v>
      </c>
      <c r="R1300">
        <v>-0.4517195</v>
      </c>
      <c r="S1300">
        <v>-2.9227289999999999</v>
      </c>
      <c r="T1300">
        <v>-0.28874499999999997</v>
      </c>
      <c r="U1300">
        <v>-1.0790409999999999</v>
      </c>
      <c r="V1300">
        <v>0.4622039</v>
      </c>
      <c r="W1300">
        <v>0.15689449999999999</v>
      </c>
      <c r="X1300">
        <v>0.87278389999999995</v>
      </c>
      <c r="Y1300">
        <v>0.56272759999999999</v>
      </c>
      <c r="Z1300">
        <v>9.1936069999999995E-2</v>
      </c>
      <c r="AA1300">
        <v>0.82151409999999903</v>
      </c>
      <c r="AB1300">
        <v>26</v>
      </c>
      <c r="AC1300">
        <v>-10.9513</v>
      </c>
      <c r="AD1300">
        <v>-1.098736412814</v>
      </c>
      <c r="AE1300">
        <v>-3.8854999999999702</v>
      </c>
      <c r="AF1300">
        <v>6.65444104272063</v>
      </c>
      <c r="AG1300">
        <v>-1.098736412814</v>
      </c>
      <c r="AH1300">
        <v>9.4002154656719696</v>
      </c>
      <c r="AI1300">
        <v>95.449508240540993</v>
      </c>
      <c r="AJ1300">
        <v>54.705207138141503</v>
      </c>
      <c r="AK1300">
        <v>11.569479594905999</v>
      </c>
      <c r="AL1300">
        <v>80.973312694101693</v>
      </c>
      <c r="AM1300">
        <v>62.095456746644402</v>
      </c>
      <c r="AN1300">
        <v>1.00000003270233</v>
      </c>
    </row>
    <row r="1301" spans="1:40" x14ac:dyDescent="0.25">
      <c r="A1301" t="str">
        <f>"20190312164246302"</f>
        <v>20190312164246302</v>
      </c>
      <c r="B1301" t="str">
        <f>"1552380166295326"</f>
        <v>1552380166295326</v>
      </c>
      <c r="C1301" t="s">
        <v>40</v>
      </c>
      <c r="D1301">
        <v>5.1013409999999997</v>
      </c>
      <c r="E1301">
        <v>0.60515229999999998</v>
      </c>
      <c r="F1301" t="s">
        <v>45</v>
      </c>
      <c r="G1301">
        <v>-207.71369999999999</v>
      </c>
      <c r="H1301" s="1">
        <v>5.546878E-6</v>
      </c>
      <c r="I1301">
        <v>285.65519999999998</v>
      </c>
      <c r="J1301">
        <v>-196.9949</v>
      </c>
      <c r="K1301">
        <v>1.0984830000000001</v>
      </c>
      <c r="L1301">
        <v>289.23719999999997</v>
      </c>
      <c r="M1301">
        <v>-0.589611199999999</v>
      </c>
      <c r="N1301">
        <v>0</v>
      </c>
      <c r="O1301">
        <v>-0.8075677</v>
      </c>
      <c r="P1301">
        <v>-0.88583210000000001</v>
      </c>
      <c r="Q1301">
        <v>0.15634089999999901</v>
      </c>
      <c r="R1301">
        <v>-0.43687500000000001</v>
      </c>
      <c r="S1301">
        <v>-2.9436339999999999</v>
      </c>
      <c r="T1301">
        <v>-0.29724260000000002</v>
      </c>
      <c r="U1301">
        <v>-1.0230410000000001</v>
      </c>
      <c r="V1301">
        <v>0.46249240000000003</v>
      </c>
      <c r="W1301">
        <v>0.1552422</v>
      </c>
      <c r="X1301">
        <v>0.87292649999999905</v>
      </c>
      <c r="Y1301">
        <v>0.56437459999999995</v>
      </c>
      <c r="Z1301">
        <v>9.4136739999999997E-2</v>
      </c>
      <c r="AA1301">
        <v>0.82013389999999997</v>
      </c>
      <c r="AB1301">
        <v>26</v>
      </c>
      <c r="AC1301">
        <v>-10.7187999999999</v>
      </c>
      <c r="AD1301">
        <v>-1.0984774531219901</v>
      </c>
      <c r="AE1301">
        <v>-3.5819999999999901</v>
      </c>
      <c r="AF1301">
        <v>6.48354847865349</v>
      </c>
      <c r="AG1301">
        <v>-1.0984774531219901</v>
      </c>
      <c r="AH1301">
        <v>9.1272922890796799</v>
      </c>
      <c r="AI1301">
        <v>95.603693900585597</v>
      </c>
      <c r="AJ1301">
        <v>54.612016244256402</v>
      </c>
      <c r="AK1301">
        <v>11.2494674594116</v>
      </c>
      <c r="AL1301">
        <v>81.069156833982703</v>
      </c>
      <c r="AM1301">
        <v>62.0845402517078</v>
      </c>
      <c r="AN1301">
        <v>1.00000001756042</v>
      </c>
    </row>
    <row r="1302" spans="1:40" x14ac:dyDescent="0.25">
      <c r="A1302" t="str">
        <f>"20190312164246324"</f>
        <v>20190312164246324</v>
      </c>
      <c r="B1302" t="str">
        <f>"1552380166315822"</f>
        <v>1552380166315822</v>
      </c>
      <c r="C1302" t="s">
        <v>40</v>
      </c>
      <c r="D1302">
        <v>5.1534500000000003</v>
      </c>
      <c r="E1302">
        <v>0.60809169999999901</v>
      </c>
      <c r="F1302" t="s">
        <v>45</v>
      </c>
      <c r="G1302">
        <v>-203.65870000000001</v>
      </c>
      <c r="H1302" s="1">
        <v>3.568699E-6</v>
      </c>
      <c r="I1302">
        <v>287.71359999999999</v>
      </c>
      <c r="J1302">
        <v>-197.1713</v>
      </c>
      <c r="K1302">
        <v>1.098225</v>
      </c>
      <c r="L1302">
        <v>289.029</v>
      </c>
      <c r="M1302">
        <v>-0.60425260000000003</v>
      </c>
      <c r="N1302">
        <v>0</v>
      </c>
      <c r="O1302">
        <v>-0.79666930000000002</v>
      </c>
      <c r="P1302">
        <v>-0.89390369999999997</v>
      </c>
      <c r="Q1302">
        <v>0.1553802</v>
      </c>
      <c r="R1302">
        <v>-0.42046790000000001</v>
      </c>
      <c r="S1302">
        <v>-3.1251530000000001</v>
      </c>
      <c r="T1302">
        <v>-0.51516090000000003</v>
      </c>
      <c r="U1302">
        <v>-0.71456909999999996</v>
      </c>
      <c r="V1302">
        <v>0.46285520000000002</v>
      </c>
      <c r="W1302">
        <v>0.1540899</v>
      </c>
      <c r="X1302">
        <v>0.8729384</v>
      </c>
      <c r="Y1302">
        <v>0.62697199999999997</v>
      </c>
      <c r="Z1302">
        <v>0.16100349999999999</v>
      </c>
      <c r="AA1302">
        <v>0.76222299999999998</v>
      </c>
      <c r="AB1302">
        <v>26</v>
      </c>
      <c r="AC1302">
        <v>-6.4874000000000001</v>
      </c>
      <c r="AD1302">
        <v>-1.0982214313009999</v>
      </c>
      <c r="AE1302">
        <v>-1.3154000000000099</v>
      </c>
      <c r="AF1302">
        <v>4.2567386430101699</v>
      </c>
      <c r="AG1302">
        <v>-1.0982214313009999</v>
      </c>
      <c r="AH1302">
        <v>4.8353587120932602</v>
      </c>
      <c r="AI1302">
        <v>99.674548017746403</v>
      </c>
      <c r="AJ1302">
        <v>48.641386448131797</v>
      </c>
      <c r="AK1302">
        <v>6.5350293084026099</v>
      </c>
      <c r="AL1302">
        <v>81.135983111170901</v>
      </c>
      <c r="AM1302">
        <v>62.066273161249001</v>
      </c>
      <c r="AN1302">
        <v>1.0000000418218</v>
      </c>
    </row>
    <row r="1303" spans="1:40" x14ac:dyDescent="0.25">
      <c r="A1303" t="str">
        <f>"20190312164246367"</f>
        <v>20190312164246367</v>
      </c>
      <c r="B1303" t="str">
        <f>"1552380166355838"</f>
        <v>1552380166355838</v>
      </c>
      <c r="C1303" t="s">
        <v>40</v>
      </c>
      <c r="D1303">
        <v>5.2174959999999997</v>
      </c>
      <c r="E1303">
        <v>0.60472510000000002</v>
      </c>
      <c r="F1303" t="s">
        <v>45</v>
      </c>
      <c r="G1303">
        <v>-204.18819999999999</v>
      </c>
      <c r="H1303" s="1">
        <v>3.8115540000000001E-6</v>
      </c>
      <c r="I1303">
        <v>287.62139999999999</v>
      </c>
      <c r="J1303">
        <v>-197.50620000000001</v>
      </c>
      <c r="K1303">
        <v>1.097815</v>
      </c>
      <c r="L1303">
        <v>288.65480000000002</v>
      </c>
      <c r="M1303">
        <v>-0.63132379999999999</v>
      </c>
      <c r="N1303">
        <v>0</v>
      </c>
      <c r="O1303">
        <v>-0.77538899999999999</v>
      </c>
      <c r="P1303">
        <v>-0.90675190000000006</v>
      </c>
      <c r="Q1303">
        <v>0.15239659999999999</v>
      </c>
      <c r="R1303">
        <v>-0.39316220000000002</v>
      </c>
      <c r="S1303">
        <v>-3.144882</v>
      </c>
      <c r="T1303">
        <v>-0.49221280000000001</v>
      </c>
      <c r="U1303">
        <v>-0.63085939999999996</v>
      </c>
      <c r="V1303">
        <v>0.45971699999999999</v>
      </c>
      <c r="W1303">
        <v>0.1509617</v>
      </c>
      <c r="X1303">
        <v>0.87514049999999999</v>
      </c>
      <c r="Y1303">
        <v>0.62238800000000005</v>
      </c>
      <c r="Z1303">
        <v>0.1517857</v>
      </c>
      <c r="AA1303">
        <v>0.76785049999999999</v>
      </c>
      <c r="AB1303">
        <v>26</v>
      </c>
      <c r="AC1303">
        <v>-6.68199999999998</v>
      </c>
      <c r="AD1303">
        <v>-1.097811188446</v>
      </c>
      <c r="AE1303">
        <v>-1.0334000000000201</v>
      </c>
      <c r="AF1303">
        <v>4.4128654621990702</v>
      </c>
      <c r="AG1303">
        <v>-1.097811188446</v>
      </c>
      <c r="AH1303">
        <v>4.8913545501494697</v>
      </c>
      <c r="AI1303">
        <v>99.461046964571395</v>
      </c>
      <c r="AJ1303">
        <v>47.943962480404899</v>
      </c>
      <c r="AK1303">
        <v>6.6786166477957503</v>
      </c>
      <c r="AL1303">
        <v>81.317337634923106</v>
      </c>
      <c r="AM1303">
        <v>62.286761865015798</v>
      </c>
      <c r="AN1303">
        <v>1.0000000248480601</v>
      </c>
    </row>
    <row r="1304" spans="1:40" x14ac:dyDescent="0.25">
      <c r="A1304" t="str">
        <f>"20190312164246389"</f>
        <v>20190312164246389</v>
      </c>
      <c r="B1304" t="str">
        <f>"1552380166385118"</f>
        <v>1552380166385118</v>
      </c>
      <c r="C1304" t="s">
        <v>40</v>
      </c>
      <c r="D1304">
        <v>5.1127580000000004</v>
      </c>
      <c r="E1304">
        <v>0.60298160000000001</v>
      </c>
      <c r="F1304" t="s">
        <v>45</v>
      </c>
      <c r="G1304">
        <v>-205.15940000000001</v>
      </c>
      <c r="H1304" s="1">
        <v>4.2669190000000001E-6</v>
      </c>
      <c r="I1304">
        <v>287.33920000000001</v>
      </c>
      <c r="J1304">
        <v>-197.68790000000001</v>
      </c>
      <c r="K1304">
        <v>1.0976379999999999</v>
      </c>
      <c r="L1304">
        <v>288.46289999999999</v>
      </c>
      <c r="M1304">
        <v>-0.64558939999999998</v>
      </c>
      <c r="N1304">
        <v>0</v>
      </c>
      <c r="O1304">
        <v>-0.76355079999999997</v>
      </c>
      <c r="P1304">
        <v>-0.91266760000000002</v>
      </c>
      <c r="Q1304">
        <v>0.15219469999999999</v>
      </c>
      <c r="R1304">
        <v>-0.37930839999999999</v>
      </c>
      <c r="S1304">
        <v>-3.149689</v>
      </c>
      <c r="T1304">
        <v>-0.4518046</v>
      </c>
      <c r="U1304">
        <v>-0.54144289999999995</v>
      </c>
      <c r="V1304">
        <v>0.45689940000000001</v>
      </c>
      <c r="W1304">
        <v>0.1507529</v>
      </c>
      <c r="X1304">
        <v>0.87665079999999995</v>
      </c>
      <c r="Y1304">
        <v>0.63137639999999995</v>
      </c>
      <c r="Z1304">
        <v>0.13963020000000001</v>
      </c>
      <c r="AA1304">
        <v>0.76280219999999999</v>
      </c>
      <c r="AB1304">
        <v>26</v>
      </c>
      <c r="AC1304">
        <v>-7.47149999999999</v>
      </c>
      <c r="AD1304">
        <v>-1.097633733081</v>
      </c>
      <c r="AE1304">
        <v>-1.1236999999999799</v>
      </c>
      <c r="AF1304">
        <v>4.8770011576905201</v>
      </c>
      <c r="AG1304">
        <v>-1.097633733081</v>
      </c>
      <c r="AH1304">
        <v>5.5646621236335703</v>
      </c>
      <c r="AI1304">
        <v>98.437815143382494</v>
      </c>
      <c r="AJ1304">
        <v>48.767910898225999</v>
      </c>
      <c r="AK1304">
        <v>7.4803345282356197</v>
      </c>
      <c r="AL1304">
        <v>81.329439815895498</v>
      </c>
      <c r="AM1304">
        <v>62.4720394631441</v>
      </c>
      <c r="AN1304">
        <v>1.0000000618597</v>
      </c>
    </row>
    <row r="1305" spans="1:40" x14ac:dyDescent="0.25">
      <c r="A1305" t="str">
        <f>"20190312164246413"</f>
        <v>20190312164246413</v>
      </c>
      <c r="B1305" t="str">
        <f>"1552380166405614"</f>
        <v>1552380166405614</v>
      </c>
      <c r="C1305" t="s">
        <v>40</v>
      </c>
      <c r="D1305">
        <v>5.1666600000000003</v>
      </c>
      <c r="E1305">
        <v>0.60147600000000001</v>
      </c>
      <c r="F1305" t="s">
        <v>45</v>
      </c>
      <c r="G1305">
        <v>-205.3031</v>
      </c>
      <c r="H1305" s="1">
        <v>4.3378089999999998E-6</v>
      </c>
      <c r="I1305">
        <v>287.25749999999999</v>
      </c>
      <c r="J1305">
        <v>-197.8818</v>
      </c>
      <c r="K1305">
        <v>1.09748</v>
      </c>
      <c r="L1305">
        <v>288.26600000000002</v>
      </c>
      <c r="M1305">
        <v>-0.66047169999999999</v>
      </c>
      <c r="N1305">
        <v>0</v>
      </c>
      <c r="O1305">
        <v>-0.75071259999999995</v>
      </c>
      <c r="P1305">
        <v>-0.91910099999999995</v>
      </c>
      <c r="Q1305">
        <v>0.15549760000000001</v>
      </c>
      <c r="R1305">
        <v>-0.362041</v>
      </c>
      <c r="S1305">
        <v>-3.1553339999999999</v>
      </c>
      <c r="T1305">
        <v>-0.45479700000000001</v>
      </c>
      <c r="U1305">
        <v>-0.49945070000000003</v>
      </c>
      <c r="V1305">
        <v>0.45594020000000002</v>
      </c>
      <c r="W1305">
        <v>0.15398529999999999</v>
      </c>
      <c r="X1305">
        <v>0.87658829999999999</v>
      </c>
      <c r="Y1305">
        <v>0.6263263</v>
      </c>
      <c r="Z1305">
        <v>0.13920439999999901</v>
      </c>
      <c r="AA1305">
        <v>0.76703169999999898</v>
      </c>
      <c r="AB1305">
        <v>26</v>
      </c>
      <c r="AC1305">
        <v>-7.4212999999999996</v>
      </c>
      <c r="AD1305">
        <v>-1.097475662191</v>
      </c>
      <c r="AE1305">
        <v>-1.00849999999996</v>
      </c>
      <c r="AF1305">
        <v>4.8025641179084904</v>
      </c>
      <c r="AG1305">
        <v>-1.097475662191</v>
      </c>
      <c r="AH1305">
        <v>5.5402764240066604</v>
      </c>
      <c r="AI1305">
        <v>98.512918201596307</v>
      </c>
      <c r="AJ1305">
        <v>49.079763385054399</v>
      </c>
      <c r="AK1305">
        <v>7.4137532863002598</v>
      </c>
      <c r="AL1305">
        <v>81.142048206992101</v>
      </c>
      <c r="AM1305">
        <v>62.519688760833802</v>
      </c>
      <c r="AN1305">
        <v>0.99999999314450905</v>
      </c>
    </row>
    <row r="1306" spans="1:40" x14ac:dyDescent="0.25">
      <c r="A1306" t="str">
        <f>"20190312164246435"</f>
        <v>20190312164246435</v>
      </c>
      <c r="B1306" t="str">
        <f>"1552380166425134"</f>
        <v>1552380166425134</v>
      </c>
      <c r="C1306" t="s">
        <v>40</v>
      </c>
      <c r="D1306">
        <v>5.2308519999999996</v>
      </c>
      <c r="E1306">
        <v>0.59940869999999902</v>
      </c>
      <c r="F1306" t="s">
        <v>45</v>
      </c>
      <c r="G1306">
        <v>-205.6908</v>
      </c>
      <c r="H1306" s="1">
        <v>4.5189409999999997E-6</v>
      </c>
      <c r="I1306">
        <v>287.15210000000002</v>
      </c>
      <c r="J1306">
        <v>-198.07300000000001</v>
      </c>
      <c r="K1306">
        <v>1.0973329999999999</v>
      </c>
      <c r="L1306">
        <v>288.07929999999999</v>
      </c>
      <c r="M1306">
        <v>-0.67479359999999999</v>
      </c>
      <c r="N1306">
        <v>0</v>
      </c>
      <c r="O1306">
        <v>-0.73786419999999997</v>
      </c>
      <c r="P1306">
        <v>-0.92501679999999997</v>
      </c>
      <c r="Q1306">
        <v>0.15831500000000001</v>
      </c>
      <c r="R1306">
        <v>-0.34537050000000002</v>
      </c>
      <c r="S1306">
        <v>-3.161591</v>
      </c>
      <c r="T1306">
        <v>-0.44432929999999998</v>
      </c>
      <c r="U1306">
        <v>-0.45095829999999998</v>
      </c>
      <c r="V1306">
        <v>0.45470939999999999</v>
      </c>
      <c r="W1306">
        <v>0.15675739999999999</v>
      </c>
      <c r="X1306">
        <v>0.87673630000000002</v>
      </c>
      <c r="Y1306">
        <v>0.62383279999999997</v>
      </c>
      <c r="Z1306">
        <v>0.1348452</v>
      </c>
      <c r="AA1306">
        <v>0.76983729999999995</v>
      </c>
      <c r="AB1306">
        <v>25</v>
      </c>
      <c r="AC1306">
        <v>-7.6178000000000097</v>
      </c>
      <c r="AD1306">
        <v>-1.0973284810589901</v>
      </c>
      <c r="AE1306">
        <v>-0.92719999999997005</v>
      </c>
      <c r="AF1306">
        <v>4.8956568960911397</v>
      </c>
      <c r="AG1306">
        <v>-1.0973284810589901</v>
      </c>
      <c r="AH1306">
        <v>5.70848135468722</v>
      </c>
      <c r="AI1306">
        <v>98.301806164863606</v>
      </c>
      <c r="AJ1306">
        <v>49.383243634280497</v>
      </c>
      <c r="AK1306">
        <v>7.5998911581942901</v>
      </c>
      <c r="AL1306">
        <v>80.981266340204499</v>
      </c>
      <c r="AM1306">
        <v>62.5869967077385</v>
      </c>
      <c r="AN1306">
        <v>1.0000000303204</v>
      </c>
    </row>
    <row r="1307" spans="1:40" x14ac:dyDescent="0.25">
      <c r="A1307" t="str">
        <f>"20190312164246458"</f>
        <v>20190312164246458</v>
      </c>
      <c r="B1307" t="str">
        <f>"1552380166455389"</f>
        <v>1552380166455389</v>
      </c>
      <c r="C1307" t="s">
        <v>40</v>
      </c>
      <c r="D1307">
        <v>5.225295</v>
      </c>
      <c r="E1307">
        <v>0.59682270000000004</v>
      </c>
      <c r="F1307" t="s">
        <v>45</v>
      </c>
      <c r="G1307">
        <v>-206.13120000000001</v>
      </c>
      <c r="H1307" s="1">
        <v>4.7240619999999996E-6</v>
      </c>
      <c r="I1307">
        <v>287.03960000000001</v>
      </c>
      <c r="J1307">
        <v>-198.26169999999999</v>
      </c>
      <c r="K1307">
        <v>1.0972040000000001</v>
      </c>
      <c r="L1307">
        <v>287.90230000000003</v>
      </c>
      <c r="M1307">
        <v>-0.68857349999999995</v>
      </c>
      <c r="N1307">
        <v>0</v>
      </c>
      <c r="O1307">
        <v>-0.725020199999999</v>
      </c>
      <c r="P1307">
        <v>-0.93020659999999999</v>
      </c>
      <c r="Q1307">
        <v>0.1578746</v>
      </c>
      <c r="R1307">
        <v>-0.33134789999999997</v>
      </c>
      <c r="S1307">
        <v>-3.1644899999999998</v>
      </c>
      <c r="T1307">
        <v>-0.43092780000000003</v>
      </c>
      <c r="U1307">
        <v>-0.40829470000000001</v>
      </c>
      <c r="V1307">
        <v>0.45152789999999998</v>
      </c>
      <c r="W1307">
        <v>0.1563727</v>
      </c>
      <c r="X1307">
        <v>0.8784476</v>
      </c>
      <c r="Y1307">
        <v>0.62028030000000001</v>
      </c>
      <c r="Z1307">
        <v>0.12963359999999999</v>
      </c>
      <c r="AA1307">
        <v>0.773594</v>
      </c>
      <c r="AB1307">
        <v>25</v>
      </c>
      <c r="AC1307">
        <v>-7.8695000000000102</v>
      </c>
      <c r="AD1307">
        <v>-1.097199275938</v>
      </c>
      <c r="AE1307">
        <v>-0.86270000000001701</v>
      </c>
      <c r="AF1307">
        <v>5.0157133856926501</v>
      </c>
      <c r="AG1307">
        <v>-1.097199275938</v>
      </c>
      <c r="AH1307">
        <v>5.9309227576259698</v>
      </c>
      <c r="AI1307">
        <v>98.040184461089893</v>
      </c>
      <c r="AJ1307">
        <v>49.779181770874402</v>
      </c>
      <c r="AK1307">
        <v>7.8445568246689996</v>
      </c>
      <c r="AL1307">
        <v>81.003583205542498</v>
      </c>
      <c r="AM1307">
        <v>62.796535082823397</v>
      </c>
      <c r="AN1307">
        <v>1.0000000258647199</v>
      </c>
    </row>
    <row r="1308" spans="1:40" x14ac:dyDescent="0.25">
      <c r="A1308" t="str">
        <f>"20190312164246479"</f>
        <v>20190312164246479</v>
      </c>
      <c r="B1308" t="str">
        <f>"1552380166474910"</f>
        <v>1552380166474910</v>
      </c>
      <c r="C1308" t="s">
        <v>40</v>
      </c>
      <c r="D1308">
        <v>5.124072</v>
      </c>
      <c r="E1308">
        <v>0.59523110000000001</v>
      </c>
      <c r="F1308" t="s">
        <v>45</v>
      </c>
      <c r="G1308">
        <v>-206.40280000000001</v>
      </c>
      <c r="H1308" s="1">
        <v>4.853262E-6</v>
      </c>
      <c r="I1308">
        <v>286.93939999999998</v>
      </c>
      <c r="J1308">
        <v>-198.45099999999999</v>
      </c>
      <c r="K1308">
        <v>1.0970930000000001</v>
      </c>
      <c r="L1308">
        <v>287.73149999999998</v>
      </c>
      <c r="M1308">
        <v>-0.70201809999999998</v>
      </c>
      <c r="N1308">
        <v>0</v>
      </c>
      <c r="O1308">
        <v>-0.71200850000000004</v>
      </c>
      <c r="P1308">
        <v>-0.93510990000000005</v>
      </c>
      <c r="Q1308">
        <v>0.15586449999999999</v>
      </c>
      <c r="R1308">
        <v>-0.31823879999999999</v>
      </c>
      <c r="S1308">
        <v>-3.1641689999999998</v>
      </c>
      <c r="T1308">
        <v>-0.42644799999999999</v>
      </c>
      <c r="U1308">
        <v>-0.37423709999999999</v>
      </c>
      <c r="V1308">
        <v>0.44764470000000001</v>
      </c>
      <c r="W1308">
        <v>0.15446779999999999</v>
      </c>
      <c r="X1308">
        <v>0.88076900000000002</v>
      </c>
      <c r="Y1308">
        <v>0.61421099999999995</v>
      </c>
      <c r="Z1308">
        <v>0.12697220000000001</v>
      </c>
      <c r="AA1308">
        <v>0.77886</v>
      </c>
      <c r="AB1308">
        <v>25</v>
      </c>
      <c r="AC1308">
        <v>-7.9518000000000102</v>
      </c>
      <c r="AD1308">
        <v>-1.097088146738</v>
      </c>
      <c r="AE1308">
        <v>-0.79210000000000402</v>
      </c>
      <c r="AF1308">
        <v>5.0117667746531298</v>
      </c>
      <c r="AG1308">
        <v>-1.097088146738</v>
      </c>
      <c r="AH1308">
        <v>6.0332346256976397</v>
      </c>
      <c r="AI1308">
        <v>97.962609248034695</v>
      </c>
      <c r="AJ1308">
        <v>50.283819252377498</v>
      </c>
      <c r="AK1308">
        <v>7.9196798327929301</v>
      </c>
      <c r="AL1308">
        <v>81.114068780980006</v>
      </c>
      <c r="AM1308">
        <v>63.0583635560346</v>
      </c>
      <c r="AN1308">
        <v>1.00000005501796</v>
      </c>
    </row>
    <row r="1309" spans="1:40" x14ac:dyDescent="0.25">
      <c r="A1309" t="str">
        <f>"20190312164246502"</f>
        <v>20190312164246502</v>
      </c>
      <c r="B1309" t="str">
        <f>"1552380166495406"</f>
        <v>1552380166495406</v>
      </c>
      <c r="C1309" t="s">
        <v>40</v>
      </c>
      <c r="D1309">
        <v>5.1143929999999997</v>
      </c>
      <c r="E1309">
        <v>0.59431650000000003</v>
      </c>
      <c r="F1309" t="s">
        <v>45</v>
      </c>
      <c r="G1309">
        <v>-206.625</v>
      </c>
      <c r="H1309" s="1">
        <v>4.9583140000000004E-6</v>
      </c>
      <c r="I1309">
        <v>286.8648</v>
      </c>
      <c r="J1309">
        <v>-198.65119999999999</v>
      </c>
      <c r="K1309">
        <v>1.0969979999999999</v>
      </c>
      <c r="L1309">
        <v>287.55779999999999</v>
      </c>
      <c r="M1309">
        <v>-0.71581219999999901</v>
      </c>
      <c r="N1309">
        <v>0</v>
      </c>
      <c r="O1309">
        <v>-0.69813769999999997</v>
      </c>
      <c r="P1309">
        <v>-0.93972180000000005</v>
      </c>
      <c r="Q1309">
        <v>0.15425949999999999</v>
      </c>
      <c r="R1309">
        <v>-0.30516720000000003</v>
      </c>
      <c r="S1309">
        <v>-3.1647799999999999</v>
      </c>
      <c r="T1309">
        <v>-0.42476770000000003</v>
      </c>
      <c r="U1309">
        <v>-0.33557130000000002</v>
      </c>
      <c r="V1309">
        <v>0.4428453</v>
      </c>
      <c r="W1309">
        <v>0.15302550000000001</v>
      </c>
      <c r="X1309">
        <v>0.88344290000000003</v>
      </c>
      <c r="Y1309">
        <v>0.60847819999999997</v>
      </c>
      <c r="Z1309">
        <v>0.12503339999999999</v>
      </c>
      <c r="AA1309">
        <v>0.78365859999999998</v>
      </c>
      <c r="AB1309">
        <v>25</v>
      </c>
      <c r="AC1309">
        <v>-7.9738000000000104</v>
      </c>
      <c r="AD1309">
        <v>-1.0969930416860001</v>
      </c>
      <c r="AE1309">
        <v>-0.69299999999998296</v>
      </c>
      <c r="AF1309">
        <v>4.9777945004264801</v>
      </c>
      <c r="AG1309">
        <v>-1.0969930416860001</v>
      </c>
      <c r="AH1309">
        <v>6.0780479783877501</v>
      </c>
      <c r="AI1309">
        <v>97.948967166450899</v>
      </c>
      <c r="AJ1309">
        <v>50.6832391870931</v>
      </c>
      <c r="AK1309">
        <v>7.9324963945511602</v>
      </c>
      <c r="AL1309">
        <v>81.197700895431794</v>
      </c>
      <c r="AM1309">
        <v>63.376668573711697</v>
      </c>
      <c r="AN1309">
        <v>1.0000000604713699</v>
      </c>
    </row>
    <row r="1310" spans="1:40" x14ac:dyDescent="0.25">
      <c r="A1310" t="str">
        <f>"20190312164246523"</f>
        <v>20190312164246523</v>
      </c>
      <c r="B1310" t="str">
        <f>"1552380166514926"</f>
        <v>1552380166514926</v>
      </c>
      <c r="C1310" t="s">
        <v>40</v>
      </c>
      <c r="D1310">
        <v>4.9346829999999997</v>
      </c>
      <c r="E1310">
        <v>0.57641580000000003</v>
      </c>
      <c r="F1310" t="s">
        <v>45</v>
      </c>
      <c r="G1310">
        <v>-206.83170000000001</v>
      </c>
      <c r="H1310" s="1">
        <v>5.0556439999999999E-6</v>
      </c>
      <c r="I1310">
        <v>286.80020000000002</v>
      </c>
      <c r="J1310">
        <v>-198.84880000000001</v>
      </c>
      <c r="K1310">
        <v>1.0969409999999999</v>
      </c>
      <c r="L1310">
        <v>287.39339999999999</v>
      </c>
      <c r="M1310">
        <v>-0.72897049999999997</v>
      </c>
      <c r="N1310">
        <v>0</v>
      </c>
      <c r="O1310">
        <v>-0.6843861</v>
      </c>
      <c r="P1310">
        <v>-0.94407050000000003</v>
      </c>
      <c r="Q1310">
        <v>0.1526864</v>
      </c>
      <c r="R1310">
        <v>-0.2922633</v>
      </c>
      <c r="S1310">
        <v>-3.1669160000000001</v>
      </c>
      <c r="T1310">
        <v>-0.42467700000000003</v>
      </c>
      <c r="U1310">
        <v>-0.29327389999999998</v>
      </c>
      <c r="V1310">
        <v>0.43825989999999998</v>
      </c>
      <c r="W1310">
        <v>0.15163380000000001</v>
      </c>
      <c r="X1310">
        <v>0.88596580000000003</v>
      </c>
      <c r="Y1310">
        <v>0.60400889999999996</v>
      </c>
      <c r="Z1310">
        <v>0.1235588</v>
      </c>
      <c r="AA1310">
        <v>0.78734139999999997</v>
      </c>
      <c r="AB1310">
        <v>25</v>
      </c>
      <c r="AC1310">
        <v>-7.9828999999999999</v>
      </c>
      <c r="AD1310">
        <v>-1.0969359443559901</v>
      </c>
      <c r="AE1310">
        <v>-0.59319999999996698</v>
      </c>
      <c r="AF1310">
        <v>4.9387678927242398</v>
      </c>
      <c r="AG1310">
        <v>-1.0969359443559901</v>
      </c>
      <c r="AH1310">
        <v>6.1111979348478398</v>
      </c>
      <c r="AI1310">
        <v>97.947474269899899</v>
      </c>
      <c r="AJ1310">
        <v>51.056570876231802</v>
      </c>
      <c r="AK1310">
        <v>7.93356395090583</v>
      </c>
      <c r="AL1310">
        <v>81.278380231524395</v>
      </c>
      <c r="AM1310">
        <v>63.679820200849797</v>
      </c>
      <c r="AN1310">
        <v>0.99999997401004403</v>
      </c>
    </row>
    <row r="1311" spans="1:40" x14ac:dyDescent="0.25">
      <c r="A1311" t="str">
        <f>"20190312164246545"</f>
        <v>20190312164246545</v>
      </c>
      <c r="B1311" t="str">
        <f>"1552380166535422"</f>
        <v>1552380166535422</v>
      </c>
      <c r="C1311" t="s">
        <v>40</v>
      </c>
      <c r="D1311">
        <v>4.9527469999999996</v>
      </c>
      <c r="E1311">
        <v>0.5766618</v>
      </c>
      <c r="F1311" t="s">
        <v>45</v>
      </c>
      <c r="G1311">
        <v>-209.04150000000001</v>
      </c>
      <c r="H1311" s="1">
        <v>6.0907360000000001E-6</v>
      </c>
      <c r="I1311">
        <v>286.1694</v>
      </c>
      <c r="J1311">
        <v>-199.04419999999999</v>
      </c>
      <c r="K1311">
        <v>1.096908</v>
      </c>
      <c r="L1311">
        <v>287.23689999999999</v>
      </c>
      <c r="M1311">
        <v>-0.74154799999999998</v>
      </c>
      <c r="N1311">
        <v>0</v>
      </c>
      <c r="O1311">
        <v>-0.67073660000000002</v>
      </c>
      <c r="P1311">
        <v>-0.94799599999999995</v>
      </c>
      <c r="Q1311">
        <v>0.1501952</v>
      </c>
      <c r="R1311">
        <v>-0.28061570000000002</v>
      </c>
      <c r="S1311">
        <v>-3.1161500000000002</v>
      </c>
      <c r="T1311">
        <v>-0.3353584</v>
      </c>
      <c r="U1311">
        <v>-0.3742065</v>
      </c>
      <c r="V1311">
        <v>0.43289709999999998</v>
      </c>
      <c r="W1311">
        <v>0.14937819999999999</v>
      </c>
      <c r="X1311">
        <v>0.88898049999999995</v>
      </c>
      <c r="Y1311">
        <v>0.57123159999999995</v>
      </c>
      <c r="Z1311">
        <v>9.6250820000000001E-2</v>
      </c>
      <c r="AA1311">
        <v>0.81512589999999996</v>
      </c>
      <c r="AB1311">
        <v>25</v>
      </c>
      <c r="AC1311">
        <v>-9.9973000000000205</v>
      </c>
      <c r="AD1311">
        <v>-1.096901909264</v>
      </c>
      <c r="AE1311">
        <v>-1.0674999999999899</v>
      </c>
      <c r="AF1311">
        <v>5.8450283646716104</v>
      </c>
      <c r="AG1311">
        <v>-1.096901909264</v>
      </c>
      <c r="AH1311">
        <v>8.0347440140370399</v>
      </c>
      <c r="AI1311">
        <v>96.299839895851093</v>
      </c>
      <c r="AJ1311">
        <v>53.965266608978503</v>
      </c>
      <c r="AK1311">
        <v>9.9962323779245299</v>
      </c>
      <c r="AL1311">
        <v>81.409106257039198</v>
      </c>
      <c r="AM1311">
        <v>64.035814355942094</v>
      </c>
      <c r="AN1311">
        <v>1.00000003760194</v>
      </c>
    </row>
    <row r="1312" spans="1:40" x14ac:dyDescent="0.25">
      <c r="A1312" t="str">
        <f>"20190312164246567"</f>
        <v>20190312164246567</v>
      </c>
      <c r="B1312" t="str">
        <f>"1552380166555918"</f>
        <v>1552380166555918</v>
      </c>
      <c r="C1312" t="s">
        <v>40</v>
      </c>
      <c r="D1312">
        <v>5.1609689999999997</v>
      </c>
      <c r="E1312">
        <v>0.5757525</v>
      </c>
      <c r="F1312" t="s">
        <v>46</v>
      </c>
      <c r="G1312">
        <v>-210.12119999999999</v>
      </c>
      <c r="H1312" s="1">
        <v>-1.4722859999999999E-6</v>
      </c>
      <c r="I1312">
        <v>286.07</v>
      </c>
      <c r="J1312">
        <v>-199.24889999999999</v>
      </c>
      <c r="K1312">
        <v>1.0969</v>
      </c>
      <c r="L1312">
        <v>287.07920000000001</v>
      </c>
      <c r="M1312">
        <v>-0.75424309999999894</v>
      </c>
      <c r="N1312">
        <v>0</v>
      </c>
      <c r="O1312">
        <v>-0.65642789999999995</v>
      </c>
      <c r="P1312">
        <v>-0.95220850000000001</v>
      </c>
      <c r="Q1312">
        <v>0.1455436</v>
      </c>
      <c r="R1312">
        <v>-0.26854460000000002</v>
      </c>
      <c r="S1312">
        <v>-3.1162719999999999</v>
      </c>
      <c r="T1312">
        <v>-0.30859039999999999</v>
      </c>
      <c r="U1312">
        <v>-0.3282776</v>
      </c>
      <c r="V1312">
        <v>0.42748619999999998</v>
      </c>
      <c r="W1312">
        <v>0.14499519999999999</v>
      </c>
      <c r="X1312">
        <v>0.89231830000000001</v>
      </c>
      <c r="Y1312">
        <v>0.56847829999999999</v>
      </c>
      <c r="Z1312">
        <v>8.7603230000000004E-2</v>
      </c>
      <c r="AA1312">
        <v>0.81802089999999905</v>
      </c>
      <c r="AB1312">
        <v>25</v>
      </c>
      <c r="AC1312">
        <v>-10.8722999999999</v>
      </c>
      <c r="AD1312">
        <v>-1.096901472286</v>
      </c>
      <c r="AE1312">
        <v>-1.0092000000000201</v>
      </c>
      <c r="AF1312">
        <v>6.3126934683804299</v>
      </c>
      <c r="AG1312">
        <v>-1.096901472286</v>
      </c>
      <c r="AH1312">
        <v>8.7752407572786399</v>
      </c>
      <c r="AI1312">
        <v>95.794056680904603</v>
      </c>
      <c r="AJ1312">
        <v>54.269683679526302</v>
      </c>
      <c r="AK1312">
        <v>10.8654563647294</v>
      </c>
      <c r="AL1312">
        <v>81.662998800730705</v>
      </c>
      <c r="AM1312">
        <v>64.402146122679994</v>
      </c>
      <c r="AN1312">
        <v>1.0000000038641801</v>
      </c>
    </row>
    <row r="1313" spans="1:40" x14ac:dyDescent="0.25">
      <c r="A1313" t="str">
        <f>"20190312164246591"</f>
        <v>20190312164246591</v>
      </c>
      <c r="B1313" t="str">
        <f>"1552380166585198"</f>
        <v>1552380166585198</v>
      </c>
      <c r="C1313" t="s">
        <v>40</v>
      </c>
      <c r="D1313">
        <v>4.9848990000000004</v>
      </c>
      <c r="E1313">
        <v>0.57434619999999903</v>
      </c>
      <c r="F1313" t="s">
        <v>45</v>
      </c>
      <c r="G1313">
        <v>-209.4682</v>
      </c>
      <c r="H1313" s="1">
        <v>6.2849819999999999E-6</v>
      </c>
      <c r="I1313">
        <v>286.1123</v>
      </c>
      <c r="J1313">
        <v>-199.47380000000001</v>
      </c>
      <c r="K1313">
        <v>1.0969439999999999</v>
      </c>
      <c r="L1313">
        <v>286.91269999999997</v>
      </c>
      <c r="M1313">
        <v>-0.76761759999999901</v>
      </c>
      <c r="N1313">
        <v>0</v>
      </c>
      <c r="O1313">
        <v>-0.64073619999999898</v>
      </c>
      <c r="P1313">
        <v>-0.95648429999999995</v>
      </c>
      <c r="Q1313">
        <v>0.14104539999999999</v>
      </c>
      <c r="R1313">
        <v>-0.25542999999999999</v>
      </c>
      <c r="S1313">
        <v>-3.1185149999999999</v>
      </c>
      <c r="T1313">
        <v>-0.33472420000000003</v>
      </c>
      <c r="U1313">
        <v>-0.29504390000000003</v>
      </c>
      <c r="V1313">
        <v>0.42159530000000001</v>
      </c>
      <c r="W1313">
        <v>0.14082320000000001</v>
      </c>
      <c r="X1313">
        <v>0.89578250000000004</v>
      </c>
      <c r="Y1313">
        <v>0.55939459999999996</v>
      </c>
      <c r="Z1313">
        <v>9.3295719999999999E-2</v>
      </c>
      <c r="AA1313">
        <v>0.82363439999999999</v>
      </c>
      <c r="AB1313">
        <v>25</v>
      </c>
      <c r="AC1313">
        <v>-9.9943999999999793</v>
      </c>
      <c r="AD1313">
        <v>-1.096937715018</v>
      </c>
      <c r="AE1313">
        <v>-0.80039999999996703</v>
      </c>
      <c r="AF1313">
        <v>5.72152717540372</v>
      </c>
      <c r="AG1313">
        <v>-1.096937715018</v>
      </c>
      <c r="AH1313">
        <v>8.0888059511724393</v>
      </c>
      <c r="AI1313">
        <v>96.317742213785493</v>
      </c>
      <c r="AJ1313">
        <v>54.726744663823702</v>
      </c>
      <c r="AK1313">
        <v>9.9683462663189495</v>
      </c>
      <c r="AL1313">
        <v>81.904516164189701</v>
      </c>
      <c r="AM1313">
        <v>64.796227038467507</v>
      </c>
      <c r="AN1313">
        <v>1.00000002897328</v>
      </c>
    </row>
    <row r="1314" spans="1:40" x14ac:dyDescent="0.25">
      <c r="A1314" t="str">
        <f>"20190312164246613"</f>
        <v>20190312164246613</v>
      </c>
      <c r="B1314" t="str">
        <f>"1552380166605695"</f>
        <v>1552380166605695</v>
      </c>
      <c r="C1314" t="s">
        <v>40</v>
      </c>
      <c r="D1314">
        <v>4.9944759999999997</v>
      </c>
      <c r="E1314">
        <v>0.57266289999999997</v>
      </c>
      <c r="F1314" t="s">
        <v>45</v>
      </c>
      <c r="G1314">
        <v>-209.33150000000001</v>
      </c>
      <c r="H1314" s="1">
        <v>6.22632899999999E-6</v>
      </c>
      <c r="I1314">
        <v>286.08980000000003</v>
      </c>
      <c r="J1314">
        <v>-199.68940000000001</v>
      </c>
      <c r="K1314">
        <v>1.0970390000000001</v>
      </c>
      <c r="L1314">
        <v>286.7595</v>
      </c>
      <c r="M1314">
        <v>-0.77984919999999902</v>
      </c>
      <c r="N1314">
        <v>0</v>
      </c>
      <c r="O1314">
        <v>-0.6257914</v>
      </c>
      <c r="P1314">
        <v>-0.96022459999999998</v>
      </c>
      <c r="Q1314">
        <v>0.1368269</v>
      </c>
      <c r="R1314">
        <v>-0.2434086</v>
      </c>
      <c r="S1314">
        <v>-3.118134</v>
      </c>
      <c r="T1314">
        <v>-0.3469776</v>
      </c>
      <c r="U1314">
        <v>-0.26031490000000002</v>
      </c>
      <c r="V1314">
        <v>0.41572229999999999</v>
      </c>
      <c r="W1314">
        <v>0.13695579999999999</v>
      </c>
      <c r="X1314">
        <v>0.89912069999999999</v>
      </c>
      <c r="Y1314">
        <v>0.55214940000000001</v>
      </c>
      <c r="Z1314">
        <v>9.5151109999999997E-2</v>
      </c>
      <c r="AA1314">
        <v>0.82829789999999903</v>
      </c>
      <c r="AB1314">
        <v>25</v>
      </c>
      <c r="AC1314">
        <v>-9.6420999999999992</v>
      </c>
      <c r="AD1314">
        <v>-1.0970327736709999</v>
      </c>
      <c r="AE1314">
        <v>-0.66969999999997698</v>
      </c>
      <c r="AF1314">
        <v>5.4421758379791498</v>
      </c>
      <c r="AG1314">
        <v>-1.0970327736709999</v>
      </c>
      <c r="AH1314">
        <v>7.8383720704178899</v>
      </c>
      <c r="AI1314">
        <v>96.558163986810698</v>
      </c>
      <c r="AJ1314">
        <v>55.227781494649101</v>
      </c>
      <c r="AK1314">
        <v>9.6052504117435493</v>
      </c>
      <c r="AL1314">
        <v>82.128270251180993</v>
      </c>
      <c r="AM1314">
        <v>65.1858121547249</v>
      </c>
      <c r="AN1314">
        <v>0.99999997751970904</v>
      </c>
    </row>
    <row r="1315" spans="1:40" x14ac:dyDescent="0.25">
      <c r="A1315" t="str">
        <f>"20190312164246635"</f>
        <v>20190312164246635</v>
      </c>
      <c r="B1315" t="str">
        <f>"1552380166625002"</f>
        <v>1552380166625002</v>
      </c>
      <c r="C1315" t="s">
        <v>40</v>
      </c>
      <c r="D1315">
        <v>4.9976719999999997</v>
      </c>
      <c r="E1315">
        <v>0.57134719999999894</v>
      </c>
      <c r="F1315" t="s">
        <v>45</v>
      </c>
      <c r="G1315">
        <v>-209.24809999999999</v>
      </c>
      <c r="H1315" s="1">
        <v>6.1930870000000003E-6</v>
      </c>
      <c r="I1315">
        <v>286.04680000000002</v>
      </c>
      <c r="J1315">
        <v>-199.90389999999999</v>
      </c>
      <c r="K1315">
        <v>1.097183</v>
      </c>
      <c r="L1315">
        <v>286.61279999999999</v>
      </c>
      <c r="M1315">
        <v>-0.79143050000000004</v>
      </c>
      <c r="N1315">
        <v>0</v>
      </c>
      <c r="O1315">
        <v>-0.61107909999999999</v>
      </c>
      <c r="P1315">
        <v>-0.96355780000000002</v>
      </c>
      <c r="Q1315">
        <v>0.1339871</v>
      </c>
      <c r="R1315">
        <v>-0.23152539999999999</v>
      </c>
      <c r="S1315">
        <v>-3.116333</v>
      </c>
      <c r="T1315">
        <v>-0.35765580000000002</v>
      </c>
      <c r="U1315">
        <v>-0.23236080000000001</v>
      </c>
      <c r="V1315">
        <v>0.4100761</v>
      </c>
      <c r="W1315">
        <v>0.13448450000000001</v>
      </c>
      <c r="X1315">
        <v>0.90208180000000004</v>
      </c>
      <c r="Y1315">
        <v>0.5436105</v>
      </c>
      <c r="Z1315">
        <v>9.6405469999999993E-2</v>
      </c>
      <c r="AA1315">
        <v>0.83378269999999899</v>
      </c>
      <c r="AB1315">
        <v>25</v>
      </c>
      <c r="AC1315">
        <v>-9.3442000000000007</v>
      </c>
      <c r="AD1315">
        <v>-1.0971768069129999</v>
      </c>
      <c r="AE1315">
        <v>-0.56599999999997397</v>
      </c>
      <c r="AF1315">
        <v>5.1913632921147901</v>
      </c>
      <c r="AG1315">
        <v>-1.0971768069129999</v>
      </c>
      <c r="AH1315">
        <v>7.6371000919083603</v>
      </c>
      <c r="AI1315">
        <v>96.775725415535206</v>
      </c>
      <c r="AJ1315">
        <v>55.7938654594507</v>
      </c>
      <c r="AK1315">
        <v>9.2994272721588391</v>
      </c>
      <c r="AL1315">
        <v>82.271188155623506</v>
      </c>
      <c r="AM1315">
        <v>65.553996631177895</v>
      </c>
      <c r="AN1315">
        <v>1.00000003121134</v>
      </c>
    </row>
    <row r="1316" spans="1:40" x14ac:dyDescent="0.25">
      <c r="A1316" t="str">
        <f>"20190312164246658"</f>
        <v>20190312164246658</v>
      </c>
      <c r="B1316" t="str">
        <f>"1552380166645498"</f>
        <v>1552380166645498</v>
      </c>
      <c r="C1316" t="s">
        <v>40</v>
      </c>
      <c r="D1316">
        <v>5.0775860000000002</v>
      </c>
      <c r="E1316">
        <v>0.57019770000000003</v>
      </c>
      <c r="F1316" t="s">
        <v>45</v>
      </c>
      <c r="G1316">
        <v>-209.2732</v>
      </c>
      <c r="H1316" s="1">
        <v>6.2079780000000003E-6</v>
      </c>
      <c r="I1316">
        <v>286.00369999999998</v>
      </c>
      <c r="J1316">
        <v>-200.11930000000001</v>
      </c>
      <c r="K1316">
        <v>1.0973839999999999</v>
      </c>
      <c r="L1316">
        <v>286.47089999999997</v>
      </c>
      <c r="M1316">
        <v>-0.80245659999999996</v>
      </c>
      <c r="N1316">
        <v>0</v>
      </c>
      <c r="O1316">
        <v>-0.59652720000000004</v>
      </c>
      <c r="P1316">
        <v>-0.96652170000000004</v>
      </c>
      <c r="Q1316">
        <v>0.13234960000000001</v>
      </c>
      <c r="R1316">
        <v>-0.21981680000000001</v>
      </c>
      <c r="S1316">
        <v>-3.1155550000000001</v>
      </c>
      <c r="T1316">
        <v>-0.36484309999999998</v>
      </c>
      <c r="U1316">
        <v>-0.20254520000000001</v>
      </c>
      <c r="V1316">
        <v>0.40454400000000001</v>
      </c>
      <c r="W1316">
        <v>0.13323989999999999</v>
      </c>
      <c r="X1316">
        <v>0.90476040000000002</v>
      </c>
      <c r="Y1316">
        <v>0.53608250000000002</v>
      </c>
      <c r="Z1316">
        <v>9.6652950000000001E-2</v>
      </c>
      <c r="AA1316">
        <v>0.83861419999999998</v>
      </c>
      <c r="AB1316">
        <v>25</v>
      </c>
      <c r="AC1316">
        <v>-9.1538999999999895</v>
      </c>
      <c r="AD1316">
        <v>-1.09737779202199</v>
      </c>
      <c r="AE1316">
        <v>-0.46719999999999101</v>
      </c>
      <c r="AF1316">
        <v>5.0143230644620198</v>
      </c>
      <c r="AG1316">
        <v>-1.09737779202199</v>
      </c>
      <c r="AH1316">
        <v>7.5173839801813598</v>
      </c>
      <c r="AI1316">
        <v>96.924162930446698</v>
      </c>
      <c r="AJ1316">
        <v>56.295509990319403</v>
      </c>
      <c r="AK1316">
        <v>9.1026773928721791</v>
      </c>
      <c r="AL1316">
        <v>82.343146256155705</v>
      </c>
      <c r="AM1316">
        <v>65.909229058701897</v>
      </c>
      <c r="AN1316">
        <v>1.0000000501480799</v>
      </c>
    </row>
    <row r="1317" spans="1:40" x14ac:dyDescent="0.25">
      <c r="A1317" t="str">
        <f>"20190312164246679"</f>
        <v>20190312164246679</v>
      </c>
      <c r="B1317" t="str">
        <f>"1552380166675754"</f>
        <v>1552380166675754</v>
      </c>
      <c r="C1317" t="s">
        <v>40</v>
      </c>
      <c r="D1317">
        <v>5.0311450000000004</v>
      </c>
      <c r="E1317">
        <v>0.56878289999999998</v>
      </c>
      <c r="F1317" t="s">
        <v>45</v>
      </c>
      <c r="G1317">
        <v>-209.3125</v>
      </c>
      <c r="H1317" s="1">
        <v>6.2291950000000001E-6</v>
      </c>
      <c r="I1317">
        <v>285.9606</v>
      </c>
      <c r="J1317">
        <v>-200.33840000000001</v>
      </c>
      <c r="K1317">
        <v>1.097642</v>
      </c>
      <c r="L1317">
        <v>286.33170000000001</v>
      </c>
      <c r="M1317">
        <v>-0.81305709999999998</v>
      </c>
      <c r="N1317">
        <v>0</v>
      </c>
      <c r="O1317">
        <v>-0.58199780000000001</v>
      </c>
      <c r="P1317">
        <v>-0.9693927</v>
      </c>
      <c r="Q1317">
        <v>0.13069169999999999</v>
      </c>
      <c r="R1317">
        <v>-0.20784069999999999</v>
      </c>
      <c r="S1317">
        <v>-3.1155240000000002</v>
      </c>
      <c r="T1317">
        <v>-0.37189290000000003</v>
      </c>
      <c r="U1317">
        <v>-0.17294309999999999</v>
      </c>
      <c r="V1317">
        <v>0.3994394</v>
      </c>
      <c r="W1317">
        <v>0.131988299999999</v>
      </c>
      <c r="X1317">
        <v>0.90720849999999997</v>
      </c>
      <c r="Y1317">
        <v>0.52872399999999997</v>
      </c>
      <c r="Z1317">
        <v>9.6753000000000006E-2</v>
      </c>
      <c r="AA1317">
        <v>0.84326139999999905</v>
      </c>
      <c r="AB1317">
        <v>25</v>
      </c>
      <c r="AC1317">
        <v>-8.9740999999999893</v>
      </c>
      <c r="AD1317">
        <v>-1.097635770805</v>
      </c>
      <c r="AE1317">
        <v>-0.37110000000001198</v>
      </c>
      <c r="AF1317">
        <v>4.8492922091358803</v>
      </c>
      <c r="AG1317">
        <v>-1.097635770805</v>
      </c>
      <c r="AH1317">
        <v>7.4026932290933196</v>
      </c>
      <c r="AI1317">
        <v>97.070411078020399</v>
      </c>
      <c r="AJ1317">
        <v>56.772340769163499</v>
      </c>
      <c r="AK1317">
        <v>8.9174158958187402</v>
      </c>
      <c r="AL1317">
        <v>82.415496320657596</v>
      </c>
      <c r="AM1317">
        <v>66.236344539015604</v>
      </c>
      <c r="AN1317">
        <v>1.00000000404075</v>
      </c>
    </row>
    <row r="1318" spans="1:40" x14ac:dyDescent="0.25">
      <c r="A1318" t="str">
        <f>"20190312164246702"</f>
        <v>20190312164246702</v>
      </c>
      <c r="B1318" t="str">
        <f>"1552380166695274"</f>
        <v>1552380166695274</v>
      </c>
      <c r="C1318" t="s">
        <v>40</v>
      </c>
      <c r="D1318">
        <v>5.0392199999999896</v>
      </c>
      <c r="E1318">
        <v>0.56745389999999996</v>
      </c>
      <c r="F1318" t="s">
        <v>45</v>
      </c>
      <c r="G1318">
        <v>-209.3039</v>
      </c>
      <c r="H1318" s="1">
        <v>6.23019699999999E-6</v>
      </c>
      <c r="I1318">
        <v>285.9051</v>
      </c>
      <c r="J1318">
        <v>-200.55940000000001</v>
      </c>
      <c r="K1318">
        <v>1.097952</v>
      </c>
      <c r="L1318">
        <v>286.19639999999998</v>
      </c>
      <c r="M1318">
        <v>-0.82310859999999997</v>
      </c>
      <c r="N1318">
        <v>0</v>
      </c>
      <c r="O1318">
        <v>-0.56769510000000001</v>
      </c>
      <c r="P1318">
        <v>-0.97194780000000003</v>
      </c>
      <c r="Q1318">
        <v>0.128369699999999</v>
      </c>
      <c r="R1318">
        <v>-0.1970749</v>
      </c>
      <c r="S1318">
        <v>-3.1143649999999998</v>
      </c>
      <c r="T1318">
        <v>-0.3812913</v>
      </c>
      <c r="U1318">
        <v>-0.1481934</v>
      </c>
      <c r="V1318">
        <v>0.39362459999999999</v>
      </c>
      <c r="W1318">
        <v>0.1301215</v>
      </c>
      <c r="X1318">
        <v>0.91001540000000003</v>
      </c>
      <c r="Y1318">
        <v>0.5203468</v>
      </c>
      <c r="Z1318">
        <v>9.7334000000000004E-2</v>
      </c>
      <c r="AA1318">
        <v>0.84838989999999903</v>
      </c>
      <c r="AB1318">
        <v>25</v>
      </c>
      <c r="AC1318">
        <v>-8.7444999999999808</v>
      </c>
      <c r="AD1318">
        <v>-1.097945769803</v>
      </c>
      <c r="AE1318">
        <v>-0.29129999999997802</v>
      </c>
      <c r="AF1318">
        <v>4.6516927757218403</v>
      </c>
      <c r="AG1318">
        <v>-1.097945769803</v>
      </c>
      <c r="AH1318">
        <v>7.2496687998173401</v>
      </c>
      <c r="AI1318">
        <v>97.264032829142394</v>
      </c>
      <c r="AJ1318">
        <v>57.314060165427001</v>
      </c>
      <c r="AK1318">
        <v>8.6833995819711198</v>
      </c>
      <c r="AL1318">
        <v>82.523386454371405</v>
      </c>
      <c r="AM1318">
        <v>66.609240103924805</v>
      </c>
      <c r="AN1318">
        <v>0.99999997936228402</v>
      </c>
    </row>
    <row r="1319" spans="1:40" x14ac:dyDescent="0.25">
      <c r="A1319" t="str">
        <f>"20190312164246723"</f>
        <v>20190312164246723</v>
      </c>
      <c r="B1319" t="str">
        <f>"1552380166715770"</f>
        <v>1552380166715770</v>
      </c>
      <c r="C1319" t="s">
        <v>40</v>
      </c>
      <c r="D1319">
        <v>5.0549169999999997</v>
      </c>
      <c r="E1319">
        <v>0.56623290000000004</v>
      </c>
      <c r="F1319" t="s">
        <v>45</v>
      </c>
      <c r="G1319">
        <v>-209.31290000000001</v>
      </c>
      <c r="H1319" s="1">
        <v>6.2392039999999996E-6</v>
      </c>
      <c r="I1319">
        <v>285.84780000000001</v>
      </c>
      <c r="J1319">
        <v>-200.77959999999999</v>
      </c>
      <c r="K1319">
        <v>1.098293</v>
      </c>
      <c r="L1319">
        <v>286.06630000000001</v>
      </c>
      <c r="M1319">
        <v>-0.83249209999999996</v>
      </c>
      <c r="N1319">
        <v>0</v>
      </c>
      <c r="O1319">
        <v>-0.55384529999999998</v>
      </c>
      <c r="P1319">
        <v>-0.97394480000000005</v>
      </c>
      <c r="Q1319">
        <v>0.1269728</v>
      </c>
      <c r="R1319">
        <v>-0.18790799999999999</v>
      </c>
      <c r="S1319">
        <v>-3.1129910000000001</v>
      </c>
      <c r="T1319">
        <v>-0.39046259999999999</v>
      </c>
      <c r="U1319">
        <v>-0.1239624</v>
      </c>
      <c r="V1319">
        <v>0.38689960000000001</v>
      </c>
      <c r="W1319">
        <v>0.12921469999999999</v>
      </c>
      <c r="X1319">
        <v>0.91302369999999999</v>
      </c>
      <c r="Y1319">
        <v>0.51243779999999906</v>
      </c>
      <c r="Z1319">
        <v>9.7819429999999999E-2</v>
      </c>
      <c r="AA1319">
        <v>0.85313479999999997</v>
      </c>
      <c r="AB1319">
        <v>25</v>
      </c>
      <c r="AC1319">
        <v>-8.5333000000000201</v>
      </c>
      <c r="AD1319">
        <v>-1.0982867607960001</v>
      </c>
      <c r="AE1319">
        <v>-0.218500000000005</v>
      </c>
      <c r="AF1319">
        <v>4.4707013207210196</v>
      </c>
      <c r="AG1319">
        <v>-1.0982867607960001</v>
      </c>
      <c r="AH1319">
        <v>7.1080182283849496</v>
      </c>
      <c r="AI1319">
        <v>97.451630837312194</v>
      </c>
      <c r="AJ1319">
        <v>57.831505719050703</v>
      </c>
      <c r="AK1319">
        <v>8.4686083415806408</v>
      </c>
      <c r="AL1319">
        <v>82.575784857955796</v>
      </c>
      <c r="AM1319">
        <v>67.034888885083902</v>
      </c>
      <c r="AN1319">
        <v>1.0000000079689699</v>
      </c>
    </row>
    <row r="1320" spans="1:40" x14ac:dyDescent="0.25">
      <c r="A1320" t="str">
        <f>"20190312164246747"</f>
        <v>20190312164246747</v>
      </c>
      <c r="B1320" t="str">
        <f>"1552380166735290"</f>
        <v>1552380166735290</v>
      </c>
      <c r="C1320" t="s">
        <v>40</v>
      </c>
      <c r="D1320">
        <v>5.3058100000000001</v>
      </c>
      <c r="E1320">
        <v>0.56577959999999905</v>
      </c>
      <c r="F1320" t="s">
        <v>45</v>
      </c>
      <c r="G1320">
        <v>-209.44059999999999</v>
      </c>
      <c r="H1320" s="1">
        <v>6.3017129999999999E-6</v>
      </c>
      <c r="I1320">
        <v>285.78059999999999</v>
      </c>
      <c r="J1320">
        <v>-201.0163</v>
      </c>
      <c r="K1320">
        <v>1.098638</v>
      </c>
      <c r="L1320">
        <v>285.93150000000003</v>
      </c>
      <c r="M1320">
        <v>-0.84196539999999997</v>
      </c>
      <c r="N1320">
        <v>0</v>
      </c>
      <c r="O1320">
        <v>-0.53933769999999903</v>
      </c>
      <c r="P1320">
        <v>-0.97633000000000003</v>
      </c>
      <c r="Q1320">
        <v>0.12590799999999999</v>
      </c>
      <c r="R1320">
        <v>-0.1758604</v>
      </c>
      <c r="S1320">
        <v>-3.1118929999999998</v>
      </c>
      <c r="T1320">
        <v>-0.39461420000000003</v>
      </c>
      <c r="U1320">
        <v>-0.10266110000000001</v>
      </c>
      <c r="V1320">
        <v>0.38227680000000003</v>
      </c>
      <c r="W1320">
        <v>0.12854889999999999</v>
      </c>
      <c r="X1320">
        <v>0.91506259999999995</v>
      </c>
      <c r="Y1320">
        <v>0.50340289999999999</v>
      </c>
      <c r="Z1320">
        <v>9.6811179999999997E-2</v>
      </c>
      <c r="AA1320">
        <v>0.85861119999999902</v>
      </c>
      <c r="AB1320">
        <v>25</v>
      </c>
      <c r="AC1320">
        <v>-8.4242999999999792</v>
      </c>
      <c r="AD1320">
        <v>-1.0986316982869999</v>
      </c>
      <c r="AE1320">
        <v>-0.15090000000003501</v>
      </c>
      <c r="AF1320">
        <v>4.3431107429410796</v>
      </c>
      <c r="AG1320">
        <v>-1.0986316982869999</v>
      </c>
      <c r="AH1320">
        <v>7.05515443185622</v>
      </c>
      <c r="AI1320">
        <v>97.553818482127497</v>
      </c>
      <c r="AJ1320">
        <v>58.383796952557702</v>
      </c>
      <c r="AK1320">
        <v>8.3573205389808791</v>
      </c>
      <c r="AL1320">
        <v>82.6142529095426</v>
      </c>
      <c r="AM1320">
        <v>67.326765932865001</v>
      </c>
      <c r="AN1320">
        <v>0.99999996671410396</v>
      </c>
    </row>
    <row r="1321" spans="1:40" x14ac:dyDescent="0.25">
      <c r="A1321" t="str">
        <f>"20190312164246767"</f>
        <v>20190312164246767</v>
      </c>
      <c r="B1321" t="str">
        <f>"1552380166755786"</f>
        <v>1552380166755786</v>
      </c>
      <c r="C1321" t="s">
        <v>40</v>
      </c>
      <c r="D1321">
        <v>4.9590709999999998</v>
      </c>
      <c r="E1321">
        <v>0.56549079999999996</v>
      </c>
      <c r="F1321" t="s">
        <v>45</v>
      </c>
      <c r="G1321">
        <v>-209.55029999999999</v>
      </c>
      <c r="H1321" s="1">
        <v>6.3541919999999999E-6</v>
      </c>
      <c r="I1321">
        <v>285.73680000000002</v>
      </c>
      <c r="J1321">
        <v>-201.22659999999999</v>
      </c>
      <c r="K1321">
        <v>1.0989279999999999</v>
      </c>
      <c r="L1321">
        <v>285.81540000000001</v>
      </c>
      <c r="M1321">
        <v>-0.84988469999999905</v>
      </c>
      <c r="N1321">
        <v>0</v>
      </c>
      <c r="O1321">
        <v>-0.52677269999999998</v>
      </c>
      <c r="P1321">
        <v>-0.97799579999999997</v>
      </c>
      <c r="Q1321">
        <v>0.1242704</v>
      </c>
      <c r="R1321">
        <v>-0.167574799999999</v>
      </c>
      <c r="S1321">
        <v>-3.1116329999999999</v>
      </c>
      <c r="T1321">
        <v>-0.4005783</v>
      </c>
      <c r="U1321">
        <v>-7.0983889999999994E-2</v>
      </c>
      <c r="V1321">
        <v>0.37639840000000002</v>
      </c>
      <c r="W1321">
        <v>0.12729949999999901</v>
      </c>
      <c r="X1321">
        <v>0.91767049999999994</v>
      </c>
      <c r="Y1321">
        <v>0.49922109999999897</v>
      </c>
      <c r="Z1321">
        <v>9.668301E-2</v>
      </c>
      <c r="AA1321">
        <v>0.86106369999999899</v>
      </c>
      <c r="AB1321">
        <v>25</v>
      </c>
      <c r="AC1321">
        <v>-8.3237000000000005</v>
      </c>
      <c r="AD1321">
        <v>-1.098921645808</v>
      </c>
      <c r="AE1321">
        <v>-7.8599999999994397E-2</v>
      </c>
      <c r="AF1321">
        <v>4.2443696026830997</v>
      </c>
      <c r="AG1321">
        <v>-1.098921645808</v>
      </c>
      <c r="AH1321">
        <v>6.9944216718496603</v>
      </c>
      <c r="AI1321">
        <v>97.650079506011394</v>
      </c>
      <c r="AJ1321">
        <v>58.749698605846703</v>
      </c>
      <c r="AK1321">
        <v>8.2549522488895093</v>
      </c>
      <c r="AL1321">
        <v>82.686431768161398</v>
      </c>
      <c r="AM1321">
        <v>67.698166860716398</v>
      </c>
      <c r="AN1321">
        <v>1.0000000323965199</v>
      </c>
    </row>
    <row r="1322" spans="1:40" x14ac:dyDescent="0.25">
      <c r="A1322" t="str">
        <f>"20190312164246790"</f>
        <v>20190312164246790</v>
      </c>
      <c r="B1322" t="str">
        <f>"1552380166785067"</f>
        <v>1552380166785067</v>
      </c>
      <c r="C1322" t="s">
        <v>40</v>
      </c>
      <c r="D1322">
        <v>5.3917599999999997</v>
      </c>
      <c r="E1322">
        <v>0.53981279999999998</v>
      </c>
      <c r="F1322" t="s">
        <v>45</v>
      </c>
      <c r="G1322">
        <v>-209.58199999999999</v>
      </c>
      <c r="H1322" s="1">
        <v>6.3725749999999997E-6</v>
      </c>
      <c r="I1322">
        <v>285.68729999999999</v>
      </c>
      <c r="J1322">
        <v>-201.46459999999999</v>
      </c>
      <c r="K1322">
        <v>1.0992489999999999</v>
      </c>
      <c r="L1322">
        <v>285.6884</v>
      </c>
      <c r="M1322">
        <v>-0.85828869999999902</v>
      </c>
      <c r="N1322">
        <v>0</v>
      </c>
      <c r="O1322">
        <v>-0.5129686</v>
      </c>
      <c r="P1322">
        <v>-0.97971629999999998</v>
      </c>
      <c r="Q1322">
        <v>0.12153220000000001</v>
      </c>
      <c r="R1322">
        <v>-0.1593299</v>
      </c>
      <c r="S1322">
        <v>-3.1113430000000002</v>
      </c>
      <c r="T1322">
        <v>-0.40921000000000002</v>
      </c>
      <c r="U1322">
        <v>-4.769897E-2</v>
      </c>
      <c r="V1322">
        <v>0.36927670000000001</v>
      </c>
      <c r="W1322">
        <v>0.12499250000000001</v>
      </c>
      <c r="X1322">
        <v>0.92087540000000001</v>
      </c>
      <c r="Y1322">
        <v>0.49150859999999902</v>
      </c>
      <c r="Z1322">
        <v>9.6726800000000002E-2</v>
      </c>
      <c r="AA1322">
        <v>0.86548440000000004</v>
      </c>
      <c r="AB1322">
        <v>25</v>
      </c>
      <c r="AC1322">
        <v>-8.1173999999999999</v>
      </c>
      <c r="AD1322">
        <v>-1.099242627425</v>
      </c>
      <c r="AE1322">
        <v>-1.1000000000080899E-3</v>
      </c>
      <c r="AF1322">
        <v>4.0884766124756</v>
      </c>
      <c r="AG1322">
        <v>-1.099242627425</v>
      </c>
      <c r="AH1322">
        <v>6.8428620349467097</v>
      </c>
      <c r="AI1322">
        <v>97.851645417442199</v>
      </c>
      <c r="AJ1322">
        <v>59.142506214879099</v>
      </c>
      <c r="AK1322">
        <v>8.0466599402499401</v>
      </c>
      <c r="AL1322">
        <v>82.819677003647101</v>
      </c>
      <c r="AM1322">
        <v>68.148911017311903</v>
      </c>
      <c r="AN1322">
        <v>0.99999995427214805</v>
      </c>
    </row>
    <row r="1323" spans="1:40" x14ac:dyDescent="0.25">
      <c r="A1323" t="str">
        <f>"20190312164246813"</f>
        <v>20190312164246813</v>
      </c>
      <c r="B1323" t="str">
        <f>"1552380166805562"</f>
        <v>1552380166805562</v>
      </c>
      <c r="C1323" t="s">
        <v>40</v>
      </c>
      <c r="D1323">
        <v>5.0165240000000004</v>
      </c>
      <c r="E1323">
        <v>0.53934599999999999</v>
      </c>
      <c r="F1323" t="s">
        <v>46</v>
      </c>
      <c r="G1323">
        <v>-211.18029999999999</v>
      </c>
      <c r="H1323" s="1">
        <v>-9.0868589999999997E-7</v>
      </c>
      <c r="I1323">
        <v>285.00659999999999</v>
      </c>
      <c r="J1323">
        <v>-201.69890000000001</v>
      </c>
      <c r="K1323">
        <v>1.099567</v>
      </c>
      <c r="L1323">
        <v>285.56760000000003</v>
      </c>
      <c r="M1323">
        <v>-0.86601530000000004</v>
      </c>
      <c r="N1323">
        <v>0</v>
      </c>
      <c r="O1323">
        <v>-0.49981680000000001</v>
      </c>
      <c r="P1323">
        <v>-0.98117860000000001</v>
      </c>
      <c r="Q1323">
        <v>0.1192235</v>
      </c>
      <c r="R1323">
        <v>-0.15190390000000001</v>
      </c>
      <c r="S1323">
        <v>-3.0701749999999999</v>
      </c>
      <c r="T1323">
        <v>-0.3473639</v>
      </c>
      <c r="U1323">
        <v>-0.21545410000000001</v>
      </c>
      <c r="V1323">
        <v>0.3621665</v>
      </c>
      <c r="W1323">
        <v>0.1230932</v>
      </c>
      <c r="X1323">
        <v>0.92394989999999999</v>
      </c>
      <c r="Y1323">
        <v>0.43237019999999998</v>
      </c>
      <c r="Z1323">
        <v>7.8391119999999995E-2</v>
      </c>
      <c r="AA1323">
        <v>0.89828220000000003</v>
      </c>
      <c r="AB1323">
        <v>25</v>
      </c>
      <c r="AC1323">
        <v>-9.4813999999999794</v>
      </c>
      <c r="AD1323">
        <v>-1.0995679086859</v>
      </c>
      <c r="AE1323">
        <v>-0.56100000000003503</v>
      </c>
      <c r="AF1323">
        <v>4.1973014574713199</v>
      </c>
      <c r="AG1323">
        <v>-1.0995679086859</v>
      </c>
      <c r="AH1323">
        <v>8.3799753137761606</v>
      </c>
      <c r="AI1323">
        <v>96.691361405992893</v>
      </c>
      <c r="AJ1323">
        <v>63.394957908476599</v>
      </c>
      <c r="AK1323">
        <v>9.4366506436447395</v>
      </c>
      <c r="AL1323">
        <v>82.929345954733705</v>
      </c>
      <c r="AM1323">
        <v>68.595995641701293</v>
      </c>
      <c r="AN1323">
        <v>0.99999996365924904</v>
      </c>
    </row>
    <row r="1324" spans="1:40" x14ac:dyDescent="0.25">
      <c r="A1324" t="str">
        <f>"20190312164246837"</f>
        <v>20190312164246837</v>
      </c>
      <c r="B1324" t="str">
        <f>"1552380166825083"</f>
        <v>1552380166825083</v>
      </c>
      <c r="C1324" t="s">
        <v>40</v>
      </c>
      <c r="D1324">
        <v>5.0069419999999996</v>
      </c>
      <c r="E1324">
        <v>0.53915880000000005</v>
      </c>
      <c r="F1324" t="s">
        <v>46</v>
      </c>
      <c r="G1324">
        <v>-211.60230000000001</v>
      </c>
      <c r="H1324" s="1">
        <v>-6.8411410000000005E-7</v>
      </c>
      <c r="I1324">
        <v>284.94760000000002</v>
      </c>
      <c r="J1324">
        <v>-201.9486</v>
      </c>
      <c r="K1324">
        <v>1.0999110000000001</v>
      </c>
      <c r="L1324">
        <v>285.44310000000002</v>
      </c>
      <c r="M1324">
        <v>-0.87370740000000002</v>
      </c>
      <c r="N1324">
        <v>0</v>
      </c>
      <c r="O1324">
        <v>-0.48624909999999999</v>
      </c>
      <c r="P1324">
        <v>-0.98267990000000005</v>
      </c>
      <c r="Q1324">
        <v>0.1175112</v>
      </c>
      <c r="R1324">
        <v>-0.14328869999999999</v>
      </c>
      <c r="S1324">
        <v>-3.0692140000000001</v>
      </c>
      <c r="T1324">
        <v>-0.3407712</v>
      </c>
      <c r="U1324">
        <v>-0.1921387</v>
      </c>
      <c r="V1324">
        <v>0.355796</v>
      </c>
      <c r="W1324">
        <v>0.12176670000000001</v>
      </c>
      <c r="X1324">
        <v>0.926597</v>
      </c>
      <c r="Y1324">
        <v>0.42541489999999998</v>
      </c>
      <c r="Z1324">
        <v>7.5279689999999996E-2</v>
      </c>
      <c r="AA1324">
        <v>0.90186200000000005</v>
      </c>
      <c r="AB1324">
        <v>25</v>
      </c>
      <c r="AC1324">
        <v>-9.6537000000000095</v>
      </c>
      <c r="AD1324">
        <v>-1.0999116841140999</v>
      </c>
      <c r="AE1324">
        <v>-0.495499999999992</v>
      </c>
      <c r="AF1324">
        <v>4.2071293767423903</v>
      </c>
      <c r="AG1324">
        <v>-1.0999116841140999</v>
      </c>
      <c r="AH1324">
        <v>8.5654006582388291</v>
      </c>
      <c r="AI1324">
        <v>96.574913551147205</v>
      </c>
      <c r="AJ1324">
        <v>63.8407823852855</v>
      </c>
      <c r="AK1324">
        <v>9.6060310087807697</v>
      </c>
      <c r="AL1324">
        <v>83.0059248921158</v>
      </c>
      <c r="AM1324">
        <v>68.994140043023606</v>
      </c>
      <c r="AN1324">
        <v>0.99999996162694405</v>
      </c>
    </row>
    <row r="1325" spans="1:40" x14ac:dyDescent="0.25">
      <c r="A1325" t="str">
        <f>"20190312164246880"</f>
        <v>20190312164246880</v>
      </c>
      <c r="B1325" t="str">
        <f>"1552380166875834"</f>
        <v>1552380166875834</v>
      </c>
      <c r="C1325" t="s">
        <v>40</v>
      </c>
      <c r="D1325">
        <v>5.1587310000000004</v>
      </c>
      <c r="E1325">
        <v>0.53719479999999997</v>
      </c>
      <c r="F1325" t="s">
        <v>46</v>
      </c>
      <c r="G1325">
        <v>-212.05420000000001</v>
      </c>
      <c r="H1325" s="1">
        <v>-4.4362359999999898E-7</v>
      </c>
      <c r="I1325">
        <v>284.8922</v>
      </c>
      <c r="J1325">
        <v>-202.4014</v>
      </c>
      <c r="K1325">
        <v>1.100565</v>
      </c>
      <c r="L1325">
        <v>285.22809999999998</v>
      </c>
      <c r="M1325">
        <v>-0.88633869999999904</v>
      </c>
      <c r="N1325">
        <v>0</v>
      </c>
      <c r="O1325">
        <v>-0.46283099999999999</v>
      </c>
      <c r="P1325">
        <v>-0.98417589999999999</v>
      </c>
      <c r="Q1325">
        <v>0.1163608</v>
      </c>
      <c r="R1325">
        <v>-0.13363459999999999</v>
      </c>
      <c r="S1325">
        <v>-3.0684049999999998</v>
      </c>
      <c r="T1325">
        <v>-0.33396999999999999</v>
      </c>
      <c r="U1325">
        <v>-0.16726679999999999</v>
      </c>
      <c r="V1325">
        <v>0.34000399999999997</v>
      </c>
      <c r="W1325">
        <v>0.12142260000000001</v>
      </c>
      <c r="X1325">
        <v>0.9325523</v>
      </c>
      <c r="Y1325">
        <v>0.40900189999999997</v>
      </c>
      <c r="Z1325">
        <v>7.0699869999999998E-2</v>
      </c>
      <c r="AA1325">
        <v>0.9097906</v>
      </c>
      <c r="AB1325">
        <v>25</v>
      </c>
      <c r="AC1325">
        <v>-9.6528000000000098</v>
      </c>
      <c r="AD1325">
        <v>-1.1005654436236001</v>
      </c>
      <c r="AE1325">
        <v>-0.33589999999998099</v>
      </c>
      <c r="AF1325">
        <v>4.1168405965945398</v>
      </c>
      <c r="AG1325">
        <v>-1.1005654436236001</v>
      </c>
      <c r="AH1325">
        <v>8.6002841392007596</v>
      </c>
      <c r="AI1325">
        <v>96.584263645728996</v>
      </c>
      <c r="AJ1325">
        <v>64.420187288756495</v>
      </c>
      <c r="AK1325">
        <v>9.5981512838908394</v>
      </c>
      <c r="AL1325">
        <v>83.025787885246203</v>
      </c>
      <c r="AM1325">
        <v>69.968392189617205</v>
      </c>
      <c r="AN1325">
        <v>0.99999998002102397</v>
      </c>
    </row>
    <row r="1326" spans="1:40" x14ac:dyDescent="0.25">
      <c r="A1326" t="str">
        <f>"20190312164246903"</f>
        <v>20190312164246903</v>
      </c>
      <c r="B1326" t="str">
        <f>"1552380166895355"</f>
        <v>1552380166895355</v>
      </c>
      <c r="C1326" t="s">
        <v>40</v>
      </c>
      <c r="D1326">
        <v>5.1644649999999999</v>
      </c>
      <c r="E1326">
        <v>0.53629309999999997</v>
      </c>
      <c r="F1326" t="s">
        <v>46</v>
      </c>
      <c r="G1326">
        <v>-212.66239999999999</v>
      </c>
      <c r="H1326" s="1">
        <v>-1.199728E-7</v>
      </c>
      <c r="I1326">
        <v>284.71940000000001</v>
      </c>
      <c r="J1326">
        <v>-202.63939999999999</v>
      </c>
      <c r="K1326">
        <v>1.1008899999999999</v>
      </c>
      <c r="L1326">
        <v>285.12009999999998</v>
      </c>
      <c r="M1326">
        <v>-0.89239460000000004</v>
      </c>
      <c r="N1326">
        <v>0</v>
      </c>
      <c r="O1326">
        <v>-0.45104689999999997</v>
      </c>
      <c r="P1326">
        <v>-0.98470469999999999</v>
      </c>
      <c r="Q1326">
        <v>0.1162518</v>
      </c>
      <c r="R1326">
        <v>-0.12977929999999999</v>
      </c>
      <c r="S1326">
        <v>-3.0664669999999998</v>
      </c>
      <c r="T1326">
        <v>-0.32889760000000001</v>
      </c>
      <c r="U1326">
        <v>-0.15200810000000001</v>
      </c>
      <c r="V1326">
        <v>0.33118249999999999</v>
      </c>
      <c r="W1326">
        <v>0.1217109</v>
      </c>
      <c r="X1326">
        <v>0.93568399999999996</v>
      </c>
      <c r="Y1326">
        <v>0.40164440000000001</v>
      </c>
      <c r="Z1326">
        <v>6.8172839999999998E-2</v>
      </c>
      <c r="AA1326">
        <v>0.91325469999999997</v>
      </c>
      <c r="AB1326">
        <v>25</v>
      </c>
      <c r="AC1326">
        <v>-10.0229999999999</v>
      </c>
      <c r="AD1326">
        <v>-1.1008901199727901</v>
      </c>
      <c r="AE1326">
        <v>-0.40069999999997202</v>
      </c>
      <c r="AF1326">
        <v>4.11409972196443</v>
      </c>
      <c r="AG1326">
        <v>-1.1008901199727901</v>
      </c>
      <c r="AH1326">
        <v>9.0174528183759506</v>
      </c>
      <c r="AI1326">
        <v>96.337900061336498</v>
      </c>
      <c r="AJ1326">
        <v>65.475752061915301</v>
      </c>
      <c r="AK1326">
        <v>9.9725739360587404</v>
      </c>
      <c r="AL1326">
        <v>83.009146010958602</v>
      </c>
      <c r="AM1326">
        <v>70.508737918317706</v>
      </c>
      <c r="AN1326">
        <v>0.99999996967052895</v>
      </c>
    </row>
    <row r="1327" spans="1:40" x14ac:dyDescent="0.25">
      <c r="A1327" t="str">
        <f>"20190312164246923"</f>
        <v>20190312164246923</v>
      </c>
      <c r="B1327" t="str">
        <f>"1552380166915850"</f>
        <v>1552380166915850</v>
      </c>
      <c r="C1327" t="s">
        <v>40</v>
      </c>
      <c r="D1327">
        <v>5.181076</v>
      </c>
      <c r="E1327">
        <v>0.53593990000000002</v>
      </c>
      <c r="F1327" t="s">
        <v>46</v>
      </c>
      <c r="G1327">
        <v>-212.94470000000001</v>
      </c>
      <c r="H1327" s="1">
        <v>3.0253889999999999E-8</v>
      </c>
      <c r="I1327">
        <v>284.64019999999999</v>
      </c>
      <c r="J1327">
        <v>-202.86789999999999</v>
      </c>
      <c r="K1327">
        <v>1.101175</v>
      </c>
      <c r="L1327">
        <v>285.01979999999998</v>
      </c>
      <c r="M1327">
        <v>-0.89785559999999998</v>
      </c>
      <c r="N1327">
        <v>0</v>
      </c>
      <c r="O1327">
        <v>-0.44007849999999998</v>
      </c>
      <c r="P1327">
        <v>-0.98519900000000005</v>
      </c>
      <c r="Q1327">
        <v>0.11707330000000001</v>
      </c>
      <c r="R1327">
        <v>-0.1252075</v>
      </c>
      <c r="S1327">
        <v>-3.0664370000000001</v>
      </c>
      <c r="T1327">
        <v>-0.32757989999999998</v>
      </c>
      <c r="U1327">
        <v>-0.14279169999999999</v>
      </c>
      <c r="V1327">
        <v>0.32393070000000002</v>
      </c>
      <c r="W1327">
        <v>0.1228576</v>
      </c>
      <c r="X1327">
        <v>0.93806979999999995</v>
      </c>
      <c r="Y1327">
        <v>0.39330179999999998</v>
      </c>
      <c r="Z1327">
        <v>6.6413340000000001E-2</v>
      </c>
      <c r="AA1327">
        <v>0.91700760000000003</v>
      </c>
      <c r="AB1327">
        <v>25</v>
      </c>
      <c r="AC1327">
        <v>-10.0768</v>
      </c>
      <c r="AD1327">
        <v>-1.10117496974611</v>
      </c>
      <c r="AE1327">
        <v>-0.37959999999998201</v>
      </c>
      <c r="AF1327">
        <v>4.0458918004915301</v>
      </c>
      <c r="AG1327">
        <v>-1.10117496974611</v>
      </c>
      <c r="AH1327">
        <v>9.10682608331315</v>
      </c>
      <c r="AI1327">
        <v>96.305771249972295</v>
      </c>
      <c r="AJ1327">
        <v>66.045846411831604</v>
      </c>
      <c r="AK1327">
        <v>10.025772194050299</v>
      </c>
      <c r="AL1327">
        <v>82.942948477264395</v>
      </c>
      <c r="AM1327">
        <v>70.949377230963194</v>
      </c>
      <c r="AN1327">
        <v>1.00000001897614</v>
      </c>
    </row>
    <row r="1328" spans="1:40" x14ac:dyDescent="0.25">
      <c r="A1328" t="str">
        <f>"20190312164246946"</f>
        <v>20190312164246946</v>
      </c>
      <c r="B1328" t="str">
        <f>"1552380166935370"</f>
        <v>1552380166935370</v>
      </c>
      <c r="C1328" t="s">
        <v>40</v>
      </c>
      <c r="D1328">
        <v>4.9700290000000003</v>
      </c>
      <c r="E1328">
        <v>0.52432069999999997</v>
      </c>
      <c r="F1328" t="s">
        <v>46</v>
      </c>
      <c r="G1328">
        <v>-213.2996</v>
      </c>
      <c r="H1328" s="1">
        <v>2.190689E-7</v>
      </c>
      <c r="I1328">
        <v>284.57619999999997</v>
      </c>
      <c r="J1328">
        <v>-203.10820000000001</v>
      </c>
      <c r="K1328">
        <v>1.101445</v>
      </c>
      <c r="L1328">
        <v>284.91739999999999</v>
      </c>
      <c r="M1328">
        <v>-0.9032772</v>
      </c>
      <c r="N1328">
        <v>0</v>
      </c>
      <c r="O1328">
        <v>-0.42884349999999999</v>
      </c>
      <c r="P1328">
        <v>-0.98578489999999996</v>
      </c>
      <c r="Q1328">
        <v>0.117364</v>
      </c>
      <c r="R1328">
        <v>-0.12022480000000001</v>
      </c>
      <c r="S1328">
        <v>-3.0669400000000002</v>
      </c>
      <c r="T1328">
        <v>-0.32374910000000001</v>
      </c>
      <c r="U1328">
        <v>-0.13040160000000001</v>
      </c>
      <c r="V1328">
        <v>0.31686439999999999</v>
      </c>
      <c r="W1328">
        <v>0.1234425</v>
      </c>
      <c r="X1328">
        <v>0.94040360000000001</v>
      </c>
      <c r="Y1328">
        <v>0.38574429999999998</v>
      </c>
      <c r="Z1328">
        <v>6.4171510000000001E-2</v>
      </c>
      <c r="AA1328">
        <v>0.9203713</v>
      </c>
      <c r="AB1328">
        <v>26</v>
      </c>
      <c r="AC1328">
        <v>-10.1913999999999</v>
      </c>
      <c r="AD1328">
        <v>-1.1014447809311001</v>
      </c>
      <c r="AE1328">
        <v>-0.34120000000001399</v>
      </c>
      <c r="AF1328">
        <v>4.0158362782303003</v>
      </c>
      <c r="AG1328">
        <v>-1.1014447809311001</v>
      </c>
      <c r="AH1328">
        <v>9.2449749489052895</v>
      </c>
      <c r="AI1328">
        <v>96.236288552780394</v>
      </c>
      <c r="AJ1328">
        <v>66.520816418001402</v>
      </c>
      <c r="AK1328">
        <v>10.139511005215001</v>
      </c>
      <c r="AL1328">
        <v>82.909179096292505</v>
      </c>
      <c r="AM1328">
        <v>71.379007508306998</v>
      </c>
      <c r="AN1328">
        <v>1.0000000148432799</v>
      </c>
    </row>
    <row r="1329" spans="1:40" x14ac:dyDescent="0.25">
      <c r="A1329" t="str">
        <f>"20190312164246969"</f>
        <v>20190312164246969</v>
      </c>
      <c r="B1329" t="str">
        <f>"1552380166965626"</f>
        <v>1552380166965626</v>
      </c>
      <c r="C1329" t="s">
        <v>40</v>
      </c>
      <c r="D1329">
        <v>5.0533330000000003</v>
      </c>
      <c r="E1329">
        <v>0.52359219999999995</v>
      </c>
      <c r="F1329" t="s">
        <v>46</v>
      </c>
      <c r="G1329">
        <v>-212.00659999999999</v>
      </c>
      <c r="H1329" s="1">
        <v>-4.6895420000000002E-7</v>
      </c>
      <c r="I1329">
        <v>284.30110000000002</v>
      </c>
      <c r="J1329">
        <v>-203.3553</v>
      </c>
      <c r="K1329">
        <v>1.101691</v>
      </c>
      <c r="L1329">
        <v>284.81540000000001</v>
      </c>
      <c r="M1329">
        <v>-0.90854100000000004</v>
      </c>
      <c r="N1329">
        <v>0</v>
      </c>
      <c r="O1329">
        <v>-0.41757909999999998</v>
      </c>
      <c r="P1329">
        <v>-0.98629829999999996</v>
      </c>
      <c r="Q1329">
        <v>0.11600249999999999</v>
      </c>
      <c r="R1329">
        <v>-0.117301</v>
      </c>
      <c r="S1329">
        <v>-3.0625149999999999</v>
      </c>
      <c r="T1329">
        <v>-0.37907479999999999</v>
      </c>
      <c r="U1329">
        <v>-0.2121277</v>
      </c>
      <c r="V1329">
        <v>0.30789879999999997</v>
      </c>
      <c r="W1329">
        <v>0.12240470000000001</v>
      </c>
      <c r="X1329">
        <v>0.94351229999999997</v>
      </c>
      <c r="Y1329">
        <v>0.34820990000000002</v>
      </c>
      <c r="Z1329">
        <v>7.1459120000000001E-2</v>
      </c>
      <c r="AA1329">
        <v>0.93468899999999999</v>
      </c>
      <c r="AB1329">
        <v>26</v>
      </c>
      <c r="AC1329">
        <v>-8.6512999999999902</v>
      </c>
      <c r="AD1329">
        <v>-1.1016914689541999</v>
      </c>
      <c r="AE1329">
        <v>-0.51429999999999099</v>
      </c>
      <c r="AF1329">
        <v>3.0956009969395701</v>
      </c>
      <c r="AG1329">
        <v>-1.1016914689541999</v>
      </c>
      <c r="AH1329">
        <v>7.94713149425389</v>
      </c>
      <c r="AI1329">
        <v>97.360355550642097</v>
      </c>
      <c r="AJ1329">
        <v>68.717876483838296</v>
      </c>
      <c r="AK1329">
        <v>8.5996144455424197</v>
      </c>
      <c r="AL1329">
        <v>82.969095095689497</v>
      </c>
      <c r="AM1329">
        <v>71.926808580662097</v>
      </c>
      <c r="AN1329">
        <v>1.0000000209374</v>
      </c>
    </row>
    <row r="1330" spans="1:40" x14ac:dyDescent="0.25">
      <c r="A1330" t="str">
        <f>"20190312164246995"</f>
        <v>20190312164246995</v>
      </c>
      <c r="B1330" t="str">
        <f>"1552380166985147"</f>
        <v>1552380166985147</v>
      </c>
      <c r="C1330" t="s">
        <v>40</v>
      </c>
      <c r="D1330">
        <v>5.1638840000000004</v>
      </c>
      <c r="E1330">
        <v>0.52448409999999901</v>
      </c>
      <c r="F1330" t="s">
        <v>46</v>
      </c>
      <c r="G1330">
        <v>-213.72059999999999</v>
      </c>
      <c r="H1330" s="1">
        <v>4.431445E-7</v>
      </c>
      <c r="I1330">
        <v>284.1198</v>
      </c>
      <c r="J1330">
        <v>-203.64019999999999</v>
      </c>
      <c r="K1330">
        <v>1.101963</v>
      </c>
      <c r="L1330">
        <v>284.70170000000002</v>
      </c>
      <c r="M1330">
        <v>-0.91424070000000002</v>
      </c>
      <c r="N1330">
        <v>0</v>
      </c>
      <c r="O1330">
        <v>-0.40495110000000001</v>
      </c>
      <c r="P1330">
        <v>-0.98691169999999995</v>
      </c>
      <c r="Q1330">
        <v>0.11534469999999999</v>
      </c>
      <c r="R1330">
        <v>-0.1126997</v>
      </c>
      <c r="S1330">
        <v>-3.0554960000000002</v>
      </c>
      <c r="T1330">
        <v>-0.32475720000000002</v>
      </c>
      <c r="U1330">
        <v>-0.2050476</v>
      </c>
      <c r="V1330">
        <v>0.29913840000000003</v>
      </c>
      <c r="W1330">
        <v>0.1220639</v>
      </c>
      <c r="X1330">
        <v>0.94637020000000005</v>
      </c>
      <c r="Y1330">
        <v>0.33881709999999998</v>
      </c>
      <c r="Z1330">
        <v>5.9705340000000003E-2</v>
      </c>
      <c r="AA1330">
        <v>0.93895600000000001</v>
      </c>
      <c r="AB1330">
        <v>26</v>
      </c>
      <c r="AC1330">
        <v>-10.0803999999999</v>
      </c>
      <c r="AD1330">
        <v>-1.1019625568555</v>
      </c>
      <c r="AE1330">
        <v>-0.58190000000001796</v>
      </c>
      <c r="AF1330">
        <v>3.5085998757836601</v>
      </c>
      <c r="AG1330">
        <v>-1.1019625568555</v>
      </c>
      <c r="AH1330">
        <v>9.3411384017976804</v>
      </c>
      <c r="AI1330">
        <v>96.301953055664598</v>
      </c>
      <c r="AJ1330">
        <v>69.413454483141194</v>
      </c>
      <c r="AK1330">
        <v>10.038997021943899</v>
      </c>
      <c r="AL1330">
        <v>82.988768644600597</v>
      </c>
      <c r="AM1330">
        <v>72.458762096841696</v>
      </c>
      <c r="AN1330">
        <v>0.99999996674290403</v>
      </c>
    </row>
    <row r="1331" spans="1:40" x14ac:dyDescent="0.25">
      <c r="A1331" t="str">
        <f>"20190312164247037"</f>
        <v>20190312164247037</v>
      </c>
      <c r="B1331" t="str">
        <f>"1552380167025162"</f>
        <v>1552380167025162</v>
      </c>
      <c r="C1331" t="s">
        <v>40</v>
      </c>
      <c r="D1331">
        <v>4.9414069999999999</v>
      </c>
      <c r="E1331">
        <v>0.52496779999999998</v>
      </c>
      <c r="F1331" t="s">
        <v>46</v>
      </c>
      <c r="G1331">
        <v>-214.78559999999999</v>
      </c>
      <c r="H1331" s="1">
        <v>1.009883E-6</v>
      </c>
      <c r="I1331">
        <v>284.0428</v>
      </c>
      <c r="J1331">
        <v>-204.0925</v>
      </c>
      <c r="K1331">
        <v>1.102411</v>
      </c>
      <c r="L1331">
        <v>284.52940000000001</v>
      </c>
      <c r="M1331">
        <v>-0.92252610000000002</v>
      </c>
      <c r="N1331">
        <v>0</v>
      </c>
      <c r="O1331">
        <v>-0.38570860000000001</v>
      </c>
      <c r="P1331">
        <v>-0.98762919999999998</v>
      </c>
      <c r="Q1331">
        <v>0.1162309</v>
      </c>
      <c r="R1331">
        <v>-0.1052578</v>
      </c>
      <c r="S1331">
        <v>-3.0544739999999999</v>
      </c>
      <c r="T1331">
        <v>-0.3019984</v>
      </c>
      <c r="U1331">
        <v>-0.1805725</v>
      </c>
      <c r="V1331">
        <v>0.28623999999999999</v>
      </c>
      <c r="W1331">
        <v>0.12342350000000001</v>
      </c>
      <c r="X1331">
        <v>0.9501754</v>
      </c>
      <c r="Y1331">
        <v>0.32725369999999998</v>
      </c>
      <c r="Z1331">
        <v>5.3263539999999998E-2</v>
      </c>
      <c r="AA1331">
        <v>0.94343410000000005</v>
      </c>
      <c r="AB1331">
        <v>26</v>
      </c>
      <c r="AC1331">
        <v>-10.6930999999999</v>
      </c>
      <c r="AD1331">
        <v>-1.1024099901169999</v>
      </c>
      <c r="AE1331">
        <v>-0.48660000000000903</v>
      </c>
      <c r="AF1331">
        <v>3.6372607444114302</v>
      </c>
      <c r="AG1331">
        <v>-1.1024099901169999</v>
      </c>
      <c r="AH1331">
        <v>9.9477141786398899</v>
      </c>
      <c r="AI1331">
        <v>95.942021351464206</v>
      </c>
      <c r="AJ1331">
        <v>69.915675236386903</v>
      </c>
      <c r="AK1331">
        <v>10.6490370874112</v>
      </c>
      <c r="AL1331">
        <v>82.910275959037406</v>
      </c>
      <c r="AM1331">
        <v>73.235090977993394</v>
      </c>
      <c r="AN1331">
        <v>0.99999999435870501</v>
      </c>
    </row>
    <row r="1332" spans="1:40" x14ac:dyDescent="0.25">
      <c r="A1332" t="str">
        <f>"20190312164247062"</f>
        <v>20190312164247062</v>
      </c>
      <c r="B1332" t="str">
        <f>"1552380167055419"</f>
        <v>1552380167055419</v>
      </c>
      <c r="C1332" t="s">
        <v>40</v>
      </c>
      <c r="D1332">
        <v>5.0024410000000001</v>
      </c>
      <c r="E1332">
        <v>0.52451999999999999</v>
      </c>
      <c r="F1332" t="s">
        <v>46</v>
      </c>
      <c r="G1332">
        <v>-216.33840000000001</v>
      </c>
      <c r="H1332" s="1">
        <v>1.8362099999999999E-6</v>
      </c>
      <c r="I1332">
        <v>283.89830000000001</v>
      </c>
      <c r="J1332">
        <v>-204.3586</v>
      </c>
      <c r="K1332">
        <v>1.1026739999999999</v>
      </c>
      <c r="L1332">
        <v>284.43220000000002</v>
      </c>
      <c r="M1332">
        <v>-0.92701230000000001</v>
      </c>
      <c r="N1332">
        <v>0</v>
      </c>
      <c r="O1332">
        <v>-0.37480069999999999</v>
      </c>
      <c r="P1332">
        <v>-0.9881316</v>
      </c>
      <c r="Q1332">
        <v>0.1157619</v>
      </c>
      <c r="R1332">
        <v>-0.1009726</v>
      </c>
      <c r="S1332">
        <v>-3.0531619999999999</v>
      </c>
      <c r="T1332">
        <v>-0.27485379999999998</v>
      </c>
      <c r="U1332">
        <v>-0.15734860000000001</v>
      </c>
      <c r="V1332">
        <v>0.27906920000000002</v>
      </c>
      <c r="W1332">
        <v>0.1232125</v>
      </c>
      <c r="X1332">
        <v>0.95233350000000005</v>
      </c>
      <c r="Y1332">
        <v>0.32387349999999998</v>
      </c>
      <c r="Z1332">
        <v>4.7473840000000003E-2</v>
      </c>
      <c r="AA1332">
        <v>0.94490859999999999</v>
      </c>
      <c r="AB1332">
        <v>26</v>
      </c>
      <c r="AC1332">
        <v>-11.979799999999999</v>
      </c>
      <c r="AD1332">
        <v>-1.1026721637900001</v>
      </c>
      <c r="AE1332">
        <v>-0.53390000000001603</v>
      </c>
      <c r="AF1332">
        <v>3.9619507348641698</v>
      </c>
      <c r="AG1332">
        <v>-1.1026721637900001</v>
      </c>
      <c r="AH1332">
        <v>11.211705044266701</v>
      </c>
      <c r="AI1332">
        <v>95.297916077381501</v>
      </c>
      <c r="AJ1332">
        <v>70.537799518686796</v>
      </c>
      <c r="AK1332">
        <v>11.9421635194769</v>
      </c>
      <c r="AL1332">
        <v>82.922458514561995</v>
      </c>
      <c r="AM1332">
        <v>73.667449429695793</v>
      </c>
      <c r="AN1332">
        <v>1.0000000168835601</v>
      </c>
    </row>
    <row r="1333" spans="1:40" x14ac:dyDescent="0.25">
      <c r="A1333" t="str">
        <f>"20190312164247086"</f>
        <v>20190312164247086</v>
      </c>
      <c r="B1333" t="str">
        <f>"1552380167075914"</f>
        <v>1552380167075914</v>
      </c>
      <c r="C1333" t="s">
        <v>40</v>
      </c>
      <c r="D1333">
        <v>4.7563789999999999</v>
      </c>
      <c r="E1333">
        <v>0.52397680000000002</v>
      </c>
      <c r="F1333" t="s">
        <v>46</v>
      </c>
      <c r="G1333">
        <v>-216.61789999999999</v>
      </c>
      <c r="H1333" s="1">
        <v>1.9849269999999999E-6</v>
      </c>
      <c r="I1333">
        <v>283.84640000000002</v>
      </c>
      <c r="J1333">
        <v>-204.62970000000001</v>
      </c>
      <c r="K1333">
        <v>1.1029180000000001</v>
      </c>
      <c r="L1333">
        <v>284.33690000000001</v>
      </c>
      <c r="M1333">
        <v>-0.93128880000000003</v>
      </c>
      <c r="N1333">
        <v>0</v>
      </c>
      <c r="O1333">
        <v>-0.3640487</v>
      </c>
      <c r="P1333">
        <v>-0.98875789999999997</v>
      </c>
      <c r="Q1333">
        <v>0.1143039</v>
      </c>
      <c r="R1333">
        <v>-9.6400899999999901E-2</v>
      </c>
      <c r="S1333">
        <v>-3.0532840000000001</v>
      </c>
      <c r="T1333">
        <v>-0.27463070000000001</v>
      </c>
      <c r="U1333">
        <v>-0.14590449999999999</v>
      </c>
      <c r="V1333">
        <v>0.27239760000000002</v>
      </c>
      <c r="W1333">
        <v>0.1219797</v>
      </c>
      <c r="X1333">
        <v>0.95442159999999998</v>
      </c>
      <c r="Y1333">
        <v>0.31653160000000002</v>
      </c>
      <c r="Z1333">
        <v>4.6209760000000003E-2</v>
      </c>
      <c r="AA1333">
        <v>0.94745579999999996</v>
      </c>
      <c r="AB1333">
        <v>26</v>
      </c>
      <c r="AC1333">
        <v>-11.9881999999999</v>
      </c>
      <c r="AD1333">
        <v>-1.102916015073</v>
      </c>
      <c r="AE1333">
        <v>-0.49049999999999699</v>
      </c>
      <c r="AF1333">
        <v>3.8750791404673799</v>
      </c>
      <c r="AG1333">
        <v>-1.102916015073</v>
      </c>
      <c r="AH1333">
        <v>11.2489526531692</v>
      </c>
      <c r="AI1333">
        <v>95.296180819721897</v>
      </c>
      <c r="AJ1333">
        <v>70.992012893593895</v>
      </c>
      <c r="AK1333">
        <v>11.948706954078</v>
      </c>
      <c r="AL1333">
        <v>82.993629822724202</v>
      </c>
      <c r="AM1333">
        <v>74.070938647242102</v>
      </c>
      <c r="AN1333">
        <v>1.0000000451222</v>
      </c>
    </row>
    <row r="1334" spans="1:40" x14ac:dyDescent="0.25">
      <c r="A1334" t="str">
        <f>"20190312164247107"</f>
        <v>20190312164247107</v>
      </c>
      <c r="B1334" t="str">
        <f>"1552380167095435"</f>
        <v>1552380167095435</v>
      </c>
      <c r="C1334" t="s">
        <v>40</v>
      </c>
      <c r="D1334">
        <v>5.0238699999999996</v>
      </c>
      <c r="E1334">
        <v>0.52433129999999994</v>
      </c>
      <c r="F1334" t="s">
        <v>46</v>
      </c>
      <c r="G1334">
        <v>-216.55590000000001</v>
      </c>
      <c r="H1334" s="1">
        <v>1.951918E-6</v>
      </c>
      <c r="I1334">
        <v>283.81029999999998</v>
      </c>
      <c r="J1334">
        <v>-204.85300000000001</v>
      </c>
      <c r="K1334">
        <v>1.1030879999999901</v>
      </c>
      <c r="L1334">
        <v>284.26049999999998</v>
      </c>
      <c r="M1334">
        <v>-0.93462489999999998</v>
      </c>
      <c r="N1334">
        <v>0</v>
      </c>
      <c r="O1334">
        <v>-0.35539870000000001</v>
      </c>
      <c r="P1334">
        <v>-0.98922529999999997</v>
      </c>
      <c r="Q1334">
        <v>0.1114658</v>
      </c>
      <c r="R1334">
        <v>-9.4915289999999999E-2</v>
      </c>
      <c r="S1334">
        <v>-3.0536189999999999</v>
      </c>
      <c r="T1334">
        <v>-0.28239449999999999</v>
      </c>
      <c r="U1334">
        <v>-0.13482669999999999</v>
      </c>
      <c r="V1334">
        <v>0.26497540000000003</v>
      </c>
      <c r="W1334">
        <v>0.11934409999999999</v>
      </c>
      <c r="X1334">
        <v>0.95684119999999995</v>
      </c>
      <c r="Y1334">
        <v>0.31107649999999998</v>
      </c>
      <c r="Z1334">
        <v>4.6511940000000002E-2</v>
      </c>
      <c r="AA1334">
        <v>0.94924600000000003</v>
      </c>
      <c r="AB1334">
        <v>26</v>
      </c>
      <c r="AC1334">
        <v>-11.7029</v>
      </c>
      <c r="AD1334">
        <v>-1.1030860480819999</v>
      </c>
      <c r="AE1334">
        <v>-0.45019999999999499</v>
      </c>
      <c r="AF1334">
        <v>3.7058654776876798</v>
      </c>
      <c r="AG1334">
        <v>-1.1030860480819999</v>
      </c>
      <c r="AH1334">
        <v>11.001159799645899</v>
      </c>
      <c r="AI1334">
        <v>95.428141315087203</v>
      </c>
      <c r="AJ1334">
        <v>71.383318015523599</v>
      </c>
      <c r="AK1334">
        <v>11.6608642349328</v>
      </c>
      <c r="AL1334">
        <v>83.1457499523531</v>
      </c>
      <c r="AM1334">
        <v>74.521139887371106</v>
      </c>
      <c r="AN1334">
        <v>1.0000000294136999</v>
      </c>
    </row>
    <row r="1335" spans="1:40" x14ac:dyDescent="0.25">
      <c r="A1335" t="str">
        <f>"20190312164247126"</f>
        <v>20190312164247126</v>
      </c>
      <c r="B1335" t="str">
        <f>"1552380167114955"</f>
        <v>1552380167114955</v>
      </c>
      <c r="C1335" t="s">
        <v>40</v>
      </c>
      <c r="D1335">
        <v>4.8546769999999997</v>
      </c>
      <c r="E1335">
        <v>0.52420239999999996</v>
      </c>
      <c r="F1335" t="s">
        <v>46</v>
      </c>
      <c r="G1335">
        <v>-216.62729999999999</v>
      </c>
      <c r="H1335" s="1">
        <v>1.9899280000000001E-6</v>
      </c>
      <c r="I1335">
        <v>283.77850000000001</v>
      </c>
      <c r="J1335">
        <v>-205.07640000000001</v>
      </c>
      <c r="K1335">
        <v>1.103243</v>
      </c>
      <c r="L1335">
        <v>284.18610000000001</v>
      </c>
      <c r="M1335">
        <v>-0.93780330000000001</v>
      </c>
      <c r="N1335">
        <v>0</v>
      </c>
      <c r="O1335">
        <v>-0.34692790000000001</v>
      </c>
      <c r="P1335">
        <v>-0.98958100000000004</v>
      </c>
      <c r="Q1335">
        <v>0.1089856</v>
      </c>
      <c r="R1335">
        <v>-9.4085929999999998E-2</v>
      </c>
      <c r="S1335">
        <v>-3.0529329999999999</v>
      </c>
      <c r="T1335">
        <v>-0.28601659999999901</v>
      </c>
      <c r="U1335">
        <v>-0.1249695</v>
      </c>
      <c r="V1335">
        <v>0.25710810000000001</v>
      </c>
      <c r="W1335">
        <v>0.117055199999999</v>
      </c>
      <c r="X1335">
        <v>0.95926710000000004</v>
      </c>
      <c r="Y1335">
        <v>0.3055136</v>
      </c>
      <c r="Z1335">
        <v>4.6116530000000003E-2</v>
      </c>
      <c r="AA1335">
        <v>0.95107030000000004</v>
      </c>
      <c r="AB1335">
        <v>26</v>
      </c>
      <c r="AC1335">
        <v>-11.550899999999899</v>
      </c>
      <c r="AD1335">
        <v>-1.103241010072</v>
      </c>
      <c r="AE1335">
        <v>-0.40760000000000202</v>
      </c>
      <c r="AF1335">
        <v>3.5926489543418598</v>
      </c>
      <c r="AG1335">
        <v>-1.103241010072</v>
      </c>
      <c r="AH1335">
        <v>10.875701785457199</v>
      </c>
      <c r="AI1335">
        <v>95.501843250155105</v>
      </c>
      <c r="AJ1335">
        <v>71.719688639120605</v>
      </c>
      <c r="AK1335">
        <v>11.5067439600277</v>
      </c>
      <c r="AL1335">
        <v>83.277819462486605</v>
      </c>
      <c r="AM1335">
        <v>74.995917737018502</v>
      </c>
      <c r="AN1335">
        <v>0.99999993203752702</v>
      </c>
    </row>
    <row r="1336" spans="1:40" x14ac:dyDescent="0.25">
      <c r="A1336" t="str">
        <f>"20190312164247149"</f>
        <v>20190312164247149</v>
      </c>
      <c r="B1336" t="str">
        <f>"1552380167145211"</f>
        <v>1552380167145211</v>
      </c>
      <c r="C1336" t="s">
        <v>40</v>
      </c>
      <c r="D1336">
        <v>4.873183</v>
      </c>
      <c r="E1336">
        <v>0.52414689999999997</v>
      </c>
      <c r="F1336" t="s">
        <v>46</v>
      </c>
      <c r="G1336">
        <v>-216.59200000000001</v>
      </c>
      <c r="H1336" s="1">
        <v>1.9711690000000001E-6</v>
      </c>
      <c r="I1336">
        <v>283.72910000000002</v>
      </c>
      <c r="J1336">
        <v>-205.315</v>
      </c>
      <c r="K1336">
        <v>1.1033770000000001</v>
      </c>
      <c r="L1336">
        <v>284.10890000000001</v>
      </c>
      <c r="M1336">
        <v>-0.94103709999999996</v>
      </c>
      <c r="N1336">
        <v>0</v>
      </c>
      <c r="O1336">
        <v>-0.3380609</v>
      </c>
      <c r="P1336">
        <v>-0.98984419999999995</v>
      </c>
      <c r="Q1336">
        <v>0.107658199999999</v>
      </c>
      <c r="R1336">
        <v>-9.2835699999999993E-2</v>
      </c>
      <c r="S1336">
        <v>-3.0522770000000001</v>
      </c>
      <c r="T1336">
        <v>-0.29241850000000003</v>
      </c>
      <c r="U1336">
        <v>-0.1211243</v>
      </c>
      <c r="V1336">
        <v>0.24923149999999999</v>
      </c>
      <c r="W1336">
        <v>0.11589729999999999</v>
      </c>
      <c r="X1336">
        <v>0.96148400000000001</v>
      </c>
      <c r="Y1336">
        <v>0.29765599999999998</v>
      </c>
      <c r="Z1336">
        <v>4.5978680000000001E-2</v>
      </c>
      <c r="AA1336">
        <v>0.95356540000000001</v>
      </c>
      <c r="AB1336">
        <v>26</v>
      </c>
      <c r="AC1336">
        <v>-11.276999999999999</v>
      </c>
      <c r="AD1336">
        <v>-1.103375028831</v>
      </c>
      <c r="AE1336">
        <v>-0.37979999999998798</v>
      </c>
      <c r="AF1336">
        <v>3.4224632682204499</v>
      </c>
      <c r="AG1336">
        <v>-1.103375028831</v>
      </c>
      <c r="AH1336">
        <v>10.6396115586692</v>
      </c>
      <c r="AI1336">
        <v>95.638118834389203</v>
      </c>
      <c r="AJ1336">
        <v>72.168479694650102</v>
      </c>
      <c r="AK1336">
        <v>11.2308514991488</v>
      </c>
      <c r="AL1336">
        <v>83.344617390178698</v>
      </c>
      <c r="AM1336">
        <v>75.467897371434105</v>
      </c>
      <c r="AN1336">
        <v>1.0000000034977701</v>
      </c>
    </row>
    <row r="1337" spans="1:40" x14ac:dyDescent="0.25">
      <c r="A1337" t="str">
        <f>"20190312164247171"</f>
        <v>20190312164247171</v>
      </c>
      <c r="B1337" t="str">
        <f>"1552380167165707"</f>
        <v>1552380167165707</v>
      </c>
      <c r="C1337" t="s">
        <v>40</v>
      </c>
      <c r="D1337">
        <v>4.4740859999999998</v>
      </c>
      <c r="E1337">
        <v>0.52433450000000004</v>
      </c>
      <c r="F1337" t="s">
        <v>46</v>
      </c>
      <c r="G1337">
        <v>-216.7397</v>
      </c>
      <c r="H1337" s="1">
        <v>2.0497710000000001E-6</v>
      </c>
      <c r="I1337">
        <v>283.67349999999999</v>
      </c>
      <c r="J1337">
        <v>-205.57069999999999</v>
      </c>
      <c r="K1337">
        <v>1.103505</v>
      </c>
      <c r="L1337">
        <v>284.02879999999999</v>
      </c>
      <c r="M1337">
        <v>-0.94433979999999995</v>
      </c>
      <c r="N1337">
        <v>0</v>
      </c>
      <c r="O1337">
        <v>-0.3287254</v>
      </c>
      <c r="P1337">
        <v>-0.99007069999999997</v>
      </c>
      <c r="Q1337">
        <v>0.10770159999999999</v>
      </c>
      <c r="R1337">
        <v>-9.033352E-2</v>
      </c>
      <c r="S1337">
        <v>-3.0519099999999999</v>
      </c>
      <c r="T1337">
        <v>-0.29474630000000002</v>
      </c>
      <c r="U1337">
        <v>-0.11633300000000001</v>
      </c>
      <c r="V1337">
        <v>0.24208640000000001</v>
      </c>
      <c r="W1337">
        <v>0.1160692</v>
      </c>
      <c r="X1337">
        <v>0.96328709999999995</v>
      </c>
      <c r="Y1337">
        <v>0.28971950000000002</v>
      </c>
      <c r="Z1337">
        <v>4.511482E-2</v>
      </c>
      <c r="AA1337">
        <v>0.9560478</v>
      </c>
      <c r="AB1337">
        <v>26</v>
      </c>
      <c r="AC1337">
        <v>-11.169</v>
      </c>
      <c r="AD1337">
        <v>-1.1035029502289999</v>
      </c>
      <c r="AE1337">
        <v>-0.35529999999999901</v>
      </c>
      <c r="AF1337">
        <v>3.3040601184035499</v>
      </c>
      <c r="AG1337">
        <v>-1.1035029502289999</v>
      </c>
      <c r="AH1337">
        <v>10.5619938966636</v>
      </c>
      <c r="AI1337">
        <v>95.694342520145</v>
      </c>
      <c r="AJ1337">
        <v>72.628990858561707</v>
      </c>
      <c r="AK1337">
        <v>11.1216117132522</v>
      </c>
      <c r="AL1337">
        <v>83.334701036896206</v>
      </c>
      <c r="AM1337">
        <v>75.892983898166605</v>
      </c>
      <c r="AN1337">
        <v>0.99999996064000396</v>
      </c>
    </row>
    <row r="1338" spans="1:40" x14ac:dyDescent="0.25">
      <c r="A1338" t="str">
        <f>"20190312164247192"</f>
        <v>20190312164247192</v>
      </c>
      <c r="B1338" t="str">
        <f>"1552380167185226"</f>
        <v>1552380167185226</v>
      </c>
      <c r="C1338" t="s">
        <v>40</v>
      </c>
      <c r="D1338">
        <v>4.4353889999999998</v>
      </c>
      <c r="E1338">
        <v>0.52450929999999996</v>
      </c>
      <c r="F1338" t="s">
        <v>46</v>
      </c>
      <c r="G1338">
        <v>-217.04759999999999</v>
      </c>
      <c r="H1338" s="1">
        <v>2.2136139999999998E-6</v>
      </c>
      <c r="I1338">
        <v>283.62700000000001</v>
      </c>
      <c r="J1338">
        <v>-205.8022</v>
      </c>
      <c r="K1338">
        <v>1.103602</v>
      </c>
      <c r="L1338">
        <v>283.95839999999998</v>
      </c>
      <c r="M1338">
        <v>-0.94720490000000002</v>
      </c>
      <c r="N1338">
        <v>0</v>
      </c>
      <c r="O1338">
        <v>-0.32037939999999998</v>
      </c>
      <c r="P1338">
        <v>-0.99011340000000003</v>
      </c>
      <c r="Q1338">
        <v>0.1082196</v>
      </c>
      <c r="R1338">
        <v>-8.9242130000000003E-2</v>
      </c>
      <c r="S1338">
        <v>-3.0522610000000001</v>
      </c>
      <c r="T1338">
        <v>-0.29347309999999999</v>
      </c>
      <c r="U1338">
        <v>-0.10684200000000001</v>
      </c>
      <c r="V1338">
        <v>0.23459550000000001</v>
      </c>
      <c r="W1338">
        <v>0.1167043</v>
      </c>
      <c r="X1338">
        <v>0.96506219999999998</v>
      </c>
      <c r="Y1338">
        <v>0.2843328</v>
      </c>
      <c r="Z1338">
        <v>4.390049E-2</v>
      </c>
      <c r="AA1338">
        <v>0.95772000000000002</v>
      </c>
      <c r="AB1338">
        <v>26</v>
      </c>
      <c r="AC1338">
        <v>-11.245399999999901</v>
      </c>
      <c r="AD1338">
        <v>-1.1035997863860001</v>
      </c>
      <c r="AE1338">
        <v>-0.33139999999997299</v>
      </c>
      <c r="AF1338">
        <v>3.2578049681959702</v>
      </c>
      <c r="AG1338">
        <v>-1.1035997863860001</v>
      </c>
      <c r="AH1338">
        <v>10.6561908083938</v>
      </c>
      <c r="AI1338">
        <v>95.6560854723853</v>
      </c>
      <c r="AJ1338">
        <v>73.000587647281506</v>
      </c>
      <c r="AK1338">
        <v>11.1975724263882</v>
      </c>
      <c r="AL1338">
        <v>83.298063733865902</v>
      </c>
      <c r="AM1338">
        <v>76.337065286513194</v>
      </c>
      <c r="AN1338">
        <v>0.99999999606378998</v>
      </c>
    </row>
    <row r="1339" spans="1:40" x14ac:dyDescent="0.25">
      <c r="A1339" t="str">
        <f>"20190312164247214"</f>
        <v>20190312164247214</v>
      </c>
      <c r="B1339" t="str">
        <f>"1552380167205723"</f>
        <v>1552380167205723</v>
      </c>
      <c r="C1339" t="s">
        <v>40</v>
      </c>
      <c r="D1339">
        <v>4.3691870000000002</v>
      </c>
      <c r="E1339">
        <v>0.52473040000000004</v>
      </c>
      <c r="F1339" t="s">
        <v>46</v>
      </c>
      <c r="G1339">
        <v>-217.5523</v>
      </c>
      <c r="H1339" s="1">
        <v>2.4821739999999998E-6</v>
      </c>
      <c r="I1339">
        <v>283.57049999999998</v>
      </c>
      <c r="J1339">
        <v>-206.04570000000001</v>
      </c>
      <c r="K1339">
        <v>1.103672</v>
      </c>
      <c r="L1339">
        <v>283.88670000000002</v>
      </c>
      <c r="M1339">
        <v>-0.9501058</v>
      </c>
      <c r="N1339">
        <v>0</v>
      </c>
      <c r="O1339">
        <v>-0.31167479999999997</v>
      </c>
      <c r="P1339">
        <v>-0.99007489999999998</v>
      </c>
      <c r="Q1339">
        <v>0.1095826</v>
      </c>
      <c r="R1339">
        <v>-8.7998679999999996E-2</v>
      </c>
      <c r="S1339">
        <v>-3.0522</v>
      </c>
      <c r="T1339">
        <v>-0.2866707</v>
      </c>
      <c r="U1339">
        <v>-0.100769</v>
      </c>
      <c r="V1339">
        <v>0.22689039999999999</v>
      </c>
      <c r="W1339">
        <v>0.11816939999999999</v>
      </c>
      <c r="X1339">
        <v>0.96672480000000005</v>
      </c>
      <c r="Y1339">
        <v>0.27762710000000002</v>
      </c>
      <c r="Z1339">
        <v>4.1797870000000001E-2</v>
      </c>
      <c r="AA1339">
        <v>0.95977920000000005</v>
      </c>
      <c r="AB1339">
        <v>26</v>
      </c>
      <c r="AC1339">
        <v>-11.506599999999899</v>
      </c>
      <c r="AD1339">
        <v>-1.1036695178260001</v>
      </c>
      <c r="AE1339">
        <v>-0.31620000000003701</v>
      </c>
      <c r="AF1339">
        <v>3.2562187195951702</v>
      </c>
      <c r="AG1339">
        <v>-1.1036695178260001</v>
      </c>
      <c r="AH1339">
        <v>10.931417075588101</v>
      </c>
      <c r="AI1339">
        <v>95.526816377586201</v>
      </c>
      <c r="AJ1339">
        <v>73.412411435049904</v>
      </c>
      <c r="AK1339">
        <v>11.4593597567613</v>
      </c>
      <c r="AL1339">
        <v>83.213535134920704</v>
      </c>
      <c r="AM1339">
        <v>76.791734036265595</v>
      </c>
      <c r="AN1339">
        <v>1.00000004982177</v>
      </c>
    </row>
    <row r="1340" spans="1:40" x14ac:dyDescent="0.25">
      <c r="A1340" t="str">
        <f>"20190312164247237"</f>
        <v>20190312164247237</v>
      </c>
      <c r="B1340" t="str">
        <f>"1552380167225243"</f>
        <v>1552380167225243</v>
      </c>
      <c r="C1340" t="s">
        <v>40</v>
      </c>
      <c r="D1340">
        <v>4.396458</v>
      </c>
      <c r="E1340">
        <v>0.5248775</v>
      </c>
      <c r="F1340" t="s">
        <v>46</v>
      </c>
      <c r="G1340">
        <v>-218.15979999999999</v>
      </c>
      <c r="H1340" s="1">
        <v>2.805427E-6</v>
      </c>
      <c r="I1340">
        <v>283.51459999999997</v>
      </c>
      <c r="J1340">
        <v>-206.30869999999999</v>
      </c>
      <c r="K1340">
        <v>1.1037110000000001</v>
      </c>
      <c r="L1340">
        <v>283.81180000000001</v>
      </c>
      <c r="M1340">
        <v>-0.95312430000000004</v>
      </c>
      <c r="N1340">
        <v>0</v>
      </c>
      <c r="O1340">
        <v>-0.30232140000000002</v>
      </c>
      <c r="P1340">
        <v>-0.99021340000000002</v>
      </c>
      <c r="Q1340">
        <v>0.1103321</v>
      </c>
      <c r="R1340">
        <v>-8.5468730000000007E-2</v>
      </c>
      <c r="S1340">
        <v>-3.0525359999999999</v>
      </c>
      <c r="T1340">
        <v>-0.27810570000000001</v>
      </c>
      <c r="U1340">
        <v>-9.375E-2</v>
      </c>
      <c r="V1340">
        <v>0.2198177</v>
      </c>
      <c r="W1340">
        <v>0.11899560000000001</v>
      </c>
      <c r="X1340">
        <v>0.96825629999999996</v>
      </c>
      <c r="Y1340">
        <v>0.27060630000000002</v>
      </c>
      <c r="Z1340">
        <v>3.9419200000000001E-2</v>
      </c>
      <c r="AA1340">
        <v>0.96188269999999998</v>
      </c>
      <c r="AB1340">
        <v>26</v>
      </c>
      <c r="AC1340">
        <v>-11.851100000000001</v>
      </c>
      <c r="AD1340">
        <v>-1.1037081945730001</v>
      </c>
      <c r="AE1340">
        <v>-0.29720000000003199</v>
      </c>
      <c r="AF1340">
        <v>3.27147265709909</v>
      </c>
      <c r="AG1340">
        <v>-1.1037081945730001</v>
      </c>
      <c r="AH1340">
        <v>11.2884603579579</v>
      </c>
      <c r="AI1340">
        <v>95.364856850826996</v>
      </c>
      <c r="AJ1340">
        <v>73.838051934370895</v>
      </c>
      <c r="AK1340">
        <v>11.804661891731699</v>
      </c>
      <c r="AL1340">
        <v>83.165860767082606</v>
      </c>
      <c r="AM1340">
        <v>77.209269878781797</v>
      </c>
      <c r="AN1340">
        <v>1.0000000182711699</v>
      </c>
    </row>
    <row r="1341" spans="1:40" x14ac:dyDescent="0.25">
      <c r="A1341" t="str">
        <f>"20190312164247261"</f>
        <v>20190312164247261</v>
      </c>
      <c r="B1341" t="str">
        <f>"1552380167255500"</f>
        <v>1552380167255500</v>
      </c>
      <c r="C1341" t="s">
        <v>40</v>
      </c>
      <c r="D1341">
        <v>4.3675610000000002</v>
      </c>
      <c r="E1341">
        <v>0.52508049999999995</v>
      </c>
      <c r="F1341" t="s">
        <v>46</v>
      </c>
      <c r="G1341">
        <v>-218.6927</v>
      </c>
      <c r="H1341" s="1">
        <v>3.0890259999999999E-6</v>
      </c>
      <c r="I1341">
        <v>283.47140000000002</v>
      </c>
      <c r="J1341">
        <v>-206.57069999999999</v>
      </c>
      <c r="K1341">
        <v>1.103728</v>
      </c>
      <c r="L1341">
        <v>283.7398</v>
      </c>
      <c r="M1341">
        <v>-0.95602489999999996</v>
      </c>
      <c r="N1341">
        <v>0</v>
      </c>
      <c r="O1341">
        <v>-0.29302250000000002</v>
      </c>
      <c r="P1341">
        <v>-0.99038800000000005</v>
      </c>
      <c r="Q1341">
        <v>0.1103056</v>
      </c>
      <c r="R1341">
        <v>-8.3452620000000005E-2</v>
      </c>
      <c r="S1341">
        <v>-3.0527190000000002</v>
      </c>
      <c r="T1341">
        <v>-0.27207039999999999</v>
      </c>
      <c r="U1341">
        <v>-8.3892820000000007E-2</v>
      </c>
      <c r="V1341">
        <v>0.2123352</v>
      </c>
      <c r="W1341">
        <v>0.11904439999999999</v>
      </c>
      <c r="X1341">
        <v>0.96991870000000002</v>
      </c>
      <c r="Y1341">
        <v>0.2644919</v>
      </c>
      <c r="Z1341">
        <v>3.7502430000000003E-2</v>
      </c>
      <c r="AA1341">
        <v>0.96365849999999997</v>
      </c>
      <c r="AB1341">
        <v>26</v>
      </c>
      <c r="AC1341">
        <v>-12.122</v>
      </c>
      <c r="AD1341">
        <v>-1.1037249109739999</v>
      </c>
      <c r="AE1341">
        <v>-0.26839999999998498</v>
      </c>
      <c r="AF1341">
        <v>3.2685912726094202</v>
      </c>
      <c r="AG1341">
        <v>-1.1037249109739999</v>
      </c>
      <c r="AH1341">
        <v>11.5725869383275</v>
      </c>
      <c r="AI1341">
        <v>95.244106868475299</v>
      </c>
      <c r="AJ1341">
        <v>74.228061043784805</v>
      </c>
      <c r="AK1341">
        <v>12.0758712328192</v>
      </c>
      <c r="AL1341">
        <v>83.163044903046597</v>
      </c>
      <c r="AM1341">
        <v>77.651583851348505</v>
      </c>
      <c r="AN1341">
        <v>1.00000004547004</v>
      </c>
    </row>
    <row r="1342" spans="1:40" x14ac:dyDescent="0.25">
      <c r="A1342" t="str">
        <f>"20190312164247285"</f>
        <v>20190312164247285</v>
      </c>
      <c r="B1342" t="str">
        <f>"1552380167275018"</f>
        <v>1552380167275018</v>
      </c>
      <c r="C1342" t="s">
        <v>40</v>
      </c>
      <c r="D1342">
        <v>4.3775380000000004</v>
      </c>
      <c r="E1342">
        <v>0.52512219999999998</v>
      </c>
      <c r="F1342" t="s">
        <v>46</v>
      </c>
      <c r="G1342">
        <v>-219.15899999999999</v>
      </c>
      <c r="H1342" s="1">
        <v>3.337184E-6</v>
      </c>
      <c r="I1342">
        <v>283.42910000000001</v>
      </c>
      <c r="J1342">
        <v>-206.84270000000001</v>
      </c>
      <c r="K1342">
        <v>1.1037129999999999</v>
      </c>
      <c r="L1342">
        <v>283.66829999999999</v>
      </c>
      <c r="M1342">
        <v>-0.95893059999999997</v>
      </c>
      <c r="N1342">
        <v>0</v>
      </c>
      <c r="O1342">
        <v>-0.28337210000000002</v>
      </c>
      <c r="P1342">
        <v>-0.99057169999999894</v>
      </c>
      <c r="Q1342">
        <v>0.1097042</v>
      </c>
      <c r="R1342">
        <v>-8.2055359999999994E-2</v>
      </c>
      <c r="S1342">
        <v>-3.052597</v>
      </c>
      <c r="T1342">
        <v>-0.26764739999999998</v>
      </c>
      <c r="U1342">
        <v>-7.5347899999999995E-2</v>
      </c>
      <c r="V1342">
        <v>0.20391809999999999</v>
      </c>
      <c r="W1342">
        <v>0.1185274</v>
      </c>
      <c r="X1342">
        <v>0.97178629999999999</v>
      </c>
      <c r="Y1342">
        <v>0.25759559999999998</v>
      </c>
      <c r="Z1342">
        <v>3.5784179999999999E-2</v>
      </c>
      <c r="AA1342">
        <v>0.96558999999999995</v>
      </c>
      <c r="AB1342">
        <v>26</v>
      </c>
      <c r="AC1342">
        <v>-12.3163</v>
      </c>
      <c r="AD1342">
        <v>-1.1037096628159999</v>
      </c>
      <c r="AE1342">
        <v>-0.23919999999998201</v>
      </c>
      <c r="AF1342">
        <v>3.2349987652301602</v>
      </c>
      <c r="AG1342">
        <v>-1.1037096628159999</v>
      </c>
      <c r="AH1342">
        <v>11.784562844467599</v>
      </c>
      <c r="AI1342">
        <v>95.160729016871898</v>
      </c>
      <c r="AJ1342">
        <v>74.649769784712603</v>
      </c>
      <c r="AK1342">
        <v>12.2702613446511</v>
      </c>
      <c r="AL1342">
        <v>83.192877556271895</v>
      </c>
      <c r="AM1342">
        <v>78.149088092154798</v>
      </c>
      <c r="AN1342">
        <v>0.99999997446302902</v>
      </c>
    </row>
    <row r="1343" spans="1:40" x14ac:dyDescent="0.25">
      <c r="A1343" t="str">
        <f>"20190312164247305"</f>
        <v>20190312164247305</v>
      </c>
      <c r="B1343" t="str">
        <f>"1552380167295515"</f>
        <v>1552380167295515</v>
      </c>
      <c r="C1343" t="s">
        <v>40</v>
      </c>
      <c r="D1343">
        <v>4.4017679999999997</v>
      </c>
      <c r="E1343">
        <v>0.52511430000000003</v>
      </c>
      <c r="F1343" t="s">
        <v>46</v>
      </c>
      <c r="G1343">
        <v>-219.4847</v>
      </c>
      <c r="H1343" s="1">
        <v>3.510505E-6</v>
      </c>
      <c r="I1343">
        <v>283.38010000000003</v>
      </c>
      <c r="J1343">
        <v>-207.06370000000001</v>
      </c>
      <c r="K1343">
        <v>1.103701</v>
      </c>
      <c r="L1343">
        <v>283.61219999999997</v>
      </c>
      <c r="M1343">
        <v>-0.96121780000000001</v>
      </c>
      <c r="N1343">
        <v>0</v>
      </c>
      <c r="O1343">
        <v>-0.275516599999999</v>
      </c>
      <c r="P1343">
        <v>-0.99061619999999995</v>
      </c>
      <c r="Q1343">
        <v>0.1084712</v>
      </c>
      <c r="R1343">
        <v>-8.3149260000000003E-2</v>
      </c>
      <c r="S1343">
        <v>-3.0523380000000002</v>
      </c>
      <c r="T1343">
        <v>-0.26648280000000002</v>
      </c>
      <c r="U1343">
        <v>-6.9580080000000002E-2</v>
      </c>
      <c r="V1343">
        <v>0.19489239999999999</v>
      </c>
      <c r="W1343">
        <v>0.1174052</v>
      </c>
      <c r="X1343">
        <v>0.97377259999999999</v>
      </c>
      <c r="Y1343">
        <v>0.25157810000000003</v>
      </c>
      <c r="Z1343">
        <v>3.4710459999999999E-2</v>
      </c>
      <c r="AA1343">
        <v>0.96721429999999997</v>
      </c>
      <c r="AB1343">
        <v>26</v>
      </c>
      <c r="AC1343">
        <v>-12.4209999999999</v>
      </c>
      <c r="AD1343">
        <v>-1.103697489495</v>
      </c>
      <c r="AE1343">
        <v>-0.23209999999994499</v>
      </c>
      <c r="AF1343">
        <v>3.1742803006710898</v>
      </c>
      <c r="AG1343">
        <v>-1.103697489495</v>
      </c>
      <c r="AH1343">
        <v>11.9101344738535</v>
      </c>
      <c r="AI1343">
        <v>95.116794642794602</v>
      </c>
      <c r="AJ1343">
        <v>75.0764678421165</v>
      </c>
      <c r="AK1343">
        <v>12.3751972412895</v>
      </c>
      <c r="AL1343">
        <v>83.257627520643993</v>
      </c>
      <c r="AM1343">
        <v>78.682267048462194</v>
      </c>
      <c r="AN1343">
        <v>1.0000000525377699</v>
      </c>
    </row>
    <row r="1344" spans="1:40" x14ac:dyDescent="0.25">
      <c r="A1344" t="str">
        <f>"20190312164247326"</f>
        <v>20190312164247326</v>
      </c>
      <c r="B1344" t="str">
        <f>"1552380167315036"</f>
        <v>1552380167315036</v>
      </c>
      <c r="C1344" t="s">
        <v>40</v>
      </c>
      <c r="D1344">
        <v>4.3550149999999999</v>
      </c>
      <c r="E1344">
        <v>0.52512539999999996</v>
      </c>
      <c r="F1344" t="s">
        <v>46</v>
      </c>
      <c r="G1344">
        <v>-219.6634</v>
      </c>
      <c r="H1344" s="1">
        <v>3.605576E-6</v>
      </c>
      <c r="I1344">
        <v>283.31529999999998</v>
      </c>
      <c r="J1344">
        <v>-207.3073</v>
      </c>
      <c r="K1344">
        <v>1.103683</v>
      </c>
      <c r="L1344">
        <v>283.55259999999998</v>
      </c>
      <c r="M1344">
        <v>-0.9636614</v>
      </c>
      <c r="N1344">
        <v>0</v>
      </c>
      <c r="O1344">
        <v>-0.26684609999999997</v>
      </c>
      <c r="P1344">
        <v>-0.99078710000000003</v>
      </c>
      <c r="Q1344">
        <v>0.1068432</v>
      </c>
      <c r="R1344">
        <v>-8.3222309999999994E-2</v>
      </c>
      <c r="S1344">
        <v>-3.051666</v>
      </c>
      <c r="T1344">
        <v>-0.26731860000000002</v>
      </c>
      <c r="U1344">
        <v>-7.1899409999999997E-2</v>
      </c>
      <c r="V1344">
        <v>0.18605279999999999</v>
      </c>
      <c r="W1344">
        <v>0.1158831</v>
      </c>
      <c r="X1344">
        <v>0.97568200000000005</v>
      </c>
      <c r="Y1344">
        <v>0.24216589999999999</v>
      </c>
      <c r="Z1344">
        <v>3.36797E-2</v>
      </c>
      <c r="AA1344">
        <v>0.96965009999999996</v>
      </c>
      <c r="AB1344">
        <v>26</v>
      </c>
      <c r="AC1344">
        <v>-12.3560999999999</v>
      </c>
      <c r="AD1344">
        <v>-1.103679394424</v>
      </c>
      <c r="AE1344">
        <v>-0.23730000000000401</v>
      </c>
      <c r="AF1344">
        <v>3.0444489222592401</v>
      </c>
      <c r="AG1344">
        <v>-1.103679394424</v>
      </c>
      <c r="AH1344">
        <v>11.876593424571899</v>
      </c>
      <c r="AI1344">
        <v>95.143812320491193</v>
      </c>
      <c r="AJ1344">
        <v>75.622369124048902</v>
      </c>
      <c r="AK1344">
        <v>12.310168513002001</v>
      </c>
      <c r="AL1344">
        <v>83.345436159777805</v>
      </c>
      <c r="AM1344">
        <v>79.203881144146607</v>
      </c>
      <c r="AN1344">
        <v>0.99999995118872298</v>
      </c>
    </row>
    <row r="1345" spans="1:40" x14ac:dyDescent="0.25">
      <c r="A1345" t="str">
        <f>"20190312164247350"</f>
        <v>20190312164247350</v>
      </c>
      <c r="B1345" t="str">
        <f>"1552380167345290"</f>
        <v>1552380167345290</v>
      </c>
      <c r="C1345" t="s">
        <v>40</v>
      </c>
      <c r="D1345">
        <v>4.7307290000000002</v>
      </c>
      <c r="E1345">
        <v>0.52517669999999905</v>
      </c>
      <c r="F1345" t="s">
        <v>46</v>
      </c>
      <c r="G1345">
        <v>-219.7816</v>
      </c>
      <c r="H1345" s="1">
        <v>3.66851E-6</v>
      </c>
      <c r="I1345">
        <v>283.26229999999998</v>
      </c>
      <c r="J1345">
        <v>-207.57499999999999</v>
      </c>
      <c r="K1345">
        <v>1.1036570000000001</v>
      </c>
      <c r="L1345">
        <v>283.48989999999998</v>
      </c>
      <c r="M1345">
        <v>-0.96625629999999996</v>
      </c>
      <c r="N1345">
        <v>0</v>
      </c>
      <c r="O1345">
        <v>-0.25729429999999998</v>
      </c>
      <c r="P1345">
        <v>-0.99103059999999998</v>
      </c>
      <c r="Q1345">
        <v>0.104989899999999</v>
      </c>
      <c r="R1345">
        <v>-8.2680050000000005E-2</v>
      </c>
      <c r="S1345">
        <v>-3.051056</v>
      </c>
      <c r="T1345">
        <v>-0.2699454</v>
      </c>
      <c r="U1345">
        <v>-7.1014399999999894E-2</v>
      </c>
      <c r="V1345">
        <v>0.1769337</v>
      </c>
      <c r="W1345">
        <v>0.11413570000000001</v>
      </c>
      <c r="X1345">
        <v>0.97758250000000002</v>
      </c>
      <c r="Y1345">
        <v>0.2328645</v>
      </c>
      <c r="Z1345">
        <v>3.2786799999999998E-2</v>
      </c>
      <c r="AA1345">
        <v>0.97195640000000005</v>
      </c>
      <c r="AB1345">
        <v>26</v>
      </c>
      <c r="AC1345">
        <v>-12.2066</v>
      </c>
      <c r="AD1345">
        <v>-1.1036533314899999</v>
      </c>
      <c r="AE1345">
        <v>-0.227599999999995</v>
      </c>
      <c r="AF1345">
        <v>2.8973087994800801</v>
      </c>
      <c r="AG1345">
        <v>-1.1036533314899999</v>
      </c>
      <c r="AH1345">
        <v>11.7580578799662</v>
      </c>
      <c r="AI1345">
        <v>95.207407982668698</v>
      </c>
      <c r="AJ1345">
        <v>76.157485339583403</v>
      </c>
      <c r="AK1345">
        <v>12.1599495913547</v>
      </c>
      <c r="AL1345">
        <v>83.446224049615594</v>
      </c>
      <c r="AM1345">
        <v>79.741033888692201</v>
      </c>
      <c r="AN1345">
        <v>1.0000000182582101</v>
      </c>
    </row>
    <row r="1346" spans="1:40" x14ac:dyDescent="0.25">
      <c r="A1346" t="str">
        <f>"20190312164247370"</f>
        <v>20190312164247370</v>
      </c>
      <c r="B1346" t="str">
        <f>"1552380167365787"</f>
        <v>1552380167365787</v>
      </c>
      <c r="C1346" t="s">
        <v>40</v>
      </c>
      <c r="D1346">
        <v>4.4006069999999999</v>
      </c>
      <c r="E1346">
        <v>0.52522369999999996</v>
      </c>
      <c r="F1346" t="s">
        <v>46</v>
      </c>
      <c r="G1346">
        <v>-219.93639999999999</v>
      </c>
      <c r="H1346" s="1">
        <v>3.7508639999999998E-6</v>
      </c>
      <c r="I1346">
        <v>283.21789999999999</v>
      </c>
      <c r="J1346">
        <v>-207.80549999999999</v>
      </c>
      <c r="K1346">
        <v>1.1036459999999999</v>
      </c>
      <c r="L1346">
        <v>283.43799999999999</v>
      </c>
      <c r="M1346">
        <v>-0.96841279999999996</v>
      </c>
      <c r="N1346">
        <v>0</v>
      </c>
      <c r="O1346">
        <v>-0.2490569</v>
      </c>
      <c r="P1346">
        <v>-0.99115540000000002</v>
      </c>
      <c r="Q1346">
        <v>0.1032633</v>
      </c>
      <c r="R1346">
        <v>-8.3355529999999997E-2</v>
      </c>
      <c r="S1346">
        <v>-3.0503999999999998</v>
      </c>
      <c r="T1346">
        <v>-0.27234770000000003</v>
      </c>
      <c r="U1346">
        <v>-6.7108150000000005E-2</v>
      </c>
      <c r="V1346">
        <v>0.16794489999999901</v>
      </c>
      <c r="W1346">
        <v>0.1125216</v>
      </c>
      <c r="X1346">
        <v>0.97935349999999999</v>
      </c>
      <c r="Y1346">
        <v>0.22584389999999999</v>
      </c>
      <c r="Z1346">
        <v>3.205889E-2</v>
      </c>
      <c r="AA1346">
        <v>0.9736359</v>
      </c>
      <c r="AB1346">
        <v>26</v>
      </c>
      <c r="AC1346">
        <v>-12.130899999999899</v>
      </c>
      <c r="AD1346">
        <v>-1.1036422491359901</v>
      </c>
      <c r="AE1346">
        <v>-0.22010000000000199</v>
      </c>
      <c r="AF1346">
        <v>2.7852973522743101</v>
      </c>
      <c r="AG1346">
        <v>-1.1036422491359901</v>
      </c>
      <c r="AH1346">
        <v>11.706543025158799</v>
      </c>
      <c r="AI1346">
        <v>95.240247715378601</v>
      </c>
      <c r="AJ1346">
        <v>76.616649390090998</v>
      </c>
      <c r="AK1346">
        <v>12.0838345385295</v>
      </c>
      <c r="AL1346">
        <v>83.539304329305907</v>
      </c>
      <c r="AM1346">
        <v>80.269254230655307</v>
      </c>
      <c r="AN1346">
        <v>0.99999993893240802</v>
      </c>
    </row>
    <row r="1347" spans="1:40" x14ac:dyDescent="0.25">
      <c r="A1347" t="str">
        <f>"20190312164247392"</f>
        <v>20190312164247392</v>
      </c>
      <c r="B1347" t="str">
        <f>"1552380167385307"</f>
        <v>1552380167385307</v>
      </c>
      <c r="C1347" t="s">
        <v>40</v>
      </c>
      <c r="D1347">
        <v>4.4089980000000004</v>
      </c>
      <c r="E1347">
        <v>0.52521309999999999</v>
      </c>
      <c r="F1347" t="s">
        <v>46</v>
      </c>
      <c r="G1347">
        <v>-220.01490000000001</v>
      </c>
      <c r="H1347" s="1">
        <v>-1.5288479999999999E-6</v>
      </c>
      <c r="I1347">
        <v>283.16770000000002</v>
      </c>
      <c r="J1347">
        <v>-208.06129999999999</v>
      </c>
      <c r="K1347">
        <v>1.103634</v>
      </c>
      <c r="L1347">
        <v>283.38290000000001</v>
      </c>
      <c r="M1347">
        <v>-0.97071980000000002</v>
      </c>
      <c r="N1347">
        <v>0</v>
      </c>
      <c r="O1347">
        <v>-0.23990980000000001</v>
      </c>
      <c r="P1347">
        <v>-0.99125700000000005</v>
      </c>
      <c r="Q1347">
        <v>0.10250860000000001</v>
      </c>
      <c r="R1347">
        <v>-8.3076339999999999E-2</v>
      </c>
      <c r="S1347">
        <v>-3.0498050000000001</v>
      </c>
      <c r="T1347">
        <v>-0.27568209999999999</v>
      </c>
      <c r="U1347">
        <v>-6.7535399999999995E-2</v>
      </c>
      <c r="V1347">
        <v>0.1589728</v>
      </c>
      <c r="W1347">
        <v>0.1118777</v>
      </c>
      <c r="X1347">
        <v>0.98092360000000001</v>
      </c>
      <c r="Y1347">
        <v>0.21653330000000001</v>
      </c>
      <c r="Z1347">
        <v>3.1231559999999998E-2</v>
      </c>
      <c r="AA1347">
        <v>0.97577550000000002</v>
      </c>
      <c r="AB1347">
        <v>26</v>
      </c>
      <c r="AC1347">
        <v>-11.9536</v>
      </c>
      <c r="AD1347">
        <v>-1.103635528848</v>
      </c>
      <c r="AE1347">
        <v>-0.21519999999998099</v>
      </c>
      <c r="AF1347">
        <v>2.6366137249103399</v>
      </c>
      <c r="AG1347">
        <v>-1.103635528848</v>
      </c>
      <c r="AH1347">
        <v>11.557590445116199</v>
      </c>
      <c r="AI1347">
        <v>95.3188081362742</v>
      </c>
      <c r="AJ1347">
        <v>77.149128305777893</v>
      </c>
      <c r="AK1347">
        <v>11.9057817975958</v>
      </c>
      <c r="AL1347">
        <v>83.576432169221206</v>
      </c>
      <c r="AM1347">
        <v>80.794431077592904</v>
      </c>
      <c r="AN1347">
        <v>1.0000000399670399</v>
      </c>
    </row>
    <row r="1348" spans="1:40" x14ac:dyDescent="0.25">
      <c r="A1348" t="str">
        <f>"20190312164247414"</f>
        <v>20190312164247414</v>
      </c>
      <c r="B1348" t="str">
        <f>"1552380167405803"</f>
        <v>1552380167405803</v>
      </c>
      <c r="C1348" t="s">
        <v>40</v>
      </c>
      <c r="D1348">
        <v>4.4185860000000003</v>
      </c>
      <c r="E1348">
        <v>0.52521989999999996</v>
      </c>
      <c r="F1348" t="s">
        <v>46</v>
      </c>
      <c r="G1348">
        <v>-220.24700000000001</v>
      </c>
      <c r="H1348" s="1">
        <v>-1.4053379999999999E-6</v>
      </c>
      <c r="I1348">
        <v>283.1216</v>
      </c>
      <c r="J1348">
        <v>-208.3203</v>
      </c>
      <c r="K1348">
        <v>1.1036239999999999</v>
      </c>
      <c r="L1348">
        <v>283.32960000000003</v>
      </c>
      <c r="M1348">
        <v>-0.97296240000000001</v>
      </c>
      <c r="N1348">
        <v>0</v>
      </c>
      <c r="O1348">
        <v>-0.23064950000000001</v>
      </c>
      <c r="P1348">
        <v>-0.99136270000000004</v>
      </c>
      <c r="Q1348">
        <v>0.1030032</v>
      </c>
      <c r="R1348">
        <v>-8.1184770000000003E-2</v>
      </c>
      <c r="S1348">
        <v>-3.049515</v>
      </c>
      <c r="T1348">
        <v>-0.27618799999999999</v>
      </c>
      <c r="U1348">
        <v>-6.5399170000000006E-2</v>
      </c>
      <c r="V1348">
        <v>0.15148130000000001</v>
      </c>
      <c r="W1348">
        <v>0.1124609</v>
      </c>
      <c r="X1348">
        <v>0.98204170000000002</v>
      </c>
      <c r="Y1348">
        <v>0.2079713</v>
      </c>
      <c r="Z1348">
        <v>3.0087760000000002E-2</v>
      </c>
      <c r="AA1348">
        <v>0.97767210000000004</v>
      </c>
      <c r="AB1348">
        <v>26</v>
      </c>
      <c r="AC1348">
        <v>-11.9267</v>
      </c>
      <c r="AD1348">
        <v>-1.1036254053379999</v>
      </c>
      <c r="AE1348">
        <v>-0.208000000000026</v>
      </c>
      <c r="AF1348">
        <v>2.5270644495104002</v>
      </c>
      <c r="AG1348">
        <v>-1.1036254053379999</v>
      </c>
      <c r="AH1348">
        <v>11.554147680658801</v>
      </c>
      <c r="AI1348">
        <v>95.330941938333396</v>
      </c>
      <c r="AJ1348">
        <v>77.662831056215396</v>
      </c>
      <c r="AK1348">
        <v>11.878651960292499</v>
      </c>
      <c r="AL1348">
        <v>83.542804596907303</v>
      </c>
      <c r="AM1348">
        <v>81.231157482405806</v>
      </c>
      <c r="AN1348">
        <v>0.99999996940869396</v>
      </c>
    </row>
    <row r="1349" spans="1:40" x14ac:dyDescent="0.25">
      <c r="A1349" t="str">
        <f>"20190312164247441"</f>
        <v>20190312164247441</v>
      </c>
      <c r="B1349" t="str">
        <f>"1552380167435082"</f>
        <v>1552380167435082</v>
      </c>
      <c r="C1349" t="s">
        <v>40</v>
      </c>
      <c r="D1349">
        <v>4.4133750000000003</v>
      </c>
      <c r="E1349">
        <v>0.52514640000000001</v>
      </c>
      <c r="F1349" t="s">
        <v>46</v>
      </c>
      <c r="G1349">
        <v>-220.61359999999999</v>
      </c>
      <c r="H1349" s="1">
        <v>-1.210258E-6</v>
      </c>
      <c r="I1349">
        <v>283.08530000000002</v>
      </c>
      <c r="J1349">
        <v>-208.60839999999999</v>
      </c>
      <c r="K1349">
        <v>1.103626</v>
      </c>
      <c r="L1349">
        <v>283.27319999999997</v>
      </c>
      <c r="M1349">
        <v>-0.97534390000000004</v>
      </c>
      <c r="N1349">
        <v>0</v>
      </c>
      <c r="O1349">
        <v>-0.22036310000000001</v>
      </c>
      <c r="P1349">
        <v>-0.99149679999999996</v>
      </c>
      <c r="Q1349">
        <v>0.10405250000000001</v>
      </c>
      <c r="R1349">
        <v>-7.8148270000000006E-2</v>
      </c>
      <c r="S1349">
        <v>-3.0495909999999999</v>
      </c>
      <c r="T1349">
        <v>-0.27377509999999999</v>
      </c>
      <c r="U1349">
        <v>-6.0607910000000001E-2</v>
      </c>
      <c r="V1349">
        <v>0.14409739999999999</v>
      </c>
      <c r="W1349">
        <v>0.1135975</v>
      </c>
      <c r="X1349">
        <v>0.98302160000000005</v>
      </c>
      <c r="Y1349">
        <v>0.1992796</v>
      </c>
      <c r="Z1349">
        <v>2.8535140000000001E-2</v>
      </c>
      <c r="AA1349">
        <v>0.97952709999999998</v>
      </c>
      <c r="AB1349">
        <v>26</v>
      </c>
      <c r="AC1349">
        <v>-12.0052</v>
      </c>
      <c r="AD1349">
        <v>-1.103627210258</v>
      </c>
      <c r="AE1349">
        <v>-0.18789999999995599</v>
      </c>
      <c r="AF1349">
        <v>2.4417833808195</v>
      </c>
      <c r="AG1349">
        <v>-1.103627210258</v>
      </c>
      <c r="AH1349">
        <v>11.6529982946041</v>
      </c>
      <c r="AI1349">
        <v>95.295867200658293</v>
      </c>
      <c r="AJ1349">
        <v>78.165399565140504</v>
      </c>
      <c r="AK1349">
        <v>11.9571178948823</v>
      </c>
      <c r="AL1349">
        <v>83.4772621249151</v>
      </c>
      <c r="AM1349">
        <v>81.660621831274895</v>
      </c>
      <c r="AN1349">
        <v>0.99999995937978403</v>
      </c>
    </row>
    <row r="1350" spans="1:40" x14ac:dyDescent="0.25">
      <c r="A1350" t="str">
        <f>"20190312164247463"</f>
        <v>20190312164247463</v>
      </c>
      <c r="B1350" t="str">
        <f>"1552380167455579"</f>
        <v>1552380167455579</v>
      </c>
      <c r="C1350" t="s">
        <v>40</v>
      </c>
      <c r="D1350">
        <v>4.5042080000000002</v>
      </c>
      <c r="E1350">
        <v>0.52512939999999997</v>
      </c>
      <c r="F1350" t="s">
        <v>46</v>
      </c>
      <c r="G1350">
        <v>-220.94229999999999</v>
      </c>
      <c r="H1350" s="1">
        <v>-1.0353540000000001E-6</v>
      </c>
      <c r="I1350">
        <v>283.05790000000002</v>
      </c>
      <c r="J1350">
        <v>-208.86009999999999</v>
      </c>
      <c r="K1350">
        <v>1.1036410000000001</v>
      </c>
      <c r="L1350">
        <v>283.22660000000002</v>
      </c>
      <c r="M1350">
        <v>-0.9773231</v>
      </c>
      <c r="N1350">
        <v>0</v>
      </c>
      <c r="O1350">
        <v>-0.21141450000000001</v>
      </c>
      <c r="P1350">
        <v>-0.99154180000000003</v>
      </c>
      <c r="Q1350">
        <v>0.1053748</v>
      </c>
      <c r="R1350">
        <v>-7.5769639999999999E-2</v>
      </c>
      <c r="S1350">
        <v>-3.0501860000000001</v>
      </c>
      <c r="T1350">
        <v>-0.27292949999999999</v>
      </c>
      <c r="U1350">
        <v>-5.3253170000000002E-2</v>
      </c>
      <c r="V1350">
        <v>0.1374215</v>
      </c>
      <c r="W1350">
        <v>0.11500109999999999</v>
      </c>
      <c r="X1350">
        <v>0.98381410000000002</v>
      </c>
      <c r="Y1350">
        <v>0.1927326</v>
      </c>
      <c r="Z1350">
        <v>2.736767E-2</v>
      </c>
      <c r="AA1350">
        <v>0.98086960000000001</v>
      </c>
      <c r="AB1350">
        <v>26</v>
      </c>
      <c r="AC1350">
        <v>-12.0822</v>
      </c>
      <c r="AD1350">
        <v>-1.103642035354</v>
      </c>
      <c r="AE1350">
        <v>-0.16870000000000099</v>
      </c>
      <c r="AF1350">
        <v>2.3698793200675299</v>
      </c>
      <c r="AG1350">
        <v>-1.103642035354</v>
      </c>
      <c r="AH1350">
        <v>11.746735056158</v>
      </c>
      <c r="AI1350">
        <v>95.261954076734199</v>
      </c>
      <c r="AJ1350">
        <v>78.5938036064165</v>
      </c>
      <c r="AK1350">
        <v>12.034123907184</v>
      </c>
      <c r="AL1350">
        <v>83.396311853280395</v>
      </c>
      <c r="AM1350">
        <v>82.048238551711407</v>
      </c>
      <c r="AN1350">
        <v>1.0000000525111301</v>
      </c>
    </row>
    <row r="1351" spans="1:40" x14ac:dyDescent="0.25">
      <c r="A1351" t="str">
        <f>"20190312164247484"</f>
        <v>20190312164247484</v>
      </c>
      <c r="B1351" t="str">
        <f>"1552380167475098"</f>
        <v>1552380167475098</v>
      </c>
      <c r="C1351" t="s">
        <v>40</v>
      </c>
      <c r="D1351">
        <v>4.7976619999999999</v>
      </c>
      <c r="E1351">
        <v>0.52515789999999996</v>
      </c>
      <c r="F1351" t="s">
        <v>41</v>
      </c>
      <c r="G1351">
        <v>-209.82650000000001</v>
      </c>
      <c r="H1351">
        <v>1.0180389999999999</v>
      </c>
      <c r="I1351">
        <v>283.2115</v>
      </c>
      <c r="J1351">
        <v>-209.12260000000001</v>
      </c>
      <c r="K1351">
        <v>1.103658</v>
      </c>
      <c r="L1351">
        <v>283.18049999999999</v>
      </c>
      <c r="M1351">
        <v>-0.9792845</v>
      </c>
      <c r="N1351">
        <v>0</v>
      </c>
      <c r="O1351">
        <v>-0.20213829999999999</v>
      </c>
      <c r="P1351">
        <v>-0.99174859999999998</v>
      </c>
      <c r="Q1351">
        <v>0.1054692</v>
      </c>
      <c r="R1351">
        <v>-7.288E-2</v>
      </c>
      <c r="S1351">
        <v>-3.0506129999999998</v>
      </c>
      <c r="T1351">
        <v>-0.27005839999999998</v>
      </c>
      <c r="U1351">
        <v>-4.788208E-2</v>
      </c>
      <c r="V1351">
        <v>0.13094020000000001</v>
      </c>
      <c r="W1351">
        <v>0.115175</v>
      </c>
      <c r="X1351">
        <v>0.98467729999999998</v>
      </c>
      <c r="Y1351">
        <v>0.18525259999999999</v>
      </c>
      <c r="Z1351">
        <v>2.5942670000000001E-2</v>
      </c>
      <c r="AA1351">
        <v>0.98234840000000001</v>
      </c>
      <c r="AB1351">
        <v>26</v>
      </c>
      <c r="AC1351">
        <v>-0.70390000000000397</v>
      </c>
      <c r="AD1351">
        <v>-8.5619000000000098E-2</v>
      </c>
      <c r="AE1351">
        <v>3.1000000000005901E-2</v>
      </c>
      <c r="AF1351">
        <v>0.170142815997398</v>
      </c>
      <c r="AG1351">
        <v>-8.5619000000000098E-2</v>
      </c>
      <c r="AH1351">
        <v>0.67316035982317002</v>
      </c>
      <c r="AI1351">
        <v>97.0297563997228</v>
      </c>
      <c r="AJ1351">
        <v>75.815434987468706</v>
      </c>
      <c r="AK1351">
        <v>0.699588494069038</v>
      </c>
      <c r="AL1351">
        <v>83.386281125710099</v>
      </c>
      <c r="AM1351">
        <v>82.425373509054594</v>
      </c>
      <c r="AN1351">
        <v>1.00000000086816</v>
      </c>
    </row>
    <row r="1352" spans="1:40" x14ac:dyDescent="0.25">
      <c r="A1352" t="str">
        <f>"20190312164247505"</f>
        <v>20190312164247505</v>
      </c>
      <c r="B1352" t="str">
        <f>"1552380167495595"</f>
        <v>1552380167495595</v>
      </c>
      <c r="C1352" t="s">
        <v>40</v>
      </c>
      <c r="D1352">
        <v>4.545795</v>
      </c>
      <c r="E1352">
        <v>0.52519589999999905</v>
      </c>
      <c r="F1352" t="s">
        <v>41</v>
      </c>
      <c r="G1352">
        <v>-210.05459999999999</v>
      </c>
      <c r="H1352">
        <v>1.020966</v>
      </c>
      <c r="I1352">
        <v>283.1678</v>
      </c>
      <c r="J1352">
        <v>-209.3553</v>
      </c>
      <c r="K1352">
        <v>1.1036859999999999</v>
      </c>
      <c r="L1352">
        <v>283.14170000000001</v>
      </c>
      <c r="M1352">
        <v>-0.98093739999999996</v>
      </c>
      <c r="N1352">
        <v>0</v>
      </c>
      <c r="O1352">
        <v>-0.1939601</v>
      </c>
      <c r="P1352">
        <v>-0.99183580000000005</v>
      </c>
      <c r="Q1352">
        <v>0.10599</v>
      </c>
      <c r="R1352">
        <v>-7.0907999999999999E-2</v>
      </c>
      <c r="S1352">
        <v>-3.0506440000000001</v>
      </c>
      <c r="T1352">
        <v>-0.27060889999999999</v>
      </c>
      <c r="U1352">
        <v>-4.1839599999999998E-2</v>
      </c>
      <c r="V1352">
        <v>0.1246599</v>
      </c>
      <c r="W1352">
        <v>0.1157765</v>
      </c>
      <c r="X1352">
        <v>0.98542160000000001</v>
      </c>
      <c r="Y1352">
        <v>0.17904619999999999</v>
      </c>
      <c r="Z1352">
        <v>2.5009119999999999E-2</v>
      </c>
      <c r="AA1352">
        <v>0.98352280000000003</v>
      </c>
      <c r="AB1352">
        <v>26</v>
      </c>
      <c r="AC1352">
        <v>-0.69929999999999304</v>
      </c>
      <c r="AD1352">
        <v>-8.2720000000000099E-2</v>
      </c>
      <c r="AE1352">
        <v>2.6099999999985302E-2</v>
      </c>
      <c r="AF1352">
        <v>0.15902805860400901</v>
      </c>
      <c r="AG1352">
        <v>-8.2720000000000099E-2</v>
      </c>
      <c r="AH1352">
        <v>0.67157141272743803</v>
      </c>
      <c r="AI1352">
        <v>96.834816391621203</v>
      </c>
      <c r="AJ1352">
        <v>76.677757271861594</v>
      </c>
      <c r="AK1352">
        <v>0.69508322107218701</v>
      </c>
      <c r="AL1352">
        <v>83.351585666748605</v>
      </c>
      <c r="AM1352">
        <v>82.790145094103906</v>
      </c>
      <c r="AN1352">
        <v>1.00000000918341</v>
      </c>
    </row>
    <row r="1353" spans="1:40" x14ac:dyDescent="0.25">
      <c r="A1353" t="str">
        <f>"20190312164247527"</f>
        <v>20190312164247527</v>
      </c>
      <c r="B1353" t="str">
        <f>"1552380167515115"</f>
        <v>1552380167515115</v>
      </c>
      <c r="C1353" t="s">
        <v>40</v>
      </c>
      <c r="D1353">
        <v>4.9011969999999998</v>
      </c>
      <c r="E1353">
        <v>0.52521169999999995</v>
      </c>
      <c r="F1353" t="s">
        <v>41</v>
      </c>
      <c r="G1353">
        <v>-210.28370000000001</v>
      </c>
      <c r="H1353">
        <v>1.0218959999999999</v>
      </c>
      <c r="I1353">
        <v>283.13040000000001</v>
      </c>
      <c r="J1353">
        <v>-209.61449999999999</v>
      </c>
      <c r="K1353">
        <v>1.1037239999999999</v>
      </c>
      <c r="L1353">
        <v>283.10079999999999</v>
      </c>
      <c r="M1353">
        <v>-0.98268409999999995</v>
      </c>
      <c r="N1353">
        <v>0</v>
      </c>
      <c r="O1353">
        <v>-0.18490960000000001</v>
      </c>
      <c r="P1353">
        <v>-0.99203019999999997</v>
      </c>
      <c r="Q1353">
        <v>0.106698</v>
      </c>
      <c r="R1353">
        <v>-6.7019880000000004E-2</v>
      </c>
      <c r="S1353">
        <v>-3.0507049999999998</v>
      </c>
      <c r="T1353">
        <v>-0.26861410000000002</v>
      </c>
      <c r="U1353">
        <v>-3.7689210000000001E-2</v>
      </c>
      <c r="V1353">
        <v>0.11941599999999999</v>
      </c>
      <c r="W1353">
        <v>0.116549</v>
      </c>
      <c r="X1353">
        <v>0.98597979999999996</v>
      </c>
      <c r="Y1353">
        <v>0.17139689999999999</v>
      </c>
      <c r="Z1353">
        <v>2.3705790000000001E-2</v>
      </c>
      <c r="AA1353">
        <v>0.98491680000000004</v>
      </c>
      <c r="AB1353">
        <v>26</v>
      </c>
      <c r="AC1353">
        <v>-0.669200000000017</v>
      </c>
      <c r="AD1353">
        <v>-8.1827999999999998E-2</v>
      </c>
      <c r="AE1353">
        <v>2.96000000000162E-2</v>
      </c>
      <c r="AF1353">
        <v>0.150592459261984</v>
      </c>
      <c r="AG1353">
        <v>-8.1827999999999998E-2</v>
      </c>
      <c r="AH1353">
        <v>0.64259549441492603</v>
      </c>
      <c r="AI1353">
        <v>97.067512468734506</v>
      </c>
      <c r="AJ1353">
        <v>76.810729764043998</v>
      </c>
      <c r="AK1353">
        <v>0.66505855367248401</v>
      </c>
      <c r="AL1353">
        <v>83.307022989231697</v>
      </c>
      <c r="AM1353">
        <v>83.094311039552096</v>
      </c>
      <c r="AN1353">
        <v>1.00000000823252</v>
      </c>
    </row>
    <row r="1354" spans="1:40" x14ac:dyDescent="0.25">
      <c r="A1354" t="str">
        <f>"20190312164247550"</f>
        <v>20190312164247550</v>
      </c>
      <c r="B1354" t="str">
        <f>"1552380167545371"</f>
        <v>1552380167545371</v>
      </c>
      <c r="C1354" t="s">
        <v>40</v>
      </c>
      <c r="D1354">
        <v>4.9146510000000001</v>
      </c>
      <c r="E1354">
        <v>0.52522809999999998</v>
      </c>
      <c r="F1354" t="s">
        <v>41</v>
      </c>
      <c r="G1354">
        <v>-210.51519999999999</v>
      </c>
      <c r="H1354">
        <v>1.025304</v>
      </c>
      <c r="I1354">
        <v>283.09289999999999</v>
      </c>
      <c r="J1354">
        <v>-209.8732</v>
      </c>
      <c r="K1354">
        <v>1.103774</v>
      </c>
      <c r="L1354">
        <v>283.06229999999999</v>
      </c>
      <c r="M1354">
        <v>-0.98432649999999999</v>
      </c>
      <c r="N1354">
        <v>0</v>
      </c>
      <c r="O1354">
        <v>-0.17595930000000001</v>
      </c>
      <c r="P1354">
        <v>-0.99216470000000001</v>
      </c>
      <c r="Q1354">
        <v>0.10840039999999999</v>
      </c>
      <c r="R1354">
        <v>-6.2117819999999997E-2</v>
      </c>
      <c r="S1354">
        <v>-3.0508730000000002</v>
      </c>
      <c r="T1354">
        <v>-0.26564660000000001</v>
      </c>
      <c r="U1354">
        <v>-2.676392E-2</v>
      </c>
      <c r="V1354">
        <v>0.11528910000000001</v>
      </c>
      <c r="W1354">
        <v>0.11829870000000001</v>
      </c>
      <c r="X1354">
        <v>0.98626259999999999</v>
      </c>
      <c r="Y1354">
        <v>0.166041299999999</v>
      </c>
      <c r="Z1354">
        <v>2.2444860000000001E-2</v>
      </c>
      <c r="AA1354">
        <v>0.9858633</v>
      </c>
      <c r="AB1354">
        <v>26</v>
      </c>
      <c r="AC1354">
        <v>-0.64199999999999502</v>
      </c>
      <c r="AD1354">
        <v>-7.8469999999999998E-2</v>
      </c>
      <c r="AE1354">
        <v>3.0599999999992598E-2</v>
      </c>
      <c r="AF1354">
        <v>0.14099463410049301</v>
      </c>
      <c r="AG1354">
        <v>-7.8469999999999998E-2</v>
      </c>
      <c r="AH1354">
        <v>0.61739433604115901</v>
      </c>
      <c r="AI1354">
        <v>97.063439105113204</v>
      </c>
      <c r="AJ1354">
        <v>77.135941364314107</v>
      </c>
      <c r="AK1354">
        <v>0.63813226992594196</v>
      </c>
      <c r="AL1354">
        <v>83.206074376431701</v>
      </c>
      <c r="AM1354">
        <v>83.332672252229699</v>
      </c>
      <c r="AN1354">
        <v>1.0000000375796201</v>
      </c>
    </row>
    <row r="1355" spans="1:40" x14ac:dyDescent="0.25">
      <c r="A1355" t="str">
        <f>"20190312164247570"</f>
        <v>20190312164247570</v>
      </c>
      <c r="B1355" t="str">
        <f>"1552380167565867"</f>
        <v>1552380167565867</v>
      </c>
      <c r="C1355" t="s">
        <v>40</v>
      </c>
      <c r="D1355">
        <v>4.9743490000000001</v>
      </c>
      <c r="E1355">
        <v>0.52520529999999999</v>
      </c>
      <c r="F1355" t="s">
        <v>41</v>
      </c>
      <c r="G1355">
        <v>-210.7483</v>
      </c>
      <c r="H1355">
        <v>1.0293219999999901</v>
      </c>
      <c r="I1355">
        <v>283.05869999999999</v>
      </c>
      <c r="J1355">
        <v>-210.11609999999999</v>
      </c>
      <c r="K1355">
        <v>1.1038269999999999</v>
      </c>
      <c r="L1355">
        <v>283.02820000000003</v>
      </c>
      <c r="M1355">
        <v>-0.98577939999999997</v>
      </c>
      <c r="N1355">
        <v>0</v>
      </c>
      <c r="O1355">
        <v>-0.16763129999999901</v>
      </c>
      <c r="P1355">
        <v>-0.99225240000000003</v>
      </c>
      <c r="Q1355">
        <v>0.1103349</v>
      </c>
      <c r="R1355">
        <v>-5.7110269999999998E-2</v>
      </c>
      <c r="S1355">
        <v>-3.0512389999999998</v>
      </c>
      <c r="T1355">
        <v>-0.25943640000000001</v>
      </c>
      <c r="U1355">
        <v>-1.318359E-2</v>
      </c>
      <c r="V1355">
        <v>0.1119028</v>
      </c>
      <c r="W1355">
        <v>0.1202705</v>
      </c>
      <c r="X1355">
        <v>0.98641409999999996</v>
      </c>
      <c r="Y1355">
        <v>0.16219629999999999</v>
      </c>
      <c r="Z1355">
        <v>2.1059339999999999E-2</v>
      </c>
      <c r="AA1355">
        <v>0.98653380000000002</v>
      </c>
      <c r="AB1355">
        <v>26</v>
      </c>
      <c r="AC1355">
        <v>-0.63220000000001098</v>
      </c>
      <c r="AD1355">
        <v>-7.4505000000000196E-2</v>
      </c>
      <c r="AE1355">
        <v>3.0499999999960802E-2</v>
      </c>
      <c r="AF1355">
        <v>0.13419278006809399</v>
      </c>
      <c r="AG1355">
        <v>-7.4505000000000196E-2</v>
      </c>
      <c r="AH1355">
        <v>0.60969169138261903</v>
      </c>
      <c r="AI1355">
        <v>96.805748883804</v>
      </c>
      <c r="AJ1355">
        <v>77.587148894515195</v>
      </c>
      <c r="AK1355">
        <v>0.62871508315643498</v>
      </c>
      <c r="AL1355">
        <v>83.092285868498095</v>
      </c>
      <c r="AM1355">
        <v>83.527805428709499</v>
      </c>
      <c r="AN1355">
        <v>1.00000000324845</v>
      </c>
    </row>
    <row r="1356" spans="1:40" x14ac:dyDescent="0.25">
      <c r="A1356" t="str">
        <f>"20190312164247593"</f>
        <v>20190312164247593</v>
      </c>
      <c r="B1356" t="str">
        <f>"1552380167585387"</f>
        <v>1552380167585387</v>
      </c>
      <c r="C1356" t="s">
        <v>40</v>
      </c>
      <c r="D1356">
        <v>4.7204569999999997</v>
      </c>
      <c r="E1356">
        <v>0.52511770000000002</v>
      </c>
      <c r="F1356" t="s">
        <v>41</v>
      </c>
      <c r="G1356">
        <v>-210.98150000000001</v>
      </c>
      <c r="H1356">
        <v>1.031987</v>
      </c>
      <c r="I1356">
        <v>283.0283</v>
      </c>
      <c r="J1356">
        <v>-210.3835</v>
      </c>
      <c r="K1356">
        <v>1.103885</v>
      </c>
      <c r="L1356">
        <v>282.99299999999999</v>
      </c>
      <c r="M1356">
        <v>-0.98727980000000004</v>
      </c>
      <c r="N1356">
        <v>0</v>
      </c>
      <c r="O1356">
        <v>-0.15855810000000001</v>
      </c>
      <c r="P1356">
        <v>-0.9924248</v>
      </c>
      <c r="Q1356">
        <v>0.11165700000000001</v>
      </c>
      <c r="R1356">
        <v>-5.1241420000000003E-2</v>
      </c>
      <c r="S1356">
        <v>-3.05159</v>
      </c>
      <c r="T1356">
        <v>-0.2533474</v>
      </c>
      <c r="U1356">
        <v>0</v>
      </c>
      <c r="V1356">
        <v>0.1086387</v>
      </c>
      <c r="W1356">
        <v>0.121629</v>
      </c>
      <c r="X1356">
        <v>0.98661239999999994</v>
      </c>
      <c r="Y1356">
        <v>0.15748519999999999</v>
      </c>
      <c r="Z1356">
        <v>1.962622E-2</v>
      </c>
      <c r="AA1356">
        <v>0.98732629999999999</v>
      </c>
      <c r="AB1356">
        <v>26</v>
      </c>
      <c r="AC1356">
        <v>-0.59800000000001297</v>
      </c>
      <c r="AD1356">
        <v>-7.1898000000000004E-2</v>
      </c>
      <c r="AE1356">
        <v>3.53000000000065E-2</v>
      </c>
      <c r="AF1356">
        <v>0.12783615324313299</v>
      </c>
      <c r="AG1356">
        <v>-7.1898000000000004E-2</v>
      </c>
      <c r="AH1356">
        <v>0.57653147730258403</v>
      </c>
      <c r="AI1356">
        <v>96.941641349569096</v>
      </c>
      <c r="AJ1356">
        <v>77.497896953662007</v>
      </c>
      <c r="AK1356">
        <v>0.59489490567721404</v>
      </c>
      <c r="AL1356">
        <v>83.013873902145306</v>
      </c>
      <c r="AM1356">
        <v>83.716313245392996</v>
      </c>
      <c r="AN1356">
        <v>1.00000000430622</v>
      </c>
    </row>
    <row r="1357" spans="1:40" x14ac:dyDescent="0.25">
      <c r="A1357" t="str">
        <f>"20190312164247615"</f>
        <v>20190312164247615</v>
      </c>
      <c r="B1357" t="str">
        <f>"1552380167605883"</f>
        <v>1552380167605883</v>
      </c>
      <c r="C1357" t="s">
        <v>40</v>
      </c>
      <c r="D1357">
        <v>4.7083399999999997</v>
      </c>
      <c r="E1357">
        <v>0.52498159999999905</v>
      </c>
      <c r="F1357" t="s">
        <v>41</v>
      </c>
      <c r="G1357">
        <v>-211.21520000000001</v>
      </c>
      <c r="H1357">
        <v>1.035642</v>
      </c>
      <c r="I1357">
        <v>282.9975</v>
      </c>
      <c r="J1357">
        <v>-210.6421</v>
      </c>
      <c r="K1357">
        <v>1.103939</v>
      </c>
      <c r="L1357">
        <v>282.96120000000002</v>
      </c>
      <c r="M1357">
        <v>-0.98863590000000001</v>
      </c>
      <c r="N1357">
        <v>0</v>
      </c>
      <c r="O1357">
        <v>-0.1498717</v>
      </c>
      <c r="P1357">
        <v>-0.99263290000000004</v>
      </c>
      <c r="Q1357">
        <v>0.11187610000000001</v>
      </c>
      <c r="R1357">
        <v>-4.6519070000000003E-2</v>
      </c>
      <c r="S1357">
        <v>-3.0518800000000001</v>
      </c>
      <c r="T1357">
        <v>-0.25032140000000003</v>
      </c>
      <c r="U1357">
        <v>1.5991209999999999E-2</v>
      </c>
      <c r="V1357">
        <v>0.104635199999999</v>
      </c>
      <c r="W1357">
        <v>0.1219002</v>
      </c>
      <c r="X1357">
        <v>0.98701159999999999</v>
      </c>
      <c r="Y1357">
        <v>0.1540426</v>
      </c>
      <c r="Z1357">
        <v>1.854604E-2</v>
      </c>
      <c r="AA1357">
        <v>0.98789009999999999</v>
      </c>
      <c r="AB1357">
        <v>26</v>
      </c>
      <c r="AC1357">
        <v>-0.57310000000001005</v>
      </c>
      <c r="AD1357">
        <v>-6.8296999999999997E-2</v>
      </c>
      <c r="AE1357">
        <v>3.6299999999982901E-2</v>
      </c>
      <c r="AF1357">
        <v>0.120088672792935</v>
      </c>
      <c r="AG1357">
        <v>-6.8296999999999997E-2</v>
      </c>
      <c r="AH1357">
        <v>0.55335821991258005</v>
      </c>
      <c r="AI1357">
        <v>96.877515817005005</v>
      </c>
      <c r="AJ1357">
        <v>77.755653534464003</v>
      </c>
      <c r="AK1357">
        <v>0.57034295742736096</v>
      </c>
      <c r="AL1357">
        <v>82.998219056754195</v>
      </c>
      <c r="AM1357">
        <v>83.948554815399504</v>
      </c>
      <c r="AN1357">
        <v>1.00000004118681</v>
      </c>
    </row>
    <row r="1358" spans="1:40" x14ac:dyDescent="0.25">
      <c r="A1358" t="str">
        <f>"20190312164247640"</f>
        <v>20190312164247640</v>
      </c>
      <c r="B1358" t="str">
        <f>"1552380167635163"</f>
        <v>1552380167635163</v>
      </c>
      <c r="C1358" t="s">
        <v>40</v>
      </c>
      <c r="D1358">
        <v>4.7352869999999996</v>
      </c>
      <c r="E1358">
        <v>0.52476299999999998</v>
      </c>
      <c r="F1358" t="s">
        <v>41</v>
      </c>
      <c r="G1358">
        <v>-211.44810000000001</v>
      </c>
      <c r="H1358">
        <v>1.037631</v>
      </c>
      <c r="I1358">
        <v>282.96910000000003</v>
      </c>
      <c r="J1358">
        <v>-210.916</v>
      </c>
      <c r="K1358">
        <v>1.103993</v>
      </c>
      <c r="L1358">
        <v>282.9298</v>
      </c>
      <c r="M1358">
        <v>-0.98997469999999999</v>
      </c>
      <c r="N1358">
        <v>0</v>
      </c>
      <c r="O1358">
        <v>-0.1407592</v>
      </c>
      <c r="P1358">
        <v>-0.99277329999999997</v>
      </c>
      <c r="Q1358">
        <v>0.1126938</v>
      </c>
      <c r="R1358">
        <v>-4.1245230000000001E-2</v>
      </c>
      <c r="S1358">
        <v>-3.0519259999999999</v>
      </c>
      <c r="T1358">
        <v>-0.2509787</v>
      </c>
      <c r="U1358">
        <v>2.9357910000000001E-2</v>
      </c>
      <c r="V1358">
        <v>0.1007633</v>
      </c>
      <c r="W1358">
        <v>0.12276720000000001</v>
      </c>
      <c r="X1358">
        <v>0.98730700000000005</v>
      </c>
      <c r="Y1358">
        <v>0.14930850000000001</v>
      </c>
      <c r="Z1358">
        <v>1.765831E-2</v>
      </c>
      <c r="AA1358">
        <v>0.98863299999999998</v>
      </c>
      <c r="AB1358">
        <v>26</v>
      </c>
      <c r="AC1358">
        <v>-0.53210000000001401</v>
      </c>
      <c r="AD1358">
        <v>-6.6362000000000004E-2</v>
      </c>
      <c r="AE1358">
        <v>3.9300000000025599E-2</v>
      </c>
      <c r="AF1358">
        <v>0.11207792576061699</v>
      </c>
      <c r="AG1358">
        <v>-6.6362000000000004E-2</v>
      </c>
      <c r="AH1358">
        <v>0.51332821679218898</v>
      </c>
      <c r="AI1358">
        <v>97.198484491763395</v>
      </c>
      <c r="AJ1358">
        <v>77.683562959774903</v>
      </c>
      <c r="AK1358">
        <v>0.52959534990580404</v>
      </c>
      <c r="AL1358">
        <v>82.948167886924097</v>
      </c>
      <c r="AM1358">
        <v>84.172642087402807</v>
      </c>
      <c r="AN1358">
        <v>1.00000007013586</v>
      </c>
    </row>
    <row r="1359" spans="1:40" x14ac:dyDescent="0.25">
      <c r="A1359" t="str">
        <f>"20190312164247661"</f>
        <v>20190312164247661</v>
      </c>
      <c r="B1359" t="str">
        <f>"1552380167655660"</f>
        <v>1552380167655660</v>
      </c>
      <c r="C1359" t="s">
        <v>40</v>
      </c>
      <c r="D1359">
        <v>4.7745930000000003</v>
      </c>
      <c r="E1359">
        <v>0.52458079999999996</v>
      </c>
      <c r="F1359" t="s">
        <v>41</v>
      </c>
      <c r="G1359">
        <v>-211.6824</v>
      </c>
      <c r="H1359">
        <v>1.0410219999999999</v>
      </c>
      <c r="I1359">
        <v>282.9409</v>
      </c>
      <c r="J1359">
        <v>-211.173</v>
      </c>
      <c r="K1359">
        <v>1.1040410000000001</v>
      </c>
      <c r="L1359">
        <v>282.90269999999998</v>
      </c>
      <c r="M1359">
        <v>-0.99114239999999998</v>
      </c>
      <c r="N1359">
        <v>0</v>
      </c>
      <c r="O1359">
        <v>-0.1322892</v>
      </c>
      <c r="P1359">
        <v>-0.99282219999999999</v>
      </c>
      <c r="Q1359">
        <v>0.11408509999999999</v>
      </c>
      <c r="R1359">
        <v>-3.5899699999999903E-2</v>
      </c>
      <c r="S1359">
        <v>-3.0520939999999999</v>
      </c>
      <c r="T1359">
        <v>-0.25060359999999998</v>
      </c>
      <c r="U1359">
        <v>4.400635E-2</v>
      </c>
      <c r="V1359">
        <v>9.7617369999999995E-2</v>
      </c>
      <c r="W1359">
        <v>0.12419570000000001</v>
      </c>
      <c r="X1359">
        <v>0.98744430000000005</v>
      </c>
      <c r="Y1359">
        <v>0.14564099999999999</v>
      </c>
      <c r="Z1359">
        <v>1.6791489999999999E-2</v>
      </c>
      <c r="AA1359">
        <v>0.98919500000000005</v>
      </c>
      <c r="AB1359">
        <v>26</v>
      </c>
      <c r="AC1359">
        <v>-0.50939999999999896</v>
      </c>
      <c r="AD1359">
        <v>-6.3019000000000103E-2</v>
      </c>
      <c r="AE1359">
        <v>3.8200000000017498E-2</v>
      </c>
      <c r="AF1359">
        <v>0.10367902804194799</v>
      </c>
      <c r="AG1359">
        <v>-6.3019000000000103E-2</v>
      </c>
      <c r="AH1359">
        <v>0.49237504320318298</v>
      </c>
      <c r="AI1359">
        <v>97.1387438589651</v>
      </c>
      <c r="AJ1359">
        <v>78.108988162499998</v>
      </c>
      <c r="AK1359">
        <v>0.50710345925270495</v>
      </c>
      <c r="AL1359">
        <v>82.8656890323346</v>
      </c>
      <c r="AM1359">
        <v>84.354163544034407</v>
      </c>
      <c r="AN1359">
        <v>0.99999998421334801</v>
      </c>
    </row>
    <row r="1360" spans="1:40" x14ac:dyDescent="0.25">
      <c r="A1360" t="str">
        <f>"20190312164247684"</f>
        <v>20190312164247684</v>
      </c>
      <c r="B1360" t="str">
        <f>"1552380167675179"</f>
        <v>1552380167675179</v>
      </c>
      <c r="C1360" t="s">
        <v>40</v>
      </c>
      <c r="D1360">
        <v>4.7751530000000004</v>
      </c>
      <c r="E1360">
        <v>0.52441380000000004</v>
      </c>
      <c r="F1360" t="s">
        <v>41</v>
      </c>
      <c r="G1360">
        <v>-211.91730000000001</v>
      </c>
      <c r="H1360">
        <v>1.0435239999999999</v>
      </c>
      <c r="I1360">
        <v>282.91680000000002</v>
      </c>
      <c r="J1360">
        <v>-211.446</v>
      </c>
      <c r="K1360">
        <v>1.104085</v>
      </c>
      <c r="L1360">
        <v>282.87630000000001</v>
      </c>
      <c r="M1360">
        <v>-0.99229290000000003</v>
      </c>
      <c r="N1360">
        <v>0</v>
      </c>
      <c r="O1360">
        <v>-0.123365</v>
      </c>
      <c r="P1360">
        <v>-0.9928418</v>
      </c>
      <c r="Q1360">
        <v>0.11551690000000001</v>
      </c>
      <c r="R1360">
        <v>-3.0349359999999999E-2</v>
      </c>
      <c r="S1360">
        <v>-3.052292</v>
      </c>
      <c r="T1360">
        <v>-0.248082</v>
      </c>
      <c r="U1360">
        <v>5.7708740000000001E-2</v>
      </c>
      <c r="V1360">
        <v>9.423434E-2</v>
      </c>
      <c r="W1360">
        <v>0.12566140000000001</v>
      </c>
      <c r="X1360">
        <v>0.98758749999999995</v>
      </c>
      <c r="Y1360">
        <v>0.141239</v>
      </c>
      <c r="Z1360">
        <v>1.5723560000000001E-2</v>
      </c>
      <c r="AA1360">
        <v>0.98985060000000002</v>
      </c>
      <c r="AB1360">
        <v>26</v>
      </c>
      <c r="AC1360">
        <v>-0.47130000000001299</v>
      </c>
      <c r="AD1360">
        <v>-6.0560999999999997E-2</v>
      </c>
      <c r="AE1360">
        <v>4.0500000000008599E-2</v>
      </c>
      <c r="AF1360">
        <v>9.6750662517399194E-2</v>
      </c>
      <c r="AG1360">
        <v>-6.0560999999999997E-2</v>
      </c>
      <c r="AH1360">
        <v>0.45524110362873099</v>
      </c>
      <c r="AI1360">
        <v>97.413919562300904</v>
      </c>
      <c r="AJ1360">
        <v>78.001664326048996</v>
      </c>
      <c r="AK1360">
        <v>0.46933227872335898</v>
      </c>
      <c r="AL1360">
        <v>82.781047495276397</v>
      </c>
      <c r="AM1360">
        <v>84.549411852929197</v>
      </c>
      <c r="AN1360">
        <v>0.999999984220722</v>
      </c>
    </row>
    <row r="1361" spans="1:40" x14ac:dyDescent="0.25">
      <c r="A1361" t="str">
        <f>"20190312164247705"</f>
        <v>20190312164247705</v>
      </c>
      <c r="B1361" t="str">
        <f>"1552380167695676"</f>
        <v>1552380167695676</v>
      </c>
      <c r="C1361" t="s">
        <v>40</v>
      </c>
      <c r="D1361">
        <v>4.8287430000000002</v>
      </c>
      <c r="E1361">
        <v>0.52432500000000004</v>
      </c>
      <c r="F1361" t="s">
        <v>41</v>
      </c>
      <c r="G1361">
        <v>-212.3784</v>
      </c>
      <c r="H1361">
        <v>1.0290760000000001</v>
      </c>
      <c r="I1361">
        <v>282.89859999999999</v>
      </c>
      <c r="J1361">
        <v>-211.69130000000001</v>
      </c>
      <c r="K1361">
        <v>1.10412</v>
      </c>
      <c r="L1361">
        <v>282.85469999999998</v>
      </c>
      <c r="M1361">
        <v>-0.99325140000000001</v>
      </c>
      <c r="N1361">
        <v>0</v>
      </c>
      <c r="O1361">
        <v>-0.1153975</v>
      </c>
      <c r="P1361">
        <v>-0.99280539999999995</v>
      </c>
      <c r="Q1361">
        <v>0.1167319</v>
      </c>
      <c r="R1361">
        <v>-2.6673889999999999E-2</v>
      </c>
      <c r="S1361">
        <v>-3.0523829999999998</v>
      </c>
      <c r="T1361">
        <v>-0.24545149999999999</v>
      </c>
      <c r="U1361">
        <v>7.2631840000000003E-2</v>
      </c>
      <c r="V1361">
        <v>8.9949669999999995E-2</v>
      </c>
      <c r="W1361">
        <v>0.12692339999999999</v>
      </c>
      <c r="X1361">
        <v>0.98782559999999997</v>
      </c>
      <c r="Y1361">
        <v>0.13818469999999999</v>
      </c>
      <c r="Z1361">
        <v>1.4797650000000001E-2</v>
      </c>
      <c r="AA1361">
        <v>0.99029590000000001</v>
      </c>
      <c r="AB1361">
        <v>26</v>
      </c>
      <c r="AC1361">
        <v>-0.68709999999998606</v>
      </c>
      <c r="AD1361">
        <v>-7.5043999999999805E-2</v>
      </c>
      <c r="AE1361">
        <v>4.3900000000007801E-2</v>
      </c>
      <c r="AF1361">
        <v>0.121458708756031</v>
      </c>
      <c r="AG1361">
        <v>-7.5043999999999805E-2</v>
      </c>
      <c r="AH1361">
        <v>0.66948919232170201</v>
      </c>
      <c r="AI1361">
        <v>96.293777673066501</v>
      </c>
      <c r="AJ1361">
        <v>79.717240862911098</v>
      </c>
      <c r="AK1361">
        <v>0.68454335034696501</v>
      </c>
      <c r="AL1361">
        <v>82.7081563627344</v>
      </c>
      <c r="AM1361">
        <v>84.797095096022005</v>
      </c>
      <c r="AN1361">
        <v>0.99999995430801303</v>
      </c>
    </row>
    <row r="1362" spans="1:40" x14ac:dyDescent="0.25">
      <c r="A1362" t="str">
        <f>"20190312164247728"</f>
        <v>20190312164247728</v>
      </c>
      <c r="B1362" t="str">
        <f>"1552380167725931"</f>
        <v>1552380167725931</v>
      </c>
      <c r="C1362" t="s">
        <v>40</v>
      </c>
      <c r="D1362">
        <v>4.8371190000000004</v>
      </c>
      <c r="E1362">
        <v>0.51324650000000005</v>
      </c>
      <c r="F1362" t="s">
        <v>41</v>
      </c>
      <c r="G1362">
        <v>-212.61320000000001</v>
      </c>
      <c r="H1362">
        <v>1.0308729999999999</v>
      </c>
      <c r="I1362">
        <v>282.8802</v>
      </c>
      <c r="J1362">
        <v>-211.9538</v>
      </c>
      <c r="K1362">
        <v>1.1041459999999901</v>
      </c>
      <c r="L1362">
        <v>282.83359999999999</v>
      </c>
      <c r="M1362">
        <v>-0.99419990000000003</v>
      </c>
      <c r="N1362">
        <v>0</v>
      </c>
      <c r="O1362">
        <v>-0.1069204</v>
      </c>
      <c r="P1362">
        <v>-0.99283440000000001</v>
      </c>
      <c r="Q1362">
        <v>0.1172005</v>
      </c>
      <c r="R1362">
        <v>-2.332741E-2</v>
      </c>
      <c r="S1362">
        <v>-3.0524749999999998</v>
      </c>
      <c r="T1362">
        <v>-0.24224229999999999</v>
      </c>
      <c r="U1362">
        <v>8.3984379999999997E-2</v>
      </c>
      <c r="V1362">
        <v>8.4837209999999996E-2</v>
      </c>
      <c r="W1362">
        <v>0.12745129999999999</v>
      </c>
      <c r="X1362">
        <v>0.98820989999999997</v>
      </c>
      <c r="Y1362">
        <v>0.13347779999999901</v>
      </c>
      <c r="Z1362">
        <v>1.3748750000000001E-2</v>
      </c>
      <c r="AA1362">
        <v>0.99095639999999996</v>
      </c>
      <c r="AB1362">
        <v>26</v>
      </c>
      <c r="AC1362">
        <v>-0.65940000000000498</v>
      </c>
      <c r="AD1362">
        <v>-7.3272999999999894E-2</v>
      </c>
      <c r="AE1362">
        <v>4.6600000000012097E-2</v>
      </c>
      <c r="AF1362">
        <v>0.11542275394016301</v>
      </c>
      <c r="AG1362">
        <v>-7.3272999999999894E-2</v>
      </c>
      <c r="AH1362">
        <v>0.64273971820345299</v>
      </c>
      <c r="AI1362">
        <v>96.402160182822499</v>
      </c>
      <c r="AJ1362">
        <v>79.819375398811601</v>
      </c>
      <c r="AK1362">
        <v>0.65711923576500597</v>
      </c>
      <c r="AL1362">
        <v>82.677662576508794</v>
      </c>
      <c r="AM1362">
        <v>85.093223595444201</v>
      </c>
      <c r="AN1362">
        <v>0.99999999626514202</v>
      </c>
    </row>
    <row r="1363" spans="1:40" x14ac:dyDescent="0.25">
      <c r="A1363" t="str">
        <f>"20190312164247749"</f>
        <v>20190312164247749</v>
      </c>
      <c r="B1363" t="str">
        <f>"1552380167745451"</f>
        <v>1552380167745451</v>
      </c>
      <c r="C1363" t="s">
        <v>40</v>
      </c>
      <c r="D1363">
        <v>4.8895299999999997</v>
      </c>
      <c r="E1363">
        <v>0.51490100000000005</v>
      </c>
      <c r="F1363" t="s">
        <v>41</v>
      </c>
      <c r="G1363">
        <v>-212.83619999999999</v>
      </c>
      <c r="H1363">
        <v>1.0144139999999999</v>
      </c>
      <c r="I1363">
        <v>282.83499999999998</v>
      </c>
      <c r="J1363">
        <v>-212.20930000000001</v>
      </c>
      <c r="K1363">
        <v>1.1041719999999999</v>
      </c>
      <c r="L1363">
        <v>282.8152</v>
      </c>
      <c r="M1363">
        <v>-0.99504910000000002</v>
      </c>
      <c r="N1363">
        <v>0</v>
      </c>
      <c r="O1363">
        <v>-9.8707180000000005E-2</v>
      </c>
      <c r="P1363">
        <v>-0.99279249999999997</v>
      </c>
      <c r="Q1363">
        <v>0.1180315</v>
      </c>
      <c r="R1363">
        <v>-2.0780010000000002E-2</v>
      </c>
      <c r="S1363">
        <v>-3.0584560000000001</v>
      </c>
      <c r="T1363">
        <v>-0.31098910000000002</v>
      </c>
      <c r="U1363">
        <v>4.8217770000000002E-3</v>
      </c>
      <c r="V1363">
        <v>7.9198690000000002E-2</v>
      </c>
      <c r="W1363">
        <v>0.1283503</v>
      </c>
      <c r="X1363">
        <v>0.98856149999999998</v>
      </c>
      <c r="Y1363">
        <v>9.9262920000000004E-2</v>
      </c>
      <c r="Z1363">
        <v>1.5033110000000001E-2</v>
      </c>
      <c r="AA1363">
        <v>0.99494769999999999</v>
      </c>
      <c r="AB1363">
        <v>26</v>
      </c>
      <c r="AC1363">
        <v>-0.62689999999997703</v>
      </c>
      <c r="AD1363">
        <v>-8.9758000000000004E-2</v>
      </c>
      <c r="AE1363">
        <v>1.9799999999975101E-2</v>
      </c>
      <c r="AF1363">
        <v>7.9949657890251699E-2</v>
      </c>
      <c r="AG1363">
        <v>-8.9758000000000004E-2</v>
      </c>
      <c r="AH1363">
        <v>0.60940339946626199</v>
      </c>
      <c r="AI1363">
        <v>98.308565604739698</v>
      </c>
      <c r="AJ1363">
        <v>82.525861996081204</v>
      </c>
      <c r="AK1363">
        <v>0.62114487009215902</v>
      </c>
      <c r="AL1363">
        <v>82.625727413014999</v>
      </c>
      <c r="AM1363">
        <v>85.419526767163703</v>
      </c>
      <c r="AN1363">
        <v>1.00000003564502</v>
      </c>
    </row>
    <row r="1364" spans="1:40" x14ac:dyDescent="0.25">
      <c r="A1364" t="str">
        <f>"20190312164247771"</f>
        <v>20190312164247771</v>
      </c>
      <c r="B1364" t="str">
        <f>"1552380167765947"</f>
        <v>1552380167765947</v>
      </c>
      <c r="C1364" t="s">
        <v>40</v>
      </c>
      <c r="D1364">
        <v>4.8939440000000003</v>
      </c>
      <c r="E1364">
        <v>0.51494309999999999</v>
      </c>
      <c r="F1364" t="s">
        <v>41</v>
      </c>
      <c r="G1364">
        <v>-213.07429999999999</v>
      </c>
      <c r="H1364">
        <v>1.020354</v>
      </c>
      <c r="I1364">
        <v>282.82330000000002</v>
      </c>
      <c r="J1364">
        <v>-212.47659999999999</v>
      </c>
      <c r="K1364">
        <v>1.1042099999999999</v>
      </c>
      <c r="L1364">
        <v>282.79820000000001</v>
      </c>
      <c r="M1364">
        <v>-0.99585970000000001</v>
      </c>
      <c r="N1364">
        <v>0</v>
      </c>
      <c r="O1364">
        <v>-9.016776E-2</v>
      </c>
      <c r="P1364">
        <v>-0.99263489999999999</v>
      </c>
      <c r="Q1364">
        <v>0.119814</v>
      </c>
      <c r="R1364">
        <v>-1.7909120000000001E-2</v>
      </c>
      <c r="S1364">
        <v>-3.0575709999999998</v>
      </c>
      <c r="T1364">
        <v>-0.2961879</v>
      </c>
      <c r="U1364">
        <v>2.8076170000000001E-2</v>
      </c>
      <c r="V1364">
        <v>7.3565619999999998E-2</v>
      </c>
      <c r="W1364">
        <v>0.1302005</v>
      </c>
      <c r="X1364">
        <v>0.98875469999999999</v>
      </c>
      <c r="Y1364">
        <v>9.843259E-2</v>
      </c>
      <c r="Z1364">
        <v>1.346293E-2</v>
      </c>
      <c r="AA1364">
        <v>0.99505259999999995</v>
      </c>
      <c r="AB1364">
        <v>26</v>
      </c>
      <c r="AC1364">
        <v>-0.59770000000000301</v>
      </c>
      <c r="AD1364">
        <v>-8.3856000000000097E-2</v>
      </c>
      <c r="AE1364">
        <v>2.5100000000009001E-2</v>
      </c>
      <c r="AF1364">
        <v>7.7374290669229503E-2</v>
      </c>
      <c r="AG1364">
        <v>-8.3856000000000097E-2</v>
      </c>
      <c r="AH1364">
        <v>0.58157438427321495</v>
      </c>
      <c r="AI1364">
        <v>98.134110237220597</v>
      </c>
      <c r="AJ1364">
        <v>82.421712223663505</v>
      </c>
      <c r="AK1364">
        <v>0.59266126415966802</v>
      </c>
      <c r="AL1364">
        <v>82.518821133147</v>
      </c>
      <c r="AM1364">
        <v>85.744902538077199</v>
      </c>
      <c r="AN1364">
        <v>0.999999963709161</v>
      </c>
    </row>
    <row r="1365" spans="1:40" x14ac:dyDescent="0.25">
      <c r="A1365" t="str">
        <f>"20190312164247794"</f>
        <v>20190312164247794</v>
      </c>
      <c r="B1365" t="str">
        <f>"1552380167785467"</f>
        <v>1552380167785467</v>
      </c>
      <c r="C1365" t="s">
        <v>40</v>
      </c>
      <c r="D1365">
        <v>5.096514</v>
      </c>
      <c r="E1365">
        <v>0.51521679999999903</v>
      </c>
      <c r="F1365" t="s">
        <v>41</v>
      </c>
      <c r="G1365">
        <v>-213.3124</v>
      </c>
      <c r="H1365">
        <v>1.0265470000000001</v>
      </c>
      <c r="I1365">
        <v>282.80860000000001</v>
      </c>
      <c r="J1365">
        <v>-212.7379</v>
      </c>
      <c r="K1365">
        <v>1.1042559999999999</v>
      </c>
      <c r="L1365">
        <v>282.78370000000001</v>
      </c>
      <c r="M1365">
        <v>-0.99657510000000005</v>
      </c>
      <c r="N1365">
        <v>0</v>
      </c>
      <c r="O1365">
        <v>-8.1884970000000001E-2</v>
      </c>
      <c r="P1365">
        <v>-0.99237649999999999</v>
      </c>
      <c r="Q1365">
        <v>0.1221141</v>
      </c>
      <c r="R1365">
        <v>-1.6639500000000002E-2</v>
      </c>
      <c r="S1365">
        <v>-3.057175</v>
      </c>
      <c r="T1365">
        <v>-0.28376010000000002</v>
      </c>
      <c r="U1365">
        <v>3.7292480000000003E-2</v>
      </c>
      <c r="V1365">
        <v>6.6595360000000006E-2</v>
      </c>
      <c r="W1365">
        <v>0.13258529999999999</v>
      </c>
      <c r="X1365">
        <v>0.98893180000000003</v>
      </c>
      <c r="Y1365">
        <v>9.3288350000000006E-2</v>
      </c>
      <c r="Z1365">
        <v>1.1898819999999999E-2</v>
      </c>
      <c r="AA1365">
        <v>0.99556800000000001</v>
      </c>
      <c r="AB1365">
        <v>26</v>
      </c>
      <c r="AC1365">
        <v>-0.57450000000000001</v>
      </c>
      <c r="AD1365">
        <v>-7.7709E-2</v>
      </c>
      <c r="AE1365">
        <v>2.4900000000002299E-2</v>
      </c>
      <c r="AF1365">
        <v>7.0573598867146994E-2</v>
      </c>
      <c r="AG1365">
        <v>-7.7709E-2</v>
      </c>
      <c r="AH1365">
        <v>0.56029921389456505</v>
      </c>
      <c r="AI1365">
        <v>97.834964088301703</v>
      </c>
      <c r="AJ1365">
        <v>82.821002462351998</v>
      </c>
      <c r="AK1365">
        <v>0.57004783187810504</v>
      </c>
      <c r="AL1365">
        <v>82.3809870776781</v>
      </c>
      <c r="AM1365">
        <v>86.147478488547407</v>
      </c>
      <c r="AN1365">
        <v>0.99999995440042799</v>
      </c>
    </row>
    <row r="1366" spans="1:40" x14ac:dyDescent="0.25">
      <c r="A1366" t="str">
        <f>"20190312164247816"</f>
        <v>20190312164247816</v>
      </c>
      <c r="B1366" t="str">
        <f>"1552380167804987"</f>
        <v>1552380167804987</v>
      </c>
      <c r="C1366" t="s">
        <v>40</v>
      </c>
      <c r="D1366">
        <v>4.8948729999999996</v>
      </c>
      <c r="E1366">
        <v>0.51526490000000003</v>
      </c>
      <c r="F1366" t="s">
        <v>41</v>
      </c>
      <c r="G1366">
        <v>-213.5506</v>
      </c>
      <c r="H1366">
        <v>1.032494</v>
      </c>
      <c r="I1366">
        <v>282.79559999999998</v>
      </c>
      <c r="J1366">
        <v>-213.00470000000001</v>
      </c>
      <c r="K1366">
        <v>1.104314</v>
      </c>
      <c r="L1366">
        <v>282.77100000000002</v>
      </c>
      <c r="M1366">
        <v>-0.99722670000000002</v>
      </c>
      <c r="N1366">
        <v>0</v>
      </c>
      <c r="O1366">
        <v>-7.3530230000000002E-2</v>
      </c>
      <c r="P1366">
        <v>-0.99207239999999997</v>
      </c>
      <c r="Q1366">
        <v>0.1244999</v>
      </c>
      <c r="R1366">
        <v>-1.709403E-2</v>
      </c>
      <c r="S1366">
        <v>-3.0569760000000001</v>
      </c>
      <c r="T1366">
        <v>-0.26974860000000001</v>
      </c>
      <c r="U1366">
        <v>4.3853759999999999E-2</v>
      </c>
      <c r="V1366">
        <v>5.7832269999999998E-2</v>
      </c>
      <c r="W1366">
        <v>0.135078</v>
      </c>
      <c r="X1366">
        <v>0.98914579999999996</v>
      </c>
      <c r="Y1366">
        <v>8.7208439999999998E-2</v>
      </c>
      <c r="Z1366">
        <v>1.031229E-2</v>
      </c>
      <c r="AA1366">
        <v>0.99613669999999999</v>
      </c>
      <c r="AB1366">
        <v>26</v>
      </c>
      <c r="AC1366">
        <v>-0.54589999999998895</v>
      </c>
      <c r="AD1366">
        <v>-7.1819999999999995E-2</v>
      </c>
      <c r="AE1366">
        <v>2.46000000000208E-2</v>
      </c>
      <c r="AF1366">
        <v>6.3577982583959303E-2</v>
      </c>
      <c r="AG1366">
        <v>-7.1819999999999995E-2</v>
      </c>
      <c r="AH1366">
        <v>0.53339934124662003</v>
      </c>
      <c r="AI1366">
        <v>97.615252218573602</v>
      </c>
      <c r="AJ1366">
        <v>83.202757718443394</v>
      </c>
      <c r="AK1366">
        <v>0.54195491464860301</v>
      </c>
      <c r="AL1366">
        <v>82.236869926709403</v>
      </c>
      <c r="AM1366">
        <v>86.653903733933106</v>
      </c>
      <c r="AN1366">
        <v>1.0000000255974899</v>
      </c>
    </row>
    <row r="1367" spans="1:40" x14ac:dyDescent="0.25">
      <c r="A1367" t="str">
        <f>"20190312164247840"</f>
        <v>20190312164247840</v>
      </c>
      <c r="B1367" t="str">
        <f>"1552380167835242"</f>
        <v>1552380167835242</v>
      </c>
      <c r="C1367" t="s">
        <v>40</v>
      </c>
      <c r="D1367">
        <v>4.889068</v>
      </c>
      <c r="E1367">
        <v>0.51468270000000005</v>
      </c>
      <c r="F1367" t="s">
        <v>41</v>
      </c>
      <c r="G1367">
        <v>-213.78829999999999</v>
      </c>
      <c r="H1367">
        <v>1.0368900000000001</v>
      </c>
      <c r="I1367">
        <v>282.78250000000003</v>
      </c>
      <c r="J1367">
        <v>-213.27459999999999</v>
      </c>
      <c r="K1367">
        <v>1.104398</v>
      </c>
      <c r="L1367">
        <v>282.7602</v>
      </c>
      <c r="M1367">
        <v>-0.99780519999999995</v>
      </c>
      <c r="N1367">
        <v>0</v>
      </c>
      <c r="O1367">
        <v>-6.5216280000000001E-2</v>
      </c>
      <c r="P1367">
        <v>-0.99196799999999996</v>
      </c>
      <c r="Q1367">
        <v>0.12546860000000001</v>
      </c>
      <c r="R1367">
        <v>-1.603752E-2</v>
      </c>
      <c r="S1367">
        <v>-3.0577390000000002</v>
      </c>
      <c r="T1367">
        <v>-0.26289390000000001</v>
      </c>
      <c r="U1367">
        <v>4.4464110000000001E-2</v>
      </c>
      <c r="V1367">
        <v>5.0605280000000002E-2</v>
      </c>
      <c r="W1367">
        <v>0.13612859999999999</v>
      </c>
      <c r="X1367">
        <v>0.98939779999999999</v>
      </c>
      <c r="Y1367">
        <v>7.9190159999999996E-2</v>
      </c>
      <c r="Z1367">
        <v>8.9922990000000005E-3</v>
      </c>
      <c r="AA1367">
        <v>0.99681900000000001</v>
      </c>
      <c r="AB1367">
        <v>26</v>
      </c>
      <c r="AC1367">
        <v>-0.51370000000000005</v>
      </c>
      <c r="AD1367">
        <v>-6.7508000000000096E-2</v>
      </c>
      <c r="AE1367">
        <v>2.2300000000029699E-2</v>
      </c>
      <c r="AF1367">
        <v>5.48115161715707E-2</v>
      </c>
      <c r="AG1367">
        <v>-6.7508000000000096E-2</v>
      </c>
      <c r="AH1367">
        <v>0.50249018501726095</v>
      </c>
      <c r="AI1367">
        <v>97.607105329566593</v>
      </c>
      <c r="AJ1367">
        <v>83.774801386948496</v>
      </c>
      <c r="AK1367">
        <v>0.50995883991525004</v>
      </c>
      <c r="AL1367">
        <v>82.176113179878101</v>
      </c>
      <c r="AM1367">
        <v>87.072012370232102</v>
      </c>
      <c r="AN1367">
        <v>0.99999994837333706</v>
      </c>
    </row>
    <row r="1368" spans="1:40" x14ac:dyDescent="0.25">
      <c r="A1368" t="str">
        <f>"20190312164247862"</f>
        <v>20190312164247862</v>
      </c>
      <c r="B1368" t="str">
        <f>"1552380167855739"</f>
        <v>1552380167855739</v>
      </c>
      <c r="C1368" t="s">
        <v>40</v>
      </c>
      <c r="D1368">
        <v>4.9266399999999999</v>
      </c>
      <c r="E1368">
        <v>0.51426090000000002</v>
      </c>
      <c r="F1368" t="s">
        <v>41</v>
      </c>
      <c r="G1368">
        <v>-214.02520000000001</v>
      </c>
      <c r="H1368">
        <v>1.0392250000000001</v>
      </c>
      <c r="I1368">
        <v>282.77080000000001</v>
      </c>
      <c r="J1368">
        <v>-213.541</v>
      </c>
      <c r="K1368">
        <v>1.104517</v>
      </c>
      <c r="L1368">
        <v>282.7516</v>
      </c>
      <c r="M1368">
        <v>-0.99829619999999997</v>
      </c>
      <c r="N1368">
        <v>0</v>
      </c>
      <c r="O1368">
        <v>-5.7217789999999998E-2</v>
      </c>
      <c r="P1368">
        <v>-0.99191249999999997</v>
      </c>
      <c r="Q1368">
        <v>0.12608239999999901</v>
      </c>
      <c r="R1368">
        <v>-1.4591120000000001E-2</v>
      </c>
      <c r="S1368">
        <v>-3.058548</v>
      </c>
      <c r="T1368">
        <v>-0.26537470000000002</v>
      </c>
      <c r="U1368">
        <v>4.2541500000000003E-2</v>
      </c>
      <c r="V1368">
        <v>4.4069240000000003E-2</v>
      </c>
      <c r="W1368">
        <v>0.13681450000000001</v>
      </c>
      <c r="X1368">
        <v>0.98961589999999999</v>
      </c>
      <c r="Y1368">
        <v>7.0620779999999994E-2</v>
      </c>
      <c r="Z1368">
        <v>8.0115429999999994E-3</v>
      </c>
      <c r="AA1368">
        <v>0.997471</v>
      </c>
      <c r="AB1368">
        <v>26</v>
      </c>
      <c r="AC1368">
        <v>-0.48420000000001501</v>
      </c>
      <c r="AD1368">
        <v>-6.5291999999999906E-2</v>
      </c>
      <c r="AE1368">
        <v>1.9200000000011999E-2</v>
      </c>
      <c r="AF1368">
        <v>4.6039378097697502E-2</v>
      </c>
      <c r="AG1368">
        <v>-6.5291999999999906E-2</v>
      </c>
      <c r="AH1368">
        <v>0.47370798185458701</v>
      </c>
      <c r="AI1368">
        <v>97.811382818518396</v>
      </c>
      <c r="AJ1368">
        <v>84.448893907723402</v>
      </c>
      <c r="AK1368">
        <v>0.48039767034444403</v>
      </c>
      <c r="AL1368">
        <v>82.136442996583298</v>
      </c>
      <c r="AM1368">
        <v>87.450208337622399</v>
      </c>
      <c r="AN1368">
        <v>0.99999996742861796</v>
      </c>
    </row>
    <row r="1369" spans="1:40" x14ac:dyDescent="0.25">
      <c r="A1369" t="str">
        <f>"20190312164247907"</f>
        <v>20190312164247907</v>
      </c>
      <c r="B1369" t="str">
        <f>"1552380167895755"</f>
        <v>1552380167895755</v>
      </c>
      <c r="C1369" t="s">
        <v>40</v>
      </c>
      <c r="D1369">
        <v>4.9431659999999997</v>
      </c>
      <c r="E1369">
        <v>0.51377510000000004</v>
      </c>
      <c r="F1369" t="s">
        <v>41</v>
      </c>
      <c r="G1369">
        <v>-214.48910000000001</v>
      </c>
      <c r="H1369">
        <v>1.0207569999999999</v>
      </c>
      <c r="I1369">
        <v>282.76420000000002</v>
      </c>
      <c r="J1369">
        <v>-214.0669</v>
      </c>
      <c r="K1369">
        <v>1.104851</v>
      </c>
      <c r="L1369">
        <v>282.74020000000002</v>
      </c>
      <c r="M1369">
        <v>-0.99904630000000005</v>
      </c>
      <c r="N1369">
        <v>0</v>
      </c>
      <c r="O1369">
        <v>-4.2159389999999998E-2</v>
      </c>
      <c r="P1369">
        <v>-0.99209950000000002</v>
      </c>
      <c r="Q1369">
        <v>0.1245729</v>
      </c>
      <c r="R1369">
        <v>-1.484364E-2</v>
      </c>
      <c r="S1369">
        <v>-3.0593569999999999</v>
      </c>
      <c r="T1369">
        <v>-0.2700593</v>
      </c>
      <c r="U1369">
        <v>3.9916989999999999E-2</v>
      </c>
      <c r="V1369">
        <v>2.8744169999999999E-2</v>
      </c>
      <c r="W1369">
        <v>0.13547149999999999</v>
      </c>
      <c r="X1369">
        <v>0.99036420000000003</v>
      </c>
      <c r="Y1369">
        <v>5.481631E-2</v>
      </c>
      <c r="Z1369">
        <v>6.1284440000000003E-3</v>
      </c>
      <c r="AA1369">
        <v>0.99847759999999997</v>
      </c>
      <c r="AB1369">
        <v>26</v>
      </c>
      <c r="AC1369">
        <v>-0.42220000000000302</v>
      </c>
      <c r="AD1369">
        <v>-8.4094000000000099E-2</v>
      </c>
      <c r="AE1369">
        <v>2.4000000000000899E-2</v>
      </c>
      <c r="AF1369">
        <v>4.0190178289279198E-2</v>
      </c>
      <c r="AG1369">
        <v>-8.4094000000000099E-2</v>
      </c>
      <c r="AH1369">
        <v>0.40480464948099198</v>
      </c>
      <c r="AI1369">
        <v>101.67985310882899</v>
      </c>
      <c r="AJ1369">
        <v>84.3300899220541</v>
      </c>
      <c r="AK1369">
        <v>0.41539602249943802</v>
      </c>
      <c r="AL1369">
        <v>82.214114688586307</v>
      </c>
      <c r="AM1369">
        <v>88.337523292532097</v>
      </c>
      <c r="AN1369">
        <v>1.0000000016314301</v>
      </c>
    </row>
    <row r="1370" spans="1:40" x14ac:dyDescent="0.25">
      <c r="A1370" t="str">
        <f>"20190312164247928"</f>
        <v>20190312164247928</v>
      </c>
      <c r="B1370" t="str">
        <f>"1552380167915278"</f>
        <v>1552380167915278</v>
      </c>
      <c r="C1370" t="s">
        <v>40</v>
      </c>
      <c r="D1370">
        <v>5.0512350000000001</v>
      </c>
      <c r="E1370">
        <v>0.5137562</v>
      </c>
      <c r="F1370" t="s">
        <v>41</v>
      </c>
      <c r="G1370">
        <v>-214.96279999999999</v>
      </c>
      <c r="H1370">
        <v>1.0219240000000001</v>
      </c>
      <c r="I1370">
        <v>282.75119999999998</v>
      </c>
      <c r="J1370">
        <v>-214.3271</v>
      </c>
      <c r="K1370">
        <v>1.1050089999999999</v>
      </c>
      <c r="L1370">
        <v>282.7371</v>
      </c>
      <c r="M1370">
        <v>-0.99932120000000002</v>
      </c>
      <c r="N1370">
        <v>0</v>
      </c>
      <c r="O1370">
        <v>-3.5055650000000001E-2</v>
      </c>
      <c r="P1370">
        <v>-0.99206320000000003</v>
      </c>
      <c r="Q1370">
        <v>0.1249359</v>
      </c>
      <c r="R1370">
        <v>-1.4203159999999999E-2</v>
      </c>
      <c r="S1370">
        <v>-3.060028</v>
      </c>
      <c r="T1370">
        <v>-0.28324120000000003</v>
      </c>
      <c r="U1370">
        <v>3.7109379999999997E-2</v>
      </c>
      <c r="V1370">
        <v>2.2280649999999999E-2</v>
      </c>
      <c r="W1370">
        <v>0.1358934</v>
      </c>
      <c r="X1370">
        <v>0.99047289999999999</v>
      </c>
      <c r="Y1370">
        <v>4.6824150000000002E-2</v>
      </c>
      <c r="Z1370">
        <v>5.4000080000000004E-3</v>
      </c>
      <c r="AA1370">
        <v>0.99888860000000002</v>
      </c>
      <c r="AB1370">
        <v>26</v>
      </c>
      <c r="AC1370">
        <v>-0.63569999999998505</v>
      </c>
      <c r="AD1370">
        <v>-8.3084999999999798E-2</v>
      </c>
      <c r="AE1370">
        <v>1.4099999999984901E-2</v>
      </c>
      <c r="AF1370">
        <v>3.5766964423457601E-2</v>
      </c>
      <c r="AG1370">
        <v>-8.3084999999999798E-2</v>
      </c>
      <c r="AH1370">
        <v>0.62415822811746202</v>
      </c>
      <c r="AI1370">
        <v>97.570093235118705</v>
      </c>
      <c r="AJ1370">
        <v>86.720290985553703</v>
      </c>
      <c r="AK1370">
        <v>0.63067890934753701</v>
      </c>
      <c r="AL1370">
        <v>82.189715992080707</v>
      </c>
      <c r="AM1370">
        <v>88.711350964236303</v>
      </c>
      <c r="AN1370">
        <v>1.0000000045811901</v>
      </c>
    </row>
    <row r="1371" spans="1:40" x14ac:dyDescent="0.25">
      <c r="A1371" t="str">
        <f>"20190312164247950"</f>
        <v>20190312164247950</v>
      </c>
      <c r="B1371" t="str">
        <f>"1552380167945533"</f>
        <v>1552380167945533</v>
      </c>
      <c r="C1371" t="s">
        <v>40</v>
      </c>
      <c r="D1371">
        <v>5.153162</v>
      </c>
      <c r="E1371">
        <v>0.51377829999999902</v>
      </c>
      <c r="F1371" t="s">
        <v>41</v>
      </c>
      <c r="G1371">
        <v>-215.20060000000001</v>
      </c>
      <c r="H1371">
        <v>1.0236769999999999</v>
      </c>
      <c r="I1371">
        <v>282.74849999999998</v>
      </c>
      <c r="J1371">
        <v>-214.57419999999999</v>
      </c>
      <c r="K1371">
        <v>1.1051610000000001</v>
      </c>
      <c r="L1371">
        <v>282.7355</v>
      </c>
      <c r="M1371">
        <v>-0.9995288</v>
      </c>
      <c r="N1371">
        <v>0</v>
      </c>
      <c r="O1371">
        <v>-2.854785E-2</v>
      </c>
      <c r="P1371">
        <v>-0.99204709999999996</v>
      </c>
      <c r="Q1371">
        <v>0.12526109999999999</v>
      </c>
      <c r="R1371">
        <v>-1.234495E-2</v>
      </c>
      <c r="S1371">
        <v>-3.0604399999999998</v>
      </c>
      <c r="T1371">
        <v>-0.28490939999999998</v>
      </c>
      <c r="U1371">
        <v>3.9825439999999997E-2</v>
      </c>
      <c r="V1371">
        <v>1.7631190000000001E-2</v>
      </c>
      <c r="W1371">
        <v>0.13625200000000001</v>
      </c>
      <c r="X1371">
        <v>0.99051730000000004</v>
      </c>
      <c r="Y1371">
        <v>4.125206E-2</v>
      </c>
      <c r="Z1371">
        <v>4.5677590000000002E-3</v>
      </c>
      <c r="AA1371">
        <v>0.99913839999999998</v>
      </c>
      <c r="AB1371">
        <v>26</v>
      </c>
      <c r="AC1371">
        <v>-0.62640000000001705</v>
      </c>
      <c r="AD1371">
        <v>-8.1484000000000098E-2</v>
      </c>
      <c r="AE1371">
        <v>1.2999999999976799E-2</v>
      </c>
      <c r="AF1371">
        <v>3.0364615154898598E-2</v>
      </c>
      <c r="AG1371">
        <v>-8.1484000000000098E-2</v>
      </c>
      <c r="AH1371">
        <v>0.61536504585201701</v>
      </c>
      <c r="AI1371">
        <v>97.533918761132597</v>
      </c>
      <c r="AJ1371">
        <v>87.175084363931504</v>
      </c>
      <c r="AK1371">
        <v>0.62147871384783504</v>
      </c>
      <c r="AL1371">
        <v>82.168976744014998</v>
      </c>
      <c r="AM1371">
        <v>88.980243852922499</v>
      </c>
      <c r="AN1371">
        <v>0.99999999398205297</v>
      </c>
    </row>
    <row r="1372" spans="1:40" x14ac:dyDescent="0.25">
      <c r="A1372" t="str">
        <f>"20190312164247972"</f>
        <v>20190312164247972</v>
      </c>
      <c r="B1372" t="str">
        <f>"1552380167965051"</f>
        <v>1552380167965051</v>
      </c>
      <c r="C1372" t="s">
        <v>40</v>
      </c>
      <c r="D1372">
        <v>4.9959049999999996</v>
      </c>
      <c r="E1372">
        <v>0.51385230000000004</v>
      </c>
      <c r="F1372" t="s">
        <v>41</v>
      </c>
      <c r="G1372">
        <v>-215.43780000000001</v>
      </c>
      <c r="H1372">
        <v>1.023865</v>
      </c>
      <c r="I1372">
        <v>282.7482</v>
      </c>
      <c r="J1372">
        <v>-214.85169999999999</v>
      </c>
      <c r="K1372">
        <v>1.1053759999999999</v>
      </c>
      <c r="L1372">
        <v>282.73540000000003</v>
      </c>
      <c r="M1372">
        <v>-0.99970320000000001</v>
      </c>
      <c r="N1372">
        <v>0</v>
      </c>
      <c r="O1372">
        <v>-2.1607359999999999E-2</v>
      </c>
      <c r="P1372">
        <v>-0.99198370000000002</v>
      </c>
      <c r="Q1372">
        <v>0.12590509999999999</v>
      </c>
      <c r="R1372">
        <v>-1.0788320000000001E-2</v>
      </c>
      <c r="S1372">
        <v>-3.0609440000000001</v>
      </c>
      <c r="T1372">
        <v>-0.2879989</v>
      </c>
      <c r="U1372">
        <v>4.4250490000000003E-2</v>
      </c>
      <c r="V1372">
        <v>1.223549E-2</v>
      </c>
      <c r="W1372">
        <v>0.13693029999999901</v>
      </c>
      <c r="X1372">
        <v>0.99050510000000003</v>
      </c>
      <c r="Y1372">
        <v>3.5804549999999997E-2</v>
      </c>
      <c r="Z1372">
        <v>3.7090980000000001E-3</v>
      </c>
      <c r="AA1372">
        <v>0.99935189999999996</v>
      </c>
      <c r="AB1372">
        <v>26</v>
      </c>
      <c r="AC1372">
        <v>-0.58610000000001605</v>
      </c>
      <c r="AD1372">
        <v>-8.1510999999999806E-2</v>
      </c>
      <c r="AE1372">
        <v>1.2799999999970099E-2</v>
      </c>
      <c r="AF1372">
        <v>2.49789873942339E-2</v>
      </c>
      <c r="AG1372">
        <v>-8.1510999999999806E-2</v>
      </c>
      <c r="AH1372">
        <v>0.57457867045876798</v>
      </c>
      <c r="AI1372">
        <v>98.066710423676298</v>
      </c>
      <c r="AJ1372">
        <v>87.510715204254097</v>
      </c>
      <c r="AK1372">
        <v>0.58086886771319302</v>
      </c>
      <c r="AL1372">
        <v>82.129745238044293</v>
      </c>
      <c r="AM1372">
        <v>89.292273928782294</v>
      </c>
      <c r="AN1372">
        <v>0.99999998369981902</v>
      </c>
    </row>
    <row r="1373" spans="1:40" x14ac:dyDescent="0.25">
      <c r="A1373" t="str">
        <f>"20190312164247996"</f>
        <v>20190312164247996</v>
      </c>
      <c r="B1373" t="str">
        <f>"1552380167985548"</f>
        <v>1552380167985548</v>
      </c>
      <c r="C1373" t="s">
        <v>40</v>
      </c>
      <c r="D1373">
        <v>4.9896000000000003</v>
      </c>
      <c r="E1373">
        <v>0.51390990000000003</v>
      </c>
      <c r="F1373" t="s">
        <v>41</v>
      </c>
      <c r="G1373">
        <v>-215.6772</v>
      </c>
      <c r="H1373">
        <v>1.028405</v>
      </c>
      <c r="I1373">
        <v>282.74849999999998</v>
      </c>
      <c r="J1373">
        <v>-215.13290000000001</v>
      </c>
      <c r="K1373">
        <v>1.1056509999999999</v>
      </c>
      <c r="L1373">
        <v>282.73669999999998</v>
      </c>
      <c r="M1373">
        <v>-0.9998243</v>
      </c>
      <c r="N1373">
        <v>0</v>
      </c>
      <c r="O1373">
        <v>-1.5020729999999999E-2</v>
      </c>
      <c r="P1373">
        <v>-0.99189970000000005</v>
      </c>
      <c r="Q1373">
        <v>0.12668850000000001</v>
      </c>
      <c r="R1373">
        <v>-9.2163060000000005E-3</v>
      </c>
      <c r="S1373">
        <v>-3.0609890000000002</v>
      </c>
      <c r="T1373">
        <v>-0.28544639999999999</v>
      </c>
      <c r="U1373">
        <v>4.8767089999999999E-2</v>
      </c>
      <c r="V1373">
        <v>7.1877410000000001E-3</v>
      </c>
      <c r="W1373">
        <v>0.1377342</v>
      </c>
      <c r="X1373">
        <v>0.99044319999999997</v>
      </c>
      <c r="Y1373">
        <v>3.0749220000000001E-2</v>
      </c>
      <c r="Z1373">
        <v>2.8282329999999999E-3</v>
      </c>
      <c r="AA1373">
        <v>0.9995231</v>
      </c>
      <c r="AB1373">
        <v>26</v>
      </c>
      <c r="AC1373">
        <v>-0.54429999999999201</v>
      </c>
      <c r="AD1373">
        <v>-7.7245999999999898E-2</v>
      </c>
      <c r="AE1373">
        <v>1.17999999999938E-2</v>
      </c>
      <c r="AF1373">
        <v>1.95807799610004E-2</v>
      </c>
      <c r="AG1373">
        <v>-7.7245999999999898E-2</v>
      </c>
      <c r="AH1373">
        <v>0.53332482168514805</v>
      </c>
      <c r="AI1373">
        <v>98.235855020065699</v>
      </c>
      <c r="AJ1373">
        <v>87.897355751246806</v>
      </c>
      <c r="AK1373">
        <v>0.53924550706090801</v>
      </c>
      <c r="AL1373">
        <v>82.083245118488506</v>
      </c>
      <c r="AM1373">
        <v>89.584206349162898</v>
      </c>
      <c r="AN1373">
        <v>1.00000005294828</v>
      </c>
    </row>
    <row r="1374" spans="1:40" x14ac:dyDescent="0.25">
      <c r="A1374" t="str">
        <f>"20190312164248017"</f>
        <v>20190312164248017</v>
      </c>
      <c r="B1374" t="str">
        <f>"1552380168005070"</f>
        <v>1552380168005070</v>
      </c>
      <c r="C1374" t="s">
        <v>40</v>
      </c>
      <c r="D1374">
        <v>4.9914579999999997</v>
      </c>
      <c r="E1374">
        <v>0.51393409999999995</v>
      </c>
      <c r="F1374" t="s">
        <v>41</v>
      </c>
      <c r="G1374">
        <v>-215.9169</v>
      </c>
      <c r="H1374">
        <v>1.03335</v>
      </c>
      <c r="I1374">
        <v>282.75119999999998</v>
      </c>
      <c r="J1374">
        <v>-215.38200000000001</v>
      </c>
      <c r="K1374">
        <v>1.1059429999999999</v>
      </c>
      <c r="L1374">
        <v>282.73899999999998</v>
      </c>
      <c r="M1374">
        <v>-0.99989150000000004</v>
      </c>
      <c r="N1374">
        <v>0</v>
      </c>
      <c r="O1374">
        <v>-9.5996380000000006E-3</v>
      </c>
      <c r="P1374">
        <v>-0.99157050000000002</v>
      </c>
      <c r="Q1374">
        <v>0.12937779999999999</v>
      </c>
      <c r="R1374">
        <v>-7.032801E-3</v>
      </c>
      <c r="S1374">
        <v>-3.0610659999999998</v>
      </c>
      <c r="T1374">
        <v>-0.28221790000000002</v>
      </c>
      <c r="U1374">
        <v>5.569458E-2</v>
      </c>
      <c r="V1374">
        <v>3.919278E-3</v>
      </c>
      <c r="W1374">
        <v>0.14041960000000001</v>
      </c>
      <c r="X1374">
        <v>0.99008439999999998</v>
      </c>
      <c r="Y1374">
        <v>2.7631449999999998E-2</v>
      </c>
      <c r="Z1374">
        <v>2.1541210000000002E-3</v>
      </c>
      <c r="AA1374">
        <v>0.99961580000000005</v>
      </c>
      <c r="AB1374">
        <v>26</v>
      </c>
      <c r="AC1374">
        <v>-0.53489999999999305</v>
      </c>
      <c r="AD1374">
        <v>-7.2593000000000102E-2</v>
      </c>
      <c r="AE1374">
        <v>1.21999999999502E-2</v>
      </c>
      <c r="AF1374">
        <v>1.7021268640126399E-2</v>
      </c>
      <c r="AG1374">
        <v>-7.2593000000000102E-2</v>
      </c>
      <c r="AH1374">
        <v>0.52509206914742002</v>
      </c>
      <c r="AI1374">
        <v>97.867061513973496</v>
      </c>
      <c r="AJ1374">
        <v>88.143362780236799</v>
      </c>
      <c r="AK1374">
        <v>0.53035945199141898</v>
      </c>
      <c r="AL1374">
        <v>81.927873174410493</v>
      </c>
      <c r="AM1374">
        <v>89.773194168889802</v>
      </c>
      <c r="AN1374">
        <v>1.0000000719637701</v>
      </c>
    </row>
    <row r="1375" spans="1:40" x14ac:dyDescent="0.25">
      <c r="A1375" t="str">
        <f>"20190312164248041"</f>
        <v>20190312164248041</v>
      </c>
      <c r="B1375" t="str">
        <f>"1552380168035323"</f>
        <v>1552380168035323</v>
      </c>
      <c r="C1375" t="s">
        <v>40</v>
      </c>
      <c r="D1375">
        <v>5.0232570000000001</v>
      </c>
      <c r="E1375">
        <v>0.51393929999999999</v>
      </c>
      <c r="F1375" t="s">
        <v>41</v>
      </c>
      <c r="G1375">
        <v>-216.1558</v>
      </c>
      <c r="H1375">
        <v>1.0367219999999999</v>
      </c>
      <c r="I1375">
        <v>282.75450000000001</v>
      </c>
      <c r="J1375">
        <v>-215.64869999999999</v>
      </c>
      <c r="K1375">
        <v>1.1062959999999999</v>
      </c>
      <c r="L1375">
        <v>282.74239999999998</v>
      </c>
      <c r="M1375">
        <v>-0.99992910000000002</v>
      </c>
      <c r="N1375">
        <v>0</v>
      </c>
      <c r="O1375">
        <v>-4.225403E-3</v>
      </c>
      <c r="P1375">
        <v>-0.99129780000000001</v>
      </c>
      <c r="Q1375">
        <v>0.1315597</v>
      </c>
      <c r="R1375">
        <v>-4.5919079999999996E-3</v>
      </c>
      <c r="S1375">
        <v>-3.0616759999999998</v>
      </c>
      <c r="T1375">
        <v>-0.27382849999999997</v>
      </c>
      <c r="U1375">
        <v>6.0882569999999997E-2</v>
      </c>
      <c r="V1375">
        <v>9.328607E-4</v>
      </c>
      <c r="W1375">
        <v>0.14258959999999901</v>
      </c>
      <c r="X1375">
        <v>0.98978140000000003</v>
      </c>
      <c r="Y1375">
        <v>2.3993500000000001E-2</v>
      </c>
      <c r="Z1375">
        <v>1.4478620000000001E-3</v>
      </c>
      <c r="AA1375">
        <v>0.99971100000000002</v>
      </c>
      <c r="AB1375">
        <v>26</v>
      </c>
      <c r="AC1375">
        <v>-0.50710000000000799</v>
      </c>
      <c r="AD1375">
        <v>-6.9573999999999997E-2</v>
      </c>
      <c r="AE1375">
        <v>1.2100000000032101E-2</v>
      </c>
      <c r="AF1375">
        <v>1.39797251664726E-2</v>
      </c>
      <c r="AG1375">
        <v>-6.9573999999999997E-2</v>
      </c>
      <c r="AH1375">
        <v>0.49768142952595601</v>
      </c>
      <c r="AI1375">
        <v>97.955063162631703</v>
      </c>
      <c r="AJ1375">
        <v>88.391001478089706</v>
      </c>
      <c r="AK1375">
        <v>0.50271540605667697</v>
      </c>
      <c r="AL1375">
        <v>81.802276449087699</v>
      </c>
      <c r="AM1375">
        <v>89.945999222497406</v>
      </c>
      <c r="AN1375">
        <v>0.99999994202160103</v>
      </c>
    </row>
    <row r="1376" spans="1:40" x14ac:dyDescent="0.25">
      <c r="A1376" t="str">
        <f>"20190312164248066"</f>
        <v>20190312164248066</v>
      </c>
      <c r="B1376" t="str">
        <f>"1552380168055820"</f>
        <v>1552380168055820</v>
      </c>
      <c r="C1376" t="s">
        <v>40</v>
      </c>
      <c r="D1376">
        <v>5.0223360000000001</v>
      </c>
      <c r="E1376">
        <v>0.51390049999999998</v>
      </c>
      <c r="F1376" t="s">
        <v>41</v>
      </c>
      <c r="G1376">
        <v>-216.39670000000001</v>
      </c>
      <c r="H1376">
        <v>1.04099599999999</v>
      </c>
      <c r="I1376">
        <v>282.7586</v>
      </c>
      <c r="J1376">
        <v>-215.95830000000001</v>
      </c>
      <c r="K1376">
        <v>1.106698</v>
      </c>
      <c r="L1376">
        <v>282.74770000000001</v>
      </c>
      <c r="M1376">
        <v>-0.99993759999999998</v>
      </c>
      <c r="N1376">
        <v>0</v>
      </c>
      <c r="O1376">
        <v>1.3858869999999999E-3</v>
      </c>
      <c r="P1376">
        <v>-0.99144889999999997</v>
      </c>
      <c r="Q1376">
        <v>0.13047400000000001</v>
      </c>
      <c r="R1376">
        <v>-2.4876780000000001E-3</v>
      </c>
      <c r="S1376">
        <v>-3.062119</v>
      </c>
      <c r="T1376">
        <v>-0.26723239999999998</v>
      </c>
      <c r="U1376">
        <v>6.607056E-2</v>
      </c>
      <c r="V1376">
        <v>-2.6729850000000001E-3</v>
      </c>
      <c r="W1376">
        <v>0.1414936</v>
      </c>
      <c r="X1376">
        <v>0.98993560000000003</v>
      </c>
      <c r="Y1376">
        <v>2.0114900000000002E-2</v>
      </c>
      <c r="Z1376">
        <v>7.5524139999999995E-4</v>
      </c>
      <c r="AA1376">
        <v>0.99979739999999995</v>
      </c>
      <c r="AB1376">
        <v>26</v>
      </c>
      <c r="AC1376">
        <v>-0.43840000000000101</v>
      </c>
      <c r="AD1376">
        <v>-6.5702000000000094E-2</v>
      </c>
      <c r="AE1376">
        <v>1.08999999999923E-2</v>
      </c>
      <c r="AF1376">
        <v>1.00664238405945E-2</v>
      </c>
      <c r="AG1376">
        <v>-6.5702000000000094E-2</v>
      </c>
      <c r="AH1376">
        <v>0.42878987474432501</v>
      </c>
      <c r="AI1376">
        <v>98.7091172358557</v>
      </c>
      <c r="AJ1376">
        <v>88.655150900669895</v>
      </c>
      <c r="AK1376">
        <v>0.43391109962317498</v>
      </c>
      <c r="AL1376">
        <v>81.865716647826602</v>
      </c>
      <c r="AM1376">
        <v>90.154707424404904</v>
      </c>
      <c r="AN1376">
        <v>1.0000000379185601</v>
      </c>
    </row>
    <row r="1377" spans="1:40" x14ac:dyDescent="0.25">
      <c r="A1377" t="str">
        <f>"20190312164248088"</f>
        <v>20190312164248088</v>
      </c>
      <c r="B1377" t="str">
        <f>"1552380168075340"</f>
        <v>1552380168075340</v>
      </c>
      <c r="C1377" t="s">
        <v>40</v>
      </c>
      <c r="D1377">
        <v>4.9905220000000003</v>
      </c>
      <c r="E1377">
        <v>0.51181350000000003</v>
      </c>
      <c r="F1377" t="s">
        <v>41</v>
      </c>
      <c r="G1377">
        <v>-216.8631</v>
      </c>
      <c r="H1377">
        <v>1.026721</v>
      </c>
      <c r="I1377">
        <v>282.76920000000001</v>
      </c>
      <c r="J1377">
        <v>-216.21629999999999</v>
      </c>
      <c r="K1377">
        <v>1.106995</v>
      </c>
      <c r="L1377">
        <v>282.75279999999998</v>
      </c>
      <c r="M1377">
        <v>-0.99992309999999995</v>
      </c>
      <c r="N1377">
        <v>0</v>
      </c>
      <c r="O1377">
        <v>5.6206349999999997E-3</v>
      </c>
      <c r="P1377">
        <v>-0.99171790000000004</v>
      </c>
      <c r="Q1377">
        <v>0.12841949999999999</v>
      </c>
      <c r="R1377">
        <v>-2.0596149999999999E-3</v>
      </c>
      <c r="S1377">
        <v>-3.0616759999999998</v>
      </c>
      <c r="T1377">
        <v>-0.27054539999999999</v>
      </c>
      <c r="U1377">
        <v>7.2387699999999999E-2</v>
      </c>
      <c r="V1377">
        <v>-6.5625939999999997E-3</v>
      </c>
      <c r="W1377">
        <v>0.13943699999999901</v>
      </c>
      <c r="X1377">
        <v>0.99020920000000001</v>
      </c>
      <c r="Y1377">
        <v>1.7968689999999999E-2</v>
      </c>
      <c r="Z1377">
        <v>2.9659519999999999E-4</v>
      </c>
      <c r="AA1377">
        <v>0.99983849999999996</v>
      </c>
      <c r="AB1377">
        <v>26</v>
      </c>
      <c r="AC1377">
        <v>-0.64680000000001303</v>
      </c>
      <c r="AD1377">
        <v>-8.0274000000000095E-2</v>
      </c>
      <c r="AE1377">
        <v>1.6400000000032802E-2</v>
      </c>
      <c r="AF1377">
        <v>1.2570589666354701E-2</v>
      </c>
      <c r="AG1377">
        <v>-8.0274000000000095E-2</v>
      </c>
      <c r="AH1377">
        <v>0.63707529894427894</v>
      </c>
      <c r="AI1377">
        <v>97.180263054740493</v>
      </c>
      <c r="AJ1377">
        <v>88.869602566974507</v>
      </c>
      <c r="AK1377">
        <v>0.64223583777729398</v>
      </c>
      <c r="AL1377">
        <v>81.984730834455704</v>
      </c>
      <c r="AM1377">
        <v>90.379721208195804</v>
      </c>
      <c r="AN1377">
        <v>1.0000000021868201</v>
      </c>
    </row>
    <row r="1378" spans="1:40" x14ac:dyDescent="0.25">
      <c r="A1378" t="str">
        <f>"20190312164248109"</f>
        <v>20190312164248109</v>
      </c>
      <c r="B1378" t="str">
        <f>"1552380168105595"</f>
        <v>1552380168105595</v>
      </c>
      <c r="C1378" t="s">
        <v>40</v>
      </c>
      <c r="D1378">
        <v>5.0101690000000003</v>
      </c>
      <c r="E1378">
        <v>0.51135609999999998</v>
      </c>
      <c r="F1378" t="s">
        <v>41</v>
      </c>
      <c r="G1378">
        <v>-217.09039999999999</v>
      </c>
      <c r="H1378">
        <v>1.0051509999999999</v>
      </c>
      <c r="I1378">
        <v>282.76819999999998</v>
      </c>
      <c r="J1378">
        <v>-216.46870000000001</v>
      </c>
      <c r="K1378">
        <v>1.107218</v>
      </c>
      <c r="L1378">
        <v>282.75850000000003</v>
      </c>
      <c r="M1378">
        <v>-0.99989470000000003</v>
      </c>
      <c r="N1378">
        <v>0</v>
      </c>
      <c r="O1378">
        <v>9.4418409999999994E-3</v>
      </c>
      <c r="P1378">
        <v>-0.99198929999999996</v>
      </c>
      <c r="Q1378">
        <v>0.126307</v>
      </c>
      <c r="R1378">
        <v>-2.0510770000000001E-3</v>
      </c>
      <c r="S1378">
        <v>-3.0715330000000001</v>
      </c>
      <c r="T1378">
        <v>-0.35790429999999901</v>
      </c>
      <c r="U1378">
        <v>5.4077149999999997E-2</v>
      </c>
      <c r="V1378">
        <v>-1.044074E-2</v>
      </c>
      <c r="W1378">
        <v>0.1373209</v>
      </c>
      <c r="X1378">
        <v>0.99047160000000001</v>
      </c>
      <c r="Y1378">
        <v>8.1700519999999902E-3</v>
      </c>
      <c r="Z1378">
        <v>-6.220717E-4</v>
      </c>
      <c r="AA1378">
        <v>0.99996640000000003</v>
      </c>
      <c r="AB1378">
        <v>26</v>
      </c>
      <c r="AC1378">
        <v>-0.62169999999997505</v>
      </c>
      <c r="AD1378">
        <v>-0.10206699999999901</v>
      </c>
      <c r="AE1378">
        <v>9.6999999999525192E-3</v>
      </c>
      <c r="AF1378">
        <v>3.7287418109527401E-3</v>
      </c>
      <c r="AG1378">
        <v>-0.10206699999999901</v>
      </c>
      <c r="AH1378">
        <v>0.60544910777819105</v>
      </c>
      <c r="AI1378">
        <v>99.568809786160102</v>
      </c>
      <c r="AJ1378">
        <v>89.647140502932601</v>
      </c>
      <c r="AK1378">
        <v>0.61400341865001096</v>
      </c>
      <c r="AL1378">
        <v>82.107152328401</v>
      </c>
      <c r="AM1378">
        <v>90.603942789939495</v>
      </c>
      <c r="AN1378">
        <v>1.0000000145175501</v>
      </c>
    </row>
    <row r="1379" spans="1:40" x14ac:dyDescent="0.25">
      <c r="A1379" t="str">
        <f>"20190312164248129"</f>
        <v>20190312164248129</v>
      </c>
      <c r="B1379" t="str">
        <f>"1552380168125116"</f>
        <v>1552380168125116</v>
      </c>
      <c r="C1379" t="s">
        <v>40</v>
      </c>
      <c r="D1379">
        <v>4.9752900000000002</v>
      </c>
      <c r="E1379">
        <v>0.51131090000000001</v>
      </c>
      <c r="F1379" t="s">
        <v>41</v>
      </c>
      <c r="G1379">
        <v>-217.32830000000001</v>
      </c>
      <c r="H1379">
        <v>1.0055989999999999</v>
      </c>
      <c r="I1379">
        <v>282.77289999999999</v>
      </c>
      <c r="J1379">
        <v>-216.7123</v>
      </c>
      <c r="K1379">
        <v>1.1073930000000001</v>
      </c>
      <c r="L1379">
        <v>282.76459999999997</v>
      </c>
      <c r="M1379">
        <v>-0.99985679999999999</v>
      </c>
      <c r="N1379">
        <v>0</v>
      </c>
      <c r="O1379">
        <v>1.2855449999999999E-2</v>
      </c>
      <c r="P1379">
        <v>-0.99226210000000004</v>
      </c>
      <c r="Q1379">
        <v>0.12412810000000001</v>
      </c>
      <c r="R1379">
        <v>-2.8634609999999999E-3</v>
      </c>
      <c r="S1379">
        <v>-3.0705719999999999</v>
      </c>
      <c r="T1379">
        <v>-0.36298659999999999</v>
      </c>
      <c r="U1379">
        <v>5.1086430000000002E-2</v>
      </c>
      <c r="V1379">
        <v>-1.471981E-2</v>
      </c>
      <c r="W1379">
        <v>0.13514219999999999</v>
      </c>
      <c r="X1379">
        <v>0.99071690000000001</v>
      </c>
      <c r="Y1379">
        <v>3.842041E-3</v>
      </c>
      <c r="Z1379">
        <v>-1.288057E-3</v>
      </c>
      <c r="AA1379">
        <v>0.99999179999999999</v>
      </c>
      <c r="AB1379">
        <v>26</v>
      </c>
      <c r="AC1379">
        <v>-0.61600000000001298</v>
      </c>
      <c r="AD1379">
        <v>-0.101794</v>
      </c>
      <c r="AE1379">
        <v>8.3000000000197308E-3</v>
      </c>
      <c r="AF1379">
        <v>3.6978125371696401E-4</v>
      </c>
      <c r="AG1379">
        <v>-0.101794</v>
      </c>
      <c r="AH1379">
        <v>0.59968289198633395</v>
      </c>
      <c r="AI1379">
        <v>99.633919726238105</v>
      </c>
      <c r="AJ1379">
        <v>89.964669823370201</v>
      </c>
      <c r="AK1379">
        <v>0.60826123180363001</v>
      </c>
      <c r="AL1379">
        <v>82.233157542995599</v>
      </c>
      <c r="AM1379">
        <v>90.851222924400304</v>
      </c>
      <c r="AN1379">
        <v>1.0000000314864399</v>
      </c>
    </row>
    <row r="1380" spans="1:40" x14ac:dyDescent="0.25">
      <c r="A1380" t="str">
        <f>"20190312164248151"</f>
        <v>20190312164248151</v>
      </c>
      <c r="B1380" t="str">
        <f>"1552380168145611"</f>
        <v>1552380168145611</v>
      </c>
      <c r="C1380" t="s">
        <v>40</v>
      </c>
      <c r="D1380">
        <v>5.0110219999999996</v>
      </c>
      <c r="E1380">
        <v>0.51116340000000005</v>
      </c>
      <c r="F1380" t="s">
        <v>41</v>
      </c>
      <c r="G1380">
        <v>-217.56549999999999</v>
      </c>
      <c r="H1380">
        <v>1.004359</v>
      </c>
      <c r="I1380">
        <v>282.77870000000001</v>
      </c>
      <c r="J1380">
        <v>-216.96979999999999</v>
      </c>
      <c r="K1380">
        <v>1.107567</v>
      </c>
      <c r="L1380">
        <v>282.77179999999998</v>
      </c>
      <c r="M1380">
        <v>-0.99980880000000005</v>
      </c>
      <c r="N1380">
        <v>0</v>
      </c>
      <c r="O1380">
        <v>1.6182519999999999E-2</v>
      </c>
      <c r="P1380">
        <v>-0.9926142</v>
      </c>
      <c r="Q1380">
        <v>0.121242</v>
      </c>
      <c r="R1380">
        <v>-4.2261390000000003E-3</v>
      </c>
      <c r="S1380">
        <v>-3.069931</v>
      </c>
      <c r="T1380">
        <v>-0.37067220000000001</v>
      </c>
      <c r="U1380">
        <v>5.0354000000000003E-2</v>
      </c>
      <c r="V1380">
        <v>-1.9466020000000001E-2</v>
      </c>
      <c r="W1380">
        <v>0.13225629999999999</v>
      </c>
      <c r="X1380">
        <v>0.99102440000000003</v>
      </c>
      <c r="Y1380">
        <v>3.317347E-4</v>
      </c>
      <c r="Z1380">
        <v>-1.92676E-3</v>
      </c>
      <c r="AA1380">
        <v>0.9999981</v>
      </c>
      <c r="AB1380">
        <v>26</v>
      </c>
      <c r="AC1380">
        <v>-0.59569999999999301</v>
      </c>
      <c r="AD1380">
        <v>-0.10320799999999899</v>
      </c>
      <c r="AE1380">
        <v>6.9000000000300999E-3</v>
      </c>
      <c r="AF1380">
        <v>-2.6615303845893899E-3</v>
      </c>
      <c r="AG1380">
        <v>-0.10320799999999899</v>
      </c>
      <c r="AH1380">
        <v>0.57837473747739399</v>
      </c>
      <c r="AI1380">
        <v>100.11753893521799</v>
      </c>
      <c r="AJ1380">
        <v>90.263658441157503</v>
      </c>
      <c r="AK1380">
        <v>0.58751707376044204</v>
      </c>
      <c r="AL1380">
        <v>82.400005279181102</v>
      </c>
      <c r="AM1380">
        <v>91.125277425184393</v>
      </c>
      <c r="AN1380">
        <v>1.0000000081098399</v>
      </c>
    </row>
    <row r="1381" spans="1:40" x14ac:dyDescent="0.25">
      <c r="A1381" t="str">
        <f>"20190312164248173"</f>
        <v>20190312164248173</v>
      </c>
      <c r="B1381" t="str">
        <f>"1552380168165131"</f>
        <v>1552380168165131</v>
      </c>
      <c r="C1381" t="s">
        <v>40</v>
      </c>
      <c r="D1381">
        <v>4.9634910000000003</v>
      </c>
      <c r="E1381">
        <v>0.51098069999999995</v>
      </c>
      <c r="F1381" t="s">
        <v>41</v>
      </c>
      <c r="G1381">
        <v>-217.80359999999999</v>
      </c>
      <c r="H1381">
        <v>1.0047630000000001</v>
      </c>
      <c r="I1381">
        <v>282.7851</v>
      </c>
      <c r="J1381">
        <v>-217.24510000000001</v>
      </c>
      <c r="K1381">
        <v>1.1077570000000001</v>
      </c>
      <c r="L1381">
        <v>282.7801</v>
      </c>
      <c r="M1381">
        <v>-0.99975080000000005</v>
      </c>
      <c r="N1381">
        <v>0</v>
      </c>
      <c r="O1381">
        <v>1.945206E-2</v>
      </c>
      <c r="P1381">
        <v>-0.99298960000000003</v>
      </c>
      <c r="Q1381">
        <v>0.1181162</v>
      </c>
      <c r="R1381">
        <v>-4.5334199999999998E-3</v>
      </c>
      <c r="S1381">
        <v>-3.068756</v>
      </c>
      <c r="T1381">
        <v>-0.37836789999999998</v>
      </c>
      <c r="U1381">
        <v>4.79126E-2</v>
      </c>
      <c r="V1381">
        <v>-2.3106649999999999E-2</v>
      </c>
      <c r="W1381">
        <v>0.1291196</v>
      </c>
      <c r="X1381">
        <v>0.99135980000000001</v>
      </c>
      <c r="Y1381">
        <v>-3.6676690000000001E-3</v>
      </c>
      <c r="Z1381">
        <v>-2.6143659999999999E-3</v>
      </c>
      <c r="AA1381">
        <v>0.99998989999999999</v>
      </c>
      <c r="AB1381">
        <v>26</v>
      </c>
      <c r="AC1381">
        <v>-0.55849999999998001</v>
      </c>
      <c r="AD1381">
        <v>-0.102994</v>
      </c>
      <c r="AE1381">
        <v>4.9999999999954499E-3</v>
      </c>
      <c r="AF1381">
        <v>-5.6726740816105403E-3</v>
      </c>
      <c r="AG1381">
        <v>-0.102994</v>
      </c>
      <c r="AH1381">
        <v>0.54012464535073301</v>
      </c>
      <c r="AI1381">
        <v>100.79529507456201</v>
      </c>
      <c r="AJ1381">
        <v>90.601728391346001</v>
      </c>
      <c r="AK1381">
        <v>0.54988596616252206</v>
      </c>
      <c r="AL1381">
        <v>82.581279813000293</v>
      </c>
      <c r="AM1381">
        <v>91.335210341098403</v>
      </c>
      <c r="AN1381">
        <v>1.0000000207172099</v>
      </c>
    </row>
    <row r="1382" spans="1:40" x14ac:dyDescent="0.25">
      <c r="A1382" t="str">
        <f>"20190312164248196"</f>
        <v>20190312164248196</v>
      </c>
      <c r="B1382" t="str">
        <f>"1552380168185628"</f>
        <v>1552380168185628</v>
      </c>
      <c r="C1382" t="s">
        <v>40</v>
      </c>
      <c r="D1382">
        <v>4.9913309999999997</v>
      </c>
      <c r="E1382">
        <v>0.51091889999999995</v>
      </c>
      <c r="F1382" t="s">
        <v>41</v>
      </c>
      <c r="G1382">
        <v>-218.0427</v>
      </c>
      <c r="H1382">
        <v>1.0072350000000001</v>
      </c>
      <c r="I1382">
        <v>282.7928</v>
      </c>
      <c r="J1382">
        <v>-217.5078</v>
      </c>
      <c r="K1382">
        <v>1.1079460000000001</v>
      </c>
      <c r="L1382">
        <v>282.7885</v>
      </c>
      <c r="M1382">
        <v>-0.9996912</v>
      </c>
      <c r="N1382">
        <v>0</v>
      </c>
      <c r="O1382">
        <v>2.23146E-2</v>
      </c>
      <c r="P1382">
        <v>-0.99328669999999997</v>
      </c>
      <c r="Q1382">
        <v>0.1155099</v>
      </c>
      <c r="R1382">
        <v>-6.2689979999999996E-3</v>
      </c>
      <c r="S1382">
        <v>-3.0673979999999998</v>
      </c>
      <c r="T1382">
        <v>-0.38662469999999999</v>
      </c>
      <c r="U1382">
        <v>4.8583979999999999E-2</v>
      </c>
      <c r="V1382">
        <v>-2.7767340000000001E-2</v>
      </c>
      <c r="W1382">
        <v>0.1265067</v>
      </c>
      <c r="X1382">
        <v>0.99157700000000004</v>
      </c>
      <c r="Y1382">
        <v>-6.2542850000000001E-3</v>
      </c>
      <c r="Z1382">
        <v>-3.1937939999999998E-3</v>
      </c>
      <c r="AA1382">
        <v>0.99997530000000001</v>
      </c>
      <c r="AB1382">
        <v>26</v>
      </c>
      <c r="AC1382">
        <v>-0.53489999999999305</v>
      </c>
      <c r="AD1382">
        <v>-0.100710999999999</v>
      </c>
      <c r="AE1382">
        <v>4.3000000000006297E-3</v>
      </c>
      <c r="AF1382">
        <v>-7.3763923725887904E-3</v>
      </c>
      <c r="AG1382">
        <v>-0.100710999999999</v>
      </c>
      <c r="AH1382">
        <v>0.51655247100417601</v>
      </c>
      <c r="AI1382">
        <v>101.031323986469</v>
      </c>
      <c r="AJ1382">
        <v>90.818130684250306</v>
      </c>
      <c r="AK1382">
        <v>0.52633028792380299</v>
      </c>
      <c r="AL1382">
        <v>82.732225564618503</v>
      </c>
      <c r="AM1382">
        <v>91.604046606432107</v>
      </c>
      <c r="AN1382">
        <v>0.99999995862228197</v>
      </c>
    </row>
    <row r="1383" spans="1:40" x14ac:dyDescent="0.25">
      <c r="A1383" t="str">
        <f>"20190312164248220"</f>
        <v>20190312164248220</v>
      </c>
      <c r="B1383" t="str">
        <f>"1552380168215884"</f>
        <v>1552380168215884</v>
      </c>
      <c r="C1383" t="s">
        <v>40</v>
      </c>
      <c r="D1383">
        <v>4.9725830000000002</v>
      </c>
      <c r="E1383">
        <v>0.51088509999999998</v>
      </c>
      <c r="F1383" t="s">
        <v>41</v>
      </c>
      <c r="G1383">
        <v>-218.28139999999999</v>
      </c>
      <c r="H1383">
        <v>1.008478</v>
      </c>
      <c r="I1383">
        <v>282.8</v>
      </c>
      <c r="J1383">
        <v>-217.7851</v>
      </c>
      <c r="K1383">
        <v>1.1081529999999999</v>
      </c>
      <c r="L1383">
        <v>282.79790000000003</v>
      </c>
      <c r="M1383">
        <v>-0.99962609999999996</v>
      </c>
      <c r="N1383">
        <v>0</v>
      </c>
      <c r="O1383">
        <v>2.5072190000000001E-2</v>
      </c>
      <c r="P1383">
        <v>-0.99345059999999996</v>
      </c>
      <c r="Q1383">
        <v>0.11401029999999999</v>
      </c>
      <c r="R1383">
        <v>-7.5938000000000004E-3</v>
      </c>
      <c r="S1383">
        <v>-3.0664220000000002</v>
      </c>
      <c r="T1383">
        <v>-0.3943315</v>
      </c>
      <c r="U1383">
        <v>4.5257569999999997E-2</v>
      </c>
      <c r="V1383">
        <v>-3.1909970000000003E-2</v>
      </c>
      <c r="W1383">
        <v>0.12499059999999999</v>
      </c>
      <c r="X1383">
        <v>0.99164459999999999</v>
      </c>
      <c r="Y1383">
        <v>-1.002918E-2</v>
      </c>
      <c r="Z1383">
        <v>-3.852776E-3</v>
      </c>
      <c r="AA1383">
        <v>0.99994229999999995</v>
      </c>
      <c r="AB1383">
        <v>27</v>
      </c>
      <c r="AC1383">
        <v>-0.49629999999999003</v>
      </c>
      <c r="AD1383">
        <v>-9.9675000000000097E-2</v>
      </c>
      <c r="AE1383">
        <v>2.0999999999844398E-3</v>
      </c>
      <c r="AF1383">
        <v>-9.9436568983461808E-3</v>
      </c>
      <c r="AG1383">
        <v>-9.9675000000000097E-2</v>
      </c>
      <c r="AH1383">
        <v>0.47695875096087198</v>
      </c>
      <c r="AI1383">
        <v>101.80132036994701</v>
      </c>
      <c r="AJ1383">
        <v>91.194331901818003</v>
      </c>
      <c r="AK1383">
        <v>0.48736396261486797</v>
      </c>
      <c r="AL1383">
        <v>82.819786727681006</v>
      </c>
      <c r="AM1383">
        <v>91.843075573999997</v>
      </c>
      <c r="AN1383">
        <v>0.99999995449145895</v>
      </c>
    </row>
    <row r="1384" spans="1:40" x14ac:dyDescent="0.25">
      <c r="A1384" t="str">
        <f>"20190312164248240"</f>
        <v>20190312164248240</v>
      </c>
      <c r="B1384" t="str">
        <f>"1552380168235934"</f>
        <v>1552380168235934</v>
      </c>
      <c r="C1384" t="s">
        <v>40</v>
      </c>
      <c r="D1384">
        <v>5.1809659999999997</v>
      </c>
      <c r="E1384">
        <v>0.51083000000000001</v>
      </c>
      <c r="F1384" t="s">
        <v>41</v>
      </c>
      <c r="G1384">
        <v>-218.52160000000001</v>
      </c>
      <c r="H1384">
        <v>1.0128010000000001</v>
      </c>
      <c r="I1384">
        <v>282.80840000000001</v>
      </c>
      <c r="J1384">
        <v>-218.0351</v>
      </c>
      <c r="K1384">
        <v>1.10836</v>
      </c>
      <c r="L1384">
        <v>282.80680000000001</v>
      </c>
      <c r="M1384">
        <v>-0.99956769999999995</v>
      </c>
      <c r="N1384">
        <v>0</v>
      </c>
      <c r="O1384">
        <v>2.730805E-2</v>
      </c>
      <c r="P1384">
        <v>-0.99340640000000002</v>
      </c>
      <c r="Q1384">
        <v>0.1142582</v>
      </c>
      <c r="R1384">
        <v>-9.4288459999999994E-3</v>
      </c>
      <c r="S1384">
        <v>-3.0656590000000001</v>
      </c>
      <c r="T1384">
        <v>-0.39691579999999999</v>
      </c>
      <c r="U1384">
        <v>4.3121340000000001E-2</v>
      </c>
      <c r="V1384">
        <v>-3.6023399999999997E-2</v>
      </c>
      <c r="W1384">
        <v>0.125221</v>
      </c>
      <c r="X1384">
        <v>0.99147470000000004</v>
      </c>
      <c r="Y1384">
        <v>-1.2912099999999999E-2</v>
      </c>
      <c r="Z1384">
        <v>-4.3528239999999999E-3</v>
      </c>
      <c r="AA1384">
        <v>0.99990710000000005</v>
      </c>
      <c r="AB1384">
        <v>27</v>
      </c>
      <c r="AC1384">
        <v>-0.48650000000000598</v>
      </c>
      <c r="AD1384">
        <v>-9.5558999999999894E-2</v>
      </c>
      <c r="AE1384">
        <v>1.59999999999627E-3</v>
      </c>
      <c r="AF1384">
        <v>-1.12526150698393E-2</v>
      </c>
      <c r="AG1384">
        <v>-9.5558999999999894E-2</v>
      </c>
      <c r="AH1384">
        <v>0.46829498076857001</v>
      </c>
      <c r="AI1384">
        <v>101.530042121568</v>
      </c>
      <c r="AJ1384">
        <v>91.376489895121395</v>
      </c>
      <c r="AK1384">
        <v>0.47807774769376699</v>
      </c>
      <c r="AL1384">
        <v>82.806481807523895</v>
      </c>
      <c r="AM1384">
        <v>92.080820902445097</v>
      </c>
      <c r="AN1384">
        <v>1.0000000324643199</v>
      </c>
    </row>
    <row r="1385" spans="1:40" x14ac:dyDescent="0.25">
      <c r="A1385" t="str">
        <f>"20190312164248265"</f>
        <v>20190312164248265</v>
      </c>
      <c r="B1385" t="str">
        <f>"1552380168255452"</f>
        <v>1552380168255452</v>
      </c>
      <c r="C1385" t="s">
        <v>40</v>
      </c>
      <c r="D1385">
        <v>4.9935999999999998</v>
      </c>
      <c r="E1385">
        <v>0.51665280000000002</v>
      </c>
      <c r="F1385" t="s">
        <v>41</v>
      </c>
      <c r="G1385">
        <v>-218.76079999999999</v>
      </c>
      <c r="H1385">
        <v>1.014791</v>
      </c>
      <c r="I1385">
        <v>282.81639999999999</v>
      </c>
      <c r="J1385">
        <v>-218.32310000000001</v>
      </c>
      <c r="K1385">
        <v>1.108582</v>
      </c>
      <c r="L1385">
        <v>282.81740000000002</v>
      </c>
      <c r="M1385">
        <v>-0.99950329999999998</v>
      </c>
      <c r="N1385">
        <v>0</v>
      </c>
      <c r="O1385">
        <v>2.9578770000000001E-2</v>
      </c>
      <c r="P1385">
        <v>-0.99329999999999996</v>
      </c>
      <c r="Q1385">
        <v>0.1149857</v>
      </c>
      <c r="R1385">
        <v>-1.156015E-2</v>
      </c>
      <c r="S1385">
        <v>-3.0657809999999999</v>
      </c>
      <c r="T1385">
        <v>-0.39539970000000002</v>
      </c>
      <c r="U1385">
        <v>3.9337160000000003E-2</v>
      </c>
      <c r="V1385">
        <v>-4.046864E-2</v>
      </c>
      <c r="W1385">
        <v>0.12592539999999999</v>
      </c>
      <c r="X1385">
        <v>0.99121389999999998</v>
      </c>
      <c r="Y1385">
        <v>-1.6373249999999999E-2</v>
      </c>
      <c r="Z1385">
        <v>-4.8500189999999997E-3</v>
      </c>
      <c r="AA1385">
        <v>0.99985420000000003</v>
      </c>
      <c r="AB1385">
        <v>27</v>
      </c>
      <c r="AC1385">
        <v>-0.437699999999978</v>
      </c>
      <c r="AD1385">
        <v>-9.3790999999999902E-2</v>
      </c>
      <c r="AE1385">
        <v>-1.0000000000331901E-3</v>
      </c>
      <c r="AF1385">
        <v>-1.33346764372525E-2</v>
      </c>
      <c r="AG1385">
        <v>-9.3790999999999902E-2</v>
      </c>
      <c r="AH1385">
        <v>0.418273315354866</v>
      </c>
      <c r="AI1385">
        <v>102.632378286636</v>
      </c>
      <c r="AJ1385">
        <v>91.825987870697602</v>
      </c>
      <c r="AK1385">
        <v>0.42886726572989597</v>
      </c>
      <c r="AL1385">
        <v>82.765800089886696</v>
      </c>
      <c r="AM1385">
        <v>92.337936590136906</v>
      </c>
      <c r="AN1385">
        <v>0.99999995637090799</v>
      </c>
    </row>
    <row r="1386" spans="1:40" x14ac:dyDescent="0.25">
      <c r="A1386" t="str">
        <f>"20190312164248288"</f>
        <v>20190312164248288</v>
      </c>
      <c r="B1386" t="str">
        <f>"1552380168275949"</f>
        <v>1552380168275949</v>
      </c>
      <c r="C1386" t="s">
        <v>40</v>
      </c>
      <c r="D1386">
        <v>4.9981350000000004</v>
      </c>
      <c r="E1386">
        <v>0.51612420000000003</v>
      </c>
      <c r="F1386" t="s">
        <v>41</v>
      </c>
      <c r="G1386">
        <v>-219.2347</v>
      </c>
      <c r="H1386">
        <v>1.009814</v>
      </c>
      <c r="I1386">
        <v>282.84230000000002</v>
      </c>
      <c r="J1386">
        <v>-218.60130000000001</v>
      </c>
      <c r="K1386">
        <v>1.108757</v>
      </c>
      <c r="L1386">
        <v>282.8279</v>
      </c>
      <c r="M1386">
        <v>-0.9994442</v>
      </c>
      <c r="N1386">
        <v>0</v>
      </c>
      <c r="O1386">
        <v>3.1517429999999999E-2</v>
      </c>
      <c r="P1386">
        <v>-0.99331789999999998</v>
      </c>
      <c r="Q1386">
        <v>0.1145531</v>
      </c>
      <c r="R1386">
        <v>-1.4039390000000001E-2</v>
      </c>
      <c r="S1386">
        <v>-3.0595859999999999</v>
      </c>
      <c r="T1386">
        <v>-0.33157300000000001</v>
      </c>
      <c r="U1386">
        <v>8.2733150000000005E-2</v>
      </c>
      <c r="V1386">
        <v>-4.4927399999999999E-2</v>
      </c>
      <c r="W1386">
        <v>0.12547320000000001</v>
      </c>
      <c r="X1386">
        <v>0.99107920000000005</v>
      </c>
      <c r="Y1386">
        <v>-4.2810720000000003E-3</v>
      </c>
      <c r="Z1386">
        <v>-3.635685E-3</v>
      </c>
      <c r="AA1386">
        <v>0.99998419999999999</v>
      </c>
      <c r="AB1386">
        <v>27</v>
      </c>
      <c r="AC1386">
        <v>-0.63339999999999397</v>
      </c>
      <c r="AD1386">
        <v>-9.8942999999999906E-2</v>
      </c>
      <c r="AE1386">
        <v>1.44000000000232E-2</v>
      </c>
      <c r="AF1386">
        <v>-5.4388260557466797E-3</v>
      </c>
      <c r="AG1386">
        <v>-9.8942999999999906E-2</v>
      </c>
      <c r="AH1386">
        <v>0.61845580233377195</v>
      </c>
      <c r="AI1386">
        <v>99.089034490252502</v>
      </c>
      <c r="AJ1386">
        <v>90.503857744230103</v>
      </c>
      <c r="AK1386">
        <v>0.62634405682354399</v>
      </c>
      <c r="AL1386">
        <v>82.791916615803302</v>
      </c>
      <c r="AM1386">
        <v>92.595543632265304</v>
      </c>
      <c r="AN1386">
        <v>0.99999998793082001</v>
      </c>
    </row>
    <row r="1387" spans="1:40" x14ac:dyDescent="0.25">
      <c r="A1387" t="str">
        <f>"20190312164248312"</f>
        <v>20190312164248312</v>
      </c>
      <c r="B1387" t="str">
        <f>"1552380168305229"</f>
        <v>1552380168305229</v>
      </c>
      <c r="C1387" t="s">
        <v>40</v>
      </c>
      <c r="D1387">
        <v>5.157203</v>
      </c>
      <c r="E1387">
        <v>0.51669809999999905</v>
      </c>
      <c r="F1387" t="s">
        <v>41</v>
      </c>
      <c r="G1387">
        <v>-219.47630000000001</v>
      </c>
      <c r="H1387">
        <v>1.0160370000000001</v>
      </c>
      <c r="I1387">
        <v>282.84890000000001</v>
      </c>
      <c r="J1387">
        <v>-218.87780000000001</v>
      </c>
      <c r="K1387">
        <v>1.1088910000000001</v>
      </c>
      <c r="L1387">
        <v>282.83859999999999</v>
      </c>
      <c r="M1387">
        <v>-0.9993881</v>
      </c>
      <c r="N1387">
        <v>0</v>
      </c>
      <c r="O1387">
        <v>3.3257130000000003E-2</v>
      </c>
      <c r="P1387">
        <v>-0.993251</v>
      </c>
      <c r="Q1387">
        <v>0.114685</v>
      </c>
      <c r="R1387">
        <v>-1.7326520000000002E-2</v>
      </c>
      <c r="S1387">
        <v>-3.0586090000000001</v>
      </c>
      <c r="T1387">
        <v>-0.3241426</v>
      </c>
      <c r="U1387">
        <v>7.2875980000000007E-2</v>
      </c>
      <c r="V1387">
        <v>-4.9977519999999998E-2</v>
      </c>
      <c r="W1387">
        <v>0.12558720000000001</v>
      </c>
      <c r="X1387">
        <v>0.99082300000000001</v>
      </c>
      <c r="Y1387">
        <v>-9.2055149999999992E-3</v>
      </c>
      <c r="Z1387">
        <v>-3.9998880000000001E-3</v>
      </c>
      <c r="AA1387">
        <v>0.99994959999999999</v>
      </c>
      <c r="AB1387">
        <v>27</v>
      </c>
      <c r="AC1387">
        <v>-0.59850000000000103</v>
      </c>
      <c r="AD1387">
        <v>-9.2854000000000006E-2</v>
      </c>
      <c r="AE1387">
        <v>1.0300000000029201E-2</v>
      </c>
      <c r="AF1387">
        <v>-9.3854204819253401E-3</v>
      </c>
      <c r="AG1387">
        <v>-9.2854000000000006E-2</v>
      </c>
      <c r="AH1387">
        <v>0.58444805956003298</v>
      </c>
      <c r="AI1387">
        <v>99.026254756064404</v>
      </c>
      <c r="AJ1387">
        <v>90.920011208153298</v>
      </c>
      <c r="AK1387">
        <v>0.59185258786044903</v>
      </c>
      <c r="AL1387">
        <v>82.785333320963204</v>
      </c>
      <c r="AM1387">
        <v>92.887575473844905</v>
      </c>
      <c r="AN1387">
        <v>1.0000000573190899</v>
      </c>
    </row>
    <row r="1388" spans="1:40" x14ac:dyDescent="0.25">
      <c r="A1388" t="str">
        <f>"20190312164248333"</f>
        <v>20190312164248333</v>
      </c>
      <c r="B1388" t="str">
        <f>"1552380168325938"</f>
        <v>1552380168325938</v>
      </c>
      <c r="C1388" t="s">
        <v>40</v>
      </c>
      <c r="D1388">
        <v>4.9830860000000001</v>
      </c>
      <c r="E1388">
        <v>0.51355799999999996</v>
      </c>
      <c r="F1388" t="s">
        <v>41</v>
      </c>
      <c r="G1388">
        <v>-219.7157</v>
      </c>
      <c r="H1388">
        <v>1.01739</v>
      </c>
      <c r="I1388">
        <v>282.85759999999999</v>
      </c>
      <c r="J1388">
        <v>-219.1422</v>
      </c>
      <c r="K1388">
        <v>1.1089819999999999</v>
      </c>
      <c r="L1388">
        <v>282.8492</v>
      </c>
      <c r="M1388">
        <v>-0.99933649999999996</v>
      </c>
      <c r="N1388">
        <v>0</v>
      </c>
      <c r="O1388">
        <v>3.4777019999999999E-2</v>
      </c>
      <c r="P1388">
        <v>-0.99313189999999996</v>
      </c>
      <c r="Q1388">
        <v>0.1152533</v>
      </c>
      <c r="R1388">
        <v>-2.0140640000000001E-2</v>
      </c>
      <c r="S1388">
        <v>-3.0601959999999999</v>
      </c>
      <c r="T1388">
        <v>-0.33424759999999998</v>
      </c>
      <c r="U1388">
        <v>6.8969730000000007E-2</v>
      </c>
      <c r="V1388">
        <v>-5.432128E-2</v>
      </c>
      <c r="W1388">
        <v>0.12613450000000001</v>
      </c>
      <c r="X1388">
        <v>0.99052479999999998</v>
      </c>
      <c r="Y1388">
        <v>-1.197411E-2</v>
      </c>
      <c r="Z1388">
        <v>-4.4379440000000001E-3</v>
      </c>
      <c r="AA1388">
        <v>0.99991850000000004</v>
      </c>
      <c r="AB1388">
        <v>27</v>
      </c>
      <c r="AC1388">
        <v>-0.57349999999999501</v>
      </c>
      <c r="AD1388">
        <v>-9.1591999999999896E-2</v>
      </c>
      <c r="AE1388">
        <v>8.3999999999946305E-3</v>
      </c>
      <c r="AF1388">
        <v>-1.12636381733369E-2</v>
      </c>
      <c r="AG1388">
        <v>-9.1591999999999896E-2</v>
      </c>
      <c r="AH1388">
        <v>0.559185472499653</v>
      </c>
      <c r="AI1388">
        <v>99.300328460783604</v>
      </c>
      <c r="AJ1388">
        <v>91.153949270983304</v>
      </c>
      <c r="AK1388">
        <v>0.56674893618211597</v>
      </c>
      <c r="AL1388">
        <v>82.753723902844897</v>
      </c>
      <c r="AM1388">
        <v>93.139008243786293</v>
      </c>
      <c r="AN1388">
        <v>1.0000000464830601</v>
      </c>
    </row>
    <row r="1389" spans="1:40" x14ac:dyDescent="0.25">
      <c r="A1389" t="str">
        <f>"20190312164248354"</f>
        <v>20190312164248354</v>
      </c>
      <c r="B1389" t="str">
        <f>"1552380168345440"</f>
        <v>1552380168345440</v>
      </c>
      <c r="C1389" t="s">
        <v>40</v>
      </c>
      <c r="D1389">
        <v>4.9609199999999998</v>
      </c>
      <c r="E1389">
        <v>0.51275099999999996</v>
      </c>
      <c r="F1389" t="s">
        <v>41</v>
      </c>
      <c r="G1389">
        <v>-219.9512</v>
      </c>
      <c r="H1389">
        <v>1.0093110000000001</v>
      </c>
      <c r="I1389">
        <v>282.85899999999998</v>
      </c>
      <c r="J1389">
        <v>-219.39320000000001</v>
      </c>
      <c r="K1389">
        <v>1.1090519999999999</v>
      </c>
      <c r="L1389">
        <v>282.85939999999999</v>
      </c>
      <c r="M1389">
        <v>-0.9992896</v>
      </c>
      <c r="N1389">
        <v>0</v>
      </c>
      <c r="O1389">
        <v>3.6110200000000002E-2</v>
      </c>
      <c r="P1389">
        <v>-0.99305969999999999</v>
      </c>
      <c r="Q1389">
        <v>0.1154863</v>
      </c>
      <c r="R1389">
        <v>-2.2269069999999998E-2</v>
      </c>
      <c r="S1389">
        <v>-3.0653229999999998</v>
      </c>
      <c r="T1389">
        <v>-0.37775969999999998</v>
      </c>
      <c r="U1389">
        <v>3.6743159999999997E-2</v>
      </c>
      <c r="V1389">
        <v>-5.7789970000000003E-2</v>
      </c>
      <c r="W1389">
        <v>0.1263464</v>
      </c>
      <c r="X1389">
        <v>0.9903014</v>
      </c>
      <c r="Y1389">
        <v>-2.3679550000000001E-2</v>
      </c>
      <c r="Z1389">
        <v>-5.8860049999999997E-3</v>
      </c>
      <c r="AA1389">
        <v>0.99970230000000004</v>
      </c>
      <c r="AB1389">
        <v>27</v>
      </c>
      <c r="AC1389">
        <v>-0.55799999999999195</v>
      </c>
      <c r="AD1389">
        <v>-9.9740999999999996E-2</v>
      </c>
      <c r="AE1389">
        <v>-3.9999999995643499E-4</v>
      </c>
      <c r="AF1389">
        <v>-1.99141347263532E-2</v>
      </c>
      <c r="AG1389">
        <v>-9.9740999999999996E-2</v>
      </c>
      <c r="AH1389">
        <v>0.54035687467091897</v>
      </c>
      <c r="AI1389">
        <v>100.45120773639</v>
      </c>
      <c r="AJ1389">
        <v>92.110604643417801</v>
      </c>
      <c r="AK1389">
        <v>0.54984578915094295</v>
      </c>
      <c r="AL1389">
        <v>82.741484513790297</v>
      </c>
      <c r="AM1389">
        <v>93.339761469128405</v>
      </c>
      <c r="AN1389">
        <v>0.99999997813375996</v>
      </c>
    </row>
    <row r="1390" spans="1:40" x14ac:dyDescent="0.25">
      <c r="A1390" t="str">
        <f>"20190312164248374"</f>
        <v>20190312164248374</v>
      </c>
      <c r="B1390" t="str">
        <f>"1552380168365936"</f>
        <v>1552380168365936</v>
      </c>
      <c r="C1390" t="s">
        <v>40</v>
      </c>
      <c r="D1390">
        <v>4.950113</v>
      </c>
      <c r="E1390">
        <v>0.51318989999999998</v>
      </c>
      <c r="F1390" t="s">
        <v>41</v>
      </c>
      <c r="G1390">
        <v>-220.19390000000001</v>
      </c>
      <c r="H1390">
        <v>1.0165820000000001</v>
      </c>
      <c r="I1390">
        <v>282.8664</v>
      </c>
      <c r="J1390">
        <v>-219.6414</v>
      </c>
      <c r="K1390">
        <v>1.109108</v>
      </c>
      <c r="L1390">
        <v>282.86989999999997</v>
      </c>
      <c r="M1390">
        <v>-0.99924429999999997</v>
      </c>
      <c r="N1390">
        <v>0</v>
      </c>
      <c r="O1390">
        <v>3.7340430000000001E-2</v>
      </c>
      <c r="P1390">
        <v>-0.99313289999999999</v>
      </c>
      <c r="Q1390">
        <v>0.1144149</v>
      </c>
      <c r="R1390">
        <v>-2.4418289999999999E-2</v>
      </c>
      <c r="S1390">
        <v>-3.0626679999999999</v>
      </c>
      <c r="T1390">
        <v>-0.3537209</v>
      </c>
      <c r="U1390">
        <v>2.6123049999999998E-2</v>
      </c>
      <c r="V1390">
        <v>-6.1182960000000002E-2</v>
      </c>
      <c r="W1390">
        <v>0.12525739999999999</v>
      </c>
      <c r="X1390">
        <v>0.99023589999999995</v>
      </c>
      <c r="Y1390">
        <v>-2.8381259999999998E-2</v>
      </c>
      <c r="Z1390">
        <v>-5.9310530000000004E-3</v>
      </c>
      <c r="AA1390">
        <v>0.99957949999999995</v>
      </c>
      <c r="AB1390">
        <v>27</v>
      </c>
      <c r="AC1390">
        <v>-0.55250000000000898</v>
      </c>
      <c r="AD1390">
        <v>-9.2526000000000094E-2</v>
      </c>
      <c r="AE1390">
        <v>-3.4999999999740798E-3</v>
      </c>
      <c r="AF1390">
        <v>-2.3471115956595599E-2</v>
      </c>
      <c r="AG1390">
        <v>-9.2526000000000094E-2</v>
      </c>
      <c r="AH1390">
        <v>0.53692619100706296</v>
      </c>
      <c r="AI1390">
        <v>99.768337736515306</v>
      </c>
      <c r="AJ1390">
        <v>92.503026109065203</v>
      </c>
      <c r="AK1390">
        <v>0.54534547632633801</v>
      </c>
      <c r="AL1390">
        <v>82.804379124572804</v>
      </c>
      <c r="AM1390">
        <v>93.535596667211905</v>
      </c>
      <c r="AN1390">
        <v>0.99999995424896404</v>
      </c>
    </row>
    <row r="1391" spans="1:40" x14ac:dyDescent="0.25">
      <c r="A1391" t="str">
        <f>"20190312164248398"</f>
        <v>20190312164248398</v>
      </c>
      <c r="B1391" t="str">
        <f>"1552380168395216"</f>
        <v>1552380168395216</v>
      </c>
      <c r="C1391" t="s">
        <v>40</v>
      </c>
      <c r="D1391">
        <v>4.961443</v>
      </c>
      <c r="E1391">
        <v>0.51313169999999997</v>
      </c>
      <c r="F1391" t="s">
        <v>41</v>
      </c>
      <c r="G1391">
        <v>-220.43549999999999</v>
      </c>
      <c r="H1391">
        <v>1.020931</v>
      </c>
      <c r="I1391">
        <v>282.87670000000003</v>
      </c>
      <c r="J1391">
        <v>-219.9212</v>
      </c>
      <c r="K1391">
        <v>1.1091799999999901</v>
      </c>
      <c r="L1391">
        <v>282.88189999999997</v>
      </c>
      <c r="M1391">
        <v>-0.99919539999999996</v>
      </c>
      <c r="N1391">
        <v>0</v>
      </c>
      <c r="O1391">
        <v>3.8634599999999998E-2</v>
      </c>
      <c r="P1391">
        <v>-0.99331060000000004</v>
      </c>
      <c r="Q1391">
        <v>0.1124001</v>
      </c>
      <c r="R1391">
        <v>-2.6465410000000002E-2</v>
      </c>
      <c r="S1391">
        <v>-3.0605319999999998</v>
      </c>
      <c r="T1391">
        <v>-0.33987009999999901</v>
      </c>
      <c r="U1391">
        <v>2.600098E-2</v>
      </c>
      <c r="V1391">
        <v>-6.4546480000000003E-2</v>
      </c>
      <c r="W1391">
        <v>0.1232224</v>
      </c>
      <c r="X1391">
        <v>0.99027770000000004</v>
      </c>
      <c r="Y1391">
        <v>-2.972644E-2</v>
      </c>
      <c r="Z1391">
        <v>-5.9218609999999996E-3</v>
      </c>
      <c r="AA1391">
        <v>0.99954050000000005</v>
      </c>
      <c r="AB1391">
        <v>27</v>
      </c>
      <c r="AC1391">
        <v>-0.51429999999999099</v>
      </c>
      <c r="AD1391">
        <v>-8.82489999999998E-2</v>
      </c>
      <c r="AE1391">
        <v>-5.1999999999452397E-3</v>
      </c>
      <c r="AF1391">
        <v>-2.4350167697072302E-2</v>
      </c>
      <c r="AG1391">
        <v>-8.82489999999998E-2</v>
      </c>
      <c r="AH1391">
        <v>0.499023666731639</v>
      </c>
      <c r="AI1391">
        <v>100.017012809897</v>
      </c>
      <c r="AJ1391">
        <v>92.793567144184294</v>
      </c>
      <c r="AK1391">
        <v>0.50735139363774895</v>
      </c>
      <c r="AL1391">
        <v>82.921886565362698</v>
      </c>
      <c r="AM1391">
        <v>93.729274046027697</v>
      </c>
      <c r="AN1391">
        <v>0.99999996552971904</v>
      </c>
    </row>
    <row r="1392" spans="1:40" x14ac:dyDescent="0.25">
      <c r="A1392" t="str">
        <f>"20190312164248418"</f>
        <v>20190312164248418</v>
      </c>
      <c r="B1392" t="str">
        <f>"1552380168415712"</f>
        <v>1552380168415712</v>
      </c>
      <c r="C1392" t="s">
        <v>40</v>
      </c>
      <c r="D1392">
        <v>5.0120050000000003</v>
      </c>
      <c r="E1392">
        <v>0.51322939999999995</v>
      </c>
      <c r="F1392" t="s">
        <v>41</v>
      </c>
      <c r="G1392">
        <v>-220.67959999999999</v>
      </c>
      <c r="H1392">
        <v>1.0268729999999999</v>
      </c>
      <c r="I1392">
        <v>282.88780000000003</v>
      </c>
      <c r="J1392">
        <v>-220.16499999999999</v>
      </c>
      <c r="K1392">
        <v>1.1092489999999999</v>
      </c>
      <c r="L1392">
        <v>282.89249999999998</v>
      </c>
      <c r="M1392">
        <v>-0.99915500000000002</v>
      </c>
      <c r="N1392">
        <v>0</v>
      </c>
      <c r="O1392">
        <v>3.9673809999999997E-2</v>
      </c>
      <c r="P1392">
        <v>-0.99350830000000001</v>
      </c>
      <c r="Q1392">
        <v>0.11022170000000001</v>
      </c>
      <c r="R1392">
        <v>-2.815662E-2</v>
      </c>
      <c r="S1392">
        <v>-3.058395</v>
      </c>
      <c r="T1392">
        <v>-0.33198060000000001</v>
      </c>
      <c r="U1392">
        <v>2.3315430000000002E-2</v>
      </c>
      <c r="V1392">
        <v>-6.7302390000000004E-2</v>
      </c>
      <c r="W1392">
        <v>0.121021699999999</v>
      </c>
      <c r="X1392">
        <v>0.99036570000000002</v>
      </c>
      <c r="Y1392">
        <v>-3.1638989999999999E-2</v>
      </c>
      <c r="Z1392">
        <v>-6.0051610000000002E-3</v>
      </c>
      <c r="AA1392">
        <v>0.99948130000000002</v>
      </c>
      <c r="AB1392">
        <v>27</v>
      </c>
      <c r="AC1392">
        <v>-0.51460000000000095</v>
      </c>
      <c r="AD1392">
        <v>-8.2376000000000005E-2</v>
      </c>
      <c r="AE1392">
        <v>-4.6999999999570701E-3</v>
      </c>
      <c r="AF1392">
        <v>-2.4486214681138499E-2</v>
      </c>
      <c r="AG1392">
        <v>-8.2376000000000005E-2</v>
      </c>
      <c r="AH1392">
        <v>0.50116704887599395</v>
      </c>
      <c r="AI1392">
        <v>99.323224051288705</v>
      </c>
      <c r="AJ1392">
        <v>92.797155168956294</v>
      </c>
      <c r="AK1392">
        <v>0.50848184919865502</v>
      </c>
      <c r="AL1392">
        <v>83.048928846500502</v>
      </c>
      <c r="AM1392">
        <v>93.887678244828194</v>
      </c>
      <c r="AN1392">
        <v>1.00000004165354</v>
      </c>
    </row>
    <row r="1393" spans="1:40" x14ac:dyDescent="0.25">
      <c r="A1393" t="str">
        <f>"20190312164248442"</f>
        <v>20190312164248442</v>
      </c>
      <c r="B1393" t="str">
        <f>"1552380168435232"</f>
        <v>1552380168435232</v>
      </c>
      <c r="C1393" t="s">
        <v>40</v>
      </c>
      <c r="D1393">
        <v>5.0140919999999998</v>
      </c>
      <c r="E1393">
        <v>0.51305149999999999</v>
      </c>
      <c r="F1393" t="s">
        <v>41</v>
      </c>
      <c r="G1393">
        <v>-220.91919999999999</v>
      </c>
      <c r="H1393">
        <v>1.026751</v>
      </c>
      <c r="I1393">
        <v>282.89780000000002</v>
      </c>
      <c r="J1393">
        <v>-220.4384</v>
      </c>
      <c r="K1393">
        <v>1.109329</v>
      </c>
      <c r="L1393">
        <v>282.90449999999998</v>
      </c>
      <c r="M1393">
        <v>-0.99911269999999996</v>
      </c>
      <c r="N1393">
        <v>0</v>
      </c>
      <c r="O1393">
        <v>4.0727140000000002E-2</v>
      </c>
      <c r="P1393">
        <v>-0.99359330000000001</v>
      </c>
      <c r="Q1393">
        <v>0.1091773</v>
      </c>
      <c r="R1393">
        <v>-2.920292E-2</v>
      </c>
      <c r="S1393">
        <v>-3.057312</v>
      </c>
      <c r="T1393">
        <v>-0.33444750000000001</v>
      </c>
      <c r="U1393">
        <v>2.1514889999999998E-2</v>
      </c>
      <c r="V1393">
        <v>-6.9425669999999995E-2</v>
      </c>
      <c r="W1393">
        <v>0.1199387</v>
      </c>
      <c r="X1393">
        <v>0.99035079999999998</v>
      </c>
      <c r="Y1393">
        <v>-3.325608E-2</v>
      </c>
      <c r="Z1393">
        <v>-6.254674E-3</v>
      </c>
      <c r="AA1393">
        <v>0.99942730000000002</v>
      </c>
      <c r="AB1393">
        <v>27</v>
      </c>
      <c r="AC1393">
        <v>-0.48079999999998702</v>
      </c>
      <c r="AD1393">
        <v>-8.2577999999999999E-2</v>
      </c>
      <c r="AE1393">
        <v>-6.6999999999666198E-3</v>
      </c>
      <c r="AF1393">
        <v>-2.5524391605740701E-2</v>
      </c>
      <c r="AG1393">
        <v>-8.2577999999999999E-2</v>
      </c>
      <c r="AH1393">
        <v>0.46637350579437498</v>
      </c>
      <c r="AI1393">
        <v>100.026254969319</v>
      </c>
      <c r="AJ1393">
        <v>93.132644449438004</v>
      </c>
      <c r="AK1393">
        <v>0.47431515636523602</v>
      </c>
      <c r="AL1393">
        <v>83.111434934915493</v>
      </c>
      <c r="AM1393">
        <v>94.009994226623903</v>
      </c>
      <c r="AN1393">
        <v>0.99999996123663804</v>
      </c>
    </row>
    <row r="1394" spans="1:40" x14ac:dyDescent="0.25">
      <c r="A1394" t="str">
        <f>"20190312164248465"</f>
        <v>20190312164248465</v>
      </c>
      <c r="B1394" t="str">
        <f>"1552380168455728"</f>
        <v>1552380168455728</v>
      </c>
      <c r="C1394" t="s">
        <v>40</v>
      </c>
      <c r="D1394">
        <v>5.0049479999999997</v>
      </c>
      <c r="E1394">
        <v>0.5129861</v>
      </c>
      <c r="F1394" t="s">
        <v>41</v>
      </c>
      <c r="G1394">
        <v>-221.3871</v>
      </c>
      <c r="H1394">
        <v>1.006005</v>
      </c>
      <c r="I1394">
        <v>282.90960000000001</v>
      </c>
      <c r="J1394">
        <v>-220.72329999999999</v>
      </c>
      <c r="K1394">
        <v>1.1094280000000001</v>
      </c>
      <c r="L1394">
        <v>282.91730000000001</v>
      </c>
      <c r="M1394">
        <v>-0.99907480000000004</v>
      </c>
      <c r="N1394">
        <v>0</v>
      </c>
      <c r="O1394">
        <v>4.1656789999999999E-2</v>
      </c>
      <c r="P1394">
        <v>-0.99365440000000005</v>
      </c>
      <c r="Q1394">
        <v>0.1083674</v>
      </c>
      <c r="R1394">
        <v>-3.0126170000000001E-2</v>
      </c>
      <c r="S1394">
        <v>-3.0563959999999999</v>
      </c>
      <c r="T1394">
        <v>-0.3328853</v>
      </c>
      <c r="U1394">
        <v>1.6296390000000001E-2</v>
      </c>
      <c r="V1394">
        <v>-7.1306339999999996E-2</v>
      </c>
      <c r="W1394">
        <v>0.1190799</v>
      </c>
      <c r="X1394">
        <v>0.99032089999999995</v>
      </c>
      <c r="Y1394">
        <v>-3.587303E-2</v>
      </c>
      <c r="Z1394">
        <v>-6.470529E-3</v>
      </c>
      <c r="AA1394">
        <v>0.99933539999999998</v>
      </c>
      <c r="AB1394">
        <v>27</v>
      </c>
      <c r="AC1394">
        <v>-0.66380000000000905</v>
      </c>
      <c r="AD1394">
        <v>-0.103423</v>
      </c>
      <c r="AE1394">
        <v>-7.6999999999998103E-3</v>
      </c>
      <c r="AF1394">
        <v>-3.4509076359761498E-2</v>
      </c>
      <c r="AG1394">
        <v>-0.103423</v>
      </c>
      <c r="AH1394">
        <v>0.647194416458024</v>
      </c>
      <c r="AI1394">
        <v>99.066553273435005</v>
      </c>
      <c r="AJ1394">
        <v>93.052179890496902</v>
      </c>
      <c r="AK1394">
        <v>0.65631380145068297</v>
      </c>
      <c r="AL1394">
        <v>83.160996367990194</v>
      </c>
      <c r="AM1394">
        <v>94.118375913625499</v>
      </c>
      <c r="AN1394">
        <v>1.0000000508425</v>
      </c>
    </row>
    <row r="1395" spans="1:40" x14ac:dyDescent="0.25">
      <c r="A1395" t="str">
        <f>"20190312164248489"</f>
        <v>20190312164248489</v>
      </c>
      <c r="B1395" t="str">
        <f>"1552380168485984"</f>
        <v>1552380168485984</v>
      </c>
      <c r="C1395" t="s">
        <v>40</v>
      </c>
      <c r="D1395">
        <v>5.011374</v>
      </c>
      <c r="E1395">
        <v>0.51300649999999903</v>
      </c>
      <c r="F1395" t="s">
        <v>41</v>
      </c>
      <c r="G1395">
        <v>-221.62960000000001</v>
      </c>
      <c r="H1395">
        <v>1.011061</v>
      </c>
      <c r="I1395">
        <v>282.92079999999999</v>
      </c>
      <c r="J1395">
        <v>-221.01609999999999</v>
      </c>
      <c r="K1395">
        <v>1.1095189999999999</v>
      </c>
      <c r="L1395">
        <v>282.93049999999999</v>
      </c>
      <c r="M1395">
        <v>-0.99904130000000002</v>
      </c>
      <c r="N1395">
        <v>0</v>
      </c>
      <c r="O1395">
        <v>4.2463529999999999E-2</v>
      </c>
      <c r="P1395">
        <v>-0.99381660000000005</v>
      </c>
      <c r="Q1395">
        <v>0.1064851</v>
      </c>
      <c r="R1395">
        <v>-3.146322E-2</v>
      </c>
      <c r="S1395">
        <v>-3.055679</v>
      </c>
      <c r="T1395">
        <v>-0.33183089999999998</v>
      </c>
      <c r="U1395">
        <v>1.101685E-2</v>
      </c>
      <c r="V1395">
        <v>-7.3483569999999998E-2</v>
      </c>
      <c r="W1395">
        <v>0.1171485</v>
      </c>
      <c r="X1395">
        <v>0.99039200000000005</v>
      </c>
      <c r="Y1395">
        <v>-3.8388350000000002E-2</v>
      </c>
      <c r="Z1395">
        <v>-6.6751909999999996E-3</v>
      </c>
      <c r="AA1395">
        <v>0.99924060000000003</v>
      </c>
      <c r="AB1395">
        <v>27</v>
      </c>
      <c r="AC1395">
        <v>-0.61350000000001603</v>
      </c>
      <c r="AD1395">
        <v>-9.8458000000000101E-2</v>
      </c>
      <c r="AE1395">
        <v>-9.7000000000093695E-3</v>
      </c>
      <c r="AF1395">
        <v>-3.4846822724662101E-2</v>
      </c>
      <c r="AG1395">
        <v>-9.8458000000000101E-2</v>
      </c>
      <c r="AH1395">
        <v>0.59715828245142399</v>
      </c>
      <c r="AI1395">
        <v>99.3469361144289</v>
      </c>
      <c r="AJ1395">
        <v>93.339674383405395</v>
      </c>
      <c r="AK1395">
        <v>0.606222973103411</v>
      </c>
      <c r="AL1395">
        <v>83.272436920454297</v>
      </c>
      <c r="AM1395">
        <v>94.243368068361704</v>
      </c>
      <c r="AN1395">
        <v>0.99999995988809598</v>
      </c>
    </row>
    <row r="1396" spans="1:40" x14ac:dyDescent="0.25">
      <c r="A1396" t="str">
        <f>"20190312164248511"</f>
        <v>20190312164248511</v>
      </c>
      <c r="B1396" t="str">
        <f>"1552380168505503"</f>
        <v>1552380168505503</v>
      </c>
      <c r="C1396" t="s">
        <v>40</v>
      </c>
      <c r="D1396">
        <v>5.0113699999999897</v>
      </c>
      <c r="E1396">
        <v>0.51311049999999903</v>
      </c>
      <c r="F1396" t="s">
        <v>41</v>
      </c>
      <c r="G1396">
        <v>-221.8732</v>
      </c>
      <c r="H1396">
        <v>1.0156769999999999</v>
      </c>
      <c r="I1396">
        <v>282.9325</v>
      </c>
      <c r="J1396">
        <v>-221.26830000000001</v>
      </c>
      <c r="K1396">
        <v>1.1095919999999999</v>
      </c>
      <c r="L1396">
        <v>282.9418</v>
      </c>
      <c r="M1396">
        <v>-0.99901779999999996</v>
      </c>
      <c r="N1396">
        <v>0</v>
      </c>
      <c r="O1396">
        <v>4.3018639999999997E-2</v>
      </c>
      <c r="P1396">
        <v>-0.9941468</v>
      </c>
      <c r="Q1396">
        <v>0.1030494</v>
      </c>
      <c r="R1396">
        <v>-3.245518E-2</v>
      </c>
      <c r="S1396">
        <v>-3.0547330000000001</v>
      </c>
      <c r="T1396">
        <v>-0.33447959999999999</v>
      </c>
      <c r="U1396">
        <v>7.1105959999999899E-3</v>
      </c>
      <c r="V1396">
        <v>-7.5070570000000003E-2</v>
      </c>
      <c r="W1396">
        <v>0.11366999999999999</v>
      </c>
      <c r="X1396">
        <v>0.99067830000000001</v>
      </c>
      <c r="Y1396">
        <v>-4.019814E-2</v>
      </c>
      <c r="Z1396">
        <v>-6.8896219999999998E-3</v>
      </c>
      <c r="AA1396">
        <v>0.99916799999999995</v>
      </c>
      <c r="AB1396">
        <v>27</v>
      </c>
      <c r="AC1396">
        <v>-0.604899999999986</v>
      </c>
      <c r="AD1396">
        <v>-9.3914999999999901E-2</v>
      </c>
      <c r="AE1396">
        <v>-9.2999999999960892E-3</v>
      </c>
      <c r="AF1396">
        <v>-3.4483805924568602E-2</v>
      </c>
      <c r="AG1396">
        <v>-9.3914999999999901E-2</v>
      </c>
      <c r="AH1396">
        <v>0.58972797644899499</v>
      </c>
      <c r="AI1396">
        <v>99.033275357702905</v>
      </c>
      <c r="AJ1396">
        <v>93.346507809451396</v>
      </c>
      <c r="AK1396">
        <v>0.59815403225479502</v>
      </c>
      <c r="AL1396">
        <v>83.473081212773806</v>
      </c>
      <c r="AM1396">
        <v>94.333417134028707</v>
      </c>
      <c r="AN1396">
        <v>0.999999976735507</v>
      </c>
    </row>
    <row r="1397" spans="1:40" x14ac:dyDescent="0.25">
      <c r="A1397" t="str">
        <f>"20190312164248531"</f>
        <v>20190312164248531</v>
      </c>
      <c r="B1397" t="str">
        <f>"1552380168525024"</f>
        <v>1552380168525024</v>
      </c>
      <c r="C1397" t="s">
        <v>40</v>
      </c>
      <c r="D1397">
        <v>5.0469330000000001</v>
      </c>
      <c r="E1397">
        <v>0.51322029999999996</v>
      </c>
      <c r="F1397" t="s">
        <v>41</v>
      </c>
      <c r="G1397">
        <v>-222.1129</v>
      </c>
      <c r="H1397">
        <v>1.01481</v>
      </c>
      <c r="I1397">
        <v>282.94349999999997</v>
      </c>
      <c r="J1397">
        <v>-221.52260000000001</v>
      </c>
      <c r="K1397">
        <v>1.10968</v>
      </c>
      <c r="L1397">
        <v>282.95330000000001</v>
      </c>
      <c r="M1397">
        <v>-0.99900049999999996</v>
      </c>
      <c r="N1397">
        <v>0</v>
      </c>
      <c r="O1397">
        <v>4.3424400000000002E-2</v>
      </c>
      <c r="P1397">
        <v>-0.99447479999999999</v>
      </c>
      <c r="Q1397">
        <v>9.9746119999999994E-2</v>
      </c>
      <c r="R1397">
        <v>-3.2718190000000001E-2</v>
      </c>
      <c r="S1397">
        <v>-3.053375</v>
      </c>
      <c r="T1397">
        <v>-0.34282210000000002</v>
      </c>
      <c r="U1397">
        <v>5.4626459999999998E-3</v>
      </c>
      <c r="V1397">
        <v>-7.5781500000000002E-2</v>
      </c>
      <c r="W1397">
        <v>0.1103176</v>
      </c>
      <c r="X1397">
        <v>0.99100310000000003</v>
      </c>
      <c r="Y1397">
        <v>-4.1108400000000003E-2</v>
      </c>
      <c r="Z1397">
        <v>-7.1598629999999998E-3</v>
      </c>
      <c r="AA1397">
        <v>0.99912909999999999</v>
      </c>
      <c r="AB1397">
        <v>27</v>
      </c>
      <c r="AC1397">
        <v>-0.59029999999998495</v>
      </c>
      <c r="AD1397">
        <v>-9.4869999999999996E-2</v>
      </c>
      <c r="AE1397">
        <v>-9.8000000000411092E-3</v>
      </c>
      <c r="AF1397">
        <v>-3.4533878518282698E-2</v>
      </c>
      <c r="AG1397">
        <v>-9.4869999999999996E-2</v>
      </c>
      <c r="AH1397">
        <v>0.574483138772931</v>
      </c>
      <c r="AI1397">
        <v>99.360582169402804</v>
      </c>
      <c r="AJ1397">
        <v>93.440078893824804</v>
      </c>
      <c r="AK1397">
        <v>0.583287049744732</v>
      </c>
      <c r="AL1397">
        <v>83.666375715036494</v>
      </c>
      <c r="AM1397">
        <v>94.3728686238763</v>
      </c>
      <c r="AN1397">
        <v>0.99999997641080896</v>
      </c>
    </row>
    <row r="1398" spans="1:40" x14ac:dyDescent="0.25">
      <c r="A1398" t="str">
        <f>"20190312164248554"</f>
        <v>20190312164248554</v>
      </c>
      <c r="B1398" t="str">
        <f>"1552380168545520"</f>
        <v>1552380168545520</v>
      </c>
      <c r="C1398" t="s">
        <v>40</v>
      </c>
      <c r="D1398">
        <v>5.0588470000000001</v>
      </c>
      <c r="E1398">
        <v>0.51342770000000004</v>
      </c>
      <c r="F1398" t="s">
        <v>41</v>
      </c>
      <c r="G1398">
        <v>-222.35290000000001</v>
      </c>
      <c r="H1398">
        <v>1.014095</v>
      </c>
      <c r="I1398">
        <v>282.9547</v>
      </c>
      <c r="J1398">
        <v>-221.79140000000001</v>
      </c>
      <c r="K1398">
        <v>1.1097669999999999</v>
      </c>
      <c r="L1398">
        <v>282.96539999999999</v>
      </c>
      <c r="M1398">
        <v>-0.99898940000000003</v>
      </c>
      <c r="N1398">
        <v>0</v>
      </c>
      <c r="O1398">
        <v>4.3689949999999998E-2</v>
      </c>
      <c r="P1398">
        <v>-0.99480020000000002</v>
      </c>
      <c r="Q1398">
        <v>9.6736740000000002E-2</v>
      </c>
      <c r="R1398">
        <v>-3.1856219999999998E-2</v>
      </c>
      <c r="S1398">
        <v>-3.0520779999999998</v>
      </c>
      <c r="T1398">
        <v>-0.35144340000000002</v>
      </c>
      <c r="U1398">
        <v>4.8522950000000004E-3</v>
      </c>
      <c r="V1398">
        <v>-7.5230370000000005E-2</v>
      </c>
      <c r="W1398">
        <v>0.10725129999999999</v>
      </c>
      <c r="X1398">
        <v>0.99138159999999997</v>
      </c>
      <c r="Y1398">
        <v>-4.154095E-2</v>
      </c>
      <c r="Z1398">
        <v>-7.3971339999999997E-3</v>
      </c>
      <c r="AA1398">
        <v>0.99910940000000004</v>
      </c>
      <c r="AB1398">
        <v>27</v>
      </c>
      <c r="AC1398">
        <v>-0.561499999999995</v>
      </c>
      <c r="AD1398">
        <v>-9.5671999999999896E-2</v>
      </c>
      <c r="AE1398">
        <v>-1.06999999999857E-2</v>
      </c>
      <c r="AF1398">
        <v>-3.4229675194915203E-2</v>
      </c>
      <c r="AG1398">
        <v>-9.5671999999999896E-2</v>
      </c>
      <c r="AH1398">
        <v>0.54468885675191303</v>
      </c>
      <c r="AI1398">
        <v>99.942890728523693</v>
      </c>
      <c r="AJ1398">
        <v>93.595888290015907</v>
      </c>
      <c r="AK1398">
        <v>0.55408551047438104</v>
      </c>
      <c r="AL1398">
        <v>83.843110617696198</v>
      </c>
      <c r="AM1398">
        <v>94.339537339534004</v>
      </c>
      <c r="AN1398">
        <v>0.99999996337029196</v>
      </c>
    </row>
    <row r="1399" spans="1:40" x14ac:dyDescent="0.25">
      <c r="A1399" t="str">
        <f>"20190312164248576"</f>
        <v>20190312164248576</v>
      </c>
      <c r="B1399" t="str">
        <f>"1552380168566016"</f>
        <v>1552380168566016</v>
      </c>
      <c r="C1399" t="s">
        <v>40</v>
      </c>
      <c r="D1399">
        <v>5.0385059999999999</v>
      </c>
      <c r="E1399">
        <v>0.51340779999999997</v>
      </c>
      <c r="F1399" t="s">
        <v>41</v>
      </c>
      <c r="G1399">
        <v>-222.59399999999999</v>
      </c>
      <c r="H1399">
        <v>1.0153490000000001</v>
      </c>
      <c r="I1399">
        <v>282.96780000000001</v>
      </c>
      <c r="J1399">
        <v>-222.0557</v>
      </c>
      <c r="K1399">
        <v>1.1098600000000001</v>
      </c>
      <c r="L1399">
        <v>282.97719999999998</v>
      </c>
      <c r="M1399">
        <v>-0.99898450000000005</v>
      </c>
      <c r="N1399">
        <v>0</v>
      </c>
      <c r="O1399">
        <v>4.3809979999999998E-2</v>
      </c>
      <c r="P1399">
        <v>-0.99500140000000004</v>
      </c>
      <c r="Q1399">
        <v>9.4691719999999993E-2</v>
      </c>
      <c r="R1399">
        <v>-3.1715399999999998E-2</v>
      </c>
      <c r="S1399">
        <v>-3.0508730000000002</v>
      </c>
      <c r="T1399">
        <v>-0.35905350000000003</v>
      </c>
      <c r="U1399">
        <v>8.5754390000000007E-3</v>
      </c>
      <c r="V1399">
        <v>-7.5246869999999993E-2</v>
      </c>
      <c r="W1399">
        <v>0.1051513</v>
      </c>
      <c r="X1399">
        <v>0.99160530000000002</v>
      </c>
      <c r="Y1399">
        <v>-4.0422949999999999E-2</v>
      </c>
      <c r="Z1399">
        <v>-7.5076489999999999E-3</v>
      </c>
      <c r="AA1399">
        <v>0.9991544</v>
      </c>
      <c r="AB1399">
        <v>27</v>
      </c>
      <c r="AC1399">
        <v>-0.53830000000001998</v>
      </c>
      <c r="AD1399">
        <v>-9.4510999999999998E-2</v>
      </c>
      <c r="AE1399">
        <v>-9.3999999999709802E-3</v>
      </c>
      <c r="AF1399">
        <v>-3.19893894586036E-2</v>
      </c>
      <c r="AG1399">
        <v>-9.4510999999999998E-2</v>
      </c>
      <c r="AH1399">
        <v>0.52130642647076497</v>
      </c>
      <c r="AI1399">
        <v>100.257024177996</v>
      </c>
      <c r="AJ1399">
        <v>93.511488710997696</v>
      </c>
      <c r="AK1399">
        <v>0.53076929116015503</v>
      </c>
      <c r="AL1399">
        <v>83.964116206290498</v>
      </c>
      <c r="AM1399">
        <v>94.339510031590706</v>
      </c>
      <c r="AN1399">
        <v>0.999999979162288</v>
      </c>
    </row>
    <row r="1400" spans="1:40" x14ac:dyDescent="0.25">
      <c r="A1400" t="str">
        <f>"20190312164248599"</f>
        <v>20190312164248599</v>
      </c>
      <c r="B1400" t="str">
        <f>"1552380168595297"</f>
        <v>1552380168595297</v>
      </c>
      <c r="C1400" t="s">
        <v>40</v>
      </c>
      <c r="D1400">
        <v>5.031955</v>
      </c>
      <c r="E1400">
        <v>0.51341059999999905</v>
      </c>
      <c r="F1400" t="s">
        <v>41</v>
      </c>
      <c r="G1400">
        <v>-222.83609999999999</v>
      </c>
      <c r="H1400">
        <v>1.01709</v>
      </c>
      <c r="I1400">
        <v>282.97969999999998</v>
      </c>
      <c r="J1400">
        <v>-222.32839999999999</v>
      </c>
      <c r="K1400">
        <v>1.10995</v>
      </c>
      <c r="L1400">
        <v>282.98919999999998</v>
      </c>
      <c r="M1400">
        <v>-0.99898529999999996</v>
      </c>
      <c r="N1400">
        <v>0</v>
      </c>
      <c r="O1400">
        <v>4.3802319999999999E-2</v>
      </c>
      <c r="P1400">
        <v>-0.99514930000000001</v>
      </c>
      <c r="Q1400">
        <v>9.3242130000000006E-2</v>
      </c>
      <c r="R1400">
        <v>-3.1363299999999997E-2</v>
      </c>
      <c r="S1400">
        <v>-3.0499109999999998</v>
      </c>
      <c r="T1400">
        <v>-0.36268479999999997</v>
      </c>
      <c r="U1400">
        <v>9.4909669999999995E-3</v>
      </c>
      <c r="V1400">
        <v>-7.492066E-2</v>
      </c>
      <c r="W1400">
        <v>0.1036499</v>
      </c>
      <c r="X1400">
        <v>0.99178809999999995</v>
      </c>
      <c r="Y1400">
        <v>-4.0104599999999997E-2</v>
      </c>
      <c r="Z1400">
        <v>-7.5656409999999997E-3</v>
      </c>
      <c r="AA1400">
        <v>0.99916680000000002</v>
      </c>
      <c r="AB1400">
        <v>27</v>
      </c>
      <c r="AC1400">
        <v>-0.50769999999999904</v>
      </c>
      <c r="AD1400">
        <v>-9.2859999999999901E-2</v>
      </c>
      <c r="AE1400">
        <v>-9.5000000000027198E-3</v>
      </c>
      <c r="AF1400">
        <v>-3.0703747337234199E-2</v>
      </c>
      <c r="AG1400">
        <v>-9.2859999999999901E-2</v>
      </c>
      <c r="AH1400">
        <v>0.49039672009531299</v>
      </c>
      <c r="AI1400">
        <v>100.701929554668</v>
      </c>
      <c r="AJ1400">
        <v>93.582613355817301</v>
      </c>
      <c r="AK1400">
        <v>0.50005463979528297</v>
      </c>
      <c r="AL1400">
        <v>84.050613026353901</v>
      </c>
      <c r="AM1400">
        <v>94.319975436708603</v>
      </c>
      <c r="AN1400">
        <v>1.0000000211832201</v>
      </c>
    </row>
    <row r="1401" spans="1:40" x14ac:dyDescent="0.25">
      <c r="A1401" t="str">
        <f>"20190312164248621"</f>
        <v>20190312164248621</v>
      </c>
      <c r="B1401" t="str">
        <f>"1552380168615792"</f>
        <v>1552380168615792</v>
      </c>
      <c r="C1401" t="s">
        <v>40</v>
      </c>
      <c r="D1401">
        <v>5.0520959999999997</v>
      </c>
      <c r="E1401">
        <v>0.51340010000000003</v>
      </c>
      <c r="F1401" t="s">
        <v>41</v>
      </c>
      <c r="G1401">
        <v>-223.08</v>
      </c>
      <c r="H1401">
        <v>1.020742</v>
      </c>
      <c r="I1401">
        <v>282.99189999999999</v>
      </c>
      <c r="J1401">
        <v>-222.5951</v>
      </c>
      <c r="K1401">
        <v>1.1100300000000001</v>
      </c>
      <c r="L1401">
        <v>283.0009</v>
      </c>
      <c r="M1401">
        <v>-0.99899130000000003</v>
      </c>
      <c r="N1401">
        <v>0</v>
      </c>
      <c r="O1401">
        <v>4.3669930000000003E-2</v>
      </c>
      <c r="P1401">
        <v>-0.99529970000000001</v>
      </c>
      <c r="Q1401">
        <v>9.1930670000000006E-2</v>
      </c>
      <c r="R1401">
        <v>-3.0450410000000001E-2</v>
      </c>
      <c r="S1401">
        <v>-3.0488590000000002</v>
      </c>
      <c r="T1401">
        <v>-0.3620003</v>
      </c>
      <c r="U1401">
        <v>1.077271E-2</v>
      </c>
      <c r="V1401">
        <v>-7.3905769999999996E-2</v>
      </c>
      <c r="W1401">
        <v>0.1022938</v>
      </c>
      <c r="X1401">
        <v>0.99200500000000003</v>
      </c>
      <c r="Y1401">
        <v>-3.9557639999999998E-2</v>
      </c>
      <c r="Z1401">
        <v>-7.5060229999999997E-3</v>
      </c>
      <c r="AA1401">
        <v>0.99918910000000005</v>
      </c>
      <c r="AB1401">
        <v>27</v>
      </c>
      <c r="AC1401">
        <v>-0.48490000000000999</v>
      </c>
      <c r="AD1401">
        <v>-8.9287999999999798E-2</v>
      </c>
      <c r="AE1401">
        <v>-9.0000000000145502E-3</v>
      </c>
      <c r="AF1401">
        <v>-2.91791018767435E-2</v>
      </c>
      <c r="AG1401">
        <v>-8.9287999999999798E-2</v>
      </c>
      <c r="AH1401">
        <v>0.46817562211471497</v>
      </c>
      <c r="AI1401">
        <v>100.77706766683499</v>
      </c>
      <c r="AJ1401">
        <v>93.566353374166695</v>
      </c>
      <c r="AK1401">
        <v>0.47750620945997502</v>
      </c>
      <c r="AL1401">
        <v>84.128726958725196</v>
      </c>
      <c r="AM1401">
        <v>94.260744892719401</v>
      </c>
      <c r="AN1401">
        <v>1.00000000219136</v>
      </c>
    </row>
    <row r="1402" spans="1:40" x14ac:dyDescent="0.25">
      <c r="A1402" t="str">
        <f>"20190312164248643"</f>
        <v>20190312164248643</v>
      </c>
      <c r="B1402" t="str">
        <f>"1552380168635312"</f>
        <v>1552380168635312</v>
      </c>
      <c r="C1402" t="s">
        <v>40</v>
      </c>
      <c r="D1402">
        <v>5.0494279999999998</v>
      </c>
      <c r="E1402">
        <v>0.50962510000000005</v>
      </c>
      <c r="F1402" t="s">
        <v>41</v>
      </c>
      <c r="G1402">
        <v>-223.32300000000001</v>
      </c>
      <c r="H1402">
        <v>1.0229569999999999</v>
      </c>
      <c r="I1402">
        <v>283.00409999999999</v>
      </c>
      <c r="J1402">
        <v>-222.8621</v>
      </c>
      <c r="K1402">
        <v>1.1101030000000001</v>
      </c>
      <c r="L1402">
        <v>283.01229999999998</v>
      </c>
      <c r="M1402">
        <v>-0.99900250000000002</v>
      </c>
      <c r="N1402">
        <v>0</v>
      </c>
      <c r="O1402">
        <v>4.3421319999999999E-2</v>
      </c>
      <c r="P1402">
        <v>-0.99524990000000002</v>
      </c>
      <c r="Q1402">
        <v>9.28707E-2</v>
      </c>
      <c r="R1402">
        <v>-2.9205869999999998E-2</v>
      </c>
      <c r="S1402">
        <v>-3.0482480000000001</v>
      </c>
      <c r="T1402">
        <v>-0.36480309999999999</v>
      </c>
      <c r="U1402">
        <v>1.287842E-2</v>
      </c>
      <c r="V1402">
        <v>-7.2432060000000006E-2</v>
      </c>
      <c r="W1402">
        <v>0.103192699999999</v>
      </c>
      <c r="X1402">
        <v>0.99202060000000003</v>
      </c>
      <c r="Y1402">
        <v>-3.8617220000000001E-2</v>
      </c>
      <c r="Z1402">
        <v>-7.47950099999999E-3</v>
      </c>
      <c r="AA1402">
        <v>0.99922610000000001</v>
      </c>
      <c r="AB1402">
        <v>27</v>
      </c>
      <c r="AC1402">
        <v>-0.46089999999998099</v>
      </c>
      <c r="AD1402">
        <v>-8.7146000000000098E-2</v>
      </c>
      <c r="AE1402">
        <v>-8.1999999999879895E-3</v>
      </c>
      <c r="AF1402">
        <v>-2.7232956110107599E-2</v>
      </c>
      <c r="AG1402">
        <v>-8.7146000000000098E-2</v>
      </c>
      <c r="AH1402">
        <v>0.44423268801252302</v>
      </c>
      <c r="AI1402">
        <v>101.078601865569</v>
      </c>
      <c r="AJ1402">
        <v>93.508033640404705</v>
      </c>
      <c r="AK1402">
        <v>0.45351818079689699</v>
      </c>
      <c r="AL1402">
        <v>84.076949780433793</v>
      </c>
      <c r="AM1402">
        <v>94.176022152554907</v>
      </c>
      <c r="AN1402">
        <v>1.00000000373674</v>
      </c>
    </row>
    <row r="1403" spans="1:40" x14ac:dyDescent="0.25">
      <c r="A1403" t="str">
        <f>"20190312164248665"</f>
        <v>20190312164248665</v>
      </c>
      <c r="B1403" t="str">
        <f>"1552380168655808"</f>
        <v>1552380168655808</v>
      </c>
      <c r="C1403" t="s">
        <v>40</v>
      </c>
      <c r="D1403">
        <v>5.1740640000000004</v>
      </c>
      <c r="E1403">
        <v>0.50932999999999995</v>
      </c>
      <c r="F1403" t="s">
        <v>41</v>
      </c>
      <c r="G1403">
        <v>-223.80420000000001</v>
      </c>
      <c r="H1403">
        <v>1.013558</v>
      </c>
      <c r="I1403">
        <v>283.00779999999997</v>
      </c>
      <c r="J1403">
        <v>-223.136</v>
      </c>
      <c r="K1403">
        <v>1.1101780000000001</v>
      </c>
      <c r="L1403">
        <v>283.02390000000003</v>
      </c>
      <c r="M1403">
        <v>-0.99901779999999996</v>
      </c>
      <c r="N1403">
        <v>0</v>
      </c>
      <c r="O1403">
        <v>4.3077980000000002E-2</v>
      </c>
      <c r="P1403">
        <v>-0.99503390000000003</v>
      </c>
      <c r="Q1403">
        <v>9.5584530000000001E-2</v>
      </c>
      <c r="R1403">
        <v>-2.7773590000000001E-2</v>
      </c>
      <c r="S1403">
        <v>-3.042999</v>
      </c>
      <c r="T1403">
        <v>-0.31195240000000002</v>
      </c>
      <c r="U1403">
        <v>-1.4953610000000001E-2</v>
      </c>
      <c r="V1403">
        <v>-7.0668410000000001E-2</v>
      </c>
      <c r="W1403">
        <v>0.1058635</v>
      </c>
      <c r="X1403">
        <v>0.99186640000000004</v>
      </c>
      <c r="Y1403">
        <v>-4.7514550000000003E-2</v>
      </c>
      <c r="Z1403">
        <v>-6.8329810000000001E-3</v>
      </c>
      <c r="AA1403">
        <v>0.99884720000000005</v>
      </c>
      <c r="AB1403">
        <v>27</v>
      </c>
      <c r="AC1403">
        <v>-0.66820000000001301</v>
      </c>
      <c r="AD1403">
        <v>-9.6620000000000095E-2</v>
      </c>
      <c r="AE1403">
        <v>-1.6100000000051198E-2</v>
      </c>
      <c r="AF1403">
        <v>-4.3952858294146899E-2</v>
      </c>
      <c r="AG1403">
        <v>-9.6620000000000095E-2</v>
      </c>
      <c r="AH1403">
        <v>0.65323585675032403</v>
      </c>
      <c r="AI1403">
        <v>98.394896770742406</v>
      </c>
      <c r="AJ1403">
        <v>93.849334354963901</v>
      </c>
      <c r="AK1403">
        <v>0.66180387026411103</v>
      </c>
      <c r="AL1403">
        <v>83.923081424593505</v>
      </c>
      <c r="AM1403">
        <v>94.075318169320596</v>
      </c>
      <c r="AN1403">
        <v>1.0000000301265599</v>
      </c>
    </row>
    <row r="1404" spans="1:40" x14ac:dyDescent="0.25">
      <c r="A1404" t="str">
        <f>"20190312164248689"</f>
        <v>20190312164248689</v>
      </c>
      <c r="B1404" t="str">
        <f>"1552380168685089"</f>
        <v>1552380168685089</v>
      </c>
      <c r="C1404" t="s">
        <v>40</v>
      </c>
      <c r="D1404">
        <v>5.0318889999999996</v>
      </c>
      <c r="E1404">
        <v>0.51423050000000003</v>
      </c>
      <c r="F1404" t="s">
        <v>41</v>
      </c>
      <c r="G1404">
        <v>-224.05709999999999</v>
      </c>
      <c r="H1404">
        <v>1.0202180000000001</v>
      </c>
      <c r="I1404">
        <v>283.01990000000001</v>
      </c>
      <c r="J1404">
        <v>-223.43180000000001</v>
      </c>
      <c r="K1404">
        <v>1.1102369999999999</v>
      </c>
      <c r="L1404">
        <v>283.03629999999998</v>
      </c>
      <c r="M1404">
        <v>-0.9990367</v>
      </c>
      <c r="N1404">
        <v>0</v>
      </c>
      <c r="O1404">
        <v>4.2645540000000003E-2</v>
      </c>
      <c r="P1404">
        <v>-0.99479099999999998</v>
      </c>
      <c r="Q1404">
        <v>9.8037689999999997E-2</v>
      </c>
      <c r="R1404">
        <v>-2.79236E-2</v>
      </c>
      <c r="S1404">
        <v>-3.0431370000000002</v>
      </c>
      <c r="T1404">
        <v>-0.29739670000000001</v>
      </c>
      <c r="U1404">
        <v>-1.382446E-2</v>
      </c>
      <c r="V1404">
        <v>-7.0393230000000001E-2</v>
      </c>
      <c r="W1404">
        <v>0.1082714</v>
      </c>
      <c r="X1404">
        <v>0.99162600000000001</v>
      </c>
      <c r="Y1404">
        <v>-4.6760179999999998E-2</v>
      </c>
      <c r="Z1404">
        <v>-6.4364959999999999E-3</v>
      </c>
      <c r="AA1404">
        <v>0.99888540000000003</v>
      </c>
      <c r="AB1404">
        <v>27</v>
      </c>
      <c r="AC1404">
        <v>-0.62529999999998098</v>
      </c>
      <c r="AD1404">
        <v>-9.0019000000000002E-2</v>
      </c>
      <c r="AE1404">
        <v>-1.6399999999975899E-2</v>
      </c>
      <c r="AF1404">
        <v>-4.21792050423314E-2</v>
      </c>
      <c r="AG1404">
        <v>-9.0019000000000002E-2</v>
      </c>
      <c r="AH1404">
        <v>0.61136981629090503</v>
      </c>
      <c r="AI1404">
        <v>98.356547421626203</v>
      </c>
      <c r="AJ1404">
        <v>93.9466570957496</v>
      </c>
      <c r="AK1404">
        <v>0.61939935257520096</v>
      </c>
      <c r="AL1404">
        <v>83.784321155121503</v>
      </c>
      <c r="AM1404">
        <v>94.060483053388594</v>
      </c>
      <c r="AN1404">
        <v>1.00000001338189</v>
      </c>
    </row>
    <row r="1405" spans="1:40" x14ac:dyDescent="0.25">
      <c r="A1405" t="str">
        <f>"20190312164248713"</f>
        <v>20190312164248713</v>
      </c>
      <c r="B1405" t="str">
        <f>"1552380168705584"</f>
        <v>1552380168705584</v>
      </c>
      <c r="C1405" t="s">
        <v>40</v>
      </c>
      <c r="D1405">
        <v>5.0467000000000004</v>
      </c>
      <c r="E1405">
        <v>0.51381499999999902</v>
      </c>
      <c r="F1405" t="s">
        <v>46</v>
      </c>
      <c r="G1405">
        <v>-242.40950000000001</v>
      </c>
      <c r="H1405" s="1">
        <v>-2.5456690000000001E-7</v>
      </c>
      <c r="I1405">
        <v>283.19580000000002</v>
      </c>
      <c r="J1405">
        <v>-223.71559999999999</v>
      </c>
      <c r="K1405">
        <v>1.1102730000000001</v>
      </c>
      <c r="L1405">
        <v>283.04790000000003</v>
      </c>
      <c r="M1405">
        <v>-0.9990561</v>
      </c>
      <c r="N1405">
        <v>0</v>
      </c>
      <c r="O1405">
        <v>4.2195570000000002E-2</v>
      </c>
      <c r="P1405">
        <v>-0.9946161</v>
      </c>
      <c r="Q1405">
        <v>9.9569279999999996E-2</v>
      </c>
      <c r="R1405">
        <v>-2.872661E-2</v>
      </c>
      <c r="S1405">
        <v>-3.0339049999999999</v>
      </c>
      <c r="T1405">
        <v>-0.1774896</v>
      </c>
      <c r="U1405">
        <v>2.5512699999999999E-2</v>
      </c>
      <c r="V1405">
        <v>-7.0750380000000002E-2</v>
      </c>
      <c r="W1405">
        <v>0.1097655</v>
      </c>
      <c r="X1405">
        <v>0.99143630000000005</v>
      </c>
      <c r="Y1405">
        <v>-3.3665260000000002E-2</v>
      </c>
      <c r="Z1405">
        <v>-3.4497320000000001E-3</v>
      </c>
      <c r="AA1405">
        <v>0.99942719999999896</v>
      </c>
      <c r="AB1405">
        <v>27</v>
      </c>
      <c r="AC1405">
        <v>-18.693899999999999</v>
      </c>
      <c r="AD1405">
        <v>-1.1102732545668901</v>
      </c>
      <c r="AE1405">
        <v>0.14789999999999201</v>
      </c>
      <c r="AF1405">
        <v>-0.63882022811771</v>
      </c>
      <c r="AG1405">
        <v>-1.1102732545668901</v>
      </c>
      <c r="AH1405">
        <v>18.617820762619299</v>
      </c>
      <c r="AI1405">
        <v>93.410787988940797</v>
      </c>
      <c r="AJ1405">
        <v>91.965178921975195</v>
      </c>
      <c r="AK1405">
        <v>18.661833991670701</v>
      </c>
      <c r="AL1405">
        <v>83.6982022043737</v>
      </c>
      <c r="AM1405">
        <v>94.081793271591707</v>
      </c>
      <c r="AN1405">
        <v>1.00000000910904</v>
      </c>
    </row>
    <row r="1406" spans="1:40" x14ac:dyDescent="0.25">
      <c r="A1406" t="str">
        <f>"20190312164248732"</f>
        <v>20190312164248732</v>
      </c>
      <c r="B1406" t="str">
        <f>"1552380168725104"</f>
        <v>1552380168725104</v>
      </c>
      <c r="C1406" t="s">
        <v>40</v>
      </c>
      <c r="D1406">
        <v>5.0350609999999998</v>
      </c>
      <c r="E1406">
        <v>0.513903</v>
      </c>
      <c r="F1406" t="s">
        <v>46</v>
      </c>
      <c r="G1406">
        <v>-243.53800000000001</v>
      </c>
      <c r="H1406" s="1">
        <v>3.4595860000000001E-7</v>
      </c>
      <c r="I1406">
        <v>283.1773</v>
      </c>
      <c r="J1406">
        <v>-223.94880000000001</v>
      </c>
      <c r="K1406">
        <v>1.1102909999999999</v>
      </c>
      <c r="L1406">
        <v>283.05739999999997</v>
      </c>
      <c r="M1406">
        <v>-0.99907239999999997</v>
      </c>
      <c r="N1406">
        <v>0</v>
      </c>
      <c r="O1406">
        <v>4.1812580000000002E-2</v>
      </c>
      <c r="P1406">
        <v>-0.99445660000000002</v>
      </c>
      <c r="Q1406">
        <v>0.1009803</v>
      </c>
      <c r="R1406">
        <v>-2.9316249999999999E-2</v>
      </c>
      <c r="S1406">
        <v>-3.0338289999999999</v>
      </c>
      <c r="T1406">
        <v>-0.16992779999999999</v>
      </c>
      <c r="U1406">
        <v>1.9805909999999999E-2</v>
      </c>
      <c r="V1406">
        <v>-7.095688E-2</v>
      </c>
      <c r="W1406">
        <v>0.11114789999999999</v>
      </c>
      <c r="X1406">
        <v>0.99126749999999997</v>
      </c>
      <c r="Y1406">
        <v>-3.5170779999999999E-2</v>
      </c>
      <c r="Z1406">
        <v>-3.323833E-3</v>
      </c>
      <c r="AA1406">
        <v>0.99937580000000004</v>
      </c>
      <c r="AB1406">
        <v>27</v>
      </c>
      <c r="AC1406">
        <v>-19.589199999999899</v>
      </c>
      <c r="AD1406">
        <v>-1.1102906540413999</v>
      </c>
      <c r="AE1406">
        <v>0.119900000000029</v>
      </c>
      <c r="AF1406">
        <v>-0.69708401102066098</v>
      </c>
      <c r="AG1406">
        <v>-1.1102906540413999</v>
      </c>
      <c r="AH1406">
        <v>19.514393283668898</v>
      </c>
      <c r="AI1406">
        <v>93.254317934782904</v>
      </c>
      <c r="AJ1406">
        <v>92.0458231029952</v>
      </c>
      <c r="AK1406">
        <v>19.558379704990202</v>
      </c>
      <c r="AL1406">
        <v>83.618508777288596</v>
      </c>
      <c r="AM1406">
        <v>94.0943611349295</v>
      </c>
      <c r="AN1406">
        <v>0.99999999552499697</v>
      </c>
    </row>
    <row r="1407" spans="1:40" x14ac:dyDescent="0.25">
      <c r="A1407" t="str">
        <f>"20190312164248755"</f>
        <v>20190312164248755</v>
      </c>
      <c r="B1407" t="str">
        <f>"1552380168745600"</f>
        <v>1552380168745600</v>
      </c>
      <c r="C1407" t="s">
        <v>40</v>
      </c>
      <c r="D1407">
        <v>5.0098510000000003</v>
      </c>
      <c r="E1407">
        <v>0.51379200000000003</v>
      </c>
      <c r="F1407" t="s">
        <v>46</v>
      </c>
      <c r="G1407">
        <v>-244.6352</v>
      </c>
      <c r="H1407" s="1">
        <v>9.2981499999999997E-7</v>
      </c>
      <c r="I1407">
        <v>283.18290000000002</v>
      </c>
      <c r="J1407">
        <v>-224.22829999999999</v>
      </c>
      <c r="K1407">
        <v>1.110304</v>
      </c>
      <c r="L1407">
        <v>283.0686</v>
      </c>
      <c r="M1407">
        <v>-0.99909190000000003</v>
      </c>
      <c r="N1407">
        <v>0</v>
      </c>
      <c r="O1407">
        <v>4.1348740000000002E-2</v>
      </c>
      <c r="P1407">
        <v>-0.99419190000000002</v>
      </c>
      <c r="Q1407">
        <v>0.1034143</v>
      </c>
      <c r="R1407">
        <v>-2.9798370000000001E-2</v>
      </c>
      <c r="S1407">
        <v>-3.0338129999999999</v>
      </c>
      <c r="T1407">
        <v>-0.16283249999999999</v>
      </c>
      <c r="U1407">
        <v>1.8402100000000001E-2</v>
      </c>
      <c r="V1407">
        <v>-7.0970599999999995E-2</v>
      </c>
      <c r="W1407">
        <v>0.11354400000000001</v>
      </c>
      <c r="X1407">
        <v>0.99099490000000001</v>
      </c>
      <c r="Y1407">
        <v>-3.517969E-2</v>
      </c>
      <c r="Z1407">
        <v>-3.1606529999999998E-3</v>
      </c>
      <c r="AA1407">
        <v>0.99937600000000004</v>
      </c>
      <c r="AB1407">
        <v>27</v>
      </c>
      <c r="AC1407">
        <v>-20.4069</v>
      </c>
      <c r="AD1407">
        <v>-1.1103030701850001</v>
      </c>
      <c r="AE1407">
        <v>0.114300000000014</v>
      </c>
      <c r="AF1407">
        <v>-0.72748846183344396</v>
      </c>
      <c r="AG1407">
        <v>-1.1103030701850001</v>
      </c>
      <c r="AH1407">
        <v>20.3339802152231</v>
      </c>
      <c r="AI1407">
        <v>93.123442350412901</v>
      </c>
      <c r="AJ1407">
        <v>92.0489961870977</v>
      </c>
      <c r="AK1407">
        <v>20.377260948489798</v>
      </c>
      <c r="AL1407">
        <v>83.480347539225704</v>
      </c>
      <c r="AM1407">
        <v>94.096272762518893</v>
      </c>
      <c r="AN1407">
        <v>0.99999997891318404</v>
      </c>
    </row>
    <row r="1408" spans="1:40" x14ac:dyDescent="0.25">
      <c r="A1408" t="str">
        <f>"20190312164248777"</f>
        <v>20190312164248777</v>
      </c>
      <c r="B1408" t="str">
        <f>"1552380168765120"</f>
        <v>1552380168765120</v>
      </c>
      <c r="C1408" t="s">
        <v>40</v>
      </c>
      <c r="D1408">
        <v>5.2192080000000001</v>
      </c>
      <c r="E1408">
        <v>0.51350959999999901</v>
      </c>
      <c r="F1408" t="s">
        <v>46</v>
      </c>
      <c r="G1408">
        <v>-246.15180000000001</v>
      </c>
      <c r="H1408" s="1">
        <v>1.7369170000000001E-6</v>
      </c>
      <c r="I1408">
        <v>283.17779999999999</v>
      </c>
      <c r="J1408">
        <v>-224.49180000000001</v>
      </c>
      <c r="K1408">
        <v>1.110306</v>
      </c>
      <c r="L1408">
        <v>283.07909999999998</v>
      </c>
      <c r="M1408">
        <v>-0.99911030000000001</v>
      </c>
      <c r="N1408">
        <v>0</v>
      </c>
      <c r="O1408">
        <v>4.0914829999999999E-2</v>
      </c>
      <c r="P1408">
        <v>-0.99378699999999998</v>
      </c>
      <c r="Q1408">
        <v>0.1070989</v>
      </c>
      <c r="R1408">
        <v>-3.0290770000000002E-2</v>
      </c>
      <c r="S1408">
        <v>-3.0339510000000001</v>
      </c>
      <c r="T1408">
        <v>-0.15365239999999999</v>
      </c>
      <c r="U1408">
        <v>1.51062E-2</v>
      </c>
      <c r="V1408">
        <v>-7.1018349999999994E-2</v>
      </c>
      <c r="W1408">
        <v>0.117184</v>
      </c>
      <c r="X1408">
        <v>0.99056770000000005</v>
      </c>
      <c r="Y1408">
        <v>-3.584329E-2</v>
      </c>
      <c r="Z1408">
        <v>-2.9774290000000002E-3</v>
      </c>
      <c r="AA1408">
        <v>0.99935300000000005</v>
      </c>
      <c r="AB1408">
        <v>27</v>
      </c>
      <c r="AC1408">
        <v>-21.66</v>
      </c>
      <c r="AD1408">
        <v>-1.110304263083</v>
      </c>
      <c r="AE1408">
        <v>9.8700000000008004E-2</v>
      </c>
      <c r="AF1408">
        <v>-0.78558003561556899</v>
      </c>
      <c r="AG1408">
        <v>-1.110304263083</v>
      </c>
      <c r="AH1408">
        <v>21.589171784659001</v>
      </c>
      <c r="AI1408">
        <v>92.942113233149399</v>
      </c>
      <c r="AJ1408">
        <v>92.083941485582798</v>
      </c>
      <c r="AK1408">
        <v>21.631972861865702</v>
      </c>
      <c r="AL1408">
        <v>83.270389301606698</v>
      </c>
      <c r="AM1408">
        <v>94.100781146009496</v>
      </c>
      <c r="AN1408">
        <v>1.000000032088</v>
      </c>
    </row>
    <row r="1409" spans="1:40" x14ac:dyDescent="0.25">
      <c r="A1409" t="str">
        <f>"20190312164248799"</f>
        <v>20190312164248799</v>
      </c>
      <c r="B1409" t="str">
        <f>"1552380168795377"</f>
        <v>1552380168795377</v>
      </c>
      <c r="C1409" t="s">
        <v>40</v>
      </c>
      <c r="D1409">
        <v>5.027196</v>
      </c>
      <c r="E1409">
        <v>0.5091348</v>
      </c>
      <c r="F1409" t="s">
        <v>46</v>
      </c>
      <c r="G1409">
        <v>-248.14869999999999</v>
      </c>
      <c r="H1409" s="1">
        <v>2.7995329999999999E-6</v>
      </c>
      <c r="I1409">
        <v>283.16379999999998</v>
      </c>
      <c r="J1409">
        <v>-224.75729999999999</v>
      </c>
      <c r="K1409">
        <v>1.1103019999999999</v>
      </c>
      <c r="L1409">
        <v>283.08949999999999</v>
      </c>
      <c r="M1409">
        <v>-0.99912829999999997</v>
      </c>
      <c r="N1409">
        <v>0</v>
      </c>
      <c r="O1409">
        <v>4.0485500000000001E-2</v>
      </c>
      <c r="P1409">
        <v>-0.9934326</v>
      </c>
      <c r="Q1409">
        <v>0.11045430000000001</v>
      </c>
      <c r="R1409">
        <v>-2.9865539999999999E-2</v>
      </c>
      <c r="S1409">
        <v>-3.034424</v>
      </c>
      <c r="T1409">
        <v>-0.1424165</v>
      </c>
      <c r="U1409">
        <v>1.0864260000000001E-2</v>
      </c>
      <c r="V1409">
        <v>-7.0154289999999994E-2</v>
      </c>
      <c r="W1409">
        <v>0.1204935</v>
      </c>
      <c r="X1409">
        <v>0.99023220000000001</v>
      </c>
      <c r="Y1409">
        <v>-3.6824870000000003E-2</v>
      </c>
      <c r="Z1409">
        <v>-2.7624379999999999E-3</v>
      </c>
      <c r="AA1409">
        <v>0.99931789999999998</v>
      </c>
      <c r="AB1409">
        <v>27</v>
      </c>
      <c r="AC1409">
        <v>-23.391400000000001</v>
      </c>
      <c r="AD1409">
        <v>-1.110299200467</v>
      </c>
      <c r="AE1409">
        <v>7.4299999999993802E-2</v>
      </c>
      <c r="AF1409">
        <v>-0.87086043204877395</v>
      </c>
      <c r="AG1409">
        <v>-1.110299200467</v>
      </c>
      <c r="AH1409">
        <v>23.3226819911878</v>
      </c>
      <c r="AI1409">
        <v>92.723668921840201</v>
      </c>
      <c r="AJ1409">
        <v>92.138410036635193</v>
      </c>
      <c r="AK1409">
        <v>23.3653302452317</v>
      </c>
      <c r="AL1409">
        <v>83.079415697642702</v>
      </c>
      <c r="AM1409">
        <v>94.052423206766505</v>
      </c>
      <c r="AN1409">
        <v>1.00000005893224</v>
      </c>
    </row>
    <row r="1410" spans="1:40" x14ac:dyDescent="0.25">
      <c r="A1410" t="str">
        <f>"20190312164248820"</f>
        <v>20190312164248820</v>
      </c>
      <c r="B1410" t="str">
        <f>"1552380168815872"</f>
        <v>1552380168815872</v>
      </c>
      <c r="C1410" t="s">
        <v>40</v>
      </c>
      <c r="D1410">
        <v>5.0013230000000002</v>
      </c>
      <c r="E1410">
        <v>0.50916649999999997</v>
      </c>
      <c r="F1410" t="s">
        <v>46</v>
      </c>
      <c r="G1410">
        <v>-240.99199999999999</v>
      </c>
      <c r="H1410" s="1">
        <v>-1.008878E-6</v>
      </c>
      <c r="I1410">
        <v>282.95490000000001</v>
      </c>
      <c r="J1410">
        <v>-225.0265</v>
      </c>
      <c r="K1410">
        <v>1.1102920000000001</v>
      </c>
      <c r="L1410">
        <v>283.10000000000002</v>
      </c>
      <c r="M1410">
        <v>-0.99914590000000003</v>
      </c>
      <c r="N1410">
        <v>0</v>
      </c>
      <c r="O1410">
        <v>4.0060060000000002E-2</v>
      </c>
      <c r="P1410">
        <v>-0.99317730000000004</v>
      </c>
      <c r="Q1410">
        <v>0.1127538</v>
      </c>
      <c r="R1410">
        <v>-2.9758059999999999E-2</v>
      </c>
      <c r="S1410">
        <v>-3.0422060000000002</v>
      </c>
      <c r="T1410">
        <v>-0.2080582</v>
      </c>
      <c r="U1410">
        <v>-2.523804E-2</v>
      </c>
      <c r="V1410">
        <v>-6.9615529999999995E-2</v>
      </c>
      <c r="W1410">
        <v>0.1227454</v>
      </c>
      <c r="X1410">
        <v>0.98999360000000003</v>
      </c>
      <c r="Y1410">
        <v>-4.8143760000000001E-2</v>
      </c>
      <c r="Z1410">
        <v>-4.3805329999999998E-3</v>
      </c>
      <c r="AA1410">
        <v>0.99883080000000002</v>
      </c>
      <c r="AB1410">
        <v>27</v>
      </c>
      <c r="AC1410">
        <v>-15.9655</v>
      </c>
      <c r="AD1410">
        <v>-1.1102930088779901</v>
      </c>
      <c r="AE1410">
        <v>-0.145100000000013</v>
      </c>
      <c r="AF1410">
        <v>-0.78081929537843897</v>
      </c>
      <c r="AG1410">
        <v>-1.1102930088779901</v>
      </c>
      <c r="AH1410">
        <v>15.8701239436379</v>
      </c>
      <c r="AI1410">
        <v>93.997141725346594</v>
      </c>
      <c r="AJ1410">
        <v>92.816714218536504</v>
      </c>
      <c r="AK1410">
        <v>15.928065272468899</v>
      </c>
      <c r="AL1410">
        <v>82.949426251628495</v>
      </c>
      <c r="AM1410">
        <v>94.022370559993405</v>
      </c>
      <c r="AN1410">
        <v>1.00000004163964</v>
      </c>
    </row>
    <row r="1411" spans="1:40" x14ac:dyDescent="0.25">
      <c r="A1411" t="str">
        <f>"20190312164248845"</f>
        <v>20190312164248845</v>
      </c>
      <c r="B1411" t="str">
        <f>"1552380168835392"</f>
        <v>1552380168835392</v>
      </c>
      <c r="C1411" t="s">
        <v>40</v>
      </c>
      <c r="D1411">
        <v>5.0044180000000003</v>
      </c>
      <c r="E1411">
        <v>0.51331139999999997</v>
      </c>
      <c r="F1411" t="s">
        <v>46</v>
      </c>
      <c r="G1411">
        <v>-241.708</v>
      </c>
      <c r="H1411" s="1">
        <v>-6.2785899999999998E-7</v>
      </c>
      <c r="I1411">
        <v>282.95920000000001</v>
      </c>
      <c r="J1411">
        <v>-225.31630000000001</v>
      </c>
      <c r="K1411">
        <v>1.110277</v>
      </c>
      <c r="L1411">
        <v>283.1112</v>
      </c>
      <c r="M1411">
        <v>-0.99916450000000001</v>
      </c>
      <c r="N1411">
        <v>0</v>
      </c>
      <c r="O1411">
        <v>3.9610939999999997E-2</v>
      </c>
      <c r="P1411">
        <v>-0.99302919999999995</v>
      </c>
      <c r="Q1411">
        <v>0.11412079999999999</v>
      </c>
      <c r="R1411">
        <v>-2.9490909999999999E-2</v>
      </c>
      <c r="S1411">
        <v>-3.0428160000000002</v>
      </c>
      <c r="T1411">
        <v>-0.2025238</v>
      </c>
      <c r="U1411">
        <v>-2.5695800000000001E-2</v>
      </c>
      <c r="V1411">
        <v>-6.8897109999999998E-2</v>
      </c>
      <c r="W1411">
        <v>0.1240491</v>
      </c>
      <c r="X1411">
        <v>0.98988129999999996</v>
      </c>
      <c r="Y1411">
        <v>-4.7855849999999998E-2</v>
      </c>
      <c r="Z1411">
        <v>-4.223999E-3</v>
      </c>
      <c r="AA1411">
        <v>0.99884530000000005</v>
      </c>
      <c r="AB1411">
        <v>27</v>
      </c>
      <c r="AC1411">
        <v>-16.391699999999901</v>
      </c>
      <c r="AD1411">
        <v>-1.1102776278590001</v>
      </c>
      <c r="AE1411">
        <v>-0.15199999999998601</v>
      </c>
      <c r="AF1411">
        <v>-0.79754546666584603</v>
      </c>
      <c r="AG1411">
        <v>-1.1102776278590001</v>
      </c>
      <c r="AH1411">
        <v>16.298045387266001</v>
      </c>
      <c r="AI1411">
        <v>93.892516419237296</v>
      </c>
      <c r="AJ1411">
        <v>92.801536339231802</v>
      </c>
      <c r="AK1411">
        <v>16.355276782363202</v>
      </c>
      <c r="AL1411">
        <v>82.874154092599895</v>
      </c>
      <c r="AM1411">
        <v>93.981444749639806</v>
      </c>
      <c r="AN1411">
        <v>0.99999998953342595</v>
      </c>
    </row>
    <row r="1412" spans="1:40" x14ac:dyDescent="0.25">
      <c r="A1412" t="str">
        <f>"20190312164248867"</f>
        <v>20190312164248867</v>
      </c>
      <c r="B1412" t="str">
        <f>"1552380168855889"</f>
        <v>1552380168855889</v>
      </c>
      <c r="C1412" t="s">
        <v>40</v>
      </c>
      <c r="D1412">
        <v>5.0426029999999997</v>
      </c>
      <c r="E1412">
        <v>0.51099850000000002</v>
      </c>
      <c r="F1412" t="s">
        <v>46</v>
      </c>
      <c r="G1412">
        <v>-245.80410000000001</v>
      </c>
      <c r="H1412" s="1">
        <v>1.551848E-6</v>
      </c>
      <c r="I1412">
        <v>283.16629999999998</v>
      </c>
      <c r="J1412">
        <v>-225.6011</v>
      </c>
      <c r="K1412">
        <v>1.110258</v>
      </c>
      <c r="L1412">
        <v>283.12200000000001</v>
      </c>
      <c r="M1412">
        <v>-0.99918229999999997</v>
      </c>
      <c r="N1412">
        <v>0</v>
      </c>
      <c r="O1412">
        <v>3.9175380000000003E-2</v>
      </c>
      <c r="P1412">
        <v>-0.99276690000000001</v>
      </c>
      <c r="Q1412">
        <v>0.1164968</v>
      </c>
      <c r="R1412">
        <v>-2.9034600000000001E-2</v>
      </c>
      <c r="S1412">
        <v>-3.040222</v>
      </c>
      <c r="T1412">
        <v>-0.16475590000000001</v>
      </c>
      <c r="U1412">
        <v>8.178711E-3</v>
      </c>
      <c r="V1412">
        <v>-6.7999210000000004E-2</v>
      </c>
      <c r="W1412">
        <v>0.12635160000000001</v>
      </c>
      <c r="X1412">
        <v>0.98965219999999998</v>
      </c>
      <c r="Y1412">
        <v>-3.6378260000000003E-2</v>
      </c>
      <c r="Z1412">
        <v>-3.1060879999999999E-3</v>
      </c>
      <c r="AA1412">
        <v>0.99933329999999998</v>
      </c>
      <c r="AB1412">
        <v>27</v>
      </c>
      <c r="AC1412">
        <v>-20.202999999999999</v>
      </c>
      <c r="AD1412">
        <v>-1.1102564481520001</v>
      </c>
      <c r="AE1412">
        <v>4.4299999999964201E-2</v>
      </c>
      <c r="AF1412">
        <v>-0.74498391498177097</v>
      </c>
      <c r="AG1412">
        <v>-1.1102564481520001</v>
      </c>
      <c r="AH1412">
        <v>20.128436477488599</v>
      </c>
      <c r="AI1412">
        <v>93.155000095860004</v>
      </c>
      <c r="AJ1412">
        <v>92.119636054685301</v>
      </c>
      <c r="AK1412">
        <v>20.172794190258799</v>
      </c>
      <c r="AL1412">
        <v>82.741184679867203</v>
      </c>
      <c r="AM1412">
        <v>93.930627163732296</v>
      </c>
      <c r="AN1412">
        <v>1.0000000481740099</v>
      </c>
    </row>
    <row r="1413" spans="1:40" x14ac:dyDescent="0.25">
      <c r="A1413" t="str">
        <f>"20190312164248890"</f>
        <v>20190312164248890</v>
      </c>
      <c r="B1413" t="str">
        <f>"1552380168885169"</f>
        <v>1552380168885169</v>
      </c>
      <c r="C1413" t="s">
        <v>40</v>
      </c>
      <c r="D1413">
        <v>4.9952569999999996</v>
      </c>
      <c r="E1413">
        <v>0.50986969999999998</v>
      </c>
      <c r="F1413" t="s">
        <v>46</v>
      </c>
      <c r="G1413">
        <v>-243.83029999999999</v>
      </c>
      <c r="H1413" s="1">
        <v>5.0149789999999999E-7</v>
      </c>
      <c r="I1413">
        <v>283.06259999999997</v>
      </c>
      <c r="J1413">
        <v>-225.87459999999999</v>
      </c>
      <c r="K1413">
        <v>1.1102540000000001</v>
      </c>
      <c r="L1413">
        <v>283.13229999999999</v>
      </c>
      <c r="M1413">
        <v>-0.99919930000000001</v>
      </c>
      <c r="N1413">
        <v>0</v>
      </c>
      <c r="O1413">
        <v>3.8759349999999998E-2</v>
      </c>
      <c r="P1413">
        <v>-0.99245530000000004</v>
      </c>
      <c r="Q1413">
        <v>0.1191864</v>
      </c>
      <c r="R1413">
        <v>-2.8767379999999999E-2</v>
      </c>
      <c r="S1413">
        <v>-3.043304</v>
      </c>
      <c r="T1413">
        <v>-0.18535360000000001</v>
      </c>
      <c r="U1413">
        <v>-9.9182130000000004E-3</v>
      </c>
      <c r="V1413">
        <v>-6.7309069999999999E-2</v>
      </c>
      <c r="W1413">
        <v>0.12896879999999999</v>
      </c>
      <c r="X1413">
        <v>0.98936170000000001</v>
      </c>
      <c r="Y1413">
        <v>-4.1868229999999999E-2</v>
      </c>
      <c r="Z1413">
        <v>-3.631989E-3</v>
      </c>
      <c r="AA1413">
        <v>0.99911649999999996</v>
      </c>
      <c r="AB1413">
        <v>27</v>
      </c>
      <c r="AC1413">
        <v>-17.9557</v>
      </c>
      <c r="AD1413">
        <v>-1.1102534985021</v>
      </c>
      <c r="AE1413">
        <v>-6.97000000000116E-2</v>
      </c>
      <c r="AF1413">
        <v>-0.76271708887039702</v>
      </c>
      <c r="AG1413">
        <v>-1.1102534985021</v>
      </c>
      <c r="AH1413">
        <v>17.871178589491802</v>
      </c>
      <c r="AI1413">
        <v>93.551727499997497</v>
      </c>
      <c r="AJ1413">
        <v>92.4438212596326</v>
      </c>
      <c r="AK1413">
        <v>17.921870001930699</v>
      </c>
      <c r="AL1413">
        <v>82.589992846249004</v>
      </c>
      <c r="AM1413">
        <v>93.891996396801602</v>
      </c>
      <c r="AN1413">
        <v>1.0000000178522901</v>
      </c>
    </row>
    <row r="1414" spans="1:40" x14ac:dyDescent="0.25">
      <c r="A1414" t="str">
        <f>"20190312164248911"</f>
        <v>20190312164248911</v>
      </c>
      <c r="B1414" t="str">
        <f>"1552380168905665"</f>
        <v>1552380168905665</v>
      </c>
      <c r="C1414" t="s">
        <v>40</v>
      </c>
      <c r="D1414">
        <v>5.0502570000000002</v>
      </c>
      <c r="E1414">
        <v>0.50944880000000003</v>
      </c>
      <c r="F1414" t="s">
        <v>46</v>
      </c>
      <c r="G1414">
        <v>-243.89070000000001</v>
      </c>
      <c r="H1414" s="1">
        <v>5.3367469999999999E-7</v>
      </c>
      <c r="I1414">
        <v>283.01979999999998</v>
      </c>
      <c r="J1414">
        <v>-226.1431</v>
      </c>
      <c r="K1414">
        <v>1.1102620000000001</v>
      </c>
      <c r="L1414">
        <v>283.14229999999998</v>
      </c>
      <c r="M1414">
        <v>-0.99921570000000004</v>
      </c>
      <c r="N1414">
        <v>0</v>
      </c>
      <c r="O1414">
        <v>3.835131E-2</v>
      </c>
      <c r="P1414">
        <v>-0.99206640000000001</v>
      </c>
      <c r="Q1414">
        <v>0.1225561</v>
      </c>
      <c r="R1414">
        <v>-2.8008519999999999E-2</v>
      </c>
      <c r="S1414">
        <v>-3.0447850000000001</v>
      </c>
      <c r="T1414">
        <v>-0.18763589999999999</v>
      </c>
      <c r="U1414">
        <v>-1.901245E-2</v>
      </c>
      <c r="V1414">
        <v>-6.6132720000000006E-2</v>
      </c>
      <c r="W1414">
        <v>0.13226489999999999</v>
      </c>
      <c r="X1414">
        <v>0.98900580000000005</v>
      </c>
      <c r="Y1414">
        <v>-4.4434950000000001E-2</v>
      </c>
      <c r="Z1414">
        <v>-3.728749E-3</v>
      </c>
      <c r="AA1414">
        <v>0.99900529999999998</v>
      </c>
      <c r="AB1414">
        <v>28</v>
      </c>
      <c r="AC1414">
        <v>-17.747599999999998</v>
      </c>
      <c r="AD1414">
        <v>-1.1102614663253001</v>
      </c>
      <c r="AE1414">
        <v>-0.122500000000002</v>
      </c>
      <c r="AF1414">
        <v>-0.79995612634614499</v>
      </c>
      <c r="AG1414">
        <v>-1.1102614663253001</v>
      </c>
      <c r="AH1414">
        <v>17.660730953417701</v>
      </c>
      <c r="AI1414">
        <v>93.593553973980306</v>
      </c>
      <c r="AJ1414">
        <v>92.593482821182505</v>
      </c>
      <c r="AK1414">
        <v>17.7136678340961</v>
      </c>
      <c r="AL1414">
        <v>82.399508155509906</v>
      </c>
      <c r="AM1414">
        <v>93.825552277262901</v>
      </c>
      <c r="AN1414">
        <v>1.00000000643012</v>
      </c>
    </row>
    <row r="1415" spans="1:40" x14ac:dyDescent="0.25">
      <c r="A1415" t="str">
        <f>"20190312164248932"</f>
        <v>20190312164248932</v>
      </c>
      <c r="B1415" t="str">
        <f>"1552380168925184"</f>
        <v>1552380168925184</v>
      </c>
      <c r="C1415" t="s">
        <v>40</v>
      </c>
      <c r="D1415">
        <v>5.0348160000000002</v>
      </c>
      <c r="E1415">
        <v>0.50893580000000005</v>
      </c>
      <c r="F1415" t="s">
        <v>46</v>
      </c>
      <c r="G1415">
        <v>-244.75450000000001</v>
      </c>
      <c r="H1415" s="1">
        <v>9.9333600000000002E-7</v>
      </c>
      <c r="I1415">
        <v>283.01280000000003</v>
      </c>
      <c r="J1415">
        <v>-226.4102</v>
      </c>
      <c r="K1415">
        <v>1.110266</v>
      </c>
      <c r="L1415">
        <v>283.15210000000002</v>
      </c>
      <c r="M1415">
        <v>-0.99923189999999995</v>
      </c>
      <c r="N1415">
        <v>0</v>
      </c>
      <c r="O1415">
        <v>3.7945010000000001E-2</v>
      </c>
      <c r="P1415">
        <v>-0.99163900000000005</v>
      </c>
      <c r="Q1415">
        <v>0.1262016</v>
      </c>
      <c r="R1415">
        <v>-2.6935299999999999E-2</v>
      </c>
      <c r="S1415">
        <v>-3.0458530000000001</v>
      </c>
      <c r="T1415">
        <v>-0.18169920000000001</v>
      </c>
      <c r="U1415">
        <v>-2.1179199999999999E-2</v>
      </c>
      <c r="V1415">
        <v>-6.4644409999999999E-2</v>
      </c>
      <c r="W1415">
        <v>0.13583249999999999</v>
      </c>
      <c r="X1415">
        <v>0.98862059999999996</v>
      </c>
      <c r="Y1415">
        <v>-4.4747200000000001E-2</v>
      </c>
      <c r="Z1415">
        <v>-3.594819E-3</v>
      </c>
      <c r="AA1415">
        <v>0.99899179999999999</v>
      </c>
      <c r="AB1415">
        <v>28</v>
      </c>
      <c r="AC1415">
        <v>-18.3443</v>
      </c>
      <c r="AD1415">
        <v>-1.1102650066640001</v>
      </c>
      <c r="AE1415">
        <v>-0.13929999999999099</v>
      </c>
      <c r="AF1415">
        <v>-0.83225916855619797</v>
      </c>
      <c r="AG1415">
        <v>-1.1102650066640001</v>
      </c>
      <c r="AH1415">
        <v>18.258920962197301</v>
      </c>
      <c r="AI1415">
        <v>93.476083446894094</v>
      </c>
      <c r="AJ1415">
        <v>92.609790317443498</v>
      </c>
      <c r="AK1415">
        <v>18.311568431252301</v>
      </c>
      <c r="AL1415">
        <v>82.193238155966995</v>
      </c>
      <c r="AM1415">
        <v>93.7411587070672</v>
      </c>
      <c r="AN1415">
        <v>1.00000002927242</v>
      </c>
    </row>
    <row r="1416" spans="1:40" x14ac:dyDescent="0.25">
      <c r="A1416" t="str">
        <f>"20190312164248957"</f>
        <v>20190312164248957</v>
      </c>
      <c r="B1416" t="str">
        <f>"1552380168945681"</f>
        <v>1552380168945681</v>
      </c>
      <c r="C1416" t="s">
        <v>40</v>
      </c>
      <c r="D1416">
        <v>5.1677160000000004</v>
      </c>
      <c r="E1416">
        <v>0.50903299999999996</v>
      </c>
      <c r="F1416" t="s">
        <v>46</v>
      </c>
      <c r="G1416">
        <v>-246.22559999999999</v>
      </c>
      <c r="H1416" s="1">
        <v>1.776153E-6</v>
      </c>
      <c r="I1416">
        <v>283.00060000000002</v>
      </c>
      <c r="J1416">
        <v>-226.69890000000001</v>
      </c>
      <c r="K1416">
        <v>1.1102650000000001</v>
      </c>
      <c r="L1416">
        <v>283.16269999999997</v>
      </c>
      <c r="M1416">
        <v>-0.99924939999999995</v>
      </c>
      <c r="N1416">
        <v>0</v>
      </c>
      <c r="O1416">
        <v>3.7505740000000003E-2</v>
      </c>
      <c r="P1416">
        <v>-0.99122489999999996</v>
      </c>
      <c r="Q1416">
        <v>0.1297131</v>
      </c>
      <c r="R1416">
        <v>-2.5452249999999999E-2</v>
      </c>
      <c r="S1416">
        <v>-3.0463870000000002</v>
      </c>
      <c r="T1416">
        <v>-0.1706908</v>
      </c>
      <c r="U1416">
        <v>-2.3284909999999999E-2</v>
      </c>
      <c r="V1416">
        <v>-6.2713920000000006E-2</v>
      </c>
      <c r="W1416">
        <v>0.13925570000000001</v>
      </c>
      <c r="X1416">
        <v>0.98826860000000005</v>
      </c>
      <c r="Y1416">
        <v>-4.501484E-2</v>
      </c>
      <c r="Z1416">
        <v>-3.3596920000000001E-3</v>
      </c>
      <c r="AA1416">
        <v>0.9989806</v>
      </c>
      <c r="AB1416">
        <v>28</v>
      </c>
      <c r="AC1416">
        <v>-19.526699999999899</v>
      </c>
      <c r="AD1416">
        <v>-1.110263223847</v>
      </c>
      <c r="AE1416">
        <v>-0.162099999999952</v>
      </c>
      <c r="AF1416">
        <v>-0.89150172823350804</v>
      </c>
      <c r="AG1416">
        <v>-1.110263223847</v>
      </c>
      <c r="AH1416">
        <v>19.4440234638198</v>
      </c>
      <c r="AI1416">
        <v>93.264646008927599</v>
      </c>
      <c r="AJ1416">
        <v>92.625153113486604</v>
      </c>
      <c r="AK1416">
        <v>19.496089562249299</v>
      </c>
      <c r="AL1416">
        <v>81.995220932154595</v>
      </c>
      <c r="AM1416">
        <v>93.631028310394299</v>
      </c>
      <c r="AN1416">
        <v>1.0000000057451</v>
      </c>
    </row>
    <row r="1417" spans="1:40" x14ac:dyDescent="0.25">
      <c r="A1417" t="str">
        <f>"20190312164248977"</f>
        <v>20190312164248977</v>
      </c>
      <c r="B1417" t="str">
        <f>"1552380168965204"</f>
        <v>1552380168965204</v>
      </c>
      <c r="C1417" t="s">
        <v>40</v>
      </c>
      <c r="D1417">
        <v>4.9987130000000004</v>
      </c>
      <c r="E1417">
        <v>0.50895729999999995</v>
      </c>
      <c r="F1417" t="s">
        <v>46</v>
      </c>
      <c r="G1417">
        <v>-247.7979</v>
      </c>
      <c r="H1417" s="1">
        <v>2.6128490000000001E-6</v>
      </c>
      <c r="I1417">
        <v>283.02719999999999</v>
      </c>
      <c r="J1417">
        <v>-226.9571</v>
      </c>
      <c r="K1417">
        <v>1.1102590000000001</v>
      </c>
      <c r="L1417">
        <v>283.17189999999999</v>
      </c>
      <c r="M1417">
        <v>-0.99926499999999996</v>
      </c>
      <c r="N1417">
        <v>0</v>
      </c>
      <c r="O1417">
        <v>3.7112359999999997E-2</v>
      </c>
      <c r="P1417">
        <v>-0.9908074</v>
      </c>
      <c r="Q1417">
        <v>0.1331292</v>
      </c>
      <c r="R1417">
        <v>-2.4044030000000001E-2</v>
      </c>
      <c r="S1417">
        <v>-3.0470579999999998</v>
      </c>
      <c r="T1417">
        <v>-0.16034079999999901</v>
      </c>
      <c r="U1417">
        <v>-1.9561769999999999E-2</v>
      </c>
      <c r="V1417">
        <v>-6.0903770000000003E-2</v>
      </c>
      <c r="W1417">
        <v>0.14259240000000001</v>
      </c>
      <c r="X1417">
        <v>0.9879059</v>
      </c>
      <c r="Y1417">
        <v>-4.3417230000000001E-2</v>
      </c>
      <c r="Z1417">
        <v>-3.0928879999999998E-3</v>
      </c>
      <c r="AA1417">
        <v>0.99905219999999995</v>
      </c>
      <c r="AB1417">
        <v>28</v>
      </c>
      <c r="AC1417">
        <v>-20.840800000000002</v>
      </c>
      <c r="AD1417">
        <v>-1.1102563871510001</v>
      </c>
      <c r="AE1417">
        <v>-0.1447</v>
      </c>
      <c r="AF1417">
        <v>-0.91548914635713197</v>
      </c>
      <c r="AG1417">
        <v>-1.1102563871510001</v>
      </c>
      <c r="AH1417">
        <v>20.762150150293198</v>
      </c>
      <c r="AI1417">
        <v>93.058011711501095</v>
      </c>
      <c r="AJ1417">
        <v>92.524772646367197</v>
      </c>
      <c r="AK1417">
        <v>20.811959746396401</v>
      </c>
      <c r="AL1417">
        <v>81.802114550181201</v>
      </c>
      <c r="AM1417">
        <v>93.527783579557095</v>
      </c>
      <c r="AN1417">
        <v>0.99999996449638995</v>
      </c>
    </row>
    <row r="1418" spans="1:40" x14ac:dyDescent="0.25">
      <c r="A1418" t="str">
        <f>"20190312164249000"</f>
        <v>20190312164249000</v>
      </c>
      <c r="B1418" t="str">
        <f>"1552380168995456"</f>
        <v>1552380168995456</v>
      </c>
      <c r="C1418" t="s">
        <v>40</v>
      </c>
      <c r="D1418">
        <v>5.0605699999999896</v>
      </c>
      <c r="E1418">
        <v>0.50876049999999995</v>
      </c>
      <c r="F1418" t="s">
        <v>46</v>
      </c>
      <c r="G1418">
        <v>-250.24279999999999</v>
      </c>
      <c r="H1418" s="1">
        <v>-1.4075639999999999E-6</v>
      </c>
      <c r="I1418">
        <v>283.04090000000002</v>
      </c>
      <c r="J1418">
        <v>-227.23580000000001</v>
      </c>
      <c r="K1418">
        <v>1.1102590000000001</v>
      </c>
      <c r="L1418">
        <v>283.18189999999998</v>
      </c>
      <c r="M1418">
        <v>-0.99928130000000004</v>
      </c>
      <c r="N1418">
        <v>0</v>
      </c>
      <c r="O1418">
        <v>3.6687409999999997E-2</v>
      </c>
      <c r="P1418">
        <v>-0.99048740000000002</v>
      </c>
      <c r="Q1418">
        <v>0.13589409999999999</v>
      </c>
      <c r="R1418">
        <v>-2.1630949999999999E-2</v>
      </c>
      <c r="S1418">
        <v>-3.0469360000000001</v>
      </c>
      <c r="T1418">
        <v>-0.1452774</v>
      </c>
      <c r="U1418">
        <v>-1.715088E-2</v>
      </c>
      <c r="V1418">
        <v>-5.8061740000000001E-2</v>
      </c>
      <c r="W1418">
        <v>0.14527499999999999</v>
      </c>
      <c r="X1418">
        <v>0.98768619999999996</v>
      </c>
      <c r="Y1418">
        <v>-4.2223869999999997E-2</v>
      </c>
      <c r="Z1418">
        <v>-2.754107E-3</v>
      </c>
      <c r="AA1418">
        <v>0.9991044</v>
      </c>
      <c r="AB1418">
        <v>28</v>
      </c>
      <c r="AC1418">
        <v>-23.006999999999898</v>
      </c>
      <c r="AD1418">
        <v>-1.1102604075639999</v>
      </c>
      <c r="AE1418">
        <v>-0.14099999999996199</v>
      </c>
      <c r="AF1418">
        <v>-0.98272221897543799</v>
      </c>
      <c r="AG1418">
        <v>-1.1102604075639999</v>
      </c>
      <c r="AH1418">
        <v>22.932932992632999</v>
      </c>
      <c r="AI1418">
        <v>92.769179831103997</v>
      </c>
      <c r="AJ1418">
        <v>92.453737985542105</v>
      </c>
      <c r="AK1418">
        <v>22.980814536845099</v>
      </c>
      <c r="AL1418">
        <v>81.646795938256304</v>
      </c>
      <c r="AM1418">
        <v>93.364295773534295</v>
      </c>
      <c r="AN1418">
        <v>1.00000001047363</v>
      </c>
    </row>
    <row r="1419" spans="1:40" x14ac:dyDescent="0.25">
      <c r="A1419" t="str">
        <f>"20190312164249022"</f>
        <v>20190312164249022</v>
      </c>
      <c r="B1419" t="str">
        <f>"1552380169015953"</f>
        <v>1552380169015953</v>
      </c>
      <c r="C1419" t="s">
        <v>40</v>
      </c>
      <c r="D1419">
        <v>5.0816369999999997</v>
      </c>
      <c r="E1419">
        <v>0.50875349999999997</v>
      </c>
      <c r="F1419" t="s">
        <v>46</v>
      </c>
      <c r="G1419">
        <v>-252.97829999999999</v>
      </c>
      <c r="H1419" s="1">
        <v>4.8121760000000002E-8</v>
      </c>
      <c r="I1419">
        <v>283.07690000000002</v>
      </c>
      <c r="J1419">
        <v>-227.5164</v>
      </c>
      <c r="K1419">
        <v>1.1102590000000001</v>
      </c>
      <c r="L1419">
        <v>283.1918</v>
      </c>
      <c r="M1419">
        <v>-0.99929780000000001</v>
      </c>
      <c r="N1419">
        <v>0</v>
      </c>
      <c r="O1419">
        <v>3.6259569999999998E-2</v>
      </c>
      <c r="P1419">
        <v>-0.99020989999999998</v>
      </c>
      <c r="Q1419">
        <v>0.13827719999999999</v>
      </c>
      <c r="R1419">
        <v>-1.907886E-2</v>
      </c>
      <c r="S1419">
        <v>-3.04657</v>
      </c>
      <c r="T1419">
        <v>-0.13139690000000001</v>
      </c>
      <c r="U1419">
        <v>-1.242065E-2</v>
      </c>
      <c r="V1419">
        <v>-5.5080099999999903E-2</v>
      </c>
      <c r="W1419">
        <v>0.14757919999999999</v>
      </c>
      <c r="X1419">
        <v>0.98751529999999998</v>
      </c>
      <c r="Y1419">
        <v>-4.0263979999999998E-2</v>
      </c>
      <c r="Z1419">
        <v>-2.4308390000000002E-3</v>
      </c>
      <c r="AA1419">
        <v>0.99918609999999997</v>
      </c>
      <c r="AB1419">
        <v>28</v>
      </c>
      <c r="AC1419">
        <v>-25.461899999999901</v>
      </c>
      <c r="AD1419">
        <v>-1.11025895187824</v>
      </c>
      <c r="AE1419">
        <v>-0.11489999999997701</v>
      </c>
      <c r="AF1419">
        <v>-1.0361331036365899</v>
      </c>
      <c r="AG1419">
        <v>-1.11025895187824</v>
      </c>
      <c r="AH1419">
        <v>25.3927085070479</v>
      </c>
      <c r="AI1419">
        <v>92.501500388383704</v>
      </c>
      <c r="AJ1419">
        <v>92.336621106894299</v>
      </c>
      <c r="AK1419">
        <v>25.438079567305799</v>
      </c>
      <c r="AL1419">
        <v>81.513335981222596</v>
      </c>
      <c r="AM1419">
        <v>93.192447472032001</v>
      </c>
      <c r="AN1419">
        <v>0.99999995271136799</v>
      </c>
    </row>
    <row r="1420" spans="1:40" x14ac:dyDescent="0.25">
      <c r="A1420" t="str">
        <f>"20190312164249045"</f>
        <v>20190312164249045</v>
      </c>
      <c r="B1420" t="str">
        <f>"1552380169035472"</f>
        <v>1552380169035472</v>
      </c>
      <c r="C1420" t="s">
        <v>40</v>
      </c>
      <c r="D1420">
        <v>5.1889810000000001</v>
      </c>
      <c r="E1420">
        <v>0.52715440000000002</v>
      </c>
      <c r="F1420" t="s">
        <v>46</v>
      </c>
      <c r="G1420">
        <v>-255.04310000000001</v>
      </c>
      <c r="H1420" s="1">
        <v>1.1468979999999999E-6</v>
      </c>
      <c r="I1420">
        <v>283.13799999999998</v>
      </c>
      <c r="J1420">
        <v>-227.8004</v>
      </c>
      <c r="K1420">
        <v>1.11026</v>
      </c>
      <c r="L1420">
        <v>283.20159999999998</v>
      </c>
      <c r="M1420">
        <v>-0.99931409999999998</v>
      </c>
      <c r="N1420">
        <v>0</v>
      </c>
      <c r="O1420">
        <v>3.5826509999999999E-2</v>
      </c>
      <c r="P1420">
        <v>-0.99008700000000005</v>
      </c>
      <c r="Q1420">
        <v>0.13951559999999999</v>
      </c>
      <c r="R1420">
        <v>-1.622666E-2</v>
      </c>
      <c r="S1420">
        <v>-3.0467070000000001</v>
      </c>
      <c r="T1420">
        <v>-0.1228852</v>
      </c>
      <c r="U1420">
        <v>-5.9509280000000003E-3</v>
      </c>
      <c r="V1420">
        <v>-5.179802E-2</v>
      </c>
      <c r="W1420">
        <v>0.14874589999999999</v>
      </c>
      <c r="X1420">
        <v>0.98751789999999995</v>
      </c>
      <c r="Y1420">
        <v>-3.7720209999999997E-2</v>
      </c>
      <c r="Z1420">
        <v>-2.2046639999999998E-3</v>
      </c>
      <c r="AA1420">
        <v>0.99928589999999995</v>
      </c>
      <c r="AB1420">
        <v>28</v>
      </c>
      <c r="AC1420">
        <v>-27.242699999999999</v>
      </c>
      <c r="AD1420">
        <v>-1.1102588531019999</v>
      </c>
      <c r="AE1420">
        <v>-6.3600000000008095E-2</v>
      </c>
      <c r="AF1420">
        <v>-1.0378890367247999</v>
      </c>
      <c r="AG1420">
        <v>-1.1102588531019999</v>
      </c>
      <c r="AH1420">
        <v>27.177790816462199</v>
      </c>
      <c r="AI1420">
        <v>92.3376269449722</v>
      </c>
      <c r="AJ1420">
        <v>92.186998147086697</v>
      </c>
      <c r="AK1420">
        <v>27.220253526314298</v>
      </c>
      <c r="AL1420">
        <v>81.445743288625195</v>
      </c>
      <c r="AM1420">
        <v>93.002569017343006</v>
      </c>
      <c r="AN1420">
        <v>0.99999999023157005</v>
      </c>
    </row>
    <row r="1421" spans="1:40" x14ac:dyDescent="0.25">
      <c r="A1421" t="str">
        <f>"20190312164249068"</f>
        <v>20190312164249068</v>
      </c>
      <c r="B1421" t="str">
        <f>"1552380169055972"</f>
        <v>1552380169055972</v>
      </c>
      <c r="C1421" t="s">
        <v>40</v>
      </c>
      <c r="D1421">
        <v>5.0028350000000001</v>
      </c>
      <c r="E1421">
        <v>0.53007299999999902</v>
      </c>
      <c r="F1421" t="s">
        <v>46</v>
      </c>
      <c r="G1421">
        <v>-259.76490000000001</v>
      </c>
      <c r="H1421" s="1">
        <v>3.6596079999999999E-6</v>
      </c>
      <c r="I1421">
        <v>284.75599999999997</v>
      </c>
      <c r="J1421">
        <v>-228.0839</v>
      </c>
      <c r="K1421">
        <v>1.110257</v>
      </c>
      <c r="L1421">
        <v>283.21129999999999</v>
      </c>
      <c r="M1421">
        <v>-0.99933000000000005</v>
      </c>
      <c r="N1421">
        <v>0</v>
      </c>
      <c r="O1421">
        <v>3.5394370000000001E-2</v>
      </c>
      <c r="P1421">
        <v>-0.98984830000000001</v>
      </c>
      <c r="Q1421">
        <v>0.14155319999999999</v>
      </c>
      <c r="R1421">
        <v>-1.276716E-2</v>
      </c>
      <c r="S1421">
        <v>-3.0473940000000002</v>
      </c>
      <c r="T1421">
        <v>-0.1058484</v>
      </c>
      <c r="U1421">
        <v>0.1481934</v>
      </c>
      <c r="V1421">
        <v>-4.7906829999999997E-2</v>
      </c>
      <c r="W1421">
        <v>0.15071799999999999</v>
      </c>
      <c r="X1421">
        <v>0.9874153</v>
      </c>
      <c r="Y1421">
        <v>1.320092E-2</v>
      </c>
      <c r="Z1421">
        <v>-9.9883520000000007E-4</v>
      </c>
      <c r="AA1421">
        <v>0.99991240000000003</v>
      </c>
      <c r="AB1421">
        <v>28</v>
      </c>
      <c r="AC1421">
        <v>-31.681000000000001</v>
      </c>
      <c r="AD1421">
        <v>-1.1102533403919901</v>
      </c>
      <c r="AE1421">
        <v>1.54469999999997</v>
      </c>
      <c r="AF1421">
        <v>0.42183749837864298</v>
      </c>
      <c r="AG1421">
        <v>-1.1102533403919901</v>
      </c>
      <c r="AH1421">
        <v>31.677012338988799</v>
      </c>
      <c r="AI1421">
        <v>92.007170625446506</v>
      </c>
      <c r="AJ1421">
        <v>89.2370467433512</v>
      </c>
      <c r="AK1421">
        <v>31.699270024392401</v>
      </c>
      <c r="AL1421">
        <v>81.331461811122793</v>
      </c>
      <c r="AM1421">
        <v>92.777664537028897</v>
      </c>
      <c r="AN1421">
        <v>0.99999997727936896</v>
      </c>
    </row>
    <row r="1422" spans="1:40" x14ac:dyDescent="0.25">
      <c r="A1422" t="str">
        <f>"20190312164249092"</f>
        <v>20190312164249092</v>
      </c>
      <c r="B1422" t="str">
        <f>"1552380169085249"</f>
        <v>1552380169085249</v>
      </c>
      <c r="C1422" t="s">
        <v>40</v>
      </c>
      <c r="D1422">
        <v>5.3400449999999999</v>
      </c>
      <c r="E1422">
        <v>0.53113269999999901</v>
      </c>
      <c r="F1422" t="s">
        <v>46</v>
      </c>
      <c r="G1422">
        <v>-261.22370000000001</v>
      </c>
      <c r="H1422" s="1">
        <v>-8.8558669999999997E-7</v>
      </c>
      <c r="I1422">
        <v>285.17649999999998</v>
      </c>
      <c r="J1422">
        <v>-228.37700000000001</v>
      </c>
      <c r="K1422">
        <v>1.110252</v>
      </c>
      <c r="L1422">
        <v>283.22129999999999</v>
      </c>
      <c r="M1422">
        <v>-0.99934650000000003</v>
      </c>
      <c r="N1422">
        <v>0</v>
      </c>
      <c r="O1422">
        <v>3.4947489999999998E-2</v>
      </c>
      <c r="P1422">
        <v>-0.98970400000000003</v>
      </c>
      <c r="Q1422">
        <v>0.1428478</v>
      </c>
      <c r="R1422">
        <v>-8.9832619999999901E-3</v>
      </c>
      <c r="S1422">
        <v>-3.047714</v>
      </c>
      <c r="T1422">
        <v>-0.1021053</v>
      </c>
      <c r="U1422">
        <v>0.1807251</v>
      </c>
      <c r="V1422">
        <v>-4.3679379999999997E-2</v>
      </c>
      <c r="W1422">
        <v>0.15194869999999999</v>
      </c>
      <c r="X1422">
        <v>0.98742280000000004</v>
      </c>
      <c r="Y1422">
        <v>2.4276679999999998E-2</v>
      </c>
      <c r="Z1422">
        <v>-7.6284219999999997E-4</v>
      </c>
      <c r="AA1422">
        <v>0.99970499999999995</v>
      </c>
      <c r="AB1422">
        <v>28</v>
      </c>
      <c r="AC1422">
        <v>-32.846699999999998</v>
      </c>
      <c r="AD1422">
        <v>-1.1102528855867</v>
      </c>
      <c r="AE1422">
        <v>1.9551999999999901</v>
      </c>
      <c r="AF1422">
        <v>0.80513029154466298</v>
      </c>
      <c r="AG1422">
        <v>-1.1102528855867</v>
      </c>
      <c r="AH1422">
        <v>32.857558550387402</v>
      </c>
      <c r="AI1422">
        <v>91.9347007715877</v>
      </c>
      <c r="AJ1422">
        <v>88.596324854584495</v>
      </c>
      <c r="AK1422">
        <v>32.8861680672658</v>
      </c>
      <c r="AL1422">
        <v>81.260126862039598</v>
      </c>
      <c r="AM1422">
        <v>92.532870060912302</v>
      </c>
      <c r="AN1422">
        <v>1.0000000408143499</v>
      </c>
    </row>
    <row r="1423" spans="1:40" x14ac:dyDescent="0.25">
      <c r="A1423" t="str">
        <f>"20190312164249113"</f>
        <v>20190312164249113</v>
      </c>
      <c r="B1423" t="str">
        <f>"1552380169105744"</f>
        <v>1552380169105744</v>
      </c>
      <c r="C1423" t="s">
        <v>40</v>
      </c>
      <c r="D1423">
        <v>5.1185710000000002</v>
      </c>
      <c r="E1423">
        <v>0.53212979999999999</v>
      </c>
      <c r="F1423" t="s">
        <v>46</v>
      </c>
      <c r="G1423">
        <v>-258.899</v>
      </c>
      <c r="H1423" s="1">
        <v>3.1988409999999998E-6</v>
      </c>
      <c r="I1423">
        <v>285.2115</v>
      </c>
      <c r="J1423">
        <v>-228.65629999999999</v>
      </c>
      <c r="K1423">
        <v>1.110244</v>
      </c>
      <c r="L1423">
        <v>283.23059999999998</v>
      </c>
      <c r="M1423">
        <v>-0.99936190000000003</v>
      </c>
      <c r="N1423">
        <v>0</v>
      </c>
      <c r="O1423">
        <v>3.4521639999999999E-2</v>
      </c>
      <c r="P1423">
        <v>-0.98965029999999998</v>
      </c>
      <c r="Q1423">
        <v>0.14341789999999999</v>
      </c>
      <c r="R1423">
        <v>-4.852851E-3</v>
      </c>
      <c r="S1423">
        <v>-3.049026</v>
      </c>
      <c r="T1423">
        <v>-0.1109091</v>
      </c>
      <c r="U1423">
        <v>0.198822</v>
      </c>
      <c r="V1423">
        <v>-3.9128900000000001E-2</v>
      </c>
      <c r="W1423">
        <v>0.15246089999999901</v>
      </c>
      <c r="X1423">
        <v>0.98753460000000004</v>
      </c>
      <c r="Y1423">
        <v>3.058404E-2</v>
      </c>
      <c r="Z1423">
        <v>-6.9802350000000004E-4</v>
      </c>
      <c r="AA1423">
        <v>0.99953199999999998</v>
      </c>
      <c r="AB1423">
        <v>28</v>
      </c>
      <c r="AC1423">
        <v>-30.242699999999999</v>
      </c>
      <c r="AD1423">
        <v>-1.1102408011589999</v>
      </c>
      <c r="AE1423">
        <v>1.9809000000000201</v>
      </c>
      <c r="AF1423">
        <v>0.93439380372792902</v>
      </c>
      <c r="AG1423">
        <v>-1.1102408011589999</v>
      </c>
      <c r="AH1423">
        <v>30.252462057785099</v>
      </c>
      <c r="AI1423">
        <v>92.100764460485294</v>
      </c>
      <c r="AJ1423">
        <v>88.230894177396493</v>
      </c>
      <c r="AK1423">
        <v>30.287244625002302</v>
      </c>
      <c r="AL1423">
        <v>81.230433576860307</v>
      </c>
      <c r="AM1423">
        <v>92.269033088445795</v>
      </c>
      <c r="AN1423">
        <v>0.99999999152059005</v>
      </c>
    </row>
    <row r="1424" spans="1:40" x14ac:dyDescent="0.25">
      <c r="A1424" t="str">
        <f>"20190312164249135"</f>
        <v>20190312164249135</v>
      </c>
      <c r="B1424" t="str">
        <f>"1552380169125265"</f>
        <v>1552380169125265</v>
      </c>
      <c r="C1424" t="s">
        <v>40</v>
      </c>
      <c r="D1424">
        <v>4.9392480000000001</v>
      </c>
      <c r="E1424">
        <v>0.53240880000000002</v>
      </c>
      <c r="F1424" t="s">
        <v>46</v>
      </c>
      <c r="G1424">
        <v>-254.40530000000001</v>
      </c>
      <c r="H1424" s="1">
        <v>8.0746709999999998E-7</v>
      </c>
      <c r="I1424">
        <v>285.06540000000001</v>
      </c>
      <c r="J1424">
        <v>-228.92619999999999</v>
      </c>
      <c r="K1424">
        <v>1.1102430000000001</v>
      </c>
      <c r="L1424">
        <v>283.23950000000002</v>
      </c>
      <c r="M1424">
        <v>-0.9993765</v>
      </c>
      <c r="N1424">
        <v>0</v>
      </c>
      <c r="O1424">
        <v>3.411024E-2</v>
      </c>
      <c r="P1424">
        <v>-0.98934359999999999</v>
      </c>
      <c r="Q1424">
        <v>0.14559929999999999</v>
      </c>
      <c r="R1424">
        <v>-7.7419730000000001E-4</v>
      </c>
      <c r="S1424">
        <v>-3.0515140000000001</v>
      </c>
      <c r="T1424">
        <v>-0.13157489999999999</v>
      </c>
      <c r="U1424">
        <v>0.21743770000000001</v>
      </c>
      <c r="V1424">
        <v>-3.4637349999999997E-2</v>
      </c>
      <c r="W1424">
        <v>0.154585</v>
      </c>
      <c r="X1424">
        <v>0.98737209999999997</v>
      </c>
      <c r="Y1424">
        <v>3.700606E-2</v>
      </c>
      <c r="Z1424">
        <v>-6.7118919999999995E-4</v>
      </c>
      <c r="AA1424">
        <v>0.99931479999999995</v>
      </c>
      <c r="AB1424">
        <v>28</v>
      </c>
      <c r="AC1424">
        <v>-25.479099999999999</v>
      </c>
      <c r="AD1424">
        <v>-1.1102421925329</v>
      </c>
      <c r="AE1424">
        <v>1.8258999999999801</v>
      </c>
      <c r="AF1424">
        <v>0.95390108342240598</v>
      </c>
      <c r="AG1424">
        <v>-1.1102421925329</v>
      </c>
      <c r="AH1424">
        <v>25.4784264205589</v>
      </c>
      <c r="AI1424">
        <v>92.493384843851402</v>
      </c>
      <c r="AJ1424">
        <v>87.855872653856594</v>
      </c>
      <c r="AK1424">
        <v>25.520438434142701</v>
      </c>
      <c r="AL1424">
        <v>81.107271280899198</v>
      </c>
      <c r="AM1424">
        <v>92.009131589593594</v>
      </c>
      <c r="AN1424">
        <v>0.99999996604921504</v>
      </c>
    </row>
    <row r="1425" spans="1:40" x14ac:dyDescent="0.25">
      <c r="A1425" t="str">
        <f>"20190312164249156"</f>
        <v>20190312164249156</v>
      </c>
      <c r="B1425" t="str">
        <f>"1552380169145760"</f>
        <v>1552380169145760</v>
      </c>
      <c r="C1425" t="s">
        <v>40</v>
      </c>
      <c r="D1425">
        <v>4.9714660000000004</v>
      </c>
      <c r="E1425">
        <v>0.53224499999999997</v>
      </c>
      <c r="F1425" t="s">
        <v>46</v>
      </c>
      <c r="G1425">
        <v>-255.81389999999999</v>
      </c>
      <c r="H1425" s="1">
        <v>1.5570859999999999E-6</v>
      </c>
      <c r="I1425">
        <v>285.27300000000002</v>
      </c>
      <c r="J1425">
        <v>-229.1953</v>
      </c>
      <c r="K1425">
        <v>1.110244</v>
      </c>
      <c r="L1425">
        <v>283.24829999999997</v>
      </c>
      <c r="M1425">
        <v>-0.99939080000000002</v>
      </c>
      <c r="N1425">
        <v>0</v>
      </c>
      <c r="O1425">
        <v>3.3700569999999999E-2</v>
      </c>
      <c r="P1425">
        <v>-0.98899550000000003</v>
      </c>
      <c r="Q1425">
        <v>0.147904799999999</v>
      </c>
      <c r="R1425">
        <v>3.492654E-3</v>
      </c>
      <c r="S1425">
        <v>-3.0510410000000001</v>
      </c>
      <c r="T1425">
        <v>-0.12598290000000001</v>
      </c>
      <c r="U1425">
        <v>0.23074339999999999</v>
      </c>
      <c r="V1425">
        <v>-2.9958080000000002E-2</v>
      </c>
      <c r="W1425">
        <v>0.15683469999999999</v>
      </c>
      <c r="X1425">
        <v>0.9871704</v>
      </c>
      <c r="Y1425">
        <v>4.1756759999999997E-2</v>
      </c>
      <c r="Z1425">
        <v>-5.278902E-4</v>
      </c>
      <c r="AA1425">
        <v>0.99912769999999995</v>
      </c>
      <c r="AB1425">
        <v>28</v>
      </c>
      <c r="AC1425">
        <v>-26.618599999999901</v>
      </c>
      <c r="AD1425">
        <v>-1.1102424429140001</v>
      </c>
      <c r="AE1425">
        <v>2.02469999999999</v>
      </c>
      <c r="AF1425">
        <v>1.1245059061435001</v>
      </c>
      <c r="AG1425">
        <v>-1.1102424429140001</v>
      </c>
      <c r="AH1425">
        <v>26.625661820047799</v>
      </c>
      <c r="AI1425">
        <v>92.385623991666293</v>
      </c>
      <c r="AJ1425">
        <v>87.581612199281906</v>
      </c>
      <c r="AK1425">
        <v>26.672514301627999</v>
      </c>
      <c r="AL1425">
        <v>80.976781670632505</v>
      </c>
      <c r="AM1425">
        <v>91.738245899450803</v>
      </c>
      <c r="AN1425">
        <v>1.00000000415876</v>
      </c>
    </row>
    <row r="1426" spans="1:40" x14ac:dyDescent="0.25">
      <c r="A1426" t="str">
        <f>"20190312164249179"</f>
        <v>20190312164249179</v>
      </c>
      <c r="B1426" t="str">
        <f>"1552380169175041"</f>
        <v>1552380169175041</v>
      </c>
      <c r="C1426" t="s">
        <v>40</v>
      </c>
      <c r="D1426">
        <v>5.0346929999999999</v>
      </c>
      <c r="E1426">
        <v>0.53181969999999901</v>
      </c>
      <c r="F1426" t="s">
        <v>46</v>
      </c>
      <c r="G1426">
        <v>-258.05919999999998</v>
      </c>
      <c r="H1426" s="1">
        <v>2.7519139999999998E-6</v>
      </c>
      <c r="I1426">
        <v>285.53649999999999</v>
      </c>
      <c r="J1426">
        <v>-229.4872</v>
      </c>
      <c r="K1426">
        <v>1.1102449999999999</v>
      </c>
      <c r="L1426">
        <v>283.2577</v>
      </c>
      <c r="M1426">
        <v>-0.99940629999999997</v>
      </c>
      <c r="N1426">
        <v>0</v>
      </c>
      <c r="O1426">
        <v>3.3258679999999999E-2</v>
      </c>
      <c r="P1426">
        <v>-0.98860899999999996</v>
      </c>
      <c r="Q1426">
        <v>0.15033959999999999</v>
      </c>
      <c r="R1426">
        <v>7.1206910000000002E-3</v>
      </c>
      <c r="S1426">
        <v>-3.0500790000000002</v>
      </c>
      <c r="T1426">
        <v>-0.1173202</v>
      </c>
      <c r="U1426">
        <v>0.2417908</v>
      </c>
      <c r="V1426">
        <v>-2.5883679999999999E-2</v>
      </c>
      <c r="W1426">
        <v>0.15920960000000001</v>
      </c>
      <c r="X1426">
        <v>0.98690549999999999</v>
      </c>
      <c r="Y1426">
        <v>4.581673E-2</v>
      </c>
      <c r="Z1426">
        <v>-3.9680660000000002E-4</v>
      </c>
      <c r="AA1426">
        <v>0.9989498</v>
      </c>
      <c r="AB1426">
        <v>28</v>
      </c>
      <c r="AC1426">
        <v>-28.5719999999999</v>
      </c>
      <c r="AD1426">
        <v>-1.1102422480859999</v>
      </c>
      <c r="AE1426">
        <v>2.27879999999998</v>
      </c>
      <c r="AF1426">
        <v>1.32524539665973</v>
      </c>
      <c r="AG1426">
        <v>-1.1102422480859999</v>
      </c>
      <c r="AH1426">
        <v>28.589090569051798</v>
      </c>
      <c r="AI1426">
        <v>92.221550695815395</v>
      </c>
      <c r="AJ1426">
        <v>87.345957837883304</v>
      </c>
      <c r="AK1426">
        <v>28.6413165335718</v>
      </c>
      <c r="AL1426">
        <v>80.838979020990294</v>
      </c>
      <c r="AM1426">
        <v>91.502358355355</v>
      </c>
      <c r="AN1426">
        <v>1.00000006377637</v>
      </c>
    </row>
    <row r="1427" spans="1:40" x14ac:dyDescent="0.25">
      <c r="A1427" t="str">
        <f>"20190312164249200"</f>
        <v>20190312164249200</v>
      </c>
      <c r="B1427" t="str">
        <f>"1552380169195536"</f>
        <v>1552380169195536</v>
      </c>
      <c r="C1427" t="s">
        <v>40</v>
      </c>
      <c r="D1427">
        <v>5.1157620000000001</v>
      </c>
      <c r="E1427">
        <v>0.53149029999999997</v>
      </c>
      <c r="F1427" t="s">
        <v>46</v>
      </c>
      <c r="G1427">
        <v>-257.5052</v>
      </c>
      <c r="H1427" s="1">
        <v>2.4571039999999998E-6</v>
      </c>
      <c r="I1427">
        <v>285.5385</v>
      </c>
      <c r="J1427">
        <v>-229.756</v>
      </c>
      <c r="K1427">
        <v>1.110249</v>
      </c>
      <c r="L1427">
        <v>283.2663</v>
      </c>
      <c r="M1427">
        <v>-0.99942019999999998</v>
      </c>
      <c r="N1427">
        <v>0</v>
      </c>
      <c r="O1427">
        <v>3.285851E-2</v>
      </c>
      <c r="P1427">
        <v>-0.98818839999999997</v>
      </c>
      <c r="Q1427">
        <v>0.152807</v>
      </c>
      <c r="R1427">
        <v>1.158902E-2</v>
      </c>
      <c r="S1427">
        <v>-3.0511629999999998</v>
      </c>
      <c r="T1427">
        <v>-0.1209055</v>
      </c>
      <c r="U1427">
        <v>0.24838260000000001</v>
      </c>
      <c r="V1427">
        <v>-2.1009099999999999E-2</v>
      </c>
      <c r="W1427">
        <v>0.16162270000000001</v>
      </c>
      <c r="X1427">
        <v>0.98662890000000003</v>
      </c>
      <c r="Y1427">
        <v>4.8330110000000003E-2</v>
      </c>
      <c r="Z1427">
        <v>-3.4322710000000002E-4</v>
      </c>
      <c r="AA1427">
        <v>0.99883129999999998</v>
      </c>
      <c r="AB1427">
        <v>28</v>
      </c>
      <c r="AC1427">
        <v>-27.749199999999998</v>
      </c>
      <c r="AD1427">
        <v>-1.110246542896</v>
      </c>
      <c r="AE1427">
        <v>2.27219999999999</v>
      </c>
      <c r="AF1427">
        <v>1.35698150297984</v>
      </c>
      <c r="AG1427">
        <v>-1.110246542896</v>
      </c>
      <c r="AH1427">
        <v>27.764728842849099</v>
      </c>
      <c r="AI1427">
        <v>92.287177001985796</v>
      </c>
      <c r="AJ1427">
        <v>87.201935754284804</v>
      </c>
      <c r="AK1427">
        <v>27.8200326006707</v>
      </c>
      <c r="AL1427">
        <v>80.6989032800237</v>
      </c>
      <c r="AM1427">
        <v>91.219861769639607</v>
      </c>
      <c r="AN1427">
        <v>0.99999993287665201</v>
      </c>
    </row>
    <row r="1428" spans="1:40" x14ac:dyDescent="0.25">
      <c r="A1428" t="str">
        <f>"20190312164249223"</f>
        <v>20190312164249223</v>
      </c>
      <c r="B1428" t="str">
        <f>"1552380169215057"</f>
        <v>1552380169215057</v>
      </c>
      <c r="C1428" t="s">
        <v>40</v>
      </c>
      <c r="D1428">
        <v>4.93865</v>
      </c>
      <c r="E1428">
        <v>0.53032219999999997</v>
      </c>
      <c r="F1428" t="s">
        <v>46</v>
      </c>
      <c r="G1428">
        <v>-259.447</v>
      </c>
      <c r="H1428" s="1">
        <v>3.4904460000000001E-6</v>
      </c>
      <c r="I1428">
        <v>285.7792</v>
      </c>
      <c r="J1428">
        <v>-230.0496</v>
      </c>
      <c r="K1428">
        <v>1.1102369999999999</v>
      </c>
      <c r="L1428">
        <v>283.27550000000002</v>
      </c>
      <c r="M1428">
        <v>-0.99943439999999995</v>
      </c>
      <c r="N1428">
        <v>0</v>
      </c>
      <c r="O1428">
        <v>3.2437590000000002E-2</v>
      </c>
      <c r="P1428">
        <v>-0.98769300000000004</v>
      </c>
      <c r="Q1428">
        <v>0.1556236</v>
      </c>
      <c r="R1428">
        <v>1.5630089999999999E-2</v>
      </c>
      <c r="S1428">
        <v>-3.0504609999999999</v>
      </c>
      <c r="T1428">
        <v>-0.114067</v>
      </c>
      <c r="U1428">
        <v>0.25817869999999998</v>
      </c>
      <c r="V1428">
        <v>-1.6537070000000001E-2</v>
      </c>
      <c r="W1428">
        <v>0.16437539999999901</v>
      </c>
      <c r="X1428">
        <v>0.9862592</v>
      </c>
      <c r="Y1428">
        <v>5.1953230000000003E-2</v>
      </c>
      <c r="Z1428">
        <v>-2.4055680000000001E-4</v>
      </c>
      <c r="AA1428">
        <v>0.99864949999999997</v>
      </c>
      <c r="AB1428">
        <v>28</v>
      </c>
      <c r="AC1428">
        <v>-29.397400000000001</v>
      </c>
      <c r="AD1428">
        <v>-1.1102335095539999</v>
      </c>
      <c r="AE1428">
        <v>2.5036999999999798</v>
      </c>
      <c r="AF1428">
        <v>1.5465740376516099</v>
      </c>
      <c r="AG1428">
        <v>-1.1102335095539999</v>
      </c>
      <c r="AH1428">
        <v>29.421484304923801</v>
      </c>
      <c r="AI1428">
        <v>92.158081020302802</v>
      </c>
      <c r="AJ1428">
        <v>86.990951187543004</v>
      </c>
      <c r="AK1428">
        <v>29.4830162704659</v>
      </c>
      <c r="AL1428">
        <v>80.539047675730899</v>
      </c>
      <c r="AM1428">
        <v>90.960615155908897</v>
      </c>
      <c r="AN1428">
        <v>0.99999997819699205</v>
      </c>
    </row>
    <row r="1429" spans="1:40" x14ac:dyDescent="0.25">
      <c r="A1429" t="str">
        <f>"20190312164249246"</f>
        <v>20190312164249246</v>
      </c>
      <c r="B1429" t="str">
        <f>"1552380169235552"</f>
        <v>1552380169235552</v>
      </c>
      <c r="C1429" t="s">
        <v>40</v>
      </c>
      <c r="D1429">
        <v>4.9213170000000002</v>
      </c>
      <c r="E1429">
        <v>0.52954380000000001</v>
      </c>
      <c r="F1429" t="s">
        <v>46</v>
      </c>
      <c r="G1429">
        <v>-260.41359999999997</v>
      </c>
      <c r="H1429" s="1">
        <v>-1.3166649999999999E-6</v>
      </c>
      <c r="I1429">
        <v>285.87029999999999</v>
      </c>
      <c r="J1429">
        <v>-230.3356</v>
      </c>
      <c r="K1429">
        <v>1.1102209999999999</v>
      </c>
      <c r="L1429">
        <v>283.28440000000001</v>
      </c>
      <c r="M1429">
        <v>-0.99944750000000004</v>
      </c>
      <c r="N1429">
        <v>0</v>
      </c>
      <c r="O1429">
        <v>3.2048029999999998E-2</v>
      </c>
      <c r="P1429">
        <v>-0.98722670000000001</v>
      </c>
      <c r="Q1429">
        <v>0.1581581</v>
      </c>
      <c r="R1429">
        <v>1.9222300000000001E-2</v>
      </c>
      <c r="S1429">
        <v>-3.0508120000000001</v>
      </c>
      <c r="T1429">
        <v>-0.1115507</v>
      </c>
      <c r="U1429">
        <v>0.26071169999999999</v>
      </c>
      <c r="V1429">
        <v>-1.2543189999999999E-2</v>
      </c>
      <c r="W1429">
        <v>0.16684280000000001</v>
      </c>
      <c r="X1429">
        <v>0.98590370000000005</v>
      </c>
      <c r="Y1429">
        <v>5.3155540000000001E-2</v>
      </c>
      <c r="Z1429">
        <v>-1.9908179999999999E-4</v>
      </c>
      <c r="AA1429">
        <v>0.99858619999999998</v>
      </c>
      <c r="AB1429">
        <v>28</v>
      </c>
      <c r="AC1429">
        <v>-30.0779999999999</v>
      </c>
      <c r="AD1429">
        <v>-1.11022231666499</v>
      </c>
      <c r="AE1429">
        <v>2.5858999999999801</v>
      </c>
      <c r="AF1429">
        <v>1.61840471487038</v>
      </c>
      <c r="AG1429">
        <v>-1.11022231666499</v>
      </c>
      <c r="AH1429">
        <v>30.1047094969183</v>
      </c>
      <c r="AI1429">
        <v>92.108993689299595</v>
      </c>
      <c r="AJ1429">
        <v>86.922787612271804</v>
      </c>
      <c r="AK1429">
        <v>30.168615501997799</v>
      </c>
      <c r="AL1429">
        <v>80.395696562674004</v>
      </c>
      <c r="AM1429">
        <v>90.728907982581902</v>
      </c>
      <c r="AN1429">
        <v>0.99999997860045198</v>
      </c>
    </row>
    <row r="1430" spans="1:40" x14ac:dyDescent="0.25">
      <c r="A1430" t="str">
        <f>"20190312164249269"</f>
        <v>20190312164249269</v>
      </c>
      <c r="B1430" t="str">
        <f>"1552380169265809"</f>
        <v>1552380169265809</v>
      </c>
      <c r="C1430" t="s">
        <v>40</v>
      </c>
      <c r="D1430">
        <v>4.9727319999999997</v>
      </c>
      <c r="E1430">
        <v>0.52853039999999996</v>
      </c>
      <c r="F1430" t="s">
        <v>46</v>
      </c>
      <c r="G1430">
        <v>-260.42090000000002</v>
      </c>
      <c r="H1430" s="1">
        <v>-1.3128190000000001E-6</v>
      </c>
      <c r="I1430">
        <v>285.89580000000001</v>
      </c>
      <c r="J1430">
        <v>-230.62180000000001</v>
      </c>
      <c r="K1430">
        <v>1.110204</v>
      </c>
      <c r="L1430">
        <v>283.29320000000001</v>
      </c>
      <c r="M1430">
        <v>-0.99946000000000002</v>
      </c>
      <c r="N1430">
        <v>0</v>
      </c>
      <c r="O1430">
        <v>3.1677980000000001E-2</v>
      </c>
      <c r="P1430">
        <v>-0.98686019999999997</v>
      </c>
      <c r="Q1430">
        <v>0.15992990000000001</v>
      </c>
      <c r="R1430">
        <v>2.3015000000000001E-2</v>
      </c>
      <c r="S1430">
        <v>-3.0516969999999999</v>
      </c>
      <c r="T1430">
        <v>-0.1126152</v>
      </c>
      <c r="U1430">
        <v>0.26489259999999998</v>
      </c>
      <c r="V1430">
        <v>-8.3702299999999993E-3</v>
      </c>
      <c r="W1430">
        <v>0.1685478</v>
      </c>
      <c r="X1430">
        <v>0.98565789999999998</v>
      </c>
      <c r="Y1430">
        <v>5.4857009999999998E-2</v>
      </c>
      <c r="Z1430">
        <v>-1.5596739999999999E-4</v>
      </c>
      <c r="AA1430">
        <v>0.9984942</v>
      </c>
      <c r="AB1430">
        <v>29</v>
      </c>
      <c r="AC1430">
        <v>-29.799099999999999</v>
      </c>
      <c r="AD1430">
        <v>-1.1102053128189999</v>
      </c>
      <c r="AE1430">
        <v>2.60259999999999</v>
      </c>
      <c r="AF1430">
        <v>1.65500264672701</v>
      </c>
      <c r="AG1430">
        <v>-1.1102053128189999</v>
      </c>
      <c r="AH1430">
        <v>29.8255063064023</v>
      </c>
      <c r="AI1430">
        <v>92.128485390397003</v>
      </c>
      <c r="AJ1430">
        <v>86.823942542366595</v>
      </c>
      <c r="AK1430">
        <v>29.892012579124302</v>
      </c>
      <c r="AL1430">
        <v>80.296603786087402</v>
      </c>
      <c r="AM1430">
        <v>90.486545407754704</v>
      </c>
      <c r="AN1430">
        <v>0.99999995873375003</v>
      </c>
    </row>
    <row r="1431" spans="1:40" x14ac:dyDescent="0.25">
      <c r="A1431" t="str">
        <f>"20190312164249293"</f>
        <v>20190312164249293</v>
      </c>
      <c r="B1431" t="str">
        <f>"1552380169285329"</f>
        <v>1552380169285329</v>
      </c>
      <c r="C1431" t="s">
        <v>40</v>
      </c>
      <c r="D1431">
        <v>5.1152170000000003</v>
      </c>
      <c r="E1431">
        <v>0.52806140000000001</v>
      </c>
      <c r="F1431" t="s">
        <v>46</v>
      </c>
      <c r="G1431">
        <v>-259.68869999999998</v>
      </c>
      <c r="H1431" s="1">
        <v>3.6190669999999999E-6</v>
      </c>
      <c r="I1431">
        <v>285.83530000000002</v>
      </c>
      <c r="J1431">
        <v>-230.9314</v>
      </c>
      <c r="K1431">
        <v>1.1101760000000001</v>
      </c>
      <c r="L1431">
        <v>283.30259999999998</v>
      </c>
      <c r="M1431">
        <v>-0.99947240000000004</v>
      </c>
      <c r="N1431">
        <v>0</v>
      </c>
      <c r="O1431">
        <v>3.1305279999999998E-2</v>
      </c>
      <c r="P1431">
        <v>-0.98666149999999997</v>
      </c>
      <c r="Q1431">
        <v>0.1605906</v>
      </c>
      <c r="R1431">
        <v>2.6647839999999999E-2</v>
      </c>
      <c r="S1431">
        <v>-3.0526119999999999</v>
      </c>
      <c r="T1431">
        <v>-0.11659319999999999</v>
      </c>
      <c r="U1431">
        <v>0.26696779999999998</v>
      </c>
      <c r="V1431">
        <v>-4.3578239999999997E-3</v>
      </c>
      <c r="W1431">
        <v>0.16913049999999999</v>
      </c>
      <c r="X1431">
        <v>0.98558400000000002</v>
      </c>
      <c r="Y1431">
        <v>5.5875090000000002E-2</v>
      </c>
      <c r="Z1431">
        <v>-1.2782900000000001E-4</v>
      </c>
      <c r="AA1431">
        <v>0.99843780000000004</v>
      </c>
      <c r="AB1431">
        <v>29</v>
      </c>
      <c r="AC1431">
        <v>-28.757299999999901</v>
      </c>
      <c r="AD1431">
        <v>-1.110172380933</v>
      </c>
      <c r="AE1431">
        <v>2.5327000000000299</v>
      </c>
      <c r="AF1431">
        <v>1.62876078849551</v>
      </c>
      <c r="AG1431">
        <v>-1.110172380933</v>
      </c>
      <c r="AH1431">
        <v>28.7799322916714</v>
      </c>
      <c r="AI1431">
        <v>92.205536875450406</v>
      </c>
      <c r="AJ1431">
        <v>86.7608791339687</v>
      </c>
      <c r="AK1431">
        <v>28.847354248435298</v>
      </c>
      <c r="AL1431">
        <v>80.262731345836599</v>
      </c>
      <c r="AM1431">
        <v>90.253335378766806</v>
      </c>
      <c r="AN1431">
        <v>0.99999996885813203</v>
      </c>
    </row>
    <row r="1432" spans="1:40" x14ac:dyDescent="0.25">
      <c r="A1432" t="str">
        <f>"20190312164249338"</f>
        <v>20190312164249338</v>
      </c>
      <c r="B1432" t="str">
        <f>"1552380169325344"</f>
        <v>1552380169325344</v>
      </c>
      <c r="C1432" t="s">
        <v>40</v>
      </c>
      <c r="D1432">
        <v>4.8851899999999997</v>
      </c>
      <c r="E1432">
        <v>0.53954990000000003</v>
      </c>
      <c r="F1432" t="s">
        <v>46</v>
      </c>
      <c r="G1432">
        <v>-259.1583</v>
      </c>
      <c r="H1432" s="1">
        <v>3.336816E-6</v>
      </c>
      <c r="I1432">
        <v>285.83300000000003</v>
      </c>
      <c r="J1432">
        <v>-231.4991</v>
      </c>
      <c r="K1432">
        <v>1.110104</v>
      </c>
      <c r="L1432">
        <v>283.31979999999999</v>
      </c>
      <c r="M1432">
        <v>-0.99949239999999995</v>
      </c>
      <c r="N1432">
        <v>0</v>
      </c>
      <c r="O1432">
        <v>3.0708280000000001E-2</v>
      </c>
      <c r="P1432">
        <v>-0.98642149999999995</v>
      </c>
      <c r="Q1432">
        <v>0.16087679999999999</v>
      </c>
      <c r="R1432">
        <v>3.3032939999999997E-2</v>
      </c>
      <c r="S1432">
        <v>-3.0527039999999999</v>
      </c>
      <c r="T1432">
        <v>-0.1200638</v>
      </c>
      <c r="U1432">
        <v>0.27365109999999998</v>
      </c>
      <c r="V1432">
        <v>2.636415E-3</v>
      </c>
      <c r="W1432">
        <v>0.16924620000000001</v>
      </c>
      <c r="X1432">
        <v>0.98557030000000001</v>
      </c>
      <c r="Y1432">
        <v>5.8633930000000001E-2</v>
      </c>
      <c r="Z1432" s="1">
        <v>-5.4078179999999999E-5</v>
      </c>
      <c r="AA1432">
        <v>0.99827960000000004</v>
      </c>
      <c r="AB1432">
        <v>29</v>
      </c>
      <c r="AC1432">
        <v>-27.659199999999998</v>
      </c>
      <c r="AD1432">
        <v>-1.110100663184</v>
      </c>
      <c r="AE1432">
        <v>2.5131999999999799</v>
      </c>
      <c r="AF1432">
        <v>1.65996564882949</v>
      </c>
      <c r="AG1432">
        <v>-1.110100663184</v>
      </c>
      <c r="AH1432">
        <v>27.679112698440701</v>
      </c>
      <c r="AI1432">
        <v>92.292563524721501</v>
      </c>
      <c r="AJ1432">
        <v>86.567980744818001</v>
      </c>
      <c r="AK1432">
        <v>27.751055641374698</v>
      </c>
      <c r="AL1432">
        <v>80.256005777527207</v>
      </c>
      <c r="AM1432">
        <v>89.846733315478502</v>
      </c>
      <c r="AN1432">
        <v>1.00000002157029</v>
      </c>
    </row>
    <row r="1433" spans="1:40" x14ac:dyDescent="0.25">
      <c r="A1433" t="str">
        <f>"20190312164249358"</f>
        <v>20190312164249358</v>
      </c>
      <c r="B1433" t="str">
        <f>"1552380169345840"</f>
        <v>1552380169345840</v>
      </c>
      <c r="C1433" t="s">
        <v>40</v>
      </c>
      <c r="D1433">
        <v>4.8163879999999999</v>
      </c>
      <c r="E1433">
        <v>0.53864730000000005</v>
      </c>
      <c r="F1433" t="s">
        <v>46</v>
      </c>
      <c r="G1433">
        <v>-249.98560000000001</v>
      </c>
      <c r="H1433" s="1">
        <v>-1.544439E-6</v>
      </c>
      <c r="I1433">
        <v>285.62090000000001</v>
      </c>
      <c r="J1433">
        <v>-231.76759999999999</v>
      </c>
      <c r="K1433">
        <v>1.110066</v>
      </c>
      <c r="L1433">
        <v>283.32769999999999</v>
      </c>
      <c r="M1433">
        <v>-0.99950090000000003</v>
      </c>
      <c r="N1433">
        <v>0</v>
      </c>
      <c r="O1433">
        <v>3.046068E-2</v>
      </c>
      <c r="P1433">
        <v>-0.98648939999999996</v>
      </c>
      <c r="Q1433">
        <v>0.1598974</v>
      </c>
      <c r="R1433">
        <v>3.5664139999999997E-2</v>
      </c>
      <c r="S1433">
        <v>-3.058487</v>
      </c>
      <c r="T1433">
        <v>-0.18365989999999999</v>
      </c>
      <c r="U1433">
        <v>0.38070680000000001</v>
      </c>
      <c r="V1433">
        <v>5.516076E-3</v>
      </c>
      <c r="W1433">
        <v>0.16818159999999999</v>
      </c>
      <c r="X1433">
        <v>0.98574059999999997</v>
      </c>
      <c r="Y1433">
        <v>9.3125440000000004E-2</v>
      </c>
      <c r="Z1433">
        <v>9.6334800000000005E-4</v>
      </c>
      <c r="AA1433">
        <v>0.99565389999999998</v>
      </c>
      <c r="AB1433">
        <v>29</v>
      </c>
      <c r="AC1433">
        <v>-18.218</v>
      </c>
      <c r="AD1433">
        <v>-1.110067544439</v>
      </c>
      <c r="AE1433">
        <v>2.2932000000000099</v>
      </c>
      <c r="AF1433">
        <v>1.7308576498750801</v>
      </c>
      <c r="AG1433">
        <v>-1.110067544439</v>
      </c>
      <c r="AH1433">
        <v>18.212835245267101</v>
      </c>
      <c r="AI1433">
        <v>93.4722418034616</v>
      </c>
      <c r="AJ1433">
        <v>84.571197434741705</v>
      </c>
      <c r="AK1433">
        <v>18.328542927046598</v>
      </c>
      <c r="AL1433">
        <v>80.317889801222194</v>
      </c>
      <c r="AM1433">
        <v>89.679383627443997</v>
      </c>
      <c r="AN1433">
        <v>1.00000000408067</v>
      </c>
    </row>
    <row r="1434" spans="1:40" x14ac:dyDescent="0.25">
      <c r="A1434" t="str">
        <f>"20190312164249380"</f>
        <v>20190312164249380</v>
      </c>
      <c r="B1434" t="str">
        <f>"1552380169375121"</f>
        <v>1552380169375121</v>
      </c>
      <c r="C1434" t="s">
        <v>40</v>
      </c>
      <c r="D1434">
        <v>4.7836850000000002</v>
      </c>
      <c r="E1434">
        <v>0.53803109999999998</v>
      </c>
      <c r="F1434" t="s">
        <v>46</v>
      </c>
      <c r="G1434">
        <v>-249.34039999999999</v>
      </c>
      <c r="H1434" s="1">
        <v>3.433713E-6</v>
      </c>
      <c r="I1434">
        <v>285.512</v>
      </c>
      <c r="J1434">
        <v>-232.04130000000001</v>
      </c>
      <c r="K1434">
        <v>1.1100270000000001</v>
      </c>
      <c r="L1434">
        <v>283.33580000000001</v>
      </c>
      <c r="M1434">
        <v>-0.99950870000000003</v>
      </c>
      <c r="N1434">
        <v>0</v>
      </c>
      <c r="O1434">
        <v>3.0225189999999999E-2</v>
      </c>
      <c r="P1434">
        <v>-0.98657850000000002</v>
      </c>
      <c r="Q1434">
        <v>0.15885850000000001</v>
      </c>
      <c r="R1434">
        <v>3.7775179999999998E-2</v>
      </c>
      <c r="S1434">
        <v>-3.0586549999999999</v>
      </c>
      <c r="T1434">
        <v>-0.19321289999999999</v>
      </c>
      <c r="U1434">
        <v>0.38018800000000003</v>
      </c>
      <c r="V1434">
        <v>7.8620140000000005E-3</v>
      </c>
      <c r="W1434">
        <v>0.16705719999999999</v>
      </c>
      <c r="X1434">
        <v>0.98591580000000001</v>
      </c>
      <c r="Y1434">
        <v>9.317462E-2</v>
      </c>
      <c r="Z1434">
        <v>1.0296470000000001E-3</v>
      </c>
      <c r="AA1434">
        <v>0.99564929999999996</v>
      </c>
      <c r="AB1434">
        <v>29</v>
      </c>
      <c r="AC1434">
        <v>-17.2990999999999</v>
      </c>
      <c r="AD1434">
        <v>-1.1100235662869999</v>
      </c>
      <c r="AE1434">
        <v>2.1761999999999899</v>
      </c>
      <c r="AF1434">
        <v>1.64564893696111</v>
      </c>
      <c r="AG1434">
        <v>-1.1100235662869999</v>
      </c>
      <c r="AH1434">
        <v>17.286906725055701</v>
      </c>
      <c r="AI1434">
        <v>93.657531404219895</v>
      </c>
      <c r="AJ1434">
        <v>84.562043185880398</v>
      </c>
      <c r="AK1434">
        <v>17.400501626740901</v>
      </c>
      <c r="AL1434">
        <v>80.383237133475205</v>
      </c>
      <c r="AM1434">
        <v>89.543114459875099</v>
      </c>
      <c r="AN1434">
        <v>0.99999994201280595</v>
      </c>
    </row>
    <row r="1435" spans="1:40" x14ac:dyDescent="0.25">
      <c r="A1435" t="str">
        <f>"20190312164249402"</f>
        <v>20190312164249402</v>
      </c>
      <c r="B1435" t="str">
        <f>"1552380169395616"</f>
        <v>1552380169395616</v>
      </c>
      <c r="C1435" t="s">
        <v>40</v>
      </c>
      <c r="D1435">
        <v>4.7652950000000001</v>
      </c>
      <c r="E1435">
        <v>0.537462</v>
      </c>
      <c r="F1435" t="s">
        <v>46</v>
      </c>
      <c r="G1435">
        <v>-250.46420000000001</v>
      </c>
      <c r="H1435" s="1">
        <v>-1.2897370000000001E-6</v>
      </c>
      <c r="I1435">
        <v>285.63709999999998</v>
      </c>
      <c r="J1435">
        <v>-232.3349</v>
      </c>
      <c r="K1435">
        <v>1.1099950000000001</v>
      </c>
      <c r="L1435">
        <v>283.34449999999998</v>
      </c>
      <c r="M1435">
        <v>-0.99951659999999998</v>
      </c>
      <c r="N1435">
        <v>0</v>
      </c>
      <c r="O1435">
        <v>2.9986479999999999E-2</v>
      </c>
      <c r="P1435">
        <v>-0.98670550000000001</v>
      </c>
      <c r="Q1435">
        <v>0.15757309999999999</v>
      </c>
      <c r="R1435">
        <v>3.9784399999999998E-2</v>
      </c>
      <c r="S1435">
        <v>-3.055847</v>
      </c>
      <c r="T1435">
        <v>-0.18412229999999999</v>
      </c>
      <c r="U1435">
        <v>0.38171389999999999</v>
      </c>
      <c r="V1435">
        <v>1.010699E-2</v>
      </c>
      <c r="W1435">
        <v>0.16567950000000001</v>
      </c>
      <c r="X1435">
        <v>0.98612789999999995</v>
      </c>
      <c r="Y1435">
        <v>9.4023120000000002E-2</v>
      </c>
      <c r="Z1435">
        <v>1.021896E-3</v>
      </c>
      <c r="AA1435">
        <v>0.9955695</v>
      </c>
      <c r="AB1435">
        <v>29</v>
      </c>
      <c r="AC1435">
        <v>-18.129300000000001</v>
      </c>
      <c r="AD1435">
        <v>-1.1099962897369999</v>
      </c>
      <c r="AE1435">
        <v>2.29259999999999</v>
      </c>
      <c r="AF1435">
        <v>1.7414911747148301</v>
      </c>
      <c r="AG1435">
        <v>-1.1099962897369999</v>
      </c>
      <c r="AH1435">
        <v>18.1230276048327</v>
      </c>
      <c r="AI1435">
        <v>93.488833860938598</v>
      </c>
      <c r="AJ1435">
        <v>84.511145156405902</v>
      </c>
      <c r="AK1435">
        <v>18.2403128493008</v>
      </c>
      <c r="AL1435">
        <v>80.463290130014897</v>
      </c>
      <c r="AM1435">
        <v>89.412786520883003</v>
      </c>
      <c r="AN1435">
        <v>1.0000000415627499</v>
      </c>
    </row>
    <row r="1436" spans="1:40" x14ac:dyDescent="0.25">
      <c r="A1436" t="str">
        <f>"20190312164249423"</f>
        <v>20190312164249423</v>
      </c>
      <c r="B1436" t="str">
        <f>"1552380169415137"</f>
        <v>1552380169415137</v>
      </c>
      <c r="C1436" t="s">
        <v>40</v>
      </c>
      <c r="D1436">
        <v>4.7509990000000002</v>
      </c>
      <c r="E1436">
        <v>0.5369081</v>
      </c>
      <c r="F1436" t="s">
        <v>41</v>
      </c>
      <c r="G1436">
        <v>-233.32310000000001</v>
      </c>
      <c r="H1436">
        <v>1.05142</v>
      </c>
      <c r="I1436">
        <v>283.46839999999997</v>
      </c>
      <c r="J1436">
        <v>-232.63059999999999</v>
      </c>
      <c r="K1436">
        <v>1.1099669999999999</v>
      </c>
      <c r="L1436">
        <v>283.35309999999998</v>
      </c>
      <c r="M1436">
        <v>-0.99952419999999997</v>
      </c>
      <c r="N1436">
        <v>0</v>
      </c>
      <c r="O1436">
        <v>2.9755520000000001E-2</v>
      </c>
      <c r="P1436">
        <v>-0.98683109999999996</v>
      </c>
      <c r="Q1436">
        <v>0.15644249999999901</v>
      </c>
      <c r="R1436">
        <v>4.1109229999999997E-2</v>
      </c>
      <c r="S1436">
        <v>-3.0538479999999999</v>
      </c>
      <c r="T1436">
        <v>-0.18093290000000001</v>
      </c>
      <c r="U1436">
        <v>0.38366699999999998</v>
      </c>
      <c r="V1436">
        <v>1.1658750000000001E-2</v>
      </c>
      <c r="W1436">
        <v>0.16445860000000001</v>
      </c>
      <c r="X1436">
        <v>0.9863151</v>
      </c>
      <c r="Y1436">
        <v>9.4961959999999998E-2</v>
      </c>
      <c r="Z1436">
        <v>1.0461239999999901E-3</v>
      </c>
      <c r="AA1436">
        <v>0.99548040000000004</v>
      </c>
      <c r="AB1436">
        <v>29</v>
      </c>
      <c r="AC1436">
        <v>-0.69250000000002299</v>
      </c>
      <c r="AD1436">
        <v>-5.8546999999999898E-2</v>
      </c>
      <c r="AE1436">
        <v>0.11529999999998999</v>
      </c>
      <c r="AF1436">
        <v>9.3988876824740705E-2</v>
      </c>
      <c r="AG1436">
        <v>-5.8546999999999898E-2</v>
      </c>
      <c r="AH1436">
        <v>0.69081965133035905</v>
      </c>
      <c r="AI1436">
        <v>94.800229606009594</v>
      </c>
      <c r="AJ1436">
        <v>82.252243548530998</v>
      </c>
      <c r="AK1436">
        <v>0.69963808561282304</v>
      </c>
      <c r="AL1436">
        <v>80.534215268038807</v>
      </c>
      <c r="AM1436">
        <v>89.322766061124199</v>
      </c>
      <c r="AN1436">
        <v>1.00000001702676</v>
      </c>
    </row>
    <row r="1437" spans="1:40" x14ac:dyDescent="0.25">
      <c r="A1437" t="str">
        <f>"20190312164249447"</f>
        <v>20190312164249447</v>
      </c>
      <c r="B1437" t="str">
        <f>"1552380169435633"</f>
        <v>1552380169435633</v>
      </c>
      <c r="C1437" t="s">
        <v>40</v>
      </c>
      <c r="D1437">
        <v>5.0013670000000001</v>
      </c>
      <c r="E1437">
        <v>0.53682640000000004</v>
      </c>
      <c r="F1437" t="s">
        <v>41</v>
      </c>
      <c r="G1437">
        <v>-233.5872</v>
      </c>
      <c r="H1437">
        <v>1.0547059999999999</v>
      </c>
      <c r="I1437">
        <v>283.4735</v>
      </c>
      <c r="J1437">
        <v>-232.9265</v>
      </c>
      <c r="K1437">
        <v>1.1099490000000001</v>
      </c>
      <c r="L1437">
        <v>283.36169999999998</v>
      </c>
      <c r="M1437">
        <v>-0.99953170000000002</v>
      </c>
      <c r="N1437">
        <v>0</v>
      </c>
      <c r="O1437">
        <v>2.95289E-2</v>
      </c>
      <c r="P1437">
        <v>-0.98703810000000003</v>
      </c>
      <c r="Q1437">
        <v>0.1549333</v>
      </c>
      <c r="R1437">
        <v>4.1848040000000003E-2</v>
      </c>
      <c r="S1437">
        <v>-3.052063</v>
      </c>
      <c r="T1437">
        <v>-0.17652799999999999</v>
      </c>
      <c r="U1437">
        <v>0.38348389999999999</v>
      </c>
      <c r="V1437">
        <v>1.26166E-2</v>
      </c>
      <c r="W1437">
        <v>0.16286489999999901</v>
      </c>
      <c r="X1437">
        <v>0.98656770000000005</v>
      </c>
      <c r="Y1437">
        <v>9.5205410000000004E-2</v>
      </c>
      <c r="Z1437">
        <v>1.0413309999999999E-3</v>
      </c>
      <c r="AA1437">
        <v>0.99545709999999998</v>
      </c>
      <c r="AB1437">
        <v>29</v>
      </c>
      <c r="AC1437">
        <v>-0.66069999999999096</v>
      </c>
      <c r="AD1437">
        <v>-5.5243000000000098E-2</v>
      </c>
      <c r="AE1437">
        <v>0.111800000000016</v>
      </c>
      <c r="AF1437">
        <v>9.1618188308371096E-2</v>
      </c>
      <c r="AG1437">
        <v>-5.5243000000000098E-2</v>
      </c>
      <c r="AH1437">
        <v>0.65923283048175196</v>
      </c>
      <c r="AI1437">
        <v>94.744741852448698</v>
      </c>
      <c r="AJ1437">
        <v>82.087885592024307</v>
      </c>
      <c r="AK1437">
        <v>0.66785747451300603</v>
      </c>
      <c r="AL1437">
        <v>80.626775345726799</v>
      </c>
      <c r="AM1437">
        <v>89.267319892430706</v>
      </c>
      <c r="AN1437">
        <v>0.99999999046542998</v>
      </c>
    </row>
    <row r="1438" spans="1:40" x14ac:dyDescent="0.25">
      <c r="A1438" t="str">
        <f>"20190312164249467"</f>
        <v>20190312164249467</v>
      </c>
      <c r="B1438" t="str">
        <f>"1552380169455156"</f>
        <v>1552380169455156</v>
      </c>
      <c r="C1438" t="s">
        <v>40</v>
      </c>
      <c r="D1438">
        <v>4.7162550000000003</v>
      </c>
      <c r="E1438">
        <v>0.53657529999999998</v>
      </c>
      <c r="F1438" t="s">
        <v>46</v>
      </c>
      <c r="G1438">
        <v>-252.33369999999999</v>
      </c>
      <c r="H1438" s="1">
        <v>-2.9492149999999998E-7</v>
      </c>
      <c r="I1438">
        <v>285.81380000000001</v>
      </c>
      <c r="J1438">
        <v>-233.20089999999999</v>
      </c>
      <c r="K1438">
        <v>1.109937</v>
      </c>
      <c r="L1438">
        <v>283.36959999999999</v>
      </c>
      <c r="M1438">
        <v>-0.9995385</v>
      </c>
      <c r="N1438">
        <v>0</v>
      </c>
      <c r="O1438">
        <v>2.9319339999999999E-2</v>
      </c>
      <c r="P1438">
        <v>-0.98722730000000003</v>
      </c>
      <c r="Q1438">
        <v>0.15364610000000001</v>
      </c>
      <c r="R1438">
        <v>4.2135470000000001E-2</v>
      </c>
      <c r="S1438">
        <v>-3.050446</v>
      </c>
      <c r="T1438">
        <v>-0.1744636</v>
      </c>
      <c r="U1438">
        <v>0.38543699999999997</v>
      </c>
      <c r="V1438">
        <v>1.310674E-2</v>
      </c>
      <c r="W1438">
        <v>0.16149849999999999</v>
      </c>
      <c r="X1438">
        <v>0.98678589999999999</v>
      </c>
      <c r="Y1438">
        <v>9.6107390000000001E-2</v>
      </c>
      <c r="Z1438">
        <v>1.067262E-3</v>
      </c>
      <c r="AA1438">
        <v>0.99537039999999999</v>
      </c>
      <c r="AB1438">
        <v>29</v>
      </c>
      <c r="AC1438">
        <v>-19.1328</v>
      </c>
      <c r="AD1438">
        <v>-1.1099372949215001</v>
      </c>
      <c r="AE1438">
        <v>2.4442000000000199</v>
      </c>
      <c r="AF1438">
        <v>1.87595835975472</v>
      </c>
      <c r="AG1438">
        <v>-1.1099372949215001</v>
      </c>
      <c r="AH1438">
        <v>19.132882500683099</v>
      </c>
      <c r="AI1438">
        <v>93.304313329439495</v>
      </c>
      <c r="AJ1438">
        <v>84.400110255337395</v>
      </c>
      <c r="AK1438">
        <v>19.256644914188399</v>
      </c>
      <c r="AL1438">
        <v>80.706114610272394</v>
      </c>
      <c r="AM1438">
        <v>89.239027707244304</v>
      </c>
      <c r="AN1438">
        <v>0.99999998228724296</v>
      </c>
    </row>
    <row r="1439" spans="1:40" x14ac:dyDescent="0.25">
      <c r="A1439" t="str">
        <f>"20190312164249492"</f>
        <v>20190312164249492</v>
      </c>
      <c r="B1439" t="str">
        <f>"1552380169485409"</f>
        <v>1552380169485409</v>
      </c>
      <c r="C1439" t="s">
        <v>40</v>
      </c>
      <c r="D1439">
        <v>4.9373959999999997</v>
      </c>
      <c r="E1439">
        <v>0.53619619999999901</v>
      </c>
      <c r="F1439" t="s">
        <v>46</v>
      </c>
      <c r="G1439">
        <v>-252.5283</v>
      </c>
      <c r="H1439" s="1">
        <v>-1.9135E-7</v>
      </c>
      <c r="I1439">
        <v>285.80399999999997</v>
      </c>
      <c r="J1439">
        <v>-233.5171</v>
      </c>
      <c r="K1439">
        <v>1.109918</v>
      </c>
      <c r="L1439">
        <v>283.37860000000001</v>
      </c>
      <c r="M1439">
        <v>-0.9995465</v>
      </c>
      <c r="N1439">
        <v>0</v>
      </c>
      <c r="O1439">
        <v>2.907738E-2</v>
      </c>
      <c r="P1439">
        <v>-0.98733000000000004</v>
      </c>
      <c r="Q1439">
        <v>0.1529568</v>
      </c>
      <c r="R1439">
        <v>4.2238770000000002E-2</v>
      </c>
      <c r="S1439">
        <v>-3.0496669999999999</v>
      </c>
      <c r="T1439">
        <v>-0.1751364</v>
      </c>
      <c r="U1439">
        <v>0.38412479999999999</v>
      </c>
      <c r="V1439">
        <v>1.3446609999999999E-2</v>
      </c>
      <c r="W1439">
        <v>0.16072059999999999</v>
      </c>
      <c r="X1439">
        <v>0.98690840000000002</v>
      </c>
      <c r="Y1439">
        <v>9.5957319999999999E-2</v>
      </c>
      <c r="Z1439">
        <v>1.0811939999999999E-3</v>
      </c>
      <c r="AA1439">
        <v>0.99538490000000002</v>
      </c>
      <c r="AB1439">
        <v>29</v>
      </c>
      <c r="AC1439">
        <v>-19.011199999999999</v>
      </c>
      <c r="AD1439">
        <v>-1.10991819135</v>
      </c>
      <c r="AE1439">
        <v>2.4254000000000202</v>
      </c>
      <c r="AF1439">
        <v>1.8653054950530299</v>
      </c>
      <c r="AG1439">
        <v>-1.10991819135</v>
      </c>
      <c r="AH1439">
        <v>19.0099297540336</v>
      </c>
      <c r="AI1439">
        <v>93.325556314680696</v>
      </c>
      <c r="AJ1439">
        <v>84.3959233565609</v>
      </c>
      <c r="AK1439">
        <v>19.133444860627101</v>
      </c>
      <c r="AL1439">
        <v>80.751275640402895</v>
      </c>
      <c r="AM1439">
        <v>89.219394289711602</v>
      </c>
      <c r="AN1439">
        <v>1.0000000562877001</v>
      </c>
    </row>
    <row r="1440" spans="1:40" x14ac:dyDescent="0.25">
      <c r="A1440" t="str">
        <f>"20190312164249514"</f>
        <v>20190312164249514</v>
      </c>
      <c r="B1440" t="str">
        <f>"1552380169505905"</f>
        <v>1552380169505905</v>
      </c>
      <c r="C1440" t="s">
        <v>40</v>
      </c>
      <c r="D1440">
        <v>4.6885599999999998</v>
      </c>
      <c r="E1440">
        <v>0.5360104</v>
      </c>
      <c r="F1440" t="s">
        <v>46</v>
      </c>
      <c r="G1440">
        <v>-252.92500000000001</v>
      </c>
      <c r="H1440" s="1">
        <v>1.9772339999999999E-8</v>
      </c>
      <c r="I1440">
        <v>285.80509999999998</v>
      </c>
      <c r="J1440">
        <v>-233.8186</v>
      </c>
      <c r="K1440">
        <v>1.1099049999999999</v>
      </c>
      <c r="L1440">
        <v>283.38709999999998</v>
      </c>
      <c r="M1440">
        <v>-0.99955369999999999</v>
      </c>
      <c r="N1440">
        <v>0</v>
      </c>
      <c r="O1440">
        <v>2.884478E-2</v>
      </c>
      <c r="P1440">
        <v>-0.98753550000000001</v>
      </c>
      <c r="Q1440">
        <v>0.1518264</v>
      </c>
      <c r="R1440">
        <v>4.1500599999999999E-2</v>
      </c>
      <c r="S1440">
        <v>-3.0492249999999999</v>
      </c>
      <c r="T1440">
        <v>-0.1743816</v>
      </c>
      <c r="U1440">
        <v>0.3812256</v>
      </c>
      <c r="V1440">
        <v>1.293324E-2</v>
      </c>
      <c r="W1440">
        <v>0.15951319999999999</v>
      </c>
      <c r="X1440">
        <v>0.98711110000000002</v>
      </c>
      <c r="Y1440">
        <v>9.5276739999999999E-2</v>
      </c>
      <c r="Z1440">
        <v>1.0706089999999999E-3</v>
      </c>
      <c r="AA1440">
        <v>0.99545030000000001</v>
      </c>
      <c r="AB1440">
        <v>29</v>
      </c>
      <c r="AC1440">
        <v>-19.106400000000001</v>
      </c>
      <c r="AD1440">
        <v>-1.1099049802276599</v>
      </c>
      <c r="AE1440">
        <v>2.4180000000000001</v>
      </c>
      <c r="AF1440">
        <v>1.85968064128604</v>
      </c>
      <c r="AG1440">
        <v>-1.1099049802276599</v>
      </c>
      <c r="AH1440">
        <v>19.1047448341013</v>
      </c>
      <c r="AI1440">
        <v>93.309299120175197</v>
      </c>
      <c r="AJ1440">
        <v>84.440270444817699</v>
      </c>
      <c r="AK1440">
        <v>19.227105250890698</v>
      </c>
      <c r="AL1440">
        <v>80.821358499829699</v>
      </c>
      <c r="AM1440">
        <v>89.249347242361097</v>
      </c>
      <c r="AN1440">
        <v>1.00000002670717</v>
      </c>
    </row>
    <row r="1441" spans="1:40" x14ac:dyDescent="0.25">
      <c r="A1441" t="str">
        <f>"20190312164249537"</f>
        <v>20190312164249537</v>
      </c>
      <c r="B1441" t="str">
        <f>"1552380169525425"</f>
        <v>1552380169525425</v>
      </c>
      <c r="C1441" t="s">
        <v>40</v>
      </c>
      <c r="D1441">
        <v>4.9342620000000004</v>
      </c>
      <c r="E1441">
        <v>0.53572699999999995</v>
      </c>
      <c r="F1441" t="s">
        <v>46</v>
      </c>
      <c r="G1441">
        <v>-252.6087</v>
      </c>
      <c r="H1441" s="1">
        <v>-1.4859370000000001E-7</v>
      </c>
      <c r="I1441">
        <v>285.71190000000001</v>
      </c>
      <c r="J1441">
        <v>-234.11760000000001</v>
      </c>
      <c r="K1441">
        <v>1.109888</v>
      </c>
      <c r="L1441">
        <v>283.39550000000003</v>
      </c>
      <c r="M1441">
        <v>-0.99956089999999997</v>
      </c>
      <c r="N1441">
        <v>0</v>
      </c>
      <c r="O1441">
        <v>2.861232E-2</v>
      </c>
      <c r="P1441">
        <v>-0.98763820000000002</v>
      </c>
      <c r="Q1441">
        <v>0.15137400000000001</v>
      </c>
      <c r="R1441">
        <v>4.070505E-2</v>
      </c>
      <c r="S1441">
        <v>-3.0496829999999999</v>
      </c>
      <c r="T1441">
        <v>-0.1801412</v>
      </c>
      <c r="U1441">
        <v>0.37731930000000002</v>
      </c>
      <c r="V1441">
        <v>1.236514E-2</v>
      </c>
      <c r="W1441">
        <v>0.15899260000000001</v>
      </c>
      <c r="X1441">
        <v>0.98720229999999998</v>
      </c>
      <c r="Y1441">
        <v>9.4228419999999993E-2</v>
      </c>
      <c r="Z1441">
        <v>1.08866E-3</v>
      </c>
      <c r="AA1441">
        <v>0.99555000000000005</v>
      </c>
      <c r="AB1441">
        <v>29</v>
      </c>
      <c r="AC1441">
        <v>-18.4910999999999</v>
      </c>
      <c r="AD1441">
        <v>-1.1098881485937</v>
      </c>
      <c r="AE1441">
        <v>2.3163999999999798</v>
      </c>
      <c r="AF1441">
        <v>1.7800486341772399</v>
      </c>
      <c r="AG1441">
        <v>-1.1098881485937</v>
      </c>
      <c r="AH1441">
        <v>18.4842435149442</v>
      </c>
      <c r="AI1441">
        <v>93.420419004620399</v>
      </c>
      <c r="AJ1441">
        <v>84.499329183449007</v>
      </c>
      <c r="AK1441">
        <v>18.6028944834448</v>
      </c>
      <c r="AL1441">
        <v>80.851571681865096</v>
      </c>
      <c r="AM1441">
        <v>89.282382862408795</v>
      </c>
      <c r="AN1441">
        <v>0.99999996233363397</v>
      </c>
    </row>
    <row r="1442" spans="1:40" x14ac:dyDescent="0.25">
      <c r="A1442" t="str">
        <f>"20190312164249559"</f>
        <v>20190312164249559</v>
      </c>
      <c r="B1442" t="str">
        <f>"1552380169555682"</f>
        <v>1552380169555682</v>
      </c>
      <c r="C1442" t="s">
        <v>40</v>
      </c>
      <c r="D1442">
        <v>4.9144779999999999</v>
      </c>
      <c r="E1442">
        <v>0.4997722</v>
      </c>
      <c r="F1442" t="s">
        <v>46</v>
      </c>
      <c r="G1442">
        <v>-252.68039999999999</v>
      </c>
      <c r="H1442" s="1">
        <v>-1.1041879999999999E-7</v>
      </c>
      <c r="I1442">
        <v>285.66019999999997</v>
      </c>
      <c r="J1442">
        <v>-234.40690000000001</v>
      </c>
      <c r="K1442">
        <v>1.1098790000000001</v>
      </c>
      <c r="L1442">
        <v>283.40350000000001</v>
      </c>
      <c r="M1442">
        <v>-0.99956789999999995</v>
      </c>
      <c r="N1442">
        <v>0</v>
      </c>
      <c r="O1442">
        <v>2.8386600000000001E-2</v>
      </c>
      <c r="P1442">
        <v>-0.98766339999999997</v>
      </c>
      <c r="Q1442">
        <v>0.1515466</v>
      </c>
      <c r="R1442">
        <v>3.9436119999999998E-2</v>
      </c>
      <c r="S1442">
        <v>-3.0501399999999999</v>
      </c>
      <c r="T1442">
        <v>-0.18237129999999999</v>
      </c>
      <c r="U1442">
        <v>0.3721313</v>
      </c>
      <c r="V1442">
        <v>1.1318969999999999E-2</v>
      </c>
      <c r="W1442">
        <v>0.159107</v>
      </c>
      <c r="X1442">
        <v>0.98719639999999997</v>
      </c>
      <c r="Y1442">
        <v>9.2766169999999995E-2</v>
      </c>
      <c r="Z1442">
        <v>1.071958E-3</v>
      </c>
      <c r="AA1442">
        <v>0.9956874</v>
      </c>
      <c r="AB1442">
        <v>30</v>
      </c>
      <c r="AC1442">
        <v>-18.273499999999899</v>
      </c>
      <c r="AD1442">
        <v>-1.1098791104187999</v>
      </c>
      <c r="AE1442">
        <v>2.25669999999996</v>
      </c>
      <c r="AF1442">
        <v>1.7307640417813199</v>
      </c>
      <c r="AG1442">
        <v>-1.1098791104187999</v>
      </c>
      <c r="AH1442">
        <v>18.263834558951402</v>
      </c>
      <c r="AI1442">
        <v>93.462071177510396</v>
      </c>
      <c r="AJ1442">
        <v>84.586557494698198</v>
      </c>
      <c r="AK1442">
        <v>18.379200978410701</v>
      </c>
      <c r="AL1442">
        <v>80.844932365737805</v>
      </c>
      <c r="AM1442">
        <v>89.343088374033897</v>
      </c>
      <c r="AN1442">
        <v>0.99999994435190898</v>
      </c>
    </row>
    <row r="1443" spans="1:40" x14ac:dyDescent="0.25">
      <c r="A1443" t="str">
        <f>"20190312164249581"</f>
        <v>20190312164249581</v>
      </c>
      <c r="B1443" t="str">
        <f>"1552380169575201"</f>
        <v>1552380169575201</v>
      </c>
      <c r="C1443" t="s">
        <v>40</v>
      </c>
      <c r="D1443">
        <v>4.8240480000000003</v>
      </c>
      <c r="E1443">
        <v>0.48810389999999998</v>
      </c>
      <c r="F1443" t="s">
        <v>46</v>
      </c>
      <c r="G1443">
        <v>-249.33670000000001</v>
      </c>
      <c r="H1443" s="1">
        <v>3.4317399999999999E-6</v>
      </c>
      <c r="I1443">
        <v>283.78649999999999</v>
      </c>
      <c r="J1443">
        <v>-234.697</v>
      </c>
      <c r="K1443">
        <v>1.109877</v>
      </c>
      <c r="L1443">
        <v>283.41149999999999</v>
      </c>
      <c r="M1443">
        <v>-0.99957450000000003</v>
      </c>
      <c r="N1443">
        <v>0</v>
      </c>
      <c r="O1443">
        <v>2.8160129999999998E-2</v>
      </c>
      <c r="P1443">
        <v>-0.98772280000000001</v>
      </c>
      <c r="Q1443">
        <v>0.1515493</v>
      </c>
      <c r="R1443">
        <v>3.7899139999999998E-2</v>
      </c>
      <c r="S1443">
        <v>-3.0693510000000002</v>
      </c>
      <c r="T1443">
        <v>-0.22817419999999999</v>
      </c>
      <c r="U1443">
        <v>7.8735349999999996E-2</v>
      </c>
      <c r="V1443">
        <v>1.000436E-2</v>
      </c>
      <c r="W1443">
        <v>0.159058</v>
      </c>
      <c r="X1443">
        <v>0.98721859999999995</v>
      </c>
      <c r="Y1443">
        <v>-2.433836E-3</v>
      </c>
      <c r="Z1443">
        <v>-2.1801749999999999E-3</v>
      </c>
      <c r="AA1443">
        <v>0.99999459999999996</v>
      </c>
      <c r="AB1443">
        <v>30</v>
      </c>
      <c r="AC1443">
        <v>-14.639699999999999</v>
      </c>
      <c r="AD1443">
        <v>-1.1098735682600001</v>
      </c>
      <c r="AE1443">
        <v>0.375</v>
      </c>
      <c r="AF1443">
        <v>-3.7202814717054798E-2</v>
      </c>
      <c r="AG1443">
        <v>-1.1098735682600001</v>
      </c>
      <c r="AH1443">
        <v>14.5608201302895</v>
      </c>
      <c r="AI1443">
        <v>94.358829886172998</v>
      </c>
      <c r="AJ1443">
        <v>90.146390080500794</v>
      </c>
      <c r="AK1443">
        <v>14.6031053633667</v>
      </c>
      <c r="AL1443">
        <v>80.847777042414293</v>
      </c>
      <c r="AM1443">
        <v>89.419391020421997</v>
      </c>
      <c r="AN1443">
        <v>1.0000000493844801</v>
      </c>
    </row>
    <row r="1444" spans="1:40" x14ac:dyDescent="0.25">
      <c r="A1444" t="str">
        <f>"20190312164249603"</f>
        <v>20190312164249603</v>
      </c>
      <c r="B1444" t="str">
        <f>"1552380169595698"</f>
        <v>1552380169595698</v>
      </c>
      <c r="C1444" t="s">
        <v>40</v>
      </c>
      <c r="D1444">
        <v>4.7935629999999998</v>
      </c>
      <c r="E1444">
        <v>0.4844965</v>
      </c>
      <c r="F1444" t="s">
        <v>46</v>
      </c>
      <c r="G1444">
        <v>-252.58510000000001</v>
      </c>
      <c r="H1444" s="1">
        <v>-1.611461E-7</v>
      </c>
      <c r="I1444">
        <v>283.31540000000001</v>
      </c>
      <c r="J1444">
        <v>-234.99289999999999</v>
      </c>
      <c r="K1444">
        <v>1.109874</v>
      </c>
      <c r="L1444">
        <v>283.4196</v>
      </c>
      <c r="M1444">
        <v>-0.99958150000000001</v>
      </c>
      <c r="N1444">
        <v>0</v>
      </c>
      <c r="O1444">
        <v>2.7929570000000001E-2</v>
      </c>
      <c r="P1444">
        <v>-0.9878382</v>
      </c>
      <c r="Q1444">
        <v>0.15117</v>
      </c>
      <c r="R1444">
        <v>3.6382579999999998E-2</v>
      </c>
      <c r="S1444">
        <v>-3.0671080000000002</v>
      </c>
      <c r="T1444">
        <v>-0.19030079999999999</v>
      </c>
      <c r="U1444">
        <v>-1.6479489999999999E-2</v>
      </c>
      <c r="V1444">
        <v>8.71279199999999E-3</v>
      </c>
      <c r="W1444">
        <v>0.15863429999999901</v>
      </c>
      <c r="X1444">
        <v>0.98729900000000004</v>
      </c>
      <c r="Y1444">
        <v>-3.3183259999999999E-2</v>
      </c>
      <c r="Z1444">
        <v>-2.7595879999999999E-3</v>
      </c>
      <c r="AA1444">
        <v>0.99944549999999999</v>
      </c>
      <c r="AB1444">
        <v>30</v>
      </c>
      <c r="AC1444">
        <v>-17.592199999999998</v>
      </c>
      <c r="AD1444">
        <v>-1.1098741611461</v>
      </c>
      <c r="AE1444">
        <v>-0.10419999999999099</v>
      </c>
      <c r="AF1444">
        <v>-0.59315507044400495</v>
      </c>
      <c r="AG1444">
        <v>-1.1098741611461</v>
      </c>
      <c r="AH1444">
        <v>17.512724368506198</v>
      </c>
      <c r="AI1444">
        <v>93.624214835690907</v>
      </c>
      <c r="AJ1444">
        <v>91.939863534960693</v>
      </c>
      <c r="AK1444">
        <v>17.557880521248698</v>
      </c>
      <c r="AL1444">
        <v>80.872365317946503</v>
      </c>
      <c r="AM1444">
        <v>89.494384932177894</v>
      </c>
      <c r="AN1444">
        <v>1.0000000346409601</v>
      </c>
    </row>
    <row r="1445" spans="1:40" x14ac:dyDescent="0.25">
      <c r="A1445" t="str">
        <f>"20190312164249624"</f>
        <v>20190312164249624</v>
      </c>
      <c r="B1445" t="str">
        <f>"1552380169615217"</f>
        <v>1552380169615217</v>
      </c>
      <c r="C1445" t="s">
        <v>40</v>
      </c>
      <c r="D1445">
        <v>4.7648409999999997</v>
      </c>
      <c r="E1445">
        <v>0.48279290000000002</v>
      </c>
      <c r="F1445" t="s">
        <v>46</v>
      </c>
      <c r="G1445">
        <v>-253.94800000000001</v>
      </c>
      <c r="H1445" s="1">
        <v>5.6415190000000004E-7</v>
      </c>
      <c r="I1445">
        <v>283.12060000000002</v>
      </c>
      <c r="J1445">
        <v>-235.28389999999999</v>
      </c>
      <c r="K1445">
        <v>1.1098650000000001</v>
      </c>
      <c r="L1445">
        <v>283.42759999999998</v>
      </c>
      <c r="M1445">
        <v>-0.99958800000000003</v>
      </c>
      <c r="N1445">
        <v>0</v>
      </c>
      <c r="O1445">
        <v>2.7702689999999999E-2</v>
      </c>
      <c r="P1445">
        <v>-0.98794159999999998</v>
      </c>
      <c r="Q1445">
        <v>0.15090290000000001</v>
      </c>
      <c r="R1445">
        <v>3.4640230000000001E-2</v>
      </c>
      <c r="S1445">
        <v>-3.0661770000000002</v>
      </c>
      <c r="T1445">
        <v>-0.179533</v>
      </c>
      <c r="U1445">
        <v>-4.8370360000000001E-2</v>
      </c>
      <c r="V1445">
        <v>7.1923029999999997E-3</v>
      </c>
      <c r="W1445">
        <v>0.15832969999999999</v>
      </c>
      <c r="X1445">
        <v>0.98736009999999996</v>
      </c>
      <c r="Y1445">
        <v>-4.3345809999999999E-2</v>
      </c>
      <c r="Z1445">
        <v>-2.8884000000000002E-3</v>
      </c>
      <c r="AA1445">
        <v>0.99905600000000006</v>
      </c>
      <c r="AB1445">
        <v>30</v>
      </c>
      <c r="AC1445">
        <v>-18.664099999999902</v>
      </c>
      <c r="AD1445">
        <v>-1.10986443584809</v>
      </c>
      <c r="AE1445">
        <v>-0.30699999999995897</v>
      </c>
      <c r="AF1445">
        <v>-0.82104002179669799</v>
      </c>
      <c r="AG1445">
        <v>-1.10986443584809</v>
      </c>
      <c r="AH1445">
        <v>18.582738642389302</v>
      </c>
      <c r="AI1445">
        <v>93.414638751784807</v>
      </c>
      <c r="AJ1445">
        <v>92.529850629220107</v>
      </c>
      <c r="AK1445">
        <v>18.633949694970799</v>
      </c>
      <c r="AL1445">
        <v>80.890040636162098</v>
      </c>
      <c r="AM1445">
        <v>89.5826433351491</v>
      </c>
      <c r="AN1445">
        <v>0.99999999509827098</v>
      </c>
    </row>
    <row r="1446" spans="1:40" x14ac:dyDescent="0.25">
      <c r="A1446" t="str">
        <f>"20190312164249647"</f>
        <v>20190312164249647</v>
      </c>
      <c r="B1446" t="str">
        <f>"1552380169635712"</f>
        <v>1552380169635712</v>
      </c>
      <c r="C1446" t="s">
        <v>40</v>
      </c>
      <c r="D1446">
        <v>4.8625530000000001</v>
      </c>
      <c r="E1446">
        <v>0.48294759999999998</v>
      </c>
      <c r="F1446" t="s">
        <v>46</v>
      </c>
      <c r="G1446">
        <v>-254.3544</v>
      </c>
      <c r="H1446" s="1">
        <v>7.804118E-7</v>
      </c>
      <c r="I1446">
        <v>283.01</v>
      </c>
      <c r="J1446">
        <v>-235.59190000000001</v>
      </c>
      <c r="K1446">
        <v>1.1098570000000001</v>
      </c>
      <c r="L1446">
        <v>283.43579999999997</v>
      </c>
      <c r="M1446">
        <v>-0.99959500000000001</v>
      </c>
      <c r="N1446">
        <v>0</v>
      </c>
      <c r="O1446">
        <v>2.7462429999999999E-2</v>
      </c>
      <c r="P1446">
        <v>-0.98816499999999996</v>
      </c>
      <c r="Q1446">
        <v>0.14974409999999999</v>
      </c>
      <c r="R1446">
        <v>3.3272789999999997E-2</v>
      </c>
      <c r="S1446">
        <v>-3.0662229999999999</v>
      </c>
      <c r="T1446">
        <v>-0.17844760000000001</v>
      </c>
      <c r="U1446">
        <v>-6.7138669999999998E-2</v>
      </c>
      <c r="V1446">
        <v>6.0568929999999998E-3</v>
      </c>
      <c r="W1446">
        <v>0.15713840000000001</v>
      </c>
      <c r="X1446">
        <v>0.98755800000000005</v>
      </c>
      <c r="Y1446">
        <v>-4.9209629999999997E-2</v>
      </c>
      <c r="Z1446">
        <v>-3.027292E-3</v>
      </c>
      <c r="AA1446">
        <v>0.99878389999999995</v>
      </c>
      <c r="AB1446">
        <v>30</v>
      </c>
      <c r="AC1446">
        <v>-18.7624999999999</v>
      </c>
      <c r="AD1446">
        <v>-1.10985621958819</v>
      </c>
      <c r="AE1446">
        <v>-0.42579999999998103</v>
      </c>
      <c r="AF1446">
        <v>-0.93763840668107701</v>
      </c>
      <c r="AG1446">
        <v>-1.10985621958819</v>
      </c>
      <c r="AH1446">
        <v>18.678405928760299</v>
      </c>
      <c r="AI1446">
        <v>93.396205651421695</v>
      </c>
      <c r="AJ1446">
        <v>92.873781928227501</v>
      </c>
      <c r="AK1446">
        <v>18.7348283859071</v>
      </c>
      <c r="AL1446">
        <v>80.959162284879397</v>
      </c>
      <c r="AM1446">
        <v>89.648597799225897</v>
      </c>
      <c r="AN1446">
        <v>0.99999998303568605</v>
      </c>
    </row>
    <row r="1447" spans="1:40" x14ac:dyDescent="0.25">
      <c r="A1447" t="str">
        <f>"20190312164249668"</f>
        <v>20190312164249668</v>
      </c>
      <c r="B1447" t="str">
        <f>"1552380169665970"</f>
        <v>1552380169665970</v>
      </c>
      <c r="C1447" t="s">
        <v>40</v>
      </c>
      <c r="D1447">
        <v>4.9553890000000003</v>
      </c>
      <c r="E1447">
        <v>0.48189100000000001</v>
      </c>
      <c r="F1447" t="s">
        <v>46</v>
      </c>
      <c r="G1447">
        <v>-253.42509999999999</v>
      </c>
      <c r="H1447" s="1">
        <v>2.8589490000000001E-7</v>
      </c>
      <c r="I1447">
        <v>283.03019999999998</v>
      </c>
      <c r="J1447">
        <v>-235.8768</v>
      </c>
      <c r="K1447">
        <v>1.1098520000000001</v>
      </c>
      <c r="L1447">
        <v>283.4434</v>
      </c>
      <c r="M1447">
        <v>-0.99960130000000003</v>
      </c>
      <c r="N1447">
        <v>0</v>
      </c>
      <c r="O1447">
        <v>2.7239900000000001E-2</v>
      </c>
      <c r="P1447">
        <v>-0.98829719999999999</v>
      </c>
      <c r="Q1447">
        <v>0.14926210000000001</v>
      </c>
      <c r="R1447">
        <v>3.1465189999999997E-2</v>
      </c>
      <c r="S1447">
        <v>-3.067215</v>
      </c>
      <c r="T1447">
        <v>-0.1908889</v>
      </c>
      <c r="U1447">
        <v>-6.9763179999999994E-2</v>
      </c>
      <c r="V1447">
        <v>4.4662599999999997E-3</v>
      </c>
      <c r="W1447">
        <v>0.15663070000000001</v>
      </c>
      <c r="X1447">
        <v>0.9876471</v>
      </c>
      <c r="Y1447">
        <v>-4.9815079999999998E-2</v>
      </c>
      <c r="Z1447">
        <v>-3.241875E-3</v>
      </c>
      <c r="AA1447">
        <v>0.99875320000000001</v>
      </c>
      <c r="AB1447">
        <v>30</v>
      </c>
      <c r="AC1447">
        <v>-17.548299999999902</v>
      </c>
      <c r="AD1447">
        <v>-1.1098517141051001</v>
      </c>
      <c r="AE1447">
        <v>-0.413200000000017</v>
      </c>
      <c r="AF1447">
        <v>-0.88752566717040904</v>
      </c>
      <c r="AG1447">
        <v>-1.1098517141051001</v>
      </c>
      <c r="AH1447">
        <v>17.460727887588099</v>
      </c>
      <c r="AI1447">
        <v>93.632307214285504</v>
      </c>
      <c r="AJ1447">
        <v>92.909829907589895</v>
      </c>
      <c r="AK1447">
        <v>17.518461433630101</v>
      </c>
      <c r="AL1447">
        <v>80.988615861535493</v>
      </c>
      <c r="AM1447">
        <v>89.740903300485598</v>
      </c>
      <c r="AN1447">
        <v>0.99999995889964299</v>
      </c>
    </row>
    <row r="1448" spans="1:40" x14ac:dyDescent="0.25">
      <c r="A1448" t="str">
        <f>"20190312164249693"</f>
        <v>20190312164249693</v>
      </c>
      <c r="B1448" t="str">
        <f>"1552380169685490"</f>
        <v>1552380169685490</v>
      </c>
      <c r="C1448" t="s">
        <v>40</v>
      </c>
      <c r="D1448">
        <v>4.9314159999999996</v>
      </c>
      <c r="E1448">
        <v>0.48204649999999999</v>
      </c>
      <c r="F1448" t="s">
        <v>46</v>
      </c>
      <c r="G1448">
        <v>-253.17099999999999</v>
      </c>
      <c r="H1448" s="1">
        <v>1.506641E-7</v>
      </c>
      <c r="I1448">
        <v>282.97120000000001</v>
      </c>
      <c r="J1448">
        <v>-236.19929999999999</v>
      </c>
      <c r="K1448">
        <v>1.1098460000000001</v>
      </c>
      <c r="L1448">
        <v>283.452</v>
      </c>
      <c r="M1448">
        <v>-0.99960819999999995</v>
      </c>
      <c r="N1448">
        <v>0</v>
      </c>
      <c r="O1448">
        <v>2.6988519999999998E-2</v>
      </c>
      <c r="P1448">
        <v>-0.98841639999999997</v>
      </c>
      <c r="Q1448">
        <v>0.14885770000000001</v>
      </c>
      <c r="R1448">
        <v>2.9574909999999999E-2</v>
      </c>
      <c r="S1448">
        <v>-3.0679319999999999</v>
      </c>
      <c r="T1448">
        <v>-0.19688439999999999</v>
      </c>
      <c r="U1448">
        <v>-8.3770750000000005E-2</v>
      </c>
      <c r="V1448">
        <v>2.8218549999999998E-3</v>
      </c>
      <c r="W1448">
        <v>0.15620220000000001</v>
      </c>
      <c r="X1448">
        <v>0.98772110000000002</v>
      </c>
      <c r="Y1448">
        <v>-5.4097689999999997E-2</v>
      </c>
      <c r="Z1448">
        <v>-3.4636889999999998E-3</v>
      </c>
      <c r="AA1448">
        <v>0.99852960000000002</v>
      </c>
      <c r="AB1448">
        <v>30</v>
      </c>
      <c r="AC1448">
        <v>-16.971699999999998</v>
      </c>
      <c r="AD1448">
        <v>-1.10984584933589</v>
      </c>
      <c r="AE1448">
        <v>-0.48079999999998702</v>
      </c>
      <c r="AF1448">
        <v>-0.93468468623628898</v>
      </c>
      <c r="AG1448">
        <v>-1.10984584933589</v>
      </c>
      <c r="AH1448">
        <v>16.880412276661499</v>
      </c>
      <c r="AI1448">
        <v>93.755906708160495</v>
      </c>
      <c r="AJ1448">
        <v>93.169286189448897</v>
      </c>
      <c r="AK1448">
        <v>16.9426595285993</v>
      </c>
      <c r="AL1448">
        <v>81.013473718016698</v>
      </c>
      <c r="AM1448">
        <v>89.836310126393499</v>
      </c>
      <c r="AN1448">
        <v>1.0000000307678401</v>
      </c>
    </row>
    <row r="1449" spans="1:40" x14ac:dyDescent="0.25">
      <c r="A1449" t="str">
        <f>"20190312164249716"</f>
        <v>20190312164249716</v>
      </c>
      <c r="B1449" t="str">
        <f>"1552380169705985"</f>
        <v>1552380169705985</v>
      </c>
      <c r="C1449" t="s">
        <v>40</v>
      </c>
      <c r="D1449">
        <v>4.5574459999999997</v>
      </c>
      <c r="E1449">
        <v>0.48156890000000002</v>
      </c>
      <c r="F1449" t="s">
        <v>46</v>
      </c>
      <c r="G1449">
        <v>-253.7655</v>
      </c>
      <c r="H1449" s="1">
        <v>4.6703389999999998E-7</v>
      </c>
      <c r="I1449">
        <v>282.94650000000001</v>
      </c>
      <c r="J1449">
        <v>-236.51849999999999</v>
      </c>
      <c r="K1449">
        <v>1.109839</v>
      </c>
      <c r="L1449">
        <v>283.46030000000002</v>
      </c>
      <c r="M1449">
        <v>-0.99961500000000003</v>
      </c>
      <c r="N1449">
        <v>0</v>
      </c>
      <c r="O1449">
        <v>2.673998E-2</v>
      </c>
      <c r="P1449">
        <v>-0.98846100000000003</v>
      </c>
      <c r="Q1449">
        <v>0.14886540000000001</v>
      </c>
      <c r="R1449">
        <v>2.8004379999999999E-2</v>
      </c>
      <c r="S1449">
        <v>-3.066986</v>
      </c>
      <c r="T1449">
        <v>-0.19377420000000001</v>
      </c>
      <c r="U1449">
        <v>-8.8256840000000003E-2</v>
      </c>
      <c r="V1449">
        <v>1.496041E-3</v>
      </c>
      <c r="W1449">
        <v>0.15618989999999999</v>
      </c>
      <c r="X1449">
        <v>0.98772590000000005</v>
      </c>
      <c r="Y1449">
        <v>-5.5320359999999999E-2</v>
      </c>
      <c r="Z1449">
        <v>-3.4329650000000001E-3</v>
      </c>
      <c r="AA1449">
        <v>0.99846270000000004</v>
      </c>
      <c r="AB1449">
        <v>30</v>
      </c>
      <c r="AC1449">
        <v>-17.247</v>
      </c>
      <c r="AD1449">
        <v>-1.1098385329661</v>
      </c>
      <c r="AE1449">
        <v>-0.51380000000000303</v>
      </c>
      <c r="AF1449">
        <v>-0.970796957002661</v>
      </c>
      <c r="AG1449">
        <v>-1.1098385329661</v>
      </c>
      <c r="AH1449">
        <v>17.156114757706799</v>
      </c>
      <c r="AI1449">
        <v>93.695442924460906</v>
      </c>
      <c r="AJ1449">
        <v>93.2386886825972</v>
      </c>
      <c r="AK1449">
        <v>17.219362992880601</v>
      </c>
      <c r="AL1449">
        <v>81.014186828395907</v>
      </c>
      <c r="AM1449">
        <v>89.913218060060302</v>
      </c>
      <c r="AN1449">
        <v>0.99999998826574599</v>
      </c>
    </row>
    <row r="1450" spans="1:40" x14ac:dyDescent="0.25">
      <c r="A1450" t="str">
        <f>"20190312164249738"</f>
        <v>20190312164249738</v>
      </c>
      <c r="B1450" t="str">
        <f>"1552380169735265"</f>
        <v>1552380169735265</v>
      </c>
      <c r="C1450" t="s">
        <v>40</v>
      </c>
      <c r="D1450">
        <v>4.6746439999999998</v>
      </c>
      <c r="E1450">
        <v>0.48126960000000002</v>
      </c>
      <c r="F1450" t="s">
        <v>46</v>
      </c>
      <c r="G1450">
        <v>-254.5214</v>
      </c>
      <c r="H1450" s="1">
        <v>8.6925889999999997E-7</v>
      </c>
      <c r="I1450">
        <v>282.89319999999998</v>
      </c>
      <c r="J1450">
        <v>-236.81950000000001</v>
      </c>
      <c r="K1450">
        <v>1.109828</v>
      </c>
      <c r="L1450">
        <v>283.46809999999999</v>
      </c>
      <c r="M1450">
        <v>-0.99962139999999999</v>
      </c>
      <c r="N1450">
        <v>0</v>
      </c>
      <c r="O1450">
        <v>2.6505669999999999E-2</v>
      </c>
      <c r="P1450">
        <v>-0.98865380000000003</v>
      </c>
      <c r="Q1450">
        <v>0.14781859999999999</v>
      </c>
      <c r="R1450">
        <v>2.671022E-2</v>
      </c>
      <c r="S1450">
        <v>-3.0662229999999999</v>
      </c>
      <c r="T1450">
        <v>-0.189026</v>
      </c>
      <c r="U1450">
        <v>-9.6588129999999994E-2</v>
      </c>
      <c r="V1450">
        <v>4.2902789999999999E-4</v>
      </c>
      <c r="W1450">
        <v>0.15512960000000001</v>
      </c>
      <c r="X1450">
        <v>0.98789400000000005</v>
      </c>
      <c r="Y1450">
        <v>-5.7807339999999999E-2</v>
      </c>
      <c r="Z1450">
        <v>-3.4118540000000002E-3</v>
      </c>
      <c r="AA1450">
        <v>0.99832200000000004</v>
      </c>
      <c r="AB1450">
        <v>30</v>
      </c>
      <c r="AC1450">
        <v>-17.701899999999899</v>
      </c>
      <c r="AD1450">
        <v>-1.1098271307411001</v>
      </c>
      <c r="AE1450">
        <v>-0.57490000000001296</v>
      </c>
      <c r="AF1450">
        <v>-1.0398285556487199</v>
      </c>
      <c r="AG1450">
        <v>-1.1098271307411001</v>
      </c>
      <c r="AH1450">
        <v>17.611289882777601</v>
      </c>
      <c r="AI1450">
        <v>93.599641082481696</v>
      </c>
      <c r="AJ1450">
        <v>93.379008631287107</v>
      </c>
      <c r="AK1450">
        <v>17.676834869978801</v>
      </c>
      <c r="AL1450">
        <v>81.075686991796502</v>
      </c>
      <c r="AM1450">
        <v>89.975117283415003</v>
      </c>
      <c r="AN1450">
        <v>0.99999996604854802</v>
      </c>
    </row>
    <row r="1451" spans="1:40" x14ac:dyDescent="0.25">
      <c r="A1451" t="str">
        <f>"20190312164249757"</f>
        <v>20190312164249757</v>
      </c>
      <c r="B1451" t="str">
        <f>"1552380169755761"</f>
        <v>1552380169755761</v>
      </c>
      <c r="C1451" t="s">
        <v>40</v>
      </c>
      <c r="D1451">
        <v>4.6272349999999998</v>
      </c>
      <c r="E1451">
        <v>0.48119099999999998</v>
      </c>
      <c r="F1451" t="s">
        <v>46</v>
      </c>
      <c r="G1451">
        <v>-254.7474</v>
      </c>
      <c r="H1451" s="1">
        <v>9.895272E-7</v>
      </c>
      <c r="I1451">
        <v>282.86779999999999</v>
      </c>
      <c r="J1451">
        <v>-237.08709999999999</v>
      </c>
      <c r="K1451">
        <v>1.109823</v>
      </c>
      <c r="L1451">
        <v>283.47500000000002</v>
      </c>
      <c r="M1451">
        <v>-0.99962700000000004</v>
      </c>
      <c r="N1451">
        <v>0</v>
      </c>
      <c r="O1451">
        <v>2.6296610000000002E-2</v>
      </c>
      <c r="P1451">
        <v>-0.9888245</v>
      </c>
      <c r="Q1451">
        <v>0.1468431</v>
      </c>
      <c r="R1451">
        <v>2.5759669999999998E-2</v>
      </c>
      <c r="S1451">
        <v>-3.065582</v>
      </c>
      <c r="T1451">
        <v>-0.18977550000000001</v>
      </c>
      <c r="U1451">
        <v>-0.10266110000000001</v>
      </c>
      <c r="V1451">
        <v>-3.1878750000000002E-4</v>
      </c>
      <c r="W1451">
        <v>0.154145</v>
      </c>
      <c r="X1451">
        <v>0.98804820000000004</v>
      </c>
      <c r="Y1451">
        <v>-5.9576320000000002E-2</v>
      </c>
      <c r="Z1451">
        <v>-3.4677319999999998E-3</v>
      </c>
      <c r="AA1451">
        <v>0.99821769999999999</v>
      </c>
      <c r="AB1451">
        <v>30</v>
      </c>
      <c r="AC1451">
        <v>-17.660299999999999</v>
      </c>
      <c r="AD1451">
        <v>-1.1098220104728</v>
      </c>
      <c r="AE1451">
        <v>-0.60720000000003405</v>
      </c>
      <c r="AF1451">
        <v>-1.06719903194577</v>
      </c>
      <c r="AG1451">
        <v>-1.1098220104728</v>
      </c>
      <c r="AH1451">
        <v>17.5689232352758</v>
      </c>
      <c r="AI1451">
        <v>93.607916791649899</v>
      </c>
      <c r="AJ1451">
        <v>93.476078787472602</v>
      </c>
      <c r="AK1451">
        <v>17.636260440233102</v>
      </c>
      <c r="AL1451">
        <v>81.132787691740106</v>
      </c>
      <c r="AM1451">
        <v>90.0184861200878</v>
      </c>
      <c r="AN1451">
        <v>1.0000000140868499</v>
      </c>
    </row>
    <row r="1452" spans="1:40" x14ac:dyDescent="0.25">
      <c r="A1452" t="str">
        <f>"20190312164249782"</f>
        <v>20190312164249782</v>
      </c>
      <c r="B1452" t="str">
        <f>"1552380169775281"</f>
        <v>1552380169775281</v>
      </c>
      <c r="C1452" t="s">
        <v>40</v>
      </c>
      <c r="D1452">
        <v>4.6696</v>
      </c>
      <c r="E1452">
        <v>0.4810005</v>
      </c>
      <c r="F1452" t="s">
        <v>46</v>
      </c>
      <c r="G1452">
        <v>-254.87039999999999</v>
      </c>
      <c r="H1452" s="1">
        <v>1.0549860000000001E-6</v>
      </c>
      <c r="I1452">
        <v>282.85899999999998</v>
      </c>
      <c r="J1452">
        <v>-237.40479999999999</v>
      </c>
      <c r="K1452">
        <v>1.1098220000000001</v>
      </c>
      <c r="L1452">
        <v>283.48309999999998</v>
      </c>
      <c r="M1452">
        <v>-0.99963360000000001</v>
      </c>
      <c r="N1452">
        <v>0</v>
      </c>
      <c r="O1452">
        <v>2.6048089999999999E-2</v>
      </c>
      <c r="P1452">
        <v>-0.98885420000000002</v>
      </c>
      <c r="Q1452">
        <v>0.14683019999999999</v>
      </c>
      <c r="R1452">
        <v>2.4665639999999999E-2</v>
      </c>
      <c r="S1452">
        <v>-3.0650940000000002</v>
      </c>
      <c r="T1452">
        <v>-0.1912874</v>
      </c>
      <c r="U1452">
        <v>-0.10617070000000001</v>
      </c>
      <c r="V1452">
        <v>-1.1682540000000001E-3</v>
      </c>
      <c r="W1452">
        <v>0.1541187</v>
      </c>
      <c r="X1452">
        <v>0.98805169999999998</v>
      </c>
      <c r="Y1452">
        <v>-6.0471160000000003E-2</v>
      </c>
      <c r="Z1452">
        <v>-3.5081969999999998E-3</v>
      </c>
      <c r="AA1452">
        <v>0.99816380000000005</v>
      </c>
      <c r="AB1452">
        <v>30</v>
      </c>
      <c r="AC1452">
        <v>-17.465599999999899</v>
      </c>
      <c r="AD1452">
        <v>-1.109820945014</v>
      </c>
      <c r="AE1452">
        <v>-0.62409999999994104</v>
      </c>
      <c r="AF1452">
        <v>-1.0745129914845299</v>
      </c>
      <c r="AG1452">
        <v>-1.109820945014</v>
      </c>
      <c r="AH1452">
        <v>17.373356673295799</v>
      </c>
      <c r="AI1452">
        <v>93.648171963896104</v>
      </c>
      <c r="AJ1452">
        <v>93.539139868608999</v>
      </c>
      <c r="AK1452">
        <v>17.441897912681799</v>
      </c>
      <c r="AL1452">
        <v>81.134313117924904</v>
      </c>
      <c r="AM1452">
        <v>90.067745435189806</v>
      </c>
      <c r="AN1452">
        <v>1.0000000501899899</v>
      </c>
    </row>
    <row r="1453" spans="1:40" x14ac:dyDescent="0.25">
      <c r="A1453" t="str">
        <f>"20190312164249804"</f>
        <v>20190312164249804</v>
      </c>
      <c r="B1453" t="str">
        <f>"1552380169795778"</f>
        <v>1552380169795778</v>
      </c>
      <c r="C1453" t="s">
        <v>40</v>
      </c>
      <c r="D1453">
        <v>4.5896699999999999</v>
      </c>
      <c r="E1453">
        <v>0.48096309999999898</v>
      </c>
      <c r="F1453" t="s">
        <v>46</v>
      </c>
      <c r="G1453">
        <v>-255.31899999999999</v>
      </c>
      <c r="H1453" s="1">
        <v>1.293724E-6</v>
      </c>
      <c r="I1453">
        <v>282.83839999999998</v>
      </c>
      <c r="J1453">
        <v>-237.72200000000001</v>
      </c>
      <c r="K1453">
        <v>1.109823</v>
      </c>
      <c r="L1453">
        <v>283.49110000000002</v>
      </c>
      <c r="M1453">
        <v>-0.99964030000000004</v>
      </c>
      <c r="N1453">
        <v>0</v>
      </c>
      <c r="O1453">
        <v>2.579654E-2</v>
      </c>
      <c r="P1453">
        <v>-0.98892809999999998</v>
      </c>
      <c r="Q1453">
        <v>0.14658940000000001</v>
      </c>
      <c r="R1453">
        <v>2.3089599999999998E-2</v>
      </c>
      <c r="S1453">
        <v>-3.0647739999999999</v>
      </c>
      <c r="T1453">
        <v>-0.18986829999999999</v>
      </c>
      <c r="U1453">
        <v>-0.1102905</v>
      </c>
      <c r="V1453">
        <v>-2.4974390000000002E-3</v>
      </c>
      <c r="W1453">
        <v>0.15386329999999901</v>
      </c>
      <c r="X1453">
        <v>0.988089</v>
      </c>
      <c r="Y1453">
        <v>-6.1564519999999998E-2</v>
      </c>
      <c r="Z1453">
        <v>-3.5007689999999999E-3</v>
      </c>
      <c r="AA1453">
        <v>0.99809689999999995</v>
      </c>
      <c r="AB1453">
        <v>31</v>
      </c>
      <c r="AC1453">
        <v>-17.597000000000001</v>
      </c>
      <c r="AD1453">
        <v>-1.1098217062760001</v>
      </c>
      <c r="AE1453">
        <v>-0.65270000000003803</v>
      </c>
      <c r="AF1453">
        <v>-1.1020590978704701</v>
      </c>
      <c r="AG1453">
        <v>-1.1098217062760001</v>
      </c>
      <c r="AH1453">
        <v>17.5047731776591</v>
      </c>
      <c r="AI1453">
        <v>93.62061004233</v>
      </c>
      <c r="AJ1453">
        <v>93.6024520839226</v>
      </c>
      <c r="AK1453">
        <v>17.574507744918801</v>
      </c>
      <c r="AL1453">
        <v>81.149122769376604</v>
      </c>
      <c r="AM1453">
        <v>90.144817328780505</v>
      </c>
      <c r="AN1453">
        <v>1.0000000121047199</v>
      </c>
    </row>
    <row r="1454" spans="1:40" x14ac:dyDescent="0.25">
      <c r="A1454" t="str">
        <f>"20190312164249827"</f>
        <v>20190312164249827</v>
      </c>
      <c r="B1454" t="str">
        <f>"1552380169815300"</f>
        <v>1552380169815300</v>
      </c>
      <c r="C1454" t="s">
        <v>40</v>
      </c>
      <c r="D1454">
        <v>4.7985290000000003</v>
      </c>
      <c r="E1454">
        <v>0.48077009999999998</v>
      </c>
      <c r="F1454" t="s">
        <v>46</v>
      </c>
      <c r="G1454">
        <v>-255.71090000000001</v>
      </c>
      <c r="H1454" s="1">
        <v>1.502269E-6</v>
      </c>
      <c r="I1454">
        <v>282.81939999999997</v>
      </c>
      <c r="J1454">
        <v>-238.02610000000001</v>
      </c>
      <c r="K1454">
        <v>1.1098220000000001</v>
      </c>
      <c r="L1454">
        <v>283.49869999999999</v>
      </c>
      <c r="M1454">
        <v>-0.99964660000000005</v>
      </c>
      <c r="N1454">
        <v>0</v>
      </c>
      <c r="O1454">
        <v>2.555398E-2</v>
      </c>
      <c r="P1454">
        <v>-0.98899150000000002</v>
      </c>
      <c r="Q1454">
        <v>0.14636879999999999</v>
      </c>
      <c r="R1454">
        <v>2.1732959999999999E-2</v>
      </c>
      <c r="S1454">
        <v>-3.0642849999999999</v>
      </c>
      <c r="T1454">
        <v>-0.18905</v>
      </c>
      <c r="U1454">
        <v>-0.1144104</v>
      </c>
      <c r="V1454">
        <v>-3.6160989999999998E-3</v>
      </c>
      <c r="W1454">
        <v>0.15362960000000001</v>
      </c>
      <c r="X1454">
        <v>0.9881219</v>
      </c>
      <c r="Y1454">
        <v>-6.2667879999999995E-2</v>
      </c>
      <c r="Z1454">
        <v>-3.5052289999999999E-3</v>
      </c>
      <c r="AA1454">
        <v>0.99802829999999998</v>
      </c>
      <c r="AB1454">
        <v>31</v>
      </c>
      <c r="AC1454">
        <v>-17.6847999999999</v>
      </c>
      <c r="AD1454">
        <v>-1.10982049773099</v>
      </c>
      <c r="AE1454">
        <v>-0.67930000000001201</v>
      </c>
      <c r="AF1454">
        <v>-1.12657708639607</v>
      </c>
      <c r="AG1454">
        <v>-1.10982049773099</v>
      </c>
      <c r="AH1454">
        <v>17.592483496569301</v>
      </c>
      <c r="AI1454">
        <v>93.602357263374898</v>
      </c>
      <c r="AJ1454">
        <v>93.664070287169807</v>
      </c>
      <c r="AK1454">
        <v>17.663418498293002</v>
      </c>
      <c r="AL1454">
        <v>81.162673890193005</v>
      </c>
      <c r="AM1454">
        <v>90.209676848671293</v>
      </c>
      <c r="AN1454">
        <v>1.0000000097138699</v>
      </c>
    </row>
    <row r="1455" spans="1:40" x14ac:dyDescent="0.25">
      <c r="A1455" t="str">
        <f>"20190312164249848"</f>
        <v>20190312164249848</v>
      </c>
      <c r="B1455" t="str">
        <f>"1552380169835441"</f>
        <v>1552380169835441</v>
      </c>
      <c r="C1455" t="s">
        <v>40</v>
      </c>
      <c r="D1455">
        <v>4.6889450000000004</v>
      </c>
      <c r="E1455">
        <v>0.4807012</v>
      </c>
      <c r="F1455" t="s">
        <v>46</v>
      </c>
      <c r="G1455">
        <v>-256.053</v>
      </c>
      <c r="H1455" s="1">
        <v>1.684342E-6</v>
      </c>
      <c r="I1455">
        <v>282.79469999999998</v>
      </c>
      <c r="J1455">
        <v>-238.32470000000001</v>
      </c>
      <c r="K1455">
        <v>1.109815</v>
      </c>
      <c r="L1455">
        <v>283.5061</v>
      </c>
      <c r="M1455">
        <v>-0.99965269999999995</v>
      </c>
      <c r="N1455">
        <v>0</v>
      </c>
      <c r="O1455">
        <v>2.531487E-2</v>
      </c>
      <c r="P1455">
        <v>-0.98901510000000004</v>
      </c>
      <c r="Q1455">
        <v>0.14632100000000001</v>
      </c>
      <c r="R1455">
        <v>2.096429E-2</v>
      </c>
      <c r="S1455">
        <v>-3.0639340000000002</v>
      </c>
      <c r="T1455">
        <v>-0.18862989999999999</v>
      </c>
      <c r="U1455">
        <v>-0.1196594</v>
      </c>
      <c r="V1455">
        <v>-4.1495050000000004E-3</v>
      </c>
      <c r="W1455">
        <v>0.15356979999999901</v>
      </c>
      <c r="X1455">
        <v>0.98812909999999998</v>
      </c>
      <c r="Y1455">
        <v>-6.4139050000000003E-2</v>
      </c>
      <c r="Z1455">
        <v>-3.5282740000000001E-3</v>
      </c>
      <c r="AA1455">
        <v>0.99793480000000001</v>
      </c>
      <c r="AB1455">
        <v>31</v>
      </c>
      <c r="AC1455">
        <v>-17.728299999999901</v>
      </c>
      <c r="AD1455">
        <v>-1.1098133156579999</v>
      </c>
      <c r="AE1455">
        <v>-0.71140000000002501</v>
      </c>
      <c r="AF1455">
        <v>-1.1554528096898899</v>
      </c>
      <c r="AG1455">
        <v>-1.1098133156579999</v>
      </c>
      <c r="AH1455">
        <v>17.635607467202899</v>
      </c>
      <c r="AI1455">
        <v>93.593206074214507</v>
      </c>
      <c r="AJ1455">
        <v>93.748557288960995</v>
      </c>
      <c r="AK1455">
        <v>17.708229937752002</v>
      </c>
      <c r="AL1455">
        <v>81.166141328418206</v>
      </c>
      <c r="AM1455">
        <v>90.240603911014901</v>
      </c>
      <c r="AN1455">
        <v>1.0000000100652899</v>
      </c>
    </row>
    <row r="1456" spans="1:40" x14ac:dyDescent="0.25">
      <c r="A1456" t="str">
        <f>"20190312164249870"</f>
        <v>20190312164249870</v>
      </c>
      <c r="B1456" t="str">
        <f>"1552380169865685"</f>
        <v>1552380169865685</v>
      </c>
      <c r="C1456" t="s">
        <v>40</v>
      </c>
      <c r="D1456">
        <v>4.4125180000000004</v>
      </c>
      <c r="E1456">
        <v>0.4805584</v>
      </c>
      <c r="F1456" t="s">
        <v>46</v>
      </c>
      <c r="G1456">
        <v>-256.57709999999997</v>
      </c>
      <c r="H1456" s="1">
        <v>1.9632239999999999E-6</v>
      </c>
      <c r="I1456">
        <v>282.77589999999998</v>
      </c>
      <c r="J1456">
        <v>-238.6294</v>
      </c>
      <c r="K1456">
        <v>1.10981</v>
      </c>
      <c r="L1456">
        <v>283.5136</v>
      </c>
      <c r="M1456">
        <v>-0.99965899999999996</v>
      </c>
      <c r="N1456">
        <v>0</v>
      </c>
      <c r="O1456">
        <v>2.5069879999999999E-2</v>
      </c>
      <c r="P1456">
        <v>-0.98898269999999999</v>
      </c>
      <c r="Q1456">
        <v>0.1467453</v>
      </c>
      <c r="R1456">
        <v>1.947057E-2</v>
      </c>
      <c r="S1456">
        <v>-3.0634769999999998</v>
      </c>
      <c r="T1456">
        <v>-0.18627050000000001</v>
      </c>
      <c r="U1456">
        <v>-0.1225586</v>
      </c>
      <c r="V1456">
        <v>-5.4001269999999898E-3</v>
      </c>
      <c r="W1456">
        <v>0.15397820000000001</v>
      </c>
      <c r="X1456">
        <v>0.98805949999999998</v>
      </c>
      <c r="Y1456">
        <v>-6.4846520000000005E-2</v>
      </c>
      <c r="Z1456">
        <v>-3.4912860000000001E-3</v>
      </c>
      <c r="AA1456">
        <v>0.99788920000000003</v>
      </c>
      <c r="AB1456">
        <v>31</v>
      </c>
      <c r="AC1456">
        <v>-17.947699999999902</v>
      </c>
      <c r="AD1456">
        <v>-1.1098080367759999</v>
      </c>
      <c r="AE1456">
        <v>-0.73770000000001701</v>
      </c>
      <c r="AF1456">
        <v>-1.18291141460719</v>
      </c>
      <c r="AG1456">
        <v>-1.1098080367759999</v>
      </c>
      <c r="AH1456">
        <v>17.855406537029999</v>
      </c>
      <c r="AI1456">
        <v>93.548901006700504</v>
      </c>
      <c r="AJ1456">
        <v>93.790276959287596</v>
      </c>
      <c r="AK1456">
        <v>17.928929022557799</v>
      </c>
      <c r="AL1456">
        <v>81.142460081047005</v>
      </c>
      <c r="AM1456">
        <v>90.313140458956298</v>
      </c>
      <c r="AN1456">
        <v>1.0000000114935499</v>
      </c>
    </row>
    <row r="1457" spans="1:40" x14ac:dyDescent="0.25">
      <c r="A1457" t="str">
        <f>"20190312164249893"</f>
        <v>20190312164249893</v>
      </c>
      <c r="B1457" t="str">
        <f>"1552380169885205"</f>
        <v>1552380169885205</v>
      </c>
      <c r="C1457" t="s">
        <v>40</v>
      </c>
      <c r="D1457">
        <v>4.403276</v>
      </c>
      <c r="E1457">
        <v>0.48038259999999999</v>
      </c>
      <c r="F1457" t="s">
        <v>46</v>
      </c>
      <c r="G1457">
        <v>-257.25900000000001</v>
      </c>
      <c r="H1457" s="1">
        <v>2.3260970000000002E-6</v>
      </c>
      <c r="I1457">
        <v>282.73239999999998</v>
      </c>
      <c r="J1457">
        <v>-238.94919999999999</v>
      </c>
      <c r="K1457">
        <v>1.109802</v>
      </c>
      <c r="L1457">
        <v>283.52140000000003</v>
      </c>
      <c r="M1457">
        <v>-0.99966560000000004</v>
      </c>
      <c r="N1457">
        <v>0</v>
      </c>
      <c r="O1457">
        <v>2.4811739999999999E-2</v>
      </c>
      <c r="P1457">
        <v>-0.98899749999999997</v>
      </c>
      <c r="Q1457">
        <v>0.1467977</v>
      </c>
      <c r="R1457">
        <v>1.8304549999999999E-2</v>
      </c>
      <c r="S1457">
        <v>-3.063034</v>
      </c>
      <c r="T1457">
        <v>-0.1824721</v>
      </c>
      <c r="U1457">
        <v>-0.12844849999999999</v>
      </c>
      <c r="V1457">
        <v>-6.3117549999999996E-3</v>
      </c>
      <c r="W1457">
        <v>0.15401119999999999</v>
      </c>
      <c r="X1457">
        <v>0.98804890000000001</v>
      </c>
      <c r="Y1457">
        <v>-6.6514279999999995E-2</v>
      </c>
      <c r="Z1457">
        <v>-3.454838E-3</v>
      </c>
      <c r="AA1457">
        <v>0.99777950000000004</v>
      </c>
      <c r="AB1457">
        <v>31</v>
      </c>
      <c r="AC1457">
        <v>-18.309799999999999</v>
      </c>
      <c r="AD1457">
        <v>-1.1097996739030001</v>
      </c>
      <c r="AE1457">
        <v>-0.789000000000044</v>
      </c>
      <c r="AF1457">
        <v>-1.2385254090422599</v>
      </c>
      <c r="AG1457">
        <v>-1.1097996739030001</v>
      </c>
      <c r="AH1457">
        <v>18.217780459755701</v>
      </c>
      <c r="AI1457">
        <v>93.478055746640905</v>
      </c>
      <c r="AJ1457">
        <v>93.889236378277204</v>
      </c>
      <c r="AK1457">
        <v>18.2935268711338</v>
      </c>
      <c r="AL1457">
        <v>81.140546020151504</v>
      </c>
      <c r="AM1457">
        <v>90.366006180196393</v>
      </c>
      <c r="AN1457">
        <v>0.99999995838391398</v>
      </c>
    </row>
    <row r="1458" spans="1:40" x14ac:dyDescent="0.25">
      <c r="A1458" t="str">
        <f>"20190312164249918"</f>
        <v>20190312164249918</v>
      </c>
      <c r="B1458" t="str">
        <f>"1552380169905701"</f>
        <v>1552380169905701</v>
      </c>
      <c r="C1458" t="s">
        <v>40</v>
      </c>
      <c r="D1458">
        <v>4.3766780000000001</v>
      </c>
      <c r="E1458">
        <v>0.48006490000000002</v>
      </c>
      <c r="F1458" t="s">
        <v>46</v>
      </c>
      <c r="G1458">
        <v>-257.54199999999997</v>
      </c>
      <c r="H1458" s="1">
        <v>2.4766979999999999E-6</v>
      </c>
      <c r="I1458">
        <v>282.71199999999999</v>
      </c>
      <c r="J1458">
        <v>-239.28749999999999</v>
      </c>
      <c r="K1458">
        <v>1.109796</v>
      </c>
      <c r="L1458">
        <v>283.52940000000001</v>
      </c>
      <c r="M1458">
        <v>-0.99967260000000002</v>
      </c>
      <c r="N1458">
        <v>0</v>
      </c>
      <c r="O1458">
        <v>2.453847E-2</v>
      </c>
      <c r="P1458">
        <v>-0.9890198</v>
      </c>
      <c r="Q1458">
        <v>0.14676700000000001</v>
      </c>
      <c r="R1458">
        <v>1.731833E-2</v>
      </c>
      <c r="S1458">
        <v>-3.0630039999999998</v>
      </c>
      <c r="T1458">
        <v>-0.18282989999999999</v>
      </c>
      <c r="U1458">
        <v>-0.13333130000000001</v>
      </c>
      <c r="V1458">
        <v>-7.027943E-3</v>
      </c>
      <c r="W1458">
        <v>0.15395799999999901</v>
      </c>
      <c r="X1458">
        <v>0.98805240000000005</v>
      </c>
      <c r="Y1458">
        <v>-6.7827090000000007E-2</v>
      </c>
      <c r="Z1458">
        <v>-3.4843610000000001E-3</v>
      </c>
      <c r="AA1458">
        <v>0.99769099999999999</v>
      </c>
      <c r="AB1458">
        <v>31</v>
      </c>
      <c r="AC1458">
        <v>-18.2545</v>
      </c>
      <c r="AD1458">
        <v>-1.109793523302</v>
      </c>
      <c r="AE1458">
        <v>-0.81740000000002</v>
      </c>
      <c r="AF1458">
        <v>-1.2604536801634001</v>
      </c>
      <c r="AG1458">
        <v>-1.109793523302</v>
      </c>
      <c r="AH1458">
        <v>18.161950583127101</v>
      </c>
      <c r="AI1458">
        <v>93.488364661692202</v>
      </c>
      <c r="AJ1458">
        <v>93.970006602037301</v>
      </c>
      <c r="AK1458">
        <v>18.239430751209099</v>
      </c>
      <c r="AL1458">
        <v>81.143631333376007</v>
      </c>
      <c r="AM1458">
        <v>90.407533731898894</v>
      </c>
      <c r="AN1458">
        <v>1.00000000144628</v>
      </c>
    </row>
    <row r="1459" spans="1:40" x14ac:dyDescent="0.25">
      <c r="A1459" t="str">
        <f>"20190312164249940"</f>
        <v>20190312164249940</v>
      </c>
      <c r="B1459" t="str">
        <f>"1552380169935698"</f>
        <v>1552380169935698</v>
      </c>
      <c r="C1459" t="s">
        <v>40</v>
      </c>
      <c r="D1459">
        <v>4.3157540000000001</v>
      </c>
      <c r="E1459">
        <v>0.47946</v>
      </c>
      <c r="F1459" t="s">
        <v>46</v>
      </c>
      <c r="G1459">
        <v>-257.8965</v>
      </c>
      <c r="H1459" s="1">
        <v>2.6653620000000001E-6</v>
      </c>
      <c r="I1459">
        <v>282.6825</v>
      </c>
      <c r="J1459">
        <v>-239.60300000000001</v>
      </c>
      <c r="K1459">
        <v>1.1097859999999999</v>
      </c>
      <c r="L1459">
        <v>283.53699999999998</v>
      </c>
      <c r="M1459">
        <v>-0.99967890000000004</v>
      </c>
      <c r="N1459">
        <v>0</v>
      </c>
      <c r="O1459">
        <v>2.428292E-2</v>
      </c>
      <c r="P1459">
        <v>-0.98906490000000002</v>
      </c>
      <c r="Q1459">
        <v>0.146571799999999</v>
      </c>
      <c r="R1459">
        <v>1.6356309999999999E-2</v>
      </c>
      <c r="S1459">
        <v>-3.0628510000000002</v>
      </c>
      <c r="T1459">
        <v>-0.18265989999999999</v>
      </c>
      <c r="U1459">
        <v>-0.13940429999999901</v>
      </c>
      <c r="V1459">
        <v>-7.7382199999999996E-3</v>
      </c>
      <c r="W1459">
        <v>0.15373800000000001</v>
      </c>
      <c r="X1459">
        <v>0.98808130000000005</v>
      </c>
      <c r="Y1459">
        <v>-6.9546120000000003E-2</v>
      </c>
      <c r="Z1459">
        <v>-3.517123E-3</v>
      </c>
      <c r="AA1459">
        <v>0.99757249999999997</v>
      </c>
      <c r="AB1459">
        <v>31</v>
      </c>
      <c r="AC1459">
        <v>-18.293500000000002</v>
      </c>
      <c r="AD1459">
        <v>-1.1097833346379999</v>
      </c>
      <c r="AE1459">
        <v>-0.85450000000003001</v>
      </c>
      <c r="AF1459">
        <v>-1.2937283238639801</v>
      </c>
      <c r="AG1459">
        <v>-1.1097833346379999</v>
      </c>
      <c r="AH1459">
        <v>18.200517680972499</v>
      </c>
      <c r="AI1459">
        <v>93.480551085675799</v>
      </c>
      <c r="AJ1459">
        <v>94.065857274021297</v>
      </c>
      <c r="AK1459">
        <v>18.28015852998</v>
      </c>
      <c r="AL1459">
        <v>81.156387859895204</v>
      </c>
      <c r="AM1459">
        <v>90.4487062783939</v>
      </c>
      <c r="AN1459">
        <v>0.99999995405122799</v>
      </c>
    </row>
    <row r="1460" spans="1:40" x14ac:dyDescent="0.25">
      <c r="A1460" t="str">
        <f>"20190312164249961"</f>
        <v>20190312164249961</v>
      </c>
      <c r="B1460" t="str">
        <f>"1552380169955209"</f>
        <v>1552380169955209</v>
      </c>
      <c r="C1460" t="s">
        <v>40</v>
      </c>
      <c r="D1460">
        <v>4.3129369999999998</v>
      </c>
      <c r="E1460">
        <v>0.47892709999999999</v>
      </c>
      <c r="F1460" t="s">
        <v>46</v>
      </c>
      <c r="G1460">
        <v>-258.3528</v>
      </c>
      <c r="H1460" s="1">
        <v>2.9081550000000002E-6</v>
      </c>
      <c r="I1460">
        <v>282.637</v>
      </c>
      <c r="J1460">
        <v>-239.8914</v>
      </c>
      <c r="K1460">
        <v>1.109777</v>
      </c>
      <c r="L1460">
        <v>283.5437</v>
      </c>
      <c r="M1460">
        <v>-0.99968480000000004</v>
      </c>
      <c r="N1460">
        <v>0</v>
      </c>
      <c r="O1460">
        <v>2.4049729999999998E-2</v>
      </c>
      <c r="P1460">
        <v>-0.98903540000000001</v>
      </c>
      <c r="Q1460">
        <v>0.14683650000000001</v>
      </c>
      <c r="R1460">
        <v>1.575934E-2</v>
      </c>
      <c r="S1460">
        <v>-3.0624539999999998</v>
      </c>
      <c r="T1460">
        <v>-0.18126429999999999</v>
      </c>
      <c r="U1460">
        <v>-0.1470032</v>
      </c>
      <c r="V1460">
        <v>-8.1040039999999997E-3</v>
      </c>
      <c r="W1460">
        <v>0.153974</v>
      </c>
      <c r="X1460">
        <v>0.98804159999999996</v>
      </c>
      <c r="Y1460">
        <v>-7.1787980000000001E-2</v>
      </c>
      <c r="Z1460">
        <v>-3.543025E-3</v>
      </c>
      <c r="AA1460">
        <v>0.99741360000000001</v>
      </c>
      <c r="AB1460">
        <v>31</v>
      </c>
      <c r="AC1460">
        <v>-18.461400000000001</v>
      </c>
      <c r="AD1460">
        <v>-1.1097740918449901</v>
      </c>
      <c r="AE1460">
        <v>-0.90669999999999995</v>
      </c>
      <c r="AF1460">
        <v>-1.3455902231635699</v>
      </c>
      <c r="AG1460">
        <v>-1.1097740918449901</v>
      </c>
      <c r="AH1460">
        <v>18.368038555563</v>
      </c>
      <c r="AI1460">
        <v>93.448318687663701</v>
      </c>
      <c r="AJ1460">
        <v>94.189841338560797</v>
      </c>
      <c r="AK1460">
        <v>18.4506653528335</v>
      </c>
      <c r="AL1460">
        <v>81.142702948702507</v>
      </c>
      <c r="AM1460">
        <v>90.469934478873199</v>
      </c>
      <c r="AN1460">
        <v>0.99999993544369303</v>
      </c>
    </row>
    <row r="1461" spans="1:40" x14ac:dyDescent="0.25">
      <c r="A1461" t="str">
        <f>"20190312164249983"</f>
        <v>20190312164249983</v>
      </c>
      <c r="B1461" t="str">
        <f>"1552380169975705"</f>
        <v>1552380169975705</v>
      </c>
      <c r="C1461" t="s">
        <v>40</v>
      </c>
      <c r="D1461">
        <v>4.3330830000000002</v>
      </c>
      <c r="E1461">
        <v>0.47850910000000002</v>
      </c>
      <c r="F1461" t="s">
        <v>46</v>
      </c>
      <c r="G1461">
        <v>-258.70690000000002</v>
      </c>
      <c r="H1461" s="1">
        <v>3.0965989999999999E-6</v>
      </c>
      <c r="I1461">
        <v>282.60379999999998</v>
      </c>
      <c r="J1461">
        <v>-240.20140000000001</v>
      </c>
      <c r="K1461">
        <v>1.109777</v>
      </c>
      <c r="L1461">
        <v>283.55099999999999</v>
      </c>
      <c r="M1461">
        <v>-0.99969090000000005</v>
      </c>
      <c r="N1461">
        <v>0</v>
      </c>
      <c r="O1461">
        <v>2.3799710000000002E-2</v>
      </c>
      <c r="P1461">
        <v>-0.98898280000000005</v>
      </c>
      <c r="Q1461">
        <v>0.14722839999999901</v>
      </c>
      <c r="R1461">
        <v>1.5379769999999999E-2</v>
      </c>
      <c r="S1461">
        <v>-3.0625309999999999</v>
      </c>
      <c r="T1461">
        <v>-0.18063409999999999</v>
      </c>
      <c r="U1461">
        <v>-0.1529846</v>
      </c>
      <c r="V1461">
        <v>-8.2359300000000007E-3</v>
      </c>
      <c r="W1461">
        <v>0.1543283</v>
      </c>
      <c r="X1461">
        <v>0.98798529999999996</v>
      </c>
      <c r="Y1461">
        <v>-7.3479310000000006E-2</v>
      </c>
      <c r="Z1461">
        <v>-3.5655600000000002E-3</v>
      </c>
      <c r="AA1461">
        <v>0.99729040000000002</v>
      </c>
      <c r="AB1461">
        <v>31</v>
      </c>
      <c r="AC1461">
        <v>-18.505500000000001</v>
      </c>
      <c r="AD1461">
        <v>-1.1097739034009999</v>
      </c>
      <c r="AE1461">
        <v>-0.94720000000000903</v>
      </c>
      <c r="AF1461">
        <v>-1.38240990208815</v>
      </c>
      <c r="AG1461">
        <v>-1.1097739034009999</v>
      </c>
      <c r="AH1461">
        <v>18.411671701237001</v>
      </c>
      <c r="AI1461">
        <v>93.439703436822001</v>
      </c>
      <c r="AJ1461">
        <v>94.293901916630602</v>
      </c>
      <c r="AK1461">
        <v>18.496818918078599</v>
      </c>
      <c r="AL1461">
        <v>81.122158090645499</v>
      </c>
      <c r="AM1461">
        <v>90.477611457744402</v>
      </c>
      <c r="AN1461">
        <v>1.0000000038699699</v>
      </c>
    </row>
    <row r="1462" spans="1:40" x14ac:dyDescent="0.25">
      <c r="A1462" t="str">
        <f>"20190312164250004"</f>
        <v>20190312164250004</v>
      </c>
      <c r="B1462" t="str">
        <f>"1552380169995225"</f>
        <v>1552380169995225</v>
      </c>
      <c r="C1462" t="s">
        <v>40</v>
      </c>
      <c r="D1462">
        <v>4.4555879999999997</v>
      </c>
      <c r="E1462">
        <v>0.4782554</v>
      </c>
      <c r="F1462" t="s">
        <v>46</v>
      </c>
      <c r="G1462">
        <v>-259.07409999999999</v>
      </c>
      <c r="H1462" s="1">
        <v>3.2919880000000001E-6</v>
      </c>
      <c r="I1462">
        <v>282.57650000000001</v>
      </c>
      <c r="J1462">
        <v>-240.51329999999999</v>
      </c>
      <c r="K1462">
        <v>1.1097649999999999</v>
      </c>
      <c r="L1462">
        <v>283.5582</v>
      </c>
      <c r="M1462">
        <v>-0.99969730000000001</v>
      </c>
      <c r="N1462">
        <v>0</v>
      </c>
      <c r="O1462">
        <v>2.3548159999999999E-2</v>
      </c>
      <c r="P1462">
        <v>-0.9890137</v>
      </c>
      <c r="Q1462">
        <v>0.1470958</v>
      </c>
      <c r="R1462">
        <v>1.4666790000000001E-2</v>
      </c>
      <c r="S1462">
        <v>-3.0626980000000001</v>
      </c>
      <c r="T1462">
        <v>-0.18009649999999999</v>
      </c>
      <c r="U1462">
        <v>-0.15814210000000001</v>
      </c>
      <c r="V1462">
        <v>-8.7006870000000004E-3</v>
      </c>
      <c r="W1462">
        <v>0.1541517</v>
      </c>
      <c r="X1462">
        <v>0.98800889999999997</v>
      </c>
      <c r="Y1462">
        <v>-7.4899670000000002E-2</v>
      </c>
      <c r="Z1462">
        <v>-3.581552E-3</v>
      </c>
      <c r="AA1462">
        <v>0.99718459999999998</v>
      </c>
      <c r="AB1462">
        <v>31</v>
      </c>
      <c r="AC1462">
        <v>-18.5608</v>
      </c>
      <c r="AD1462">
        <v>-1.1097617080119999</v>
      </c>
      <c r="AE1462">
        <v>-0.98169999999998903</v>
      </c>
      <c r="AF1462">
        <v>-1.4134726004785001</v>
      </c>
      <c r="AG1462">
        <v>-1.1097617080119999</v>
      </c>
      <c r="AH1462">
        <v>18.466702297948501</v>
      </c>
      <c r="AI1462">
        <v>93.429063983620495</v>
      </c>
      <c r="AJ1462">
        <v>94.3769813951847</v>
      </c>
      <c r="AK1462">
        <v>18.553936768296101</v>
      </c>
      <c r="AL1462">
        <v>81.132399196972997</v>
      </c>
      <c r="AM1462">
        <v>90.504549865801806</v>
      </c>
      <c r="AN1462">
        <v>1.00000001752318</v>
      </c>
    </row>
    <row r="1463" spans="1:40" x14ac:dyDescent="0.25">
      <c r="A1463" t="str">
        <f>"20190312164250027"</f>
        <v>20190312164250027</v>
      </c>
      <c r="B1463" t="str">
        <f>"1552380170015721"</f>
        <v>1552380170015721</v>
      </c>
      <c r="C1463" t="s">
        <v>40</v>
      </c>
      <c r="D1463">
        <v>4.457198</v>
      </c>
      <c r="E1463">
        <v>0.47810059999999899</v>
      </c>
      <c r="F1463" t="s">
        <v>46</v>
      </c>
      <c r="G1463">
        <v>-259.32619999999997</v>
      </c>
      <c r="H1463" s="1">
        <v>3.426133E-6</v>
      </c>
      <c r="I1463">
        <v>282.55709999999999</v>
      </c>
      <c r="J1463">
        <v>-240.82919999999999</v>
      </c>
      <c r="K1463">
        <v>1.1097539999999999</v>
      </c>
      <c r="L1463">
        <v>283.56540000000001</v>
      </c>
      <c r="M1463">
        <v>-0.99970349999999997</v>
      </c>
      <c r="N1463">
        <v>0</v>
      </c>
      <c r="O1463">
        <v>2.3294240000000001E-2</v>
      </c>
      <c r="P1463">
        <v>-0.98903450000000004</v>
      </c>
      <c r="Q1463">
        <v>0.1469587</v>
      </c>
      <c r="R1463">
        <v>1.4629720000000001E-2</v>
      </c>
      <c r="S1463">
        <v>-3.0626069999999999</v>
      </c>
      <c r="T1463">
        <v>-0.18066170000000001</v>
      </c>
      <c r="U1463">
        <v>-0.16296389999999999</v>
      </c>
      <c r="V1463">
        <v>-8.4875130000000003E-3</v>
      </c>
      <c r="W1463">
        <v>0.15396840000000001</v>
      </c>
      <c r="X1463">
        <v>0.98803929999999995</v>
      </c>
      <c r="Y1463">
        <v>-7.6210630000000001E-2</v>
      </c>
      <c r="Z1463">
        <v>-3.616387E-3</v>
      </c>
      <c r="AA1463">
        <v>0.9970852</v>
      </c>
      <c r="AB1463">
        <v>32</v>
      </c>
      <c r="AC1463">
        <v>-18.4969999999999</v>
      </c>
      <c r="AD1463">
        <v>-1.1097505738669999</v>
      </c>
      <c r="AE1463">
        <v>-1.00830000000001</v>
      </c>
      <c r="AF1463">
        <v>-1.4337651599615999</v>
      </c>
      <c r="AG1463">
        <v>-1.1097505738669999</v>
      </c>
      <c r="AH1463">
        <v>18.402448183669499</v>
      </c>
      <c r="AI1463">
        <v>93.440612767277699</v>
      </c>
      <c r="AJ1463">
        <v>94.455009142095903</v>
      </c>
      <c r="AK1463">
        <v>18.491547475069801</v>
      </c>
      <c r="AL1463">
        <v>81.143028094908203</v>
      </c>
      <c r="AM1463">
        <v>90.492173451252</v>
      </c>
      <c r="AN1463">
        <v>0.99999998220998698</v>
      </c>
    </row>
    <row r="1464" spans="1:40" x14ac:dyDescent="0.25">
      <c r="A1464" t="str">
        <f>"20190312164250048"</f>
        <v>20190312164250048</v>
      </c>
      <c r="B1464" t="str">
        <f>"1552380170045758"</f>
        <v>1552380170045758</v>
      </c>
      <c r="C1464" t="s">
        <v>40</v>
      </c>
      <c r="D1464">
        <v>4.3451500000000003</v>
      </c>
      <c r="E1464">
        <v>0.47763679999999997</v>
      </c>
      <c r="F1464" t="s">
        <v>46</v>
      </c>
      <c r="G1464">
        <v>-259.6345</v>
      </c>
      <c r="H1464" s="1">
        <v>3.5901889999999999E-6</v>
      </c>
      <c r="I1464">
        <v>282.5557</v>
      </c>
      <c r="J1464">
        <v>-241.13079999999999</v>
      </c>
      <c r="K1464">
        <v>1.1097459999999999</v>
      </c>
      <c r="L1464">
        <v>283.57209999999998</v>
      </c>
      <c r="M1464">
        <v>-0.99970959999999998</v>
      </c>
      <c r="N1464">
        <v>0</v>
      </c>
      <c r="O1464">
        <v>2.3051640000000002E-2</v>
      </c>
      <c r="P1464">
        <v>-0.98897210000000002</v>
      </c>
      <c r="Q1464">
        <v>0.14736479999999999</v>
      </c>
      <c r="R1464">
        <v>1.4777800000000001E-2</v>
      </c>
      <c r="S1464">
        <v>-3.0625309999999999</v>
      </c>
      <c r="T1464">
        <v>-0.18072869999999999</v>
      </c>
      <c r="U1464">
        <v>-0.16442870000000001</v>
      </c>
      <c r="V1464">
        <v>-8.0983679999999999E-3</v>
      </c>
      <c r="W1464">
        <v>0.1543283</v>
      </c>
      <c r="X1464">
        <v>0.98798640000000004</v>
      </c>
      <c r="Y1464">
        <v>-7.6445410000000005E-2</v>
      </c>
      <c r="Z1464">
        <v>-3.6103910000000001E-3</v>
      </c>
      <c r="AA1464">
        <v>0.99706719999999904</v>
      </c>
      <c r="AB1464">
        <v>32</v>
      </c>
      <c r="AC1464">
        <v>-18.503699999999998</v>
      </c>
      <c r="AD1464">
        <v>-1.10974240981099</v>
      </c>
      <c r="AE1464">
        <v>-1.01639999999997</v>
      </c>
      <c r="AF1464">
        <v>-1.4375259888088101</v>
      </c>
      <c r="AG1464">
        <v>-1.10974240981099</v>
      </c>
      <c r="AH1464">
        <v>18.409335436759001</v>
      </c>
      <c r="AI1464">
        <v>93.439256835978398</v>
      </c>
      <c r="AJ1464">
        <v>94.464983307286602</v>
      </c>
      <c r="AK1464">
        <v>18.498692937819801</v>
      </c>
      <c r="AL1464">
        <v>81.1221577621519</v>
      </c>
      <c r="AM1464">
        <v>90.469633909873906</v>
      </c>
      <c r="AN1464">
        <v>0.99999996716505601</v>
      </c>
    </row>
    <row r="1465" spans="1:40" x14ac:dyDescent="0.25">
      <c r="A1465" t="str">
        <f>"20190312164250071"</f>
        <v>20190312164250071</v>
      </c>
      <c r="B1465" t="str">
        <f>"1552380170065278"</f>
        <v>1552380170065278</v>
      </c>
      <c r="C1465" t="s">
        <v>40</v>
      </c>
      <c r="D1465">
        <v>4.3277279999999996</v>
      </c>
      <c r="E1465">
        <v>0.47736879999999998</v>
      </c>
      <c r="F1465" t="s">
        <v>46</v>
      </c>
      <c r="G1465">
        <v>-260.09629999999999</v>
      </c>
      <c r="H1465" s="1">
        <v>-1.4855279999999999E-6</v>
      </c>
      <c r="I1465">
        <v>282.5324</v>
      </c>
      <c r="J1465">
        <v>-241.453</v>
      </c>
      <c r="K1465">
        <v>1.109737</v>
      </c>
      <c r="L1465">
        <v>283.57929999999999</v>
      </c>
      <c r="M1465">
        <v>-0.99971569999999998</v>
      </c>
      <c r="N1465">
        <v>0</v>
      </c>
      <c r="O1465">
        <v>2.279308E-2</v>
      </c>
      <c r="P1465">
        <v>-0.98902080000000003</v>
      </c>
      <c r="Q1465">
        <v>0.1470186</v>
      </c>
      <c r="R1465">
        <v>1.4949479999999999E-2</v>
      </c>
      <c r="S1465">
        <v>-3.0626679999999999</v>
      </c>
      <c r="T1465">
        <v>-0.17920899999999901</v>
      </c>
      <c r="U1465">
        <v>-0.16790769999999999</v>
      </c>
      <c r="V1465">
        <v>-7.6724879999999999E-3</v>
      </c>
      <c r="W1465">
        <v>0.1539354</v>
      </c>
      <c r="X1465">
        <v>0.98805109999999996</v>
      </c>
      <c r="Y1465">
        <v>-7.7316259999999998E-2</v>
      </c>
      <c r="Z1465">
        <v>-3.5901489999999999E-3</v>
      </c>
      <c r="AA1465">
        <v>0.9970002</v>
      </c>
      <c r="AB1465">
        <v>32</v>
      </c>
      <c r="AC1465">
        <v>-18.643299999999901</v>
      </c>
      <c r="AD1465">
        <v>-1.1097384855279999</v>
      </c>
      <c r="AE1465">
        <v>-1.0468999999999899</v>
      </c>
      <c r="AF1465">
        <v>-1.46639723774396</v>
      </c>
      <c r="AG1465">
        <v>-1.1097384855279999</v>
      </c>
      <c r="AH1465">
        <v>18.549077142982</v>
      </c>
      <c r="AI1465">
        <v>93.413138780687206</v>
      </c>
      <c r="AJ1465">
        <v>94.520116872290501</v>
      </c>
      <c r="AK1465">
        <v>18.640013498423901</v>
      </c>
      <c r="AL1465">
        <v>81.144941607207599</v>
      </c>
      <c r="AM1465">
        <v>90.444908512500703</v>
      </c>
      <c r="AN1465">
        <v>0.99999997532823903</v>
      </c>
    </row>
    <row r="1466" spans="1:40" x14ac:dyDescent="0.25">
      <c r="A1466" t="str">
        <f>"20190312164250093"</f>
        <v>20190312164250093</v>
      </c>
      <c r="B1466" t="str">
        <f>"1552380170085775"</f>
        <v>1552380170085775</v>
      </c>
      <c r="C1466" t="s">
        <v>40</v>
      </c>
      <c r="D1466">
        <v>4.3531899999999997</v>
      </c>
      <c r="E1466">
        <v>0.47719610000000001</v>
      </c>
      <c r="F1466" t="s">
        <v>46</v>
      </c>
      <c r="G1466">
        <v>-260.28629999999998</v>
      </c>
      <c r="H1466" s="1">
        <v>-1.384407E-6</v>
      </c>
      <c r="I1466">
        <v>282.53300000000002</v>
      </c>
      <c r="J1466">
        <v>-241.7764</v>
      </c>
      <c r="K1466">
        <v>1.1097269999999999</v>
      </c>
      <c r="L1466">
        <v>283.5865</v>
      </c>
      <c r="M1466">
        <v>-0.99972190000000005</v>
      </c>
      <c r="N1466">
        <v>0</v>
      </c>
      <c r="O1466">
        <v>2.2533359999999999E-2</v>
      </c>
      <c r="P1466">
        <v>-0.98897480000000004</v>
      </c>
      <c r="Q1466">
        <v>0.1472782</v>
      </c>
      <c r="R1466">
        <v>1.542927E-2</v>
      </c>
      <c r="S1466">
        <v>-3.0626980000000001</v>
      </c>
      <c r="T1466">
        <v>-0.1804664</v>
      </c>
      <c r="U1466">
        <v>-0.17016600000000001</v>
      </c>
      <c r="V1466">
        <v>-6.9358589999999999E-3</v>
      </c>
      <c r="W1466">
        <v>0.15415110000000001</v>
      </c>
      <c r="X1466">
        <v>0.98802290000000004</v>
      </c>
      <c r="Y1466">
        <v>-7.7786850000000005E-2</v>
      </c>
      <c r="Z1466">
        <v>-3.6137500000000002E-3</v>
      </c>
      <c r="AA1466">
        <v>0.99696340000000006</v>
      </c>
      <c r="AB1466">
        <v>32</v>
      </c>
      <c r="AC1466">
        <v>-18.509899999999899</v>
      </c>
      <c r="AD1466">
        <v>-1.1097283844069901</v>
      </c>
      <c r="AE1466">
        <v>-1.0534999999999799</v>
      </c>
      <c r="AF1466">
        <v>-1.4650837434010699</v>
      </c>
      <c r="AG1466">
        <v>-1.1097283844069901</v>
      </c>
      <c r="AH1466">
        <v>18.415481783719098</v>
      </c>
      <c r="AI1466">
        <v>93.437673322427202</v>
      </c>
      <c r="AJ1466">
        <v>94.548709831308997</v>
      </c>
      <c r="AK1466">
        <v>18.506969951583802</v>
      </c>
      <c r="AL1466">
        <v>81.132433470284099</v>
      </c>
      <c r="AM1466">
        <v>90.402206184058599</v>
      </c>
      <c r="AN1466">
        <v>0.99999995934784303</v>
      </c>
    </row>
    <row r="1467" spans="1:40" x14ac:dyDescent="0.25">
      <c r="A1467" t="str">
        <f>"20190312164250118"</f>
        <v>20190312164250118</v>
      </c>
      <c r="B1467" t="str">
        <f>"1552380170116030"</f>
        <v>1552380170116030</v>
      </c>
      <c r="C1467" t="s">
        <v>40</v>
      </c>
      <c r="D1467">
        <v>4.368328</v>
      </c>
      <c r="E1467">
        <v>0.47681600000000002</v>
      </c>
      <c r="F1467" t="s">
        <v>46</v>
      </c>
      <c r="G1467">
        <v>-260.69170000000003</v>
      </c>
      <c r="H1467" s="1">
        <v>-1.168678E-6</v>
      </c>
      <c r="I1467">
        <v>282.5369</v>
      </c>
      <c r="J1467">
        <v>-242.12540000000001</v>
      </c>
      <c r="K1467">
        <v>1.109715</v>
      </c>
      <c r="L1467">
        <v>283.59410000000003</v>
      </c>
      <c r="M1467">
        <v>-0.99972839999999996</v>
      </c>
      <c r="N1467">
        <v>0</v>
      </c>
      <c r="O1467">
        <v>2.2253499999999999E-2</v>
      </c>
      <c r="P1467">
        <v>-0.98899289999999995</v>
      </c>
      <c r="Q1467">
        <v>0.14712839999999999</v>
      </c>
      <c r="R1467">
        <v>1.569487E-2</v>
      </c>
      <c r="S1467">
        <v>-3.0628510000000002</v>
      </c>
      <c r="T1467">
        <v>-0.17969199999999999</v>
      </c>
      <c r="U1467">
        <v>-0.169952399999999</v>
      </c>
      <c r="V1467">
        <v>-6.3937880000000001E-3</v>
      </c>
      <c r="W1467">
        <v>0.1539566</v>
      </c>
      <c r="X1467">
        <v>0.98805690000000002</v>
      </c>
      <c r="Y1467">
        <v>-7.7438270000000003E-2</v>
      </c>
      <c r="Z1467">
        <v>-3.5714950000000001E-3</v>
      </c>
      <c r="AA1467">
        <v>0.99699070000000001</v>
      </c>
      <c r="AB1467">
        <v>32</v>
      </c>
      <c r="AC1467">
        <v>-18.566299999999998</v>
      </c>
      <c r="AD1467">
        <v>-1.1097161686779999</v>
      </c>
      <c r="AE1467">
        <v>-1.0572000000000199</v>
      </c>
      <c r="AF1467">
        <v>-1.46489679648966</v>
      </c>
      <c r="AG1467">
        <v>-1.1097161686779999</v>
      </c>
      <c r="AH1467">
        <v>18.472395578813899</v>
      </c>
      <c r="AI1467">
        <v>93.427138313922498</v>
      </c>
      <c r="AJ1467">
        <v>94.534177486111602</v>
      </c>
      <c r="AK1467">
        <v>18.563587773369001</v>
      </c>
      <c r="AL1467">
        <v>81.143712291964604</v>
      </c>
      <c r="AM1467">
        <v>90.370759977691193</v>
      </c>
      <c r="AN1467">
        <v>0.99999997642307903</v>
      </c>
    </row>
    <row r="1468" spans="1:40" x14ac:dyDescent="0.25">
      <c r="A1468" t="str">
        <f>"20190312164250140"</f>
        <v>20190312164250140</v>
      </c>
      <c r="B1468" t="str">
        <f>"1552380170135550"</f>
        <v>1552380170135550</v>
      </c>
      <c r="C1468" t="s">
        <v>40</v>
      </c>
      <c r="D1468">
        <v>4.4061979999999998</v>
      </c>
      <c r="E1468">
        <v>0.47664319999999999</v>
      </c>
      <c r="F1468" t="s">
        <v>46</v>
      </c>
      <c r="G1468">
        <v>-260.90699999999998</v>
      </c>
      <c r="H1468" s="1">
        <v>-1.0541209999999999E-6</v>
      </c>
      <c r="I1468">
        <v>282.54129999999998</v>
      </c>
      <c r="J1468">
        <v>-242.428</v>
      </c>
      <c r="K1468">
        <v>1.1097079999999999</v>
      </c>
      <c r="L1468">
        <v>283.60059999999999</v>
      </c>
      <c r="M1468">
        <v>-0.99973409999999996</v>
      </c>
      <c r="N1468">
        <v>0</v>
      </c>
      <c r="O1468">
        <v>2.2011220000000001E-2</v>
      </c>
      <c r="P1468">
        <v>-0.98902199999999996</v>
      </c>
      <c r="Q1468">
        <v>0.14690429999999999</v>
      </c>
      <c r="R1468">
        <v>1.5952129999999998E-2</v>
      </c>
      <c r="S1468">
        <v>-3.063034</v>
      </c>
      <c r="T1468">
        <v>-0.18098</v>
      </c>
      <c r="U1468">
        <v>-0.17169189999999901</v>
      </c>
      <c r="V1468">
        <v>-5.8979180000000003E-3</v>
      </c>
      <c r="W1468">
        <v>0.1536951</v>
      </c>
      <c r="X1468">
        <v>0.98810070000000005</v>
      </c>
      <c r="Y1468">
        <v>-7.7755229999999995E-2</v>
      </c>
      <c r="Z1468">
        <v>-3.5918349999999998E-3</v>
      </c>
      <c r="AA1468">
        <v>0.99696600000000002</v>
      </c>
      <c r="AB1468">
        <v>32</v>
      </c>
      <c r="AC1468">
        <v>-18.4789999999999</v>
      </c>
      <c r="AD1468">
        <v>-1.109709054121</v>
      </c>
      <c r="AE1468">
        <v>-1.0592999999999999</v>
      </c>
      <c r="AF1468">
        <v>-1.4605483683062199</v>
      </c>
      <c r="AG1468">
        <v>-1.109709054121</v>
      </c>
      <c r="AH1468">
        <v>18.385120710842699</v>
      </c>
      <c r="AI1468">
        <v>93.443308082131793</v>
      </c>
      <c r="AJ1468">
        <v>94.542144717248206</v>
      </c>
      <c r="AK1468">
        <v>18.476398980137301</v>
      </c>
      <c r="AL1468">
        <v>81.158875656145</v>
      </c>
      <c r="AM1468">
        <v>90.341991252672699</v>
      </c>
      <c r="AN1468">
        <v>0.99999998127061696</v>
      </c>
    </row>
    <row r="1469" spans="1:40" x14ac:dyDescent="0.25">
      <c r="A1469" t="str">
        <f>"20190312164250160"</f>
        <v>20190312164250160</v>
      </c>
      <c r="B1469" t="str">
        <f>"1552380170156046"</f>
        <v>1552380170156046</v>
      </c>
      <c r="C1469" t="s">
        <v>40</v>
      </c>
      <c r="D1469">
        <v>4.6051460000000004</v>
      </c>
      <c r="E1469">
        <v>0.47641729999999999</v>
      </c>
      <c r="F1469" t="s">
        <v>46</v>
      </c>
      <c r="G1469">
        <v>-261.01209999999998</v>
      </c>
      <c r="H1469" s="1">
        <v>-9.9818320000000008E-7</v>
      </c>
      <c r="I1469">
        <v>282.55689999999998</v>
      </c>
      <c r="J1469">
        <v>-242.73429999999999</v>
      </c>
      <c r="K1469">
        <v>1.109702</v>
      </c>
      <c r="L1469">
        <v>283.6071</v>
      </c>
      <c r="M1469">
        <v>-0.99973979999999996</v>
      </c>
      <c r="N1469">
        <v>0</v>
      </c>
      <c r="O1469">
        <v>2.17656E-2</v>
      </c>
      <c r="P1469">
        <v>-0.98900060000000001</v>
      </c>
      <c r="Q1469">
        <v>0.146998499999999</v>
      </c>
      <c r="R1469">
        <v>1.6417419999999999E-2</v>
      </c>
      <c r="S1469">
        <v>-3.0632169999999999</v>
      </c>
      <c r="T1469">
        <v>-0.18291270000000001</v>
      </c>
      <c r="U1469">
        <v>-0.1720276</v>
      </c>
      <c r="V1469">
        <v>-5.1897100000000002E-3</v>
      </c>
      <c r="W1469">
        <v>0.153754</v>
      </c>
      <c r="X1469">
        <v>0.98809550000000002</v>
      </c>
      <c r="Y1469">
        <v>-7.7612840000000002E-2</v>
      </c>
      <c r="Z1469">
        <v>-3.61101E-3</v>
      </c>
      <c r="AA1469">
        <v>0.996977</v>
      </c>
      <c r="AB1469">
        <v>32</v>
      </c>
      <c r="AC1469">
        <v>-18.2777999999999</v>
      </c>
      <c r="AD1469">
        <v>-1.1097029981831901</v>
      </c>
      <c r="AE1469">
        <v>-1.05020000000001</v>
      </c>
      <c r="AF1469">
        <v>-1.4424881072639399</v>
      </c>
      <c r="AG1469">
        <v>-1.1097029981831901</v>
      </c>
      <c r="AH1469">
        <v>18.183804498932499</v>
      </c>
      <c r="AI1469">
        <v>93.4813485220985</v>
      </c>
      <c r="AJ1469">
        <v>94.535671528837398</v>
      </c>
      <c r="AK1469">
        <v>18.2746534505903</v>
      </c>
      <c r="AL1469">
        <v>81.155460250991396</v>
      </c>
      <c r="AM1469">
        <v>90.300928144826202</v>
      </c>
      <c r="AN1469">
        <v>0.99999997136306595</v>
      </c>
    </row>
    <row r="1470" spans="1:40" x14ac:dyDescent="0.25">
      <c r="A1470" t="str">
        <f>"20190312164250184"</f>
        <v>20190312164250184</v>
      </c>
      <c r="B1470" t="str">
        <f>"1552380170175567"</f>
        <v>1552380170175567</v>
      </c>
      <c r="C1470" t="s">
        <v>40</v>
      </c>
      <c r="D1470">
        <v>4.3656649999999999</v>
      </c>
      <c r="E1470">
        <v>0.47621409999999997</v>
      </c>
      <c r="F1470" t="s">
        <v>46</v>
      </c>
      <c r="G1470">
        <v>-261.39879999999999</v>
      </c>
      <c r="H1470" s="1">
        <v>-7.9243309999999897E-7</v>
      </c>
      <c r="I1470">
        <v>282.55540000000002</v>
      </c>
      <c r="J1470">
        <v>-243.06780000000001</v>
      </c>
      <c r="K1470">
        <v>1.109702</v>
      </c>
      <c r="L1470">
        <v>283.61410000000001</v>
      </c>
      <c r="M1470">
        <v>-0.99974569999999996</v>
      </c>
      <c r="N1470">
        <v>0</v>
      </c>
      <c r="O1470">
        <v>2.149792E-2</v>
      </c>
      <c r="P1470">
        <v>-0.98891359999999995</v>
      </c>
      <c r="Q1470">
        <v>0.14754970000000001</v>
      </c>
      <c r="R1470">
        <v>1.6701939999999998E-2</v>
      </c>
      <c r="S1470">
        <v>-3.0633089999999998</v>
      </c>
      <c r="T1470">
        <v>-0.18212999999999999</v>
      </c>
      <c r="U1470">
        <v>-0.17260739999999999</v>
      </c>
      <c r="V1470">
        <v>-4.639486E-3</v>
      </c>
      <c r="W1470">
        <v>0.1542713</v>
      </c>
      <c r="X1470">
        <v>0.98801760000000005</v>
      </c>
      <c r="Y1470">
        <v>-7.7534469999999994E-2</v>
      </c>
      <c r="Z1470">
        <v>-3.577242E-3</v>
      </c>
      <c r="AA1470">
        <v>0.99698319999999996</v>
      </c>
      <c r="AB1470">
        <v>32</v>
      </c>
      <c r="AC1470">
        <v>-18.3309999999999</v>
      </c>
      <c r="AD1470">
        <v>-1.1097027924331</v>
      </c>
      <c r="AE1470">
        <v>-1.05869999999998</v>
      </c>
      <c r="AF1470">
        <v>-1.4472566642381199</v>
      </c>
      <c r="AG1470">
        <v>-1.1097027924331</v>
      </c>
      <c r="AH1470">
        <v>18.237390232610199</v>
      </c>
      <c r="AI1470">
        <v>93.471136158178396</v>
      </c>
      <c r="AJ1470">
        <v>94.537287788939807</v>
      </c>
      <c r="AK1470">
        <v>18.328349479323599</v>
      </c>
      <c r="AL1470">
        <v>81.125463218258005</v>
      </c>
      <c r="AM1470">
        <v>90.269044815729004</v>
      </c>
      <c r="AN1470">
        <v>0.99999996837189598</v>
      </c>
    </row>
    <row r="1471" spans="1:40" x14ac:dyDescent="0.25">
      <c r="A1471" t="str">
        <f>"20190312164250206"</f>
        <v>20190312164250206</v>
      </c>
      <c r="B1471" t="str">
        <f>"1552380170196066"</f>
        <v>1552380170196066</v>
      </c>
      <c r="C1471" t="s">
        <v>40</v>
      </c>
      <c r="D1471">
        <v>4.4582860000000002</v>
      </c>
      <c r="E1471">
        <v>0.47605639999999999</v>
      </c>
      <c r="F1471" t="s">
        <v>46</v>
      </c>
      <c r="G1471">
        <v>-261.89440000000002</v>
      </c>
      <c r="H1471" s="1">
        <v>-5.2867230000000001E-7</v>
      </c>
      <c r="I1471">
        <v>282.54399999999998</v>
      </c>
      <c r="J1471">
        <v>-243.3947</v>
      </c>
      <c r="K1471">
        <v>1.109702</v>
      </c>
      <c r="L1471">
        <v>283.62090000000001</v>
      </c>
      <c r="M1471">
        <v>-0.99975159999999996</v>
      </c>
      <c r="N1471">
        <v>0</v>
      </c>
      <c r="O1471">
        <v>2.123599E-2</v>
      </c>
      <c r="P1471">
        <v>-0.98882420000000004</v>
      </c>
      <c r="Q1471">
        <v>0.14814649999999999</v>
      </c>
      <c r="R1471">
        <v>1.671578E-2</v>
      </c>
      <c r="S1471">
        <v>-3.0634920000000001</v>
      </c>
      <c r="T1471">
        <v>-0.18057219999999999</v>
      </c>
      <c r="U1471">
        <v>-0.17413329999999999</v>
      </c>
      <c r="V1471">
        <v>-4.3648990000000002E-3</v>
      </c>
      <c r="W1471">
        <v>0.15484000000000001</v>
      </c>
      <c r="X1471">
        <v>0.98792990000000003</v>
      </c>
      <c r="Y1471">
        <v>-7.7767970000000006E-2</v>
      </c>
      <c r="Z1471">
        <v>-3.5378929999999999E-3</v>
      </c>
      <c r="AA1471">
        <v>0.9969652</v>
      </c>
      <c r="AB1471">
        <v>32</v>
      </c>
      <c r="AC1471">
        <v>-18.499700000000001</v>
      </c>
      <c r="AD1471">
        <v>-1.1097025286722999</v>
      </c>
      <c r="AE1471">
        <v>-1.07689999999996</v>
      </c>
      <c r="AF1471">
        <v>-1.4642746323084199</v>
      </c>
      <c r="AG1471">
        <v>-1.1097025286722999</v>
      </c>
      <c r="AH1471">
        <v>18.406651487884101</v>
      </c>
      <c r="AI1471">
        <v>93.439240163153997</v>
      </c>
      <c r="AJ1471">
        <v>94.5483801034257</v>
      </c>
      <c r="AK1471">
        <v>18.4981177122806</v>
      </c>
      <c r="AL1471">
        <v>81.092482945220397</v>
      </c>
      <c r="AM1471">
        <v>90.253144138470304</v>
      </c>
      <c r="AN1471">
        <v>0.99999998262864498</v>
      </c>
    </row>
    <row r="1472" spans="1:40" x14ac:dyDescent="0.25">
      <c r="A1472" t="str">
        <f>"20190312164250227"</f>
        <v>20190312164250227</v>
      </c>
      <c r="B1472" t="str">
        <f>"1552380170215585"</f>
        <v>1552380170215585</v>
      </c>
      <c r="C1472" t="s">
        <v>40</v>
      </c>
      <c r="D1472">
        <v>4.6130120000000003</v>
      </c>
      <c r="E1472">
        <v>0.47591709999999898</v>
      </c>
      <c r="F1472" t="s">
        <v>46</v>
      </c>
      <c r="G1472">
        <v>-262.38639999999998</v>
      </c>
      <c r="H1472" s="1">
        <v>-2.6685160000000002E-7</v>
      </c>
      <c r="I1472">
        <v>282.53489999999999</v>
      </c>
      <c r="J1472">
        <v>-243.70519999999999</v>
      </c>
      <c r="K1472">
        <v>1.109702</v>
      </c>
      <c r="L1472">
        <v>283.62729999999999</v>
      </c>
      <c r="M1472">
        <v>-0.99975700000000001</v>
      </c>
      <c r="N1472">
        <v>0</v>
      </c>
      <c r="O1472">
        <v>2.09874E-2</v>
      </c>
      <c r="P1472">
        <v>-0.98867099999999997</v>
      </c>
      <c r="Q1472">
        <v>0.1491586</v>
      </c>
      <c r="R1472">
        <v>1.676892E-2</v>
      </c>
      <c r="S1472">
        <v>-3.0636899999999998</v>
      </c>
      <c r="T1472">
        <v>-0.1790137</v>
      </c>
      <c r="U1472">
        <v>-0.17520139999999901</v>
      </c>
      <c r="V1472">
        <v>-4.0637090000000004E-3</v>
      </c>
      <c r="W1472">
        <v>0.15582869999999999</v>
      </c>
      <c r="X1472">
        <v>0.98777570000000003</v>
      </c>
      <c r="Y1472">
        <v>-7.7866089999999999E-2</v>
      </c>
      <c r="Z1472">
        <v>-3.4955089999999999E-3</v>
      </c>
      <c r="AA1472">
        <v>0.99695769999999995</v>
      </c>
      <c r="AB1472">
        <v>32</v>
      </c>
      <c r="AC1472">
        <v>-18.681199999999901</v>
      </c>
      <c r="AD1472">
        <v>-1.1097022668515999</v>
      </c>
      <c r="AE1472">
        <v>-1.09239999999999</v>
      </c>
      <c r="AF1472">
        <v>-1.4790369516834601</v>
      </c>
      <c r="AG1472">
        <v>-1.1097022668515999</v>
      </c>
      <c r="AH1472">
        <v>18.5887889164642</v>
      </c>
      <c r="AI1472">
        <v>93.405616619913701</v>
      </c>
      <c r="AJ1472">
        <v>94.549216377982901</v>
      </c>
      <c r="AK1472">
        <v>18.6805262989661</v>
      </c>
      <c r="AL1472">
        <v>81.035138400726595</v>
      </c>
      <c r="AM1472">
        <v>90.2357134937768</v>
      </c>
      <c r="AN1472">
        <v>0.99999996549250703</v>
      </c>
    </row>
    <row r="1473" spans="1:40" x14ac:dyDescent="0.25">
      <c r="A1473" t="str">
        <f>"20190312164250250"</f>
        <v>20190312164250250</v>
      </c>
      <c r="B1473" t="str">
        <f>"1552380170245839"</f>
        <v>1552380170245839</v>
      </c>
      <c r="C1473" t="s">
        <v>40</v>
      </c>
      <c r="D1473">
        <v>4.4096909999999996</v>
      </c>
      <c r="E1473">
        <v>0.4757149</v>
      </c>
      <c r="F1473" t="s">
        <v>46</v>
      </c>
      <c r="G1473">
        <v>-263.05509999999998</v>
      </c>
      <c r="H1473" s="1">
        <v>8.8982919999999998E-8</v>
      </c>
      <c r="I1473">
        <v>282.51650000000001</v>
      </c>
      <c r="J1473">
        <v>-244.0352</v>
      </c>
      <c r="K1473">
        <v>1.109704</v>
      </c>
      <c r="L1473">
        <v>283.63400000000001</v>
      </c>
      <c r="M1473">
        <v>-0.99976279999999995</v>
      </c>
      <c r="N1473">
        <v>0</v>
      </c>
      <c r="O1473">
        <v>2.0723410000000001E-2</v>
      </c>
      <c r="P1473">
        <v>-0.98860049999999999</v>
      </c>
      <c r="Q1473">
        <v>0.1496343</v>
      </c>
      <c r="R1473">
        <v>1.6707710000000001E-2</v>
      </c>
      <c r="S1473">
        <v>-3.0638429999999999</v>
      </c>
      <c r="T1473">
        <v>-0.1757088</v>
      </c>
      <c r="U1473">
        <v>-0.1758728</v>
      </c>
      <c r="V1473">
        <v>-3.8632509999999998E-3</v>
      </c>
      <c r="W1473">
        <v>0.15628410000000001</v>
      </c>
      <c r="X1473">
        <v>0.98770460000000004</v>
      </c>
      <c r="Y1473">
        <v>-7.7824409999999997E-2</v>
      </c>
      <c r="Z1473">
        <v>-3.41458E-3</v>
      </c>
      <c r="AA1473">
        <v>0.99696119999999999</v>
      </c>
      <c r="AB1473">
        <v>33</v>
      </c>
      <c r="AC1473">
        <v>-19.0198999999999</v>
      </c>
      <c r="AD1473">
        <v>-1.1097039110170801</v>
      </c>
      <c r="AE1473">
        <v>-1.1174999999999999</v>
      </c>
      <c r="AF1473">
        <v>-1.50631607754417</v>
      </c>
      <c r="AG1473">
        <v>-1.1097039110170801</v>
      </c>
      <c r="AH1473">
        <v>18.928444326367998</v>
      </c>
      <c r="AI1473">
        <v>93.344647023149605</v>
      </c>
      <c r="AJ1473">
        <v>94.549980625971301</v>
      </c>
      <c r="AK1473">
        <v>19.020684412291999</v>
      </c>
      <c r="AL1473">
        <v>81.008722665018993</v>
      </c>
      <c r="AM1473">
        <v>90.224102275861199</v>
      </c>
      <c r="AN1473">
        <v>1.00000001074112</v>
      </c>
    </row>
    <row r="1474" spans="1:40" x14ac:dyDescent="0.25">
      <c r="A1474" t="str">
        <f>"20190312164250273"</f>
        <v>20190312164250273</v>
      </c>
      <c r="B1474" t="str">
        <f>"1552380170265359"</f>
        <v>1552380170265359</v>
      </c>
      <c r="C1474" t="s">
        <v>40</v>
      </c>
      <c r="D1474">
        <v>4.4019250000000003</v>
      </c>
      <c r="E1474">
        <v>0.47556300000000001</v>
      </c>
      <c r="F1474" t="s">
        <v>46</v>
      </c>
      <c r="G1474">
        <v>-263.46890000000002</v>
      </c>
      <c r="H1474" s="1">
        <v>3.0916549999999999E-7</v>
      </c>
      <c r="I1474">
        <v>282.50310000000002</v>
      </c>
      <c r="J1474">
        <v>-244.3723</v>
      </c>
      <c r="K1474">
        <v>1.109702</v>
      </c>
      <c r="L1474">
        <v>283.64069999999998</v>
      </c>
      <c r="M1474">
        <v>-0.9997684</v>
      </c>
      <c r="N1474">
        <v>0</v>
      </c>
      <c r="O1474">
        <v>2.0453989999999998E-2</v>
      </c>
      <c r="P1474">
        <v>-0.98853310000000005</v>
      </c>
      <c r="Q1474">
        <v>0.150109299999999</v>
      </c>
      <c r="R1474">
        <v>1.6426590000000001E-2</v>
      </c>
      <c r="S1474">
        <v>-3.0641020000000001</v>
      </c>
      <c r="T1474">
        <v>-0.17496719999999999</v>
      </c>
      <c r="U1474">
        <v>-0.17831420000000001</v>
      </c>
      <c r="V1474">
        <v>-3.877564E-3</v>
      </c>
      <c r="W1474">
        <v>0.15674289999999999</v>
      </c>
      <c r="X1474">
        <v>0.98763190000000001</v>
      </c>
      <c r="Y1474">
        <v>-7.8343640000000006E-2</v>
      </c>
      <c r="Z1474">
        <v>-3.399268E-3</v>
      </c>
      <c r="AA1474">
        <v>0.99692060000000005</v>
      </c>
      <c r="AB1474">
        <v>33</v>
      </c>
      <c r="AC1474">
        <v>-19.096599999999999</v>
      </c>
      <c r="AD1474">
        <v>-1.1097016908345001</v>
      </c>
      <c r="AE1474">
        <v>-1.13759999999996</v>
      </c>
      <c r="AF1474">
        <v>-1.5228482977384701</v>
      </c>
      <c r="AG1474">
        <v>-1.1097016908345001</v>
      </c>
      <c r="AH1474">
        <v>19.005386022498801</v>
      </c>
      <c r="AI1474">
        <v>93.330985970475993</v>
      </c>
      <c r="AJ1474">
        <v>94.581162655887397</v>
      </c>
      <c r="AK1474">
        <v>19.098565460388802</v>
      </c>
      <c r="AL1474">
        <v>80.982107897856594</v>
      </c>
      <c r="AM1474">
        <v>90.224949103477101</v>
      </c>
      <c r="AN1474">
        <v>1.0000000710502901</v>
      </c>
    </row>
    <row r="1475" spans="1:40" x14ac:dyDescent="0.25">
      <c r="A1475" t="str">
        <f>"20190312164250295"</f>
        <v>20190312164250295</v>
      </c>
      <c r="B1475" t="str">
        <f>"1552380170285854"</f>
        <v>1552380170285854</v>
      </c>
      <c r="C1475" t="s">
        <v>40</v>
      </c>
      <c r="D1475">
        <v>4.6733640000000003</v>
      </c>
      <c r="E1475">
        <v>0.47541630000000001</v>
      </c>
      <c r="F1475" t="s">
        <v>46</v>
      </c>
      <c r="G1475">
        <v>-263.94119999999998</v>
      </c>
      <c r="H1475" s="1">
        <v>5.605341E-7</v>
      </c>
      <c r="I1475">
        <v>282.48630000000003</v>
      </c>
      <c r="J1475">
        <v>-244.69839999999999</v>
      </c>
      <c r="K1475">
        <v>1.109701</v>
      </c>
      <c r="L1475">
        <v>283.64710000000002</v>
      </c>
      <c r="M1475">
        <v>-0.99977360000000004</v>
      </c>
      <c r="N1475">
        <v>0</v>
      </c>
      <c r="O1475">
        <v>2.0193740000000002E-2</v>
      </c>
      <c r="P1475">
        <v>-0.98852479999999998</v>
      </c>
      <c r="Q1475">
        <v>0.15020020000000001</v>
      </c>
      <c r="R1475">
        <v>1.6078200000000001E-2</v>
      </c>
      <c r="S1475">
        <v>-3.0641780000000001</v>
      </c>
      <c r="T1475">
        <v>-0.17376150000000001</v>
      </c>
      <c r="U1475">
        <v>-0.18075559999999999</v>
      </c>
      <c r="V1475">
        <v>-3.9684070000000002E-3</v>
      </c>
      <c r="W1475">
        <v>0.15681909999999999</v>
      </c>
      <c r="X1475">
        <v>0.98761929999999998</v>
      </c>
      <c r="Y1475">
        <v>-7.8876050000000003E-2</v>
      </c>
      <c r="Z1475">
        <v>-3.3760560000000001E-3</v>
      </c>
      <c r="AA1475">
        <v>0.99687870000000001</v>
      </c>
      <c r="AB1475">
        <v>33</v>
      </c>
      <c r="AC1475">
        <v>-19.2427999999999</v>
      </c>
      <c r="AD1475">
        <v>-1.1097004394659</v>
      </c>
      <c r="AE1475">
        <v>-1.1607999999999901</v>
      </c>
      <c r="AF1475">
        <v>-1.5440398220459499</v>
      </c>
      <c r="AG1475">
        <v>-1.1097004394659</v>
      </c>
      <c r="AH1475">
        <v>19.151972924289002</v>
      </c>
      <c r="AI1475">
        <v>93.305414133390599</v>
      </c>
      <c r="AJ1475">
        <v>94.609240075063894</v>
      </c>
      <c r="AK1475">
        <v>19.246131063933699</v>
      </c>
      <c r="AL1475">
        <v>80.977686009158404</v>
      </c>
      <c r="AM1475">
        <v>90.230222059060097</v>
      </c>
      <c r="AN1475">
        <v>0.99999993005570598</v>
      </c>
    </row>
    <row r="1476" spans="1:40" x14ac:dyDescent="0.25">
      <c r="A1476" t="str">
        <f>"20190312164250320"</f>
        <v>20190312164250320</v>
      </c>
      <c r="B1476" t="str">
        <f>"1552380170316110"</f>
        <v>1552380170316110</v>
      </c>
      <c r="C1476" t="s">
        <v>40</v>
      </c>
      <c r="D1476">
        <v>4.568308</v>
      </c>
      <c r="E1476">
        <v>0.47524709999999998</v>
      </c>
      <c r="F1476" t="s">
        <v>46</v>
      </c>
      <c r="G1476">
        <v>-264.27640000000002</v>
      </c>
      <c r="H1476" s="1">
        <v>7.3888289999999899E-7</v>
      </c>
      <c r="I1476">
        <v>282.47620000000001</v>
      </c>
      <c r="J1476">
        <v>-245.05860000000001</v>
      </c>
      <c r="K1476">
        <v>1.1096950000000001</v>
      </c>
      <c r="L1476">
        <v>283.65410000000003</v>
      </c>
      <c r="M1476">
        <v>-0.99977950000000004</v>
      </c>
      <c r="N1476">
        <v>0</v>
      </c>
      <c r="O1476">
        <v>1.9906199999999999E-2</v>
      </c>
      <c r="P1476">
        <v>-0.98851990000000001</v>
      </c>
      <c r="Q1476">
        <v>0.1502732</v>
      </c>
      <c r="R1476">
        <v>1.5696439999999999E-2</v>
      </c>
      <c r="S1476">
        <v>-3.0641780000000001</v>
      </c>
      <c r="T1476">
        <v>-0.1736809</v>
      </c>
      <c r="U1476">
        <v>-0.18325810000000001</v>
      </c>
      <c r="V1476">
        <v>-4.066325E-3</v>
      </c>
      <c r="W1476">
        <v>0.15687470000000001</v>
      </c>
      <c r="X1476">
        <v>0.98761019999999999</v>
      </c>
      <c r="Y1476">
        <v>-7.9400360000000003E-2</v>
      </c>
      <c r="Z1476">
        <v>-3.3729739999999999E-3</v>
      </c>
      <c r="AA1476">
        <v>0.99683710000000003</v>
      </c>
      <c r="AB1476">
        <v>33</v>
      </c>
      <c r="AC1476">
        <v>-19.2178</v>
      </c>
      <c r="AD1476">
        <v>-1.1096942611170999</v>
      </c>
      <c r="AE1476">
        <v>-1.1779000000000199</v>
      </c>
      <c r="AF1476">
        <v>-1.5550629336438599</v>
      </c>
      <c r="AG1476">
        <v>-1.1096942611170999</v>
      </c>
      <c r="AH1476">
        <v>19.127008109540601</v>
      </c>
      <c r="AI1476">
        <v>93.309519405588603</v>
      </c>
      <c r="AJ1476">
        <v>94.648035041441005</v>
      </c>
      <c r="AK1476">
        <v>19.2221768096951</v>
      </c>
      <c r="AL1476">
        <v>80.974461594185001</v>
      </c>
      <c r="AM1476">
        <v>90.2359047568509</v>
      </c>
      <c r="AN1476">
        <v>1.0000000568215599</v>
      </c>
    </row>
    <row r="1477" spans="1:40" x14ac:dyDescent="0.25">
      <c r="A1477" t="str">
        <f>"20190312164250342"</f>
        <v>20190312164250342</v>
      </c>
      <c r="B1477" t="str">
        <f>"1552380170335632"</f>
        <v>1552380170335632</v>
      </c>
      <c r="C1477" t="s">
        <v>40</v>
      </c>
      <c r="D1477">
        <v>4.4413970000000003</v>
      </c>
      <c r="E1477">
        <v>0.47521059999999998</v>
      </c>
      <c r="F1477" t="s">
        <v>46</v>
      </c>
      <c r="G1477">
        <v>-264.63679999999999</v>
      </c>
      <c r="H1477" s="1">
        <v>9.306741E-7</v>
      </c>
      <c r="I1477">
        <v>282.46640000000002</v>
      </c>
      <c r="J1477">
        <v>-245.38460000000001</v>
      </c>
      <c r="K1477">
        <v>1.109688</v>
      </c>
      <c r="L1477">
        <v>283.66039999999998</v>
      </c>
      <c r="M1477">
        <v>-0.99978480000000003</v>
      </c>
      <c r="N1477">
        <v>0</v>
      </c>
      <c r="O1477">
        <v>1.9645909999999999E-2</v>
      </c>
      <c r="P1477">
        <v>-0.98855470000000001</v>
      </c>
      <c r="Q1477">
        <v>0.1500813</v>
      </c>
      <c r="R1477">
        <v>1.534464E-2</v>
      </c>
      <c r="S1477">
        <v>-3.0641780000000001</v>
      </c>
      <c r="T1477">
        <v>-0.17367779999999899</v>
      </c>
      <c r="U1477">
        <v>-0.18588260000000001</v>
      </c>
      <c r="V1477">
        <v>-4.1615920000000004E-3</v>
      </c>
      <c r="W1477">
        <v>0.15666559999999999</v>
      </c>
      <c r="X1477">
        <v>0.98764289999999999</v>
      </c>
      <c r="Y1477">
        <v>-7.9991019999999996E-2</v>
      </c>
      <c r="Z1477">
        <v>-3.3748099999999998E-3</v>
      </c>
      <c r="AA1477">
        <v>0.99678990000000001</v>
      </c>
      <c r="AB1477">
        <v>33</v>
      </c>
      <c r="AC1477">
        <v>-19.252199999999899</v>
      </c>
      <c r="AD1477">
        <v>-1.1096870693259</v>
      </c>
      <c r="AE1477">
        <v>-1.19399999999996</v>
      </c>
      <c r="AF1477">
        <v>-1.5668194156825701</v>
      </c>
      <c r="AG1477">
        <v>-1.1096870693259</v>
      </c>
      <c r="AH1477">
        <v>19.161609524120401</v>
      </c>
      <c r="AI1477">
        <v>93.303410461106793</v>
      </c>
      <c r="AJ1477">
        <v>94.674600160154995</v>
      </c>
      <c r="AK1477">
        <v>19.2575597630658</v>
      </c>
      <c r="AL1477">
        <v>80.986591285544804</v>
      </c>
      <c r="AM1477">
        <v>90.241423541341007</v>
      </c>
      <c r="AN1477">
        <v>0.99999996349587095</v>
      </c>
    </row>
    <row r="1478" spans="1:40" x14ac:dyDescent="0.25">
      <c r="A1478" t="str">
        <f>"20190312164250363"</f>
        <v>20190312164250363</v>
      </c>
      <c r="B1478" t="str">
        <f>"1552380170356127"</f>
        <v>1552380170356127</v>
      </c>
      <c r="C1478" t="s">
        <v>40</v>
      </c>
      <c r="D1478">
        <v>4.4766490000000001</v>
      </c>
      <c r="E1478">
        <v>0.4948206</v>
      </c>
      <c r="F1478" t="s">
        <v>46</v>
      </c>
      <c r="G1478">
        <v>-264.85050000000001</v>
      </c>
      <c r="H1478" s="1">
        <v>1.0444150000000001E-6</v>
      </c>
      <c r="I1478">
        <v>282.47129999999999</v>
      </c>
      <c r="J1478">
        <v>-245.7133</v>
      </c>
      <c r="K1478">
        <v>1.1096779999999999</v>
      </c>
      <c r="L1478">
        <v>283.66660000000002</v>
      </c>
      <c r="M1478">
        <v>-0.99979010000000001</v>
      </c>
      <c r="N1478">
        <v>0</v>
      </c>
      <c r="O1478">
        <v>1.9383709999999998E-2</v>
      </c>
      <c r="P1478">
        <v>-0.98858480000000004</v>
      </c>
      <c r="Q1478">
        <v>0.149923</v>
      </c>
      <c r="R1478">
        <v>1.495267E-2</v>
      </c>
      <c r="S1478">
        <v>-3.0641630000000002</v>
      </c>
      <c r="T1478">
        <v>-0.17467769999999999</v>
      </c>
      <c r="U1478">
        <v>-0.18716430000000001</v>
      </c>
      <c r="V1478">
        <v>-4.2954630000000002E-3</v>
      </c>
      <c r="W1478">
        <v>0.1564876</v>
      </c>
      <c r="X1478">
        <v>0.98767059999999995</v>
      </c>
      <c r="Y1478">
        <v>-8.0143649999999997E-2</v>
      </c>
      <c r="Z1478">
        <v>-3.3836029999999998E-3</v>
      </c>
      <c r="AA1478">
        <v>0.99677760000000004</v>
      </c>
      <c r="AB1478">
        <v>33</v>
      </c>
      <c r="AC1478">
        <v>-19.1372</v>
      </c>
      <c r="AD1478">
        <v>-1.1096769555849999</v>
      </c>
      <c r="AE1478">
        <v>-1.19530000000003</v>
      </c>
      <c r="AF1478">
        <v>-1.5608060132119299</v>
      </c>
      <c r="AG1478">
        <v>-1.1096769555849999</v>
      </c>
      <c r="AH1478">
        <v>19.046642805808901</v>
      </c>
      <c r="AI1478">
        <v>93.323227323650997</v>
      </c>
      <c r="AJ1478">
        <v>94.684721875763799</v>
      </c>
      <c r="AK1478">
        <v>19.142677464991898</v>
      </c>
      <c r="AL1478">
        <v>80.996917783585999</v>
      </c>
      <c r="AM1478">
        <v>90.249182621488004</v>
      </c>
      <c r="AN1478">
        <v>1.0000000170302501</v>
      </c>
    </row>
    <row r="1479" spans="1:40" x14ac:dyDescent="0.25">
      <c r="A1479" t="str">
        <f>"20190312164250398"</f>
        <v>20190312164250398</v>
      </c>
      <c r="B1479" t="str">
        <f>"1552380170385411"</f>
        <v>1552380170385411</v>
      </c>
      <c r="C1479" t="s">
        <v>40</v>
      </c>
      <c r="D1479">
        <v>4.6946070000000004</v>
      </c>
      <c r="E1479">
        <v>0.50066239999999995</v>
      </c>
      <c r="F1479" t="s">
        <v>41</v>
      </c>
      <c r="G1479">
        <v>-246.6901</v>
      </c>
      <c r="H1479">
        <v>1.0227299999999999</v>
      </c>
      <c r="I1479">
        <v>283.65469999999999</v>
      </c>
      <c r="J1479">
        <v>-246.21129999999999</v>
      </c>
      <c r="K1479">
        <v>1.109674</v>
      </c>
      <c r="L1479">
        <v>283.67579999999998</v>
      </c>
      <c r="M1479">
        <v>-0.99979790000000002</v>
      </c>
      <c r="N1479">
        <v>0</v>
      </c>
      <c r="O1479">
        <v>1.8987250000000001E-2</v>
      </c>
      <c r="P1479">
        <v>-0.98864459999999998</v>
      </c>
      <c r="Q1479">
        <v>0.14956610000000001</v>
      </c>
      <c r="R1479">
        <v>1.4555469999999999E-2</v>
      </c>
      <c r="S1479">
        <v>-3.0767359999999999</v>
      </c>
      <c r="T1479">
        <v>-0.27384389999999997</v>
      </c>
      <c r="U1479">
        <v>-3.7658690000000002E-2</v>
      </c>
      <c r="V1479">
        <v>-4.3023219999999999E-3</v>
      </c>
      <c r="W1479">
        <v>0.1561023</v>
      </c>
      <c r="X1479">
        <v>0.98773149999999998</v>
      </c>
      <c r="Y1479">
        <v>-3.1025259999999999E-2</v>
      </c>
      <c r="Z1479">
        <v>-3.0644880000000002E-3</v>
      </c>
      <c r="AA1479">
        <v>0.99951389999999996</v>
      </c>
      <c r="AB1479">
        <v>33</v>
      </c>
      <c r="AC1479">
        <v>-0.478800000000006</v>
      </c>
      <c r="AD1479">
        <v>-8.6944000000000105E-2</v>
      </c>
      <c r="AE1479">
        <v>-2.1099999999989901E-2</v>
      </c>
      <c r="AF1479">
        <v>-2.9225671836859202E-2</v>
      </c>
      <c r="AG1479">
        <v>-8.6944000000000105E-2</v>
      </c>
      <c r="AH1479">
        <v>0.463073283000693</v>
      </c>
      <c r="AI1479">
        <v>100.613095282825</v>
      </c>
      <c r="AJ1479">
        <v>93.611285131133798</v>
      </c>
      <c r="AK1479">
        <v>0.472070190182938</v>
      </c>
      <c r="AL1479">
        <v>81.019268166418797</v>
      </c>
      <c r="AM1479">
        <v>90.249565123491095</v>
      </c>
      <c r="AN1479">
        <v>0.99999997706606503</v>
      </c>
    </row>
    <row r="1480" spans="1:40" x14ac:dyDescent="0.25">
      <c r="A1480" t="str">
        <f>"20190312164250417"</f>
        <v>20190312164250417</v>
      </c>
      <c r="B1480" t="str">
        <f>"1552380170405902"</f>
        <v>1552380170405902</v>
      </c>
      <c r="C1480" t="s">
        <v>40</v>
      </c>
      <c r="D1480">
        <v>4.4530620000000001</v>
      </c>
      <c r="E1480">
        <v>0.50218669999999999</v>
      </c>
      <c r="F1480" t="s">
        <v>46</v>
      </c>
      <c r="G1480">
        <v>-260.07859999999999</v>
      </c>
      <c r="H1480" s="1">
        <v>-1.494935E-6</v>
      </c>
      <c r="I1480">
        <v>283.7199</v>
      </c>
      <c r="J1480">
        <v>-246.50559999999999</v>
      </c>
      <c r="K1480">
        <v>1.109664</v>
      </c>
      <c r="L1480">
        <v>283.68119999999999</v>
      </c>
      <c r="M1480">
        <v>-0.99980250000000004</v>
      </c>
      <c r="N1480">
        <v>0</v>
      </c>
      <c r="O1480">
        <v>1.8752540000000002E-2</v>
      </c>
      <c r="P1480">
        <v>-0.98849469999999995</v>
      </c>
      <c r="Q1480">
        <v>0.15056789999999901</v>
      </c>
      <c r="R1480">
        <v>1.44157E-2</v>
      </c>
      <c r="S1480">
        <v>-3.0715029999999999</v>
      </c>
      <c r="T1480">
        <v>-0.2457848</v>
      </c>
      <c r="U1480">
        <v>9.765625E-3</v>
      </c>
      <c r="V1480">
        <v>-4.2074629999999998E-3</v>
      </c>
      <c r="W1480">
        <v>0.1570819</v>
      </c>
      <c r="X1480">
        <v>0.98757660000000003</v>
      </c>
      <c r="Y1480">
        <v>-1.546463E-2</v>
      </c>
      <c r="Z1480">
        <v>-2.115914E-3</v>
      </c>
      <c r="AA1480">
        <v>0.99987820000000005</v>
      </c>
      <c r="AB1480">
        <v>33</v>
      </c>
      <c r="AC1480">
        <v>-13.573</v>
      </c>
      <c r="AD1480">
        <v>-1.109665494935</v>
      </c>
      <c r="AE1480">
        <v>3.8700000000005702E-2</v>
      </c>
      <c r="AF1480">
        <v>-0.21440746727587401</v>
      </c>
      <c r="AG1480">
        <v>-1.109665494935</v>
      </c>
      <c r="AH1480">
        <v>13.4812319038098</v>
      </c>
      <c r="AI1480">
        <v>94.704922924154602</v>
      </c>
      <c r="AJ1480">
        <v>90.911163567923097</v>
      </c>
      <c r="AK1480">
        <v>13.528523264457601</v>
      </c>
      <c r="AL1480">
        <v>80.962440208551101</v>
      </c>
      <c r="AM1480">
        <v>90.2441009779144</v>
      </c>
      <c r="AN1480">
        <v>0.99999998346003305</v>
      </c>
    </row>
    <row r="1481" spans="1:40" x14ac:dyDescent="0.25">
      <c r="A1481" t="str">
        <f>"20190312164250440"</f>
        <v>20190312164250440</v>
      </c>
      <c r="B1481" t="str">
        <f>"1552380170435183"</f>
        <v>1552380170435183</v>
      </c>
      <c r="C1481" t="s">
        <v>40</v>
      </c>
      <c r="D1481">
        <v>4.452426</v>
      </c>
      <c r="E1481">
        <v>0.50340680000000004</v>
      </c>
      <c r="F1481" t="s">
        <v>46</v>
      </c>
      <c r="G1481">
        <v>-261.50330000000002</v>
      </c>
      <c r="H1481" s="1">
        <v>-7.3682869999999895E-7</v>
      </c>
      <c r="I1481">
        <v>283.79039999999998</v>
      </c>
      <c r="J1481">
        <v>-246.84119999999999</v>
      </c>
      <c r="K1481">
        <v>1.109653</v>
      </c>
      <c r="L1481">
        <v>283.68729999999999</v>
      </c>
      <c r="M1481">
        <v>-0.99980769999999997</v>
      </c>
      <c r="N1481">
        <v>0</v>
      </c>
      <c r="O1481">
        <v>1.8485140000000001E-2</v>
      </c>
      <c r="P1481">
        <v>-0.98845620000000001</v>
      </c>
      <c r="Q1481">
        <v>0.15085509999999999</v>
      </c>
      <c r="R1481">
        <v>1.405351E-2</v>
      </c>
      <c r="S1481">
        <v>-3.0691679999999999</v>
      </c>
      <c r="T1481">
        <v>-0.2270855</v>
      </c>
      <c r="U1481">
        <v>2.233887E-2</v>
      </c>
      <c r="V1481">
        <v>-4.3052350000000001E-3</v>
      </c>
      <c r="W1481">
        <v>0.15733810000000001</v>
      </c>
      <c r="X1481">
        <v>0.98753539999999995</v>
      </c>
      <c r="Y1481">
        <v>-1.1127079999999999E-2</v>
      </c>
      <c r="Z1481">
        <v>-1.77684E-3</v>
      </c>
      <c r="AA1481">
        <v>0.99993650000000001</v>
      </c>
      <c r="AB1481">
        <v>33</v>
      </c>
      <c r="AC1481">
        <v>-14.662100000000001</v>
      </c>
      <c r="AD1481">
        <v>-1.1096537368287001</v>
      </c>
      <c r="AE1481">
        <v>0.103099999999983</v>
      </c>
      <c r="AF1481">
        <v>-0.166997924963666</v>
      </c>
      <c r="AG1481">
        <v>-1.1096537368287001</v>
      </c>
      <c r="AH1481">
        <v>14.578005749098001</v>
      </c>
      <c r="AI1481">
        <v>94.352581797249599</v>
      </c>
      <c r="AJ1481">
        <v>90.656321443696498</v>
      </c>
      <c r="AK1481">
        <v>14.621130987147801</v>
      </c>
      <c r="AL1481">
        <v>80.947576253687501</v>
      </c>
      <c r="AM1481">
        <v>90.249783686326793</v>
      </c>
      <c r="AN1481">
        <v>0.99999998950658697</v>
      </c>
    </row>
    <row r="1482" spans="1:40" x14ac:dyDescent="0.25">
      <c r="A1482" t="str">
        <f>"20190312164250462"</f>
        <v>20190312164250462</v>
      </c>
      <c r="B1482" t="str">
        <f>"1552380170455679"</f>
        <v>1552380170455679</v>
      </c>
      <c r="C1482" t="s">
        <v>40</v>
      </c>
      <c r="D1482">
        <v>4.457255</v>
      </c>
      <c r="E1482">
        <v>0.50383699999999998</v>
      </c>
      <c r="F1482" t="s">
        <v>46</v>
      </c>
      <c r="G1482">
        <v>-262.69560000000001</v>
      </c>
      <c r="H1482" s="1">
        <v>-1.02339399999999E-7</v>
      </c>
      <c r="I1482">
        <v>283.85019999999997</v>
      </c>
      <c r="J1482">
        <v>-247.1807</v>
      </c>
      <c r="K1482">
        <v>1.109645</v>
      </c>
      <c r="L1482">
        <v>283.69330000000002</v>
      </c>
      <c r="M1482">
        <v>-0.99981279999999995</v>
      </c>
      <c r="N1482">
        <v>0</v>
      </c>
      <c r="O1482">
        <v>1.821513E-2</v>
      </c>
      <c r="P1482">
        <v>-0.98853150000000001</v>
      </c>
      <c r="Q1482">
        <v>0.1503862</v>
      </c>
      <c r="R1482">
        <v>1.3769450000000001E-2</v>
      </c>
      <c r="S1482">
        <v>-3.0673520000000001</v>
      </c>
      <c r="T1482">
        <v>-0.21468519999999999</v>
      </c>
      <c r="U1482">
        <v>3.1524660000000003E-2</v>
      </c>
      <c r="V1482">
        <v>-4.3239480000000002E-3</v>
      </c>
      <c r="W1482">
        <v>0.15683610000000001</v>
      </c>
      <c r="X1482">
        <v>0.98761520000000003</v>
      </c>
      <c r="Y1482">
        <v>-7.8755070000000003E-3</v>
      </c>
      <c r="Z1482">
        <v>-1.5484989999999901E-3</v>
      </c>
      <c r="AA1482">
        <v>0.99996779999999996</v>
      </c>
      <c r="AB1482">
        <v>33</v>
      </c>
      <c r="AC1482">
        <v>-15.514900000000001</v>
      </c>
      <c r="AD1482">
        <v>-1.1096451023393901</v>
      </c>
      <c r="AE1482">
        <v>0.15689999999995</v>
      </c>
      <c r="AF1482">
        <v>-0.12509812102889301</v>
      </c>
      <c r="AG1482">
        <v>-1.1096451023393901</v>
      </c>
      <c r="AH1482">
        <v>15.436231119304299</v>
      </c>
      <c r="AI1482">
        <v>94.111543003077699</v>
      </c>
      <c r="AJ1482">
        <v>90.464325611175894</v>
      </c>
      <c r="AK1482">
        <v>15.476569159914201</v>
      </c>
      <c r="AL1482">
        <v>80.976700604941996</v>
      </c>
      <c r="AM1482">
        <v>90.250849104288903</v>
      </c>
      <c r="AN1482">
        <v>1.00000002103027</v>
      </c>
    </row>
    <row r="1483" spans="1:40" x14ac:dyDescent="0.25">
      <c r="A1483" t="str">
        <f>"20190312164250484"</f>
        <v>20190312164250484</v>
      </c>
      <c r="B1483" t="str">
        <f>"1552380170475202"</f>
        <v>1552380170475202</v>
      </c>
      <c r="C1483" t="s">
        <v>40</v>
      </c>
      <c r="D1483">
        <v>4.490532</v>
      </c>
      <c r="E1483">
        <v>0.50401629999999997</v>
      </c>
      <c r="F1483" t="s">
        <v>41</v>
      </c>
      <c r="G1483">
        <v>-248.19839999999999</v>
      </c>
      <c r="H1483">
        <v>1.039558</v>
      </c>
      <c r="I1483">
        <v>283.70510000000002</v>
      </c>
      <c r="J1483">
        <v>-247.52979999999999</v>
      </c>
      <c r="K1483">
        <v>1.109634</v>
      </c>
      <c r="L1483">
        <v>283.69940000000003</v>
      </c>
      <c r="M1483">
        <v>-0.99981799999999998</v>
      </c>
      <c r="N1483">
        <v>0</v>
      </c>
      <c r="O1483">
        <v>1.7937599999999901E-2</v>
      </c>
      <c r="P1483">
        <v>-0.98853329999999995</v>
      </c>
      <c r="Q1483">
        <v>0.15039240000000001</v>
      </c>
      <c r="R1483">
        <v>1.3561170000000001E-2</v>
      </c>
      <c r="S1483">
        <v>-3.0664980000000002</v>
      </c>
      <c r="T1483">
        <v>-0.21142549999999999</v>
      </c>
      <c r="U1483">
        <v>3.4667969999999999E-2</v>
      </c>
      <c r="V1483">
        <v>-4.2585069999999999E-3</v>
      </c>
      <c r="W1483">
        <v>0.1568097</v>
      </c>
      <c r="X1483">
        <v>0.98761960000000004</v>
      </c>
      <c r="Y1483">
        <v>-6.5757970000000004E-3</v>
      </c>
      <c r="Z1483">
        <v>-1.4615959999999999E-3</v>
      </c>
      <c r="AA1483">
        <v>0.99997729999999996</v>
      </c>
      <c r="AB1483">
        <v>34</v>
      </c>
      <c r="AC1483">
        <v>-0.66859999999999697</v>
      </c>
      <c r="AD1483">
        <v>-7.0075999999999999E-2</v>
      </c>
      <c r="AE1483">
        <v>5.6999999999902597E-3</v>
      </c>
      <c r="AF1483">
        <v>-6.2258625561141699E-3</v>
      </c>
      <c r="AG1483">
        <v>-7.0075999999999999E-2</v>
      </c>
      <c r="AH1483">
        <v>0.66133038637253705</v>
      </c>
      <c r="AI1483">
        <v>96.048348332702503</v>
      </c>
      <c r="AJ1483">
        <v>90.539375050787996</v>
      </c>
      <c r="AK1483">
        <v>0.66506186710727699</v>
      </c>
      <c r="AL1483">
        <v>80.978231477670505</v>
      </c>
      <c r="AM1483">
        <v>90.247051563169194</v>
      </c>
      <c r="AN1483">
        <v>0.999999945600058</v>
      </c>
    </row>
    <row r="1484" spans="1:40" x14ac:dyDescent="0.25">
      <c r="A1484" t="str">
        <f>"20190312164250507"</f>
        <v>20190312164250507</v>
      </c>
      <c r="B1484" t="str">
        <f>"1552380170495695"</f>
        <v>1552380170495695</v>
      </c>
      <c r="C1484" t="s">
        <v>40</v>
      </c>
      <c r="D1484">
        <v>4.6953849999999999</v>
      </c>
      <c r="E1484">
        <v>0.50438229999999995</v>
      </c>
      <c r="F1484" t="s">
        <v>41</v>
      </c>
      <c r="G1484">
        <v>-248.50319999999999</v>
      </c>
      <c r="H1484">
        <v>1.0423500000000001</v>
      </c>
      <c r="I1484">
        <v>283.71080000000001</v>
      </c>
      <c r="J1484">
        <v>-247.8622</v>
      </c>
      <c r="K1484">
        <v>1.109626</v>
      </c>
      <c r="L1484">
        <v>283.70510000000002</v>
      </c>
      <c r="M1484">
        <v>-0.99982300000000002</v>
      </c>
      <c r="N1484">
        <v>0</v>
      </c>
      <c r="O1484">
        <v>1.7673700000000001E-2</v>
      </c>
      <c r="P1484">
        <v>-0.9885813</v>
      </c>
      <c r="Q1484">
        <v>0.15010000000000001</v>
      </c>
      <c r="R1484">
        <v>1.330958E-2</v>
      </c>
      <c r="S1484">
        <v>-3.0665439999999999</v>
      </c>
      <c r="T1484">
        <v>-0.2120339</v>
      </c>
      <c r="U1484">
        <v>3.549194E-2</v>
      </c>
      <c r="V1484">
        <v>-4.2507200000000004E-3</v>
      </c>
      <c r="W1484">
        <v>0.1564895</v>
      </c>
      <c r="X1484">
        <v>0.98767050000000001</v>
      </c>
      <c r="Y1484">
        <v>-6.0449290000000001E-3</v>
      </c>
      <c r="Z1484">
        <v>-1.429214E-3</v>
      </c>
      <c r="AA1484">
        <v>0.99998069999999895</v>
      </c>
      <c r="AB1484">
        <v>34</v>
      </c>
      <c r="AC1484">
        <v>-0.64099999999999102</v>
      </c>
      <c r="AD1484">
        <v>-6.7275999999999794E-2</v>
      </c>
      <c r="AE1484">
        <v>5.6999999999902597E-3</v>
      </c>
      <c r="AF1484">
        <v>-5.5686313147033598E-3</v>
      </c>
      <c r="AG1484">
        <v>-6.7275999999999794E-2</v>
      </c>
      <c r="AH1484">
        <v>0.63401715436915496</v>
      </c>
      <c r="AI1484">
        <v>96.056797882719195</v>
      </c>
      <c r="AJ1484">
        <v>90.503221191756495</v>
      </c>
      <c r="AK1484">
        <v>0.63760083270419299</v>
      </c>
      <c r="AL1484">
        <v>80.996807630579895</v>
      </c>
      <c r="AM1484">
        <v>90.246587107943796</v>
      </c>
      <c r="AN1484">
        <v>1.0000000244005001</v>
      </c>
    </row>
    <row r="1485" spans="1:40" x14ac:dyDescent="0.25">
      <c r="A1485" t="str">
        <f>"20190312164250529"</f>
        <v>20190312164250529</v>
      </c>
      <c r="B1485" t="str">
        <f>"1552380170525950"</f>
        <v>1552380170525950</v>
      </c>
      <c r="C1485" t="s">
        <v>40</v>
      </c>
      <c r="D1485">
        <v>4.5024430000000004</v>
      </c>
      <c r="E1485">
        <v>0.50461940000000005</v>
      </c>
      <c r="F1485" t="s">
        <v>41</v>
      </c>
      <c r="G1485">
        <v>-248.80699999999999</v>
      </c>
      <c r="H1485">
        <v>1.042842</v>
      </c>
      <c r="I1485">
        <v>283.71690000000001</v>
      </c>
      <c r="J1485">
        <v>-248.2088</v>
      </c>
      <c r="K1485">
        <v>1.1096170000000001</v>
      </c>
      <c r="L1485">
        <v>283.71100000000001</v>
      </c>
      <c r="M1485">
        <v>-0.99982789999999999</v>
      </c>
      <c r="N1485">
        <v>0</v>
      </c>
      <c r="O1485">
        <v>1.7398770000000001E-2</v>
      </c>
      <c r="P1485">
        <v>-0.98852220000000002</v>
      </c>
      <c r="Q1485">
        <v>0.15054020000000001</v>
      </c>
      <c r="R1485">
        <v>1.2708850000000001E-2</v>
      </c>
      <c r="S1485">
        <v>-3.067078</v>
      </c>
      <c r="T1485">
        <v>-0.216943</v>
      </c>
      <c r="U1485">
        <v>3.7597659999999998E-2</v>
      </c>
      <c r="V1485">
        <v>-4.5791449999999997E-3</v>
      </c>
      <c r="W1485">
        <v>0.15690390000000001</v>
      </c>
      <c r="X1485">
        <v>0.98760320000000001</v>
      </c>
      <c r="Y1485">
        <v>-5.0859709999999999E-3</v>
      </c>
      <c r="Z1485">
        <v>-1.4086700000000001E-3</v>
      </c>
      <c r="AA1485">
        <v>0.99998609999999999</v>
      </c>
      <c r="AB1485">
        <v>34</v>
      </c>
      <c r="AC1485">
        <v>-0.59820000000001905</v>
      </c>
      <c r="AD1485">
        <v>-6.6775000000000001E-2</v>
      </c>
      <c r="AE1485">
        <v>5.8999999999968999E-3</v>
      </c>
      <c r="AF1485">
        <v>-4.4535648779130297E-3</v>
      </c>
      <c r="AG1485">
        <v>-6.6775000000000001E-2</v>
      </c>
      <c r="AH1485">
        <v>0.59085053296310497</v>
      </c>
      <c r="AI1485">
        <v>96.447744571302707</v>
      </c>
      <c r="AJ1485">
        <v>90.431861570309195</v>
      </c>
      <c r="AK1485">
        <v>0.59462852872016403</v>
      </c>
      <c r="AL1485">
        <v>80.972766529680499</v>
      </c>
      <c r="AM1485">
        <v>90.265657100103795</v>
      </c>
      <c r="AN1485">
        <v>0.99999994152718796</v>
      </c>
    </row>
    <row r="1486" spans="1:40" x14ac:dyDescent="0.25">
      <c r="A1486" t="str">
        <f>"20190312164250554"</f>
        <v>20190312164250554</v>
      </c>
      <c r="B1486" t="str">
        <f>"1552380170545471"</f>
        <v>1552380170545471</v>
      </c>
      <c r="C1486" t="s">
        <v>40</v>
      </c>
      <c r="D1486">
        <v>4.7312329999999996</v>
      </c>
      <c r="E1486">
        <v>0.50475040000000004</v>
      </c>
      <c r="F1486" t="s">
        <v>46</v>
      </c>
      <c r="G1486">
        <v>-264.34059999999999</v>
      </c>
      <c r="H1486" s="1">
        <v>7.7307080000000002E-7</v>
      </c>
      <c r="I1486">
        <v>283.91149999999999</v>
      </c>
      <c r="J1486">
        <v>-248.56559999999999</v>
      </c>
      <c r="K1486">
        <v>1.1096090000000001</v>
      </c>
      <c r="L1486">
        <v>283.71690000000001</v>
      </c>
      <c r="M1486">
        <v>-0.99983299999999997</v>
      </c>
      <c r="N1486">
        <v>0</v>
      </c>
      <c r="O1486">
        <v>1.7115890000000002E-2</v>
      </c>
      <c r="P1486">
        <v>-0.98854410000000004</v>
      </c>
      <c r="Q1486">
        <v>0.15042700000000001</v>
      </c>
      <c r="R1486">
        <v>1.235551E-2</v>
      </c>
      <c r="S1486">
        <v>-3.0664669999999998</v>
      </c>
      <c r="T1486">
        <v>-0.2109249</v>
      </c>
      <c r="U1486">
        <v>3.8116459999999998E-2</v>
      </c>
      <c r="V1486">
        <v>-4.653651E-3</v>
      </c>
      <c r="W1486">
        <v>0.15676870000000001</v>
      </c>
      <c r="X1486">
        <v>0.98762430000000001</v>
      </c>
      <c r="Y1486">
        <v>-4.6362299999999999E-3</v>
      </c>
      <c r="Z1486">
        <v>-1.3350759999999999E-3</v>
      </c>
      <c r="AA1486">
        <v>0.9999884</v>
      </c>
      <c r="AB1486">
        <v>34</v>
      </c>
      <c r="AC1486">
        <v>-15.775</v>
      </c>
      <c r="AD1486">
        <v>-1.1096082269292</v>
      </c>
      <c r="AE1486">
        <v>0.19459999999997901</v>
      </c>
      <c r="AF1486">
        <v>-7.5065865608957699E-2</v>
      </c>
      <c r="AG1486">
        <v>-1.1096082269292</v>
      </c>
      <c r="AH1486">
        <v>15.6983614125519</v>
      </c>
      <c r="AI1486">
        <v>94.043070653200203</v>
      </c>
      <c r="AJ1486">
        <v>90.273972830122801</v>
      </c>
      <c r="AK1486">
        <v>15.7377068323358</v>
      </c>
      <c r="AL1486">
        <v>80.980609788280304</v>
      </c>
      <c r="AM1486">
        <v>90.269973701867301</v>
      </c>
      <c r="AN1486">
        <v>0.99999991985890102</v>
      </c>
    </row>
    <row r="1487" spans="1:40" x14ac:dyDescent="0.25">
      <c r="A1487" t="str">
        <f>"20190312164250574"</f>
        <v>20190312164250574</v>
      </c>
      <c r="B1487" t="str">
        <f>"1552380170565967"</f>
        <v>1552380170565967</v>
      </c>
      <c r="C1487" t="s">
        <v>40</v>
      </c>
      <c r="D1487">
        <v>4.5241230000000003</v>
      </c>
      <c r="E1487">
        <v>0.50479909999999995</v>
      </c>
      <c r="F1487" t="s">
        <v>46</v>
      </c>
      <c r="G1487">
        <v>-264.8603</v>
      </c>
      <c r="H1487" s="1">
        <v>1.049612E-6</v>
      </c>
      <c r="I1487">
        <v>283.92399999999998</v>
      </c>
      <c r="J1487">
        <v>-248.8869</v>
      </c>
      <c r="K1487">
        <v>1.1096090000000001</v>
      </c>
      <c r="L1487">
        <v>283.72219999999999</v>
      </c>
      <c r="M1487">
        <v>-0.99983750000000005</v>
      </c>
      <c r="N1487">
        <v>0</v>
      </c>
      <c r="O1487">
        <v>1.6861370000000001E-2</v>
      </c>
      <c r="P1487">
        <v>-0.98852099999999998</v>
      </c>
      <c r="Q1487">
        <v>0.15062449999999999</v>
      </c>
      <c r="R1487">
        <v>1.178443E-2</v>
      </c>
      <c r="S1487">
        <v>-3.066071</v>
      </c>
      <c r="T1487">
        <v>-0.20878769999999999</v>
      </c>
      <c r="U1487">
        <v>3.8970949999999997E-2</v>
      </c>
      <c r="V1487">
        <v>-4.9732719999999999E-3</v>
      </c>
      <c r="W1487">
        <v>0.15694959999999999</v>
      </c>
      <c r="X1487">
        <v>0.98759410000000003</v>
      </c>
      <c r="Y1487">
        <v>-4.104257E-3</v>
      </c>
      <c r="Z1487">
        <v>-1.286347E-3</v>
      </c>
      <c r="AA1487">
        <v>0.99999079999999996</v>
      </c>
      <c r="AB1487">
        <v>34</v>
      </c>
      <c r="AC1487">
        <v>-15.9733999999999</v>
      </c>
      <c r="AD1487">
        <v>-1.1096079503880001</v>
      </c>
      <c r="AE1487">
        <v>0.201800000000048</v>
      </c>
      <c r="AF1487">
        <v>-6.7243142438245196E-2</v>
      </c>
      <c r="AG1487">
        <v>-1.1096079503880001</v>
      </c>
      <c r="AH1487">
        <v>15.8978286798952</v>
      </c>
      <c r="AI1487">
        <v>93.992516949608103</v>
      </c>
      <c r="AJ1487">
        <v>90.242342861089796</v>
      </c>
      <c r="AK1487">
        <v>15.9366467043436</v>
      </c>
      <c r="AL1487">
        <v>80.9701158724463</v>
      </c>
      <c r="AM1487">
        <v>90.288524493384401</v>
      </c>
      <c r="AN1487">
        <v>1.0000000083646701</v>
      </c>
    </row>
    <row r="1488" spans="1:40" x14ac:dyDescent="0.25">
      <c r="A1488" t="str">
        <f>"20190312164250597"</f>
        <v>20190312164250597</v>
      </c>
      <c r="B1488" t="str">
        <f>"1552380170585489"</f>
        <v>1552380170585489</v>
      </c>
      <c r="C1488" t="s">
        <v>40</v>
      </c>
      <c r="D1488">
        <v>4.5157910000000001</v>
      </c>
      <c r="E1488">
        <v>0.50486799999999998</v>
      </c>
      <c r="F1488" t="s">
        <v>46</v>
      </c>
      <c r="G1488">
        <v>-265.33659999999998</v>
      </c>
      <c r="H1488" s="1">
        <v>1.3031090000000001E-6</v>
      </c>
      <c r="I1488">
        <v>283.92489999999998</v>
      </c>
      <c r="J1488">
        <v>-249.23410000000001</v>
      </c>
      <c r="K1488">
        <v>1.1096079999999999</v>
      </c>
      <c r="L1488">
        <v>283.7278</v>
      </c>
      <c r="M1488">
        <v>-0.99984200000000001</v>
      </c>
      <c r="N1488">
        <v>0</v>
      </c>
      <c r="O1488">
        <v>1.6586750000000001E-2</v>
      </c>
      <c r="P1488">
        <v>-0.98852600000000002</v>
      </c>
      <c r="Q1488">
        <v>0.15064169999999999</v>
      </c>
      <c r="R1488">
        <v>1.1111920000000001E-2</v>
      </c>
      <c r="S1488">
        <v>-3.065903</v>
      </c>
      <c r="T1488">
        <v>-0.2068082</v>
      </c>
      <c r="U1488">
        <v>3.7780759999999997E-2</v>
      </c>
      <c r="V1488">
        <v>-5.3744939999999996E-3</v>
      </c>
      <c r="W1488">
        <v>0.15695290000000001</v>
      </c>
      <c r="X1488">
        <v>0.98759140000000001</v>
      </c>
      <c r="Y1488">
        <v>-4.2183120000000001E-3</v>
      </c>
      <c r="Z1488">
        <v>-1.259596E-3</v>
      </c>
      <c r="AA1488">
        <v>0.9999903</v>
      </c>
      <c r="AB1488">
        <v>34</v>
      </c>
      <c r="AC1488">
        <v>-16.1024999999999</v>
      </c>
      <c r="AD1488">
        <v>-1.1096066968910001</v>
      </c>
      <c r="AE1488">
        <v>0.19709999999997699</v>
      </c>
      <c r="AF1488">
        <v>-6.9689845121115798E-2</v>
      </c>
      <c r="AG1488">
        <v>-1.1096066968910001</v>
      </c>
      <c r="AH1488">
        <v>16.0274598799415</v>
      </c>
      <c r="AI1488">
        <v>93.960321903951595</v>
      </c>
      <c r="AJ1488">
        <v>90.249129236105304</v>
      </c>
      <c r="AK1488">
        <v>16.065975037308899</v>
      </c>
      <c r="AL1488">
        <v>80.969923761780393</v>
      </c>
      <c r="AM1488">
        <v>90.311801807276495</v>
      </c>
      <c r="AN1488">
        <v>0.99999993567905998</v>
      </c>
    </row>
    <row r="1489" spans="1:40" x14ac:dyDescent="0.25">
      <c r="A1489" t="str">
        <f>"20190312164250618"</f>
        <v>20190312164250618</v>
      </c>
      <c r="B1489" t="str">
        <f>"1552380170605982"</f>
        <v>1552380170605982</v>
      </c>
      <c r="C1489" t="s">
        <v>40</v>
      </c>
      <c r="D1489">
        <v>4.7113269999999998</v>
      </c>
      <c r="E1489">
        <v>0.5049188</v>
      </c>
      <c r="F1489" t="s">
        <v>46</v>
      </c>
      <c r="G1489">
        <v>-265.77769999999998</v>
      </c>
      <c r="H1489" s="1">
        <v>1.53782E-6</v>
      </c>
      <c r="I1489">
        <v>283.91829999999999</v>
      </c>
      <c r="J1489">
        <v>-249.56270000000001</v>
      </c>
      <c r="K1489">
        <v>1.109605</v>
      </c>
      <c r="L1489">
        <v>283.733</v>
      </c>
      <c r="M1489">
        <v>-0.99984629999999997</v>
      </c>
      <c r="N1489">
        <v>0</v>
      </c>
      <c r="O1489">
        <v>1.6326609999999998E-2</v>
      </c>
      <c r="P1489">
        <v>-0.98855939999999998</v>
      </c>
      <c r="Q1489">
        <v>0.15041650000000001</v>
      </c>
      <c r="R1489">
        <v>1.119177E-2</v>
      </c>
      <c r="S1489">
        <v>-3.0657809999999999</v>
      </c>
      <c r="T1489">
        <v>-0.20562649999999999</v>
      </c>
      <c r="U1489">
        <v>3.5308840000000001E-2</v>
      </c>
      <c r="V1489">
        <v>-5.0379780000000002E-3</v>
      </c>
      <c r="W1489">
        <v>0.15671550000000001</v>
      </c>
      <c r="X1489">
        <v>0.98763100000000004</v>
      </c>
      <c r="Y1489">
        <v>-4.7637089999999997E-3</v>
      </c>
      <c r="Z1489">
        <v>-1.253316E-3</v>
      </c>
      <c r="AA1489">
        <v>0.99998779999999998</v>
      </c>
      <c r="AB1489">
        <v>34</v>
      </c>
      <c r="AC1489">
        <v>-16.2149999999999</v>
      </c>
      <c r="AD1489">
        <v>-1.1096034621799999</v>
      </c>
      <c r="AE1489">
        <v>0.18529999999998301</v>
      </c>
      <c r="AF1489">
        <v>-7.9095745746256593E-2</v>
      </c>
      <c r="AG1489">
        <v>-1.1096034621799999</v>
      </c>
      <c r="AH1489">
        <v>16.1402928159252</v>
      </c>
      <c r="AI1489">
        <v>93.932701975701704</v>
      </c>
      <c r="AJ1489">
        <v>90.280776574710103</v>
      </c>
      <c r="AK1489">
        <v>16.178582390434698</v>
      </c>
      <c r="AL1489">
        <v>80.983697351907907</v>
      </c>
      <c r="AM1489">
        <v>90.292267428855197</v>
      </c>
      <c r="AN1489">
        <v>1.00000006066178</v>
      </c>
    </row>
    <row r="1490" spans="1:40" x14ac:dyDescent="0.25">
      <c r="A1490" t="str">
        <f>"20190312164250641"</f>
        <v>20190312164250641</v>
      </c>
      <c r="B1490" t="str">
        <f>"1552380170635263"</f>
        <v>1552380170635263</v>
      </c>
      <c r="C1490" t="s">
        <v>40</v>
      </c>
      <c r="D1490">
        <v>4.487495</v>
      </c>
      <c r="E1490">
        <v>0.50457039999999997</v>
      </c>
      <c r="F1490" t="s">
        <v>46</v>
      </c>
      <c r="G1490">
        <v>-266.11900000000003</v>
      </c>
      <c r="H1490" s="1">
        <v>1.719452E-6</v>
      </c>
      <c r="I1490">
        <v>283.92469999999997</v>
      </c>
      <c r="J1490">
        <v>-249.91139999999999</v>
      </c>
      <c r="K1490">
        <v>1.10959599999999</v>
      </c>
      <c r="L1490">
        <v>283.73840000000001</v>
      </c>
      <c r="M1490">
        <v>-0.99985109999999999</v>
      </c>
      <c r="N1490">
        <v>0</v>
      </c>
      <c r="O1490">
        <v>1.6050740000000001E-2</v>
      </c>
      <c r="P1490">
        <v>-0.9886144</v>
      </c>
      <c r="Q1490">
        <v>0.15007989999999999</v>
      </c>
      <c r="R1490">
        <v>1.087814E-2</v>
      </c>
      <c r="S1490">
        <v>-3.0655670000000002</v>
      </c>
      <c r="T1490">
        <v>-0.2054541</v>
      </c>
      <c r="U1490">
        <v>3.549194E-2</v>
      </c>
      <c r="V1490">
        <v>-5.080177E-3</v>
      </c>
      <c r="W1490">
        <v>0.15636510000000001</v>
      </c>
      <c r="X1490">
        <v>0.98768630000000002</v>
      </c>
      <c r="Y1490">
        <v>-4.4287149999999997E-3</v>
      </c>
      <c r="Z1490">
        <v>-1.222676E-3</v>
      </c>
      <c r="AA1490">
        <v>0.99998940000000003</v>
      </c>
      <c r="AB1490">
        <v>34</v>
      </c>
      <c r="AC1490">
        <v>-16.207599999999999</v>
      </c>
      <c r="AD1490">
        <v>-1.1095942805479999</v>
      </c>
      <c r="AE1490">
        <v>0.18629999999996</v>
      </c>
      <c r="AF1490">
        <v>-7.35286168103267E-2</v>
      </c>
      <c r="AG1490">
        <v>-1.1095942805479999</v>
      </c>
      <c r="AH1490">
        <v>16.132898127165401</v>
      </c>
      <c r="AI1490">
        <v>93.934472816293095</v>
      </c>
      <c r="AJ1490">
        <v>90.261134125635294</v>
      </c>
      <c r="AK1490">
        <v>16.171178309152701</v>
      </c>
      <c r="AL1490">
        <v>81.004024204514593</v>
      </c>
      <c r="AM1490">
        <v>90.294698969170597</v>
      </c>
      <c r="AN1490">
        <v>1.0000000399520199</v>
      </c>
    </row>
    <row r="1491" spans="1:40" x14ac:dyDescent="0.25">
      <c r="A1491" t="str">
        <f>"20190312164250663"</f>
        <v>20190312164250663</v>
      </c>
      <c r="B1491" t="str">
        <f>"1552380170655759"</f>
        <v>1552380170655759</v>
      </c>
      <c r="C1491" t="s">
        <v>40</v>
      </c>
      <c r="D1491">
        <v>4.4729749999999999</v>
      </c>
      <c r="E1491">
        <v>0.50445280000000003</v>
      </c>
      <c r="F1491" t="s">
        <v>46</v>
      </c>
      <c r="G1491">
        <v>-266.12259999999998</v>
      </c>
      <c r="H1491" s="1">
        <v>1.721347E-6</v>
      </c>
      <c r="I1491">
        <v>283.9074</v>
      </c>
      <c r="J1491">
        <v>-250.256</v>
      </c>
      <c r="K1491">
        <v>1.1095889999999999</v>
      </c>
      <c r="L1491">
        <v>283.74369999999999</v>
      </c>
      <c r="M1491">
        <v>-0.99985550000000001</v>
      </c>
      <c r="N1491">
        <v>0</v>
      </c>
      <c r="O1491">
        <v>1.577833E-2</v>
      </c>
      <c r="P1491">
        <v>-0.98865539999999996</v>
      </c>
      <c r="Q1491">
        <v>0.14979229999999999</v>
      </c>
      <c r="R1491">
        <v>1.110221E-2</v>
      </c>
      <c r="S1491">
        <v>-3.0660400000000001</v>
      </c>
      <c r="T1491">
        <v>-0.2098585</v>
      </c>
      <c r="U1491">
        <v>3.1951899999999998E-2</v>
      </c>
      <c r="V1491">
        <v>-4.5877670000000004E-3</v>
      </c>
      <c r="W1491">
        <v>0.15606600000000001</v>
      </c>
      <c r="X1491">
        <v>0.98773599999999995</v>
      </c>
      <c r="Y1491">
        <v>-5.3090910000000002E-3</v>
      </c>
      <c r="Z1491">
        <v>-1.2601159999999999E-3</v>
      </c>
      <c r="AA1491">
        <v>0.99998509999999996</v>
      </c>
      <c r="AB1491">
        <v>34</v>
      </c>
      <c r="AC1491">
        <v>-15.8666</v>
      </c>
      <c r="AD1491">
        <v>-1.1095872786530001</v>
      </c>
      <c r="AE1491">
        <v>0.16370000000000501</v>
      </c>
      <c r="AF1491">
        <v>-8.6252067225701695E-2</v>
      </c>
      <c r="AG1491">
        <v>-1.1095872786530001</v>
      </c>
      <c r="AH1491">
        <v>15.7899946295248</v>
      </c>
      <c r="AI1491">
        <v>94.019595250887406</v>
      </c>
      <c r="AJ1491">
        <v>90.312972258103997</v>
      </c>
      <c r="AK1491">
        <v>15.829167816043601</v>
      </c>
      <c r="AL1491">
        <v>81.021374242931898</v>
      </c>
      <c r="AM1491">
        <v>90.266121510448698</v>
      </c>
      <c r="AN1491">
        <v>1.00000002482902</v>
      </c>
    </row>
    <row r="1492" spans="1:40" x14ac:dyDescent="0.25">
      <c r="A1492" t="str">
        <f>"20190312164250686"</f>
        <v>20190312164250686</v>
      </c>
      <c r="B1492" t="str">
        <f>"1552380170675282"</f>
        <v>1552380170675282</v>
      </c>
      <c r="C1492" t="s">
        <v>40</v>
      </c>
      <c r="D1492">
        <v>4.451956</v>
      </c>
      <c r="E1492">
        <v>0.50452770000000002</v>
      </c>
      <c r="F1492" t="s">
        <v>41</v>
      </c>
      <c r="G1492">
        <v>-251.26410000000001</v>
      </c>
      <c r="H1492">
        <v>1.0394460000000001</v>
      </c>
      <c r="I1492">
        <v>283.75420000000003</v>
      </c>
      <c r="J1492">
        <v>-250.60919999999999</v>
      </c>
      <c r="K1492">
        <v>1.1095870000000001</v>
      </c>
      <c r="L1492">
        <v>283.74900000000002</v>
      </c>
      <c r="M1492">
        <v>-0.99985990000000002</v>
      </c>
      <c r="N1492">
        <v>0</v>
      </c>
      <c r="O1492">
        <v>1.54994E-2</v>
      </c>
      <c r="P1492">
        <v>-0.98864010000000002</v>
      </c>
      <c r="Q1492">
        <v>0.14985119999999999</v>
      </c>
      <c r="R1492">
        <v>1.165302E-2</v>
      </c>
      <c r="S1492">
        <v>-3.0664370000000001</v>
      </c>
      <c r="T1492">
        <v>-0.2134626</v>
      </c>
      <c r="U1492">
        <v>3.1372070000000002E-2</v>
      </c>
      <c r="V1492">
        <v>-3.7616199999999998E-3</v>
      </c>
      <c r="W1492">
        <v>0.15611549999999999</v>
      </c>
      <c r="X1492">
        <v>0.98773160000000004</v>
      </c>
      <c r="Y1492">
        <v>-5.2197429999999998E-3</v>
      </c>
      <c r="Z1492">
        <v>-1.2590450000000001E-3</v>
      </c>
      <c r="AA1492">
        <v>0.99998560000000003</v>
      </c>
      <c r="AB1492">
        <v>35</v>
      </c>
      <c r="AC1492">
        <v>-0.65490000000002602</v>
      </c>
      <c r="AD1492">
        <v>-7.0141000000000203E-2</v>
      </c>
      <c r="AE1492">
        <v>5.2000000000020901E-3</v>
      </c>
      <c r="AF1492">
        <v>-4.8952357241443898E-3</v>
      </c>
      <c r="AG1492">
        <v>-7.0141000000000203E-2</v>
      </c>
      <c r="AH1492">
        <v>0.64747533130537405</v>
      </c>
      <c r="AI1492">
        <v>96.182565834252301</v>
      </c>
      <c r="AJ1492">
        <v>90.4331763531723</v>
      </c>
      <c r="AK1492">
        <v>0.65128183443329601</v>
      </c>
      <c r="AL1492">
        <v>81.018502287303704</v>
      </c>
      <c r="AM1492">
        <v>90.218200883911905</v>
      </c>
      <c r="AN1492">
        <v>0.99999995638191597</v>
      </c>
    </row>
    <row r="1493" spans="1:40" x14ac:dyDescent="0.25">
      <c r="A1493" t="str">
        <f>"20190312164250707"</f>
        <v>20190312164250707</v>
      </c>
      <c r="B1493" t="str">
        <f>"1552380170695774"</f>
        <v>1552380170695774</v>
      </c>
      <c r="C1493" t="s">
        <v>40</v>
      </c>
      <c r="D1493">
        <v>4.6999089999999999</v>
      </c>
      <c r="E1493">
        <v>0.50464370000000003</v>
      </c>
      <c r="F1493" t="s">
        <v>41</v>
      </c>
      <c r="G1493">
        <v>-251.57810000000001</v>
      </c>
      <c r="H1493">
        <v>1.0426260000000001</v>
      </c>
      <c r="I1493">
        <v>283.75959999999998</v>
      </c>
      <c r="J1493">
        <v>-250.94309999999999</v>
      </c>
      <c r="K1493">
        <v>1.1095839999999999</v>
      </c>
      <c r="L1493">
        <v>283.75389999999999</v>
      </c>
      <c r="M1493">
        <v>-0.99986399999999998</v>
      </c>
      <c r="N1493">
        <v>0</v>
      </c>
      <c r="O1493">
        <v>1.5235729999999999E-2</v>
      </c>
      <c r="P1493">
        <v>-0.98844529999999997</v>
      </c>
      <c r="Q1493">
        <v>0.15110899999999999</v>
      </c>
      <c r="R1493">
        <v>1.191732E-2</v>
      </c>
      <c r="S1493">
        <v>-3.0661770000000002</v>
      </c>
      <c r="T1493">
        <v>-0.21190729999999999</v>
      </c>
      <c r="U1493">
        <v>3.363037E-2</v>
      </c>
      <c r="V1493">
        <v>-3.2348770000000002E-3</v>
      </c>
      <c r="W1493">
        <v>0.15736439999999999</v>
      </c>
      <c r="X1493">
        <v>0.9875353</v>
      </c>
      <c r="Y1493">
        <v>-4.2224690000000004E-3</v>
      </c>
      <c r="Z1493">
        <v>-1.197374E-3</v>
      </c>
      <c r="AA1493">
        <v>0.9999903</v>
      </c>
      <c r="AB1493">
        <v>35</v>
      </c>
      <c r="AC1493">
        <v>-0.63500000000001899</v>
      </c>
      <c r="AD1493">
        <v>-6.6957999999999795E-2</v>
      </c>
      <c r="AE1493">
        <v>5.6999999999902597E-3</v>
      </c>
      <c r="AF1493">
        <v>-3.9318293125703702E-3</v>
      </c>
      <c r="AG1493">
        <v>-6.6957999999999795E-2</v>
      </c>
      <c r="AH1493">
        <v>0.62803075871298397</v>
      </c>
      <c r="AI1493">
        <v>96.085527956925006</v>
      </c>
      <c r="AJ1493">
        <v>90.358699441221006</v>
      </c>
      <c r="AK1493">
        <v>0.63160230124291805</v>
      </c>
      <c r="AL1493">
        <v>80.946050405260806</v>
      </c>
      <c r="AM1493">
        <v>90.187683555631395</v>
      </c>
      <c r="AN1493">
        <v>0.99999999378132698</v>
      </c>
    </row>
    <row r="1494" spans="1:40" x14ac:dyDescent="0.25">
      <c r="A1494" t="str">
        <f>"20190312164250731"</f>
        <v>20190312164250731</v>
      </c>
      <c r="B1494" t="str">
        <f>"1552380170726030"</f>
        <v>1552380170726030</v>
      </c>
      <c r="C1494" t="s">
        <v>40</v>
      </c>
      <c r="D1494">
        <v>4.4554410000000004</v>
      </c>
      <c r="E1494">
        <v>0.50474770000000002</v>
      </c>
      <c r="F1494" t="s">
        <v>41</v>
      </c>
      <c r="G1494">
        <v>-251.90219999999999</v>
      </c>
      <c r="H1494">
        <v>1.0449569999999999</v>
      </c>
      <c r="I1494">
        <v>283.76519999999999</v>
      </c>
      <c r="J1494">
        <v>-251.32400000000001</v>
      </c>
      <c r="K1494">
        <v>1.109585</v>
      </c>
      <c r="L1494">
        <v>283.7595</v>
      </c>
      <c r="M1494">
        <v>-0.99986850000000005</v>
      </c>
      <c r="N1494">
        <v>0</v>
      </c>
      <c r="O1494">
        <v>1.493529E-2</v>
      </c>
      <c r="P1494">
        <v>-0.98835430000000002</v>
      </c>
      <c r="Q1494">
        <v>0.1517095</v>
      </c>
      <c r="R1494">
        <v>1.185246E-2</v>
      </c>
      <c r="S1494">
        <v>-3.0662690000000001</v>
      </c>
      <c r="T1494">
        <v>-0.2068101</v>
      </c>
      <c r="U1494">
        <v>3.5400389999999997E-2</v>
      </c>
      <c r="V1494">
        <v>-3.0024409999999998E-3</v>
      </c>
      <c r="W1494">
        <v>0.1579535</v>
      </c>
      <c r="X1494">
        <v>0.98744200000000004</v>
      </c>
      <c r="Y1494">
        <v>-3.350011E-3</v>
      </c>
      <c r="Z1494">
        <v>-1.118974E-3</v>
      </c>
      <c r="AA1494">
        <v>0.99999369999999999</v>
      </c>
      <c r="AB1494">
        <v>35</v>
      </c>
      <c r="AC1494">
        <v>-0.57819999999998095</v>
      </c>
      <c r="AD1494">
        <v>-6.4628000000000102E-2</v>
      </c>
      <c r="AE1494">
        <v>5.6999999999902597E-3</v>
      </c>
      <c r="AF1494">
        <v>-2.9001630774234499E-3</v>
      </c>
      <c r="AG1494">
        <v>-6.4628000000000102E-2</v>
      </c>
      <c r="AH1494">
        <v>0.57108644534662301</v>
      </c>
      <c r="AI1494">
        <v>96.456426188977204</v>
      </c>
      <c r="AJ1494">
        <v>90.290964138901302</v>
      </c>
      <c r="AK1494">
        <v>0.57473899936276995</v>
      </c>
      <c r="AL1494">
        <v>80.911870164564903</v>
      </c>
      <c r="AM1494">
        <v>90.174214452480697</v>
      </c>
      <c r="AN1494">
        <v>1.0000000130891</v>
      </c>
    </row>
    <row r="1495" spans="1:40" x14ac:dyDescent="0.25">
      <c r="A1495" t="str">
        <f>"20190312164250754"</f>
        <v>20190312164250754</v>
      </c>
      <c r="B1495" t="str">
        <f>"1552380170745550"</f>
        <v>1552380170745550</v>
      </c>
      <c r="C1495" t="s">
        <v>40</v>
      </c>
      <c r="D1495">
        <v>4.8171119999999998</v>
      </c>
      <c r="E1495">
        <v>0.50479439999999998</v>
      </c>
      <c r="F1495" t="s">
        <v>46</v>
      </c>
      <c r="G1495">
        <v>-268.00150000000002</v>
      </c>
      <c r="H1495" s="1">
        <v>2.7212220000000001E-6</v>
      </c>
      <c r="I1495">
        <v>283.952</v>
      </c>
      <c r="J1495">
        <v>-251.66980000000001</v>
      </c>
      <c r="K1495">
        <v>1.109577</v>
      </c>
      <c r="L1495">
        <v>283.76440000000002</v>
      </c>
      <c r="M1495">
        <v>-0.99987269999999995</v>
      </c>
      <c r="N1495">
        <v>0</v>
      </c>
      <c r="O1495">
        <v>1.4663580000000001E-2</v>
      </c>
      <c r="P1495">
        <v>-0.98850470000000001</v>
      </c>
      <c r="Q1495">
        <v>0.15074000000000001</v>
      </c>
      <c r="R1495">
        <v>1.1686200000000001E-2</v>
      </c>
      <c r="S1495">
        <v>-3.0662539999999998</v>
      </c>
      <c r="T1495">
        <v>-0.2040025</v>
      </c>
      <c r="U1495">
        <v>3.5400389999999997E-2</v>
      </c>
      <c r="V1495">
        <v>-2.9021379999999999E-3</v>
      </c>
      <c r="W1495">
        <v>0.15697549999999999</v>
      </c>
      <c r="X1495">
        <v>0.98759819999999998</v>
      </c>
      <c r="Y1495">
        <v>-3.0805260000000001E-3</v>
      </c>
      <c r="Z1495">
        <v>-1.076813E-3</v>
      </c>
      <c r="AA1495">
        <v>0.99999470000000001</v>
      </c>
      <c r="AB1495">
        <v>35</v>
      </c>
      <c r="AC1495">
        <v>-16.331700000000001</v>
      </c>
      <c r="AD1495">
        <v>-1.1095742787780001</v>
      </c>
      <c r="AE1495">
        <v>0.18759999999997401</v>
      </c>
      <c r="AF1495">
        <v>-5.16676400905349E-2</v>
      </c>
      <c r="AG1495">
        <v>-1.1095742787780001</v>
      </c>
      <c r="AH1495">
        <v>16.257662218652499</v>
      </c>
      <c r="AI1495">
        <v>93.9043233476268</v>
      </c>
      <c r="AJ1495">
        <v>90.182088156856196</v>
      </c>
      <c r="AK1495">
        <v>16.295563980450599</v>
      </c>
      <c r="AL1495">
        <v>80.968612912796601</v>
      </c>
      <c r="AM1495">
        <v>90.168367844678599</v>
      </c>
      <c r="AN1495">
        <v>0.99999996732422902</v>
      </c>
    </row>
    <row r="1496" spans="1:40" x14ac:dyDescent="0.25">
      <c r="A1496" t="str">
        <f>"20190312164250775"</f>
        <v>20190312164250775</v>
      </c>
      <c r="B1496" t="str">
        <f>"1552380170766048"</f>
        <v>1552380170766048</v>
      </c>
      <c r="C1496" t="s">
        <v>40</v>
      </c>
      <c r="D1496">
        <v>4.7354070000000004</v>
      </c>
      <c r="E1496">
        <v>0.50482320000000003</v>
      </c>
      <c r="F1496" t="s">
        <v>46</v>
      </c>
      <c r="G1496">
        <v>-268.10809999999998</v>
      </c>
      <c r="H1496" s="1">
        <v>2.7779379999999999E-6</v>
      </c>
      <c r="I1496">
        <v>283.94909999999999</v>
      </c>
      <c r="J1496">
        <v>-252.01830000000001</v>
      </c>
      <c r="K1496">
        <v>1.1095660000000001</v>
      </c>
      <c r="L1496">
        <v>283.76929999999999</v>
      </c>
      <c r="M1496">
        <v>-0.9998766</v>
      </c>
      <c r="N1496">
        <v>0</v>
      </c>
      <c r="O1496">
        <v>1.439386E-2</v>
      </c>
      <c r="P1496">
        <v>-0.98869940000000001</v>
      </c>
      <c r="Q1496">
        <v>0.1494954</v>
      </c>
      <c r="R1496">
        <v>1.1169449999999999E-2</v>
      </c>
      <c r="S1496">
        <v>-3.0660400000000001</v>
      </c>
      <c r="T1496">
        <v>-0.20695630000000001</v>
      </c>
      <c r="U1496">
        <v>3.4454350000000002E-2</v>
      </c>
      <c r="V1496">
        <v>-3.1537729999999999E-3</v>
      </c>
      <c r="W1496">
        <v>0.15572130000000001</v>
      </c>
      <c r="X1496">
        <v>0.98779600000000001</v>
      </c>
      <c r="Y1496">
        <v>-3.1178590000000002E-3</v>
      </c>
      <c r="Z1496">
        <v>-1.0755230000000001E-3</v>
      </c>
      <c r="AA1496">
        <v>0.99999459999999996</v>
      </c>
      <c r="AB1496">
        <v>35</v>
      </c>
      <c r="AC1496">
        <v>-16.089799999999901</v>
      </c>
      <c r="AD1496">
        <v>-1.109563222062</v>
      </c>
      <c r="AE1496">
        <v>0.17979999999999999</v>
      </c>
      <c r="AF1496">
        <v>-5.1572316713364902E-2</v>
      </c>
      <c r="AG1496">
        <v>-1.109563222062</v>
      </c>
      <c r="AH1496">
        <v>16.014572195441598</v>
      </c>
      <c r="AI1496">
        <v>93.963360873489293</v>
      </c>
      <c r="AJ1496">
        <v>90.1845110713422</v>
      </c>
      <c r="AK1496">
        <v>16.053046840105299</v>
      </c>
      <c r="AL1496">
        <v>81.041368359371006</v>
      </c>
      <c r="AM1496">
        <v>90.182929743044596</v>
      </c>
      <c r="AN1496">
        <v>1.0000000035869101</v>
      </c>
    </row>
    <row r="1497" spans="1:40" x14ac:dyDescent="0.25">
      <c r="A1497" t="str">
        <f>"20190312164250797"</f>
        <v>20190312164250797</v>
      </c>
      <c r="B1497" t="str">
        <f>"1552380170785570"</f>
        <v>1552380170785570</v>
      </c>
      <c r="C1497" t="s">
        <v>40</v>
      </c>
      <c r="D1497">
        <v>4.6881029999999999</v>
      </c>
      <c r="E1497">
        <v>0.50483979999999995</v>
      </c>
      <c r="F1497" t="s">
        <v>46</v>
      </c>
      <c r="G1497">
        <v>-268.178</v>
      </c>
      <c r="H1497" s="1">
        <v>2.815134E-6</v>
      </c>
      <c r="I1497">
        <v>283.94909999999999</v>
      </c>
      <c r="J1497">
        <v>-252.35329999999999</v>
      </c>
      <c r="K1497">
        <v>1.1095520000000001</v>
      </c>
      <c r="L1497">
        <v>283.77379999999999</v>
      </c>
      <c r="M1497">
        <v>-0.99988030000000006</v>
      </c>
      <c r="N1497">
        <v>0</v>
      </c>
      <c r="O1497">
        <v>1.4141020000000001E-2</v>
      </c>
      <c r="P1497">
        <v>-0.98875590000000002</v>
      </c>
      <c r="Q1497">
        <v>0.1491614</v>
      </c>
      <c r="R1497">
        <v>1.0627859999999999E-2</v>
      </c>
      <c r="S1497">
        <v>-3.0657350000000001</v>
      </c>
      <c r="T1497">
        <v>-0.2105011</v>
      </c>
      <c r="U1497">
        <v>3.411865E-2</v>
      </c>
      <c r="V1497">
        <v>-3.4450520000000001E-3</v>
      </c>
      <c r="W1497">
        <v>0.1553755</v>
      </c>
      <c r="X1497">
        <v>0.98784950000000005</v>
      </c>
      <c r="Y1497">
        <v>-2.972911E-3</v>
      </c>
      <c r="Z1497">
        <v>-1.071703E-3</v>
      </c>
      <c r="AA1497">
        <v>0.99999499999999997</v>
      </c>
      <c r="AB1497">
        <v>35</v>
      </c>
      <c r="AC1497">
        <v>-15.8247</v>
      </c>
      <c r="AD1497">
        <v>-1.109549184866</v>
      </c>
      <c r="AE1497">
        <v>0.17529999999999199</v>
      </c>
      <c r="AF1497">
        <v>-4.8262105457646601E-2</v>
      </c>
      <c r="AG1497">
        <v>-1.109549184866</v>
      </c>
      <c r="AH1497">
        <v>15.7481861926885</v>
      </c>
      <c r="AI1497">
        <v>94.030134548987604</v>
      </c>
      <c r="AJ1497">
        <v>90.175588874967502</v>
      </c>
      <c r="AK1497">
        <v>15.7872985967849</v>
      </c>
      <c r="AL1497">
        <v>81.061425557034894</v>
      </c>
      <c r="AM1497">
        <v>90.199813979349102</v>
      </c>
      <c r="AN1497">
        <v>1.0000000245168901</v>
      </c>
    </row>
    <row r="1498" spans="1:40" x14ac:dyDescent="0.25">
      <c r="A1498" t="str">
        <f>"20190312164250819"</f>
        <v>20190312164250819</v>
      </c>
      <c r="B1498" t="str">
        <f>"1552380170815823"</f>
        <v>1552380170815823</v>
      </c>
      <c r="C1498" t="s">
        <v>40</v>
      </c>
      <c r="D1498">
        <v>4.4905200000000001</v>
      </c>
      <c r="E1498">
        <v>0.50497709999999996</v>
      </c>
      <c r="F1498" t="s">
        <v>46</v>
      </c>
      <c r="G1498">
        <v>-268.46789999999999</v>
      </c>
      <c r="H1498" s="1">
        <v>2.9694260000000002E-6</v>
      </c>
      <c r="I1498">
        <v>283.94630000000001</v>
      </c>
      <c r="J1498">
        <v>-252.70009999999999</v>
      </c>
      <c r="K1498">
        <v>1.109542</v>
      </c>
      <c r="L1498">
        <v>283.77859999999998</v>
      </c>
      <c r="M1498">
        <v>-0.999884</v>
      </c>
      <c r="N1498">
        <v>0</v>
      </c>
      <c r="O1498">
        <v>1.3888340000000001E-2</v>
      </c>
      <c r="P1498">
        <v>-0.9888093</v>
      </c>
      <c r="Q1498">
        <v>0.14879300000000001</v>
      </c>
      <c r="R1498">
        <v>1.0822210000000001E-2</v>
      </c>
      <c r="S1498">
        <v>-3.0656129999999999</v>
      </c>
      <c r="T1498">
        <v>-0.2110785</v>
      </c>
      <c r="U1498">
        <v>3.2806399999999999E-2</v>
      </c>
      <c r="V1498">
        <v>-2.9991570000000001E-3</v>
      </c>
      <c r="W1498">
        <v>0.15499260000000001</v>
      </c>
      <c r="X1498">
        <v>0.98791110000000004</v>
      </c>
      <c r="Y1498">
        <v>-3.1477150000000001E-3</v>
      </c>
      <c r="Z1498">
        <v>-1.063317E-3</v>
      </c>
      <c r="AA1498">
        <v>0.99999450000000001</v>
      </c>
      <c r="AB1498">
        <v>35</v>
      </c>
      <c r="AC1498">
        <v>-15.7677999999999</v>
      </c>
      <c r="AD1498">
        <v>-1.1095390305740001</v>
      </c>
      <c r="AE1498">
        <v>0.167700000000024</v>
      </c>
      <c r="AF1498">
        <v>-5.1056243772713603E-2</v>
      </c>
      <c r="AG1498">
        <v>-1.1095390305740001</v>
      </c>
      <c r="AH1498">
        <v>15.690922373392301</v>
      </c>
      <c r="AI1498">
        <v>94.044754439698195</v>
      </c>
      <c r="AJ1498">
        <v>90.186432441149606</v>
      </c>
      <c r="AK1498">
        <v>15.730185266811599</v>
      </c>
      <c r="AL1498">
        <v>81.083633113359994</v>
      </c>
      <c r="AM1498">
        <v>90.173941268891397</v>
      </c>
      <c r="AN1498">
        <v>1.0000000212503399</v>
      </c>
    </row>
    <row r="1499" spans="1:40" x14ac:dyDescent="0.25">
      <c r="A1499" t="str">
        <f>"20190312164250908"</f>
        <v>20190312164250908</v>
      </c>
      <c r="B1499" t="str">
        <f>"1552380170905615"</f>
        <v>1552380170905615</v>
      </c>
      <c r="C1499" t="s">
        <v>40</v>
      </c>
      <c r="D1499">
        <v>4.163424</v>
      </c>
      <c r="E1499">
        <v>0.50842319999999996</v>
      </c>
      <c r="F1499" t="s">
        <v>46</v>
      </c>
      <c r="G1499">
        <v>-268.7253</v>
      </c>
      <c r="H1499" s="1">
        <v>3.106352E-6</v>
      </c>
      <c r="I1499">
        <v>283.95679999999999</v>
      </c>
      <c r="J1499">
        <v>-254.12309999999999</v>
      </c>
      <c r="K1499">
        <v>1.1094759999999999</v>
      </c>
      <c r="L1499">
        <v>283.79700000000003</v>
      </c>
      <c r="M1499">
        <v>-0.99989649999999997</v>
      </c>
      <c r="N1499">
        <v>0</v>
      </c>
      <c r="O1499">
        <v>1.2975560000000001E-2</v>
      </c>
      <c r="P1499">
        <v>-0.98919080000000004</v>
      </c>
      <c r="Q1499">
        <v>0.14625250000000001</v>
      </c>
      <c r="R1499">
        <v>1.058826E-2</v>
      </c>
      <c r="S1499">
        <v>-3.0655060000000001</v>
      </c>
      <c r="T1499">
        <v>-0.2122481</v>
      </c>
      <c r="U1499">
        <v>3.4088130000000001E-2</v>
      </c>
      <c r="V1499">
        <v>-2.3212879999999999E-3</v>
      </c>
      <c r="W1499">
        <v>0.1523969</v>
      </c>
      <c r="X1499">
        <v>0.98831670000000005</v>
      </c>
      <c r="Y1499">
        <v>-1.82131E-3</v>
      </c>
      <c r="Z1499">
        <v>-9.6025060000000005E-4</v>
      </c>
      <c r="AA1499">
        <v>0.9999979</v>
      </c>
      <c r="AB1499">
        <v>36</v>
      </c>
      <c r="AC1499">
        <v>-14.6022</v>
      </c>
      <c r="AD1499">
        <v>-1.1094728936480001</v>
      </c>
      <c r="AE1499">
        <v>0.159799999999961</v>
      </c>
      <c r="AF1499">
        <v>-2.9518447164584401E-2</v>
      </c>
      <c r="AG1499">
        <v>-1.1094728936480001</v>
      </c>
      <c r="AH1499">
        <v>14.519235591216599</v>
      </c>
      <c r="AI1499">
        <v>94.369698948791395</v>
      </c>
      <c r="AJ1499">
        <v>90.116485478831393</v>
      </c>
      <c r="AK1499">
        <v>14.561593442810899</v>
      </c>
      <c r="AL1499">
        <v>81.234144393503499</v>
      </c>
      <c r="AM1499">
        <v>90.134572005986598</v>
      </c>
      <c r="AN1499">
        <v>1.0000000515032299</v>
      </c>
    </row>
    <row r="1500" spans="1:40" x14ac:dyDescent="0.25">
      <c r="A1500" t="str">
        <f>"20190312164250932"</f>
        <v>20190312164250932</v>
      </c>
      <c r="B1500" t="str">
        <f>"1552380170926110"</f>
        <v>1552380170926110</v>
      </c>
      <c r="C1500" t="s">
        <v>40</v>
      </c>
      <c r="D1500">
        <v>4.4220949999999997</v>
      </c>
      <c r="E1500">
        <v>0.50842319999999996</v>
      </c>
      <c r="F1500" t="s">
        <v>41</v>
      </c>
      <c r="G1500">
        <v>-255.00389999999999</v>
      </c>
      <c r="H1500">
        <v>0.92191140000000005</v>
      </c>
      <c r="I1500">
        <v>283.80700000000002</v>
      </c>
      <c r="J1500">
        <v>-254.51480000000001</v>
      </c>
      <c r="K1500">
        <v>1.1094649999999999</v>
      </c>
      <c r="L1500">
        <v>283.80180000000001</v>
      </c>
      <c r="M1500">
        <v>-0.99989939999999999</v>
      </c>
      <c r="N1500">
        <v>0</v>
      </c>
      <c r="O1500">
        <v>1.2755890000000001E-2</v>
      </c>
      <c r="P1500">
        <v>-0.98918309999999998</v>
      </c>
      <c r="Q1500">
        <v>0.14629439999999999</v>
      </c>
      <c r="R1500">
        <v>1.072503E-2</v>
      </c>
      <c r="S1500">
        <v>-3.1310120000000001</v>
      </c>
      <c r="T1500">
        <v>-0.66687109999999905</v>
      </c>
      <c r="U1500">
        <v>3.5003659999999999E-2</v>
      </c>
      <c r="V1500">
        <v>-1.9645299999999999E-3</v>
      </c>
      <c r="W1500">
        <v>0.15242939999999999</v>
      </c>
      <c r="X1500">
        <v>0.98831239999999998</v>
      </c>
      <c r="Y1500">
        <v>-1.2628940000000001E-3</v>
      </c>
      <c r="Z1500">
        <v>-2.8195960000000002E-3</v>
      </c>
      <c r="AA1500">
        <v>0.99999519999999997</v>
      </c>
      <c r="AB1500">
        <v>36</v>
      </c>
      <c r="AC1500">
        <v>-0.489099999999979</v>
      </c>
      <c r="AD1500">
        <v>-0.18755359999999999</v>
      </c>
      <c r="AE1500">
        <v>5.2000000000020901E-3</v>
      </c>
      <c r="AF1500">
        <v>-9.0620888909637598E-4</v>
      </c>
      <c r="AG1500">
        <v>-0.18755359999999999</v>
      </c>
      <c r="AH1500">
        <v>0.42642866707647398</v>
      </c>
      <c r="AI1500">
        <v>113.741002096404</v>
      </c>
      <c r="AJ1500">
        <v>90.121759793723498</v>
      </c>
      <c r="AK1500">
        <v>0.465852532666861</v>
      </c>
      <c r="AL1500">
        <v>81.232259730782999</v>
      </c>
      <c r="AM1500">
        <v>90.113890232966</v>
      </c>
      <c r="AN1500">
        <v>0.99999999067811995</v>
      </c>
    </row>
    <row r="1501" spans="1:40" x14ac:dyDescent="0.25">
      <c r="A1501" t="str">
        <f>"20190312164250955"</f>
        <v>20190312164250955</v>
      </c>
      <c r="B1501" t="str">
        <f>"1552380170945631"</f>
        <v>1552380170945631</v>
      </c>
      <c r="C1501" t="s">
        <v>40</v>
      </c>
      <c r="D1501">
        <v>4.442774</v>
      </c>
      <c r="E1501">
        <v>0.52010049999999997</v>
      </c>
      <c r="F1501" t="s">
        <v>41</v>
      </c>
      <c r="G1501">
        <v>-255.33199999999999</v>
      </c>
      <c r="H1501">
        <v>0.93545279999999997</v>
      </c>
      <c r="I1501">
        <v>283.81110000000001</v>
      </c>
      <c r="J1501">
        <v>-254.8734</v>
      </c>
      <c r="K1501">
        <v>1.109456</v>
      </c>
      <c r="L1501">
        <v>283.80630000000002</v>
      </c>
      <c r="M1501">
        <v>-0.99990190000000001</v>
      </c>
      <c r="N1501">
        <v>0</v>
      </c>
      <c r="O1501">
        <v>1.256344E-2</v>
      </c>
      <c r="P1501">
        <v>-0.9891413</v>
      </c>
      <c r="Q1501">
        <v>0.14654400000000001</v>
      </c>
      <c r="R1501">
        <v>1.117169E-2</v>
      </c>
      <c r="S1501">
        <v>-3.1310419999999999</v>
      </c>
      <c r="T1501">
        <v>-0.66672869999999995</v>
      </c>
      <c r="U1501">
        <v>3.5064699999999997E-2</v>
      </c>
      <c r="V1501">
        <v>-1.324972E-3</v>
      </c>
      <c r="W1501">
        <v>0.152674</v>
      </c>
      <c r="X1501">
        <v>0.98827569999999998</v>
      </c>
      <c r="Y1501">
        <v>-1.0600379999999999E-3</v>
      </c>
      <c r="Z1501">
        <v>-2.7570989999999998E-3</v>
      </c>
      <c r="AA1501">
        <v>0.99999559999999998</v>
      </c>
      <c r="AB1501">
        <v>36</v>
      </c>
      <c r="AC1501">
        <v>-0.45859999999998902</v>
      </c>
      <c r="AD1501">
        <v>-0.1740032</v>
      </c>
      <c r="AE1501">
        <v>4.7999999999888097E-3</v>
      </c>
      <c r="AF1501">
        <v>-8.41021461657095E-4</v>
      </c>
      <c r="AG1501">
        <v>-0.1740032</v>
      </c>
      <c r="AH1501">
        <v>0.40091421906187003</v>
      </c>
      <c r="AI1501">
        <v>113.461570616987</v>
      </c>
      <c r="AJ1501">
        <v>90.1201925680312</v>
      </c>
      <c r="AK1501">
        <v>0.43704694481637602</v>
      </c>
      <c r="AL1501">
        <v>81.218079134659405</v>
      </c>
      <c r="AM1501">
        <v>90.076815870397596</v>
      </c>
      <c r="AN1501">
        <v>0.99999998251864497</v>
      </c>
    </row>
    <row r="1502" spans="1:40" x14ac:dyDescent="0.25">
      <c r="A1502" t="str">
        <f>"20190312164250976"</f>
        <v>20190312164250976</v>
      </c>
      <c r="B1502" t="str">
        <f>"1552380170966130"</f>
        <v>1552380170966130</v>
      </c>
      <c r="C1502" t="s">
        <v>40</v>
      </c>
      <c r="D1502">
        <v>4.415203</v>
      </c>
      <c r="E1502">
        <v>0.51711169999999995</v>
      </c>
      <c r="F1502" t="s">
        <v>46</v>
      </c>
      <c r="G1502">
        <v>-275.125</v>
      </c>
      <c r="H1502" s="1">
        <v>1.179897E-6</v>
      </c>
      <c r="I1502">
        <v>284.8587</v>
      </c>
      <c r="J1502">
        <v>-255.22579999999999</v>
      </c>
      <c r="K1502">
        <v>1.1094409999999999</v>
      </c>
      <c r="L1502">
        <v>283.81060000000002</v>
      </c>
      <c r="M1502">
        <v>-0.99990420000000002</v>
      </c>
      <c r="N1502">
        <v>0</v>
      </c>
      <c r="O1502">
        <v>1.238009E-2</v>
      </c>
      <c r="P1502">
        <v>-0.98916329999999997</v>
      </c>
      <c r="Q1502">
        <v>0.1463854</v>
      </c>
      <c r="R1502">
        <v>1.128506E-2</v>
      </c>
      <c r="S1502">
        <v>-3.0559229999999999</v>
      </c>
      <c r="T1502">
        <v>-0.16741420000000001</v>
      </c>
      <c r="U1502">
        <v>0.1588135</v>
      </c>
      <c r="V1502">
        <v>-1.028585E-3</v>
      </c>
      <c r="W1502">
        <v>0.1525128</v>
      </c>
      <c r="X1502">
        <v>0.98830099999999999</v>
      </c>
      <c r="Y1502">
        <v>3.9490869999999997E-2</v>
      </c>
      <c r="Z1502">
        <v>4.0297999999999999E-4</v>
      </c>
      <c r="AA1502">
        <v>0.99921979999999999</v>
      </c>
      <c r="AB1502">
        <v>36</v>
      </c>
      <c r="AC1502">
        <v>-19.8992</v>
      </c>
      <c r="AD1502">
        <v>-1.10943982010299</v>
      </c>
      <c r="AE1502">
        <v>1.0480999999999701</v>
      </c>
      <c r="AF1502">
        <v>0.799183760067393</v>
      </c>
      <c r="AG1502">
        <v>-1.10943982010299</v>
      </c>
      <c r="AH1502">
        <v>19.849122530427401</v>
      </c>
      <c r="AI1502">
        <v>93.196556738795806</v>
      </c>
      <c r="AJ1502">
        <v>87.694349605905799</v>
      </c>
      <c r="AK1502">
        <v>19.896160851398101</v>
      </c>
      <c r="AL1502">
        <v>81.227425162148705</v>
      </c>
      <c r="AM1502">
        <v>90.059631183305299</v>
      </c>
      <c r="AN1502">
        <v>1.00000003937597</v>
      </c>
    </row>
    <row r="1503" spans="1:40" x14ac:dyDescent="0.25">
      <c r="A1503" t="str">
        <f>"20190312164250997"</f>
        <v>20190312164250997</v>
      </c>
      <c r="B1503" t="str">
        <f>"1552380170985647"</f>
        <v>1552380170985647</v>
      </c>
      <c r="C1503" t="s">
        <v>40</v>
      </c>
      <c r="D1503">
        <v>4.4460459999999999</v>
      </c>
      <c r="E1503">
        <v>0.51553649999999995</v>
      </c>
      <c r="F1503" t="s">
        <v>46</v>
      </c>
      <c r="G1503">
        <v>-273.62389999999999</v>
      </c>
      <c r="H1503" s="1">
        <v>3.9163379999999999E-7</v>
      </c>
      <c r="I1503">
        <v>284.61759999999998</v>
      </c>
      <c r="J1503">
        <v>-255.56710000000001</v>
      </c>
      <c r="K1503">
        <v>1.1094329999999999</v>
      </c>
      <c r="L1503">
        <v>283.81459999999998</v>
      </c>
      <c r="M1503">
        <v>-0.99990630000000003</v>
      </c>
      <c r="N1503">
        <v>0</v>
      </c>
      <c r="O1503">
        <v>1.220602E-2</v>
      </c>
      <c r="P1503">
        <v>-0.98913180000000001</v>
      </c>
      <c r="Q1503">
        <v>0.14659079999999999</v>
      </c>
      <c r="R1503">
        <v>1.1365800000000001E-2</v>
      </c>
      <c r="S1503">
        <v>-3.058624</v>
      </c>
      <c r="T1503">
        <v>-0.18444060000000001</v>
      </c>
      <c r="U1503">
        <v>0.13415529999999901</v>
      </c>
      <c r="V1503">
        <v>-7.7360919999999896E-4</v>
      </c>
      <c r="W1503">
        <v>0.1527182</v>
      </c>
      <c r="X1503">
        <v>0.98826939999999996</v>
      </c>
      <c r="Y1503">
        <v>3.1586250000000003E-2</v>
      </c>
      <c r="Z1503">
        <v>2.160578E-4</v>
      </c>
      <c r="AA1503">
        <v>0.99950099999999997</v>
      </c>
      <c r="AB1503">
        <v>36</v>
      </c>
      <c r="AC1503">
        <v>-18.0567999999999</v>
      </c>
      <c r="AD1503">
        <v>-1.1094326083661901</v>
      </c>
      <c r="AE1503">
        <v>0.80299999999999705</v>
      </c>
      <c r="AF1503">
        <v>0.58034777750876498</v>
      </c>
      <c r="AG1503">
        <v>-1.1094326083661901</v>
      </c>
      <c r="AH1503">
        <v>17.9974496131885</v>
      </c>
      <c r="AI1503">
        <v>93.525642633191794</v>
      </c>
      <c r="AJ1503">
        <v>88.153073846132301</v>
      </c>
      <c r="AK1503">
        <v>18.040948889529801</v>
      </c>
      <c r="AL1503">
        <v>81.215516119634302</v>
      </c>
      <c r="AM1503">
        <v>90.044850658230402</v>
      </c>
      <c r="AN1503">
        <v>0.999999927029394</v>
      </c>
    </row>
    <row r="1504" spans="1:40" x14ac:dyDescent="0.25">
      <c r="A1504" t="str">
        <f>"20190312164251019"</f>
        <v>20190312164251019</v>
      </c>
      <c r="B1504" t="str">
        <f>"1552380171015903"</f>
        <v>1552380171015903</v>
      </c>
      <c r="C1504" t="s">
        <v>40</v>
      </c>
      <c r="D1504">
        <v>4.5396390000000002</v>
      </c>
      <c r="E1504">
        <v>0.51508109999999996</v>
      </c>
      <c r="F1504" t="s">
        <v>46</v>
      </c>
      <c r="G1504">
        <v>-273.62259999999998</v>
      </c>
      <c r="H1504" s="1">
        <v>3.9475499999999999E-7</v>
      </c>
      <c r="I1504">
        <v>284.52960000000002</v>
      </c>
      <c r="J1504">
        <v>-255.9332</v>
      </c>
      <c r="K1504">
        <v>1.109434</v>
      </c>
      <c r="L1504">
        <v>283.81889999999999</v>
      </c>
      <c r="M1504">
        <v>-0.99990860000000004</v>
      </c>
      <c r="N1504">
        <v>0</v>
      </c>
      <c r="O1504">
        <v>1.202192E-2</v>
      </c>
      <c r="P1504">
        <v>-0.98918269999999997</v>
      </c>
      <c r="Q1504">
        <v>0.1462562</v>
      </c>
      <c r="R1504">
        <v>1.12706E-2</v>
      </c>
      <c r="S1504">
        <v>-3.059418</v>
      </c>
      <c r="T1504">
        <v>-0.18798860000000001</v>
      </c>
      <c r="U1504">
        <v>0.12115480000000001</v>
      </c>
      <c r="V1504">
        <v>-6.8599359999999996E-4</v>
      </c>
      <c r="W1504">
        <v>0.15238560000000001</v>
      </c>
      <c r="X1504">
        <v>0.98832089999999995</v>
      </c>
      <c r="Y1504">
        <v>2.752481E-2</v>
      </c>
      <c r="Z1504">
        <v>1.0684629999999999E-4</v>
      </c>
      <c r="AA1504">
        <v>0.99962110000000004</v>
      </c>
      <c r="AB1504">
        <v>36</v>
      </c>
      <c r="AC1504">
        <v>-17.6893999999999</v>
      </c>
      <c r="AD1504">
        <v>-1.109433605245</v>
      </c>
      <c r="AE1504">
        <v>0.71070000000003097</v>
      </c>
      <c r="AF1504">
        <v>0.49603601712190498</v>
      </c>
      <c r="AG1504">
        <v>-1.109433605245</v>
      </c>
      <c r="AH1504">
        <v>17.6274403920517</v>
      </c>
      <c r="AI1504">
        <v>93.599903072633595</v>
      </c>
      <c r="AJ1504">
        <v>88.388122640085399</v>
      </c>
      <c r="AK1504">
        <v>17.6692826518244</v>
      </c>
      <c r="AL1504">
        <v>81.234799222282305</v>
      </c>
      <c r="AM1504">
        <v>90.039768997843694</v>
      </c>
      <c r="AN1504">
        <v>1.0000000215256899</v>
      </c>
    </row>
    <row r="1505" spans="1:40" x14ac:dyDescent="0.25">
      <c r="A1505" t="str">
        <f>"20190312164251043"</f>
        <v>20190312164251043</v>
      </c>
      <c r="B1505" t="str">
        <f>"1552380171035423"</f>
        <v>1552380171035423</v>
      </c>
      <c r="C1505" t="s">
        <v>40</v>
      </c>
      <c r="D1505">
        <v>4.4655180000000003</v>
      </c>
      <c r="E1505">
        <v>0.51457419999999998</v>
      </c>
      <c r="F1505" t="s">
        <v>46</v>
      </c>
      <c r="G1505">
        <v>-273.274</v>
      </c>
      <c r="H1505" s="1">
        <v>2.113817E-7</v>
      </c>
      <c r="I1505">
        <v>284.4812</v>
      </c>
      <c r="J1505">
        <v>-256.30739999999997</v>
      </c>
      <c r="K1505">
        <v>1.1094280000000001</v>
      </c>
      <c r="L1505">
        <v>283.82330000000002</v>
      </c>
      <c r="M1505">
        <v>-0.99991070000000004</v>
      </c>
      <c r="N1505">
        <v>0</v>
      </c>
      <c r="O1505">
        <v>1.183536E-2</v>
      </c>
      <c r="P1505">
        <v>-0.98923419999999895</v>
      </c>
      <c r="Q1505">
        <v>0.14591689999999999</v>
      </c>
      <c r="R1505">
        <v>1.114122E-2</v>
      </c>
      <c r="S1505">
        <v>-3.060425</v>
      </c>
      <c r="T1505">
        <v>-0.19580040000000001</v>
      </c>
      <c r="U1505">
        <v>0.11688229999999999</v>
      </c>
      <c r="V1505">
        <v>-6.3088819999999998E-4</v>
      </c>
      <c r="W1505">
        <v>0.1520514</v>
      </c>
      <c r="X1505">
        <v>0.98837240000000004</v>
      </c>
      <c r="Y1505">
        <v>2.6304540000000001E-2</v>
      </c>
      <c r="Z1505" s="1">
        <v>8.4178169999999896E-5</v>
      </c>
      <c r="AA1505">
        <v>0.99965400000000004</v>
      </c>
      <c r="AB1505">
        <v>36</v>
      </c>
      <c r="AC1505">
        <v>-16.9666</v>
      </c>
      <c r="AD1505">
        <v>-1.1094277886182999</v>
      </c>
      <c r="AE1505">
        <v>0.65789999999998305</v>
      </c>
      <c r="AF1505">
        <v>0.455101271944789</v>
      </c>
      <c r="AG1505">
        <v>-1.1094277886182999</v>
      </c>
      <c r="AH1505">
        <v>16.9010427437597</v>
      </c>
      <c r="AI1505">
        <v>93.754296831733896</v>
      </c>
      <c r="AJ1505">
        <v>88.457545905477502</v>
      </c>
      <c r="AK1505">
        <v>16.9435295323105</v>
      </c>
      <c r="AL1505">
        <v>81.254173170255598</v>
      </c>
      <c r="AM1505">
        <v>90.036572476422094</v>
      </c>
      <c r="AN1505">
        <v>1.0000000136718199</v>
      </c>
    </row>
    <row r="1506" spans="1:40" x14ac:dyDescent="0.25">
      <c r="A1506" t="str">
        <f>"20190312164251065"</f>
        <v>20190312164251065</v>
      </c>
      <c r="B1506" t="str">
        <f>"1552380171055919"</f>
        <v>1552380171055919</v>
      </c>
      <c r="C1506" t="s">
        <v>40</v>
      </c>
      <c r="D1506">
        <v>4.687792</v>
      </c>
      <c r="E1506">
        <v>0.51509170000000004</v>
      </c>
      <c r="F1506" t="s">
        <v>41</v>
      </c>
      <c r="G1506">
        <v>-257.33409999999998</v>
      </c>
      <c r="H1506">
        <v>1.042111</v>
      </c>
      <c r="I1506">
        <v>283.86130000000003</v>
      </c>
      <c r="J1506">
        <v>-256.68299999999999</v>
      </c>
      <c r="K1506">
        <v>1.109424</v>
      </c>
      <c r="L1506">
        <v>283.82760000000002</v>
      </c>
      <c r="M1506">
        <v>-0.99991289999999999</v>
      </c>
      <c r="N1506">
        <v>0</v>
      </c>
      <c r="O1506">
        <v>1.1649029999999999E-2</v>
      </c>
      <c r="P1506">
        <v>-0.98933839999999995</v>
      </c>
      <c r="Q1506">
        <v>0.1452321</v>
      </c>
      <c r="R1506">
        <v>1.0839649999999999E-2</v>
      </c>
      <c r="S1506">
        <v>-3.0610050000000002</v>
      </c>
      <c r="T1506">
        <v>-0.20075960000000001</v>
      </c>
      <c r="U1506">
        <v>0.1127319</v>
      </c>
      <c r="V1506">
        <v>-7.4831910000000004E-4</v>
      </c>
      <c r="W1506">
        <v>0.1513737</v>
      </c>
      <c r="X1506">
        <v>0.98847629999999997</v>
      </c>
      <c r="Y1506">
        <v>2.5130679999999999E-2</v>
      </c>
      <c r="Z1506" s="1">
        <v>6.00518E-5</v>
      </c>
      <c r="AA1506">
        <v>0.99968420000000002</v>
      </c>
      <c r="AB1506">
        <v>37</v>
      </c>
      <c r="AC1506">
        <v>-0.65109999999998502</v>
      </c>
      <c r="AD1506">
        <v>-6.7312999999999901E-2</v>
      </c>
      <c r="AE1506">
        <v>3.3700000000010201E-2</v>
      </c>
      <c r="AF1506">
        <v>2.58374670057934E-2</v>
      </c>
      <c r="AG1506">
        <v>-6.7312999999999901E-2</v>
      </c>
      <c r="AH1506">
        <v>0.64457746639328095</v>
      </c>
      <c r="AI1506">
        <v>95.957019439201403</v>
      </c>
      <c r="AJ1506">
        <v>87.704564951035906</v>
      </c>
      <c r="AK1506">
        <v>0.64859750604844102</v>
      </c>
      <c r="AL1506">
        <v>81.293456919481798</v>
      </c>
      <c r="AM1506">
        <v>90.043375362634507</v>
      </c>
      <c r="AN1506">
        <v>0.99999997634742699</v>
      </c>
    </row>
    <row r="1507" spans="1:40" x14ac:dyDescent="0.25">
      <c r="A1507" t="str">
        <f>"20190312164251088"</f>
        <v>20190312164251088</v>
      </c>
      <c r="B1507" t="str">
        <f>"1552380171075442"</f>
        <v>1552380171075442</v>
      </c>
      <c r="C1507" t="s">
        <v>40</v>
      </c>
      <c r="D1507">
        <v>4.4150330000000002</v>
      </c>
      <c r="E1507">
        <v>0.51492159999999998</v>
      </c>
      <c r="F1507" t="s">
        <v>41</v>
      </c>
      <c r="G1507">
        <v>-257.66419999999999</v>
      </c>
      <c r="H1507">
        <v>1.044632</v>
      </c>
      <c r="I1507">
        <v>283.86500000000001</v>
      </c>
      <c r="J1507">
        <v>-257.0394</v>
      </c>
      <c r="K1507">
        <v>1.109421</v>
      </c>
      <c r="L1507">
        <v>283.83150000000001</v>
      </c>
      <c r="M1507">
        <v>-0.99991490000000005</v>
      </c>
      <c r="N1507">
        <v>0</v>
      </c>
      <c r="O1507">
        <v>1.147252E-2</v>
      </c>
      <c r="P1507">
        <v>-0.98931219999999997</v>
      </c>
      <c r="Q1507">
        <v>0.14542169999999999</v>
      </c>
      <c r="R1507">
        <v>1.070219E-2</v>
      </c>
      <c r="S1507">
        <v>-3.060791</v>
      </c>
      <c r="T1507">
        <v>-0.20233400000000001</v>
      </c>
      <c r="U1507">
        <v>0.1158752</v>
      </c>
      <c r="V1507">
        <v>-7.1011860000000002E-4</v>
      </c>
      <c r="W1507">
        <v>0.1515707</v>
      </c>
      <c r="X1507">
        <v>0.98844620000000005</v>
      </c>
      <c r="Y1507">
        <v>2.6331440000000001E-2</v>
      </c>
      <c r="Z1507">
        <v>1.118061E-4</v>
      </c>
      <c r="AA1507">
        <v>0.99965329999999997</v>
      </c>
      <c r="AB1507">
        <v>37</v>
      </c>
      <c r="AC1507">
        <v>-0.62479999999999303</v>
      </c>
      <c r="AD1507">
        <v>-6.4788999999999902E-2</v>
      </c>
      <c r="AE1507">
        <v>3.3500000000003603E-2</v>
      </c>
      <c r="AF1507">
        <v>2.6050316280184099E-2</v>
      </c>
      <c r="AG1507">
        <v>-6.4788999999999902E-2</v>
      </c>
      <c r="AH1507">
        <v>0.61851156588215495</v>
      </c>
      <c r="AI1507">
        <v>95.974658382887398</v>
      </c>
      <c r="AJ1507">
        <v>87.588256004762201</v>
      </c>
      <c r="AK1507">
        <v>0.62244099369281003</v>
      </c>
      <c r="AL1507">
        <v>81.282038414998297</v>
      </c>
      <c r="AM1507">
        <v>90.041162373565598</v>
      </c>
      <c r="AN1507">
        <v>1.00000003583067</v>
      </c>
    </row>
    <row r="1508" spans="1:40" x14ac:dyDescent="0.25">
      <c r="A1508" t="str">
        <f>"20190312164251108"</f>
        <v>20190312164251108</v>
      </c>
      <c r="B1508" t="str">
        <f>"1552380171105694"</f>
        <v>1552380171105694</v>
      </c>
      <c r="C1508" t="s">
        <v>40</v>
      </c>
      <c r="D1508">
        <v>4.4384119999999996</v>
      </c>
      <c r="E1508">
        <v>0.51503679999999996</v>
      </c>
      <c r="F1508" t="s">
        <v>41</v>
      </c>
      <c r="G1508">
        <v>-257.99560000000002</v>
      </c>
      <c r="H1508">
        <v>1.0466169999999999</v>
      </c>
      <c r="I1508">
        <v>283.86720000000003</v>
      </c>
      <c r="J1508">
        <v>-257.39249999999998</v>
      </c>
      <c r="K1508">
        <v>1.109423</v>
      </c>
      <c r="L1508">
        <v>283.83550000000002</v>
      </c>
      <c r="M1508">
        <v>-0.9999169</v>
      </c>
      <c r="N1508">
        <v>0</v>
      </c>
      <c r="O1508">
        <v>1.1297969999999999E-2</v>
      </c>
      <c r="P1508">
        <v>-0.9892936</v>
      </c>
      <c r="Q1508">
        <v>0.1455552</v>
      </c>
      <c r="R1508">
        <v>1.0605389999999999E-2</v>
      </c>
      <c r="S1508">
        <v>-3.0607600000000001</v>
      </c>
      <c r="T1508">
        <v>-0.20117119999999999</v>
      </c>
      <c r="U1508">
        <v>0.1135864</v>
      </c>
      <c r="V1508">
        <v>-6.3374920000000003E-4</v>
      </c>
      <c r="W1508">
        <v>0.15171299999999999</v>
      </c>
      <c r="X1508">
        <v>0.98842439999999998</v>
      </c>
      <c r="Y1508">
        <v>2.5761050000000001E-2</v>
      </c>
      <c r="Z1508">
        <v>1.039031E-4</v>
      </c>
      <c r="AA1508">
        <v>0.99966809999999995</v>
      </c>
      <c r="AB1508">
        <v>37</v>
      </c>
      <c r="AC1508">
        <v>-0.60310000000004005</v>
      </c>
      <c r="AD1508">
        <v>-6.2806000000000098E-2</v>
      </c>
      <c r="AE1508">
        <v>3.17000000000007E-2</v>
      </c>
      <c r="AF1508">
        <v>2.4617798833963402E-2</v>
      </c>
      <c r="AG1508">
        <v>-6.2806000000000098E-2</v>
      </c>
      <c r="AH1508">
        <v>0.59696351467930298</v>
      </c>
      <c r="AI1508">
        <v>96.000880028279795</v>
      </c>
      <c r="AJ1508">
        <v>87.638553797900997</v>
      </c>
      <c r="AK1508">
        <v>0.60076290457525405</v>
      </c>
      <c r="AL1508">
        <v>81.273789654318506</v>
      </c>
      <c r="AM1508">
        <v>90.036736395271006</v>
      </c>
      <c r="AN1508">
        <v>1.0000000152612001</v>
      </c>
    </row>
    <row r="1509" spans="1:40" x14ac:dyDescent="0.25">
      <c r="A1509" t="str">
        <f>"20190312164251133"</f>
        <v>20190312164251133</v>
      </c>
      <c r="B1509" t="str">
        <f>"1552380171125215"</f>
        <v>1552380171125215</v>
      </c>
      <c r="C1509" t="s">
        <v>40</v>
      </c>
      <c r="D1509">
        <v>4.4561019999999996</v>
      </c>
      <c r="E1509">
        <v>0.51504539999999999</v>
      </c>
      <c r="F1509" t="s">
        <v>41</v>
      </c>
      <c r="G1509">
        <v>-258.32729999999998</v>
      </c>
      <c r="H1509">
        <v>1.0481959999999999</v>
      </c>
      <c r="I1509">
        <v>283.87060000000002</v>
      </c>
      <c r="J1509">
        <v>-257.79759999999999</v>
      </c>
      <c r="K1509">
        <v>1.109413</v>
      </c>
      <c r="L1509">
        <v>283.8399</v>
      </c>
      <c r="M1509">
        <v>-0.99991909999999895</v>
      </c>
      <c r="N1509">
        <v>0</v>
      </c>
      <c r="O1509">
        <v>1.109713E-2</v>
      </c>
      <c r="P1509">
        <v>-0.989259</v>
      </c>
      <c r="Q1509">
        <v>0.14579629999999999</v>
      </c>
      <c r="R1509">
        <v>1.049201E-2</v>
      </c>
      <c r="S1509">
        <v>-3.0607600000000001</v>
      </c>
      <c r="T1509">
        <v>-0.2007245</v>
      </c>
      <c r="U1509">
        <v>0.1140137</v>
      </c>
      <c r="V1509">
        <v>-5.484191E-4</v>
      </c>
      <c r="W1509">
        <v>0.15196570000000001</v>
      </c>
      <c r="X1509">
        <v>0.98838559999999998</v>
      </c>
      <c r="Y1509">
        <v>2.6100169999999999E-2</v>
      </c>
      <c r="Z1509">
        <v>1.2792749999999999E-4</v>
      </c>
      <c r="AA1509">
        <v>0.99965930000000003</v>
      </c>
      <c r="AB1509">
        <v>37</v>
      </c>
      <c r="AC1509">
        <v>-0.52969999999999096</v>
      </c>
      <c r="AD1509">
        <v>-6.1217000000000001E-2</v>
      </c>
      <c r="AE1509">
        <v>3.0700000000024302E-2</v>
      </c>
      <c r="AF1509">
        <v>2.4493796472303202E-2</v>
      </c>
      <c r="AG1509">
        <v>-6.1217000000000001E-2</v>
      </c>
      <c r="AH1509">
        <v>0.52304553789505803</v>
      </c>
      <c r="AI1509">
        <v>96.668258602309194</v>
      </c>
      <c r="AJ1509">
        <v>87.318844073612894</v>
      </c>
      <c r="AK1509">
        <v>0.52718507363786105</v>
      </c>
      <c r="AL1509">
        <v>81.259140893640904</v>
      </c>
      <c r="AM1509">
        <v>90.031791333877806</v>
      </c>
      <c r="AN1509">
        <v>0.999999984513679</v>
      </c>
    </row>
    <row r="1510" spans="1:40" x14ac:dyDescent="0.25">
      <c r="A1510" t="str">
        <f>"20190312164251156"</f>
        <v>20190312164251156</v>
      </c>
      <c r="B1510" t="str">
        <f>"1552380171145710"</f>
        <v>1552380171145710</v>
      </c>
      <c r="C1510" t="s">
        <v>40</v>
      </c>
      <c r="D1510">
        <v>4.468267</v>
      </c>
      <c r="E1510">
        <v>0.51568519999999995</v>
      </c>
      <c r="F1510" t="s">
        <v>41</v>
      </c>
      <c r="G1510">
        <v>-258.67110000000002</v>
      </c>
      <c r="H1510">
        <v>1.052932</v>
      </c>
      <c r="I1510">
        <v>283.87240000000003</v>
      </c>
      <c r="J1510">
        <v>-258.173</v>
      </c>
      <c r="K1510">
        <v>1.1094109999999999</v>
      </c>
      <c r="L1510">
        <v>283.84390000000002</v>
      </c>
      <c r="M1510">
        <v>-0.99992099999999995</v>
      </c>
      <c r="N1510">
        <v>0</v>
      </c>
      <c r="O1510">
        <v>1.091113E-2</v>
      </c>
      <c r="P1510">
        <v>-0.9892803</v>
      </c>
      <c r="Q1510">
        <v>0.14565500000000001</v>
      </c>
      <c r="R1510">
        <v>1.0452400000000001E-2</v>
      </c>
      <c r="S1510">
        <v>-3.0605470000000001</v>
      </c>
      <c r="T1510">
        <v>-0.1979948</v>
      </c>
      <c r="U1510">
        <v>0.113678</v>
      </c>
      <c r="V1510">
        <v>-4.0420979999999999E-4</v>
      </c>
      <c r="W1510">
        <v>0.15183650000000001</v>
      </c>
      <c r="X1510">
        <v>0.98840550000000005</v>
      </c>
      <c r="Y1510">
        <v>2.6179529999999999E-2</v>
      </c>
      <c r="Z1510">
        <v>1.407786E-4</v>
      </c>
      <c r="AA1510">
        <v>0.99965729999999997</v>
      </c>
      <c r="AB1510">
        <v>37</v>
      </c>
      <c r="AC1510">
        <v>-0.49810000000002203</v>
      </c>
      <c r="AD1510">
        <v>-5.6479000000000099E-2</v>
      </c>
      <c r="AE1510">
        <v>2.8500000000008099E-2</v>
      </c>
      <c r="AF1510">
        <v>2.2771544470972401E-2</v>
      </c>
      <c r="AG1510">
        <v>-5.6479000000000099E-2</v>
      </c>
      <c r="AH1510">
        <v>0.49207533480613602</v>
      </c>
      <c r="AI1510">
        <v>96.540654885624605</v>
      </c>
      <c r="AJ1510">
        <v>87.350439784333801</v>
      </c>
      <c r="AK1510">
        <v>0.49582915989599102</v>
      </c>
      <c r="AL1510">
        <v>81.266630197043</v>
      </c>
      <c r="AM1510">
        <v>90.023431187186503</v>
      </c>
      <c r="AN1510">
        <v>0.99999995927402996</v>
      </c>
    </row>
    <row r="1511" spans="1:40" x14ac:dyDescent="0.25">
      <c r="A1511" t="str">
        <f>"20190312164251179"</f>
        <v>20190312164251179</v>
      </c>
      <c r="B1511" t="str">
        <f>"1552380171175967"</f>
        <v>1552380171175967</v>
      </c>
      <c r="C1511" t="s">
        <v>40</v>
      </c>
      <c r="D1511">
        <v>4.4992859999999997</v>
      </c>
      <c r="E1511">
        <v>0.51594680000000004</v>
      </c>
      <c r="F1511" t="s">
        <v>46</v>
      </c>
      <c r="G1511">
        <v>-275.68209999999999</v>
      </c>
      <c r="H1511" s="1">
        <v>1.490961E-6</v>
      </c>
      <c r="I1511">
        <v>284.5247</v>
      </c>
      <c r="J1511">
        <v>-258.55930000000001</v>
      </c>
      <c r="K1511">
        <v>1.1094139999999999</v>
      </c>
      <c r="L1511">
        <v>283.84789999999998</v>
      </c>
      <c r="M1511">
        <v>-0.99992300000000001</v>
      </c>
      <c r="N1511">
        <v>0</v>
      </c>
      <c r="O1511">
        <v>1.0719630000000001E-2</v>
      </c>
      <c r="P1511">
        <v>-0.98928400000000005</v>
      </c>
      <c r="Q1511">
        <v>0.14557429999999999</v>
      </c>
      <c r="R1511">
        <v>1.1215309999999999E-2</v>
      </c>
      <c r="S1511">
        <v>-3.0597840000000001</v>
      </c>
      <c r="T1511">
        <v>-0.19387289999999999</v>
      </c>
      <c r="U1511">
        <v>0.118988</v>
      </c>
      <c r="V1511">
        <v>5.4822680000000002E-4</v>
      </c>
      <c r="W1511">
        <v>0.1517696</v>
      </c>
      <c r="X1511">
        <v>0.98841570000000001</v>
      </c>
      <c r="Y1511">
        <v>2.8109559999999999E-2</v>
      </c>
      <c r="Z1511">
        <v>2.1106090000000001E-4</v>
      </c>
      <c r="AA1511">
        <v>0.99960479999999996</v>
      </c>
      <c r="AB1511">
        <v>37</v>
      </c>
      <c r="AC1511">
        <v>-17.122799999999899</v>
      </c>
      <c r="AD1511">
        <v>-1.1094125090389999</v>
      </c>
      <c r="AE1511">
        <v>0.67680000000001395</v>
      </c>
      <c r="AF1511">
        <v>0.49114884537919601</v>
      </c>
      <c r="AG1511">
        <v>-1.1094125090389999</v>
      </c>
      <c r="AH1511">
        <v>17.0575762897295</v>
      </c>
      <c r="AI1511">
        <v>93.719697876463997</v>
      </c>
      <c r="AJ1511">
        <v>88.350704552128605</v>
      </c>
      <c r="AK1511">
        <v>17.1006705185344</v>
      </c>
      <c r="AL1511">
        <v>81.270508182072007</v>
      </c>
      <c r="AM1511">
        <v>89.968220781362604</v>
      </c>
      <c r="AN1511">
        <v>0.999999954021636</v>
      </c>
    </row>
    <row r="1512" spans="1:40" x14ac:dyDescent="0.25">
      <c r="A1512" t="str">
        <f>"20190312164251198"</f>
        <v>20190312164251198</v>
      </c>
      <c r="B1512" t="str">
        <f>"1552380171185727"</f>
        <v>1552380171185727</v>
      </c>
      <c r="C1512" t="s">
        <v>40</v>
      </c>
      <c r="D1512">
        <v>4.487997</v>
      </c>
      <c r="E1512">
        <v>0.51597360000000003</v>
      </c>
      <c r="F1512" t="s">
        <v>46</v>
      </c>
      <c r="G1512">
        <v>-276.30259999999998</v>
      </c>
      <c r="H1512" s="1">
        <v>1.81939E-6</v>
      </c>
      <c r="I1512">
        <v>284.56439999999998</v>
      </c>
      <c r="J1512">
        <v>-258.87540000000001</v>
      </c>
      <c r="K1512">
        <v>1.109416</v>
      </c>
      <c r="L1512">
        <v>283.85120000000001</v>
      </c>
      <c r="M1512">
        <v>-0.99992440000000005</v>
      </c>
      <c r="N1512">
        <v>0</v>
      </c>
      <c r="O1512">
        <v>1.056343E-2</v>
      </c>
      <c r="P1512">
        <v>-0.98925770000000002</v>
      </c>
      <c r="Q1512">
        <v>0.14571689999999901</v>
      </c>
      <c r="R1512">
        <v>1.164694E-2</v>
      </c>
      <c r="S1512">
        <v>-3.0592350000000001</v>
      </c>
      <c r="T1512">
        <v>-0.1912808</v>
      </c>
      <c r="U1512">
        <v>0.123535199999999</v>
      </c>
      <c r="V1512">
        <v>1.13444E-3</v>
      </c>
      <c r="W1512">
        <v>0.15192369999999999</v>
      </c>
      <c r="X1512">
        <v>0.98839160000000004</v>
      </c>
      <c r="Y1512">
        <v>2.975349E-2</v>
      </c>
      <c r="Z1512">
        <v>2.693517E-4</v>
      </c>
      <c r="AA1512">
        <v>0.99955729999999998</v>
      </c>
      <c r="AB1512">
        <v>37</v>
      </c>
      <c r="AC1512">
        <v>-17.4271999999999</v>
      </c>
      <c r="AD1512">
        <v>-1.10941418061</v>
      </c>
      <c r="AE1512">
        <v>0.71319999999997197</v>
      </c>
      <c r="AF1512">
        <v>0.52693367923091605</v>
      </c>
      <c r="AG1512">
        <v>-1.10941418061</v>
      </c>
      <c r="AH1512">
        <v>17.363512141684399</v>
      </c>
      <c r="AI1512">
        <v>93.654176171443794</v>
      </c>
      <c r="AJ1512">
        <v>88.261767976284005</v>
      </c>
      <c r="AK1512">
        <v>17.406895553799</v>
      </c>
      <c r="AL1512">
        <v>81.261575953316495</v>
      </c>
      <c r="AM1512">
        <v>89.934238012981197</v>
      </c>
      <c r="AN1512">
        <v>1.0000000262631801</v>
      </c>
    </row>
    <row r="1513" spans="1:40" x14ac:dyDescent="0.25">
      <c r="A1513" t="str">
        <f>"20190312164251221"</f>
        <v>20190312164251221</v>
      </c>
      <c r="B1513" t="str">
        <f>"1552380171215984"</f>
        <v>1552380171215984</v>
      </c>
      <c r="C1513" t="s">
        <v>40</v>
      </c>
      <c r="D1513">
        <v>4.6336349999999999</v>
      </c>
      <c r="E1513">
        <v>0.51602479999999995</v>
      </c>
      <c r="F1513" t="s">
        <v>46</v>
      </c>
      <c r="G1513">
        <v>-276.72910000000002</v>
      </c>
      <c r="H1513" s="1">
        <v>2.0456860000000002E-6</v>
      </c>
      <c r="I1513">
        <v>284.58049999999997</v>
      </c>
      <c r="J1513">
        <v>-259.26190000000003</v>
      </c>
      <c r="K1513">
        <v>1.1094170000000001</v>
      </c>
      <c r="L1513">
        <v>283.85520000000002</v>
      </c>
      <c r="M1513">
        <v>-0.9999266</v>
      </c>
      <c r="N1513">
        <v>0</v>
      </c>
      <c r="O1513">
        <v>1.0372050000000001E-2</v>
      </c>
      <c r="P1513">
        <v>-0.98920580000000002</v>
      </c>
      <c r="Q1513">
        <v>0.14605029999999999</v>
      </c>
      <c r="R1513">
        <v>1.1886509999999999E-2</v>
      </c>
      <c r="S1513">
        <v>-3.0591430000000002</v>
      </c>
      <c r="T1513">
        <v>-0.19009180000000001</v>
      </c>
      <c r="U1513">
        <v>0.1249695</v>
      </c>
      <c r="V1513">
        <v>1.5635E-3</v>
      </c>
      <c r="W1513">
        <v>0.15227199999999999</v>
      </c>
      <c r="X1513">
        <v>0.98833740000000003</v>
      </c>
      <c r="Y1513">
        <v>3.0412709999999999E-2</v>
      </c>
      <c r="Z1513">
        <v>3.0001449999999999E-4</v>
      </c>
      <c r="AA1513">
        <v>0.99953740000000002</v>
      </c>
      <c r="AB1513">
        <v>37</v>
      </c>
      <c r="AC1513">
        <v>-17.467199999999899</v>
      </c>
      <c r="AD1513">
        <v>-1.1094149543139999</v>
      </c>
      <c r="AE1513">
        <v>0.72529999999994699</v>
      </c>
      <c r="AF1513">
        <v>0.54190445180015501</v>
      </c>
      <c r="AG1513">
        <v>-1.1094149543139999</v>
      </c>
      <c r="AH1513">
        <v>17.403696810822499</v>
      </c>
      <c r="AI1513">
        <v>93.645675860328396</v>
      </c>
      <c r="AJ1513">
        <v>88.216539286391694</v>
      </c>
      <c r="AK1513">
        <v>17.447438914028901</v>
      </c>
      <c r="AL1513">
        <v>81.241384788556502</v>
      </c>
      <c r="AM1513">
        <v>89.909361037495202</v>
      </c>
      <c r="AN1513">
        <v>1.0000000113775001</v>
      </c>
    </row>
    <row r="1514" spans="1:40" x14ac:dyDescent="0.25">
      <c r="A1514" t="str">
        <f>"20190312164251244"</f>
        <v>20190312164251244</v>
      </c>
      <c r="B1514" t="str">
        <f>"1552380171235503"</f>
        <v>1552380171235503</v>
      </c>
      <c r="C1514" t="s">
        <v>40</v>
      </c>
      <c r="D1514">
        <v>4.525004</v>
      </c>
      <c r="E1514">
        <v>0.51604759999999905</v>
      </c>
      <c r="F1514" t="s">
        <v>41</v>
      </c>
      <c r="G1514">
        <v>-260.32369999999997</v>
      </c>
      <c r="H1514">
        <v>1.0443519999999999</v>
      </c>
      <c r="I1514">
        <v>283.89929999999998</v>
      </c>
      <c r="J1514">
        <v>-259.64400000000001</v>
      </c>
      <c r="K1514">
        <v>1.109416</v>
      </c>
      <c r="L1514">
        <v>283.85890000000001</v>
      </c>
      <c r="M1514">
        <v>-0.99992829999999999</v>
      </c>
      <c r="N1514">
        <v>0</v>
      </c>
      <c r="O1514">
        <v>1.018382E-2</v>
      </c>
      <c r="P1514">
        <v>-0.98918839999999997</v>
      </c>
      <c r="Q1514">
        <v>0.1461414</v>
      </c>
      <c r="R1514">
        <v>1.2224179999999999E-2</v>
      </c>
      <c r="S1514">
        <v>-3.058929</v>
      </c>
      <c r="T1514">
        <v>-0.18766459999999999</v>
      </c>
      <c r="U1514">
        <v>0.1262817</v>
      </c>
      <c r="V1514">
        <v>2.0873939999999998E-3</v>
      </c>
      <c r="W1514">
        <v>0.15237800000000001</v>
      </c>
      <c r="X1514">
        <v>0.98832010000000003</v>
      </c>
      <c r="Y1514">
        <v>3.1031240000000002E-2</v>
      </c>
      <c r="Z1514">
        <v>3.266872E-4</v>
      </c>
      <c r="AA1514">
        <v>0.99951829999999997</v>
      </c>
      <c r="AB1514">
        <v>37</v>
      </c>
      <c r="AC1514">
        <v>-0.679699999999968</v>
      </c>
      <c r="AD1514">
        <v>-6.5063999999999997E-2</v>
      </c>
      <c r="AE1514">
        <v>4.0399999999976899E-2</v>
      </c>
      <c r="AF1514">
        <v>3.3172925201113999E-2</v>
      </c>
      <c r="AG1514">
        <v>-6.5063999999999997E-2</v>
      </c>
      <c r="AH1514">
        <v>0.67392264069260699</v>
      </c>
      <c r="AI1514">
        <v>95.507913937710796</v>
      </c>
      <c r="AJ1514">
        <v>87.181967727903597</v>
      </c>
      <c r="AK1514">
        <v>0.67786834466620105</v>
      </c>
      <c r="AL1514">
        <v>81.235239767478205</v>
      </c>
      <c r="AM1514">
        <v>89.878987902253996</v>
      </c>
      <c r="AN1514">
        <v>1.00000001608086</v>
      </c>
    </row>
    <row r="1515" spans="1:40" x14ac:dyDescent="0.25">
      <c r="A1515" t="str">
        <f>"20190312164251266"</f>
        <v>20190312164251266</v>
      </c>
      <c r="B1515" t="str">
        <f>"1552380171255999"</f>
        <v>1552380171255999</v>
      </c>
      <c r="C1515" t="s">
        <v>40</v>
      </c>
      <c r="D1515">
        <v>4.503196</v>
      </c>
      <c r="E1515">
        <v>0.51629079999999905</v>
      </c>
      <c r="F1515" t="s">
        <v>41</v>
      </c>
      <c r="G1515">
        <v>-260.66219999999998</v>
      </c>
      <c r="H1515">
        <v>1.0471600000000001</v>
      </c>
      <c r="I1515">
        <v>283.9015</v>
      </c>
      <c r="J1515">
        <v>-260.02229999999997</v>
      </c>
      <c r="K1515">
        <v>1.109415</v>
      </c>
      <c r="L1515">
        <v>283.86270000000002</v>
      </c>
      <c r="M1515">
        <v>-0.99993010000000004</v>
      </c>
      <c r="N1515">
        <v>0</v>
      </c>
      <c r="O1515">
        <v>9.9970779999999995E-3</v>
      </c>
      <c r="P1515">
        <v>-0.98904259999999999</v>
      </c>
      <c r="Q1515">
        <v>0.1470909</v>
      </c>
      <c r="R1515">
        <v>1.261608E-2</v>
      </c>
      <c r="S1515">
        <v>-3.0588989999999998</v>
      </c>
      <c r="T1515">
        <v>-0.187167</v>
      </c>
      <c r="U1515">
        <v>0.12750239999999999</v>
      </c>
      <c r="V1515">
        <v>2.6646640000000002E-3</v>
      </c>
      <c r="W1515">
        <v>0.15334310000000001</v>
      </c>
      <c r="X1515">
        <v>0.98816939999999998</v>
      </c>
      <c r="Y1515">
        <v>3.1615259999999999E-2</v>
      </c>
      <c r="Z1515">
        <v>3.550758E-4</v>
      </c>
      <c r="AA1515">
        <v>0.99950000000000006</v>
      </c>
      <c r="AB1515">
        <v>38</v>
      </c>
      <c r="AC1515">
        <v>-0.63990000000001102</v>
      </c>
      <c r="AD1515">
        <v>-6.2254999999999901E-2</v>
      </c>
      <c r="AE1515">
        <v>3.87999999999806E-2</v>
      </c>
      <c r="AF1515">
        <v>3.2098105091190599E-2</v>
      </c>
      <c r="AG1515">
        <v>-6.2254999999999901E-2</v>
      </c>
      <c r="AH1515">
        <v>0.63427444914946396</v>
      </c>
      <c r="AI1515">
        <v>95.598593731357994</v>
      </c>
      <c r="AJ1515">
        <v>87.102960059307406</v>
      </c>
      <c r="AK1515">
        <v>0.63813012013170201</v>
      </c>
      <c r="AL1515">
        <v>81.179285750917103</v>
      </c>
      <c r="AM1515">
        <v>89.845498523869097</v>
      </c>
      <c r="AN1515">
        <v>0.99999998492410103</v>
      </c>
    </row>
    <row r="1516" spans="1:40" x14ac:dyDescent="0.25">
      <c r="A1516" t="str">
        <f>"20190312164251289"</f>
        <v>20190312164251289</v>
      </c>
      <c r="B1516" t="str">
        <f>"1552380171285279"</f>
        <v>1552380171285279</v>
      </c>
      <c r="C1516" t="s">
        <v>40</v>
      </c>
      <c r="D1516">
        <v>4.6938959999999996</v>
      </c>
      <c r="E1516">
        <v>0.51661619999999997</v>
      </c>
      <c r="F1516" t="s">
        <v>41</v>
      </c>
      <c r="G1516">
        <v>-261.00299999999999</v>
      </c>
      <c r="H1516">
        <v>1.051104</v>
      </c>
      <c r="I1516">
        <v>283.90469999999999</v>
      </c>
      <c r="J1516">
        <v>-260.39839999999998</v>
      </c>
      <c r="K1516">
        <v>1.109416</v>
      </c>
      <c r="L1516">
        <v>283.86630000000002</v>
      </c>
      <c r="M1516">
        <v>-0.99993189999999998</v>
      </c>
      <c r="N1516">
        <v>0</v>
      </c>
      <c r="O1516">
        <v>9.8120029999999997E-3</v>
      </c>
      <c r="P1516">
        <v>-0.98891340000000005</v>
      </c>
      <c r="Q1516">
        <v>0.1479607</v>
      </c>
      <c r="R1516">
        <v>1.2581180000000001E-2</v>
      </c>
      <c r="S1516">
        <v>-3.058624</v>
      </c>
      <c r="T1516">
        <v>-0.18192710000000001</v>
      </c>
      <c r="U1516">
        <v>0.13055419999999901</v>
      </c>
      <c r="V1516">
        <v>2.8133849999999998E-3</v>
      </c>
      <c r="W1516">
        <v>0.1542289</v>
      </c>
      <c r="X1516">
        <v>0.98803110000000005</v>
      </c>
      <c r="Y1516">
        <v>3.2799259999999997E-2</v>
      </c>
      <c r="Z1516">
        <v>3.9133439999999999E-4</v>
      </c>
      <c r="AA1516">
        <v>0.99946190000000001</v>
      </c>
      <c r="AB1516">
        <v>38</v>
      </c>
      <c r="AC1516">
        <v>-0.60460000000000402</v>
      </c>
      <c r="AD1516">
        <v>-5.8311999999999899E-2</v>
      </c>
      <c r="AE1516">
        <v>3.8399999999967301E-2</v>
      </c>
      <c r="AF1516">
        <v>3.2167672239194797E-2</v>
      </c>
      <c r="AG1516">
        <v>-5.8311999999999899E-2</v>
      </c>
      <c r="AH1516">
        <v>0.59939447448646299</v>
      </c>
      <c r="AI1516">
        <v>95.548590889636202</v>
      </c>
      <c r="AJ1516">
        <v>86.928057314357005</v>
      </c>
      <c r="AK1516">
        <v>0.60308273439569704</v>
      </c>
      <c r="AL1516">
        <v>81.127921926201395</v>
      </c>
      <c r="AM1516">
        <v>89.836852654751894</v>
      </c>
      <c r="AN1516">
        <v>0.99999996164878802</v>
      </c>
    </row>
    <row r="1517" spans="1:40" x14ac:dyDescent="0.25">
      <c r="A1517" t="str">
        <f>"20190312164251311"</f>
        <v>20190312164251311</v>
      </c>
      <c r="B1517" t="str">
        <f>"1552380171305776"</f>
        <v>1552380171305776</v>
      </c>
      <c r="C1517" t="s">
        <v>40</v>
      </c>
      <c r="D1517">
        <v>4.4339890000000004</v>
      </c>
      <c r="E1517">
        <v>0.51684830000000004</v>
      </c>
      <c r="F1517" t="s">
        <v>41</v>
      </c>
      <c r="G1517">
        <v>-261.35019999999997</v>
      </c>
      <c r="H1517">
        <v>1.0549189999999999</v>
      </c>
      <c r="I1517">
        <v>283.90780000000001</v>
      </c>
      <c r="J1517">
        <v>-260.77949999999998</v>
      </c>
      <c r="K1517">
        <v>1.109413</v>
      </c>
      <c r="L1517">
        <v>283.8698</v>
      </c>
      <c r="M1517">
        <v>-0.99993339999999997</v>
      </c>
      <c r="N1517">
        <v>0</v>
      </c>
      <c r="O1517">
        <v>9.6245429999999993E-3</v>
      </c>
      <c r="P1517">
        <v>-0.98886160000000001</v>
      </c>
      <c r="Q1517">
        <v>0.1482715</v>
      </c>
      <c r="R1517">
        <v>1.2971450000000001E-2</v>
      </c>
      <c r="S1517">
        <v>-3.0581670000000001</v>
      </c>
      <c r="T1517">
        <v>-0.17520050000000001</v>
      </c>
      <c r="U1517">
        <v>0.13308719999999999</v>
      </c>
      <c r="V1517">
        <v>3.3892449999999999E-3</v>
      </c>
      <c r="W1517">
        <v>0.15455629999999901</v>
      </c>
      <c r="X1517">
        <v>0.98797820000000003</v>
      </c>
      <c r="Y1517">
        <v>3.3820219999999998E-2</v>
      </c>
      <c r="Z1517">
        <v>4.1687099999999997E-4</v>
      </c>
      <c r="AA1517">
        <v>0.99942790000000004</v>
      </c>
      <c r="AB1517">
        <v>38</v>
      </c>
      <c r="AC1517">
        <v>-0.570699999999987</v>
      </c>
      <c r="AD1517">
        <v>-5.4494000000000001E-2</v>
      </c>
      <c r="AE1517">
        <v>3.80000000000109E-2</v>
      </c>
      <c r="AF1517">
        <v>3.2212992279986898E-2</v>
      </c>
      <c r="AG1517">
        <v>-5.4494000000000001E-2</v>
      </c>
      <c r="AH1517">
        <v>0.565902395926146</v>
      </c>
      <c r="AI1517">
        <v>95.491545562832897</v>
      </c>
      <c r="AJ1517">
        <v>86.742054981995494</v>
      </c>
      <c r="AK1517">
        <v>0.56943199297421199</v>
      </c>
      <c r="AL1517">
        <v>81.108936248487197</v>
      </c>
      <c r="AM1517">
        <v>89.803448423775095</v>
      </c>
      <c r="AN1517">
        <v>1.0000000302632901</v>
      </c>
    </row>
    <row r="1518" spans="1:40" x14ac:dyDescent="0.25">
      <c r="A1518" t="str">
        <f>"20190312164251336"</f>
        <v>20190312164251336</v>
      </c>
      <c r="B1518" t="str">
        <f>"1552380171325295"</f>
        <v>1552380171325295</v>
      </c>
      <c r="C1518" t="s">
        <v>40</v>
      </c>
      <c r="D1518">
        <v>4.6054810000000002</v>
      </c>
      <c r="E1518">
        <v>0.51696629999999999</v>
      </c>
      <c r="F1518" t="s">
        <v>47</v>
      </c>
      <c r="G1518">
        <v>-280.56830000000002</v>
      </c>
      <c r="H1518" s="1">
        <v>8.1224590000000001E-6</v>
      </c>
      <c r="I1518">
        <v>284.75069999999999</v>
      </c>
      <c r="J1518">
        <v>-261.18470000000002</v>
      </c>
      <c r="K1518">
        <v>1.1094079999999999</v>
      </c>
      <c r="L1518">
        <v>283.87360000000001</v>
      </c>
      <c r="M1518">
        <v>-0.99993529999999997</v>
      </c>
      <c r="N1518">
        <v>0</v>
      </c>
      <c r="O1518">
        <v>9.4246209999999993E-3</v>
      </c>
      <c r="P1518">
        <v>-0.98882700000000001</v>
      </c>
      <c r="Q1518">
        <v>0.14847779999999999</v>
      </c>
      <c r="R1518">
        <v>1.325228E-2</v>
      </c>
      <c r="S1518">
        <v>-3.057709</v>
      </c>
      <c r="T1518">
        <v>-0.17142189999999999</v>
      </c>
      <c r="U1518">
        <v>0.13610839999999999</v>
      </c>
      <c r="V1518">
        <v>3.867625E-3</v>
      </c>
      <c r="W1518">
        <v>0.1547811</v>
      </c>
      <c r="X1518">
        <v>0.98794119999999996</v>
      </c>
      <c r="Y1518">
        <v>3.5011609999999999E-2</v>
      </c>
      <c r="Z1518">
        <v>4.524927E-4</v>
      </c>
      <c r="AA1518">
        <v>0.99938680000000002</v>
      </c>
      <c r="AB1518">
        <v>38</v>
      </c>
      <c r="AC1518">
        <v>-19.383600000000001</v>
      </c>
      <c r="AD1518">
        <v>-1.1093998775409999</v>
      </c>
      <c r="AE1518">
        <v>0.877099999999984</v>
      </c>
      <c r="AF1518">
        <v>0.69211171973366803</v>
      </c>
      <c r="AG1518">
        <v>-1.1093998775409999</v>
      </c>
      <c r="AH1518">
        <v>19.3278223403744</v>
      </c>
      <c r="AI1518">
        <v>93.283022744445006</v>
      </c>
      <c r="AJ1518">
        <v>87.949166593100202</v>
      </c>
      <c r="AK1518">
        <v>19.372003075106999</v>
      </c>
      <c r="AL1518">
        <v>81.095898834041293</v>
      </c>
      <c r="AM1518">
        <v>89.775697726562697</v>
      </c>
      <c r="AN1518">
        <v>0.99999998104889498</v>
      </c>
    </row>
    <row r="1519" spans="1:40" x14ac:dyDescent="0.25">
      <c r="A1519" t="str">
        <f>"20190312164251359"</f>
        <v>20190312164251359</v>
      </c>
      <c r="B1519" t="str">
        <f>"1552380171355551"</f>
        <v>1552380171355551</v>
      </c>
      <c r="C1519" t="s">
        <v>40</v>
      </c>
      <c r="D1519">
        <v>4.4231819999999997</v>
      </c>
      <c r="E1519">
        <v>0.51737290000000002</v>
      </c>
      <c r="F1519" t="s">
        <v>47</v>
      </c>
      <c r="G1519">
        <v>-281.00819999999999</v>
      </c>
      <c r="H1519" s="1">
        <v>7.9247269999999994E-6</v>
      </c>
      <c r="I1519">
        <v>284.76350000000002</v>
      </c>
      <c r="J1519">
        <v>-261.57850000000002</v>
      </c>
      <c r="K1519">
        <v>1.109407</v>
      </c>
      <c r="L1519">
        <v>283.87709999999998</v>
      </c>
      <c r="M1519">
        <v>-0.99993699999999996</v>
      </c>
      <c r="N1519">
        <v>0</v>
      </c>
      <c r="O1519">
        <v>9.2307789999999997E-3</v>
      </c>
      <c r="P1519">
        <v>-0.98872099999999996</v>
      </c>
      <c r="Q1519">
        <v>0.1491451</v>
      </c>
      <c r="R1519">
        <v>1.3662179999999999E-2</v>
      </c>
      <c r="S1519">
        <v>-3.0577390000000002</v>
      </c>
      <c r="T1519">
        <v>-0.1711222</v>
      </c>
      <c r="U1519">
        <v>0.1372681</v>
      </c>
      <c r="V1519">
        <v>4.4696340000000001E-3</v>
      </c>
      <c r="W1519">
        <v>0.15546599999999999</v>
      </c>
      <c r="X1519">
        <v>0.98783109999999996</v>
      </c>
      <c r="Y1519">
        <v>3.5582120000000002E-2</v>
      </c>
      <c r="Z1519">
        <v>4.7847100000000001E-4</v>
      </c>
      <c r="AA1519">
        <v>0.99936659999999999</v>
      </c>
      <c r="AB1519">
        <v>38</v>
      </c>
      <c r="AC1519">
        <v>-19.429699999999901</v>
      </c>
      <c r="AD1519">
        <v>-1.1093990752730001</v>
      </c>
      <c r="AE1519">
        <v>0.88640000000003705</v>
      </c>
      <c r="AF1519">
        <v>0.70471457492482503</v>
      </c>
      <c r="AG1519">
        <v>-1.1093990752730001</v>
      </c>
      <c r="AH1519">
        <v>19.374022620806201</v>
      </c>
      <c r="AI1519">
        <v>93.275142014119993</v>
      </c>
      <c r="AJ1519">
        <v>87.916830264124798</v>
      </c>
      <c r="AK1519">
        <v>19.418551476663701</v>
      </c>
      <c r="AL1519">
        <v>81.056175999028198</v>
      </c>
      <c r="AM1519">
        <v>89.740755867526204</v>
      </c>
      <c r="AN1519">
        <v>0.99999996845565098</v>
      </c>
    </row>
    <row r="1520" spans="1:40" x14ac:dyDescent="0.25">
      <c r="A1520" t="str">
        <f>"20190312164251379"</f>
        <v>20190312164251379</v>
      </c>
      <c r="B1520" t="str">
        <f>"1552380171376047"</f>
        <v>1552380171376047</v>
      </c>
      <c r="C1520" t="s">
        <v>40</v>
      </c>
      <c r="D1520">
        <v>4.7217849999999997</v>
      </c>
      <c r="E1520">
        <v>0.51750859999999999</v>
      </c>
      <c r="F1520" t="s">
        <v>47</v>
      </c>
      <c r="G1520">
        <v>-281.83300000000003</v>
      </c>
      <c r="H1520" s="1">
        <v>7.5481330000000001E-6</v>
      </c>
      <c r="I1520">
        <v>284.81599999999997</v>
      </c>
      <c r="J1520">
        <v>-261.94159999999999</v>
      </c>
      <c r="K1520">
        <v>1.1094090000000001</v>
      </c>
      <c r="L1520">
        <v>283.88040000000001</v>
      </c>
      <c r="M1520">
        <v>-0.99993849999999995</v>
      </c>
      <c r="N1520">
        <v>0</v>
      </c>
      <c r="O1520">
        <v>9.052615E-3</v>
      </c>
      <c r="P1520">
        <v>-0.98868129999999999</v>
      </c>
      <c r="Q1520">
        <v>0.1493572</v>
      </c>
      <c r="R1520">
        <v>1.420652E-2</v>
      </c>
      <c r="S1520">
        <v>-3.0574949999999999</v>
      </c>
      <c r="T1520">
        <v>-0.1674677</v>
      </c>
      <c r="U1520">
        <v>0.14172360000000001</v>
      </c>
      <c r="V1520">
        <v>5.1899850000000003E-3</v>
      </c>
      <c r="W1520">
        <v>0.1556949</v>
      </c>
      <c r="X1520">
        <v>0.98779150000000004</v>
      </c>
      <c r="Y1520">
        <v>3.7216029999999997E-2</v>
      </c>
      <c r="Z1520">
        <v>5.2272549999999999E-4</v>
      </c>
      <c r="AA1520">
        <v>0.9993071</v>
      </c>
      <c r="AB1520">
        <v>38</v>
      </c>
      <c r="AC1520">
        <v>-19.891399999999901</v>
      </c>
      <c r="AD1520">
        <v>-1.1094014518669999</v>
      </c>
      <c r="AE1520">
        <v>0.93559999999996502</v>
      </c>
      <c r="AF1520">
        <v>0.75315118526451696</v>
      </c>
      <c r="AG1520">
        <v>-1.1094014518669999</v>
      </c>
      <c r="AH1520">
        <v>19.8374840702288</v>
      </c>
      <c r="AI1520">
        <v>93.198604168940903</v>
      </c>
      <c r="AJ1520">
        <v>87.825749051005104</v>
      </c>
      <c r="AK1520">
        <v>19.882750879238301</v>
      </c>
      <c r="AL1520">
        <v>81.042899094565698</v>
      </c>
      <c r="AM1520">
        <v>89.698963293420206</v>
      </c>
      <c r="AN1520">
        <v>0.99999994265127801</v>
      </c>
    </row>
    <row r="1521" spans="1:40" x14ac:dyDescent="0.25">
      <c r="A1521" t="str">
        <f>"20190312164251400"</f>
        <v>20190312164251400</v>
      </c>
      <c r="B1521" t="str">
        <f>"1552380171395567"</f>
        <v>1552380171395567</v>
      </c>
      <c r="C1521" t="s">
        <v>40</v>
      </c>
      <c r="D1521">
        <v>4.3859839999999997</v>
      </c>
      <c r="E1521">
        <v>0.51748649999999996</v>
      </c>
      <c r="F1521" t="s">
        <v>47</v>
      </c>
      <c r="G1521">
        <v>-282.55720000000002</v>
      </c>
      <c r="H1521" s="1">
        <v>7.2186459999999998E-6</v>
      </c>
      <c r="I1521">
        <v>284.85640000000001</v>
      </c>
      <c r="J1521">
        <v>-262.28769999999997</v>
      </c>
      <c r="K1521">
        <v>1.1094059999999999</v>
      </c>
      <c r="L1521">
        <v>283.88339999999999</v>
      </c>
      <c r="M1521">
        <v>-0.99994000000000005</v>
      </c>
      <c r="N1521">
        <v>0</v>
      </c>
      <c r="O1521">
        <v>8.8827390000000006E-3</v>
      </c>
      <c r="P1521">
        <v>-0.98862410000000001</v>
      </c>
      <c r="Q1521">
        <v>0.14966099999999999</v>
      </c>
      <c r="R1521">
        <v>1.497125E-2</v>
      </c>
      <c r="S1521">
        <v>-3.0570979999999999</v>
      </c>
      <c r="T1521">
        <v>-0.1645141</v>
      </c>
      <c r="U1521">
        <v>0.14474489999999901</v>
      </c>
      <c r="V1521">
        <v>6.1226930000000002E-3</v>
      </c>
      <c r="W1521">
        <v>0.15601470000000001</v>
      </c>
      <c r="X1521">
        <v>0.98773569999999999</v>
      </c>
      <c r="Y1521">
        <v>3.8376739999999999E-2</v>
      </c>
      <c r="Z1521">
        <v>5.5389429999999997E-4</v>
      </c>
      <c r="AA1521">
        <v>0.99926320000000002</v>
      </c>
      <c r="AB1521">
        <v>38</v>
      </c>
      <c r="AC1521">
        <v>-20.269500000000001</v>
      </c>
      <c r="AD1521">
        <v>-1.1093987813539901</v>
      </c>
      <c r="AE1521">
        <v>0.97300000000001297</v>
      </c>
      <c r="AF1521">
        <v>0.79054648722422405</v>
      </c>
      <c r="AG1521">
        <v>-1.1093987813539901</v>
      </c>
      <c r="AH1521">
        <v>20.216920035768101</v>
      </c>
      <c r="AI1521">
        <v>93.138548583038897</v>
      </c>
      <c r="AJ1521">
        <v>87.760691933229396</v>
      </c>
      <c r="AK1521">
        <v>20.262763511850402</v>
      </c>
      <c r="AL1521">
        <v>81.024349231107294</v>
      </c>
      <c r="AM1521">
        <v>89.644844288664402</v>
      </c>
      <c r="AN1521">
        <v>0.99999994352007404</v>
      </c>
    </row>
    <row r="1522" spans="1:40" x14ac:dyDescent="0.25">
      <c r="A1522" t="str">
        <f>"20190312164251422"</f>
        <v>20190312164251422</v>
      </c>
      <c r="B1522" t="str">
        <f>"1552380171416064"</f>
        <v>1552380171416064</v>
      </c>
      <c r="C1522" t="s">
        <v>40</v>
      </c>
      <c r="D1522">
        <v>4.5911710000000001</v>
      </c>
      <c r="E1522">
        <v>0.4909114</v>
      </c>
      <c r="F1522" t="s">
        <v>47</v>
      </c>
      <c r="G1522">
        <v>-283.10390000000001</v>
      </c>
      <c r="H1522" s="1">
        <v>6.9712460000000003E-6</v>
      </c>
      <c r="I1522">
        <v>284.88040000000001</v>
      </c>
      <c r="J1522">
        <v>-262.68079999999998</v>
      </c>
      <c r="K1522">
        <v>1.1094040000000001</v>
      </c>
      <c r="L1522">
        <v>283.88670000000002</v>
      </c>
      <c r="M1522">
        <v>-0.99994150000000004</v>
      </c>
      <c r="N1522">
        <v>0</v>
      </c>
      <c r="O1522">
        <v>8.6893119999999994E-3</v>
      </c>
      <c r="P1522">
        <v>-0.98856250000000001</v>
      </c>
      <c r="Q1522">
        <v>0.15003159999999999</v>
      </c>
      <c r="R1522">
        <v>1.532793E-2</v>
      </c>
      <c r="S1522">
        <v>-3.0569760000000001</v>
      </c>
      <c r="T1522">
        <v>-0.16292139999999999</v>
      </c>
      <c r="U1522">
        <v>0.14642330000000001</v>
      </c>
      <c r="V1522">
        <v>6.6707590000000001E-3</v>
      </c>
      <c r="W1522">
        <v>0.15640419999999999</v>
      </c>
      <c r="X1522">
        <v>0.98767059999999995</v>
      </c>
      <c r="Y1522">
        <v>3.9118819999999999E-2</v>
      </c>
      <c r="Z1522">
        <v>5.7859839999999997E-4</v>
      </c>
      <c r="AA1522">
        <v>0.99923439999999997</v>
      </c>
      <c r="AB1522">
        <v>38</v>
      </c>
      <c r="AC1522">
        <v>-20.423100000000002</v>
      </c>
      <c r="AD1522">
        <v>-1.109397028754</v>
      </c>
      <c r="AE1522">
        <v>0.99369999999998904</v>
      </c>
      <c r="AF1522">
        <v>0.81380047309473902</v>
      </c>
      <c r="AG1522">
        <v>-1.109397028754</v>
      </c>
      <c r="AH1522">
        <v>20.3709961780235</v>
      </c>
      <c r="AI1522">
        <v>93.114748404751097</v>
      </c>
      <c r="AJ1522">
        <v>87.712308652894706</v>
      </c>
      <c r="AK1522">
        <v>20.417407236533901</v>
      </c>
      <c r="AL1522">
        <v>81.001755610683105</v>
      </c>
      <c r="AM1522">
        <v>89.613028346381697</v>
      </c>
      <c r="AN1522">
        <v>0.99999999345381796</v>
      </c>
    </row>
    <row r="1523" spans="1:40" x14ac:dyDescent="0.25">
      <c r="A1523" t="str">
        <f>"20190312164251445"</f>
        <v>20190312164251445</v>
      </c>
      <c r="B1523" t="str">
        <f>"1552380171435601"</f>
        <v>1552380171435601</v>
      </c>
      <c r="C1523" t="s">
        <v>40</v>
      </c>
      <c r="D1523">
        <v>4.2968099999999998</v>
      </c>
      <c r="E1523">
        <v>0.4817515</v>
      </c>
      <c r="F1523" t="s">
        <v>47</v>
      </c>
      <c r="G1523">
        <v>-286.04899999999998</v>
      </c>
      <c r="H1523" s="1">
        <v>5.9713370000000003E-6</v>
      </c>
      <c r="I1523">
        <v>283.39879999999999</v>
      </c>
      <c r="J1523">
        <v>-263.07249999999999</v>
      </c>
      <c r="K1523">
        <v>1.1094109999999999</v>
      </c>
      <c r="L1523">
        <v>283.89</v>
      </c>
      <c r="M1523">
        <v>-0.99994309999999997</v>
      </c>
      <c r="N1523">
        <v>0</v>
      </c>
      <c r="O1523">
        <v>8.4971939999999996E-3</v>
      </c>
      <c r="P1523">
        <v>-0.98852589999999996</v>
      </c>
      <c r="Q1523">
        <v>0.15020430000000001</v>
      </c>
      <c r="R1523">
        <v>1.598424E-2</v>
      </c>
      <c r="S1523">
        <v>-3.0577390000000002</v>
      </c>
      <c r="T1523">
        <v>-0.14516499999999999</v>
      </c>
      <c r="U1523">
        <v>-6.3842769999999993E-2</v>
      </c>
      <c r="V1523">
        <v>7.5168400000000003E-3</v>
      </c>
      <c r="W1523">
        <v>0.1565954</v>
      </c>
      <c r="X1523">
        <v>0.98763420000000002</v>
      </c>
      <c r="Y1523">
        <v>-2.9326709999999999E-2</v>
      </c>
      <c r="Z1523">
        <v>-1.0988129999999999E-3</v>
      </c>
      <c r="AA1523">
        <v>0.99956929999999999</v>
      </c>
      <c r="AB1523">
        <v>38</v>
      </c>
      <c r="AC1523">
        <v>-22.976500000000001</v>
      </c>
      <c r="AD1523">
        <v>-1.1094050286629999</v>
      </c>
      <c r="AE1523">
        <v>-0.49119999999999198</v>
      </c>
      <c r="AF1523">
        <v>-0.68482624567067796</v>
      </c>
      <c r="AG1523">
        <v>-1.1094050286629999</v>
      </c>
      <c r="AH1523">
        <v>22.918090263200401</v>
      </c>
      <c r="AI1523">
        <v>92.770141504190093</v>
      </c>
      <c r="AJ1523">
        <v>91.711572862973597</v>
      </c>
      <c r="AK1523">
        <v>22.9551438204291</v>
      </c>
      <c r="AL1523">
        <v>80.990663751557193</v>
      </c>
      <c r="AM1523">
        <v>89.563932788523104</v>
      </c>
      <c r="AN1523">
        <v>0.99999996759719201</v>
      </c>
    </row>
    <row r="1524" spans="1:40" x14ac:dyDescent="0.25">
      <c r="A1524" t="str">
        <f>"20190312164251467"</f>
        <v>20190312164251467</v>
      </c>
      <c r="B1524" t="str">
        <f>"1552380171456083"</f>
        <v>1552380171456083</v>
      </c>
      <c r="C1524" t="s">
        <v>40</v>
      </c>
      <c r="D1524">
        <v>4.4816799999999999</v>
      </c>
      <c r="E1524">
        <v>0.4779967</v>
      </c>
      <c r="F1524" t="s">
        <v>47</v>
      </c>
      <c r="G1524">
        <v>-288.55810000000002</v>
      </c>
      <c r="H1524" s="1">
        <v>4.9881179999999998E-6</v>
      </c>
      <c r="I1524">
        <v>282.7724</v>
      </c>
      <c r="J1524">
        <v>-263.45049999999998</v>
      </c>
      <c r="K1524">
        <v>1.1094200000000001</v>
      </c>
      <c r="L1524">
        <v>283.89299999999997</v>
      </c>
      <c r="M1524">
        <v>-0.99994439999999996</v>
      </c>
      <c r="N1524">
        <v>0</v>
      </c>
      <c r="O1524">
        <v>8.3126509999999904E-3</v>
      </c>
      <c r="P1524">
        <v>-0.98837269999999999</v>
      </c>
      <c r="Q1524">
        <v>0.15111769999999999</v>
      </c>
      <c r="R1524">
        <v>1.6824370000000002E-2</v>
      </c>
      <c r="S1524">
        <v>-3.0572509999999999</v>
      </c>
      <c r="T1524">
        <v>-0.13308429999999999</v>
      </c>
      <c r="U1524">
        <v>-0.13406370000000001</v>
      </c>
      <c r="V1524">
        <v>8.5401699999999997E-3</v>
      </c>
      <c r="W1524">
        <v>0.15752650000000001</v>
      </c>
      <c r="X1524">
        <v>0.98747779999999996</v>
      </c>
      <c r="Y1524">
        <v>-5.2055240000000003E-2</v>
      </c>
      <c r="Z1524">
        <v>-1.4934529999999901E-3</v>
      </c>
      <c r="AA1524">
        <v>0.99864310000000001</v>
      </c>
      <c r="AB1524">
        <v>38</v>
      </c>
      <c r="AC1524">
        <v>-25.107600000000001</v>
      </c>
      <c r="AD1524">
        <v>-1.1094150118819901</v>
      </c>
      <c r="AE1524">
        <v>-1.1205999999999601</v>
      </c>
      <c r="AF1524">
        <v>-1.3266912549518199</v>
      </c>
      <c r="AG1524">
        <v>-1.1094150118819901</v>
      </c>
      <c r="AH1524">
        <v>25.0486084506922</v>
      </c>
      <c r="AI1524">
        <v>92.532455497701207</v>
      </c>
      <c r="AJ1524">
        <v>93.0318191036814</v>
      </c>
      <c r="AK1524">
        <v>25.108239617118599</v>
      </c>
      <c r="AL1524">
        <v>80.936645232286494</v>
      </c>
      <c r="AM1524">
        <v>89.504491647049207</v>
      </c>
      <c r="AN1524">
        <v>0.99999996909935895</v>
      </c>
    </row>
    <row r="1525" spans="1:40" x14ac:dyDescent="0.25">
      <c r="A1525" t="str">
        <f>"20190312164251490"</f>
        <v>20190312164251490</v>
      </c>
      <c r="B1525" t="str">
        <f>"1552380171485361"</f>
        <v>1552380171485361</v>
      </c>
      <c r="C1525" t="s">
        <v>40</v>
      </c>
      <c r="D1525">
        <v>4.2892960000000002</v>
      </c>
      <c r="E1525">
        <v>0.47651539999999998</v>
      </c>
      <c r="F1525" t="s">
        <v>47</v>
      </c>
      <c r="G1525">
        <v>-289.2226</v>
      </c>
      <c r="H1525" s="1">
        <v>4.744259E-6</v>
      </c>
      <c r="I1525">
        <v>282.52629999999999</v>
      </c>
      <c r="J1525">
        <v>-263.83699999999999</v>
      </c>
      <c r="K1525">
        <v>1.1094189999999999</v>
      </c>
      <c r="L1525">
        <v>283.89609999999999</v>
      </c>
      <c r="M1525">
        <v>-0.99994590000000005</v>
      </c>
      <c r="N1525">
        <v>0</v>
      </c>
      <c r="O1525">
        <v>8.1265669999999995E-3</v>
      </c>
      <c r="P1525">
        <v>-0.98829840000000002</v>
      </c>
      <c r="Q1525">
        <v>0.1514453</v>
      </c>
      <c r="R1525">
        <v>1.8179290000000001E-2</v>
      </c>
      <c r="S1525">
        <v>-3.0581360000000002</v>
      </c>
      <c r="T1525">
        <v>-0.1316437</v>
      </c>
      <c r="U1525">
        <v>-0.16217039999999999</v>
      </c>
      <c r="V1525">
        <v>1.007948E-2</v>
      </c>
      <c r="W1525">
        <v>0.15787300000000001</v>
      </c>
      <c r="X1525">
        <v>0.98740799999999995</v>
      </c>
      <c r="Y1525">
        <v>-6.1004500000000003E-2</v>
      </c>
      <c r="Z1525">
        <v>-1.6609439999999999E-3</v>
      </c>
      <c r="AA1525">
        <v>0.99813609999999997</v>
      </c>
      <c r="AB1525">
        <v>39</v>
      </c>
      <c r="AC1525">
        <v>-25.3856</v>
      </c>
      <c r="AD1525">
        <v>-1.1094142557410001</v>
      </c>
      <c r="AE1525">
        <v>-1.3697999999999899</v>
      </c>
      <c r="AF1525">
        <v>-1.57306121251951</v>
      </c>
      <c r="AG1525">
        <v>-1.1094142557410001</v>
      </c>
      <c r="AH1525">
        <v>25.325400918862901</v>
      </c>
      <c r="AI1525">
        <v>92.503498668435796</v>
      </c>
      <c r="AJ1525">
        <v>93.554302062830899</v>
      </c>
      <c r="AK1525">
        <v>25.3984498202217</v>
      </c>
      <c r="AL1525">
        <v>80.916541137274393</v>
      </c>
      <c r="AM1525">
        <v>89.415143886487598</v>
      </c>
      <c r="AN1525">
        <v>1.00000001925503</v>
      </c>
    </row>
    <row r="1526" spans="1:40" x14ac:dyDescent="0.25">
      <c r="A1526" t="str">
        <f>"20190312164251511"</f>
        <v>20190312164251511</v>
      </c>
      <c r="B1526" t="str">
        <f>"1552380171505857"</f>
        <v>1552380171505857</v>
      </c>
      <c r="C1526" t="s">
        <v>40</v>
      </c>
      <c r="D1526">
        <v>4.13049</v>
      </c>
      <c r="E1526">
        <v>0.4755856</v>
      </c>
      <c r="F1526" t="s">
        <v>47</v>
      </c>
      <c r="G1526">
        <v>-293.00549999999998</v>
      </c>
      <c r="H1526" s="1">
        <v>2.9436629999999999E-6</v>
      </c>
      <c r="I1526">
        <v>282.27379999999999</v>
      </c>
      <c r="J1526">
        <v>-264.22269999999997</v>
      </c>
      <c r="K1526">
        <v>1.109413</v>
      </c>
      <c r="L1526">
        <v>283.89909999999998</v>
      </c>
      <c r="M1526">
        <v>-0.99994720000000004</v>
      </c>
      <c r="N1526">
        <v>0</v>
      </c>
      <c r="O1526">
        <v>7.94705699999999E-3</v>
      </c>
      <c r="P1526">
        <v>-0.98828479999999996</v>
      </c>
      <c r="Q1526">
        <v>0.15143489999999901</v>
      </c>
      <c r="R1526">
        <v>1.8997690000000001E-2</v>
      </c>
      <c r="S1526">
        <v>-3.0564269999999998</v>
      </c>
      <c r="T1526">
        <v>-0.1162503</v>
      </c>
      <c r="U1526">
        <v>-0.16998289999999999</v>
      </c>
      <c r="V1526">
        <v>1.107671E-2</v>
      </c>
      <c r="W1526">
        <v>0.15788199999999999</v>
      </c>
      <c r="X1526">
        <v>0.98739589999999999</v>
      </c>
      <c r="Y1526">
        <v>-6.3410859999999999E-2</v>
      </c>
      <c r="Z1526">
        <v>-1.5064830000000001E-3</v>
      </c>
      <c r="AA1526">
        <v>0.99798640000000005</v>
      </c>
      <c r="AB1526">
        <v>39</v>
      </c>
      <c r="AC1526">
        <v>-28.782800000000002</v>
      </c>
      <c r="AD1526">
        <v>-1.109410056337</v>
      </c>
      <c r="AE1526">
        <v>-1.62529999999998</v>
      </c>
      <c r="AF1526">
        <v>-1.8512505012151701</v>
      </c>
      <c r="AG1526">
        <v>-1.109410056337</v>
      </c>
      <c r="AH1526">
        <v>28.726432489002299</v>
      </c>
      <c r="AI1526">
        <v>92.207080614489001</v>
      </c>
      <c r="AJ1526">
        <v>93.687278921571107</v>
      </c>
      <c r="AK1526">
        <v>28.807392152649999</v>
      </c>
      <c r="AL1526">
        <v>80.916019128772206</v>
      </c>
      <c r="AM1526">
        <v>89.357276941030506</v>
      </c>
      <c r="AN1526">
        <v>1.00000004138261</v>
      </c>
    </row>
    <row r="1527" spans="1:40" x14ac:dyDescent="0.25">
      <c r="A1527" t="str">
        <f>"20190312164251536"</f>
        <v>20190312164251536</v>
      </c>
      <c r="B1527" t="str">
        <f>"1552380171525379"</f>
        <v>1552380171525379</v>
      </c>
      <c r="C1527" t="s">
        <v>40</v>
      </c>
      <c r="D1527">
        <v>4.2878319999999999</v>
      </c>
      <c r="E1527">
        <v>0.47507670000000002</v>
      </c>
      <c r="F1527" t="s">
        <v>47</v>
      </c>
      <c r="G1527">
        <v>-294.12099999999998</v>
      </c>
      <c r="H1527" s="1">
        <v>3.1486810000000001E-6</v>
      </c>
      <c r="I1527">
        <v>282.19200000000001</v>
      </c>
      <c r="J1527">
        <v>-264.63240000000002</v>
      </c>
      <c r="K1527">
        <v>1.109405</v>
      </c>
      <c r="L1527">
        <v>283.90219999999999</v>
      </c>
      <c r="M1527">
        <v>-0.99994850000000002</v>
      </c>
      <c r="N1527">
        <v>0</v>
      </c>
      <c r="O1527">
        <v>7.7666710000000002E-3</v>
      </c>
      <c r="P1527">
        <v>-0.98828579999999999</v>
      </c>
      <c r="Q1527">
        <v>0.15125089999999999</v>
      </c>
      <c r="R1527">
        <v>2.0362470000000001E-2</v>
      </c>
      <c r="S1527">
        <v>-3.056305</v>
      </c>
      <c r="T1527">
        <v>-0.1134076</v>
      </c>
      <c r="U1527">
        <v>-0.1744995</v>
      </c>
      <c r="V1527">
        <v>1.2622029999999999E-2</v>
      </c>
      <c r="W1527">
        <v>0.15771859999999999</v>
      </c>
      <c r="X1527">
        <v>0.98740349999999999</v>
      </c>
      <c r="Y1527">
        <v>-6.4704869999999998E-2</v>
      </c>
      <c r="Z1527">
        <v>-1.48696299999999E-3</v>
      </c>
      <c r="AA1527">
        <v>0.99790330000000005</v>
      </c>
      <c r="AB1527">
        <v>39</v>
      </c>
      <c r="AC1527">
        <v>-29.488599999999899</v>
      </c>
      <c r="AD1527">
        <v>-1.109401851319</v>
      </c>
      <c r="AE1527">
        <v>-1.71019999999998</v>
      </c>
      <c r="AF1527">
        <v>-1.9364499557547701</v>
      </c>
      <c r="AG1527">
        <v>-1.109401851319</v>
      </c>
      <c r="AH1527">
        <v>29.432908951120801</v>
      </c>
      <c r="AI1527">
        <v>92.153950703484497</v>
      </c>
      <c r="AJ1527">
        <v>93.764179007776605</v>
      </c>
      <c r="AK1527">
        <v>29.5173972467732</v>
      </c>
      <c r="AL1527">
        <v>80.925500326005306</v>
      </c>
      <c r="AM1527">
        <v>89.267624977522502</v>
      </c>
      <c r="AN1527">
        <v>1.0000000721197599</v>
      </c>
    </row>
    <row r="1528" spans="1:40" x14ac:dyDescent="0.25">
      <c r="A1528" t="str">
        <f>"20190312164251557"</f>
        <v>20190312164251557</v>
      </c>
      <c r="B1528" t="str">
        <f>"1552380171545871"</f>
        <v>1552380171545871</v>
      </c>
      <c r="C1528" t="s">
        <v>40</v>
      </c>
      <c r="D1528">
        <v>4.0636449999999904</v>
      </c>
      <c r="E1528">
        <v>0.47495670000000001</v>
      </c>
      <c r="F1528" t="s">
        <v>47</v>
      </c>
      <c r="G1528">
        <v>-295.8279</v>
      </c>
      <c r="H1528" s="1">
        <v>3.4574250000000002E-6</v>
      </c>
      <c r="I1528">
        <v>282.12389999999999</v>
      </c>
      <c r="J1528">
        <v>-265.01729999999998</v>
      </c>
      <c r="K1528">
        <v>1.1093930000000001</v>
      </c>
      <c r="L1528">
        <v>283.9051</v>
      </c>
      <c r="M1528">
        <v>-0.99994950000000005</v>
      </c>
      <c r="N1528">
        <v>0</v>
      </c>
      <c r="O1528">
        <v>7.611998E-3</v>
      </c>
      <c r="P1528">
        <v>-0.9883345</v>
      </c>
      <c r="Q1528">
        <v>0.1506806</v>
      </c>
      <c r="R1528">
        <v>2.2139880000000001E-2</v>
      </c>
      <c r="S1528">
        <v>-3.0558169999999998</v>
      </c>
      <c r="T1528">
        <v>-0.1086733</v>
      </c>
      <c r="U1528">
        <v>-0.1741943</v>
      </c>
      <c r="V1528">
        <v>1.455535E-2</v>
      </c>
      <c r="W1528">
        <v>0.15717039999999999</v>
      </c>
      <c r="X1528">
        <v>0.98746420000000001</v>
      </c>
      <c r="Y1528">
        <v>-6.4464549999999995E-2</v>
      </c>
      <c r="Z1528">
        <v>-1.415396E-3</v>
      </c>
      <c r="AA1528">
        <v>0.997919</v>
      </c>
      <c r="AB1528">
        <v>39</v>
      </c>
      <c r="AC1528">
        <v>-30.810600000000001</v>
      </c>
      <c r="AD1528">
        <v>-1.109389542575</v>
      </c>
      <c r="AE1528">
        <v>-1.7812000000000101</v>
      </c>
      <c r="AF1528">
        <v>-2.0130824285856601</v>
      </c>
      <c r="AG1528">
        <v>-1.109389542575</v>
      </c>
      <c r="AH1528">
        <v>30.756406119716601</v>
      </c>
      <c r="AI1528">
        <v>92.061367370387003</v>
      </c>
      <c r="AJ1528">
        <v>93.744808171944996</v>
      </c>
      <c r="AK1528">
        <v>30.842175076060901</v>
      </c>
      <c r="AL1528">
        <v>80.957305627866603</v>
      </c>
      <c r="AM1528">
        <v>89.155513958233996</v>
      </c>
      <c r="AN1528">
        <v>0.99999996956571002</v>
      </c>
    </row>
    <row r="1529" spans="1:40" x14ac:dyDescent="0.25">
      <c r="A1529" t="str">
        <f>"20190312164251581"</f>
        <v>20190312164251581</v>
      </c>
      <c r="B1529" t="str">
        <f>"1552380171576128"</f>
        <v>1552380171576128</v>
      </c>
      <c r="C1529" t="s">
        <v>40</v>
      </c>
      <c r="D1529">
        <v>4.2407469999999998</v>
      </c>
      <c r="E1529">
        <v>0.47473539999999997</v>
      </c>
      <c r="F1529" t="s">
        <v>47</v>
      </c>
      <c r="G1529">
        <v>-296.52</v>
      </c>
      <c r="H1529" s="1">
        <v>3.5771009999999998E-6</v>
      </c>
      <c r="I1529">
        <v>282.1592</v>
      </c>
      <c r="J1529">
        <v>-265.4178</v>
      </c>
      <c r="K1529">
        <v>1.1093710000000001</v>
      </c>
      <c r="L1529">
        <v>283.90800000000002</v>
      </c>
      <c r="M1529">
        <v>-0.99995040000000002</v>
      </c>
      <c r="N1529">
        <v>0</v>
      </c>
      <c r="O1529">
        <v>7.4715900000000002E-3</v>
      </c>
      <c r="P1529">
        <v>-0.98826579999999997</v>
      </c>
      <c r="Q1529">
        <v>0.150860299999999</v>
      </c>
      <c r="R1529">
        <v>2.3917819999999999E-2</v>
      </c>
      <c r="S1529">
        <v>-3.0556030000000001</v>
      </c>
      <c r="T1529">
        <v>-0.1076051</v>
      </c>
      <c r="U1529">
        <v>-0.16934199999999999</v>
      </c>
      <c r="V1529">
        <v>1.6477470000000001E-2</v>
      </c>
      <c r="W1529">
        <v>0.15737619999999999</v>
      </c>
      <c r="X1529">
        <v>0.98740119999999998</v>
      </c>
      <c r="Y1529">
        <v>-6.2750619999999993E-2</v>
      </c>
      <c r="Z1529">
        <v>-1.366566E-3</v>
      </c>
      <c r="AA1529">
        <v>0.99802829999999998</v>
      </c>
      <c r="AB1529">
        <v>39</v>
      </c>
      <c r="AC1529">
        <v>-31.1021999999999</v>
      </c>
      <c r="AD1529">
        <v>-1.10936742289899</v>
      </c>
      <c r="AE1529">
        <v>-1.7488000000000099</v>
      </c>
      <c r="AF1529">
        <v>-1.9786297544396301</v>
      </c>
      <c r="AG1529">
        <v>-1.10936742289899</v>
      </c>
      <c r="AH1529">
        <v>31.0488881109362</v>
      </c>
      <c r="AI1529">
        <v>92.042151565720104</v>
      </c>
      <c r="AJ1529">
        <v>93.646315574242806</v>
      </c>
      <c r="AK1529">
        <v>31.1316418569528</v>
      </c>
      <c r="AL1529">
        <v>80.945365408004307</v>
      </c>
      <c r="AM1529">
        <v>89.043953090127602</v>
      </c>
      <c r="AN1529">
        <v>0.99999995255273899</v>
      </c>
    </row>
    <row r="1530" spans="1:40" x14ac:dyDescent="0.25">
      <c r="A1530" t="str">
        <f>"20190312164251601"</f>
        <v>20190312164251601</v>
      </c>
      <c r="B1530" t="str">
        <f>"1552380171595647"</f>
        <v>1552380171595647</v>
      </c>
      <c r="C1530" t="s">
        <v>40</v>
      </c>
      <c r="D1530">
        <v>3.977732</v>
      </c>
      <c r="E1530">
        <v>0.47431790000000001</v>
      </c>
      <c r="F1530" t="s">
        <v>47</v>
      </c>
      <c r="G1530">
        <v>-297.8211</v>
      </c>
      <c r="H1530" s="1">
        <v>3.8083570000000001E-6</v>
      </c>
      <c r="I1530">
        <v>282.154</v>
      </c>
      <c r="J1530">
        <v>-265.78149999999999</v>
      </c>
      <c r="K1530">
        <v>1.109351</v>
      </c>
      <c r="L1530">
        <v>283.91070000000002</v>
      </c>
      <c r="M1530">
        <v>-0.99995109999999998</v>
      </c>
      <c r="N1530">
        <v>0</v>
      </c>
      <c r="O1530">
        <v>7.3663159999999899E-3</v>
      </c>
      <c r="P1530">
        <v>-0.98821959999999998</v>
      </c>
      <c r="Q1530">
        <v>0.15070420000000001</v>
      </c>
      <c r="R1530">
        <v>2.6655229999999999E-2</v>
      </c>
      <c r="S1530">
        <v>-3.0555729999999999</v>
      </c>
      <c r="T1530">
        <v>-0.10461139999999999</v>
      </c>
      <c r="U1530">
        <v>-0.16540529999999901</v>
      </c>
      <c r="V1530">
        <v>1.93253E-2</v>
      </c>
      <c r="W1530">
        <v>0.1572453</v>
      </c>
      <c r="X1530">
        <v>0.98737050000000004</v>
      </c>
      <c r="Y1530">
        <v>-6.1367280000000003E-2</v>
      </c>
      <c r="Z1530">
        <v>-1.301371E-3</v>
      </c>
      <c r="AA1530">
        <v>0.99811439999999996</v>
      </c>
      <c r="AB1530">
        <v>39</v>
      </c>
      <c r="AC1530">
        <v>-32.0396</v>
      </c>
      <c r="AD1530">
        <v>-1.109347191643</v>
      </c>
      <c r="AE1530">
        <v>-1.7567000000000199</v>
      </c>
      <c r="AF1530">
        <v>-1.9902924030514899</v>
      </c>
      <c r="AG1530">
        <v>-1.109347191643</v>
      </c>
      <c r="AH1530">
        <v>31.987556996223699</v>
      </c>
      <c r="AI1530">
        <v>91.982424456832902</v>
      </c>
      <c r="AJ1530">
        <v>93.560401175929798</v>
      </c>
      <c r="AK1530">
        <v>32.068609536864997</v>
      </c>
      <c r="AL1530">
        <v>80.952960672510599</v>
      </c>
      <c r="AM1530">
        <v>88.878722050184194</v>
      </c>
      <c r="AN1530">
        <v>1.00000002793121</v>
      </c>
    </row>
    <row r="1531" spans="1:40" x14ac:dyDescent="0.25">
      <c r="A1531" t="str">
        <f>"20190312164251635"</f>
        <v>20190312164251635</v>
      </c>
      <c r="B1531" t="str">
        <f>"1552380171625903"</f>
        <v>1552380171625903</v>
      </c>
      <c r="C1531" t="s">
        <v>40</v>
      </c>
      <c r="D1531">
        <v>3.9842330000000001</v>
      </c>
      <c r="E1531">
        <v>0.47398089999999998</v>
      </c>
      <c r="F1531" t="s">
        <v>47</v>
      </c>
      <c r="G1531">
        <v>-298.10809999999998</v>
      </c>
      <c r="H1531" s="1">
        <v>3.8540940000000003E-6</v>
      </c>
      <c r="I1531">
        <v>282.21300000000002</v>
      </c>
      <c r="J1531">
        <v>-266.38909999999998</v>
      </c>
      <c r="K1531">
        <v>1.109321</v>
      </c>
      <c r="L1531">
        <v>283.9151</v>
      </c>
      <c r="M1531">
        <v>-0.9999517</v>
      </c>
      <c r="N1531">
        <v>0</v>
      </c>
      <c r="O1531">
        <v>7.2456909999999899E-3</v>
      </c>
      <c r="P1531">
        <v>-0.98826930000000002</v>
      </c>
      <c r="Q1531">
        <v>0.15006069999999999</v>
      </c>
      <c r="R1531">
        <v>2.839305E-2</v>
      </c>
      <c r="S1531">
        <v>-3.0561219999999998</v>
      </c>
      <c r="T1531">
        <v>-0.1048765</v>
      </c>
      <c r="U1531">
        <v>-0.16049189999999999</v>
      </c>
      <c r="V1531">
        <v>2.119511E-2</v>
      </c>
      <c r="W1531">
        <v>0.15664349999999999</v>
      </c>
      <c r="X1531">
        <v>0.98742779999999997</v>
      </c>
      <c r="Y1531">
        <v>-5.9637879999999997E-2</v>
      </c>
      <c r="Z1531">
        <v>-1.2707090000000001E-3</v>
      </c>
      <c r="AA1531">
        <v>0.99821930000000003</v>
      </c>
      <c r="AB1531">
        <v>39</v>
      </c>
      <c r="AC1531">
        <v>-31.718999999999902</v>
      </c>
      <c r="AD1531">
        <v>-1.1093171459060001</v>
      </c>
      <c r="AE1531">
        <v>-1.7021000000000299</v>
      </c>
      <c r="AF1531">
        <v>-1.9295331650665599</v>
      </c>
      <c r="AG1531">
        <v>-1.1093171459060001</v>
      </c>
      <c r="AH1531">
        <v>31.667212275972201</v>
      </c>
      <c r="AI1531">
        <v>92.002566419868799</v>
      </c>
      <c r="AJ1531">
        <v>93.486811320783801</v>
      </c>
      <c r="AK1531">
        <v>31.745330618797801</v>
      </c>
      <c r="AL1531">
        <v>80.987874042032303</v>
      </c>
      <c r="AM1531">
        <v>88.770336532193596</v>
      </c>
      <c r="AN1531">
        <v>1.0000000394965001</v>
      </c>
    </row>
    <row r="1532" spans="1:40" x14ac:dyDescent="0.25">
      <c r="A1532" t="str">
        <f>"20190312164251656"</f>
        <v>20190312164251656</v>
      </c>
      <c r="B1532" t="str">
        <f>"1552380171645988"</f>
        <v>1552380171645988</v>
      </c>
      <c r="C1532" t="s">
        <v>40</v>
      </c>
      <c r="D1532">
        <v>4.0026140000000003</v>
      </c>
      <c r="E1532">
        <v>0.4736995</v>
      </c>
      <c r="F1532" t="s">
        <v>47</v>
      </c>
      <c r="G1532">
        <v>-298.75580000000002</v>
      </c>
      <c r="H1532" s="1">
        <v>3.9661830000000004E-6</v>
      </c>
      <c r="I1532">
        <v>282.245</v>
      </c>
      <c r="J1532">
        <v>-266.75209999999998</v>
      </c>
      <c r="K1532">
        <v>1.1093040000000001</v>
      </c>
      <c r="L1532">
        <v>283.91770000000002</v>
      </c>
      <c r="M1532">
        <v>-0.99995179999999995</v>
      </c>
      <c r="N1532">
        <v>0</v>
      </c>
      <c r="O1532">
        <v>7.1982599999999997E-3</v>
      </c>
      <c r="P1532">
        <v>-0.98829259999999997</v>
      </c>
      <c r="Q1532">
        <v>0.14962609999999901</v>
      </c>
      <c r="R1532">
        <v>2.9829660000000001E-2</v>
      </c>
      <c r="S1532">
        <v>-3.056</v>
      </c>
      <c r="T1532">
        <v>-0.10473979999999999</v>
      </c>
      <c r="U1532">
        <v>-0.157684299999999</v>
      </c>
      <c r="V1532">
        <v>2.2685730000000001E-2</v>
      </c>
      <c r="W1532">
        <v>0.15623329999999999</v>
      </c>
      <c r="X1532">
        <v>0.98745970000000005</v>
      </c>
      <c r="Y1532">
        <v>-5.8678670000000002E-2</v>
      </c>
      <c r="Z1532">
        <v>-1.2510869999999999E-3</v>
      </c>
      <c r="AA1532">
        <v>0.9982761</v>
      </c>
      <c r="AB1532">
        <v>39</v>
      </c>
      <c r="AC1532">
        <v>-32.003700000000002</v>
      </c>
      <c r="AD1532">
        <v>-1.109300033817</v>
      </c>
      <c r="AE1532">
        <v>-1.6727000000000201</v>
      </c>
      <c r="AF1532">
        <v>-1.90075535201255</v>
      </c>
      <c r="AG1532">
        <v>-1.109300033817</v>
      </c>
      <c r="AH1532">
        <v>31.9525459242582</v>
      </c>
      <c r="AI1532">
        <v>91.984839326381405</v>
      </c>
      <c r="AJ1532">
        <v>93.404331896543198</v>
      </c>
      <c r="AK1532">
        <v>32.028247040933401</v>
      </c>
      <c r="AL1532">
        <v>81.0116700508582</v>
      </c>
      <c r="AM1532">
        <v>88.6839280829372</v>
      </c>
      <c r="AN1532">
        <v>1.0000000727492999</v>
      </c>
    </row>
    <row r="1533" spans="1:40" x14ac:dyDescent="0.25">
      <c r="A1533" t="str">
        <f>"20190312164251678"</f>
        <v>20190312164251678</v>
      </c>
      <c r="B1533" t="str">
        <f>"1552380171675269"</f>
        <v>1552380171675269</v>
      </c>
      <c r="C1533" t="s">
        <v>40</v>
      </c>
      <c r="D1533">
        <v>3.9975610000000001</v>
      </c>
      <c r="E1533">
        <v>0.47302850000000002</v>
      </c>
      <c r="F1533" t="s">
        <v>47</v>
      </c>
      <c r="G1533">
        <v>-299.12759999999997</v>
      </c>
      <c r="H1533" s="1">
        <v>4.0307399999999996E-6</v>
      </c>
      <c r="I1533">
        <v>282.2611</v>
      </c>
      <c r="J1533">
        <v>-267.13529999999997</v>
      </c>
      <c r="K1533">
        <v>1.109289</v>
      </c>
      <c r="L1533">
        <v>283.92039999999997</v>
      </c>
      <c r="M1533">
        <v>-0.99995179999999995</v>
      </c>
      <c r="N1533">
        <v>0</v>
      </c>
      <c r="O1533">
        <v>7.1645199999999997E-3</v>
      </c>
      <c r="P1533">
        <v>-0.98824509999999999</v>
      </c>
      <c r="Q1533">
        <v>0.1497636</v>
      </c>
      <c r="R1533">
        <v>3.0705039999999999E-2</v>
      </c>
      <c r="S1533">
        <v>-3.0561219999999998</v>
      </c>
      <c r="T1533">
        <v>-0.1047134</v>
      </c>
      <c r="U1533">
        <v>-0.15637210000000001</v>
      </c>
      <c r="V1533">
        <v>2.3601500000000001E-2</v>
      </c>
      <c r="W1533">
        <v>0.1563957</v>
      </c>
      <c r="X1533">
        <v>0.98741250000000003</v>
      </c>
      <c r="Y1533">
        <v>-5.821573E-2</v>
      </c>
      <c r="Z1533">
        <v>-1.2416580000000001E-3</v>
      </c>
      <c r="AA1533">
        <v>0.99830319999999995</v>
      </c>
      <c r="AB1533">
        <v>39</v>
      </c>
      <c r="AC1533">
        <v>-31.9923</v>
      </c>
      <c r="AD1533">
        <v>-1.10928496926</v>
      </c>
      <c r="AE1533">
        <v>-1.65929999999997</v>
      </c>
      <c r="AF1533">
        <v>-1.88621043411683</v>
      </c>
      <c r="AG1533">
        <v>-1.10928496926</v>
      </c>
      <c r="AH1533">
        <v>31.941292066517001</v>
      </c>
      <c r="AI1533">
        <v>91.985562043511194</v>
      </c>
      <c r="AJ1533">
        <v>93.379529443618196</v>
      </c>
      <c r="AK1533">
        <v>32.016159073557603</v>
      </c>
      <c r="AL1533">
        <v>81.002249164676599</v>
      </c>
      <c r="AM1533">
        <v>88.630755736521806</v>
      </c>
      <c r="AN1533">
        <v>1.0000000454684901</v>
      </c>
    </row>
    <row r="1534" spans="1:40" x14ac:dyDescent="0.25">
      <c r="A1534" t="str">
        <f>"20190312164251700"</f>
        <v>20190312164251700</v>
      </c>
      <c r="B1534" t="str">
        <f>"1552380171695764"</f>
        <v>1552380171695764</v>
      </c>
      <c r="C1534" t="s">
        <v>40</v>
      </c>
      <c r="D1534">
        <v>3.9982890000000002</v>
      </c>
      <c r="E1534">
        <v>0.47261649999999999</v>
      </c>
      <c r="F1534" t="s">
        <v>47</v>
      </c>
      <c r="G1534">
        <v>-300.0729</v>
      </c>
      <c r="H1534" s="1">
        <v>4.1633200000000001E-6</v>
      </c>
      <c r="I1534">
        <v>282.19540000000001</v>
      </c>
      <c r="J1534">
        <v>-267.5335</v>
      </c>
      <c r="K1534">
        <v>1.109275</v>
      </c>
      <c r="L1534">
        <v>283.92329999999998</v>
      </c>
      <c r="M1534">
        <v>-0.99995179999999995</v>
      </c>
      <c r="N1534">
        <v>0</v>
      </c>
      <c r="O1534">
        <v>7.1428999999999998E-3</v>
      </c>
      <c r="P1534">
        <v>-0.9882746</v>
      </c>
      <c r="Q1534">
        <v>0.14939240000000001</v>
      </c>
      <c r="R1534">
        <v>3.1549309999999997E-2</v>
      </c>
      <c r="S1534">
        <v>-3.0562130000000001</v>
      </c>
      <c r="T1534">
        <v>-0.10292850000000001</v>
      </c>
      <c r="U1534">
        <v>-0.1600647</v>
      </c>
      <c r="V1534">
        <v>2.4472299999999999E-2</v>
      </c>
      <c r="W1534">
        <v>0.15605289999999999</v>
      </c>
      <c r="X1534">
        <v>0.98744549999999998</v>
      </c>
      <c r="Y1534">
        <v>-5.939618E-2</v>
      </c>
      <c r="Z1534">
        <v>-1.239562E-3</v>
      </c>
      <c r="AA1534">
        <v>0.9982337</v>
      </c>
      <c r="AB1534">
        <v>40</v>
      </c>
      <c r="AC1534">
        <v>-32.539400000000001</v>
      </c>
      <c r="AD1534">
        <v>-1.1092708366799999</v>
      </c>
      <c r="AE1534">
        <v>-1.72789999999997</v>
      </c>
      <c r="AF1534">
        <v>-1.9580177914314201</v>
      </c>
      <c r="AG1534">
        <v>-1.1092708366799999</v>
      </c>
      <c r="AH1534">
        <v>32.488577451316502</v>
      </c>
      <c r="AI1534">
        <v>91.951974623727907</v>
      </c>
      <c r="AJ1534">
        <v>93.448923637709697</v>
      </c>
      <c r="AK1534">
        <v>32.566424124715603</v>
      </c>
      <c r="AL1534">
        <v>81.022133978079594</v>
      </c>
      <c r="AM1534">
        <v>88.580303892194607</v>
      </c>
      <c r="AN1534">
        <v>1.0000000082679701</v>
      </c>
    </row>
    <row r="1535" spans="1:40" x14ac:dyDescent="0.25">
      <c r="A1535" t="str">
        <f>"20190312164251724"</f>
        <v>20190312164251724</v>
      </c>
      <c r="B1535" t="str">
        <f>"1552380171716260"</f>
        <v>1552380171716260</v>
      </c>
      <c r="C1535" t="s">
        <v>40</v>
      </c>
      <c r="D1535">
        <v>3.9767169999999998</v>
      </c>
      <c r="E1535">
        <v>0.47222760000000003</v>
      </c>
      <c r="F1535" t="s">
        <v>47</v>
      </c>
      <c r="G1535">
        <v>-300.351</v>
      </c>
      <c r="H1535" s="1">
        <v>4.1141049999999996E-6</v>
      </c>
      <c r="I1535">
        <v>282.19409999999999</v>
      </c>
      <c r="J1535">
        <v>-267.9513</v>
      </c>
      <c r="K1535">
        <v>1.1092610000000001</v>
      </c>
      <c r="L1535">
        <v>283.92619999999999</v>
      </c>
      <c r="M1535">
        <v>-0.99995179999999995</v>
      </c>
      <c r="N1535">
        <v>0</v>
      </c>
      <c r="O1535">
        <v>7.1307769999999996E-3</v>
      </c>
      <c r="P1535">
        <v>-0.98818989999999995</v>
      </c>
      <c r="Q1535">
        <v>0.14987039999999999</v>
      </c>
      <c r="R1535">
        <v>3.1933740000000002E-2</v>
      </c>
      <c r="S1535">
        <v>-3.0563959999999999</v>
      </c>
      <c r="T1535">
        <v>-0.1033101</v>
      </c>
      <c r="U1535">
        <v>-0.161041299999999</v>
      </c>
      <c r="V1535">
        <v>2.4873470000000002E-2</v>
      </c>
      <c r="W1535">
        <v>0.15656339999999999</v>
      </c>
      <c r="X1535">
        <v>0.98735459999999997</v>
      </c>
      <c r="Y1535">
        <v>-5.9698590000000003E-2</v>
      </c>
      <c r="Z1535">
        <v>-1.248767E-3</v>
      </c>
      <c r="AA1535">
        <v>0.99821570000000004</v>
      </c>
      <c r="AB1535">
        <v>40</v>
      </c>
      <c r="AC1535">
        <v>-32.399700000000003</v>
      </c>
      <c r="AD1535">
        <v>-1.109256885895</v>
      </c>
      <c r="AE1535">
        <v>-1.7321</v>
      </c>
      <c r="AF1535">
        <v>-1.9608044559078099</v>
      </c>
      <c r="AG1535">
        <v>-1.109256885895</v>
      </c>
      <c r="AH1535">
        <v>32.348715314104602</v>
      </c>
      <c r="AI1535">
        <v>91.960342027927993</v>
      </c>
      <c r="AJ1535">
        <v>93.468716768681603</v>
      </c>
      <c r="AK1535">
        <v>32.427065661669097</v>
      </c>
      <c r="AL1535">
        <v>80.992519926439499</v>
      </c>
      <c r="AM1535">
        <v>88.556908041303501</v>
      </c>
      <c r="AN1535">
        <v>0.99999994693527905</v>
      </c>
    </row>
    <row r="1536" spans="1:40" x14ac:dyDescent="0.25">
      <c r="A1536" t="str">
        <f>"20190312164251748"</f>
        <v>20190312164251748</v>
      </c>
      <c r="B1536" t="str">
        <f>"1552380171735780"</f>
        <v>1552380171735780</v>
      </c>
      <c r="C1536" t="s">
        <v>40</v>
      </c>
      <c r="D1536">
        <v>4.2305659999999996</v>
      </c>
      <c r="E1536">
        <v>0.47200700000000001</v>
      </c>
      <c r="F1536" t="s">
        <v>47</v>
      </c>
      <c r="G1536">
        <v>-301.57690000000002</v>
      </c>
      <c r="H1536" s="1">
        <v>3.9021929999999997E-6</v>
      </c>
      <c r="I1536">
        <v>282.13069999999999</v>
      </c>
      <c r="J1536">
        <v>-268.37020000000001</v>
      </c>
      <c r="K1536">
        <v>1.109254</v>
      </c>
      <c r="L1536">
        <v>283.92919999999998</v>
      </c>
      <c r="M1536">
        <v>-0.99995149999999999</v>
      </c>
      <c r="N1536">
        <v>0</v>
      </c>
      <c r="O1536">
        <v>7.12548E-3</v>
      </c>
      <c r="P1536">
        <v>-0.98819829999999997</v>
      </c>
      <c r="Q1536">
        <v>0.14958260000000001</v>
      </c>
      <c r="R1536">
        <v>3.3002360000000001E-2</v>
      </c>
      <c r="S1536">
        <v>-3.0563959999999999</v>
      </c>
      <c r="T1536">
        <v>-0.1008259</v>
      </c>
      <c r="U1536">
        <v>-0.16320799999999999</v>
      </c>
      <c r="V1536">
        <v>2.5950440000000002E-2</v>
      </c>
      <c r="W1536">
        <v>0.15631</v>
      </c>
      <c r="X1536">
        <v>0.98736710000000005</v>
      </c>
      <c r="Y1536">
        <v>-6.0400389999999998E-2</v>
      </c>
      <c r="Z1536">
        <v>-1.2301219999999999E-3</v>
      </c>
      <c r="AA1536">
        <v>0.99817350000000005</v>
      </c>
      <c r="AB1536">
        <v>40</v>
      </c>
      <c r="AC1536">
        <v>-33.206699999999998</v>
      </c>
      <c r="AD1536">
        <v>-1.1092500978069999</v>
      </c>
      <c r="AE1536">
        <v>-1.79849999999998</v>
      </c>
      <c r="AF1536">
        <v>-2.0328117983320402</v>
      </c>
      <c r="AG1536">
        <v>-1.1092500978069999</v>
      </c>
      <c r="AH1536">
        <v>33.156152258726301</v>
      </c>
      <c r="AI1536">
        <v>91.9125461503899</v>
      </c>
      <c r="AJ1536">
        <v>93.5084266473214</v>
      </c>
      <c r="AK1536">
        <v>33.236925131407197</v>
      </c>
      <c r="AL1536">
        <v>81.007220285545799</v>
      </c>
      <c r="AM1536">
        <v>88.494472345606695</v>
      </c>
      <c r="AN1536">
        <v>1.0000000157993001</v>
      </c>
    </row>
    <row r="1537" spans="1:40" x14ac:dyDescent="0.25">
      <c r="A1537" t="str">
        <f>"20190312164251769"</f>
        <v>20190312164251769</v>
      </c>
      <c r="B1537" t="str">
        <f>"1552380171765638"</f>
        <v>1552380171765638</v>
      </c>
      <c r="C1537" t="s">
        <v>40</v>
      </c>
      <c r="D1537">
        <v>3.9759980000000001</v>
      </c>
      <c r="E1537">
        <v>0.47149340000000001</v>
      </c>
      <c r="F1537" t="s">
        <v>47</v>
      </c>
      <c r="G1537">
        <v>-301.91149999999999</v>
      </c>
      <c r="H1537" s="1">
        <v>3.8414500000000003E-6</v>
      </c>
      <c r="I1537">
        <v>282.14659999999998</v>
      </c>
      <c r="J1537">
        <v>-268.75150000000002</v>
      </c>
      <c r="K1537">
        <v>1.109251</v>
      </c>
      <c r="L1537">
        <v>283.93189999999998</v>
      </c>
      <c r="M1537">
        <v>-0.99995129999999999</v>
      </c>
      <c r="N1537">
        <v>0</v>
      </c>
      <c r="O1537">
        <v>7.1227440000000003E-3</v>
      </c>
      <c r="P1537">
        <v>-0.98824829999999997</v>
      </c>
      <c r="Q1537">
        <v>0.14917429999999901</v>
      </c>
      <c r="R1537">
        <v>3.3357190000000002E-2</v>
      </c>
      <c r="S1537">
        <v>-3.0565190000000002</v>
      </c>
      <c r="T1537">
        <v>-0.1010828</v>
      </c>
      <c r="U1537">
        <v>-0.16244510000000001</v>
      </c>
      <c r="V1537">
        <v>2.6310219999999999E-2</v>
      </c>
      <c r="W1537">
        <v>0.15593280000000001</v>
      </c>
      <c r="X1537">
        <v>0.98741719999999999</v>
      </c>
      <c r="Y1537">
        <v>-6.0147039999999999E-2</v>
      </c>
      <c r="Z1537">
        <v>-1.2289379999999999E-3</v>
      </c>
      <c r="AA1537">
        <v>0.99818879999999999</v>
      </c>
      <c r="AB1537">
        <v>40</v>
      </c>
      <c r="AC1537">
        <v>-33.159999999999897</v>
      </c>
      <c r="AD1537">
        <v>-1.1092471585499999</v>
      </c>
      <c r="AE1537">
        <v>-1.7853000000000001</v>
      </c>
      <c r="AF1537">
        <v>-2.0191974734855198</v>
      </c>
      <c r="AG1537">
        <v>-1.1092471585499999</v>
      </c>
      <c r="AH1537">
        <v>33.109500020479103</v>
      </c>
      <c r="AI1537">
        <v>91.915271775128204</v>
      </c>
      <c r="AJ1537">
        <v>93.489886130864207</v>
      </c>
      <c r="AK1537">
        <v>33.189555274239297</v>
      </c>
      <c r="AL1537">
        <v>81.029100375792595</v>
      </c>
      <c r="AM1537">
        <v>88.473686747416494</v>
      </c>
      <c r="AN1537">
        <v>0.999999996324064</v>
      </c>
    </row>
    <row r="1538" spans="1:40" x14ac:dyDescent="0.25">
      <c r="A1538" t="str">
        <f>"20190312164251791"</f>
        <v>20190312164251791</v>
      </c>
      <c r="B1538" t="str">
        <f>"1552380171786135"</f>
        <v>1552380171786135</v>
      </c>
      <c r="C1538" t="s">
        <v>40</v>
      </c>
      <c r="D1538">
        <v>4.0327769999999896</v>
      </c>
      <c r="E1538">
        <v>0.4711688</v>
      </c>
      <c r="F1538" t="s">
        <v>47</v>
      </c>
      <c r="G1538">
        <v>-301.9436</v>
      </c>
      <c r="H1538" s="1">
        <v>3.8365200000000002E-6</v>
      </c>
      <c r="I1538">
        <v>282.13780000000003</v>
      </c>
      <c r="J1538">
        <v>-269.14179999999999</v>
      </c>
      <c r="K1538">
        <v>1.109243</v>
      </c>
      <c r="L1538">
        <v>283.9348</v>
      </c>
      <c r="M1538">
        <v>-0.99995109999999998</v>
      </c>
      <c r="N1538">
        <v>0</v>
      </c>
      <c r="O1538">
        <v>7.1210170000000003E-3</v>
      </c>
      <c r="P1538">
        <v>-0.9883421</v>
      </c>
      <c r="Q1538">
        <v>0.14833640000000001</v>
      </c>
      <c r="R1538">
        <v>3.4298809999999999E-2</v>
      </c>
      <c r="S1538">
        <v>-3.056702</v>
      </c>
      <c r="T1538">
        <v>-0.1021521</v>
      </c>
      <c r="U1538">
        <v>-0.16522220000000001</v>
      </c>
      <c r="V1538">
        <v>2.7254980000000002E-2</v>
      </c>
      <c r="W1538">
        <v>0.1551254</v>
      </c>
      <c r="X1538">
        <v>0.98751869999999997</v>
      </c>
      <c r="Y1538">
        <v>-6.1045139999999998E-2</v>
      </c>
      <c r="Z1538">
        <v>-1.2567609999999999E-3</v>
      </c>
      <c r="AA1538">
        <v>0.99813419999999997</v>
      </c>
      <c r="AB1538">
        <v>40</v>
      </c>
      <c r="AC1538">
        <v>-32.8018</v>
      </c>
      <c r="AD1538">
        <v>-1.1092391634799901</v>
      </c>
      <c r="AE1538">
        <v>-1.79699999999996</v>
      </c>
      <c r="AF1538">
        <v>-2.0282296693164699</v>
      </c>
      <c r="AG1538">
        <v>-1.1092391634799901</v>
      </c>
      <c r="AH1538">
        <v>32.750831374117098</v>
      </c>
      <c r="AI1538">
        <v>91.936105148094299</v>
      </c>
      <c r="AJ1538">
        <v>93.543750612230497</v>
      </c>
      <c r="AK1538">
        <v>32.832317658203003</v>
      </c>
      <c r="AL1538">
        <v>81.0759304677768</v>
      </c>
      <c r="AM1538">
        <v>88.419068923811906</v>
      </c>
      <c r="AN1538">
        <v>0.99999995325482405</v>
      </c>
    </row>
    <row r="1539" spans="1:40" x14ac:dyDescent="0.25">
      <c r="A1539" t="str">
        <f>"20190312164251813"</f>
        <v>20190312164251813</v>
      </c>
      <c r="B1539" t="str">
        <f>"1552380171805654"</f>
        <v>1552380171805654</v>
      </c>
      <c r="C1539" t="s">
        <v>40</v>
      </c>
      <c r="D1539">
        <v>4.4687380000000001</v>
      </c>
      <c r="E1539">
        <v>0.47117409999999998</v>
      </c>
      <c r="F1539" t="s">
        <v>47</v>
      </c>
      <c r="G1539">
        <v>-301.39260000000002</v>
      </c>
      <c r="H1539" s="1">
        <v>3.9291850000000002E-6</v>
      </c>
      <c r="I1539">
        <v>282.19580000000002</v>
      </c>
      <c r="J1539">
        <v>-269.55599999999998</v>
      </c>
      <c r="K1539">
        <v>1.1092329999999999</v>
      </c>
      <c r="L1539">
        <v>283.93770000000001</v>
      </c>
      <c r="M1539">
        <v>-0.99995089999999998</v>
      </c>
      <c r="N1539">
        <v>0</v>
      </c>
      <c r="O1539">
        <v>7.1191029999999999E-3</v>
      </c>
      <c r="P1539">
        <v>-0.98846540000000005</v>
      </c>
      <c r="Q1539">
        <v>0.14722099999999999</v>
      </c>
      <c r="R1539">
        <v>3.5526729999999999E-2</v>
      </c>
      <c r="S1539">
        <v>-3.056854</v>
      </c>
      <c r="T1539">
        <v>-0.1051378</v>
      </c>
      <c r="U1539">
        <v>-0.16482539999999901</v>
      </c>
      <c r="V1539">
        <v>2.8485960000000001E-2</v>
      </c>
      <c r="W1539">
        <v>0.15404229999999899</v>
      </c>
      <c r="X1539">
        <v>0.98765360000000002</v>
      </c>
      <c r="Y1539">
        <v>-6.090922E-2</v>
      </c>
      <c r="Z1539">
        <v>-1.291012E-3</v>
      </c>
      <c r="AA1539">
        <v>0.99814250000000004</v>
      </c>
      <c r="AB1539">
        <v>40</v>
      </c>
      <c r="AC1539">
        <v>-31.836600000000001</v>
      </c>
      <c r="AD1539">
        <v>-1.1092290708150001</v>
      </c>
      <c r="AE1539">
        <v>-1.74189999999998</v>
      </c>
      <c r="AF1539">
        <v>-1.9661296802239301</v>
      </c>
      <c r="AG1539">
        <v>-1.1092290708150001</v>
      </c>
      <c r="AH1539">
        <v>31.784923016861502</v>
      </c>
      <c r="AI1539">
        <v>91.9948850738202</v>
      </c>
      <c r="AJ1539">
        <v>93.539652489167295</v>
      </c>
      <c r="AK1539">
        <v>31.864986838829999</v>
      </c>
      <c r="AL1539">
        <v>81.138743480100203</v>
      </c>
      <c r="AM1539">
        <v>88.347929941952799</v>
      </c>
      <c r="AN1539">
        <v>1.0000000568496801</v>
      </c>
    </row>
    <row r="1540" spans="1:40" x14ac:dyDescent="0.25">
      <c r="A1540" t="str">
        <f>"20190312164251835"</f>
        <v>20190312164251835</v>
      </c>
      <c r="B1540" t="str">
        <f>"1552380171826154"</f>
        <v>1552380171826154</v>
      </c>
      <c r="C1540" t="s">
        <v>40</v>
      </c>
      <c r="D1540">
        <v>4.3370699999999998</v>
      </c>
      <c r="E1540">
        <v>0.52016379999999995</v>
      </c>
      <c r="F1540" t="s">
        <v>47</v>
      </c>
      <c r="G1540">
        <v>-300.92189999999999</v>
      </c>
      <c r="H1540" s="1">
        <v>4.0046130000000003E-6</v>
      </c>
      <c r="I1540">
        <v>282.28809999999999</v>
      </c>
      <c r="J1540">
        <v>-269.95240000000001</v>
      </c>
      <c r="K1540">
        <v>1.1092219999999999</v>
      </c>
      <c r="L1540">
        <v>283.94049999999999</v>
      </c>
      <c r="M1540">
        <v>-0.99995060000000002</v>
      </c>
      <c r="N1540">
        <v>0</v>
      </c>
      <c r="O1540">
        <v>7.117183E-3</v>
      </c>
      <c r="P1540">
        <v>-0.98850110000000002</v>
      </c>
      <c r="Q1540">
        <v>0.14636979999999999</v>
      </c>
      <c r="R1540">
        <v>3.7966930000000003E-2</v>
      </c>
      <c r="S1540">
        <v>-3.0568849999999999</v>
      </c>
      <c r="T1540">
        <v>-0.1081042</v>
      </c>
      <c r="U1540">
        <v>-0.16076660000000001</v>
      </c>
      <c r="V1540">
        <v>3.0929459999999999E-2</v>
      </c>
      <c r="W1540">
        <v>0.15322249999999901</v>
      </c>
      <c r="X1540">
        <v>0.98770760000000002</v>
      </c>
      <c r="Y1540">
        <v>-5.9583690000000002E-2</v>
      </c>
      <c r="Z1540">
        <v>-1.3039659999999999E-3</v>
      </c>
      <c r="AA1540">
        <v>0.99822250000000001</v>
      </c>
      <c r="AB1540">
        <v>40</v>
      </c>
      <c r="AC1540">
        <v>-30.969499999999901</v>
      </c>
      <c r="AD1540">
        <v>-1.1092179953869901</v>
      </c>
      <c r="AE1540">
        <v>-1.6524000000000001</v>
      </c>
      <c r="AF1540">
        <v>-1.87038649539219</v>
      </c>
      <c r="AG1540">
        <v>-1.1092179953869901</v>
      </c>
      <c r="AH1540">
        <v>30.9174060161785</v>
      </c>
      <c r="AI1540">
        <v>92.050962291299996</v>
      </c>
      <c r="AJ1540">
        <v>93.461959398340994</v>
      </c>
      <c r="AK1540">
        <v>30.9937849410599</v>
      </c>
      <c r="AL1540">
        <v>81.186278697804397</v>
      </c>
      <c r="AM1540">
        <v>88.206403780727598</v>
      </c>
      <c r="AN1540">
        <v>1.00000003454995</v>
      </c>
    </row>
    <row r="1541" spans="1:40" x14ac:dyDescent="0.25">
      <c r="A1541" t="str">
        <f>"20190312164251857"</f>
        <v>20190312164251857</v>
      </c>
      <c r="B1541" t="str">
        <f>"1552380171845261"</f>
        <v>1552380171845261</v>
      </c>
      <c r="C1541" t="s">
        <v>40</v>
      </c>
      <c r="D1541">
        <v>4.0046710000000001</v>
      </c>
      <c r="E1541">
        <v>0.57448909999999997</v>
      </c>
      <c r="F1541" t="s">
        <v>47</v>
      </c>
      <c r="G1541">
        <v>-289.03280000000001</v>
      </c>
      <c r="H1541" s="1">
        <v>4.2350839999999999E-6</v>
      </c>
      <c r="I1541">
        <v>285.39780000000002</v>
      </c>
      <c r="J1541">
        <v>-270.34460000000001</v>
      </c>
      <c r="K1541">
        <v>1.1092150000000001</v>
      </c>
      <c r="L1541">
        <v>283.94330000000002</v>
      </c>
      <c r="M1541">
        <v>-0.99995049999999996</v>
      </c>
      <c r="N1541">
        <v>0</v>
      </c>
      <c r="O1541">
        <v>7.1148919999999899E-3</v>
      </c>
      <c r="P1541">
        <v>-0.9885391</v>
      </c>
      <c r="Q1541">
        <v>0.14546419999999999</v>
      </c>
      <c r="R1541">
        <v>4.0387190000000003E-2</v>
      </c>
      <c r="S1541">
        <v>-3.052216</v>
      </c>
      <c r="T1541">
        <v>-0.17743680000000001</v>
      </c>
      <c r="U1541">
        <v>0.23312379999999999</v>
      </c>
      <c r="V1541">
        <v>3.3353210000000001E-2</v>
      </c>
      <c r="W1541">
        <v>0.15235019999999999</v>
      </c>
      <c r="X1541">
        <v>0.98776359999999996</v>
      </c>
      <c r="Y1541">
        <v>6.8956610000000002E-2</v>
      </c>
      <c r="Z1541">
        <v>1.5871119999999999E-3</v>
      </c>
      <c r="AA1541">
        <v>0.99761840000000002</v>
      </c>
      <c r="AB1541">
        <v>40</v>
      </c>
      <c r="AC1541">
        <v>-18.688199999999899</v>
      </c>
      <c r="AD1541">
        <v>-1.1092107649159999</v>
      </c>
      <c r="AE1541">
        <v>1.4544999999999899</v>
      </c>
      <c r="AF1541">
        <v>1.31688419935749</v>
      </c>
      <c r="AG1541">
        <v>-1.1092107649159999</v>
      </c>
      <c r="AH1541">
        <v>18.6328305164201</v>
      </c>
      <c r="AI1541">
        <v>93.398335309926793</v>
      </c>
      <c r="AJ1541">
        <v>85.957315565781002</v>
      </c>
      <c r="AK1541">
        <v>18.7122127384539</v>
      </c>
      <c r="AL1541">
        <v>81.236851042077603</v>
      </c>
      <c r="AM1541">
        <v>88.066063200052398</v>
      </c>
      <c r="AN1541">
        <v>0.99999997477115099</v>
      </c>
    </row>
    <row r="1542" spans="1:40" x14ac:dyDescent="0.25">
      <c r="A1542" t="str">
        <f>"20190312164251879"</f>
        <v>20190312164251879</v>
      </c>
      <c r="B1542" t="str">
        <f>"1552380171875478"</f>
        <v>1552380171875478</v>
      </c>
      <c r="C1542" t="s">
        <v>40</v>
      </c>
      <c r="D1542">
        <v>4.0788460000000004</v>
      </c>
      <c r="E1542">
        <v>0.58094040000000002</v>
      </c>
      <c r="F1542" t="s">
        <v>47</v>
      </c>
      <c r="G1542">
        <v>-286.02519999999998</v>
      </c>
      <c r="H1542" s="1">
        <v>5.152977E-6</v>
      </c>
      <c r="I1542">
        <v>287.41050000000001</v>
      </c>
      <c r="J1542">
        <v>-270.74630000000002</v>
      </c>
      <c r="K1542">
        <v>1.1092109999999999</v>
      </c>
      <c r="L1542">
        <v>283.9461</v>
      </c>
      <c r="M1542">
        <v>-0.99995029999999996</v>
      </c>
      <c r="N1542">
        <v>0</v>
      </c>
      <c r="O1542">
        <v>7.1128270000000004E-3</v>
      </c>
      <c r="P1542">
        <v>-0.98852430000000002</v>
      </c>
      <c r="Q1542">
        <v>0.14484060000000001</v>
      </c>
      <c r="R1542">
        <v>4.2911629999999999E-2</v>
      </c>
      <c r="S1542">
        <v>-3.0390009999999998</v>
      </c>
      <c r="T1542">
        <v>-0.21497260000000001</v>
      </c>
      <c r="U1542">
        <v>0.67196659999999997</v>
      </c>
      <c r="V1542">
        <v>3.5880919999999997E-2</v>
      </c>
      <c r="W1542">
        <v>0.1517616</v>
      </c>
      <c r="X1542">
        <v>0.98776569999999997</v>
      </c>
      <c r="Y1542">
        <v>0.20846919999999999</v>
      </c>
      <c r="Z1542">
        <v>6.7801249999999997E-3</v>
      </c>
      <c r="AA1542">
        <v>0.97800540000000002</v>
      </c>
      <c r="AB1542">
        <v>40</v>
      </c>
      <c r="AC1542">
        <v>-15.278899999999901</v>
      </c>
      <c r="AD1542">
        <v>-1.109205847023</v>
      </c>
      <c r="AE1542">
        <v>3.4644000000000101</v>
      </c>
      <c r="AF1542">
        <v>3.33889683401947</v>
      </c>
      <c r="AG1542">
        <v>-1.109205847023</v>
      </c>
      <c r="AH1542">
        <v>15.2268290896405</v>
      </c>
      <c r="AI1542">
        <v>94.070017062498707</v>
      </c>
      <c r="AJ1542">
        <v>77.632087587568506</v>
      </c>
      <c r="AK1542">
        <v>15.6280163106012</v>
      </c>
      <c r="AL1542">
        <v>81.270972772075297</v>
      </c>
      <c r="AM1542">
        <v>87.919626329143497</v>
      </c>
      <c r="AN1542">
        <v>1.00000005087554</v>
      </c>
    </row>
    <row r="1543" spans="1:40" x14ac:dyDescent="0.25">
      <c r="A1543" t="str">
        <f>"20190312164251902"</f>
        <v>20190312164251902</v>
      </c>
      <c r="B1543" t="str">
        <f>"1552380171895974"</f>
        <v>1552380171895974</v>
      </c>
      <c r="C1543" t="s">
        <v>40</v>
      </c>
      <c r="D1543">
        <v>4.0790119999999996</v>
      </c>
      <c r="E1543">
        <v>0.58194230000000002</v>
      </c>
      <c r="F1543" t="s">
        <v>47</v>
      </c>
      <c r="G1543">
        <v>-281.81540000000001</v>
      </c>
      <c r="H1543" s="1">
        <v>7.1914229999999999E-6</v>
      </c>
      <c r="I1543">
        <v>286.58019999999999</v>
      </c>
      <c r="J1543">
        <v>-271.16370000000001</v>
      </c>
      <c r="K1543">
        <v>1.1092029999999999</v>
      </c>
      <c r="L1543">
        <v>283.94909999999999</v>
      </c>
      <c r="M1543">
        <v>-0.99995000000000001</v>
      </c>
      <c r="N1543">
        <v>0</v>
      </c>
      <c r="O1543">
        <v>7.1108619999999999E-3</v>
      </c>
      <c r="P1543">
        <v>-0.98842260000000004</v>
      </c>
      <c r="Q1543">
        <v>0.14458779999999999</v>
      </c>
      <c r="R1543">
        <v>4.5994060000000003E-2</v>
      </c>
      <c r="S1543">
        <v>-3.0481259999999999</v>
      </c>
      <c r="T1543">
        <v>-0.30544460000000001</v>
      </c>
      <c r="U1543">
        <v>0.72534180000000004</v>
      </c>
      <c r="V1543">
        <v>3.8966920000000002E-2</v>
      </c>
      <c r="W1543">
        <v>0.1515476</v>
      </c>
      <c r="X1543">
        <v>0.98768160000000005</v>
      </c>
      <c r="Y1543">
        <v>0.22354969999999999</v>
      </c>
      <c r="Z1543">
        <v>1.031902E-2</v>
      </c>
      <c r="AA1543">
        <v>0.97463789999999995</v>
      </c>
      <c r="AB1543">
        <v>40</v>
      </c>
      <c r="AC1543">
        <v>-10.6517</v>
      </c>
      <c r="AD1543">
        <v>-1.109195808577</v>
      </c>
      <c r="AE1543">
        <v>2.6311</v>
      </c>
      <c r="AF1543">
        <v>2.5294376162599699</v>
      </c>
      <c r="AG1543">
        <v>-1.109195808577</v>
      </c>
      <c r="AH1543">
        <v>10.562193390561401</v>
      </c>
      <c r="AI1543">
        <v>95.831282061967897</v>
      </c>
      <c r="AJ1543">
        <v>76.532423011485093</v>
      </c>
      <c r="AK1543">
        <v>10.9173393835648</v>
      </c>
      <c r="AL1543">
        <v>81.283377271432002</v>
      </c>
      <c r="AM1543">
        <v>87.740686123047695</v>
      </c>
      <c r="AN1543">
        <v>1.0000000194492999</v>
      </c>
    </row>
    <row r="1544" spans="1:40" x14ac:dyDescent="0.25">
      <c r="A1544" t="str">
        <f>"20190312164251925"</f>
        <v>20190312164251925</v>
      </c>
      <c r="B1544" t="str">
        <f>"1552380171915497"</f>
        <v>1552380171915497</v>
      </c>
      <c r="C1544" t="s">
        <v>40</v>
      </c>
      <c r="D1544">
        <v>4.1875119999999999</v>
      </c>
      <c r="E1544">
        <v>0.5816479</v>
      </c>
      <c r="F1544" t="s">
        <v>47</v>
      </c>
      <c r="G1544">
        <v>-282.33539999999999</v>
      </c>
      <c r="H1544" s="1">
        <v>6.9415310000000002E-6</v>
      </c>
      <c r="I1544">
        <v>286.67349999999999</v>
      </c>
      <c r="J1544">
        <v>-271.57819999999998</v>
      </c>
      <c r="K1544">
        <v>1.1092040000000001</v>
      </c>
      <c r="L1544">
        <v>283.95209999999997</v>
      </c>
      <c r="M1544">
        <v>-0.99994959999999999</v>
      </c>
      <c r="N1544">
        <v>0</v>
      </c>
      <c r="O1544">
        <v>7.1086930000000001E-3</v>
      </c>
      <c r="P1544">
        <v>-0.98834250000000001</v>
      </c>
      <c r="Q1544">
        <v>0.14421149999999999</v>
      </c>
      <c r="R1544">
        <v>4.8807589999999998E-2</v>
      </c>
      <c r="S1544">
        <v>-3.0448</v>
      </c>
      <c r="T1544">
        <v>-0.30230780000000002</v>
      </c>
      <c r="U1544">
        <v>0.74252320000000005</v>
      </c>
      <c r="V1544">
        <v>4.1783710000000002E-2</v>
      </c>
      <c r="W1544">
        <v>0.151215299999999</v>
      </c>
      <c r="X1544">
        <v>0.98761739999999998</v>
      </c>
      <c r="Y1544">
        <v>0.22898099999999999</v>
      </c>
      <c r="Z1544">
        <v>1.0483060000000001E-2</v>
      </c>
      <c r="AA1544">
        <v>0.97337439999999997</v>
      </c>
      <c r="AB1544">
        <v>41</v>
      </c>
      <c r="AC1544">
        <v>-10.757199999999999</v>
      </c>
      <c r="AD1544">
        <v>-1.1091970584690001</v>
      </c>
      <c r="AE1544">
        <v>2.7214000000000098</v>
      </c>
      <c r="AF1544">
        <v>2.6186922315649501</v>
      </c>
      <c r="AG1544">
        <v>-1.1091970584690001</v>
      </c>
      <c r="AH1544">
        <v>10.669657039155201</v>
      </c>
      <c r="AI1544">
        <v>95.765143510118094</v>
      </c>
      <c r="AJ1544">
        <v>76.210265538618103</v>
      </c>
      <c r="AK1544">
        <v>11.042166836783901</v>
      </c>
      <c r="AL1544">
        <v>81.302638792354301</v>
      </c>
      <c r="AM1544">
        <v>87.577398511111298</v>
      </c>
      <c r="AN1544">
        <v>1.0000000370791</v>
      </c>
    </row>
    <row r="1545" spans="1:40" x14ac:dyDescent="0.25">
      <c r="A1545" t="str">
        <f>"20190312164251947"</f>
        <v>20190312164251947</v>
      </c>
      <c r="B1545" t="str">
        <f>"1552380171935989"</f>
        <v>1552380171935989</v>
      </c>
      <c r="C1545" t="s">
        <v>40</v>
      </c>
      <c r="D1545">
        <v>4.1649229999999999</v>
      </c>
      <c r="E1545">
        <v>0.58200839999999998</v>
      </c>
      <c r="F1545" t="s">
        <v>47</v>
      </c>
      <c r="G1545">
        <v>-283.26690000000002</v>
      </c>
      <c r="H1545" s="1">
        <v>6.4949519999999899E-6</v>
      </c>
      <c r="I1545">
        <v>286.8356</v>
      </c>
      <c r="J1545">
        <v>-271.9676</v>
      </c>
      <c r="K1545">
        <v>1.1092070000000001</v>
      </c>
      <c r="L1545">
        <v>283.95490000000001</v>
      </c>
      <c r="M1545">
        <v>-0.99994930000000004</v>
      </c>
      <c r="N1545">
        <v>0</v>
      </c>
      <c r="O1545">
        <v>7.1069890000000002E-3</v>
      </c>
      <c r="P1545">
        <v>-0.98825700000000005</v>
      </c>
      <c r="Q1545">
        <v>0.14389379999999999</v>
      </c>
      <c r="R1545">
        <v>5.1407229999999998E-2</v>
      </c>
      <c r="S1545">
        <v>-3.040375</v>
      </c>
      <c r="T1545">
        <v>-0.28851690000000002</v>
      </c>
      <c r="U1545">
        <v>0.75003050000000004</v>
      </c>
      <c r="V1545">
        <v>4.4386009999999997E-2</v>
      </c>
      <c r="W1545">
        <v>0.1509424</v>
      </c>
      <c r="X1545">
        <v>0.98754560000000002</v>
      </c>
      <c r="Y1545">
        <v>0.231653</v>
      </c>
      <c r="Z1545">
        <v>1.014293E-2</v>
      </c>
      <c r="AA1545">
        <v>0.97274559999999999</v>
      </c>
      <c r="AB1545">
        <v>41</v>
      </c>
      <c r="AC1545">
        <v>-11.299300000000001</v>
      </c>
      <c r="AD1545">
        <v>-1.1092005050480001</v>
      </c>
      <c r="AE1545">
        <v>2.8806999999999898</v>
      </c>
      <c r="AF1545">
        <v>2.7752101687214101</v>
      </c>
      <c r="AG1545">
        <v>-1.1092005050480001</v>
      </c>
      <c r="AH1545">
        <v>11.217984166829099</v>
      </c>
      <c r="AI1545">
        <v>95.482650242835106</v>
      </c>
      <c r="AJ1545">
        <v>76.104621507381495</v>
      </c>
      <c r="AK1545">
        <v>11.609275860629801</v>
      </c>
      <c r="AL1545">
        <v>81.318456210878793</v>
      </c>
      <c r="AM1545">
        <v>87.4265283187043</v>
      </c>
      <c r="AN1545">
        <v>1.0000000190404199</v>
      </c>
    </row>
    <row r="1546" spans="1:40" x14ac:dyDescent="0.25">
      <c r="A1546" t="str">
        <f>"20190312164251970"</f>
        <v>20190312164251970</v>
      </c>
      <c r="B1546" t="str">
        <f>"1552380171965822"</f>
        <v>1552380171965822</v>
      </c>
      <c r="C1546" t="s">
        <v>40</v>
      </c>
      <c r="D1546">
        <v>4.174982</v>
      </c>
      <c r="E1546">
        <v>0.58234640000000004</v>
      </c>
      <c r="F1546" t="s">
        <v>47</v>
      </c>
      <c r="G1546">
        <v>-283.41480000000001</v>
      </c>
      <c r="H1546" s="1">
        <v>6.4326710000000001E-6</v>
      </c>
      <c r="I1546">
        <v>286.81959999999998</v>
      </c>
      <c r="J1546">
        <v>-272.39780000000002</v>
      </c>
      <c r="K1546">
        <v>1.1092010000000001</v>
      </c>
      <c r="L1546">
        <v>283.9579</v>
      </c>
      <c r="M1546">
        <v>-0.99994899999999998</v>
      </c>
      <c r="N1546">
        <v>0</v>
      </c>
      <c r="O1546">
        <v>7.1053100000000001E-3</v>
      </c>
      <c r="P1546">
        <v>-0.98818519999999999</v>
      </c>
      <c r="Q1546">
        <v>0.14349300000000001</v>
      </c>
      <c r="R1546">
        <v>5.385119E-2</v>
      </c>
      <c r="S1546">
        <v>-3.0389710000000001</v>
      </c>
      <c r="T1546">
        <v>-0.2944678</v>
      </c>
      <c r="U1546">
        <v>0.7605286</v>
      </c>
      <c r="V1546">
        <v>4.6832699999999998E-2</v>
      </c>
      <c r="W1546">
        <v>0.15059539999999999</v>
      </c>
      <c r="X1546">
        <v>0.98748550000000002</v>
      </c>
      <c r="Y1546">
        <v>0.2348691</v>
      </c>
      <c r="Z1546">
        <v>1.0504889999999999E-2</v>
      </c>
      <c r="AA1546">
        <v>0.97197029999999995</v>
      </c>
      <c r="AB1546">
        <v>41</v>
      </c>
      <c r="AC1546">
        <v>-11.0169999999999</v>
      </c>
      <c r="AD1546">
        <v>-1.109194567329</v>
      </c>
      <c r="AE1546">
        <v>2.8616999999999799</v>
      </c>
      <c r="AF1546">
        <v>2.7571650031790398</v>
      </c>
      <c r="AG1546">
        <v>-1.109194567329</v>
      </c>
      <c r="AH1546">
        <v>10.933235650533801</v>
      </c>
      <c r="AI1546">
        <v>95.618214405353996</v>
      </c>
      <c r="AJ1546">
        <v>75.846152899403194</v>
      </c>
      <c r="AK1546">
        <v>11.3299564532725</v>
      </c>
      <c r="AL1546">
        <v>81.338567089674299</v>
      </c>
      <c r="AM1546">
        <v>87.284712584299299</v>
      </c>
      <c r="AN1546">
        <v>0.99999994450034801</v>
      </c>
    </row>
    <row r="1547" spans="1:40" x14ac:dyDescent="0.25">
      <c r="A1547" t="str">
        <f>"20190312164251994"</f>
        <v>20190312164251994</v>
      </c>
      <c r="B1547" t="str">
        <f>"1552380171985342"</f>
        <v>1552380171985342</v>
      </c>
      <c r="C1547" t="s">
        <v>40</v>
      </c>
      <c r="D1547">
        <v>4.2770960000000002</v>
      </c>
      <c r="E1547">
        <v>0.58259439999999996</v>
      </c>
      <c r="F1547" t="s">
        <v>47</v>
      </c>
      <c r="G1547">
        <v>-283.51429999999999</v>
      </c>
      <c r="H1547" s="1">
        <v>6.3972630000000002E-6</v>
      </c>
      <c r="I1547">
        <v>286.77730000000003</v>
      </c>
      <c r="J1547">
        <v>-272.81659999999999</v>
      </c>
      <c r="K1547">
        <v>1.1092029999999999</v>
      </c>
      <c r="L1547">
        <v>283.96089999999998</v>
      </c>
      <c r="M1547">
        <v>-0.99994859999999997</v>
      </c>
      <c r="N1547">
        <v>0</v>
      </c>
      <c r="O1547">
        <v>7.1041000000000003E-3</v>
      </c>
      <c r="P1547">
        <v>-0.98808770000000001</v>
      </c>
      <c r="Q1547">
        <v>0.1433006</v>
      </c>
      <c r="R1547">
        <v>5.6107740000000003E-2</v>
      </c>
      <c r="S1547">
        <v>-3.0378720000000001</v>
      </c>
      <c r="T1547">
        <v>-0.30311640000000001</v>
      </c>
      <c r="U1547">
        <v>0.77047730000000003</v>
      </c>
      <c r="V1547">
        <v>4.9091360000000001E-2</v>
      </c>
      <c r="W1547">
        <v>0.15045829999999999</v>
      </c>
      <c r="X1547">
        <v>0.98739679999999996</v>
      </c>
      <c r="Y1547">
        <v>0.23787159999999999</v>
      </c>
      <c r="Z1547">
        <v>1.095876E-2</v>
      </c>
      <c r="AA1547">
        <v>0.97123479999999995</v>
      </c>
      <c r="AB1547">
        <v>41</v>
      </c>
      <c r="AC1547">
        <v>-10.6976999999999</v>
      </c>
      <c r="AD1547">
        <v>-1.1091966027369999</v>
      </c>
      <c r="AE1547">
        <v>2.8164000000000402</v>
      </c>
      <c r="AF1547">
        <v>2.7130528167623198</v>
      </c>
      <c r="AG1547">
        <v>-1.1091966027369999</v>
      </c>
      <c r="AH1547">
        <v>10.610759700196899</v>
      </c>
      <c r="AI1547">
        <v>95.783021060718895</v>
      </c>
      <c r="AJ1547">
        <v>75.657396450838505</v>
      </c>
      <c r="AK1547">
        <v>11.0081421732002</v>
      </c>
      <c r="AL1547">
        <v>81.346513806460607</v>
      </c>
      <c r="AM1547">
        <v>87.153714091165199</v>
      </c>
      <c r="AN1547">
        <v>1.0000000511578799</v>
      </c>
    </row>
    <row r="1548" spans="1:40" x14ac:dyDescent="0.25">
      <c r="A1548" t="str">
        <f>"20190312164252014"</f>
        <v>20190312164252014</v>
      </c>
      <c r="B1548" t="str">
        <f>"1552380172005838"</f>
        <v>1552380172005838</v>
      </c>
      <c r="C1548" t="s">
        <v>40</v>
      </c>
      <c r="D1548">
        <v>4.2400070000000003</v>
      </c>
      <c r="E1548">
        <v>0.5829588</v>
      </c>
      <c r="F1548" t="s">
        <v>47</v>
      </c>
      <c r="G1548">
        <v>-283.71370000000002</v>
      </c>
      <c r="H1548" s="1">
        <v>6.3132510000000003E-6</v>
      </c>
      <c r="I1548">
        <v>286.7561</v>
      </c>
      <c r="J1548">
        <v>-273.21530000000001</v>
      </c>
      <c r="K1548">
        <v>1.1092120000000001</v>
      </c>
      <c r="L1548">
        <v>283.96370000000002</v>
      </c>
      <c r="M1548">
        <v>-0.99994819999999995</v>
      </c>
      <c r="N1548">
        <v>0</v>
      </c>
      <c r="O1548">
        <v>7.103229E-3</v>
      </c>
      <c r="P1548">
        <v>-0.98797780000000002</v>
      </c>
      <c r="Q1548">
        <v>0.14334539999999901</v>
      </c>
      <c r="R1548">
        <v>5.7900319999999998E-2</v>
      </c>
      <c r="S1548">
        <v>-3.036835</v>
      </c>
      <c r="T1548">
        <v>-0.30911529999999998</v>
      </c>
      <c r="U1548">
        <v>0.77896119999999902</v>
      </c>
      <c r="V1548">
        <v>5.0885569999999998E-2</v>
      </c>
      <c r="W1548">
        <v>0.15056059999999999</v>
      </c>
      <c r="X1548">
        <v>0.98729029999999995</v>
      </c>
      <c r="Y1548">
        <v>0.24044299999999999</v>
      </c>
      <c r="Z1548">
        <v>1.130305E-2</v>
      </c>
      <c r="AA1548">
        <v>0.97059740000000005</v>
      </c>
      <c r="AB1548">
        <v>41</v>
      </c>
      <c r="AC1548">
        <v>-10.4984</v>
      </c>
      <c r="AD1548">
        <v>-1.1092056867489899</v>
      </c>
      <c r="AE1548">
        <v>2.7923999999999798</v>
      </c>
      <c r="AF1548">
        <v>2.68971379660502</v>
      </c>
      <c r="AG1548">
        <v>-1.1092056867489899</v>
      </c>
      <c r="AH1548">
        <v>10.409448477976699</v>
      </c>
      <c r="AI1548">
        <v>95.890315786109099</v>
      </c>
      <c r="AJ1548">
        <v>75.512138199363207</v>
      </c>
      <c r="AK1548">
        <v>10.808400213667801</v>
      </c>
      <c r="AL1548">
        <v>81.340584341263593</v>
      </c>
      <c r="AM1548">
        <v>87.049549796270298</v>
      </c>
      <c r="AN1548">
        <v>0.99999998599033701</v>
      </c>
    </row>
    <row r="1549" spans="1:40" x14ac:dyDescent="0.25">
      <c r="A1549" t="str">
        <f>"20190312164252037"</f>
        <v>20190312164252037</v>
      </c>
      <c r="B1549" t="str">
        <f>"1552380172025361"</f>
        <v>1552380172025361</v>
      </c>
      <c r="C1549" t="s">
        <v>40</v>
      </c>
      <c r="D1549">
        <v>4.2548769999999996</v>
      </c>
      <c r="E1549">
        <v>0.58324399999999998</v>
      </c>
      <c r="F1549" t="s">
        <v>47</v>
      </c>
      <c r="G1549">
        <v>-283.98070000000001</v>
      </c>
      <c r="H1549" s="1">
        <v>6.1954139999999898E-6</v>
      </c>
      <c r="I1549">
        <v>286.75330000000002</v>
      </c>
      <c r="J1549">
        <v>-273.61509999999998</v>
      </c>
      <c r="K1549">
        <v>1.1092169999999999</v>
      </c>
      <c r="L1549">
        <v>283.96660000000003</v>
      </c>
      <c r="M1549">
        <v>-0.99994760000000005</v>
      </c>
      <c r="N1549">
        <v>0</v>
      </c>
      <c r="O1549">
        <v>7.1026209999999999E-3</v>
      </c>
      <c r="P1549">
        <v>-0.98791200000000001</v>
      </c>
      <c r="Q1549">
        <v>0.14335880000000001</v>
      </c>
      <c r="R1549">
        <v>5.897517E-2</v>
      </c>
      <c r="S1549">
        <v>-3.035828</v>
      </c>
      <c r="T1549">
        <v>-0.31279559999999901</v>
      </c>
      <c r="U1549">
        <v>0.78665160000000001</v>
      </c>
      <c r="V1549">
        <v>5.196141E-2</v>
      </c>
      <c r="W1549">
        <v>0.1506421</v>
      </c>
      <c r="X1549">
        <v>0.98722180000000004</v>
      </c>
      <c r="Y1549">
        <v>0.24278730000000001</v>
      </c>
      <c r="Z1549">
        <v>1.1555650000000001E-2</v>
      </c>
      <c r="AA1549">
        <v>0.9700107</v>
      </c>
      <c r="AB1549">
        <v>41</v>
      </c>
      <c r="AC1549">
        <v>-10.365600000000001</v>
      </c>
      <c r="AD1549">
        <v>-1.1092108045860001</v>
      </c>
      <c r="AE1549">
        <v>2.78669999999999</v>
      </c>
      <c r="AF1549">
        <v>2.6843385727306002</v>
      </c>
      <c r="AG1549">
        <v>-1.1092108045860001</v>
      </c>
      <c r="AH1549">
        <v>10.275400356950501</v>
      </c>
      <c r="AI1549">
        <v>95.962530398144295</v>
      </c>
      <c r="AJ1549">
        <v>75.359292433006502</v>
      </c>
      <c r="AK1549">
        <v>10.6780089285259</v>
      </c>
      <c r="AL1549">
        <v>81.335860603600693</v>
      </c>
      <c r="AM1549">
        <v>86.987075449027699</v>
      </c>
      <c r="AN1549">
        <v>0.99999995640841799</v>
      </c>
    </row>
    <row r="1550" spans="1:40" x14ac:dyDescent="0.25">
      <c r="A1550" t="str">
        <f>"20190312164252057"</f>
        <v>20190312164252057</v>
      </c>
      <c r="B1550" t="str">
        <f>"1552380172045873"</f>
        <v>1552380172045873</v>
      </c>
      <c r="C1550" t="s">
        <v>40</v>
      </c>
      <c r="D1550">
        <v>4.6024900000000004</v>
      </c>
      <c r="E1550">
        <v>0.5842927</v>
      </c>
      <c r="F1550" t="s">
        <v>47</v>
      </c>
      <c r="G1550">
        <v>-284.08280000000002</v>
      </c>
      <c r="H1550" s="1">
        <v>6.162136E-6</v>
      </c>
      <c r="I1550">
        <v>286.69529999999997</v>
      </c>
      <c r="J1550">
        <v>-273.99930000000001</v>
      </c>
      <c r="K1550">
        <v>1.109226</v>
      </c>
      <c r="L1550">
        <v>283.96929999999998</v>
      </c>
      <c r="M1550">
        <v>-0.99994709999999998</v>
      </c>
      <c r="N1550">
        <v>0</v>
      </c>
      <c r="O1550">
        <v>7.1015169999999999E-3</v>
      </c>
      <c r="P1550">
        <v>-0.98790889999999998</v>
      </c>
      <c r="Q1550">
        <v>0.14308319999999999</v>
      </c>
      <c r="R1550">
        <v>5.969319E-2</v>
      </c>
      <c r="S1550">
        <v>-3.0361020000000001</v>
      </c>
      <c r="T1550">
        <v>-0.32172289999999998</v>
      </c>
      <c r="U1550">
        <v>0.79147339999999999</v>
      </c>
      <c r="V1550">
        <v>5.2680730000000002E-2</v>
      </c>
      <c r="W1550">
        <v>0.1504385</v>
      </c>
      <c r="X1550">
        <v>0.9872147</v>
      </c>
      <c r="Y1550">
        <v>0.24413609999999999</v>
      </c>
      <c r="Z1550">
        <v>1.1950590000000001E-2</v>
      </c>
      <c r="AA1550">
        <v>0.96966730000000001</v>
      </c>
      <c r="AB1550">
        <v>41</v>
      </c>
      <c r="AC1550">
        <v>-10.083500000000001</v>
      </c>
      <c r="AD1550">
        <v>-1.1092198378639999</v>
      </c>
      <c r="AE1550">
        <v>2.7259999999999902</v>
      </c>
      <c r="AF1550">
        <v>2.62472315492619</v>
      </c>
      <c r="AG1550">
        <v>-1.1092198378639999</v>
      </c>
      <c r="AH1550">
        <v>9.9899522193906591</v>
      </c>
      <c r="AI1550">
        <v>96.129437655774694</v>
      </c>
      <c r="AJ1550">
        <v>75.279030239666994</v>
      </c>
      <c r="AK1550">
        <v>10.3883918695063</v>
      </c>
      <c r="AL1550">
        <v>81.347660291636899</v>
      </c>
      <c r="AM1550">
        <v>86.945422999364595</v>
      </c>
      <c r="AN1550">
        <v>0.99999993274583399</v>
      </c>
    </row>
    <row r="1551" spans="1:40" x14ac:dyDescent="0.25">
      <c r="A1551" t="str">
        <f>"20190312164252081"</f>
        <v>20190312164252081</v>
      </c>
      <c r="B1551" t="str">
        <f>"1552380172075138"</f>
        <v>1552380172075138</v>
      </c>
      <c r="C1551" t="s">
        <v>40</v>
      </c>
      <c r="D1551">
        <v>4.3214360000000003</v>
      </c>
      <c r="E1551">
        <v>0.58465789999999995</v>
      </c>
      <c r="F1551" t="s">
        <v>47</v>
      </c>
      <c r="G1551">
        <v>-284.16379999999998</v>
      </c>
      <c r="H1551" s="1">
        <v>6.13481E-6</v>
      </c>
      <c r="I1551">
        <v>286.65350000000001</v>
      </c>
      <c r="J1551">
        <v>-274.43669999999997</v>
      </c>
      <c r="K1551">
        <v>1.109235</v>
      </c>
      <c r="L1551">
        <v>283.97239999999999</v>
      </c>
      <c r="M1551">
        <v>-0.99994649999999996</v>
      </c>
      <c r="N1551">
        <v>0</v>
      </c>
      <c r="O1551">
        <v>7.1005360000000002E-3</v>
      </c>
      <c r="P1551">
        <v>-0.9879829</v>
      </c>
      <c r="Q1551">
        <v>0.14261279999999901</v>
      </c>
      <c r="R1551">
        <v>5.9594750000000002E-2</v>
      </c>
      <c r="S1551">
        <v>-3.0362239999999998</v>
      </c>
      <c r="T1551">
        <v>-0.33133079999999998</v>
      </c>
      <c r="U1551">
        <v>0.80178830000000001</v>
      </c>
      <c r="V1551">
        <v>5.2582810000000001E-2</v>
      </c>
      <c r="W1551">
        <v>0.1500552</v>
      </c>
      <c r="X1551">
        <v>0.98727830000000005</v>
      </c>
      <c r="Y1551">
        <v>0.24711820000000001</v>
      </c>
      <c r="Z1551">
        <v>1.245949E-2</v>
      </c>
      <c r="AA1551">
        <v>0.96890520000000002</v>
      </c>
      <c r="AB1551">
        <v>41</v>
      </c>
      <c r="AC1551">
        <v>-9.7271000000000001</v>
      </c>
      <c r="AD1551">
        <v>-1.10922886519</v>
      </c>
      <c r="AE1551">
        <v>2.68110000000001</v>
      </c>
      <c r="AF1551">
        <v>2.5807722204171801</v>
      </c>
      <c r="AG1551">
        <v>-1.10922886519</v>
      </c>
      <c r="AH1551">
        <v>9.6295125224335507</v>
      </c>
      <c r="AI1551">
        <v>96.348840944376207</v>
      </c>
      <c r="AJ1551">
        <v>74.996935000505104</v>
      </c>
      <c r="AK1551">
        <v>10.030866629995201</v>
      </c>
      <c r="AL1551">
        <v>81.3698743194755</v>
      </c>
      <c r="AM1551">
        <v>86.951285993263397</v>
      </c>
      <c r="AN1551">
        <v>0.99999997830271203</v>
      </c>
    </row>
    <row r="1552" spans="1:40" x14ac:dyDescent="0.25">
      <c r="A1552" t="str">
        <f>"20190312164252103"</f>
        <v>20190312164252103</v>
      </c>
      <c r="B1552" t="str">
        <f>"1552380172095633"</f>
        <v>1552380172095633</v>
      </c>
      <c r="C1552" t="s">
        <v>40</v>
      </c>
      <c r="D1552">
        <v>4.3177830000000004</v>
      </c>
      <c r="E1552">
        <v>0.58502529999999997</v>
      </c>
      <c r="F1552" t="s">
        <v>47</v>
      </c>
      <c r="G1552">
        <v>-284.43540000000002</v>
      </c>
      <c r="H1552" s="1">
        <v>6.0209759999999998E-6</v>
      </c>
      <c r="I1552">
        <v>286.6216</v>
      </c>
      <c r="J1552">
        <v>-274.851</v>
      </c>
      <c r="K1552">
        <v>1.109246</v>
      </c>
      <c r="L1552">
        <v>283.9753</v>
      </c>
      <c r="M1552">
        <v>-0.99994570000000005</v>
      </c>
      <c r="N1552">
        <v>0</v>
      </c>
      <c r="O1552">
        <v>7.099681E-3</v>
      </c>
      <c r="P1552">
        <v>-0.98804590000000003</v>
      </c>
      <c r="Q1552">
        <v>0.1424232</v>
      </c>
      <c r="R1552">
        <v>5.8998540000000002E-2</v>
      </c>
      <c r="S1552">
        <v>-3.0365600000000001</v>
      </c>
      <c r="T1552">
        <v>-0.3368679</v>
      </c>
      <c r="U1552">
        <v>0.80453490000000005</v>
      </c>
      <c r="V1552">
        <v>5.198697E-2</v>
      </c>
      <c r="W1552">
        <v>0.14994959999999999</v>
      </c>
      <c r="X1552">
        <v>0.98732589999999998</v>
      </c>
      <c r="Y1552">
        <v>0.24786330000000001</v>
      </c>
      <c r="Z1552">
        <v>1.270434E-2</v>
      </c>
      <c r="AA1552">
        <v>0.96871169999999995</v>
      </c>
      <c r="AB1552">
        <v>41</v>
      </c>
      <c r="AC1552">
        <v>-9.5844000000000094</v>
      </c>
      <c r="AD1552">
        <v>-1.109239979024</v>
      </c>
      <c r="AE1552">
        <v>2.6462999999999899</v>
      </c>
      <c r="AF1552">
        <v>2.54649260888888</v>
      </c>
      <c r="AG1552">
        <v>-1.109239979024</v>
      </c>
      <c r="AH1552">
        <v>9.4849019338379197</v>
      </c>
      <c r="AI1552">
        <v>96.444138756554295</v>
      </c>
      <c r="AJ1552">
        <v>74.971706129230299</v>
      </c>
      <c r="AK1552">
        <v>9.8832384688781598</v>
      </c>
      <c r="AL1552">
        <v>81.375994010667895</v>
      </c>
      <c r="AM1552">
        <v>86.985913355090702</v>
      </c>
      <c r="AN1552">
        <v>0.99999998020037495</v>
      </c>
    </row>
    <row r="1553" spans="1:40" x14ac:dyDescent="0.25">
      <c r="A1553" t="str">
        <f>"20190312164252124"</f>
        <v>20190312164252124</v>
      </c>
      <c r="B1553" t="str">
        <f>"1552380172115157"</f>
        <v>1552380172115157</v>
      </c>
      <c r="C1553" t="s">
        <v>40</v>
      </c>
      <c r="D1553">
        <v>4.2325359999999996</v>
      </c>
      <c r="E1553">
        <v>0.58520930000000004</v>
      </c>
      <c r="F1553" t="s">
        <v>47</v>
      </c>
      <c r="G1553">
        <v>-284.85719999999998</v>
      </c>
      <c r="H1553" s="1">
        <v>5.8319440000000004E-6</v>
      </c>
      <c r="I1553">
        <v>286.63119999999998</v>
      </c>
      <c r="J1553">
        <v>-275.24689999999998</v>
      </c>
      <c r="K1553">
        <v>1.1092550000000001</v>
      </c>
      <c r="L1553">
        <v>283.97809999999998</v>
      </c>
      <c r="M1553">
        <v>-0.99994519999999998</v>
      </c>
      <c r="N1553">
        <v>0</v>
      </c>
      <c r="O1553">
        <v>7.0987219999999896E-3</v>
      </c>
      <c r="P1553">
        <v>-0.98816899999999996</v>
      </c>
      <c r="Q1553">
        <v>0.1420237</v>
      </c>
      <c r="R1553">
        <v>5.7891789999999999E-2</v>
      </c>
      <c r="S1553">
        <v>-3.0366819999999999</v>
      </c>
      <c r="T1553">
        <v>-0.33663140000000003</v>
      </c>
      <c r="U1553">
        <v>0.80599980000000004</v>
      </c>
      <c r="V1553">
        <v>5.0880549999999997E-2</v>
      </c>
      <c r="W1553">
        <v>0.1496295</v>
      </c>
      <c r="X1553">
        <v>0.98743210000000003</v>
      </c>
      <c r="Y1553">
        <v>0.24829090000000001</v>
      </c>
      <c r="Z1553">
        <v>1.2717549999999999E-2</v>
      </c>
      <c r="AA1553">
        <v>0.96860199999999996</v>
      </c>
      <c r="AB1553">
        <v>41</v>
      </c>
      <c r="AC1553">
        <v>-9.6102999999999899</v>
      </c>
      <c r="AD1553">
        <v>-1.1092491680559999</v>
      </c>
      <c r="AE1553">
        <v>2.65309999999999</v>
      </c>
      <c r="AF1553">
        <v>2.5532041491550399</v>
      </c>
      <c r="AG1553">
        <v>-1.1092491680559999</v>
      </c>
      <c r="AH1553">
        <v>9.5111533882227608</v>
      </c>
      <c r="AI1553">
        <v>96.426610720219003</v>
      </c>
      <c r="AJ1553">
        <v>74.973596456841705</v>
      </c>
      <c r="AK1553">
        <v>9.9101626585236602</v>
      </c>
      <c r="AL1553">
        <v>81.394543709731494</v>
      </c>
      <c r="AM1553">
        <v>87.050263260872399</v>
      </c>
      <c r="AN1553">
        <v>0.99999998487448105</v>
      </c>
    </row>
    <row r="1554" spans="1:40" x14ac:dyDescent="0.25">
      <c r="A1554" t="str">
        <f>"20190312164252147"</f>
        <v>20190312164252147</v>
      </c>
      <c r="B1554" t="str">
        <f>"1552380172135649"</f>
        <v>1552380172135649</v>
      </c>
      <c r="C1554" t="s">
        <v>40</v>
      </c>
      <c r="D1554">
        <v>4.2892159999999997</v>
      </c>
      <c r="E1554">
        <v>0.58521809999999996</v>
      </c>
      <c r="F1554" t="s">
        <v>47</v>
      </c>
      <c r="G1554">
        <v>-285.19839999999999</v>
      </c>
      <c r="H1554" s="1">
        <v>5.684679E-6</v>
      </c>
      <c r="I1554">
        <v>286.61169999999998</v>
      </c>
      <c r="J1554">
        <v>-275.65539999999999</v>
      </c>
      <c r="K1554">
        <v>1.1092610000000001</v>
      </c>
      <c r="L1554">
        <v>283.98099999999999</v>
      </c>
      <c r="M1554">
        <v>-0.99994470000000002</v>
      </c>
      <c r="N1554">
        <v>0</v>
      </c>
      <c r="O1554">
        <v>7.0979429999999998E-3</v>
      </c>
      <c r="P1554">
        <v>-0.98827600000000004</v>
      </c>
      <c r="Q1554">
        <v>0.1417755</v>
      </c>
      <c r="R1554">
        <v>5.6663199999999997E-2</v>
      </c>
      <c r="S1554">
        <v>-3.0374759999999998</v>
      </c>
      <c r="T1554">
        <v>-0.33857500000000001</v>
      </c>
      <c r="U1554">
        <v>0.80383300000000002</v>
      </c>
      <c r="V1554">
        <v>4.9652130000000003E-2</v>
      </c>
      <c r="W1554">
        <v>0.14945929999999999</v>
      </c>
      <c r="X1554">
        <v>0.98752050000000002</v>
      </c>
      <c r="Y1554">
        <v>0.24757190000000001</v>
      </c>
      <c r="Z1554">
        <v>1.274928E-2</v>
      </c>
      <c r="AA1554">
        <v>0.96878560000000002</v>
      </c>
      <c r="AB1554">
        <v>41</v>
      </c>
      <c r="AC1554">
        <v>-9.5429999999999993</v>
      </c>
      <c r="AD1554">
        <v>-1.1092553153210001</v>
      </c>
      <c r="AE1554">
        <v>2.6306999999999898</v>
      </c>
      <c r="AF1554">
        <v>2.5311129848600298</v>
      </c>
      <c r="AG1554">
        <v>-1.1092553153210001</v>
      </c>
      <c r="AH1554">
        <v>9.4428592992741596</v>
      </c>
      <c r="AI1554">
        <v>96.473371934413393</v>
      </c>
      <c r="AJ1554">
        <v>74.994868485605295</v>
      </c>
      <c r="AK1554">
        <v>9.8389314482104009</v>
      </c>
      <c r="AL1554">
        <v>81.404407156049402</v>
      </c>
      <c r="AM1554">
        <v>87.121615378784895</v>
      </c>
      <c r="AN1554">
        <v>1.0000000771451301</v>
      </c>
    </row>
    <row r="1555" spans="1:40" x14ac:dyDescent="0.25">
      <c r="A1555" t="str">
        <f>"20190312164252171"</f>
        <v>20190312164252171</v>
      </c>
      <c r="B1555" t="str">
        <f>"1552380172165437"</f>
        <v>1552380172165437</v>
      </c>
      <c r="C1555" t="s">
        <v>40</v>
      </c>
      <c r="D1555">
        <v>4.1756489999999999</v>
      </c>
      <c r="E1555">
        <v>0.58544359999999995</v>
      </c>
      <c r="F1555" t="s">
        <v>47</v>
      </c>
      <c r="G1555">
        <v>-285.88440000000003</v>
      </c>
      <c r="H1555" s="1">
        <v>5.3666070000000004E-6</v>
      </c>
      <c r="I1555">
        <v>286.67880000000002</v>
      </c>
      <c r="J1555">
        <v>-276.09089999999998</v>
      </c>
      <c r="K1555">
        <v>1.1092569999999999</v>
      </c>
      <c r="L1555">
        <v>283.98410000000001</v>
      </c>
      <c r="M1555">
        <v>-0.99994400000000006</v>
      </c>
      <c r="N1555">
        <v>0</v>
      </c>
      <c r="O1555">
        <v>7.0974559999999898E-3</v>
      </c>
      <c r="P1555">
        <v>-0.98841650000000003</v>
      </c>
      <c r="Q1555">
        <v>0.14135919999999999</v>
      </c>
      <c r="R1555">
        <v>5.5231139999999998E-2</v>
      </c>
      <c r="S1555">
        <v>-3.0369259999999998</v>
      </c>
      <c r="T1555">
        <v>-0.32933129999999999</v>
      </c>
      <c r="U1555">
        <v>0.80096440000000002</v>
      </c>
      <c r="V1555">
        <v>4.8219480000000002E-2</v>
      </c>
      <c r="W1555">
        <v>0.1491217</v>
      </c>
      <c r="X1555">
        <v>0.98764249999999998</v>
      </c>
      <c r="Y1555">
        <v>0.2468381</v>
      </c>
      <c r="Z1555">
        <v>1.236782E-2</v>
      </c>
      <c r="AA1555">
        <v>0.9689778</v>
      </c>
      <c r="AB1555">
        <v>41</v>
      </c>
      <c r="AC1555">
        <v>-9.7935000000000496</v>
      </c>
      <c r="AD1555">
        <v>-1.109251633393</v>
      </c>
      <c r="AE1555">
        <v>2.6947000000000099</v>
      </c>
      <c r="AF1555">
        <v>2.5941831835018099</v>
      </c>
      <c r="AG1555">
        <v>-1.109251633393</v>
      </c>
      <c r="AH1555">
        <v>9.6967374924075695</v>
      </c>
      <c r="AI1555">
        <v>96.306052472035603</v>
      </c>
      <c r="AJ1555">
        <v>75.022328683050006</v>
      </c>
      <c r="AK1555">
        <v>10.0988585281907</v>
      </c>
      <c r="AL1555">
        <v>81.423969234566599</v>
      </c>
      <c r="AM1555">
        <v>87.2048786355179</v>
      </c>
      <c r="AN1555">
        <v>1.0000000537342999</v>
      </c>
    </row>
    <row r="1556" spans="1:40" x14ac:dyDescent="0.25">
      <c r="A1556" t="str">
        <f>"20190312164252193"</f>
        <v>20190312164252193</v>
      </c>
      <c r="B1556" t="str">
        <f>"1552380172185934"</f>
        <v>1552380172185934</v>
      </c>
      <c r="C1556" t="s">
        <v>40</v>
      </c>
      <c r="D1556">
        <v>4.1634659999999997</v>
      </c>
      <c r="E1556">
        <v>0.58548230000000001</v>
      </c>
      <c r="F1556" t="s">
        <v>47</v>
      </c>
      <c r="G1556">
        <v>-286.39499999999998</v>
      </c>
      <c r="H1556" s="1">
        <v>5.1367450000000001E-6</v>
      </c>
      <c r="I1556">
        <v>286.69540000000001</v>
      </c>
      <c r="J1556">
        <v>-276.50479999999999</v>
      </c>
      <c r="K1556">
        <v>1.1092610000000001</v>
      </c>
      <c r="L1556">
        <v>283.9871</v>
      </c>
      <c r="M1556">
        <v>-0.99994329999999998</v>
      </c>
      <c r="N1556">
        <v>0</v>
      </c>
      <c r="O1556">
        <v>7.0968109999999997E-3</v>
      </c>
      <c r="P1556">
        <v>-0.9885524</v>
      </c>
      <c r="Q1556">
        <v>0.14110549999999999</v>
      </c>
      <c r="R1556">
        <v>5.3416730000000003E-2</v>
      </c>
      <c r="S1556">
        <v>-3.0372620000000001</v>
      </c>
      <c r="T1556">
        <v>-0.32696829999999999</v>
      </c>
      <c r="U1556">
        <v>0.79919430000000002</v>
      </c>
      <c r="V1556">
        <v>4.6404859999999999E-2</v>
      </c>
      <c r="W1556">
        <v>0.14894109999999999</v>
      </c>
      <c r="X1556">
        <v>0.98775659999999998</v>
      </c>
      <c r="Y1556">
        <v>0.24630589999999999</v>
      </c>
      <c r="Z1556">
        <v>1.2251120000000001E-2</v>
      </c>
      <c r="AA1556">
        <v>0.9691147</v>
      </c>
      <c r="AB1556">
        <v>41</v>
      </c>
      <c r="AC1556">
        <v>-9.8901999999999894</v>
      </c>
      <c r="AD1556">
        <v>-1.109255863255</v>
      </c>
      <c r="AE1556">
        <v>2.7082999999999999</v>
      </c>
      <c r="AF1556">
        <v>2.60752809640283</v>
      </c>
      <c r="AG1556">
        <v>-1.109255863255</v>
      </c>
      <c r="AH1556">
        <v>9.7945584864841599</v>
      </c>
      <c r="AI1556">
        <v>96.245616689990598</v>
      </c>
      <c r="AJ1556">
        <v>75.092365257817207</v>
      </c>
      <c r="AK1556">
        <v>10.196226129743</v>
      </c>
      <c r="AL1556">
        <v>81.434433091491499</v>
      </c>
      <c r="AM1556">
        <v>87.310218823710997</v>
      </c>
      <c r="AN1556">
        <v>0.99999998157219405</v>
      </c>
    </row>
    <row r="1557" spans="1:40" x14ac:dyDescent="0.25">
      <c r="A1557" t="str">
        <f>"20190312164252216"</f>
        <v>20190312164252216</v>
      </c>
      <c r="B1557" t="str">
        <f>"1552380172205453"</f>
        <v>1552380172205453</v>
      </c>
      <c r="C1557" t="s">
        <v>40</v>
      </c>
      <c r="D1557">
        <v>4.3454790000000001</v>
      </c>
      <c r="E1557">
        <v>0.53006869999999995</v>
      </c>
      <c r="F1557" t="s">
        <v>47</v>
      </c>
      <c r="G1557">
        <v>-286.7747</v>
      </c>
      <c r="H1557" s="1">
        <v>4.9732969999999996E-6</v>
      </c>
      <c r="I1557">
        <v>286.67149999999998</v>
      </c>
      <c r="J1557">
        <v>-276.93099999999998</v>
      </c>
      <c r="K1557">
        <v>1.1092690000000001</v>
      </c>
      <c r="L1557">
        <v>283.99009999999998</v>
      </c>
      <c r="M1557">
        <v>-0.99994280000000002</v>
      </c>
      <c r="N1557">
        <v>0</v>
      </c>
      <c r="O1557">
        <v>7.096041E-3</v>
      </c>
      <c r="P1557">
        <v>-0.98871759999999997</v>
      </c>
      <c r="Q1557">
        <v>0.14077249999999999</v>
      </c>
      <c r="R1557">
        <v>5.119406E-2</v>
      </c>
      <c r="S1557">
        <v>-3.0386959999999998</v>
      </c>
      <c r="T1557">
        <v>-0.32821080000000002</v>
      </c>
      <c r="U1557">
        <v>0.79428100000000001</v>
      </c>
      <c r="V1557">
        <v>4.4181789999999999E-2</v>
      </c>
      <c r="W1557">
        <v>0.1486817</v>
      </c>
      <c r="X1557">
        <v>0.98789760000000004</v>
      </c>
      <c r="Y1557">
        <v>0.2447269</v>
      </c>
      <c r="Z1557">
        <v>1.2210749999999999E-2</v>
      </c>
      <c r="AA1557">
        <v>0.96951509999999996</v>
      </c>
      <c r="AB1557">
        <v>42</v>
      </c>
      <c r="AC1557">
        <v>-9.8437000000000108</v>
      </c>
      <c r="AD1557">
        <v>-1.1092640267030001</v>
      </c>
      <c r="AE1557">
        <v>2.6813999999999898</v>
      </c>
      <c r="AF1557">
        <v>2.58096836897833</v>
      </c>
      <c r="AG1557">
        <v>-1.1092640267030001</v>
      </c>
      <c r="AH1557">
        <v>9.7472541870319809</v>
      </c>
      <c r="AI1557">
        <v>96.277944609390701</v>
      </c>
      <c r="AJ1557">
        <v>75.169054948786794</v>
      </c>
      <c r="AK1557">
        <v>10.1440045637419</v>
      </c>
      <c r="AL1557">
        <v>81.449462894313996</v>
      </c>
      <c r="AM1557">
        <v>87.439264582148795</v>
      </c>
      <c r="AN1557">
        <v>0.99999997328412604</v>
      </c>
    </row>
    <row r="1558" spans="1:40" x14ac:dyDescent="0.25">
      <c r="A1558" t="str">
        <f>"20190312164252236"</f>
        <v>20190312164252236</v>
      </c>
      <c r="B1558" t="str">
        <f>"1552380172225949"</f>
        <v>1552380172225949</v>
      </c>
      <c r="C1558" t="s">
        <v>40</v>
      </c>
      <c r="D1558">
        <v>4.419467</v>
      </c>
      <c r="E1558">
        <v>0.46944619999999998</v>
      </c>
      <c r="F1558" t="s">
        <v>47</v>
      </c>
      <c r="G1558">
        <v>-307.5915</v>
      </c>
      <c r="H1558" s="1">
        <v>2.3545710000000001E-6</v>
      </c>
      <c r="I1558">
        <v>287.62950000000001</v>
      </c>
      <c r="J1558">
        <v>-277.31389999999999</v>
      </c>
      <c r="K1558">
        <v>1.109283</v>
      </c>
      <c r="L1558">
        <v>283.99279999999999</v>
      </c>
      <c r="M1558">
        <v>-0.99994229999999995</v>
      </c>
      <c r="N1558">
        <v>0</v>
      </c>
      <c r="O1558">
        <v>7.0955910000000001E-3</v>
      </c>
      <c r="P1558">
        <v>-0.98876900000000001</v>
      </c>
      <c r="Q1558">
        <v>0.1410777</v>
      </c>
      <c r="R1558">
        <v>4.9326130000000003E-2</v>
      </c>
      <c r="S1558">
        <v>-3.0311889999999999</v>
      </c>
      <c r="T1558">
        <v>-0.1096655</v>
      </c>
      <c r="U1558">
        <v>0.35980220000000002</v>
      </c>
      <c r="V1558">
        <v>4.2314060000000001E-2</v>
      </c>
      <c r="W1558">
        <v>0.1490543</v>
      </c>
      <c r="X1558">
        <v>0.98792329999999995</v>
      </c>
      <c r="Y1558">
        <v>0.1107564</v>
      </c>
      <c r="Z1558">
        <v>1.740164E-3</v>
      </c>
      <c r="AA1558">
        <v>0.99384609999999995</v>
      </c>
      <c r="AB1558">
        <v>42</v>
      </c>
      <c r="AC1558">
        <v>-30.2776</v>
      </c>
      <c r="AD1558">
        <v>-1.1092806454290001</v>
      </c>
      <c r="AE1558">
        <v>3.63670000000001</v>
      </c>
      <c r="AF1558">
        <v>3.4172423598380099</v>
      </c>
      <c r="AG1558">
        <v>-1.1092806454290001</v>
      </c>
      <c r="AH1558">
        <v>30.262600221010601</v>
      </c>
      <c r="AI1558">
        <v>92.0860012889149</v>
      </c>
      <c r="AJ1558">
        <v>83.557470457952505</v>
      </c>
      <c r="AK1558">
        <v>30.4751213456633</v>
      </c>
      <c r="AL1558">
        <v>81.427874630687299</v>
      </c>
      <c r="AM1558">
        <v>87.547445097271805</v>
      </c>
      <c r="AN1558">
        <v>1.0000000553525299</v>
      </c>
    </row>
    <row r="1559" spans="1:40" x14ac:dyDescent="0.25">
      <c r="A1559" t="str">
        <f>"20190312164252259"</f>
        <v>20190312164252259</v>
      </c>
      <c r="B1559" t="str">
        <f>"1552380172255737"</f>
        <v>1552380172255737</v>
      </c>
      <c r="C1559" t="s">
        <v>40</v>
      </c>
      <c r="D1559">
        <v>4.1988370000000002</v>
      </c>
      <c r="E1559">
        <v>0.46872920000000001</v>
      </c>
      <c r="F1559" t="s">
        <v>47</v>
      </c>
      <c r="G1559">
        <v>-306.13220000000001</v>
      </c>
      <c r="H1559" s="1">
        <v>3.038538E-6</v>
      </c>
      <c r="I1559">
        <v>282.76679999999999</v>
      </c>
      <c r="J1559">
        <v>-277.73230000000001</v>
      </c>
      <c r="K1559">
        <v>1.1092869999999999</v>
      </c>
      <c r="L1559">
        <v>283.99579999999997</v>
      </c>
      <c r="M1559">
        <v>-0.99994179999999999</v>
      </c>
      <c r="N1559">
        <v>0</v>
      </c>
      <c r="O1559">
        <v>7.0948130000000002E-3</v>
      </c>
      <c r="P1559">
        <v>-0.988869</v>
      </c>
      <c r="Q1559">
        <v>0.14088049999999999</v>
      </c>
      <c r="R1559">
        <v>4.7869920000000003E-2</v>
      </c>
      <c r="S1559">
        <v>-3.0573730000000001</v>
      </c>
      <c r="T1559">
        <v>-0.11768480000000001</v>
      </c>
      <c r="U1559">
        <v>-0.13006589999999901</v>
      </c>
      <c r="V1559">
        <v>4.0858249999999999E-2</v>
      </c>
      <c r="W1559">
        <v>0.1489307</v>
      </c>
      <c r="X1559">
        <v>0.98800310000000002</v>
      </c>
      <c r="Y1559">
        <v>-4.9548969999999998E-2</v>
      </c>
      <c r="Z1559">
        <v>-1.225727E-3</v>
      </c>
      <c r="AA1559">
        <v>0.99877099999999996</v>
      </c>
      <c r="AB1559">
        <v>42</v>
      </c>
      <c r="AC1559">
        <v>-28.399899999999999</v>
      </c>
      <c r="AD1559">
        <v>-1.109283961462</v>
      </c>
      <c r="AE1559">
        <v>-1.2289999999999801</v>
      </c>
      <c r="AF1559">
        <v>-1.42829271494494</v>
      </c>
      <c r="AG1559">
        <v>-1.109283961462</v>
      </c>
      <c r="AH1559">
        <v>28.3472984452488</v>
      </c>
      <c r="AI1559">
        <v>92.238113699991203</v>
      </c>
      <c r="AJ1559">
        <v>92.884437060116895</v>
      </c>
      <c r="AK1559">
        <v>28.404926687649201</v>
      </c>
      <c r="AL1559">
        <v>81.435035310759702</v>
      </c>
      <c r="AM1559">
        <v>87.631918225585096</v>
      </c>
      <c r="AN1559">
        <v>0.99999993780257901</v>
      </c>
    </row>
    <row r="1560" spans="1:40" x14ac:dyDescent="0.25">
      <c r="A1560" t="str">
        <f>"20190312164252283"</f>
        <v>20190312164252283</v>
      </c>
      <c r="B1560" t="str">
        <f>"1552380172275256"</f>
        <v>1552380172275256</v>
      </c>
      <c r="C1560" t="s">
        <v>40</v>
      </c>
      <c r="D1560">
        <v>4.1849239999999996</v>
      </c>
      <c r="E1560">
        <v>0.4693524</v>
      </c>
      <c r="F1560" t="s">
        <v>47</v>
      </c>
      <c r="G1560">
        <v>-300.82409999999999</v>
      </c>
      <c r="H1560" s="1">
        <v>3.9666079999999996E-6</v>
      </c>
      <c r="I1560">
        <v>282.92129999999997</v>
      </c>
      <c r="J1560">
        <v>-278.16750000000002</v>
      </c>
      <c r="K1560">
        <v>1.109294</v>
      </c>
      <c r="L1560">
        <v>283.99889999999999</v>
      </c>
      <c r="M1560">
        <v>-0.99994119999999997</v>
      </c>
      <c r="N1560">
        <v>0</v>
      </c>
      <c r="O1560">
        <v>7.0939719999999996E-3</v>
      </c>
      <c r="P1560">
        <v>-0.98904349999999996</v>
      </c>
      <c r="Q1560">
        <v>0.1401723</v>
      </c>
      <c r="R1560">
        <v>4.6312689999999997E-2</v>
      </c>
      <c r="S1560">
        <v>-3.0616150000000002</v>
      </c>
      <c r="T1560">
        <v>-0.1470737</v>
      </c>
      <c r="U1560">
        <v>-0.1424561</v>
      </c>
      <c r="V1560">
        <v>3.9300410000000001E-2</v>
      </c>
      <c r="W1560">
        <v>0.14829790000000001</v>
      </c>
      <c r="X1560">
        <v>0.98816150000000003</v>
      </c>
      <c r="Y1560">
        <v>-5.349508E-2</v>
      </c>
      <c r="Z1560">
        <v>-1.6238870000000001E-3</v>
      </c>
      <c r="AA1560">
        <v>0.99856679999999998</v>
      </c>
      <c r="AB1560">
        <v>42</v>
      </c>
      <c r="AC1560">
        <v>-22.656599999999901</v>
      </c>
      <c r="AD1560">
        <v>-1.1092900333919999</v>
      </c>
      <c r="AE1560">
        <v>-1.0776000000000101</v>
      </c>
      <c r="AF1560">
        <v>-1.2353489050706401</v>
      </c>
      <c r="AG1560">
        <v>-1.1092900333919999</v>
      </c>
      <c r="AH1560">
        <v>22.594344667790001</v>
      </c>
      <c r="AI1560">
        <v>92.8065467963457</v>
      </c>
      <c r="AJ1560">
        <v>93.129538663933104</v>
      </c>
      <c r="AK1560">
        <v>22.655264780230102</v>
      </c>
      <c r="AL1560">
        <v>81.471699501386993</v>
      </c>
      <c r="AM1560">
        <v>87.722476015900497</v>
      </c>
      <c r="AN1560">
        <v>0.99999996972641303</v>
      </c>
    </row>
    <row r="1561" spans="1:40" x14ac:dyDescent="0.25">
      <c r="A1561" t="str">
        <f>"20190312164252305"</f>
        <v>20190312164252305</v>
      </c>
      <c r="B1561" t="str">
        <f>"1552380172295753"</f>
        <v>1552380172295753</v>
      </c>
      <c r="C1561" t="s">
        <v>40</v>
      </c>
      <c r="D1561">
        <v>4.1636860000000002</v>
      </c>
      <c r="E1561">
        <v>0.47026010000000001</v>
      </c>
      <c r="F1561" t="s">
        <v>47</v>
      </c>
      <c r="G1561">
        <v>-300.13409999999999</v>
      </c>
      <c r="H1561" s="1">
        <v>4.0840080000000004E-6</v>
      </c>
      <c r="I1561">
        <v>282.97840000000002</v>
      </c>
      <c r="J1561">
        <v>-278.61149999999998</v>
      </c>
      <c r="K1561">
        <v>1.109297</v>
      </c>
      <c r="L1561">
        <v>284.00200000000001</v>
      </c>
      <c r="M1561">
        <v>-0.99994059999999996</v>
      </c>
      <c r="N1561">
        <v>0</v>
      </c>
      <c r="O1561">
        <v>7.0933080000000004E-3</v>
      </c>
      <c r="P1561">
        <v>-0.98914800000000003</v>
      </c>
      <c r="Q1561">
        <v>0.1399002</v>
      </c>
      <c r="R1561">
        <v>4.4881709999999998E-2</v>
      </c>
      <c r="S1561">
        <v>-3.061798</v>
      </c>
      <c r="T1561">
        <v>-0.15461749999999999</v>
      </c>
      <c r="U1561">
        <v>-0.14224239999999999</v>
      </c>
      <c r="V1561">
        <v>3.7869470000000002E-2</v>
      </c>
      <c r="W1561">
        <v>0.14809990000000001</v>
      </c>
      <c r="X1561">
        <v>0.98824710000000004</v>
      </c>
      <c r="Y1561">
        <v>-5.3414900000000001E-2</v>
      </c>
      <c r="Z1561">
        <v>-1.7049229999999999E-3</v>
      </c>
      <c r="AA1561">
        <v>0.99857099999999999</v>
      </c>
      <c r="AB1561">
        <v>42</v>
      </c>
      <c r="AC1561">
        <v>-21.522600000000001</v>
      </c>
      <c r="AD1561">
        <v>-1.109292915992</v>
      </c>
      <c r="AE1561">
        <v>-1.0235999999999801</v>
      </c>
      <c r="AF1561">
        <v>-1.17313654975963</v>
      </c>
      <c r="AG1561">
        <v>-1.109292915992</v>
      </c>
      <c r="AH1561">
        <v>21.457924102184698</v>
      </c>
      <c r="AI1561">
        <v>92.9549341183791</v>
      </c>
      <c r="AJ1561">
        <v>93.129329936576596</v>
      </c>
      <c r="AK1561">
        <v>21.518580039421099</v>
      </c>
      <c r="AL1561">
        <v>81.483171029546995</v>
      </c>
      <c r="AM1561">
        <v>87.805508657461104</v>
      </c>
      <c r="AN1561">
        <v>1.0000000038982499</v>
      </c>
    </row>
    <row r="1562" spans="1:40" x14ac:dyDescent="0.25">
      <c r="A1562" t="str">
        <f>"20190312164252327"</f>
        <v>20190312164252327</v>
      </c>
      <c r="B1562" t="str">
        <f>"1552380172315272"</f>
        <v>1552380172315272</v>
      </c>
      <c r="C1562" t="s">
        <v>40</v>
      </c>
      <c r="D1562">
        <v>4.2013339999999904</v>
      </c>
      <c r="E1562">
        <v>0.47138409999999897</v>
      </c>
      <c r="F1562" t="s">
        <v>47</v>
      </c>
      <c r="G1562">
        <v>-300.50450000000001</v>
      </c>
      <c r="H1562" s="1">
        <v>4.0157039999999996E-6</v>
      </c>
      <c r="I1562">
        <v>283.00799999999998</v>
      </c>
      <c r="J1562">
        <v>-279.01600000000002</v>
      </c>
      <c r="K1562">
        <v>1.109299</v>
      </c>
      <c r="L1562">
        <v>284.00479999999999</v>
      </c>
      <c r="M1562">
        <v>-0.9999401</v>
      </c>
      <c r="N1562">
        <v>0</v>
      </c>
      <c r="O1562">
        <v>7.0923790000000002E-3</v>
      </c>
      <c r="P1562">
        <v>-0.98924809999999996</v>
      </c>
      <c r="Q1562">
        <v>0.13956299999999999</v>
      </c>
      <c r="R1562">
        <v>4.3711899999999998E-2</v>
      </c>
      <c r="S1562">
        <v>-3.0611570000000001</v>
      </c>
      <c r="T1562">
        <v>-0.15510460000000001</v>
      </c>
      <c r="U1562">
        <v>-0.13897709999999999</v>
      </c>
      <c r="V1562">
        <v>3.6699790000000003E-2</v>
      </c>
      <c r="W1562">
        <v>0.14782819999999999</v>
      </c>
      <c r="X1562">
        <v>0.98833190000000004</v>
      </c>
      <c r="Y1562">
        <v>-5.2361530000000003E-2</v>
      </c>
      <c r="Z1562">
        <v>-1.68398299999999E-3</v>
      </c>
      <c r="AA1562">
        <v>0.99862680000000004</v>
      </c>
      <c r="AB1562">
        <v>42</v>
      </c>
      <c r="AC1562">
        <v>-21.488499999999998</v>
      </c>
      <c r="AD1562">
        <v>-1.109294984296</v>
      </c>
      <c r="AE1562">
        <v>-0.99680000000000701</v>
      </c>
      <c r="AF1562">
        <v>-1.14613702039035</v>
      </c>
      <c r="AG1562">
        <v>-1.109294984296</v>
      </c>
      <c r="AH1562">
        <v>21.423919428185702</v>
      </c>
      <c r="AI1562">
        <v>92.959808416732599</v>
      </c>
      <c r="AJ1562">
        <v>93.062290853842697</v>
      </c>
      <c r="AK1562">
        <v>21.483214123987299</v>
      </c>
      <c r="AL1562">
        <v>81.498911501745496</v>
      </c>
      <c r="AM1562">
        <v>87.873409318258197</v>
      </c>
      <c r="AN1562">
        <v>0.99999999792944705</v>
      </c>
    </row>
    <row r="1563" spans="1:40" x14ac:dyDescent="0.25">
      <c r="A1563" t="str">
        <f>"20190312164252348"</f>
        <v>20190312164252348</v>
      </c>
      <c r="B1563" t="str">
        <f>"1552380172345529"</f>
        <v>1552380172345529</v>
      </c>
      <c r="C1563" t="s">
        <v>40</v>
      </c>
      <c r="D1563">
        <v>4.2191080000000003</v>
      </c>
      <c r="E1563">
        <v>0.47220479999999998</v>
      </c>
      <c r="F1563" t="s">
        <v>47</v>
      </c>
      <c r="G1563">
        <v>-301.36959999999999</v>
      </c>
      <c r="H1563" s="1">
        <v>3.8604100000000002E-6</v>
      </c>
      <c r="I1563">
        <v>283.02929999999998</v>
      </c>
      <c r="J1563">
        <v>-279.40980000000002</v>
      </c>
      <c r="K1563">
        <v>1.1092979999999999</v>
      </c>
      <c r="L1563">
        <v>284.00760000000002</v>
      </c>
      <c r="M1563">
        <v>-0.99993949999999998</v>
      </c>
      <c r="N1563">
        <v>0</v>
      </c>
      <c r="O1563">
        <v>7.0918219999999898E-3</v>
      </c>
      <c r="P1563">
        <v>-0.98938170000000003</v>
      </c>
      <c r="Q1563">
        <v>0.13908619999999999</v>
      </c>
      <c r="R1563">
        <v>4.2178E-2</v>
      </c>
      <c r="S1563">
        <v>-3.0599669999999999</v>
      </c>
      <c r="T1563">
        <v>-0.15185090000000001</v>
      </c>
      <c r="U1563">
        <v>-0.13354489999999999</v>
      </c>
      <c r="V1563">
        <v>3.5165499999999898E-2</v>
      </c>
      <c r="W1563">
        <v>0.14741370000000001</v>
      </c>
      <c r="X1563">
        <v>0.98844960000000004</v>
      </c>
      <c r="Y1563">
        <v>-5.0614449999999998E-2</v>
      </c>
      <c r="Z1563">
        <v>-1.6060759999999999E-3</v>
      </c>
      <c r="AA1563">
        <v>0.99871699999999997</v>
      </c>
      <c r="AB1563">
        <v>42</v>
      </c>
      <c r="AC1563">
        <v>-21.959799999999898</v>
      </c>
      <c r="AD1563">
        <v>-1.10929413959</v>
      </c>
      <c r="AE1563">
        <v>-0.97830000000004602</v>
      </c>
      <c r="AF1563">
        <v>-1.13113524750923</v>
      </c>
      <c r="AG1563">
        <v>-1.10929413959</v>
      </c>
      <c r="AH1563">
        <v>21.896545904214801</v>
      </c>
      <c r="AI1563">
        <v>92.8963090329068</v>
      </c>
      <c r="AJ1563">
        <v>92.957165887704406</v>
      </c>
      <c r="AK1563">
        <v>21.953786073743</v>
      </c>
      <c r="AL1563">
        <v>81.522923795973298</v>
      </c>
      <c r="AM1563">
        <v>87.962480501920098</v>
      </c>
      <c r="AN1563">
        <v>1.0000000115390499</v>
      </c>
    </row>
    <row r="1564" spans="1:40" x14ac:dyDescent="0.25">
      <c r="A1564" t="str">
        <f>"20190312164252372"</f>
        <v>20190312164252372</v>
      </c>
      <c r="B1564" t="str">
        <f>"1552380172366024"</f>
        <v>1552380172366024</v>
      </c>
      <c r="C1564" t="s">
        <v>40</v>
      </c>
      <c r="D1564">
        <v>4.4238109999999997</v>
      </c>
      <c r="E1564">
        <v>0.47265509999999999</v>
      </c>
      <c r="F1564" t="s">
        <v>47</v>
      </c>
      <c r="G1564">
        <v>-301.40890000000002</v>
      </c>
      <c r="H1564" s="1">
        <v>3.8505330000000001E-6</v>
      </c>
      <c r="I1564">
        <v>283.0625</v>
      </c>
      <c r="J1564">
        <v>-279.85939999999999</v>
      </c>
      <c r="K1564">
        <v>1.109305</v>
      </c>
      <c r="L1564">
        <v>284.01080000000002</v>
      </c>
      <c r="M1564">
        <v>-0.99993889999999996</v>
      </c>
      <c r="N1564">
        <v>0</v>
      </c>
      <c r="O1564">
        <v>7.0911730000000001E-3</v>
      </c>
      <c r="P1564">
        <v>-0.98944129999999997</v>
      </c>
      <c r="Q1564">
        <v>0.13915749999999999</v>
      </c>
      <c r="R1564">
        <v>4.051391E-2</v>
      </c>
      <c r="S1564">
        <v>-3.0594790000000001</v>
      </c>
      <c r="T1564">
        <v>-0.1542732</v>
      </c>
      <c r="U1564">
        <v>-0.13143920000000001</v>
      </c>
      <c r="V1564">
        <v>3.3501820000000002E-2</v>
      </c>
      <c r="W1564">
        <v>0.1475533</v>
      </c>
      <c r="X1564">
        <v>0.98848650000000005</v>
      </c>
      <c r="Y1564">
        <v>-4.9933209999999999E-2</v>
      </c>
      <c r="Z1564">
        <v>-1.6147570000000001E-3</v>
      </c>
      <c r="AA1564">
        <v>0.99875130000000001</v>
      </c>
      <c r="AB1564">
        <v>42</v>
      </c>
      <c r="AC1564">
        <v>-21.549499999999998</v>
      </c>
      <c r="AD1564">
        <v>-1.109301149467</v>
      </c>
      <c r="AE1564">
        <v>-0.94830000000001702</v>
      </c>
      <c r="AF1564">
        <v>-1.0981884508370201</v>
      </c>
      <c r="AG1564">
        <v>-1.109301149467</v>
      </c>
      <c r="AH1564">
        <v>21.485409848252299</v>
      </c>
      <c r="AI1564">
        <v>92.951735446042704</v>
      </c>
      <c r="AJ1564">
        <v>92.926025337394705</v>
      </c>
      <c r="AK1564">
        <v>21.542038047992001</v>
      </c>
      <c r="AL1564">
        <v>81.514836383102903</v>
      </c>
      <c r="AM1564">
        <v>88.058872391506299</v>
      </c>
      <c r="AN1564">
        <v>0.99999995448322498</v>
      </c>
    </row>
    <row r="1565" spans="1:40" x14ac:dyDescent="0.25">
      <c r="A1565" t="str">
        <f>"20190312164252395"</f>
        <v>20190312164252395</v>
      </c>
      <c r="B1565" t="str">
        <f>"1552380172385544"</f>
        <v>1552380172385544</v>
      </c>
      <c r="C1565" t="s">
        <v>40</v>
      </c>
      <c r="D1565">
        <v>4.2568519999999896</v>
      </c>
      <c r="E1565">
        <v>0.47336420000000001</v>
      </c>
      <c r="F1565" t="s">
        <v>47</v>
      </c>
      <c r="G1565">
        <v>-301.8741</v>
      </c>
      <c r="H1565" s="1">
        <v>3.7682479999999998E-6</v>
      </c>
      <c r="I1565">
        <v>283.05959999999999</v>
      </c>
      <c r="J1565">
        <v>-280.28989999999999</v>
      </c>
      <c r="K1565">
        <v>1.109313</v>
      </c>
      <c r="L1565">
        <v>284.01389999999998</v>
      </c>
      <c r="M1565">
        <v>-0.99993840000000001</v>
      </c>
      <c r="N1565">
        <v>0</v>
      </c>
      <c r="O1565">
        <v>7.0905369999999896E-3</v>
      </c>
      <c r="P1565">
        <v>-0.98955789999999999</v>
      </c>
      <c r="Q1565">
        <v>0.13879059999999999</v>
      </c>
      <c r="R1565">
        <v>3.8894400000000003E-2</v>
      </c>
      <c r="S1565">
        <v>-3.059113</v>
      </c>
      <c r="T1565">
        <v>-0.15414600000000001</v>
      </c>
      <c r="U1565">
        <v>-0.1321716</v>
      </c>
      <c r="V1565">
        <v>3.1882000000000001E-2</v>
      </c>
      <c r="W1565">
        <v>0.14725139999999901</v>
      </c>
      <c r="X1565">
        <v>0.98858509999999999</v>
      </c>
      <c r="Y1565">
        <v>-5.0176180000000001E-2</v>
      </c>
      <c r="Z1565">
        <v>-1.619695E-3</v>
      </c>
      <c r="AA1565">
        <v>0.99873909999999999</v>
      </c>
      <c r="AB1565">
        <v>42</v>
      </c>
      <c r="AC1565">
        <v>-21.584199999999999</v>
      </c>
      <c r="AD1565">
        <v>-1.1093092317519999</v>
      </c>
      <c r="AE1565">
        <v>-0.95429999999998905</v>
      </c>
      <c r="AF1565">
        <v>-1.1044136566201199</v>
      </c>
      <c r="AG1565">
        <v>-1.1093092317519999</v>
      </c>
      <c r="AH1565">
        <v>21.520158288945801</v>
      </c>
      <c r="AI1565">
        <v>92.946968074602495</v>
      </c>
      <c r="AJ1565">
        <v>92.9378397388585</v>
      </c>
      <c r="AK1565">
        <v>21.577013446671899</v>
      </c>
      <c r="AL1565">
        <v>81.532325133045305</v>
      </c>
      <c r="AM1565">
        <v>88.152843759524401</v>
      </c>
      <c r="AN1565">
        <v>0.99999996833398397</v>
      </c>
    </row>
    <row r="1566" spans="1:40" x14ac:dyDescent="0.25">
      <c r="A1566" t="str">
        <f>"20190312164252415"</f>
        <v>20190312164252415</v>
      </c>
      <c r="B1566" t="str">
        <f>"1552380172406044"</f>
        <v>1552380172406044</v>
      </c>
      <c r="C1566" t="s">
        <v>40</v>
      </c>
      <c r="D1566">
        <v>4.2486439999999996</v>
      </c>
      <c r="E1566">
        <v>0.47382469999999999</v>
      </c>
      <c r="F1566" t="s">
        <v>47</v>
      </c>
      <c r="G1566">
        <v>-302.46800000000002</v>
      </c>
      <c r="H1566" s="1">
        <v>3.6624720000000002E-6</v>
      </c>
      <c r="I1566">
        <v>283.06470000000002</v>
      </c>
      <c r="J1566">
        <v>-280.68790000000001</v>
      </c>
      <c r="K1566">
        <v>1.109316</v>
      </c>
      <c r="L1566">
        <v>284.01670000000001</v>
      </c>
      <c r="M1566">
        <v>-0.99993779999999999</v>
      </c>
      <c r="N1566">
        <v>0</v>
      </c>
      <c r="O1566">
        <v>7.0901009999999997E-3</v>
      </c>
      <c r="P1566">
        <v>-0.98961100000000002</v>
      </c>
      <c r="Q1566">
        <v>0.13882429999999901</v>
      </c>
      <c r="R1566">
        <v>3.7386759999999998E-2</v>
      </c>
      <c r="S1566">
        <v>-3.0582579999999999</v>
      </c>
      <c r="T1566">
        <v>-0.15296899999999999</v>
      </c>
      <c r="U1566">
        <v>-0.130889899999999</v>
      </c>
      <c r="V1566">
        <v>3.0374269999999998E-2</v>
      </c>
      <c r="W1566">
        <v>0.1473448</v>
      </c>
      <c r="X1566">
        <v>0.98861869999999996</v>
      </c>
      <c r="Y1566">
        <v>-4.9771540000000003E-2</v>
      </c>
      <c r="Z1566">
        <v>-1.597675E-3</v>
      </c>
      <c r="AA1566">
        <v>0.99875930000000002</v>
      </c>
      <c r="AB1566">
        <v>42</v>
      </c>
      <c r="AC1566">
        <v>-21.780100000000001</v>
      </c>
      <c r="AD1566">
        <v>-1.1093123375280001</v>
      </c>
      <c r="AE1566">
        <v>-0.95199999999999796</v>
      </c>
      <c r="AF1566">
        <v>-1.1035476399897799</v>
      </c>
      <c r="AG1566">
        <v>-1.1093123375280001</v>
      </c>
      <c r="AH1566">
        <v>21.716574786575698</v>
      </c>
      <c r="AI1566">
        <v>92.920443453560196</v>
      </c>
      <c r="AJ1566">
        <v>92.909035281124403</v>
      </c>
      <c r="AK1566">
        <v>21.772873299517801</v>
      </c>
      <c r="AL1566">
        <v>81.526915047889005</v>
      </c>
      <c r="AM1566">
        <v>88.240201010311395</v>
      </c>
      <c r="AN1566">
        <v>1.00000001017738</v>
      </c>
    </row>
    <row r="1567" spans="1:40" x14ac:dyDescent="0.25">
      <c r="A1567" t="str">
        <f>"20190312164252437"</f>
        <v>20190312164252437</v>
      </c>
      <c r="B1567" t="str">
        <f>"1552380172425564"</f>
        <v>1552380172425564</v>
      </c>
      <c r="C1567" t="s">
        <v>40</v>
      </c>
      <c r="D1567">
        <v>4.2337099999999896</v>
      </c>
      <c r="E1567">
        <v>0.47430519999999998</v>
      </c>
      <c r="F1567" t="s">
        <v>47</v>
      </c>
      <c r="G1567">
        <v>-302.82870000000003</v>
      </c>
      <c r="H1567" s="1">
        <v>3.5985119999999998E-6</v>
      </c>
      <c r="I1567">
        <v>283.0643</v>
      </c>
      <c r="J1567">
        <v>-281.08749999999998</v>
      </c>
      <c r="K1567">
        <v>1.1093189999999999</v>
      </c>
      <c r="L1567">
        <v>284.01949999999999</v>
      </c>
      <c r="M1567">
        <v>-0.99993739999999998</v>
      </c>
      <c r="N1567">
        <v>0</v>
      </c>
      <c r="O1567">
        <v>7.0893730000000004E-3</v>
      </c>
      <c r="P1567">
        <v>-0.98961880000000002</v>
      </c>
      <c r="Q1567">
        <v>0.13922779999999901</v>
      </c>
      <c r="R1567">
        <v>3.5643729999999998E-2</v>
      </c>
      <c r="S1567">
        <v>-3.057922</v>
      </c>
      <c r="T1567">
        <v>-0.1532096</v>
      </c>
      <c r="U1567">
        <v>-0.1315308</v>
      </c>
      <c r="V1567">
        <v>2.8632169999999998E-2</v>
      </c>
      <c r="W1567">
        <v>0.14780560000000001</v>
      </c>
      <c r="X1567">
        <v>0.98860190000000003</v>
      </c>
      <c r="Y1567">
        <v>-4.9983930000000003E-2</v>
      </c>
      <c r="Z1567">
        <v>-1.6056320000000001E-3</v>
      </c>
      <c r="AA1567">
        <v>0.99874870000000004</v>
      </c>
      <c r="AB1567">
        <v>42</v>
      </c>
      <c r="AC1567">
        <v>-21.741199999999999</v>
      </c>
      <c r="AD1567">
        <v>-1.109315401488</v>
      </c>
      <c r="AE1567">
        <v>-0.95519999999998995</v>
      </c>
      <c r="AF1567">
        <v>-1.1064382795051499</v>
      </c>
      <c r="AG1567">
        <v>-1.109315401488</v>
      </c>
      <c r="AH1567">
        <v>21.677554681740499</v>
      </c>
      <c r="AI1567">
        <v>92.925665908803893</v>
      </c>
      <c r="AJ1567">
        <v>92.9218830207774</v>
      </c>
      <c r="AK1567">
        <v>21.7341013917342</v>
      </c>
      <c r="AL1567">
        <v>81.5002208433893</v>
      </c>
      <c r="AM1567">
        <v>88.341047050498105</v>
      </c>
      <c r="AN1567">
        <v>1.0000000066169299</v>
      </c>
    </row>
    <row r="1568" spans="1:40" x14ac:dyDescent="0.25">
      <c r="A1568" t="str">
        <f>"20190312164252460"</f>
        <v>20190312164252460</v>
      </c>
      <c r="B1568" t="str">
        <f>"1552380172455344"</f>
        <v>1552380172455344</v>
      </c>
      <c r="C1568" t="s">
        <v>40</v>
      </c>
      <c r="D1568">
        <v>4.2981759999999998</v>
      </c>
      <c r="E1568">
        <v>0.47500510000000001</v>
      </c>
      <c r="F1568" t="s">
        <v>47</v>
      </c>
      <c r="G1568">
        <v>-303.48090000000002</v>
      </c>
      <c r="H1568" s="1">
        <v>3.4843599999999998E-6</v>
      </c>
      <c r="I1568">
        <v>283.04680000000002</v>
      </c>
      <c r="J1568">
        <v>-281.52289999999999</v>
      </c>
      <c r="K1568">
        <v>1.109324</v>
      </c>
      <c r="L1568">
        <v>284.02260000000001</v>
      </c>
      <c r="M1568">
        <v>-0.99993670000000001</v>
      </c>
      <c r="N1568">
        <v>0</v>
      </c>
      <c r="O1568">
        <v>7.0886369999999897E-3</v>
      </c>
      <c r="P1568">
        <v>-0.98964110000000005</v>
      </c>
      <c r="Q1568">
        <v>0.13951229999999901</v>
      </c>
      <c r="R1568">
        <v>3.3867059999999997E-2</v>
      </c>
      <c r="S1568">
        <v>-3.0574949999999999</v>
      </c>
      <c r="T1568">
        <v>-0.1514606</v>
      </c>
      <c r="U1568">
        <v>-0.1328125</v>
      </c>
      <c r="V1568">
        <v>2.6856140000000001E-2</v>
      </c>
      <c r="W1568">
        <v>0.1481489</v>
      </c>
      <c r="X1568">
        <v>0.98860040000000005</v>
      </c>
      <c r="Y1568">
        <v>-5.0408170000000002E-2</v>
      </c>
      <c r="Z1568">
        <v>-1.5979929999999901E-3</v>
      </c>
      <c r="AA1568">
        <v>0.99872740000000004</v>
      </c>
      <c r="AB1568">
        <v>42</v>
      </c>
      <c r="AC1568">
        <v>-21.957999999999998</v>
      </c>
      <c r="AD1568">
        <v>-1.1093205156399999</v>
      </c>
      <c r="AE1568">
        <v>-0.97579999999999201</v>
      </c>
      <c r="AF1568">
        <v>-1.12855899206761</v>
      </c>
      <c r="AG1568">
        <v>-1.1093205156399999</v>
      </c>
      <c r="AH1568">
        <v>21.8947594704895</v>
      </c>
      <c r="AI1568">
        <v>92.896630584078395</v>
      </c>
      <c r="AJ1568">
        <v>92.950682914735495</v>
      </c>
      <c r="AK1568">
        <v>21.951873033424398</v>
      </c>
      <c r="AL1568">
        <v>81.480332615148996</v>
      </c>
      <c r="AM1568">
        <v>88.443895913863599</v>
      </c>
      <c r="AN1568">
        <v>1.00000004985353</v>
      </c>
    </row>
    <row r="1569" spans="1:40" x14ac:dyDescent="0.25">
      <c r="A1569" t="str">
        <f>"20190312164252483"</f>
        <v>20190312164252483</v>
      </c>
      <c r="B1569" t="str">
        <f>"1552380172475840"</f>
        <v>1552380172475840</v>
      </c>
      <c r="C1569" t="s">
        <v>40</v>
      </c>
      <c r="D1569">
        <v>4.4853940000000003</v>
      </c>
      <c r="E1569">
        <v>0.47541339999999999</v>
      </c>
      <c r="F1569" t="s">
        <v>47</v>
      </c>
      <c r="G1569">
        <v>-304.35270000000003</v>
      </c>
      <c r="H1569" s="1">
        <v>3.3307320000000002E-6</v>
      </c>
      <c r="I1569">
        <v>283.03519999999997</v>
      </c>
      <c r="J1569">
        <v>-281.96730000000002</v>
      </c>
      <c r="K1569">
        <v>1.1093299999999999</v>
      </c>
      <c r="L1569">
        <v>284.02569999999997</v>
      </c>
      <c r="M1569">
        <v>-0.99993620000000005</v>
      </c>
      <c r="N1569">
        <v>0</v>
      </c>
      <c r="O1569">
        <v>7.087678E-3</v>
      </c>
      <c r="P1569">
        <v>-0.98966659999999995</v>
      </c>
      <c r="Q1569">
        <v>0.13973350000000001</v>
      </c>
      <c r="R1569">
        <v>3.217101E-2</v>
      </c>
      <c r="S1569">
        <v>-3.056854</v>
      </c>
      <c r="T1569">
        <v>-0.1485358</v>
      </c>
      <c r="U1569">
        <v>-0.13220209999999999</v>
      </c>
      <c r="V1569">
        <v>2.5161010000000001E-2</v>
      </c>
      <c r="W1569">
        <v>0.14842520000000001</v>
      </c>
      <c r="X1569">
        <v>0.98860349999999997</v>
      </c>
      <c r="Y1569">
        <v>-5.0220149999999998E-2</v>
      </c>
      <c r="Z1569">
        <v>-1.562896E-3</v>
      </c>
      <c r="AA1569">
        <v>0.99873699999999999</v>
      </c>
      <c r="AB1569">
        <v>42</v>
      </c>
      <c r="AC1569">
        <v>-22.385400000000001</v>
      </c>
      <c r="AD1569">
        <v>-1.1093266692679999</v>
      </c>
      <c r="AE1569">
        <v>-0.99049999999999705</v>
      </c>
      <c r="AF1569">
        <v>-1.14633212637126</v>
      </c>
      <c r="AG1569">
        <v>-1.1093266692679999</v>
      </c>
      <c r="AH1569">
        <v>22.3231035888059</v>
      </c>
      <c r="AI1569">
        <v>92.841184710585296</v>
      </c>
      <c r="AJ1569">
        <v>92.9396607304692</v>
      </c>
      <c r="AK1569">
        <v>22.380027632683099</v>
      </c>
      <c r="AL1569">
        <v>81.464324372388404</v>
      </c>
      <c r="AM1569">
        <v>88.542076242583093</v>
      </c>
      <c r="AN1569">
        <v>0.99999999831575503</v>
      </c>
    </row>
    <row r="1570" spans="1:40" x14ac:dyDescent="0.25">
      <c r="A1570" t="str">
        <f>"20190312164252505"</f>
        <v>20190312164252505</v>
      </c>
      <c r="B1570" t="str">
        <f>"1552380172495363"</f>
        <v>1552380172495363</v>
      </c>
      <c r="C1570" t="s">
        <v>40</v>
      </c>
      <c r="D1570">
        <v>4.3164600000000002</v>
      </c>
      <c r="E1570">
        <v>0.47583019999999998</v>
      </c>
      <c r="F1570" t="s">
        <v>47</v>
      </c>
      <c r="G1570">
        <v>-304.89749999999998</v>
      </c>
      <c r="H1570" s="1">
        <v>3.2352649999999998E-6</v>
      </c>
      <c r="I1570">
        <v>283.02179999999998</v>
      </c>
      <c r="J1570">
        <v>-282.3843</v>
      </c>
      <c r="K1570">
        <v>1.1093390000000001</v>
      </c>
      <c r="L1570">
        <v>284.02870000000001</v>
      </c>
      <c r="M1570">
        <v>-0.99993580000000004</v>
      </c>
      <c r="N1570">
        <v>0</v>
      </c>
      <c r="O1570">
        <v>7.0871550000000004E-3</v>
      </c>
      <c r="P1570">
        <v>-0.98958659999999998</v>
      </c>
      <c r="Q1570">
        <v>0.14068739999999999</v>
      </c>
      <c r="R1570">
        <v>3.0426330000000001E-2</v>
      </c>
      <c r="S1570">
        <v>-3.0565799999999999</v>
      </c>
      <c r="T1570">
        <v>-0.14787229999999901</v>
      </c>
      <c r="U1570">
        <v>-0.13381960000000001</v>
      </c>
      <c r="V1570">
        <v>2.3417489999999999E-2</v>
      </c>
      <c r="W1570">
        <v>0.14942910000000001</v>
      </c>
      <c r="X1570">
        <v>0.98849509999999996</v>
      </c>
      <c r="Y1570">
        <v>-5.0750959999999998E-2</v>
      </c>
      <c r="Z1570">
        <v>-1.568846E-3</v>
      </c>
      <c r="AA1570">
        <v>0.99871010000000005</v>
      </c>
      <c r="AB1570">
        <v>42</v>
      </c>
      <c r="AC1570">
        <v>-22.513199999999902</v>
      </c>
      <c r="AD1570">
        <v>-1.109335764735</v>
      </c>
      <c r="AE1570">
        <v>-1.0069000000000301</v>
      </c>
      <c r="AF1570">
        <v>-1.1636158469837401</v>
      </c>
      <c r="AG1570">
        <v>-1.109335764735</v>
      </c>
      <c r="AH1570">
        <v>22.4510954200396</v>
      </c>
      <c r="AI1570">
        <v>92.824967555855693</v>
      </c>
      <c r="AJ1570">
        <v>92.966923191250004</v>
      </c>
      <c r="AK1570">
        <v>22.5085831015192</v>
      </c>
      <c r="AL1570">
        <v>81.406156461635604</v>
      </c>
      <c r="AM1570">
        <v>88.642914437835202</v>
      </c>
      <c r="AN1570">
        <v>0.99999999874435996</v>
      </c>
    </row>
    <row r="1571" spans="1:40" x14ac:dyDescent="0.25">
      <c r="A1571" t="str">
        <f>"20190312164252527"</f>
        <v>20190312164252527</v>
      </c>
      <c r="B1571" t="str">
        <f>"1552380172515855"</f>
        <v>1552380172515855</v>
      </c>
      <c r="C1571" t="s">
        <v>40</v>
      </c>
      <c r="D1571">
        <v>4.3195269999999999</v>
      </c>
      <c r="E1571">
        <v>0.47619869999999997</v>
      </c>
      <c r="F1571" t="s">
        <v>47</v>
      </c>
      <c r="G1571">
        <v>-305.74209999999999</v>
      </c>
      <c r="H1571" s="1">
        <v>3.08765E-6</v>
      </c>
      <c r="I1571">
        <v>282.9966</v>
      </c>
      <c r="J1571">
        <v>-282.79090000000002</v>
      </c>
      <c r="K1571">
        <v>1.1093459999999999</v>
      </c>
      <c r="L1571">
        <v>284.03149999999999</v>
      </c>
      <c r="M1571">
        <v>-0.99993549999999998</v>
      </c>
      <c r="N1571">
        <v>0</v>
      </c>
      <c r="O1571">
        <v>7.086401E-3</v>
      </c>
      <c r="P1571">
        <v>-0.98953239999999998</v>
      </c>
      <c r="Q1571">
        <v>0.14151540000000001</v>
      </c>
      <c r="R1571">
        <v>2.827147E-2</v>
      </c>
      <c r="S1571">
        <v>-3.0563660000000001</v>
      </c>
      <c r="T1571">
        <v>-0.14515699999999901</v>
      </c>
      <c r="U1571">
        <v>-0.135040299999999</v>
      </c>
      <c r="V1571">
        <v>2.126364E-2</v>
      </c>
      <c r="W1571">
        <v>0.15030460000000001</v>
      </c>
      <c r="X1571">
        <v>0.98841109999999999</v>
      </c>
      <c r="Y1571">
        <v>-5.1153369999999997E-2</v>
      </c>
      <c r="Z1571">
        <v>-1.549674E-3</v>
      </c>
      <c r="AA1571">
        <v>0.99868959999999996</v>
      </c>
      <c r="AB1571">
        <v>42</v>
      </c>
      <c r="AC1571">
        <v>-22.951199999999901</v>
      </c>
      <c r="AD1571">
        <v>-1.10934291235</v>
      </c>
      <c r="AE1571">
        <v>-1.0348999999999899</v>
      </c>
      <c r="AF1571">
        <v>-1.19473627743178</v>
      </c>
      <c r="AG1571">
        <v>-1.10934291235</v>
      </c>
      <c r="AH1571">
        <v>22.8899214151199</v>
      </c>
      <c r="AI1571">
        <v>92.770860230132996</v>
      </c>
      <c r="AJ1571">
        <v>92.987833987504004</v>
      </c>
      <c r="AK1571">
        <v>22.9479092481245</v>
      </c>
      <c r="AL1571">
        <v>81.355421532084094</v>
      </c>
      <c r="AM1571">
        <v>88.767588776868905</v>
      </c>
      <c r="AN1571">
        <v>1.0000000588852</v>
      </c>
    </row>
    <row r="1572" spans="1:40" x14ac:dyDescent="0.25">
      <c r="A1572" t="str">
        <f>"20190312164252550"</f>
        <v>20190312164252550</v>
      </c>
      <c r="B1572" t="str">
        <f>"1552380172546111"</f>
        <v>1552380172546111</v>
      </c>
      <c r="C1572" t="s">
        <v>40</v>
      </c>
      <c r="D1572">
        <v>4.4934459999999996</v>
      </c>
      <c r="E1572">
        <v>0.47682740000000001</v>
      </c>
      <c r="F1572" t="s">
        <v>47</v>
      </c>
      <c r="G1572">
        <v>-306.58359999999999</v>
      </c>
      <c r="H1572" s="1">
        <v>2.941979E-6</v>
      </c>
      <c r="I1572">
        <v>282.95549999999997</v>
      </c>
      <c r="J1572">
        <v>-283.21949999999998</v>
      </c>
      <c r="K1572">
        <v>1.109351</v>
      </c>
      <c r="L1572">
        <v>284.03449999999998</v>
      </c>
      <c r="M1572">
        <v>-0.99993509999999997</v>
      </c>
      <c r="N1572">
        <v>0</v>
      </c>
      <c r="O1572">
        <v>7.0857009999999998E-3</v>
      </c>
      <c r="P1572">
        <v>-0.98952669999999998</v>
      </c>
      <c r="Q1572">
        <v>0.141819</v>
      </c>
      <c r="R1572">
        <v>2.6917900000000002E-2</v>
      </c>
      <c r="S1572">
        <v>-3.0560909999999999</v>
      </c>
      <c r="T1572">
        <v>-0.14249120000000001</v>
      </c>
      <c r="U1572">
        <v>-0.13821410000000001</v>
      </c>
      <c r="V1572">
        <v>1.991099E-2</v>
      </c>
      <c r="W1572">
        <v>0.15065770000000001</v>
      </c>
      <c r="X1572">
        <v>0.98838539999999997</v>
      </c>
      <c r="Y1572">
        <v>-5.219294E-2</v>
      </c>
      <c r="Z1572">
        <v>-1.5455250000000001E-3</v>
      </c>
      <c r="AA1572">
        <v>0.99863579999999996</v>
      </c>
      <c r="AB1572">
        <v>43</v>
      </c>
      <c r="AC1572">
        <v>-23.364100000000001</v>
      </c>
      <c r="AD1572">
        <v>-1.109348058021</v>
      </c>
      <c r="AE1572">
        <v>-1.079</v>
      </c>
      <c r="AF1572">
        <v>-1.24173706929481</v>
      </c>
      <c r="AG1572">
        <v>-1.109348058021</v>
      </c>
      <c r="AH1572">
        <v>23.3034433797961</v>
      </c>
      <c r="AI1572">
        <v>92.721622350309204</v>
      </c>
      <c r="AJ1572">
        <v>93.050153156554202</v>
      </c>
      <c r="AK1572">
        <v>23.3628559345483</v>
      </c>
      <c r="AL1572">
        <v>81.334956366821302</v>
      </c>
      <c r="AM1572">
        <v>88.845934583122798</v>
      </c>
      <c r="AN1572">
        <v>0.99999994451261298</v>
      </c>
    </row>
    <row r="1573" spans="1:40" x14ac:dyDescent="0.25">
      <c r="A1573" t="str">
        <f>"20190312164252573"</f>
        <v>20190312164252573</v>
      </c>
      <c r="B1573" t="str">
        <f>"1552380172565632"</f>
        <v>1552380172565632</v>
      </c>
      <c r="C1573" t="s">
        <v>40</v>
      </c>
      <c r="D1573">
        <v>4.3086310000000001</v>
      </c>
      <c r="E1573">
        <v>0.4771128</v>
      </c>
      <c r="F1573" t="s">
        <v>47</v>
      </c>
      <c r="G1573">
        <v>-307.1182</v>
      </c>
      <c r="H1573" s="1">
        <v>2.846462E-6</v>
      </c>
      <c r="I1573">
        <v>282.96339999999998</v>
      </c>
      <c r="J1573">
        <v>-283.66860000000003</v>
      </c>
      <c r="K1573">
        <v>1.1093569999999999</v>
      </c>
      <c r="L1573">
        <v>284.03769999999997</v>
      </c>
      <c r="M1573">
        <v>-0.99993460000000001</v>
      </c>
      <c r="N1573">
        <v>0</v>
      </c>
      <c r="O1573">
        <v>7.0849279999999999E-3</v>
      </c>
      <c r="P1573">
        <v>-0.98957890000000004</v>
      </c>
      <c r="Q1573">
        <v>0.14183989999999999</v>
      </c>
      <c r="R1573">
        <v>2.4807280000000001E-2</v>
      </c>
      <c r="S1573">
        <v>-3.055847</v>
      </c>
      <c r="T1573">
        <v>-0.141848799999999</v>
      </c>
      <c r="U1573">
        <v>-0.1369629</v>
      </c>
      <c r="V1573">
        <v>1.7800860000000002E-2</v>
      </c>
      <c r="W1573">
        <v>0.1507307</v>
      </c>
      <c r="X1573">
        <v>0.98841460000000003</v>
      </c>
      <c r="Y1573">
        <v>-5.1788710000000002E-2</v>
      </c>
      <c r="Z1573">
        <v>-1.5292929999999999E-3</v>
      </c>
      <c r="AA1573">
        <v>0.99865689999999996</v>
      </c>
      <c r="AB1573">
        <v>43</v>
      </c>
      <c r="AC1573">
        <v>-23.449599999999901</v>
      </c>
      <c r="AD1573">
        <v>-1.1093541535379901</v>
      </c>
      <c r="AE1573">
        <v>-1.07429999999999</v>
      </c>
      <c r="AF1573">
        <v>-1.2376543286889901</v>
      </c>
      <c r="AG1573">
        <v>-1.1093541535379901</v>
      </c>
      <c r="AH1573">
        <v>23.389163307418102</v>
      </c>
      <c r="AI1573">
        <v>92.711730581162996</v>
      </c>
      <c r="AJ1573">
        <v>93.029022157352102</v>
      </c>
      <c r="AK1573">
        <v>23.4481431055077</v>
      </c>
      <c r="AL1573">
        <v>81.330726101648594</v>
      </c>
      <c r="AM1573">
        <v>88.968242775817103</v>
      </c>
      <c r="AN1573">
        <v>1.0000000180161901</v>
      </c>
    </row>
    <row r="1574" spans="1:40" x14ac:dyDescent="0.25">
      <c r="A1574" t="str">
        <f>"20190312164252596"</f>
        <v>20190312164252596</v>
      </c>
      <c r="B1574" t="str">
        <f>"1552380172586127"</f>
        <v>1552380172586127</v>
      </c>
      <c r="C1574" t="s">
        <v>40</v>
      </c>
      <c r="D1574">
        <v>4.3815739999999996</v>
      </c>
      <c r="E1574">
        <v>0.47755700000000001</v>
      </c>
      <c r="F1574" t="s">
        <v>47</v>
      </c>
      <c r="G1574">
        <v>-307.37880000000001</v>
      </c>
      <c r="H1574" s="1">
        <v>2.8023089999999999E-6</v>
      </c>
      <c r="I1574">
        <v>282.93970000000002</v>
      </c>
      <c r="J1574">
        <v>-284.10899999999998</v>
      </c>
      <c r="K1574">
        <v>1.109364</v>
      </c>
      <c r="L1574">
        <v>284.04090000000002</v>
      </c>
      <c r="M1574">
        <v>-0.99993410000000005</v>
      </c>
      <c r="N1574">
        <v>0</v>
      </c>
      <c r="O1574">
        <v>7.0842140000000001E-3</v>
      </c>
      <c r="P1574">
        <v>-0.98960090000000001</v>
      </c>
      <c r="Q1574">
        <v>0.14203299999999999</v>
      </c>
      <c r="R1574">
        <v>2.2738959999999999E-2</v>
      </c>
      <c r="S1574">
        <v>-3.055634</v>
      </c>
      <c r="T1574">
        <v>-0.1429675</v>
      </c>
      <c r="U1574">
        <v>-0.14151</v>
      </c>
      <c r="V1574">
        <v>1.5733110000000002E-2</v>
      </c>
      <c r="W1574">
        <v>0.15097629999999901</v>
      </c>
      <c r="X1574">
        <v>0.98841219999999996</v>
      </c>
      <c r="Y1574">
        <v>-5.3271470000000001E-2</v>
      </c>
      <c r="Z1574">
        <v>-1.5760139999999999E-3</v>
      </c>
      <c r="AA1574">
        <v>0.99857879999999999</v>
      </c>
      <c r="AB1574">
        <v>43</v>
      </c>
      <c r="AC1574">
        <v>-23.269799999999901</v>
      </c>
      <c r="AD1574">
        <v>-1.1093611976910001</v>
      </c>
      <c r="AE1574">
        <v>-1.1012</v>
      </c>
      <c r="AF1574">
        <v>-1.2631628371997701</v>
      </c>
      <c r="AG1574">
        <v>-1.1093611976910001</v>
      </c>
      <c r="AH1574">
        <v>23.208783593107899</v>
      </c>
      <c r="AI1574">
        <v>92.732571228715898</v>
      </c>
      <c r="AJ1574">
        <v>93.115310371540005</v>
      </c>
      <c r="AK1574">
        <v>23.269591713047699</v>
      </c>
      <c r="AL1574">
        <v>81.316491423437796</v>
      </c>
      <c r="AM1574">
        <v>89.088068033870897</v>
      </c>
      <c r="AN1574">
        <v>1.0000000255104</v>
      </c>
    </row>
    <row r="1575" spans="1:40" x14ac:dyDescent="0.25">
      <c r="A1575" t="str">
        <f>"20190312164252617"</f>
        <v>20190312164252617</v>
      </c>
      <c r="B1575" t="str">
        <f>"1552380172605648"</f>
        <v>1552380172605648</v>
      </c>
      <c r="C1575" t="s">
        <v>40</v>
      </c>
      <c r="D1575">
        <v>4.4901070000000001</v>
      </c>
      <c r="E1575">
        <v>0.4775662</v>
      </c>
      <c r="F1575" t="s">
        <v>47</v>
      </c>
      <c r="G1575">
        <v>-307.83019999999999</v>
      </c>
      <c r="H1575" s="1">
        <v>2.7238999999999999E-6</v>
      </c>
      <c r="I1575">
        <v>282.92070000000001</v>
      </c>
      <c r="J1575">
        <v>-284.51600000000002</v>
      </c>
      <c r="K1575">
        <v>1.1093660000000001</v>
      </c>
      <c r="L1575">
        <v>284.0437</v>
      </c>
      <c r="M1575">
        <v>-0.99993359999999998</v>
      </c>
      <c r="N1575">
        <v>0</v>
      </c>
      <c r="O1575">
        <v>7.0836319999999899E-3</v>
      </c>
      <c r="P1575">
        <v>-0.98957930000000005</v>
      </c>
      <c r="Q1575">
        <v>0.1424977</v>
      </c>
      <c r="R1575">
        <v>2.0680179999999999E-2</v>
      </c>
      <c r="S1575">
        <v>-3.0554199999999998</v>
      </c>
      <c r="T1575">
        <v>-0.14289189999999999</v>
      </c>
      <c r="U1575">
        <v>-0.1442871</v>
      </c>
      <c r="V1575">
        <v>1.3675090000000001E-2</v>
      </c>
      <c r="W1575">
        <v>0.15148919999999999</v>
      </c>
      <c r="X1575">
        <v>0.98836429999999997</v>
      </c>
      <c r="Y1575">
        <v>-5.4178799999999999E-2</v>
      </c>
      <c r="Z1575">
        <v>-1.5964239999999999E-3</v>
      </c>
      <c r="AA1575">
        <v>0.99853000000000003</v>
      </c>
      <c r="AB1575">
        <v>43</v>
      </c>
      <c r="AC1575">
        <v>-23.3142</v>
      </c>
      <c r="AD1575">
        <v>-1.1093632761000001</v>
      </c>
      <c r="AE1575">
        <v>-1.12299999999999</v>
      </c>
      <c r="AF1575">
        <v>-1.2852246437653301</v>
      </c>
      <c r="AG1575">
        <v>-1.1093632761000001</v>
      </c>
      <c r="AH1575">
        <v>23.253132896544201</v>
      </c>
      <c r="AI1575">
        <v>92.727246710708599</v>
      </c>
      <c r="AJ1575">
        <v>93.163578004014298</v>
      </c>
      <c r="AK1575">
        <v>23.3150311766389</v>
      </c>
      <c r="AL1575">
        <v>81.2867621492789</v>
      </c>
      <c r="AM1575">
        <v>89.207301448866303</v>
      </c>
      <c r="AN1575">
        <v>0.99999998765881803</v>
      </c>
    </row>
    <row r="1576" spans="1:40" x14ac:dyDescent="0.25">
      <c r="A1576" t="str">
        <f>"20190312164252638"</f>
        <v>20190312164252638</v>
      </c>
      <c r="B1576" t="str">
        <f>"1552380172635903"</f>
        <v>1552380172635903</v>
      </c>
      <c r="C1576" t="s">
        <v>40</v>
      </c>
      <c r="D1576">
        <v>4.518472</v>
      </c>
      <c r="E1576">
        <v>0.46870070000000003</v>
      </c>
      <c r="F1576" t="s">
        <v>47</v>
      </c>
      <c r="G1576">
        <v>-308.38249999999999</v>
      </c>
      <c r="H1576" s="1">
        <v>2.6305059999999998E-6</v>
      </c>
      <c r="I1576">
        <v>282.8682</v>
      </c>
      <c r="J1576">
        <v>-284.92230000000001</v>
      </c>
      <c r="K1576">
        <v>1.1093710000000001</v>
      </c>
      <c r="L1576">
        <v>284.04660000000001</v>
      </c>
      <c r="M1576">
        <v>-0.99993310000000002</v>
      </c>
      <c r="N1576">
        <v>0</v>
      </c>
      <c r="O1576">
        <v>7.0831030000000003E-3</v>
      </c>
      <c r="P1576">
        <v>-0.98947499999999999</v>
      </c>
      <c r="Q1576">
        <v>0.14356650000000001</v>
      </c>
      <c r="R1576">
        <v>1.8099980000000002E-2</v>
      </c>
      <c r="S1576">
        <v>-3.0551759999999999</v>
      </c>
      <c r="T1576">
        <v>-0.14201059999999999</v>
      </c>
      <c r="U1576">
        <v>-0.15048220000000001</v>
      </c>
      <c r="V1576">
        <v>1.1096089999999999E-2</v>
      </c>
      <c r="W1576">
        <v>0.15260660000000001</v>
      </c>
      <c r="X1576">
        <v>0.98822469999999996</v>
      </c>
      <c r="Y1576">
        <v>-5.620062E-2</v>
      </c>
      <c r="Z1576">
        <v>-1.633549E-3</v>
      </c>
      <c r="AA1576">
        <v>0.99841820000000003</v>
      </c>
      <c r="AB1576">
        <v>43</v>
      </c>
      <c r="AC1576">
        <v>-23.460199999999901</v>
      </c>
      <c r="AD1576">
        <v>-1.109368369494</v>
      </c>
      <c r="AE1576">
        <v>-1.1784000000000101</v>
      </c>
      <c r="AF1576">
        <v>-1.34155611554888</v>
      </c>
      <c r="AG1576">
        <v>-1.109368369494</v>
      </c>
      <c r="AH1576">
        <v>23.3990737437313</v>
      </c>
      <c r="AI1576">
        <v>92.709961367905194</v>
      </c>
      <c r="AJ1576">
        <v>93.281388271634697</v>
      </c>
      <c r="AK1576">
        <v>23.4637406023629</v>
      </c>
      <c r="AL1576">
        <v>81.2219866161591</v>
      </c>
      <c r="AM1576">
        <v>89.356692450240999</v>
      </c>
      <c r="AN1576">
        <v>0.99999997763346804</v>
      </c>
    </row>
    <row r="1577" spans="1:40" x14ac:dyDescent="0.25">
      <c r="A1577" t="str">
        <f>"20190312164252672"</f>
        <v>20190312164252672</v>
      </c>
      <c r="B1577" t="str">
        <f>"1552380172666160"</f>
        <v>1552380172666160</v>
      </c>
      <c r="C1577" t="s">
        <v>40</v>
      </c>
      <c r="D1577">
        <v>4.6088180000000003</v>
      </c>
      <c r="E1577">
        <v>0.46904479999999998</v>
      </c>
      <c r="F1577" t="s">
        <v>47</v>
      </c>
      <c r="G1577">
        <v>-311.4905</v>
      </c>
      <c r="H1577" s="1">
        <v>3.1019549999999999E-6</v>
      </c>
      <c r="I1577">
        <v>282.05430000000001</v>
      </c>
      <c r="J1577">
        <v>-285.58109999999999</v>
      </c>
      <c r="K1577">
        <v>1.1093949999999999</v>
      </c>
      <c r="L1577">
        <v>284.05130000000003</v>
      </c>
      <c r="M1577">
        <v>-0.9999325</v>
      </c>
      <c r="N1577">
        <v>0</v>
      </c>
      <c r="O1577">
        <v>7.0818219999999998E-3</v>
      </c>
      <c r="P1577">
        <v>-0.9892957</v>
      </c>
      <c r="Q1577">
        <v>0.1450196</v>
      </c>
      <c r="R1577">
        <v>1.6240839999999999E-2</v>
      </c>
      <c r="S1577">
        <v>-3.0545960000000001</v>
      </c>
      <c r="T1577">
        <v>-0.1275461</v>
      </c>
      <c r="U1577">
        <v>-0.22906489999999999</v>
      </c>
      <c r="V1577">
        <v>9.2396700000000002E-3</v>
      </c>
      <c r="W1577">
        <v>0.15414079999999999</v>
      </c>
      <c r="X1577">
        <v>0.98800569999999999</v>
      </c>
      <c r="Y1577">
        <v>-8.1763710000000003E-2</v>
      </c>
      <c r="Z1577">
        <v>-1.9991000000000002E-3</v>
      </c>
      <c r="AA1577">
        <v>0.99664969999999997</v>
      </c>
      <c r="AB1577">
        <v>43</v>
      </c>
      <c r="AC1577">
        <v>-25.909400000000002</v>
      </c>
      <c r="AD1577">
        <v>-1.1093918980449999</v>
      </c>
      <c r="AE1577">
        <v>-1.9970000000000101</v>
      </c>
      <c r="AF1577">
        <v>-2.1764766925545902</v>
      </c>
      <c r="AG1577">
        <v>-1.1093918980449999</v>
      </c>
      <c r="AH1577">
        <v>25.8474985027438</v>
      </c>
      <c r="AI1577">
        <v>92.449008419976195</v>
      </c>
      <c r="AJ1577">
        <v>94.813210254193194</v>
      </c>
      <c r="AK1577">
        <v>25.962684376351099</v>
      </c>
      <c r="AL1577">
        <v>81.133031212574593</v>
      </c>
      <c r="AM1577">
        <v>89.464194727975695</v>
      </c>
      <c r="AN1577">
        <v>1.00000001047941</v>
      </c>
    </row>
    <row r="1578" spans="1:40" x14ac:dyDescent="0.25">
      <c r="A1578" t="str">
        <f>"20190312164252695"</f>
        <v>20190312164252695</v>
      </c>
      <c r="B1578" t="str">
        <f>"1552380172685680"</f>
        <v>1552380172685680</v>
      </c>
      <c r="C1578" t="s">
        <v>40</v>
      </c>
      <c r="D1578">
        <v>4.5547250000000004</v>
      </c>
      <c r="E1578">
        <v>0.46877039999999998</v>
      </c>
      <c r="F1578" t="s">
        <v>47</v>
      </c>
      <c r="G1578">
        <v>-312.35379999999998</v>
      </c>
      <c r="H1578" s="1">
        <v>3.488894E-6</v>
      </c>
      <c r="I1578">
        <v>282.00709999999998</v>
      </c>
      <c r="J1578">
        <v>-286.00490000000002</v>
      </c>
      <c r="K1578">
        <v>1.109407</v>
      </c>
      <c r="L1578">
        <v>284.05430000000001</v>
      </c>
      <c r="M1578">
        <v>-0.99993189999999998</v>
      </c>
      <c r="N1578">
        <v>0</v>
      </c>
      <c r="O1578">
        <v>7.0812690000000003E-3</v>
      </c>
      <c r="P1578">
        <v>-0.98911959999999999</v>
      </c>
      <c r="Q1578">
        <v>0.14635100000000001</v>
      </c>
      <c r="R1578">
        <v>1.4954540000000001E-2</v>
      </c>
      <c r="S1578">
        <v>-3.05484</v>
      </c>
      <c r="T1578">
        <v>-0.126585</v>
      </c>
      <c r="U1578">
        <v>-0.2332458</v>
      </c>
      <c r="V1578">
        <v>7.9553200000000001E-3</v>
      </c>
      <c r="W1578">
        <v>0.15552489999999999</v>
      </c>
      <c r="X1578">
        <v>0.98779989999999995</v>
      </c>
      <c r="Y1578">
        <v>-8.3113430000000002E-2</v>
      </c>
      <c r="Z1578">
        <v>-2.0116800000000001E-3</v>
      </c>
      <c r="AA1578">
        <v>0.99653800000000003</v>
      </c>
      <c r="AB1578">
        <v>43</v>
      </c>
      <c r="AC1578">
        <v>-26.348899999999901</v>
      </c>
      <c r="AD1578">
        <v>-1.1094035111059899</v>
      </c>
      <c r="AE1578">
        <v>-2.0472000000000299</v>
      </c>
      <c r="AF1578">
        <v>-2.2298111059937198</v>
      </c>
      <c r="AG1578">
        <v>-1.1094035111059899</v>
      </c>
      <c r="AH1578">
        <v>26.287419811105298</v>
      </c>
      <c r="AI1578">
        <v>92.407972892552294</v>
      </c>
      <c r="AJ1578">
        <v>94.848466213240897</v>
      </c>
      <c r="AK1578">
        <v>26.405137266148699</v>
      </c>
      <c r="AL1578">
        <v>81.052759666124501</v>
      </c>
      <c r="AM1578">
        <v>89.538574151992805</v>
      </c>
      <c r="AN1578">
        <v>0.99999996203816</v>
      </c>
    </row>
    <row r="1579" spans="1:40" x14ac:dyDescent="0.25">
      <c r="A1579" t="str">
        <f>"20190312164252715"</f>
        <v>20190312164252715</v>
      </c>
      <c r="B1579" t="str">
        <f>"1552380172706179"</f>
        <v>1552380172706179</v>
      </c>
      <c r="C1579" t="s">
        <v>40</v>
      </c>
      <c r="D1579">
        <v>4.6456249999999999</v>
      </c>
      <c r="E1579">
        <v>0.46848620000000002</v>
      </c>
      <c r="F1579" t="s">
        <v>47</v>
      </c>
      <c r="G1579">
        <v>-312.62799999999999</v>
      </c>
      <c r="H1579" s="1">
        <v>3.6136719999999999E-6</v>
      </c>
      <c r="I1579">
        <v>281.97089999999997</v>
      </c>
      <c r="J1579">
        <v>-286.41489999999999</v>
      </c>
      <c r="K1579">
        <v>1.1094219999999999</v>
      </c>
      <c r="L1579">
        <v>284.05720000000002</v>
      </c>
      <c r="M1579">
        <v>-0.99993140000000003</v>
      </c>
      <c r="N1579">
        <v>0</v>
      </c>
      <c r="O1579">
        <v>7.0804889999999997E-3</v>
      </c>
      <c r="P1579">
        <v>-0.98886600000000002</v>
      </c>
      <c r="Q1579">
        <v>0.14816940000000001</v>
      </c>
      <c r="R1579">
        <v>1.377957E-2</v>
      </c>
      <c r="S1579">
        <v>-3.0554809999999999</v>
      </c>
      <c r="T1579">
        <v>-0.1273242</v>
      </c>
      <c r="U1579">
        <v>-0.23910519999999999</v>
      </c>
      <c r="V1579">
        <v>6.7830369999999996E-3</v>
      </c>
      <c r="W1579">
        <v>0.15739220000000001</v>
      </c>
      <c r="X1579">
        <v>0.98751290000000003</v>
      </c>
      <c r="Y1579">
        <v>-8.4993860000000004E-2</v>
      </c>
      <c r="Z1579">
        <v>-2.0619169999999999E-3</v>
      </c>
      <c r="AA1579">
        <v>0.99637929999999997</v>
      </c>
      <c r="AB1579">
        <v>43</v>
      </c>
      <c r="AC1579">
        <v>-26.213100000000001</v>
      </c>
      <c r="AD1579">
        <v>-1.1094183863279901</v>
      </c>
      <c r="AE1579">
        <v>-2.0863000000000498</v>
      </c>
      <c r="AF1579">
        <v>-2.2678207019845802</v>
      </c>
      <c r="AG1579">
        <v>-1.1094183863279901</v>
      </c>
      <c r="AH1579">
        <v>26.151122099852401</v>
      </c>
      <c r="AI1579">
        <v>92.420150421788804</v>
      </c>
      <c r="AJ1579">
        <v>94.956280440373007</v>
      </c>
      <c r="AK1579">
        <v>26.272704599520399</v>
      </c>
      <c r="AL1579">
        <v>80.944437730968005</v>
      </c>
      <c r="AM1579">
        <v>89.606452451929201</v>
      </c>
      <c r="AN1579">
        <v>1.00000002093909</v>
      </c>
    </row>
    <row r="1580" spans="1:40" x14ac:dyDescent="0.25">
      <c r="A1580" t="str">
        <f>"20190312164252738"</f>
        <v>20190312164252738</v>
      </c>
      <c r="B1580" t="str">
        <f>"1552380172735456"</f>
        <v>1552380172735456</v>
      </c>
      <c r="C1580" t="s">
        <v>40</v>
      </c>
      <c r="D1580">
        <v>4.6097130000000002</v>
      </c>
      <c r="E1580">
        <v>0.46867009999999998</v>
      </c>
      <c r="F1580" t="s">
        <v>47</v>
      </c>
      <c r="G1580">
        <v>-313.97160000000002</v>
      </c>
      <c r="H1580" s="1">
        <v>4.2202229999999901E-6</v>
      </c>
      <c r="I1580">
        <v>281.84829999999999</v>
      </c>
      <c r="J1580">
        <v>-286.84289999999999</v>
      </c>
      <c r="K1580">
        <v>1.1094280000000001</v>
      </c>
      <c r="L1580">
        <v>284.06020000000001</v>
      </c>
      <c r="M1580">
        <v>-0.99993100000000001</v>
      </c>
      <c r="N1580">
        <v>0</v>
      </c>
      <c r="O1580">
        <v>7.0797710000000003E-3</v>
      </c>
      <c r="P1580">
        <v>-0.9886798</v>
      </c>
      <c r="Q1580">
        <v>0.1495389</v>
      </c>
      <c r="R1580">
        <v>1.2256899999999999E-2</v>
      </c>
      <c r="S1580">
        <v>-3.055634</v>
      </c>
      <c r="T1580">
        <v>-0.12301810000000001</v>
      </c>
      <c r="U1580">
        <v>-0.24493409999999999</v>
      </c>
      <c r="V1580">
        <v>5.2622909999999997E-3</v>
      </c>
      <c r="W1580">
        <v>0.1588109</v>
      </c>
      <c r="X1580">
        <v>0.98729500000000003</v>
      </c>
      <c r="Y1580">
        <v>-8.6881730000000004E-2</v>
      </c>
      <c r="Z1580">
        <v>-2.029889E-3</v>
      </c>
      <c r="AA1580">
        <v>0.99621660000000001</v>
      </c>
      <c r="AB1580">
        <v>43</v>
      </c>
      <c r="AC1580">
        <v>-27.128699999999998</v>
      </c>
      <c r="AD1580">
        <v>-1.1094237797769999</v>
      </c>
      <c r="AE1580">
        <v>-2.2119000000000102</v>
      </c>
      <c r="AF1580">
        <v>-2.3999308736256801</v>
      </c>
      <c r="AG1580">
        <v>-1.1094237797769999</v>
      </c>
      <c r="AH1580">
        <v>27.0673913731166</v>
      </c>
      <c r="AI1580">
        <v>92.337933455527804</v>
      </c>
      <c r="AJ1580">
        <v>95.066881579073296</v>
      </c>
      <c r="AK1580">
        <v>27.196216006400299</v>
      </c>
      <c r="AL1580">
        <v>80.862116697528094</v>
      </c>
      <c r="AM1580">
        <v>89.694615885072196</v>
      </c>
      <c r="AN1580">
        <v>1.0000000053451801</v>
      </c>
    </row>
    <row r="1581" spans="1:40" x14ac:dyDescent="0.25">
      <c r="A1581" t="str">
        <f>"20190312164252761"</f>
        <v>20190312164252761</v>
      </c>
      <c r="B1581" t="str">
        <f>"1552380172755952"</f>
        <v>1552380172755952</v>
      </c>
      <c r="C1581" t="s">
        <v>40</v>
      </c>
      <c r="D1581">
        <v>4.4392139999999998</v>
      </c>
      <c r="E1581">
        <v>0.46904299999999999</v>
      </c>
      <c r="F1581" t="s">
        <v>47</v>
      </c>
      <c r="G1581">
        <v>-316.19130000000001</v>
      </c>
      <c r="H1581" s="1">
        <v>5.2195939999999901E-6</v>
      </c>
      <c r="I1581">
        <v>281.6764</v>
      </c>
      <c r="J1581">
        <v>-287.2867</v>
      </c>
      <c r="K1581">
        <v>1.10944</v>
      </c>
      <c r="L1581">
        <v>284.0634</v>
      </c>
      <c r="M1581">
        <v>-0.9999304</v>
      </c>
      <c r="N1581">
        <v>0</v>
      </c>
      <c r="O1581">
        <v>7.078689E-3</v>
      </c>
      <c r="P1581">
        <v>-0.98836210000000002</v>
      </c>
      <c r="Q1581">
        <v>0.1516999</v>
      </c>
      <c r="R1581">
        <v>1.1303550000000001E-2</v>
      </c>
      <c r="S1581">
        <v>-3.0549620000000002</v>
      </c>
      <c r="T1581">
        <v>-0.115483</v>
      </c>
      <c r="U1581">
        <v>-0.24813840000000001</v>
      </c>
      <c r="V1581">
        <v>4.3125790000000004E-3</v>
      </c>
      <c r="W1581">
        <v>0.16102040000000001</v>
      </c>
      <c r="X1581">
        <v>0.98694159999999997</v>
      </c>
      <c r="Y1581">
        <v>-8.7944410000000001E-2</v>
      </c>
      <c r="Z1581">
        <v>-1.925988E-3</v>
      </c>
      <c r="AA1581">
        <v>0.9961236</v>
      </c>
      <c r="AB1581">
        <v>43</v>
      </c>
      <c r="AC1581">
        <v>-28.904599999999999</v>
      </c>
      <c r="AD1581">
        <v>-1.1094347804060001</v>
      </c>
      <c r="AE1581">
        <v>-2.387</v>
      </c>
      <c r="AF1581">
        <v>-2.5877694308697099</v>
      </c>
      <c r="AG1581">
        <v>-1.1094347804060001</v>
      </c>
      <c r="AH1581">
        <v>28.844771121342301</v>
      </c>
      <c r="AI1581">
        <v>92.193836601085806</v>
      </c>
      <c r="AJ1581">
        <v>95.126488790118799</v>
      </c>
      <c r="AK1581">
        <v>28.981860140473</v>
      </c>
      <c r="AL1581">
        <v>80.733870645995395</v>
      </c>
      <c r="AM1581">
        <v>89.749639692061194</v>
      </c>
      <c r="AN1581">
        <v>0.99999994468217401</v>
      </c>
    </row>
    <row r="1582" spans="1:40" x14ac:dyDescent="0.25">
      <c r="A1582" t="str">
        <f>"20190312164252786"</f>
        <v>20190312164252786</v>
      </c>
      <c r="B1582" t="str">
        <f>"1552380172775471"</f>
        <v>1552380172775471</v>
      </c>
      <c r="C1582" t="s">
        <v>40</v>
      </c>
      <c r="D1582">
        <v>4.5171989999999997</v>
      </c>
      <c r="E1582">
        <v>0.46910180000000001</v>
      </c>
      <c r="F1582" t="s">
        <v>47</v>
      </c>
      <c r="G1582">
        <v>-319.0865</v>
      </c>
      <c r="H1582" s="1">
        <v>6.5206439999999901E-6</v>
      </c>
      <c r="I1582">
        <v>281.48</v>
      </c>
      <c r="J1582">
        <v>-287.7509</v>
      </c>
      <c r="K1582">
        <v>1.1094520000000001</v>
      </c>
      <c r="L1582">
        <v>284.06659999999999</v>
      </c>
      <c r="M1582">
        <v>-0.99992990000000004</v>
      </c>
      <c r="N1582">
        <v>0</v>
      </c>
      <c r="O1582">
        <v>7.077898E-3</v>
      </c>
      <c r="P1582">
        <v>-0.9880755</v>
      </c>
      <c r="Q1582">
        <v>0.15358820000000001</v>
      </c>
      <c r="R1582">
        <v>1.084632E-2</v>
      </c>
      <c r="S1582">
        <v>-3.0545040000000001</v>
      </c>
      <c r="T1582">
        <v>-0.10656599999999999</v>
      </c>
      <c r="U1582">
        <v>-0.24813840000000001</v>
      </c>
      <c r="V1582">
        <v>3.8581750000000001E-3</v>
      </c>
      <c r="W1582">
        <v>0.16295899999999999</v>
      </c>
      <c r="X1582">
        <v>0.98662530000000004</v>
      </c>
      <c r="Y1582">
        <v>-8.7965660000000001E-2</v>
      </c>
      <c r="Z1582">
        <v>-1.777973E-3</v>
      </c>
      <c r="AA1582">
        <v>0.9961219</v>
      </c>
      <c r="AB1582">
        <v>43</v>
      </c>
      <c r="AC1582">
        <v>-31.335599999999999</v>
      </c>
      <c r="AD1582">
        <v>-1.109445479356</v>
      </c>
      <c r="AE1582">
        <v>-2.58659999999997</v>
      </c>
      <c r="AF1582">
        <v>-2.8048432060963</v>
      </c>
      <c r="AG1582">
        <v>-1.109445479356</v>
      </c>
      <c r="AH1582">
        <v>31.2775643685201</v>
      </c>
      <c r="AI1582">
        <v>92.023372378472899</v>
      </c>
      <c r="AJ1582">
        <v>95.124342707937004</v>
      </c>
      <c r="AK1582">
        <v>31.422667733809099</v>
      </c>
      <c r="AL1582">
        <v>80.621310918152005</v>
      </c>
      <c r="AM1582">
        <v>89.775947345619301</v>
      </c>
      <c r="AN1582">
        <v>1.00000000189771</v>
      </c>
    </row>
    <row r="1583" spans="1:40" x14ac:dyDescent="0.25">
      <c r="A1583" t="str">
        <f>"20190312164252807"</f>
        <v>20190312164252807</v>
      </c>
      <c r="B1583" t="str">
        <f>"1552380172795968"</f>
        <v>1552380172795968</v>
      </c>
      <c r="C1583" t="s">
        <v>40</v>
      </c>
      <c r="D1583">
        <v>4.5952719999999996</v>
      </c>
      <c r="E1583">
        <v>0.46918470000000001</v>
      </c>
      <c r="F1583" t="s">
        <v>46</v>
      </c>
      <c r="G1583">
        <v>-320.74959999999999</v>
      </c>
      <c r="H1583" s="1">
        <v>-9.9586669999999998E-7</v>
      </c>
      <c r="I1583">
        <v>281.36680000000001</v>
      </c>
      <c r="J1583">
        <v>-288.17009999999999</v>
      </c>
      <c r="K1583">
        <v>1.1094630000000001</v>
      </c>
      <c r="L1583">
        <v>284.06959999999998</v>
      </c>
      <c r="M1583">
        <v>-0.99992950000000003</v>
      </c>
      <c r="N1583">
        <v>0</v>
      </c>
      <c r="O1583">
        <v>7.0771999999999901E-3</v>
      </c>
      <c r="P1583">
        <v>-0.98789020000000005</v>
      </c>
      <c r="Q1583">
        <v>0.15481120000000001</v>
      </c>
      <c r="R1583">
        <v>1.031848E-2</v>
      </c>
      <c r="S1583">
        <v>-3.0548709999999999</v>
      </c>
      <c r="T1583">
        <v>-0.1027081</v>
      </c>
      <c r="U1583">
        <v>-0.24993899999999999</v>
      </c>
      <c r="V1583">
        <v>3.3323440000000001E-3</v>
      </c>
      <c r="W1583">
        <v>0.16422529999999999</v>
      </c>
      <c r="X1583">
        <v>0.98641719999999999</v>
      </c>
      <c r="Y1583">
        <v>-8.8542319999999994E-2</v>
      </c>
      <c r="Z1583">
        <v>-1.723051E-3</v>
      </c>
      <c r="AA1583">
        <v>0.99607089999999998</v>
      </c>
      <c r="AB1583">
        <v>43</v>
      </c>
      <c r="AC1583">
        <v>-32.579500000000003</v>
      </c>
      <c r="AD1583">
        <v>-1.1094639958667001</v>
      </c>
      <c r="AE1583">
        <v>-2.7027999999999599</v>
      </c>
      <c r="AF1583">
        <v>-2.92993986115171</v>
      </c>
      <c r="AG1583">
        <v>-1.1094639958667001</v>
      </c>
      <c r="AH1583">
        <v>32.522097508786402</v>
      </c>
      <c r="AI1583">
        <v>91.945964605256194</v>
      </c>
      <c r="AJ1583">
        <v>95.147921814271697</v>
      </c>
      <c r="AK1583">
        <v>32.672653463088999</v>
      </c>
      <c r="AL1583">
        <v>80.547766205861194</v>
      </c>
      <c r="AM1583">
        <v>89.806442425407695</v>
      </c>
      <c r="AN1583">
        <v>0.99999997306623101</v>
      </c>
    </row>
    <row r="1584" spans="1:40" x14ac:dyDescent="0.25">
      <c r="A1584" t="str">
        <f>"20190312164252828"</f>
        <v>20190312164252828</v>
      </c>
      <c r="B1584" t="str">
        <f>"1552380172826224"</f>
        <v>1552380172826224</v>
      </c>
      <c r="C1584" t="s">
        <v>40</v>
      </c>
      <c r="D1584">
        <v>4.5710150000000001</v>
      </c>
      <c r="E1584">
        <v>0.46939449999999999</v>
      </c>
      <c r="F1584" t="s">
        <v>46</v>
      </c>
      <c r="G1584">
        <v>-321.8913</v>
      </c>
      <c r="H1584" s="1">
        <v>-3.8547900000000001E-7</v>
      </c>
      <c r="I1584">
        <v>281.3021</v>
      </c>
      <c r="J1584">
        <v>-288.57569999999998</v>
      </c>
      <c r="K1584">
        <v>1.109469</v>
      </c>
      <c r="L1584">
        <v>284.07249999999999</v>
      </c>
      <c r="M1584">
        <v>-0.99992910000000002</v>
      </c>
      <c r="N1584">
        <v>0</v>
      </c>
      <c r="O1584">
        <v>7.0766419999999898E-3</v>
      </c>
      <c r="P1584">
        <v>-0.98765270000000005</v>
      </c>
      <c r="Q1584">
        <v>0.15630759999999999</v>
      </c>
      <c r="R1584">
        <v>1.0504970000000001E-2</v>
      </c>
      <c r="S1584">
        <v>-3.055145</v>
      </c>
      <c r="T1584">
        <v>-0.1005177</v>
      </c>
      <c r="U1584">
        <v>-0.25073240000000002</v>
      </c>
      <c r="V1584">
        <v>3.5211190000000001E-3</v>
      </c>
      <c r="W1584">
        <v>0.1657604</v>
      </c>
      <c r="X1584">
        <v>0.98615980000000003</v>
      </c>
      <c r="Y1584">
        <v>-8.87936E-2</v>
      </c>
      <c r="Z1584">
        <v>-1.6902639999999999E-3</v>
      </c>
      <c r="AA1584">
        <v>0.99604859999999995</v>
      </c>
      <c r="AB1584">
        <v>43</v>
      </c>
      <c r="AC1584">
        <v>-33.315600000000003</v>
      </c>
      <c r="AD1584">
        <v>-1.1094693854790001</v>
      </c>
      <c r="AE1584">
        <v>-2.7703999999999902</v>
      </c>
      <c r="AF1584">
        <v>-3.0027967487851099</v>
      </c>
      <c r="AG1584">
        <v>-1.1094693854790001</v>
      </c>
      <c r="AH1584">
        <v>33.258528948172398</v>
      </c>
      <c r="AI1584">
        <v>91.902883793549407</v>
      </c>
      <c r="AJ1584">
        <v>95.159048469099005</v>
      </c>
      <c r="AK1584">
        <v>33.412235160615197</v>
      </c>
      <c r="AL1584">
        <v>80.458589797864803</v>
      </c>
      <c r="AM1584">
        <v>89.795424229888297</v>
      </c>
      <c r="AN1584">
        <v>1.0000000298116001</v>
      </c>
    </row>
    <row r="1585" spans="1:40" x14ac:dyDescent="0.25">
      <c r="A1585" t="str">
        <f>"20190312164252851"</f>
        <v>20190312164252851</v>
      </c>
      <c r="B1585" t="str">
        <f>"1552380172845745"</f>
        <v>1552380172845745</v>
      </c>
      <c r="C1585" t="s">
        <v>40</v>
      </c>
      <c r="D1585">
        <v>4.5718030000000001</v>
      </c>
      <c r="E1585">
        <v>0.46944150000000001</v>
      </c>
      <c r="F1585" t="s">
        <v>46</v>
      </c>
      <c r="G1585">
        <v>-322.56380000000001</v>
      </c>
      <c r="H1585" s="1">
        <v>-2.7912549999999999E-8</v>
      </c>
      <c r="I1585">
        <v>281.30900000000003</v>
      </c>
      <c r="J1585">
        <v>-289.0163</v>
      </c>
      <c r="K1585">
        <v>1.109477</v>
      </c>
      <c r="L1585">
        <v>284.07560000000001</v>
      </c>
      <c r="M1585">
        <v>-0.99992879999999995</v>
      </c>
      <c r="N1585">
        <v>0</v>
      </c>
      <c r="O1585">
        <v>7.075965E-3</v>
      </c>
      <c r="P1585">
        <v>-0.9875157</v>
      </c>
      <c r="Q1585">
        <v>0.15713170000000001</v>
      </c>
      <c r="R1585">
        <v>1.10639E-2</v>
      </c>
      <c r="S1585">
        <v>-3.055939</v>
      </c>
      <c r="T1585">
        <v>-9.9754809999999999E-2</v>
      </c>
      <c r="U1585">
        <v>-0.2484741</v>
      </c>
      <c r="V1585">
        <v>4.0815239999999996E-3</v>
      </c>
      <c r="W1585">
        <v>0.16662460000000001</v>
      </c>
      <c r="X1585">
        <v>0.986012</v>
      </c>
      <c r="Y1585">
        <v>-8.8041830000000001E-2</v>
      </c>
      <c r="Z1585">
        <v>-1.6647890000000001E-3</v>
      </c>
      <c r="AA1585">
        <v>0.99611539999999998</v>
      </c>
      <c r="AB1585">
        <v>43</v>
      </c>
      <c r="AC1585">
        <v>-33.547499999999999</v>
      </c>
      <c r="AD1585">
        <v>-1.1094770279125501</v>
      </c>
      <c r="AE1585">
        <v>-2.76659999999998</v>
      </c>
      <c r="AF1585">
        <v>-3.0006628348256998</v>
      </c>
      <c r="AG1585">
        <v>-1.1094770279125501</v>
      </c>
      <c r="AH1585">
        <v>33.490699928893797</v>
      </c>
      <c r="AI1585">
        <v>91.889831033300894</v>
      </c>
      <c r="AJ1585">
        <v>95.119853281928002</v>
      </c>
      <c r="AK1585">
        <v>33.643155298678202</v>
      </c>
      <c r="AL1585">
        <v>80.408376585105898</v>
      </c>
      <c r="AM1585">
        <v>89.762829698309801</v>
      </c>
      <c r="AN1585">
        <v>1.00000004015366</v>
      </c>
    </row>
    <row r="1586" spans="1:40" x14ac:dyDescent="0.25">
      <c r="A1586" t="str">
        <f>"20190312164252874"</f>
        <v>20190312164252874</v>
      </c>
      <c r="B1586" t="str">
        <f>"1552380172866240"</f>
        <v>1552380172866240</v>
      </c>
      <c r="C1586" t="s">
        <v>40</v>
      </c>
      <c r="D1586">
        <v>4.5750080000000004</v>
      </c>
      <c r="E1586">
        <v>0.46951229999999999</v>
      </c>
      <c r="F1586" t="s">
        <v>46</v>
      </c>
      <c r="G1586">
        <v>-322.66820000000001</v>
      </c>
      <c r="H1586" s="1">
        <v>2.536137E-8</v>
      </c>
      <c r="I1586">
        <v>281.36200000000002</v>
      </c>
      <c r="J1586">
        <v>-289.452</v>
      </c>
      <c r="K1586">
        <v>1.109478</v>
      </c>
      <c r="L1586">
        <v>284.07870000000003</v>
      </c>
      <c r="M1586">
        <v>-0.99992829999999999</v>
      </c>
      <c r="N1586">
        <v>0</v>
      </c>
      <c r="O1586">
        <v>7.0756049999999996E-3</v>
      </c>
      <c r="P1586">
        <v>-0.98729940000000005</v>
      </c>
      <c r="Q1586">
        <v>0.1584536</v>
      </c>
      <c r="R1586">
        <v>1.150339E-2</v>
      </c>
      <c r="S1586">
        <v>-3.0567319999999998</v>
      </c>
      <c r="T1586">
        <v>-0.10077800000000001</v>
      </c>
      <c r="U1586">
        <v>-0.2464905</v>
      </c>
      <c r="V1586">
        <v>4.5230619999999996E-3</v>
      </c>
      <c r="W1586">
        <v>0.16798089999999999</v>
      </c>
      <c r="X1586">
        <v>0.98577990000000004</v>
      </c>
      <c r="Y1586">
        <v>-8.7377699999999905E-2</v>
      </c>
      <c r="Z1586">
        <v>-1.670525E-3</v>
      </c>
      <c r="AA1586">
        <v>0.99617389999999995</v>
      </c>
      <c r="AB1586">
        <v>43</v>
      </c>
      <c r="AC1586">
        <v>-33.216200000000001</v>
      </c>
      <c r="AD1586">
        <v>-1.1094779746386201</v>
      </c>
      <c r="AE1586">
        <v>-2.7166999999999999</v>
      </c>
      <c r="AF1586">
        <v>-2.9484000707195301</v>
      </c>
      <c r="AG1586">
        <v>-1.1094779746386201</v>
      </c>
      <c r="AH1586">
        <v>33.1593959862644</v>
      </c>
      <c r="AI1586">
        <v>91.908815550864304</v>
      </c>
      <c r="AJ1586">
        <v>95.081147689414195</v>
      </c>
      <c r="AK1586">
        <v>33.308700763120697</v>
      </c>
      <c r="AL1586">
        <v>80.329555238058006</v>
      </c>
      <c r="AM1586">
        <v>89.737111149769802</v>
      </c>
      <c r="AN1586">
        <v>1.00000002604933</v>
      </c>
    </row>
    <row r="1587" spans="1:40" x14ac:dyDescent="0.25">
      <c r="A1587" t="str">
        <f>"20190312164252895"</f>
        <v>20190312164252895</v>
      </c>
      <c r="B1587" t="str">
        <f>"1552380172885760"</f>
        <v>1552380172885760</v>
      </c>
      <c r="C1587" t="s">
        <v>40</v>
      </c>
      <c r="D1587">
        <v>4.6712579999999999</v>
      </c>
      <c r="E1587">
        <v>0.46956720000000002</v>
      </c>
      <c r="F1587" t="s">
        <v>46</v>
      </c>
      <c r="G1587">
        <v>-323.70870000000002</v>
      </c>
      <c r="H1587" s="1">
        <v>5.8056589999999997E-7</v>
      </c>
      <c r="I1587">
        <v>281.32709999999997</v>
      </c>
      <c r="J1587">
        <v>-289.86959999999999</v>
      </c>
      <c r="K1587">
        <v>1.1094850000000001</v>
      </c>
      <c r="L1587">
        <v>284.08170000000001</v>
      </c>
      <c r="M1587">
        <v>-0.99992809999999999</v>
      </c>
      <c r="N1587">
        <v>0</v>
      </c>
      <c r="O1587">
        <v>7.0749589999999996E-3</v>
      </c>
      <c r="P1587">
        <v>-0.98715439999999999</v>
      </c>
      <c r="Q1587">
        <v>0.15926599999999999</v>
      </c>
      <c r="R1587">
        <v>1.268116E-2</v>
      </c>
      <c r="S1587">
        <v>-3.057312</v>
      </c>
      <c r="T1587">
        <v>-9.9017620000000001E-2</v>
      </c>
      <c r="U1587">
        <v>-0.24557499999999999</v>
      </c>
      <c r="V1587">
        <v>5.7024750000000003E-3</v>
      </c>
      <c r="W1587">
        <v>0.168826</v>
      </c>
      <c r="X1587">
        <v>0.98562939999999999</v>
      </c>
      <c r="Y1587">
        <v>-8.7067480000000003E-2</v>
      </c>
      <c r="Z1587">
        <v>-1.6360350000000001E-3</v>
      </c>
      <c r="AA1587">
        <v>0.99620109999999995</v>
      </c>
      <c r="AB1587">
        <v>43</v>
      </c>
      <c r="AC1587">
        <v>-33.839100000000002</v>
      </c>
      <c r="AD1587">
        <v>-1.1094844194341</v>
      </c>
      <c r="AE1587">
        <v>-2.7546000000000301</v>
      </c>
      <c r="AF1587">
        <v>-2.9907586443832201</v>
      </c>
      <c r="AG1587">
        <v>-1.1094844194341</v>
      </c>
      <c r="AH1587">
        <v>33.782686385269599</v>
      </c>
      <c r="AI1587">
        <v>91.873697853067497</v>
      </c>
      <c r="AJ1587">
        <v>95.059167594169594</v>
      </c>
      <c r="AK1587">
        <v>33.932955844597501</v>
      </c>
      <c r="AL1587">
        <v>80.280433011323893</v>
      </c>
      <c r="AM1587">
        <v>89.668512216871605</v>
      </c>
      <c r="AN1587">
        <v>1.0000000253207399</v>
      </c>
    </row>
    <row r="1588" spans="1:40" x14ac:dyDescent="0.25">
      <c r="A1588" t="str">
        <f>"20190312164252917"</f>
        <v>20190312164252917</v>
      </c>
      <c r="B1588" t="str">
        <f>"1552380172906259"</f>
        <v>1552380172906259</v>
      </c>
      <c r="C1588" t="s">
        <v>40</v>
      </c>
      <c r="D1588">
        <v>4.59884</v>
      </c>
      <c r="E1588">
        <v>0.4682732</v>
      </c>
      <c r="F1588" t="s">
        <v>46</v>
      </c>
      <c r="G1588">
        <v>-324.4085</v>
      </c>
      <c r="H1588" s="1">
        <v>9.5186159999999998E-7</v>
      </c>
      <c r="I1588">
        <v>281.35250000000002</v>
      </c>
      <c r="J1588">
        <v>-290.29700000000003</v>
      </c>
      <c r="K1588">
        <v>1.1094949999999999</v>
      </c>
      <c r="L1588">
        <v>284.0847</v>
      </c>
      <c r="M1588">
        <v>-0.99992780000000003</v>
      </c>
      <c r="N1588">
        <v>0</v>
      </c>
      <c r="O1588">
        <v>7.0744249999999996E-3</v>
      </c>
      <c r="P1588">
        <v>-0.98703399999999997</v>
      </c>
      <c r="Q1588">
        <v>0.15989639999999999</v>
      </c>
      <c r="R1588">
        <v>1.4052129999999999E-2</v>
      </c>
      <c r="S1588">
        <v>-3.0579830000000001</v>
      </c>
      <c r="T1588">
        <v>-9.823084E-2</v>
      </c>
      <c r="U1588">
        <v>-0.2416382</v>
      </c>
      <c r="V1588">
        <v>7.074744E-3</v>
      </c>
      <c r="W1588">
        <v>0.16949059999999999</v>
      </c>
      <c r="X1588">
        <v>0.9855064</v>
      </c>
      <c r="Y1588">
        <v>-8.5776459999999999E-2</v>
      </c>
      <c r="Z1588">
        <v>-1.6020540000000001E-3</v>
      </c>
      <c r="AA1588">
        <v>0.99631309999999995</v>
      </c>
      <c r="AB1588">
        <v>43</v>
      </c>
      <c r="AC1588">
        <v>-34.1114999999999</v>
      </c>
      <c r="AD1588">
        <v>-1.1094940481383999</v>
      </c>
      <c r="AE1588">
        <v>-2.73219999999997</v>
      </c>
      <c r="AF1588">
        <v>-2.9703399374191699</v>
      </c>
      <c r="AG1588">
        <v>-1.1094940481383999</v>
      </c>
      <c r="AH1588">
        <v>34.055518673311603</v>
      </c>
      <c r="AI1588">
        <v>91.858925605890505</v>
      </c>
      <c r="AJ1588">
        <v>94.984752672134505</v>
      </c>
      <c r="AK1588">
        <v>34.202810535027098</v>
      </c>
      <c r="AL1588">
        <v>80.241797107032099</v>
      </c>
      <c r="AM1588">
        <v>89.588692666777305</v>
      </c>
      <c r="AN1588">
        <v>0.99999998996599204</v>
      </c>
    </row>
    <row r="1589" spans="1:40" x14ac:dyDescent="0.25">
      <c r="A1589" t="str">
        <f>"20190312164252940"</f>
        <v>20190312164252940</v>
      </c>
      <c r="B1589" t="str">
        <f>"1552380172935536"</f>
        <v>1552380172935536</v>
      </c>
      <c r="C1589" t="s">
        <v>40</v>
      </c>
      <c r="D1589">
        <v>4.7887879999999896</v>
      </c>
      <c r="E1589">
        <v>0.46937180000000001</v>
      </c>
      <c r="F1589" t="s">
        <v>47</v>
      </c>
      <c r="G1589">
        <v>-310.68630000000002</v>
      </c>
      <c r="H1589" s="1">
        <v>2.7142790000000001E-6</v>
      </c>
      <c r="I1589">
        <v>282.4092</v>
      </c>
      <c r="J1589">
        <v>-290.73630000000003</v>
      </c>
      <c r="K1589">
        <v>1.109497</v>
      </c>
      <c r="L1589">
        <v>284.08780000000002</v>
      </c>
      <c r="M1589">
        <v>-0.99992729999999996</v>
      </c>
      <c r="N1589">
        <v>0</v>
      </c>
      <c r="O1589">
        <v>7.0738759999999998E-3</v>
      </c>
      <c r="P1589">
        <v>-0.98689360000000004</v>
      </c>
      <c r="Q1589">
        <v>0.16066759999999999</v>
      </c>
      <c r="R1589">
        <v>1.506792E-2</v>
      </c>
      <c r="S1589">
        <v>-3.070068</v>
      </c>
      <c r="T1589">
        <v>-0.16705919999999999</v>
      </c>
      <c r="U1589">
        <v>-0.25228879999999998</v>
      </c>
      <c r="V1589">
        <v>8.0919819999999993E-3</v>
      </c>
      <c r="W1589">
        <v>0.1702997</v>
      </c>
      <c r="X1589">
        <v>0.98535910000000004</v>
      </c>
      <c r="Y1589">
        <v>-8.880834E-2</v>
      </c>
      <c r="Z1589">
        <v>-2.7944749999999998E-3</v>
      </c>
      <c r="AA1589">
        <v>0.99604479999999995</v>
      </c>
      <c r="AB1589">
        <v>43</v>
      </c>
      <c r="AC1589">
        <v>-19.9499999999999</v>
      </c>
      <c r="AD1589">
        <v>-1.109494285721</v>
      </c>
      <c r="AE1589">
        <v>-1.6786000000000101</v>
      </c>
      <c r="AF1589">
        <v>-1.8141171326610199</v>
      </c>
      <c r="AG1589">
        <v>-1.109494285721</v>
      </c>
      <c r="AH1589">
        <v>19.8765821287781</v>
      </c>
      <c r="AI1589">
        <v>93.181690344605599</v>
      </c>
      <c r="AJ1589">
        <v>95.214884371494193</v>
      </c>
      <c r="AK1589">
        <v>19.990010396773702</v>
      </c>
      <c r="AL1589">
        <v>80.194755419413795</v>
      </c>
      <c r="AM1589">
        <v>89.529485246247404</v>
      </c>
      <c r="AN1589">
        <v>1.0000000119727901</v>
      </c>
    </row>
    <row r="1590" spans="1:40" x14ac:dyDescent="0.25">
      <c r="A1590" t="str">
        <f>"20190312164252963"</f>
        <v>20190312164252963</v>
      </c>
      <c r="B1590" t="str">
        <f>"1552380172956032"</f>
        <v>1552380172956032</v>
      </c>
      <c r="C1590" t="s">
        <v>40</v>
      </c>
      <c r="D1590">
        <v>4.5789730000000004</v>
      </c>
      <c r="E1590">
        <v>0.46942689999999998</v>
      </c>
      <c r="F1590" t="s">
        <v>47</v>
      </c>
      <c r="G1590">
        <v>-313.23250000000002</v>
      </c>
      <c r="H1590" s="1">
        <v>3.850345E-6</v>
      </c>
      <c r="I1590">
        <v>282.33019999999999</v>
      </c>
      <c r="J1590">
        <v>-291.19380000000001</v>
      </c>
      <c r="K1590">
        <v>1.109504</v>
      </c>
      <c r="L1590">
        <v>284.09109999999998</v>
      </c>
      <c r="M1590">
        <v>-0.99992689999999995</v>
      </c>
      <c r="N1590">
        <v>0</v>
      </c>
      <c r="O1590">
        <v>7.0733699999999998E-3</v>
      </c>
      <c r="P1590">
        <v>-0.98672599999999999</v>
      </c>
      <c r="Q1590">
        <v>0.16157869999999999</v>
      </c>
      <c r="R1590">
        <v>1.6252849999999999E-2</v>
      </c>
      <c r="S1590">
        <v>-3.068146</v>
      </c>
      <c r="T1590">
        <v>-0.15131820000000001</v>
      </c>
      <c r="U1590">
        <v>-0.2397156</v>
      </c>
      <c r="V1590">
        <v>9.2786970000000007E-3</v>
      </c>
      <c r="W1590">
        <v>0.17125070000000001</v>
      </c>
      <c r="X1590">
        <v>0.98518380000000005</v>
      </c>
      <c r="Y1590">
        <v>-8.4832290000000005E-2</v>
      </c>
      <c r="Z1590">
        <v>-2.4356299999999998E-3</v>
      </c>
      <c r="AA1590">
        <v>0.99639230000000001</v>
      </c>
      <c r="AB1590">
        <v>43</v>
      </c>
      <c r="AC1590">
        <v>-22.038699999999999</v>
      </c>
      <c r="AD1590">
        <v>-1.1095001496549901</v>
      </c>
      <c r="AE1590">
        <v>-1.7608999999999899</v>
      </c>
      <c r="AF1590">
        <v>-1.91193636168505</v>
      </c>
      <c r="AG1590">
        <v>-1.1095001496549901</v>
      </c>
      <c r="AH1590">
        <v>21.970363078759402</v>
      </c>
      <c r="AI1590">
        <v>92.880106039996704</v>
      </c>
      <c r="AJ1590">
        <v>94.973545518699495</v>
      </c>
      <c r="AK1590">
        <v>22.081289478781201</v>
      </c>
      <c r="AL1590">
        <v>80.139454727527806</v>
      </c>
      <c r="AM1590">
        <v>89.460390579695201</v>
      </c>
      <c r="AN1590">
        <v>1.0000000081254701</v>
      </c>
    </row>
    <row r="1591" spans="1:40" x14ac:dyDescent="0.25">
      <c r="A1591" t="str">
        <f>"20190312164252987"</f>
        <v>20190312164252987</v>
      </c>
      <c r="B1591" t="str">
        <f>"1552380172975552"</f>
        <v>1552380172975552</v>
      </c>
      <c r="C1591" t="s">
        <v>40</v>
      </c>
      <c r="D1591">
        <v>4.684857</v>
      </c>
      <c r="E1591">
        <v>0.46935640000000001</v>
      </c>
      <c r="F1591" t="s">
        <v>47</v>
      </c>
      <c r="G1591">
        <v>-314.33409999999998</v>
      </c>
      <c r="H1591" s="1">
        <v>4.3403599999999997E-6</v>
      </c>
      <c r="I1591">
        <v>282.31290000000001</v>
      </c>
      <c r="J1591">
        <v>-291.65390000000002</v>
      </c>
      <c r="K1591">
        <v>1.1095079999999999</v>
      </c>
      <c r="L1591">
        <v>284.09429999999998</v>
      </c>
      <c r="M1591">
        <v>-0.99992650000000005</v>
      </c>
      <c r="N1591">
        <v>0</v>
      </c>
      <c r="O1591">
        <v>7.0728079999999999E-3</v>
      </c>
      <c r="P1591">
        <v>-0.98650519999999997</v>
      </c>
      <c r="Q1591">
        <v>0.16280129999999901</v>
      </c>
      <c r="R1591">
        <v>1.7422150000000001E-2</v>
      </c>
      <c r="S1591">
        <v>-3.0683289999999999</v>
      </c>
      <c r="T1591">
        <v>-0.14711569999999999</v>
      </c>
      <c r="U1591">
        <v>-0.23577880000000001</v>
      </c>
      <c r="V1591">
        <v>1.045014E-2</v>
      </c>
      <c r="W1591">
        <v>0.1725119</v>
      </c>
      <c r="X1591">
        <v>0.98495200000000005</v>
      </c>
      <c r="Y1591">
        <v>-8.3563799999999994E-2</v>
      </c>
      <c r="Z1591">
        <v>-2.337666E-3</v>
      </c>
      <c r="AA1591">
        <v>0.99649969999999999</v>
      </c>
      <c r="AB1591">
        <v>44</v>
      </c>
      <c r="AC1591">
        <v>-22.6801999999999</v>
      </c>
      <c r="AD1591">
        <v>-1.1095036596400001</v>
      </c>
      <c r="AE1591">
        <v>-1.7813999999999599</v>
      </c>
      <c r="AF1591">
        <v>-1.93716847211668</v>
      </c>
      <c r="AG1591">
        <v>-1.1095036596400001</v>
      </c>
      <c r="AH1591">
        <v>22.6132482269593</v>
      </c>
      <c r="AI1591">
        <v>92.798691973965902</v>
      </c>
      <c r="AJ1591">
        <v>94.896300650602399</v>
      </c>
      <c r="AK1591">
        <v>22.7231735335141</v>
      </c>
      <c r="AL1591">
        <v>80.066101555669604</v>
      </c>
      <c r="AM1591">
        <v>89.392126263790601</v>
      </c>
      <c r="AN1591">
        <v>1.0000000016858099</v>
      </c>
    </row>
    <row r="1592" spans="1:40" x14ac:dyDescent="0.25">
      <c r="A1592" t="str">
        <f>"20190312164253008"</f>
        <v>20190312164253008</v>
      </c>
      <c r="B1592" t="str">
        <f>"1552380173005808"</f>
        <v>1552380173005808</v>
      </c>
      <c r="C1592" t="s">
        <v>40</v>
      </c>
      <c r="D1592">
        <v>4.5550309999999996</v>
      </c>
      <c r="E1592">
        <v>0.46939609999999898</v>
      </c>
      <c r="F1592" t="s">
        <v>47</v>
      </c>
      <c r="G1592">
        <v>-315.36070000000001</v>
      </c>
      <c r="H1592" s="1">
        <v>4.7973139999999998E-6</v>
      </c>
      <c r="I1592">
        <v>282.29320000000001</v>
      </c>
      <c r="J1592">
        <v>-292.06439999999998</v>
      </c>
      <c r="K1592">
        <v>1.1095139999999999</v>
      </c>
      <c r="L1592">
        <v>284.09719999999999</v>
      </c>
      <c r="M1592">
        <v>-0.99992630000000005</v>
      </c>
      <c r="N1592">
        <v>0</v>
      </c>
      <c r="O1592">
        <v>7.0721550000000001E-3</v>
      </c>
      <c r="P1592">
        <v>-0.98633499999999996</v>
      </c>
      <c r="Q1592">
        <v>0.16373550000000001</v>
      </c>
      <c r="R1592">
        <v>1.8279279999999998E-2</v>
      </c>
      <c r="S1592">
        <v>-3.0688780000000002</v>
      </c>
      <c r="T1592">
        <v>-0.1436269</v>
      </c>
      <c r="U1592">
        <v>-0.23315429999999901</v>
      </c>
      <c r="V1592">
        <v>1.130915E-2</v>
      </c>
      <c r="W1592">
        <v>0.17347939999999901</v>
      </c>
      <c r="X1592">
        <v>0.9847726</v>
      </c>
      <c r="Y1592">
        <v>-8.2708019999999993E-2</v>
      </c>
      <c r="Z1592">
        <v>-2.261941E-3</v>
      </c>
      <c r="AA1592">
        <v>0.99657119999999999</v>
      </c>
      <c r="AB1592">
        <v>44</v>
      </c>
      <c r="AC1592">
        <v>-23.296299999999999</v>
      </c>
      <c r="AD1592">
        <v>-1.1095092026859901</v>
      </c>
      <c r="AE1592">
        <v>-1.8039999999999701</v>
      </c>
      <c r="AF1592">
        <v>-1.9642890383735101</v>
      </c>
      <c r="AG1592">
        <v>-1.1095092026859901</v>
      </c>
      <c r="AH1592">
        <v>23.230580248681399</v>
      </c>
      <c r="AI1592">
        <v>92.724701332272701</v>
      </c>
      <c r="AJ1592">
        <v>94.833215156742398</v>
      </c>
      <c r="AK1592">
        <v>23.3398650550414</v>
      </c>
      <c r="AL1592">
        <v>80.009819646256602</v>
      </c>
      <c r="AM1592">
        <v>89.342042942778207</v>
      </c>
      <c r="AN1592">
        <v>1.0000000364044199</v>
      </c>
    </row>
    <row r="1593" spans="1:40" x14ac:dyDescent="0.25">
      <c r="A1593" t="str">
        <f>"20190312164253030"</f>
        <v>20190312164253030</v>
      </c>
      <c r="B1593" t="str">
        <f>"1552380173025328"</f>
        <v>1552380173025328</v>
      </c>
      <c r="C1593" t="s">
        <v>40</v>
      </c>
      <c r="D1593">
        <v>4.939997</v>
      </c>
      <c r="E1593">
        <v>0.46972029999999998</v>
      </c>
      <c r="F1593" t="s">
        <v>47</v>
      </c>
      <c r="G1593">
        <v>-316.22120000000001</v>
      </c>
      <c r="H1593" s="1">
        <v>5.1798690000000004E-6</v>
      </c>
      <c r="I1593">
        <v>282.28230000000002</v>
      </c>
      <c r="J1593">
        <v>-292.4905</v>
      </c>
      <c r="K1593">
        <v>1.109521</v>
      </c>
      <c r="L1593">
        <v>284.10019999999997</v>
      </c>
      <c r="M1593">
        <v>-0.99992570000000003</v>
      </c>
      <c r="N1593">
        <v>0</v>
      </c>
      <c r="O1593">
        <v>7.0717829999999999E-3</v>
      </c>
      <c r="P1593">
        <v>-0.98607999999999996</v>
      </c>
      <c r="Q1593">
        <v>0.16520029999999999</v>
      </c>
      <c r="R1593">
        <v>1.8837139999999999E-2</v>
      </c>
      <c r="S1593">
        <v>-3.0692439999999999</v>
      </c>
      <c r="T1593">
        <v>-0.1409687</v>
      </c>
      <c r="U1593">
        <v>-0.23059080000000001</v>
      </c>
      <c r="V1593">
        <v>1.186914E-2</v>
      </c>
      <c r="W1593">
        <v>0.17498050000000001</v>
      </c>
      <c r="X1593">
        <v>0.98450029999999999</v>
      </c>
      <c r="Y1593">
        <v>-8.1875509999999999E-2</v>
      </c>
      <c r="Z1593">
        <v>-2.2008290000000001E-3</v>
      </c>
      <c r="AA1593">
        <v>0.99664010000000003</v>
      </c>
      <c r="AB1593">
        <v>44</v>
      </c>
      <c r="AC1593">
        <v>-23.730699999999999</v>
      </c>
      <c r="AD1593">
        <v>-1.109515820131</v>
      </c>
      <c r="AE1593">
        <v>-1.8178999999999499</v>
      </c>
      <c r="AF1593">
        <v>-1.9813751972531899</v>
      </c>
      <c r="AG1593">
        <v>-1.109515820131</v>
      </c>
      <c r="AH1593">
        <v>23.665818963444099</v>
      </c>
      <c r="AI1593">
        <v>92.674866557683004</v>
      </c>
      <c r="AJ1593">
        <v>94.785817670371102</v>
      </c>
      <c r="AK1593">
        <v>23.774521240982398</v>
      </c>
      <c r="AL1593">
        <v>79.922476122341806</v>
      </c>
      <c r="AM1593">
        <v>89.309275290778004</v>
      </c>
      <c r="AN1593">
        <v>0.99999994628233801</v>
      </c>
    </row>
    <row r="1594" spans="1:40" x14ac:dyDescent="0.25">
      <c r="A1594" t="str">
        <f>"20190312164253052"</f>
        <v>20190312164253052</v>
      </c>
      <c r="B1594" t="str">
        <f>"1552380173045826"</f>
        <v>1552380173045826</v>
      </c>
      <c r="C1594" t="s">
        <v>40</v>
      </c>
      <c r="D1594">
        <v>4.5452849999999998</v>
      </c>
      <c r="E1594">
        <v>0.50720790000000004</v>
      </c>
      <c r="F1594" t="s">
        <v>47</v>
      </c>
      <c r="G1594">
        <v>-316.94260000000003</v>
      </c>
      <c r="H1594" s="1">
        <v>5.498171E-6</v>
      </c>
      <c r="I1594">
        <v>282.30079999999998</v>
      </c>
      <c r="J1594">
        <v>-292.93470000000002</v>
      </c>
      <c r="K1594">
        <v>1.109531</v>
      </c>
      <c r="L1594">
        <v>284.10340000000002</v>
      </c>
      <c r="M1594">
        <v>-0.99992539999999996</v>
      </c>
      <c r="N1594">
        <v>0</v>
      </c>
      <c r="O1594">
        <v>7.0710269999999997E-3</v>
      </c>
      <c r="P1594">
        <v>-0.9858266</v>
      </c>
      <c r="Q1594">
        <v>0.16663029999999901</v>
      </c>
      <c r="R1594">
        <v>1.9512850000000002E-2</v>
      </c>
      <c r="S1594">
        <v>-3.0700069999999999</v>
      </c>
      <c r="T1594">
        <v>-0.1393017</v>
      </c>
      <c r="U1594">
        <v>-0.2259216</v>
      </c>
      <c r="V1594">
        <v>1.254752E-2</v>
      </c>
      <c r="W1594">
        <v>0.1764512</v>
      </c>
      <c r="X1594">
        <v>0.98422940000000003</v>
      </c>
      <c r="Y1594">
        <v>-8.0352469999999995E-2</v>
      </c>
      <c r="Z1594">
        <v>-2.1398889999999999E-3</v>
      </c>
      <c r="AA1594">
        <v>0.99676419999999999</v>
      </c>
      <c r="AB1594">
        <v>44</v>
      </c>
      <c r="AC1594">
        <v>-24.007899999999999</v>
      </c>
      <c r="AD1594">
        <v>-1.109525501829</v>
      </c>
      <c r="AE1594">
        <v>-1.8026000000000399</v>
      </c>
      <c r="AF1594">
        <v>-1.9681438089512</v>
      </c>
      <c r="AG1594">
        <v>-1.109525501829</v>
      </c>
      <c r="AH1594">
        <v>23.943699943383098</v>
      </c>
      <c r="AI1594">
        <v>92.644222067891903</v>
      </c>
      <c r="AJ1594">
        <v>94.699080952850096</v>
      </c>
      <c r="AK1594">
        <v>24.050060371456201</v>
      </c>
      <c r="AL1594">
        <v>79.836879839654699</v>
      </c>
      <c r="AM1594">
        <v>89.269600160896204</v>
      </c>
      <c r="AN1594">
        <v>0.99999998903197496</v>
      </c>
    </row>
    <row r="1595" spans="1:40" x14ac:dyDescent="0.25">
      <c r="A1595" t="str">
        <f>"20190312164253075"</f>
        <v>20190312164253075</v>
      </c>
      <c r="B1595" t="str">
        <f>"1552380173065344"</f>
        <v>1552380173065344</v>
      </c>
      <c r="C1595" t="s">
        <v>40</v>
      </c>
      <c r="D1595">
        <v>4.6092170000000001</v>
      </c>
      <c r="E1595">
        <v>0.51397470000000001</v>
      </c>
      <c r="F1595" t="s">
        <v>47</v>
      </c>
      <c r="G1595">
        <v>-317.34879999999998</v>
      </c>
      <c r="H1595" s="1">
        <v>5.4678649999999999E-6</v>
      </c>
      <c r="I1595">
        <v>284.70769999999999</v>
      </c>
      <c r="J1595">
        <v>-293.37329999999997</v>
      </c>
      <c r="K1595">
        <v>1.1095410000000001</v>
      </c>
      <c r="L1595">
        <v>284.10649999999998</v>
      </c>
      <c r="M1595">
        <v>-0.99992479999999995</v>
      </c>
      <c r="N1595">
        <v>0</v>
      </c>
      <c r="O1595">
        <v>7.0706249999999997E-3</v>
      </c>
      <c r="P1595">
        <v>-0.98559509999999995</v>
      </c>
      <c r="Q1595">
        <v>0.16786789999999999</v>
      </c>
      <c r="R1595">
        <v>2.0557849999999999E-2</v>
      </c>
      <c r="S1595">
        <v>-3.0651860000000002</v>
      </c>
      <c r="T1595">
        <v>-0.139300799999999</v>
      </c>
      <c r="U1595">
        <v>7.5866699999999995E-2</v>
      </c>
      <c r="V1595">
        <v>1.359468E-2</v>
      </c>
      <c r="W1595">
        <v>0.1777301</v>
      </c>
      <c r="X1595">
        <v>0.98398540000000001</v>
      </c>
      <c r="Y1595">
        <v>1.7663160000000001E-2</v>
      </c>
      <c r="Z1595" s="1">
        <v>7.9967980000000003E-5</v>
      </c>
      <c r="AA1595">
        <v>0.99984399999999996</v>
      </c>
      <c r="AB1595">
        <v>44</v>
      </c>
      <c r="AC1595">
        <v>-23.9755</v>
      </c>
      <c r="AD1595">
        <v>-1.10953553213499</v>
      </c>
      <c r="AE1595">
        <v>0.60120000000000495</v>
      </c>
      <c r="AF1595">
        <v>0.430732793603889</v>
      </c>
      <c r="AG1595">
        <v>-1.10953553213499</v>
      </c>
      <c r="AH1595">
        <v>23.9279387917233</v>
      </c>
      <c r="AI1595">
        <v>92.654466971791194</v>
      </c>
      <c r="AJ1595">
        <v>88.968715768464705</v>
      </c>
      <c r="AK1595">
        <v>23.957521880549599</v>
      </c>
      <c r="AL1595">
        <v>79.762427989537699</v>
      </c>
      <c r="AM1595">
        <v>89.208455497880394</v>
      </c>
      <c r="AN1595">
        <v>1.00000003559173</v>
      </c>
    </row>
    <row r="1596" spans="1:40" x14ac:dyDescent="0.25">
      <c r="A1596" t="str">
        <f>"20190312164253096"</f>
        <v>20190312164253096</v>
      </c>
      <c r="B1596" t="str">
        <f>"1552380173085840"</f>
        <v>1552380173085840</v>
      </c>
      <c r="C1596" t="s">
        <v>40</v>
      </c>
      <c r="D1596">
        <v>4.6264320000000003</v>
      </c>
      <c r="E1596">
        <v>0.51750620000000003</v>
      </c>
      <c r="F1596" t="s">
        <v>47</v>
      </c>
      <c r="G1596">
        <v>-317.17059999999998</v>
      </c>
      <c r="H1596" s="1">
        <v>5.351934E-6</v>
      </c>
      <c r="I1596">
        <v>285.1302</v>
      </c>
      <c r="J1596">
        <v>-293.7876</v>
      </c>
      <c r="K1596">
        <v>1.109548</v>
      </c>
      <c r="L1596">
        <v>284.10939999999999</v>
      </c>
      <c r="M1596">
        <v>-0.99992460000000005</v>
      </c>
      <c r="N1596">
        <v>0</v>
      </c>
      <c r="O1596">
        <v>7.0699339999999999E-3</v>
      </c>
      <c r="P1596">
        <v>-0.98552169999999895</v>
      </c>
      <c r="Q1596">
        <v>0.16822699999999999</v>
      </c>
      <c r="R1596">
        <v>2.1143249999999999E-2</v>
      </c>
      <c r="S1596">
        <v>-3.0654300000000001</v>
      </c>
      <c r="T1596">
        <v>-0.142924</v>
      </c>
      <c r="U1596">
        <v>0.1318665</v>
      </c>
      <c r="V1596">
        <v>1.4181300000000001E-2</v>
      </c>
      <c r="W1596">
        <v>0.17813080000000001</v>
      </c>
      <c r="X1596">
        <v>0.98390460000000002</v>
      </c>
      <c r="Y1596">
        <v>3.588148E-2</v>
      </c>
      <c r="Z1596">
        <v>5.0633440000000002E-4</v>
      </c>
      <c r="AA1596">
        <v>0.99935589999999996</v>
      </c>
      <c r="AB1596">
        <v>44</v>
      </c>
      <c r="AC1596">
        <v>-23.3829999999999</v>
      </c>
      <c r="AD1596">
        <v>-1.109542648066</v>
      </c>
      <c r="AE1596">
        <v>1.0207999999999999</v>
      </c>
      <c r="AF1596">
        <v>0.85353174505819196</v>
      </c>
      <c r="AG1596">
        <v>-1.109542648066</v>
      </c>
      <c r="AH1596">
        <v>23.337187286986101</v>
      </c>
      <c r="AI1596">
        <v>92.7202033669098</v>
      </c>
      <c r="AJ1596">
        <v>87.905404015112595</v>
      </c>
      <c r="AK1596">
        <v>23.379134111330298</v>
      </c>
      <c r="AL1596">
        <v>79.739096672343294</v>
      </c>
      <c r="AM1596">
        <v>89.174236628889901</v>
      </c>
      <c r="AN1596">
        <v>0.99999997653974404</v>
      </c>
    </row>
    <row r="1597" spans="1:40" x14ac:dyDescent="0.25">
      <c r="A1597" t="str">
        <f>"20190312164253119"</f>
        <v>20190312164253119</v>
      </c>
      <c r="B1597" t="str">
        <f>"1552380173116096"</f>
        <v>1552380173116096</v>
      </c>
      <c r="C1597" t="s">
        <v>40</v>
      </c>
      <c r="D1597">
        <v>4.5919699999999999</v>
      </c>
      <c r="E1597">
        <v>0.51879359999999997</v>
      </c>
      <c r="F1597" t="s">
        <v>46</v>
      </c>
      <c r="G1597">
        <v>-321.64479999999998</v>
      </c>
      <c r="H1597" s="1">
        <v>-7.0455919999999895E-7</v>
      </c>
      <c r="I1597">
        <v>285.60149999999999</v>
      </c>
      <c r="J1597">
        <v>-294.23070000000001</v>
      </c>
      <c r="K1597">
        <v>1.109556</v>
      </c>
      <c r="L1597">
        <v>284.11250000000001</v>
      </c>
      <c r="M1597">
        <v>-0.99992400000000004</v>
      </c>
      <c r="N1597">
        <v>0</v>
      </c>
      <c r="O1597">
        <v>7.0693300000000004E-3</v>
      </c>
      <c r="P1597">
        <v>-0.98543800000000004</v>
      </c>
      <c r="Q1597">
        <v>0.16864749999999901</v>
      </c>
      <c r="R1597">
        <v>2.1687040000000001E-2</v>
      </c>
      <c r="S1597">
        <v>-3.061401</v>
      </c>
      <c r="T1597">
        <v>-0.1219351</v>
      </c>
      <c r="U1597">
        <v>0.163970899999999</v>
      </c>
      <c r="V1597">
        <v>1.4726339999999999E-2</v>
      </c>
      <c r="W1597">
        <v>0.17859810000000001</v>
      </c>
      <c r="X1597">
        <v>0.98381189999999996</v>
      </c>
      <c r="Y1597">
        <v>4.6392099999999999E-2</v>
      </c>
      <c r="Z1597">
        <v>6.4161160000000004E-4</v>
      </c>
      <c r="AA1597">
        <v>0.99892309999999995</v>
      </c>
      <c r="AB1597">
        <v>44</v>
      </c>
      <c r="AC1597">
        <v>-27.414099999999902</v>
      </c>
      <c r="AD1597">
        <v>-1.1095567045591901</v>
      </c>
      <c r="AE1597">
        <v>1.4889999999999699</v>
      </c>
      <c r="AF1597">
        <v>1.29304163044155</v>
      </c>
      <c r="AG1597">
        <v>-1.1095567045591901</v>
      </c>
      <c r="AH1597">
        <v>27.379222602282798</v>
      </c>
      <c r="AI1597">
        <v>92.318089413090405</v>
      </c>
      <c r="AJ1597">
        <v>87.296094835123995</v>
      </c>
      <c r="AK1597">
        <v>27.4321873543478</v>
      </c>
      <c r="AL1597">
        <v>79.711886266154096</v>
      </c>
      <c r="AM1597">
        <v>89.142423342747094</v>
      </c>
      <c r="AN1597">
        <v>1.0000000004975</v>
      </c>
    </row>
    <row r="1598" spans="1:40" x14ac:dyDescent="0.25">
      <c r="A1598" t="str">
        <f>"20190312164253141"</f>
        <v>20190312164253141</v>
      </c>
      <c r="B1598" t="str">
        <f>"1552380173135617"</f>
        <v>1552380173135617</v>
      </c>
      <c r="C1598" t="s">
        <v>40</v>
      </c>
      <c r="D1598">
        <v>4.5947259999999996</v>
      </c>
      <c r="E1598">
        <v>0.51998329999999904</v>
      </c>
      <c r="F1598" t="s">
        <v>46</v>
      </c>
      <c r="G1598">
        <v>-322.09469999999999</v>
      </c>
      <c r="H1598" s="1">
        <v>-4.7004300000000002E-7</v>
      </c>
      <c r="I1598">
        <v>285.71300000000002</v>
      </c>
      <c r="J1598">
        <v>-294.66640000000001</v>
      </c>
      <c r="K1598">
        <v>1.109558</v>
      </c>
      <c r="L1598">
        <v>284.1157</v>
      </c>
      <c r="M1598">
        <v>-0.99992360000000002</v>
      </c>
      <c r="N1598">
        <v>0</v>
      </c>
      <c r="O1598">
        <v>7.0685829999999998E-3</v>
      </c>
      <c r="P1598">
        <v>-0.98542320000000005</v>
      </c>
      <c r="Q1598">
        <v>0.16862070000000001</v>
      </c>
      <c r="R1598">
        <v>2.254389E-2</v>
      </c>
      <c r="S1598">
        <v>-3.06134</v>
      </c>
      <c r="T1598">
        <v>-0.12190380000000001</v>
      </c>
      <c r="U1598">
        <v>0.17584229999999901</v>
      </c>
      <c r="V1598">
        <v>1.5583710000000001E-2</v>
      </c>
      <c r="W1598">
        <v>0.1786239</v>
      </c>
      <c r="X1598">
        <v>0.98379399999999995</v>
      </c>
      <c r="Y1598">
        <v>5.0252270000000002E-2</v>
      </c>
      <c r="Z1598">
        <v>7.1818449999999905E-4</v>
      </c>
      <c r="AA1598">
        <v>0.99873630000000002</v>
      </c>
      <c r="AB1598">
        <v>44</v>
      </c>
      <c r="AC1598">
        <v>-27.428299999999901</v>
      </c>
      <c r="AD1598">
        <v>-1.1095584700429999</v>
      </c>
      <c r="AE1598">
        <v>1.59729999999996</v>
      </c>
      <c r="AF1598">
        <v>1.4010858501115999</v>
      </c>
      <c r="AG1598">
        <v>-1.1095584700429999</v>
      </c>
      <c r="AH1598">
        <v>27.394228171654898</v>
      </c>
      <c r="AI1598">
        <v>92.316379821629795</v>
      </c>
      <c r="AJ1598">
        <v>87.072141678415704</v>
      </c>
      <c r="AK1598">
        <v>27.452466167514299</v>
      </c>
      <c r="AL1598">
        <v>79.710383788421595</v>
      </c>
      <c r="AM1598">
        <v>89.092486696226004</v>
      </c>
      <c r="AN1598">
        <v>0.99999999205228696</v>
      </c>
    </row>
    <row r="1599" spans="1:40" x14ac:dyDescent="0.25">
      <c r="A1599" t="str">
        <f>"20190312164253163"</f>
        <v>20190312164253163</v>
      </c>
      <c r="B1599" t="str">
        <f>"1552380173156112"</f>
        <v>1552380173156112</v>
      </c>
      <c r="C1599" t="s">
        <v>40</v>
      </c>
      <c r="D1599">
        <v>4.6197489999999997</v>
      </c>
      <c r="E1599">
        <v>0.51970329999999998</v>
      </c>
      <c r="F1599" t="s">
        <v>46</v>
      </c>
      <c r="G1599">
        <v>-322.53699999999998</v>
      </c>
      <c r="H1599" s="1">
        <v>-2.3953939999999998E-7</v>
      </c>
      <c r="I1599">
        <v>285.82429999999999</v>
      </c>
      <c r="J1599">
        <v>-295.11470000000003</v>
      </c>
      <c r="K1599">
        <v>1.109567</v>
      </c>
      <c r="L1599">
        <v>284.11880000000002</v>
      </c>
      <c r="M1599">
        <v>-0.99992289999999995</v>
      </c>
      <c r="N1599">
        <v>0</v>
      </c>
      <c r="O1599">
        <v>7.0680919999999998E-3</v>
      </c>
      <c r="P1599">
        <v>-0.98544390000000004</v>
      </c>
      <c r="Q1599">
        <v>0.16843129999999901</v>
      </c>
      <c r="R1599">
        <v>2.3050480000000002E-2</v>
      </c>
      <c r="S1599">
        <v>-3.0609130000000002</v>
      </c>
      <c r="T1599">
        <v>-0.1218582</v>
      </c>
      <c r="U1599">
        <v>0.1876526</v>
      </c>
      <c r="V1599">
        <v>1.609089E-2</v>
      </c>
      <c r="W1599">
        <v>0.1784944</v>
      </c>
      <c r="X1599">
        <v>0.98380939999999995</v>
      </c>
      <c r="Y1599">
        <v>5.4097350000000002E-2</v>
      </c>
      <c r="Z1599">
        <v>7.9439119999999896E-4</v>
      </c>
      <c r="AA1599">
        <v>0.99853530000000001</v>
      </c>
      <c r="AB1599">
        <v>44</v>
      </c>
      <c r="AC1599">
        <v>-27.4223</v>
      </c>
      <c r="AD1599">
        <v>-1.1095672395393901</v>
      </c>
      <c r="AE1599">
        <v>1.70549999999997</v>
      </c>
      <c r="AF1599">
        <v>1.50916268365479</v>
      </c>
      <c r="AG1599">
        <v>-1.1095672395393901</v>
      </c>
      <c r="AH1599">
        <v>27.3890019365146</v>
      </c>
      <c r="AI1599">
        <v>92.316354717553196</v>
      </c>
      <c r="AJ1599">
        <v>86.846131825034206</v>
      </c>
      <c r="AK1599">
        <v>27.452980503821401</v>
      </c>
      <c r="AL1599">
        <v>79.717925400305404</v>
      </c>
      <c r="AM1599">
        <v>89.062971049321305</v>
      </c>
      <c r="AN1599">
        <v>1.00000005155035</v>
      </c>
    </row>
    <row r="1600" spans="1:40" x14ac:dyDescent="0.25">
      <c r="A1600" t="str">
        <f>"20190312164253187"</f>
        <v>20190312164253187</v>
      </c>
      <c r="B1600" t="str">
        <f>"1552380173175632"</f>
        <v>1552380173175632</v>
      </c>
      <c r="C1600" t="s">
        <v>40</v>
      </c>
      <c r="D1600">
        <v>4.607748</v>
      </c>
      <c r="E1600">
        <v>0.51950169999999996</v>
      </c>
      <c r="F1600" t="s">
        <v>46</v>
      </c>
      <c r="G1600">
        <v>-321.63459999999998</v>
      </c>
      <c r="H1600" s="1">
        <v>-7.1597829999999996E-7</v>
      </c>
      <c r="I1600">
        <v>285.73860000000002</v>
      </c>
      <c r="J1600">
        <v>-295.56259999999997</v>
      </c>
      <c r="K1600">
        <v>1.1095710000000001</v>
      </c>
      <c r="L1600">
        <v>284.12200000000001</v>
      </c>
      <c r="M1600">
        <v>-0.99992219999999998</v>
      </c>
      <c r="N1600">
        <v>0</v>
      </c>
      <c r="O1600">
        <v>7.0675850000000004E-3</v>
      </c>
      <c r="P1600">
        <v>-0.98543389999999997</v>
      </c>
      <c r="Q1600">
        <v>0.1683984</v>
      </c>
      <c r="R1600">
        <v>2.3715940000000001E-2</v>
      </c>
      <c r="S1600">
        <v>-3.0618289999999999</v>
      </c>
      <c r="T1600">
        <v>-0.128104</v>
      </c>
      <c r="U1600">
        <v>0.1870117</v>
      </c>
      <c r="V1600">
        <v>1.6756839999999999E-2</v>
      </c>
      <c r="W1600">
        <v>0.1785244</v>
      </c>
      <c r="X1600">
        <v>0.98379280000000002</v>
      </c>
      <c r="Y1600">
        <v>5.3867709999999999E-2</v>
      </c>
      <c r="Z1600">
        <v>8.3005209999999999E-4</v>
      </c>
      <c r="AA1600">
        <v>0.99854770000000004</v>
      </c>
      <c r="AB1600">
        <v>44</v>
      </c>
      <c r="AC1600">
        <v>-26.071999999999999</v>
      </c>
      <c r="AD1600">
        <v>-1.1095717159782901</v>
      </c>
      <c r="AE1600">
        <v>1.6166</v>
      </c>
      <c r="AF1600">
        <v>1.42970427287478</v>
      </c>
      <c r="AG1600">
        <v>-1.1095717159782901</v>
      </c>
      <c r="AH1600">
        <v>26.035799860142902</v>
      </c>
      <c r="AI1600">
        <v>92.4366398771961</v>
      </c>
      <c r="AJ1600">
        <v>86.856872756625407</v>
      </c>
      <c r="AK1600">
        <v>26.0986221486536</v>
      </c>
      <c r="AL1600">
        <v>79.716178069541897</v>
      </c>
      <c r="AM1600">
        <v>89.024181333121305</v>
      </c>
      <c r="AN1600">
        <v>1.0000000132069899</v>
      </c>
    </row>
    <row r="1601" spans="1:40" x14ac:dyDescent="0.25">
      <c r="A1601" t="str">
        <f>"20190312164253209"</f>
        <v>20190312164253209</v>
      </c>
      <c r="B1601" t="str">
        <f>"1552380173205888"</f>
        <v>1552380173205888</v>
      </c>
      <c r="C1601" t="s">
        <v>40</v>
      </c>
      <c r="D1601">
        <v>4.7438760000000002</v>
      </c>
      <c r="E1601">
        <v>0.51969409999999905</v>
      </c>
      <c r="F1601" t="s">
        <v>46</v>
      </c>
      <c r="G1601">
        <v>-321.41550000000001</v>
      </c>
      <c r="H1601" s="1">
        <v>-8.3121089999999897E-7</v>
      </c>
      <c r="I1601">
        <v>285.70679999999999</v>
      </c>
      <c r="J1601">
        <v>-295.9889</v>
      </c>
      <c r="K1601">
        <v>1.1095729999999999</v>
      </c>
      <c r="L1601">
        <v>284.125</v>
      </c>
      <c r="M1601">
        <v>-0.99992150000000002</v>
      </c>
      <c r="N1601">
        <v>0</v>
      </c>
      <c r="O1601">
        <v>7.0672360000000002E-3</v>
      </c>
      <c r="P1601">
        <v>-0.98551789999999995</v>
      </c>
      <c r="Q1601">
        <v>0.16783699999999999</v>
      </c>
      <c r="R1601">
        <v>2.4192229999999999E-2</v>
      </c>
      <c r="S1601">
        <v>-3.0622560000000001</v>
      </c>
      <c r="T1601">
        <v>-0.13142799999999999</v>
      </c>
      <c r="U1601">
        <v>0.18771360000000001</v>
      </c>
      <c r="V1601">
        <v>1.7232819999999999E-2</v>
      </c>
      <c r="W1601">
        <v>0.17803079999999999</v>
      </c>
      <c r="X1601">
        <v>0.98387400000000003</v>
      </c>
      <c r="Y1601">
        <v>5.4085269999999998E-2</v>
      </c>
      <c r="Z1601">
        <v>8.5612289999999897E-4</v>
      </c>
      <c r="AA1601">
        <v>0.99853590000000003</v>
      </c>
      <c r="AB1601">
        <v>44</v>
      </c>
      <c r="AC1601">
        <v>-25.426600000000001</v>
      </c>
      <c r="AD1601">
        <v>-1.1095738312109</v>
      </c>
      <c r="AE1601">
        <v>1.5817999999999801</v>
      </c>
      <c r="AF1601">
        <v>1.3994004839615499</v>
      </c>
      <c r="AG1601">
        <v>-1.1095738312109</v>
      </c>
      <c r="AH1601">
        <v>25.388982602394101</v>
      </c>
      <c r="AI1601">
        <v>92.498615382127198</v>
      </c>
      <c r="AJ1601">
        <v>86.845139716394698</v>
      </c>
      <c r="AK1601">
        <v>25.451717297386601</v>
      </c>
      <c r="AL1601">
        <v>79.744919479167905</v>
      </c>
      <c r="AM1601">
        <v>88.996551485355397</v>
      </c>
      <c r="AN1601">
        <v>0.99999999185489596</v>
      </c>
    </row>
    <row r="1602" spans="1:40" x14ac:dyDescent="0.25">
      <c r="A1602" t="str">
        <f>"20190312164253233"</f>
        <v>20190312164253233</v>
      </c>
      <c r="B1602" t="str">
        <f>"1552380173225408"</f>
        <v>1552380173225408</v>
      </c>
      <c r="C1602" t="s">
        <v>40</v>
      </c>
      <c r="D1602">
        <v>4.6120769999999904</v>
      </c>
      <c r="E1602">
        <v>0.5200494</v>
      </c>
      <c r="F1602" t="s">
        <v>46</v>
      </c>
      <c r="G1602">
        <v>-321.09640000000002</v>
      </c>
      <c r="H1602" s="1">
        <v>-1.000154E-6</v>
      </c>
      <c r="I1602">
        <v>285.6875</v>
      </c>
      <c r="J1602">
        <v>-296.45909999999998</v>
      </c>
      <c r="K1602">
        <v>1.109591</v>
      </c>
      <c r="L1602">
        <v>284.1284</v>
      </c>
      <c r="M1602">
        <v>-0.99992060000000005</v>
      </c>
      <c r="N1602">
        <v>0</v>
      </c>
      <c r="O1602">
        <v>7.0666119999999999E-3</v>
      </c>
      <c r="P1602">
        <v>-0.98552810000000002</v>
      </c>
      <c r="Q1602">
        <v>0.16765350000000001</v>
      </c>
      <c r="R1602">
        <v>2.5039100000000002E-2</v>
      </c>
      <c r="S1602">
        <v>-3.0625</v>
      </c>
      <c r="T1602">
        <v>-0.13534089999999999</v>
      </c>
      <c r="U1602">
        <v>0.19058230000000001</v>
      </c>
      <c r="V1602">
        <v>1.8080220000000001E-2</v>
      </c>
      <c r="W1602">
        <v>0.1779309</v>
      </c>
      <c r="X1602">
        <v>0.98387690000000005</v>
      </c>
      <c r="Y1602">
        <v>5.5009290000000002E-2</v>
      </c>
      <c r="Z1602">
        <v>9.0190759999999996E-4</v>
      </c>
      <c r="AA1602">
        <v>0.99848539999999997</v>
      </c>
      <c r="AB1602">
        <v>44</v>
      </c>
      <c r="AC1602">
        <v>-24.6373</v>
      </c>
      <c r="AD1602">
        <v>-1.1095920001540001</v>
      </c>
      <c r="AE1602">
        <v>1.5590999999999999</v>
      </c>
      <c r="AF1602">
        <v>1.3821570500926399</v>
      </c>
      <c r="AG1602">
        <v>-1.1095920001540001</v>
      </c>
      <c r="AH1602">
        <v>24.5980088438114</v>
      </c>
      <c r="AI1602">
        <v>92.578743181536396</v>
      </c>
      <c r="AJ1602">
        <v>86.783943783478094</v>
      </c>
      <c r="AK1602">
        <v>24.661784031130999</v>
      </c>
      <c r="AL1602">
        <v>79.750736561103594</v>
      </c>
      <c r="AM1602">
        <v>88.947222245402997</v>
      </c>
      <c r="AN1602">
        <v>1.0000000269418301</v>
      </c>
    </row>
    <row r="1603" spans="1:40" x14ac:dyDescent="0.25">
      <c r="A1603" t="str">
        <f>"20190312164253253"</f>
        <v>20190312164253253</v>
      </c>
      <c r="B1603" t="str">
        <f>"1552380173245905"</f>
        <v>1552380173245905</v>
      </c>
      <c r="C1603" t="s">
        <v>40</v>
      </c>
      <c r="D1603">
        <v>4.640282</v>
      </c>
      <c r="E1603">
        <v>0.52028759999999996</v>
      </c>
      <c r="F1603" t="s">
        <v>46</v>
      </c>
      <c r="G1603">
        <v>-322.17739999999998</v>
      </c>
      <c r="H1603" s="1">
        <v>-4.2873369999999998E-7</v>
      </c>
      <c r="I1603">
        <v>285.77550000000002</v>
      </c>
      <c r="J1603">
        <v>-296.8698</v>
      </c>
      <c r="K1603">
        <v>1.109602</v>
      </c>
      <c r="L1603">
        <v>284.13130000000001</v>
      </c>
      <c r="M1603">
        <v>-0.99991969999999997</v>
      </c>
      <c r="N1603">
        <v>0</v>
      </c>
      <c r="O1603">
        <v>7.0661719999999999E-3</v>
      </c>
      <c r="P1603">
        <v>-0.98548959999999997</v>
      </c>
      <c r="Q1603">
        <v>0.1677835</v>
      </c>
      <c r="R1603">
        <v>2.566889E-2</v>
      </c>
      <c r="S1603">
        <v>-3.0615540000000001</v>
      </c>
      <c r="T1603">
        <v>-0.1320877</v>
      </c>
      <c r="U1603">
        <v>0.19607540000000001</v>
      </c>
      <c r="V1603">
        <v>1.87107E-2</v>
      </c>
      <c r="W1603">
        <v>0.17814349999999901</v>
      </c>
      <c r="X1603">
        <v>0.9838266</v>
      </c>
      <c r="Y1603">
        <v>5.6813679999999998E-2</v>
      </c>
      <c r="Z1603">
        <v>9.1935580000000001E-4</v>
      </c>
      <c r="AA1603">
        <v>0.99838439999999995</v>
      </c>
      <c r="AB1603">
        <v>44</v>
      </c>
      <c r="AC1603">
        <v>-25.307599999999901</v>
      </c>
      <c r="AD1603">
        <v>-1.1096024287336901</v>
      </c>
      <c r="AE1603">
        <v>1.6442000000000101</v>
      </c>
      <c r="AF1603">
        <v>1.4625215329503001</v>
      </c>
      <c r="AG1603">
        <v>-1.1096024287336901</v>
      </c>
      <c r="AH1603">
        <v>25.270212894183999</v>
      </c>
      <c r="AI1603">
        <v>92.510019236775307</v>
      </c>
      <c r="AJ1603">
        <v>86.687683670068495</v>
      </c>
      <c r="AK1603">
        <v>25.336808135626999</v>
      </c>
      <c r="AL1603">
        <v>79.738357305974702</v>
      </c>
      <c r="AM1603">
        <v>88.910463572906394</v>
      </c>
      <c r="AN1603">
        <v>0.99999998787714905</v>
      </c>
    </row>
    <row r="1604" spans="1:40" x14ac:dyDescent="0.25">
      <c r="A1604" t="str">
        <f>"20190312164253277"</f>
        <v>20190312164253277</v>
      </c>
      <c r="B1604" t="str">
        <f>"1552380173265427"</f>
        <v>1552380173265427</v>
      </c>
      <c r="C1604" t="s">
        <v>40</v>
      </c>
      <c r="D1604">
        <v>4.6101260000000002</v>
      </c>
      <c r="E1604">
        <v>0.52031309999999997</v>
      </c>
      <c r="F1604" t="s">
        <v>46</v>
      </c>
      <c r="G1604">
        <v>-323.40820000000002</v>
      </c>
      <c r="H1604" s="1">
        <v>2.2222429999999999E-7</v>
      </c>
      <c r="I1604">
        <v>285.86709999999999</v>
      </c>
      <c r="J1604">
        <v>-297.32769999999999</v>
      </c>
      <c r="K1604">
        <v>1.109621</v>
      </c>
      <c r="L1604">
        <v>284.1345</v>
      </c>
      <c r="M1604">
        <v>-0.99991870000000005</v>
      </c>
      <c r="N1604">
        <v>0</v>
      </c>
      <c r="O1604">
        <v>7.0656169999999997E-3</v>
      </c>
      <c r="P1604">
        <v>-0.98544949999999998</v>
      </c>
      <c r="Q1604">
        <v>0.1679418</v>
      </c>
      <c r="R1604">
        <v>2.61715E-2</v>
      </c>
      <c r="S1604">
        <v>-3.0606990000000001</v>
      </c>
      <c r="T1604">
        <v>-0.12797130000000001</v>
      </c>
      <c r="U1604">
        <v>0.20019529999999999</v>
      </c>
      <c r="V1604">
        <v>1.9214060000000002E-2</v>
      </c>
      <c r="W1604">
        <v>0.178403799999999</v>
      </c>
      <c r="X1604">
        <v>0.98376969999999997</v>
      </c>
      <c r="Y1604">
        <v>5.8171840000000002E-2</v>
      </c>
      <c r="Z1604">
        <v>9.1931290000000002E-4</v>
      </c>
      <c r="AA1604">
        <v>0.99830620000000003</v>
      </c>
      <c r="AB1604">
        <v>44</v>
      </c>
      <c r="AC1604">
        <v>-26.080500000000001</v>
      </c>
      <c r="AD1604">
        <v>-1.1096207777756999</v>
      </c>
      <c r="AE1604">
        <v>1.7325999999999899</v>
      </c>
      <c r="AF1604">
        <v>1.5454862526966899</v>
      </c>
      <c r="AG1604">
        <v>-1.1096207777756999</v>
      </c>
      <c r="AH1604">
        <v>26.045152710271701</v>
      </c>
      <c r="AI1604">
        <v>92.435260481047294</v>
      </c>
      <c r="AJ1604">
        <v>86.604123266968799</v>
      </c>
      <c r="AK1604">
        <v>26.1145508429519</v>
      </c>
      <c r="AL1604">
        <v>79.723200118408698</v>
      </c>
      <c r="AM1604">
        <v>88.881095244721195</v>
      </c>
      <c r="AN1604">
        <v>0.99999995929710594</v>
      </c>
    </row>
    <row r="1605" spans="1:40" x14ac:dyDescent="0.25">
      <c r="A1605" t="str">
        <f>"20190312164253298"</f>
        <v>20190312164253298</v>
      </c>
      <c r="B1605" t="str">
        <f>"1552380173285921"</f>
        <v>1552380173285921</v>
      </c>
      <c r="C1605" t="s">
        <v>40</v>
      </c>
      <c r="D1605">
        <v>4.7607569999999999</v>
      </c>
      <c r="E1605">
        <v>0.52028569999999996</v>
      </c>
      <c r="F1605" t="s">
        <v>46</v>
      </c>
      <c r="G1605">
        <v>-323.98649999999998</v>
      </c>
      <c r="H1605" s="1">
        <v>5.2876109999999899E-7</v>
      </c>
      <c r="I1605">
        <v>285.89420000000001</v>
      </c>
      <c r="J1605">
        <v>-297.75450000000001</v>
      </c>
      <c r="K1605">
        <v>1.109637</v>
      </c>
      <c r="L1605">
        <v>284.13749999999999</v>
      </c>
      <c r="M1605">
        <v>-0.99991750000000001</v>
      </c>
      <c r="N1605">
        <v>0</v>
      </c>
      <c r="O1605">
        <v>7.0650469999999996E-3</v>
      </c>
      <c r="P1605">
        <v>-0.98539940000000004</v>
      </c>
      <c r="Q1605">
        <v>0.168207</v>
      </c>
      <c r="R1605">
        <v>2.6353890000000001E-2</v>
      </c>
      <c r="S1605">
        <v>-3.0606689999999999</v>
      </c>
      <c r="T1605">
        <v>-0.12739429999999999</v>
      </c>
      <c r="U1605">
        <v>0.20202639999999999</v>
      </c>
      <c r="V1605">
        <v>1.939747E-2</v>
      </c>
      <c r="W1605">
        <v>0.17877309999999999</v>
      </c>
      <c r="X1605">
        <v>0.98369910000000005</v>
      </c>
      <c r="Y1605">
        <v>5.876762E-2</v>
      </c>
      <c r="Z1605">
        <v>9.2756659999999999E-4</v>
      </c>
      <c r="AA1605">
        <v>0.99827129999999997</v>
      </c>
      <c r="AB1605">
        <v>44</v>
      </c>
      <c r="AC1605">
        <v>-26.2319999999999</v>
      </c>
      <c r="AD1605">
        <v>-1.1096364712389</v>
      </c>
      <c r="AE1605">
        <v>1.7567000000000199</v>
      </c>
      <c r="AF1605">
        <v>1.5685210501420299</v>
      </c>
      <c r="AG1605">
        <v>-1.1096364712389</v>
      </c>
      <c r="AH1605">
        <v>26.197090277319301</v>
      </c>
      <c r="AI1605">
        <v>92.421110681742505</v>
      </c>
      <c r="AJ1605">
        <v>86.573570763483602</v>
      </c>
      <c r="AK1605">
        <v>26.2674530623176</v>
      </c>
      <c r="AL1605">
        <v>79.701695504424706</v>
      </c>
      <c r="AM1605">
        <v>88.870336317054495</v>
      </c>
      <c r="AN1605">
        <v>1.00000000123341</v>
      </c>
    </row>
    <row r="1606" spans="1:40" x14ac:dyDescent="0.25">
      <c r="A1606" t="str">
        <f>"20190312164253321"</f>
        <v>20190312164253321</v>
      </c>
      <c r="B1606" t="str">
        <f>"1552380173316177"</f>
        <v>1552380173316177</v>
      </c>
      <c r="C1606" t="s">
        <v>40</v>
      </c>
      <c r="D1606">
        <v>4.5630350000000002</v>
      </c>
      <c r="E1606">
        <v>0.52047659999999996</v>
      </c>
      <c r="F1606" t="s">
        <v>46</v>
      </c>
      <c r="G1606">
        <v>-324.25420000000003</v>
      </c>
      <c r="H1606" s="1">
        <v>6.7133449999999898E-7</v>
      </c>
      <c r="I1606">
        <v>285.89100000000002</v>
      </c>
      <c r="J1606">
        <v>-298.1841</v>
      </c>
      <c r="K1606">
        <v>1.109656</v>
      </c>
      <c r="L1606">
        <v>284.14049999999997</v>
      </c>
      <c r="M1606">
        <v>-0.99991629999999998</v>
      </c>
      <c r="N1606">
        <v>0</v>
      </c>
      <c r="O1606">
        <v>7.0644260000000004E-3</v>
      </c>
      <c r="P1606">
        <v>-0.9853075</v>
      </c>
      <c r="Q1606">
        <v>0.16864129999999899</v>
      </c>
      <c r="R1606">
        <v>2.7013760000000001E-2</v>
      </c>
      <c r="S1606">
        <v>-3.0609130000000002</v>
      </c>
      <c r="T1606">
        <v>-0.12817129999999999</v>
      </c>
      <c r="U1606">
        <v>0.20254520000000001</v>
      </c>
      <c r="V1606">
        <v>2.005871E-2</v>
      </c>
      <c r="W1606">
        <v>0.17931910000000001</v>
      </c>
      <c r="X1606">
        <v>0.98358639999999997</v>
      </c>
      <c r="Y1606">
        <v>5.893077E-2</v>
      </c>
      <c r="Z1606">
        <v>9.3657600000000005E-4</v>
      </c>
      <c r="AA1606">
        <v>0.99826159999999997</v>
      </c>
      <c r="AB1606">
        <v>44</v>
      </c>
      <c r="AC1606">
        <v>-26.0701</v>
      </c>
      <c r="AD1606">
        <v>-1.1096553286655</v>
      </c>
      <c r="AE1606">
        <v>1.75049999999998</v>
      </c>
      <c r="AF1606">
        <v>1.56345537374622</v>
      </c>
      <c r="AG1606">
        <v>-1.1096553286655</v>
      </c>
      <c r="AH1606">
        <v>26.0348602479806</v>
      </c>
      <c r="AI1606">
        <v>92.436194533276804</v>
      </c>
      <c r="AJ1606">
        <v>86.563379143407602</v>
      </c>
      <c r="AK1606">
        <v>26.1053572238729</v>
      </c>
      <c r="AL1606">
        <v>79.669897638651506</v>
      </c>
      <c r="AM1606">
        <v>88.831703915688706</v>
      </c>
      <c r="AN1606">
        <v>0.999999948868315</v>
      </c>
    </row>
    <row r="1607" spans="1:40" x14ac:dyDescent="0.25">
      <c r="A1607" t="str">
        <f>"20190312164253344"</f>
        <v>20190312164253344</v>
      </c>
      <c r="B1607" t="str">
        <f>"1552380173335697"</f>
        <v>1552380173335697</v>
      </c>
      <c r="C1607" t="s">
        <v>40</v>
      </c>
      <c r="D1607">
        <v>4.8320259999999999</v>
      </c>
      <c r="E1607">
        <v>0.52061780000000002</v>
      </c>
      <c r="F1607" t="s">
        <v>46</v>
      </c>
      <c r="G1607">
        <v>-325.98259999999999</v>
      </c>
      <c r="H1607" s="1">
        <v>1.5856300000000001E-6</v>
      </c>
      <c r="I1607">
        <v>286.01690000000002</v>
      </c>
      <c r="J1607">
        <v>-298.64359999999999</v>
      </c>
      <c r="K1607">
        <v>1.1096790000000001</v>
      </c>
      <c r="L1607">
        <v>284.1438</v>
      </c>
      <c r="M1607">
        <v>-0.99991479999999999</v>
      </c>
      <c r="N1607">
        <v>0</v>
      </c>
      <c r="O1607">
        <v>7.063901E-3</v>
      </c>
      <c r="P1607">
        <v>-0.98527039999999999</v>
      </c>
      <c r="Q1607">
        <v>0.16881499999999999</v>
      </c>
      <c r="R1607">
        <v>2.7267059999999999E-2</v>
      </c>
      <c r="S1607">
        <v>-3.0599980000000002</v>
      </c>
      <c r="T1607">
        <v>-0.12214849999999999</v>
      </c>
      <c r="U1607">
        <v>0.206543</v>
      </c>
      <c r="V1607">
        <v>2.0312549999999999E-2</v>
      </c>
      <c r="W1607">
        <v>0.1796189</v>
      </c>
      <c r="X1607">
        <v>0.98352649999999997</v>
      </c>
      <c r="Y1607">
        <v>6.0252390000000003E-2</v>
      </c>
      <c r="Z1607">
        <v>9.1918779999999997E-4</v>
      </c>
      <c r="AA1607">
        <v>0.99818280000000004</v>
      </c>
      <c r="AB1607">
        <v>44</v>
      </c>
      <c r="AC1607">
        <v>-27.338999999999999</v>
      </c>
      <c r="AD1607">
        <v>-1.1096774143699999</v>
      </c>
      <c r="AE1607">
        <v>1.87310000000002</v>
      </c>
      <c r="AF1607">
        <v>1.6771713880266399</v>
      </c>
      <c r="AG1607">
        <v>-1.1096774143699999</v>
      </c>
      <c r="AH1607">
        <v>27.306772004735201</v>
      </c>
      <c r="AI1607">
        <v>92.322701496930307</v>
      </c>
      <c r="AJ1607">
        <v>86.485330461718902</v>
      </c>
      <c r="AK1607">
        <v>27.3807247009163</v>
      </c>
      <c r="AL1607">
        <v>79.652437006622407</v>
      </c>
      <c r="AM1607">
        <v>88.816851445062099</v>
      </c>
      <c r="AN1607">
        <v>0.99999996256348</v>
      </c>
    </row>
    <row r="1608" spans="1:40" x14ac:dyDescent="0.25">
      <c r="A1608" t="str">
        <f>"20190312164253364"</f>
        <v>20190312164253364</v>
      </c>
      <c r="B1608" t="str">
        <f>"1552380173356195"</f>
        <v>1552380173356195</v>
      </c>
      <c r="C1608" t="s">
        <v>40</v>
      </c>
      <c r="D1608">
        <v>4.5104819999999997</v>
      </c>
      <c r="E1608">
        <v>0.52033750000000001</v>
      </c>
      <c r="F1608" t="s">
        <v>46</v>
      </c>
      <c r="G1608">
        <v>-327.041</v>
      </c>
      <c r="H1608" s="1">
        <v>2.146296E-6</v>
      </c>
      <c r="I1608">
        <v>286.07560000000001</v>
      </c>
      <c r="J1608">
        <v>-299.0668</v>
      </c>
      <c r="K1608">
        <v>1.109693</v>
      </c>
      <c r="L1608">
        <v>284.14679999999998</v>
      </c>
      <c r="M1608">
        <v>-0.99991359999999996</v>
      </c>
      <c r="N1608">
        <v>0</v>
      </c>
      <c r="O1608">
        <v>7.063415E-3</v>
      </c>
      <c r="P1608">
        <v>-0.98521210000000004</v>
      </c>
      <c r="Q1608">
        <v>0.1690942</v>
      </c>
      <c r="R1608">
        <v>2.7645779999999998E-2</v>
      </c>
      <c r="S1608">
        <v>-3.0595699999999999</v>
      </c>
      <c r="T1608">
        <v>-0.1195581</v>
      </c>
      <c r="U1608">
        <v>0.20812990000000001</v>
      </c>
      <c r="V1608">
        <v>2.0692240000000001E-2</v>
      </c>
      <c r="W1608">
        <v>0.1800158</v>
      </c>
      <c r="X1608">
        <v>0.98344609999999999</v>
      </c>
      <c r="Y1608">
        <v>6.0778949999999998E-2</v>
      </c>
      <c r="Z1608">
        <v>9.1011010000000003E-4</v>
      </c>
      <c r="AA1608">
        <v>0.9981508</v>
      </c>
      <c r="AB1608">
        <v>44</v>
      </c>
      <c r="AC1608">
        <v>-27.9742</v>
      </c>
      <c r="AD1608">
        <v>-1.109690853704</v>
      </c>
      <c r="AE1608">
        <v>1.9288000000000201</v>
      </c>
      <c r="AF1608">
        <v>1.7284393829185001</v>
      </c>
      <c r="AG1608">
        <v>-1.109690853704</v>
      </c>
      <c r="AH1608">
        <v>27.943363763460798</v>
      </c>
      <c r="AI1608">
        <v>92.269809691231998</v>
      </c>
      <c r="AJ1608">
        <v>86.460473733005898</v>
      </c>
      <c r="AK1608">
        <v>28.018752558033601</v>
      </c>
      <c r="AL1608">
        <v>79.629320352925703</v>
      </c>
      <c r="AM1608">
        <v>88.794643536058601</v>
      </c>
      <c r="AN1608">
        <v>1.0000000443255299</v>
      </c>
    </row>
    <row r="1609" spans="1:40" x14ac:dyDescent="0.25">
      <c r="A1609" t="str">
        <f>"20190312164253387"</f>
        <v>20190312164253387</v>
      </c>
      <c r="B1609" t="str">
        <f>"1552380173375712"</f>
        <v>1552380173375712</v>
      </c>
      <c r="C1609" t="s">
        <v>40</v>
      </c>
      <c r="D1609">
        <v>4.6509099999999997</v>
      </c>
      <c r="E1609">
        <v>0.52006319999999995</v>
      </c>
      <c r="F1609" t="s">
        <v>46</v>
      </c>
      <c r="G1609">
        <v>-327.3836</v>
      </c>
      <c r="H1609" s="1">
        <v>2.329136E-6</v>
      </c>
      <c r="I1609">
        <v>286.06330000000003</v>
      </c>
      <c r="J1609">
        <v>-299.49020000000002</v>
      </c>
      <c r="K1609">
        <v>1.1097079999999999</v>
      </c>
      <c r="L1609">
        <v>284.1497</v>
      </c>
      <c r="M1609">
        <v>-0.99991229999999998</v>
      </c>
      <c r="N1609">
        <v>0</v>
      </c>
      <c r="O1609">
        <v>7.0627669999999898E-3</v>
      </c>
      <c r="P1609">
        <v>-0.98522719999999997</v>
      </c>
      <c r="Q1609">
        <v>0.1689621</v>
      </c>
      <c r="R1609">
        <v>2.7917850000000001E-2</v>
      </c>
      <c r="S1609">
        <v>-3.0597840000000001</v>
      </c>
      <c r="T1609">
        <v>-0.1199083</v>
      </c>
      <c r="U1609">
        <v>0.20709230000000001</v>
      </c>
      <c r="V1609">
        <v>2.0964900000000002E-2</v>
      </c>
      <c r="W1609">
        <v>0.17999789999999999</v>
      </c>
      <c r="X1609">
        <v>0.98344359999999997</v>
      </c>
      <c r="Y1609">
        <v>6.0437959999999999E-2</v>
      </c>
      <c r="Z1609">
        <v>9.0607480000000004E-4</v>
      </c>
      <c r="AA1609">
        <v>0.99817160000000005</v>
      </c>
      <c r="AB1609">
        <v>44</v>
      </c>
      <c r="AC1609">
        <v>-27.8933999999999</v>
      </c>
      <c r="AD1609">
        <v>-1.1097056708639901</v>
      </c>
      <c r="AE1609">
        <v>1.9136000000000299</v>
      </c>
      <c r="AF1609">
        <v>1.7138354480273601</v>
      </c>
      <c r="AG1609">
        <v>-1.1097056708639901</v>
      </c>
      <c r="AH1609">
        <v>27.862327807554301</v>
      </c>
      <c r="AI1609">
        <v>92.276482833595594</v>
      </c>
      <c r="AJ1609">
        <v>86.480122719550906</v>
      </c>
      <c r="AK1609">
        <v>27.937036161240801</v>
      </c>
      <c r="AL1609">
        <v>79.630362961293201</v>
      </c>
      <c r="AM1609">
        <v>88.778762325106698</v>
      </c>
      <c r="AN1609">
        <v>1.0000000427086799</v>
      </c>
    </row>
    <row r="1610" spans="1:40" x14ac:dyDescent="0.25">
      <c r="A1610" t="str">
        <f>"20190312164253410"</f>
        <v>20190312164253410</v>
      </c>
      <c r="B1610" t="str">
        <f>"1552380173405968"</f>
        <v>1552380173405968</v>
      </c>
      <c r="C1610" t="s">
        <v>40</v>
      </c>
      <c r="D1610">
        <v>4.592835</v>
      </c>
      <c r="E1610">
        <v>0.519771599999999</v>
      </c>
      <c r="F1610" t="s">
        <v>46</v>
      </c>
      <c r="G1610">
        <v>-327.01569999999998</v>
      </c>
      <c r="H1610" s="1">
        <v>2.136133E-6</v>
      </c>
      <c r="I1610">
        <v>285.99979999999999</v>
      </c>
      <c r="J1610">
        <v>-299.95119999999997</v>
      </c>
      <c r="K1610">
        <v>1.10972</v>
      </c>
      <c r="L1610">
        <v>284.15300000000002</v>
      </c>
      <c r="M1610">
        <v>-0.99991099999999999</v>
      </c>
      <c r="N1610">
        <v>0</v>
      </c>
      <c r="O1610">
        <v>7.0622840000000003E-3</v>
      </c>
      <c r="P1610">
        <v>-0.98519970000000001</v>
      </c>
      <c r="Q1610">
        <v>0.16903309999999999</v>
      </c>
      <c r="R1610">
        <v>2.8452789999999999E-2</v>
      </c>
      <c r="S1610">
        <v>-3.0603030000000002</v>
      </c>
      <c r="T1610">
        <v>-0.1233778</v>
      </c>
      <c r="U1610">
        <v>0.2056885</v>
      </c>
      <c r="V1610">
        <v>2.150051E-2</v>
      </c>
      <c r="W1610">
        <v>0.1801836</v>
      </c>
      <c r="X1610">
        <v>0.98339799999999999</v>
      </c>
      <c r="Y1610">
        <v>5.9969219999999997E-2</v>
      </c>
      <c r="Z1610">
        <v>9.2271200000000001E-4</v>
      </c>
      <c r="AA1610">
        <v>0.99819979999999997</v>
      </c>
      <c r="AB1610">
        <v>44</v>
      </c>
      <c r="AC1610">
        <v>-27.064499999999999</v>
      </c>
      <c r="AD1610">
        <v>-1.109717863867</v>
      </c>
      <c r="AE1610">
        <v>1.84679999999997</v>
      </c>
      <c r="AF1610">
        <v>1.6528385975648201</v>
      </c>
      <c r="AG1610">
        <v>-1.109717863867</v>
      </c>
      <c r="AH1610">
        <v>27.0316328803228</v>
      </c>
      <c r="AI1610">
        <v>92.346441406513804</v>
      </c>
      <c r="AJ1610">
        <v>86.501028171907606</v>
      </c>
      <c r="AK1610">
        <v>27.104843208244802</v>
      </c>
      <c r="AL1610">
        <v>79.619545981705997</v>
      </c>
      <c r="AM1610">
        <v>88.747513976240498</v>
      </c>
      <c r="AN1610">
        <v>1.0000000140216101</v>
      </c>
    </row>
    <row r="1611" spans="1:40" x14ac:dyDescent="0.25">
      <c r="A1611" t="str">
        <f>"20190312164253434"</f>
        <v>20190312164253434</v>
      </c>
      <c r="B1611" t="str">
        <f>"1552380173425489"</f>
        <v>1552380173425489</v>
      </c>
      <c r="C1611" t="s">
        <v>40</v>
      </c>
      <c r="D1611">
        <v>4.4582110000000004</v>
      </c>
      <c r="E1611">
        <v>0.51964350000000004</v>
      </c>
      <c r="F1611" t="s">
        <v>46</v>
      </c>
      <c r="G1611">
        <v>-327.6628</v>
      </c>
      <c r="H1611" s="1">
        <v>2.4799569999999998E-6</v>
      </c>
      <c r="I1611">
        <v>286.01150000000001</v>
      </c>
      <c r="J1611">
        <v>-300.42469999999997</v>
      </c>
      <c r="K1611">
        <v>1.1097250000000001</v>
      </c>
      <c r="L1611">
        <v>284.15640000000002</v>
      </c>
      <c r="M1611">
        <v>-0.99990979999999996</v>
      </c>
      <c r="N1611">
        <v>0</v>
      </c>
      <c r="O1611">
        <v>7.0618419999999996E-3</v>
      </c>
      <c r="P1611">
        <v>-0.98520339999999995</v>
      </c>
      <c r="Q1611">
        <v>0.16901040000000001</v>
      </c>
      <c r="R1611">
        <v>2.845837E-2</v>
      </c>
      <c r="S1611">
        <v>-3.0601500000000001</v>
      </c>
      <c r="T1611">
        <v>-0.1225448</v>
      </c>
      <c r="U1611">
        <v>0.20523069999999999</v>
      </c>
      <c r="V1611">
        <v>2.1506399999999998E-2</v>
      </c>
      <c r="W1611">
        <v>0.1802676</v>
      </c>
      <c r="X1611">
        <v>0.98338250000000005</v>
      </c>
      <c r="Y1611">
        <v>5.982502E-2</v>
      </c>
      <c r="Z1611">
        <v>9.1367149999999997E-4</v>
      </c>
      <c r="AA1611">
        <v>0.99820850000000005</v>
      </c>
      <c r="AB1611">
        <v>44</v>
      </c>
      <c r="AC1611">
        <v>-27.238099999999999</v>
      </c>
      <c r="AD1611">
        <v>-1.1097225200430001</v>
      </c>
      <c r="AE1611">
        <v>1.85509999999999</v>
      </c>
      <c r="AF1611">
        <v>1.6599474415746001</v>
      </c>
      <c r="AG1611">
        <v>-1.1097225200430001</v>
      </c>
      <c r="AH1611">
        <v>27.2055726747557</v>
      </c>
      <c r="AI1611">
        <v>92.331484100750103</v>
      </c>
      <c r="AJ1611">
        <v>86.5084277718084</v>
      </c>
      <c r="AK1611">
        <v>27.278748031053301</v>
      </c>
      <c r="AL1611">
        <v>79.614653257556995</v>
      </c>
      <c r="AM1611">
        <v>88.747151230103995</v>
      </c>
      <c r="AN1611">
        <v>1.0000000370784801</v>
      </c>
    </row>
    <row r="1612" spans="1:40" x14ac:dyDescent="0.25">
      <c r="A1612" t="str">
        <f>"20190312164253454"</f>
        <v>20190312164253454</v>
      </c>
      <c r="B1612" t="str">
        <f>"1552380173445984"</f>
        <v>1552380173445984</v>
      </c>
      <c r="C1612" t="s">
        <v>40</v>
      </c>
      <c r="D1612">
        <v>4.6358169999999896</v>
      </c>
      <c r="E1612">
        <v>0.51949799999999902</v>
      </c>
      <c r="F1612" t="s">
        <v>46</v>
      </c>
      <c r="G1612">
        <v>-328.23270000000002</v>
      </c>
      <c r="H1612" s="1">
        <v>2.783411E-6</v>
      </c>
      <c r="I1612">
        <v>286.00779999999997</v>
      </c>
      <c r="J1612">
        <v>-300.82429999999999</v>
      </c>
      <c r="K1612">
        <v>1.109731</v>
      </c>
      <c r="L1612">
        <v>284.1592</v>
      </c>
      <c r="M1612">
        <v>-0.99990869999999998</v>
      </c>
      <c r="N1612">
        <v>0</v>
      </c>
      <c r="O1612">
        <v>7.06137E-3</v>
      </c>
      <c r="P1612">
        <v>-0.98517940000000004</v>
      </c>
      <c r="Q1612">
        <v>0.16914219999999999</v>
      </c>
      <c r="R1612">
        <v>2.8506500000000001E-2</v>
      </c>
      <c r="S1612">
        <v>-3.0600890000000001</v>
      </c>
      <c r="T1612">
        <v>-0.12211760000000001</v>
      </c>
      <c r="U1612">
        <v>0.20373540000000001</v>
      </c>
      <c r="V1612">
        <v>2.1555399999999999E-2</v>
      </c>
      <c r="W1612">
        <v>0.18047959999999999</v>
      </c>
      <c r="X1612">
        <v>0.98334250000000001</v>
      </c>
      <c r="Y1612">
        <v>5.9341850000000002E-2</v>
      </c>
      <c r="Z1612">
        <v>9.0091420000000001E-4</v>
      </c>
      <c r="AA1612">
        <v>0.99823729999999999</v>
      </c>
      <c r="AB1612">
        <v>44</v>
      </c>
      <c r="AC1612">
        <v>-27.4084</v>
      </c>
      <c r="AD1612">
        <v>-1.1097282165889999</v>
      </c>
      <c r="AE1612">
        <v>1.84859999999997</v>
      </c>
      <c r="AF1612">
        <v>1.65230380389331</v>
      </c>
      <c r="AG1612">
        <v>-1.1097282165889999</v>
      </c>
      <c r="AH1612">
        <v>27.376095908543402</v>
      </c>
      <c r="AI1612">
        <v>92.317081512695296</v>
      </c>
      <c r="AJ1612">
        <v>86.546062290792605</v>
      </c>
      <c r="AK1612">
        <v>27.448355720677</v>
      </c>
      <c r="AL1612">
        <v>79.602303578876899</v>
      </c>
      <c r="AM1612">
        <v>88.744246600380706</v>
      </c>
      <c r="AN1612">
        <v>0.999999996795785</v>
      </c>
    </row>
    <row r="1613" spans="1:40" x14ac:dyDescent="0.25">
      <c r="A1613" t="str">
        <f>"20190312164253475"</f>
        <v>20190312164253475</v>
      </c>
      <c r="B1613" t="str">
        <f>"1552380173465507"</f>
        <v>1552380173465507</v>
      </c>
      <c r="C1613" t="s">
        <v>40</v>
      </c>
      <c r="D1613">
        <v>4.4360989999999996</v>
      </c>
      <c r="E1613">
        <v>0.5194105</v>
      </c>
      <c r="F1613" t="s">
        <v>46</v>
      </c>
      <c r="G1613">
        <v>-328.83870000000002</v>
      </c>
      <c r="H1613" s="1">
        <v>3.1054910000000001E-6</v>
      </c>
      <c r="I1613">
        <v>286.01769999999999</v>
      </c>
      <c r="J1613">
        <v>-301.24489999999997</v>
      </c>
      <c r="K1613">
        <v>1.1097360000000001</v>
      </c>
      <c r="L1613">
        <v>284.16210000000001</v>
      </c>
      <c r="M1613">
        <v>-0.99990789999999996</v>
      </c>
      <c r="N1613">
        <v>0</v>
      </c>
      <c r="O1613">
        <v>7.0607400000000002E-3</v>
      </c>
      <c r="P1613">
        <v>-0.98513779999999995</v>
      </c>
      <c r="Q1613">
        <v>0.16933500000000001</v>
      </c>
      <c r="R1613">
        <v>2.879957E-2</v>
      </c>
      <c r="S1613">
        <v>-3.060028</v>
      </c>
      <c r="T1613">
        <v>-0.1212162</v>
      </c>
      <c r="U1613">
        <v>0.20300289999999999</v>
      </c>
      <c r="V1613">
        <v>2.1849360000000002E-2</v>
      </c>
      <c r="W1613">
        <v>0.1807493</v>
      </c>
      <c r="X1613">
        <v>0.98328649999999995</v>
      </c>
      <c r="Y1613">
        <v>5.910671E-2</v>
      </c>
      <c r="Z1613">
        <v>8.8966809999999996E-4</v>
      </c>
      <c r="AA1613">
        <v>0.99825129999999995</v>
      </c>
      <c r="AB1613">
        <v>44</v>
      </c>
      <c r="AC1613">
        <v>-27.593800000000002</v>
      </c>
      <c r="AD1613">
        <v>-1.1097328945089999</v>
      </c>
      <c r="AE1613">
        <v>1.8555999999999799</v>
      </c>
      <c r="AF1613">
        <v>1.6580383862564601</v>
      </c>
      <c r="AG1613">
        <v>-1.1097328945089999</v>
      </c>
      <c r="AH1613">
        <v>27.561837386869001</v>
      </c>
      <c r="AI1613">
        <v>92.301520473714902</v>
      </c>
      <c r="AJ1613">
        <v>86.557404615984197</v>
      </c>
      <c r="AK1613">
        <v>27.633955173439499</v>
      </c>
      <c r="AL1613">
        <v>79.586592793601397</v>
      </c>
      <c r="AM1613">
        <v>88.7270544939757</v>
      </c>
      <c r="AN1613">
        <v>1.00000002253257</v>
      </c>
    </row>
    <row r="1614" spans="1:40" x14ac:dyDescent="0.25">
      <c r="A1614" t="str">
        <f>"20190312164253497"</f>
        <v>20190312164253497</v>
      </c>
      <c r="B1614" t="str">
        <f>"1552380173486004"</f>
        <v>1552380173486004</v>
      </c>
      <c r="C1614" t="s">
        <v>40</v>
      </c>
      <c r="D1614">
        <v>4.4039830000000002</v>
      </c>
      <c r="E1614">
        <v>0.51933679999999904</v>
      </c>
      <c r="F1614" t="s">
        <v>46</v>
      </c>
      <c r="G1614">
        <v>-329.52890000000002</v>
      </c>
      <c r="H1614" s="1">
        <v>3.4718349999999999E-6</v>
      </c>
      <c r="I1614">
        <v>286.0394</v>
      </c>
      <c r="J1614">
        <v>-301.67970000000003</v>
      </c>
      <c r="K1614">
        <v>1.109737</v>
      </c>
      <c r="L1614">
        <v>284.16520000000003</v>
      </c>
      <c r="M1614">
        <v>-0.99990699999999999</v>
      </c>
      <c r="N1614">
        <v>0</v>
      </c>
      <c r="O1614">
        <v>7.0601450000000003E-3</v>
      </c>
      <c r="P1614">
        <v>-0.98519089999999998</v>
      </c>
      <c r="Q1614">
        <v>0.16900299999999999</v>
      </c>
      <c r="R1614">
        <v>2.8928059999999998E-2</v>
      </c>
      <c r="S1614">
        <v>-3.0599669999999999</v>
      </c>
      <c r="T1614">
        <v>-0.12005879999999999</v>
      </c>
      <c r="U1614">
        <v>0.20309450000000001</v>
      </c>
      <c r="V1614">
        <v>2.1978009999999999E-2</v>
      </c>
      <c r="W1614">
        <v>0.1804876</v>
      </c>
      <c r="X1614">
        <v>0.98333170000000003</v>
      </c>
      <c r="Y1614">
        <v>5.9139089999999998E-2</v>
      </c>
      <c r="Z1614">
        <v>8.8185390000000002E-4</v>
      </c>
      <c r="AA1614">
        <v>0.99824939999999995</v>
      </c>
      <c r="AB1614">
        <v>44</v>
      </c>
      <c r="AC1614">
        <v>-27.8492</v>
      </c>
      <c r="AD1614">
        <v>-1.109733528165</v>
      </c>
      <c r="AE1614">
        <v>1.8741999999999699</v>
      </c>
      <c r="AF1614">
        <v>1.67487303485398</v>
      </c>
      <c r="AG1614">
        <v>-1.109733528165</v>
      </c>
      <c r="AH1614">
        <v>27.817767294352699</v>
      </c>
      <c r="AI1614">
        <v>92.280362645297899</v>
      </c>
      <c r="AJ1614">
        <v>86.5544521172652</v>
      </c>
      <c r="AK1614">
        <v>27.890229210767998</v>
      </c>
      <c r="AL1614">
        <v>79.601837797863496</v>
      </c>
      <c r="AM1614">
        <v>88.719620659652506</v>
      </c>
      <c r="AN1614">
        <v>1.0000000194511001</v>
      </c>
    </row>
    <row r="1615" spans="1:40" x14ac:dyDescent="0.25">
      <c r="A1615" t="str">
        <f>"20190312164253521"</f>
        <v>20190312164253521</v>
      </c>
      <c r="B1615" t="str">
        <f>"1552380173515280"</f>
        <v>1552380173515280</v>
      </c>
      <c r="C1615" t="s">
        <v>40</v>
      </c>
      <c r="D1615">
        <v>4.3808160000000003</v>
      </c>
      <c r="E1615">
        <v>0.51931779999999905</v>
      </c>
      <c r="F1615" t="s">
        <v>46</v>
      </c>
      <c r="G1615">
        <v>-329.7758</v>
      </c>
      <c r="H1615" s="1">
        <v>3.603764E-6</v>
      </c>
      <c r="I1615">
        <v>286.0258</v>
      </c>
      <c r="J1615">
        <v>-302.13310000000001</v>
      </c>
      <c r="K1615">
        <v>1.1097410000000001</v>
      </c>
      <c r="L1615">
        <v>284.16840000000002</v>
      </c>
      <c r="M1615">
        <v>-0.99990639999999997</v>
      </c>
      <c r="N1615">
        <v>0</v>
      </c>
      <c r="O1615">
        <v>7.0595780000000004E-3</v>
      </c>
      <c r="P1615">
        <v>-0.9852166</v>
      </c>
      <c r="Q1615">
        <v>0.16879379999999999</v>
      </c>
      <c r="R1615">
        <v>2.928072E-2</v>
      </c>
      <c r="S1615">
        <v>-3.0598749999999999</v>
      </c>
      <c r="T1615">
        <v>-0.1208583</v>
      </c>
      <c r="U1615">
        <v>0.2026367</v>
      </c>
      <c r="V1615">
        <v>2.2331110000000001E-2</v>
      </c>
      <c r="W1615">
        <v>0.18034359999999999</v>
      </c>
      <c r="X1615">
        <v>0.98335019999999995</v>
      </c>
      <c r="Y1615">
        <v>5.899252E-2</v>
      </c>
      <c r="Z1615">
        <v>8.8488469999999997E-4</v>
      </c>
      <c r="AA1615">
        <v>0.99825810000000004</v>
      </c>
      <c r="AB1615">
        <v>44</v>
      </c>
      <c r="AC1615">
        <v>-27.642699999999898</v>
      </c>
      <c r="AD1615">
        <v>-1.109737396236</v>
      </c>
      <c r="AE1615">
        <v>1.85739999999998</v>
      </c>
      <c r="AF1615">
        <v>1.6595318914978101</v>
      </c>
      <c r="AG1615">
        <v>-1.109737396236</v>
      </c>
      <c r="AH1615">
        <v>27.610824558486499</v>
      </c>
      <c r="AI1615">
        <v>92.297458039436904</v>
      </c>
      <c r="AJ1615">
        <v>86.560409766671697</v>
      </c>
      <c r="AK1615">
        <v>27.682904399412699</v>
      </c>
      <c r="AL1615">
        <v>79.610226401934696</v>
      </c>
      <c r="AM1615">
        <v>88.699081490027993</v>
      </c>
      <c r="AN1615">
        <v>1.0000000541874099</v>
      </c>
    </row>
    <row r="1616" spans="1:40" x14ac:dyDescent="0.25">
      <c r="A1616" t="str">
        <f>"20190312164253543"</f>
        <v>20190312164253543</v>
      </c>
      <c r="B1616" t="str">
        <f>"1552380173535776"</f>
        <v>1552380173535776</v>
      </c>
      <c r="C1616" t="s">
        <v>40</v>
      </c>
      <c r="D1616">
        <v>4.3880420000000004</v>
      </c>
      <c r="E1616">
        <v>0.51908859999999901</v>
      </c>
      <c r="F1616" t="s">
        <v>46</v>
      </c>
      <c r="G1616">
        <v>-330.29399999999998</v>
      </c>
      <c r="H1616" s="1">
        <v>-1.4427669999999999E-6</v>
      </c>
      <c r="I1616">
        <v>286.04410000000001</v>
      </c>
      <c r="J1616">
        <v>-302.57729999999998</v>
      </c>
      <c r="K1616">
        <v>1.109742</v>
      </c>
      <c r="L1616">
        <v>284.17149999999998</v>
      </c>
      <c r="M1616">
        <v>-0.9999055</v>
      </c>
      <c r="N1616">
        <v>0</v>
      </c>
      <c r="O1616">
        <v>7.0592469999999899E-3</v>
      </c>
      <c r="P1616">
        <v>-0.98518680000000003</v>
      </c>
      <c r="Q1616">
        <v>0.16894010000000001</v>
      </c>
      <c r="R1616">
        <v>2.9433879999999999E-2</v>
      </c>
      <c r="S1616">
        <v>-3.059631</v>
      </c>
      <c r="T1616">
        <v>-0.1205715</v>
      </c>
      <c r="U1616">
        <v>0.20379639999999999</v>
      </c>
      <c r="V1616">
        <v>2.2484649999999998E-2</v>
      </c>
      <c r="W1616">
        <v>0.18054480000000001</v>
      </c>
      <c r="X1616">
        <v>0.98330969999999995</v>
      </c>
      <c r="Y1616">
        <v>5.9374679999999999E-2</v>
      </c>
      <c r="Z1616">
        <v>8.903769E-4</v>
      </c>
      <c r="AA1616">
        <v>0.99823530000000005</v>
      </c>
      <c r="AB1616">
        <v>44</v>
      </c>
      <c r="AC1616">
        <v>-27.716699999999999</v>
      </c>
      <c r="AD1616">
        <v>-1.1097434427670001</v>
      </c>
      <c r="AE1616">
        <v>1.87260000000003</v>
      </c>
      <c r="AF1616">
        <v>1.6742089495844901</v>
      </c>
      <c r="AG1616">
        <v>-1.1097434427670001</v>
      </c>
      <c r="AH1616">
        <v>27.685048968949999</v>
      </c>
      <c r="AI1616">
        <v>92.291266798505106</v>
      </c>
      <c r="AJ1616">
        <v>86.539344065009701</v>
      </c>
      <c r="AK1616">
        <v>27.7578176831103</v>
      </c>
      <c r="AL1616">
        <v>79.598505274971501</v>
      </c>
      <c r="AM1616">
        <v>88.690086056521693</v>
      </c>
      <c r="AN1616">
        <v>0.99999997520337502</v>
      </c>
    </row>
    <row r="1617" spans="1:40" x14ac:dyDescent="0.25">
      <c r="A1617" t="str">
        <f>"20190312164253566"</f>
        <v>20190312164253566</v>
      </c>
      <c r="B1617" t="str">
        <f>"1552380173556273"</f>
        <v>1552380173556273</v>
      </c>
      <c r="C1617" t="s">
        <v>40</v>
      </c>
      <c r="D1617">
        <v>4.3646669999999999</v>
      </c>
      <c r="E1617">
        <v>0.51885400000000004</v>
      </c>
      <c r="F1617" t="s">
        <v>46</v>
      </c>
      <c r="G1617">
        <v>-330.38139999999999</v>
      </c>
      <c r="H1617" s="1">
        <v>-1.3947409999999901E-6</v>
      </c>
      <c r="I1617">
        <v>286.0095</v>
      </c>
      <c r="J1617">
        <v>-303.01369999999997</v>
      </c>
      <c r="K1617">
        <v>1.109747</v>
      </c>
      <c r="L1617">
        <v>284.1746</v>
      </c>
      <c r="M1617">
        <v>-0.99990500000000004</v>
      </c>
      <c r="N1617">
        <v>0</v>
      </c>
      <c r="O1617">
        <v>7.0589600000000004E-3</v>
      </c>
      <c r="P1617">
        <v>-0.98518280000000003</v>
      </c>
      <c r="Q1617">
        <v>0.16897139999999999</v>
      </c>
      <c r="R1617">
        <v>2.9389249999999999E-2</v>
      </c>
      <c r="S1617">
        <v>-3.0599669999999999</v>
      </c>
      <c r="T1617">
        <v>-0.1221323</v>
      </c>
      <c r="U1617">
        <v>0.20227049999999999</v>
      </c>
      <c r="V1617">
        <v>2.244034E-2</v>
      </c>
      <c r="W1617">
        <v>0.18062310000000001</v>
      </c>
      <c r="X1617">
        <v>0.98329630000000001</v>
      </c>
      <c r="Y1617">
        <v>5.8871449999999999E-2</v>
      </c>
      <c r="Z1617">
        <v>8.9179380000000005E-4</v>
      </c>
      <c r="AA1617">
        <v>0.99826510000000002</v>
      </c>
      <c r="AB1617">
        <v>44</v>
      </c>
      <c r="AC1617">
        <v>-27.367699999999999</v>
      </c>
      <c r="AD1617">
        <v>-1.1097483947409901</v>
      </c>
      <c r="AE1617">
        <v>1.8349</v>
      </c>
      <c r="AF1617">
        <v>1.6389703919866101</v>
      </c>
      <c r="AG1617">
        <v>-1.1097483947409901</v>
      </c>
      <c r="AH1617">
        <v>27.335226155039699</v>
      </c>
      <c r="AI1617">
        <v>92.320639453297801</v>
      </c>
      <c r="AJ1617">
        <v>86.568757195888097</v>
      </c>
      <c r="AK1617">
        <v>27.406793945892499</v>
      </c>
      <c r="AL1617">
        <v>79.593943691327297</v>
      </c>
      <c r="AM1617">
        <v>88.692648768376799</v>
      </c>
      <c r="AN1617">
        <v>0.999999943353306</v>
      </c>
    </row>
    <row r="1618" spans="1:40" x14ac:dyDescent="0.25">
      <c r="A1618" t="str">
        <f>"20190312164253587"</f>
        <v>20190312164253587</v>
      </c>
      <c r="B1618" t="str">
        <f>"1552380173575792"</f>
        <v>1552380173575792</v>
      </c>
      <c r="C1618" t="s">
        <v>40</v>
      </c>
      <c r="D1618">
        <v>4.3869210000000001</v>
      </c>
      <c r="E1618">
        <v>0.51877359999999995</v>
      </c>
      <c r="F1618" t="s">
        <v>46</v>
      </c>
      <c r="G1618">
        <v>-330.5197</v>
      </c>
      <c r="H1618" s="1">
        <v>-1.319605E-6</v>
      </c>
      <c r="I1618">
        <v>285.97449999999998</v>
      </c>
      <c r="J1618">
        <v>-303.44459999999998</v>
      </c>
      <c r="K1618">
        <v>1.109745</v>
      </c>
      <c r="L1618">
        <v>284.17759999999998</v>
      </c>
      <c r="M1618">
        <v>-0.99990460000000003</v>
      </c>
      <c r="N1618">
        <v>0</v>
      </c>
      <c r="O1618">
        <v>7.0585329999999996E-3</v>
      </c>
      <c r="P1618">
        <v>-0.98514829999999998</v>
      </c>
      <c r="Q1618">
        <v>0.16917199999999999</v>
      </c>
      <c r="R1618">
        <v>2.9396269999999999E-2</v>
      </c>
      <c r="S1618">
        <v>-3.0603030000000002</v>
      </c>
      <c r="T1618">
        <v>-0.1234702</v>
      </c>
      <c r="U1618">
        <v>0.2002563</v>
      </c>
      <c r="V1618">
        <v>2.244817E-2</v>
      </c>
      <c r="W1618">
        <v>0.18086459999999999</v>
      </c>
      <c r="X1618">
        <v>0.98325180000000001</v>
      </c>
      <c r="Y1618">
        <v>5.8210100000000001E-2</v>
      </c>
      <c r="Z1618">
        <v>8.8817080000000003E-4</v>
      </c>
      <c r="AA1618">
        <v>0.99830390000000002</v>
      </c>
      <c r="AB1618">
        <v>44</v>
      </c>
      <c r="AC1618">
        <v>-27.075099999999999</v>
      </c>
      <c r="AD1618">
        <v>-1.1097463196049999</v>
      </c>
      <c r="AE1618">
        <v>1.7968999999999899</v>
      </c>
      <c r="AF1618">
        <v>1.60304996977888</v>
      </c>
      <c r="AG1618">
        <v>-1.1097463196049999</v>
      </c>
      <c r="AH1618">
        <v>27.041878865417502</v>
      </c>
      <c r="AI1618">
        <v>92.345875506803694</v>
      </c>
      <c r="AJ1618">
        <v>86.607460778952998</v>
      </c>
      <c r="AK1618">
        <v>27.112073300863599</v>
      </c>
      <c r="AL1618">
        <v>79.579875786316407</v>
      </c>
      <c r="AM1618">
        <v>88.692133590824596</v>
      </c>
      <c r="AN1618">
        <v>1.00000001303637</v>
      </c>
    </row>
    <row r="1619" spans="1:40" x14ac:dyDescent="0.25">
      <c r="A1619" t="str">
        <f>"20190312164253611"</f>
        <v>20190312164253611</v>
      </c>
      <c r="B1619" t="str">
        <f>"1552380173606048"</f>
        <v>1552380173606048</v>
      </c>
      <c r="C1619" t="s">
        <v>40</v>
      </c>
      <c r="D1619">
        <v>4.5409889999999997</v>
      </c>
      <c r="E1619">
        <v>0.51875870000000002</v>
      </c>
      <c r="F1619" t="s">
        <v>46</v>
      </c>
      <c r="G1619">
        <v>-330.74590000000001</v>
      </c>
      <c r="H1619" s="1">
        <v>-1.1985339999999999E-6</v>
      </c>
      <c r="I1619">
        <v>285.95929999999998</v>
      </c>
      <c r="J1619">
        <v>-303.9212</v>
      </c>
      <c r="K1619">
        <v>1.1097440000000001</v>
      </c>
      <c r="L1619">
        <v>284.18099999999998</v>
      </c>
      <c r="M1619">
        <v>-0.99990409999999996</v>
      </c>
      <c r="N1619">
        <v>0</v>
      </c>
      <c r="O1619">
        <v>7.0581749999999999E-3</v>
      </c>
      <c r="P1619">
        <v>-0.98520479999999999</v>
      </c>
      <c r="Q1619">
        <v>0.16888</v>
      </c>
      <c r="R1619">
        <v>2.9180069999999999E-2</v>
      </c>
      <c r="S1619">
        <v>-3.060638</v>
      </c>
      <c r="T1619">
        <v>-0.1244088</v>
      </c>
      <c r="U1619">
        <v>0.19973750000000001</v>
      </c>
      <c r="V1619">
        <v>2.2231999999999998E-2</v>
      </c>
      <c r="W1619">
        <v>0.18061279999999999</v>
      </c>
      <c r="X1619">
        <v>0.98330300000000004</v>
      </c>
      <c r="Y1619">
        <v>5.8034349999999998E-2</v>
      </c>
      <c r="Z1619">
        <v>8.9127229999999905E-4</v>
      </c>
      <c r="AA1619">
        <v>0.99831420000000004</v>
      </c>
      <c r="AB1619">
        <v>44</v>
      </c>
      <c r="AC1619">
        <v>-26.8247</v>
      </c>
      <c r="AD1619">
        <v>-1.1097451985340001</v>
      </c>
      <c r="AE1619">
        <v>1.7783</v>
      </c>
      <c r="AF1619">
        <v>1.58620591716001</v>
      </c>
      <c r="AG1619">
        <v>-1.1097451985340001</v>
      </c>
      <c r="AH1619">
        <v>26.790932128752001</v>
      </c>
      <c r="AI1619">
        <v>92.367831951741294</v>
      </c>
      <c r="AJ1619">
        <v>86.611654578965798</v>
      </c>
      <c r="AK1619">
        <v>26.860782340518298</v>
      </c>
      <c r="AL1619">
        <v>79.594544487086296</v>
      </c>
      <c r="AM1619">
        <v>88.704791111739198</v>
      </c>
      <c r="AN1619">
        <v>1.0000000175784101</v>
      </c>
    </row>
    <row r="1620" spans="1:40" x14ac:dyDescent="0.25">
      <c r="A1620" t="str">
        <f>"20190312164253633"</f>
        <v>20190312164253633</v>
      </c>
      <c r="B1620" t="str">
        <f>"1552380173625569"</f>
        <v>1552380173625569</v>
      </c>
      <c r="C1620" t="s">
        <v>40</v>
      </c>
      <c r="D1620">
        <v>4.5392929999999998</v>
      </c>
      <c r="E1620">
        <v>0.51876940000000005</v>
      </c>
      <c r="F1620" t="s">
        <v>46</v>
      </c>
      <c r="G1620">
        <v>-330.78820000000002</v>
      </c>
      <c r="H1620" s="1">
        <v>-1.1746289999999999E-6</v>
      </c>
      <c r="I1620">
        <v>285.9273</v>
      </c>
      <c r="J1620">
        <v>-304.34449999999998</v>
      </c>
      <c r="K1620">
        <v>1.109745</v>
      </c>
      <c r="L1620">
        <v>284.18400000000003</v>
      </c>
      <c r="M1620">
        <v>-0.99990369999999995</v>
      </c>
      <c r="N1620">
        <v>0</v>
      </c>
      <c r="O1620">
        <v>7.0578100000000003E-3</v>
      </c>
      <c r="P1620">
        <v>-0.98526409999999998</v>
      </c>
      <c r="Q1620">
        <v>0.16856699999999999</v>
      </c>
      <c r="R1620">
        <v>2.8985549999999999E-2</v>
      </c>
      <c r="S1620">
        <v>-3.0608219999999999</v>
      </c>
      <c r="T1620">
        <v>-0.1264274</v>
      </c>
      <c r="U1620">
        <v>0.19894410000000001</v>
      </c>
      <c r="V1620">
        <v>2.2037210000000002E-2</v>
      </c>
      <c r="W1620">
        <v>0.18033089999999999</v>
      </c>
      <c r="X1620">
        <v>0.98335910000000004</v>
      </c>
      <c r="Y1620">
        <v>5.7771980000000001E-2</v>
      </c>
      <c r="Z1620">
        <v>9.0027909999999996E-4</v>
      </c>
      <c r="AA1620">
        <v>0.99832940000000003</v>
      </c>
      <c r="AB1620">
        <v>44</v>
      </c>
      <c r="AC1620">
        <v>-26.4437</v>
      </c>
      <c r="AD1620">
        <v>-1.109746174629</v>
      </c>
      <c r="AE1620">
        <v>1.7432999999999701</v>
      </c>
      <c r="AF1620">
        <v>1.5538838174068299</v>
      </c>
      <c r="AG1620">
        <v>-1.109746174629</v>
      </c>
      <c r="AH1620">
        <v>26.4090363342887</v>
      </c>
      <c r="AI1620">
        <v>92.402086878562997</v>
      </c>
      <c r="AJ1620">
        <v>86.632650527649702</v>
      </c>
      <c r="AK1620">
        <v>26.477977483106301</v>
      </c>
      <c r="AL1620">
        <v>79.610965574247302</v>
      </c>
      <c r="AM1620">
        <v>88.716208740864602</v>
      </c>
      <c r="AN1620">
        <v>0.999999995836102</v>
      </c>
    </row>
    <row r="1621" spans="1:40" x14ac:dyDescent="0.25">
      <c r="A1621" t="str">
        <f>"20190312164253654"</f>
        <v>20190312164253654</v>
      </c>
      <c r="B1621" t="str">
        <f>"1552380173646064"</f>
        <v>1552380173646064</v>
      </c>
      <c r="C1621" t="s">
        <v>40</v>
      </c>
      <c r="D1621">
        <v>4.5078050000000003</v>
      </c>
      <c r="E1621">
        <v>0.51876270000000002</v>
      </c>
      <c r="F1621" t="s">
        <v>46</v>
      </c>
      <c r="G1621">
        <v>-331.14659999999998</v>
      </c>
      <c r="H1621" s="1">
        <v>-9.8370130000000006E-7</v>
      </c>
      <c r="I1621">
        <v>285.92239999999998</v>
      </c>
      <c r="J1621">
        <v>-304.77730000000003</v>
      </c>
      <c r="K1621">
        <v>1.1097459999999999</v>
      </c>
      <c r="L1621">
        <v>284.18700000000001</v>
      </c>
      <c r="M1621">
        <v>-0.9999034</v>
      </c>
      <c r="N1621">
        <v>0</v>
      </c>
      <c r="O1621">
        <v>7.057453E-3</v>
      </c>
      <c r="P1621">
        <v>-0.98525490000000004</v>
      </c>
      <c r="Q1621">
        <v>0.16866129999999999</v>
      </c>
      <c r="R1621">
        <v>2.8750310000000001E-2</v>
      </c>
      <c r="S1621">
        <v>-3.0606689999999999</v>
      </c>
      <c r="T1621">
        <v>-0.1267277</v>
      </c>
      <c r="U1621">
        <v>0.19851679999999999</v>
      </c>
      <c r="V1621">
        <v>2.1802510000000001E-2</v>
      </c>
      <c r="W1621">
        <v>0.1804547</v>
      </c>
      <c r="X1621">
        <v>0.98334160000000004</v>
      </c>
      <c r="Y1621">
        <v>5.7636670000000001E-2</v>
      </c>
      <c r="Z1621">
        <v>8.9968209999999999E-4</v>
      </c>
      <c r="AA1621">
        <v>0.99833720000000004</v>
      </c>
      <c r="AB1621">
        <v>44</v>
      </c>
      <c r="AC1621">
        <v>-26.3692999999999</v>
      </c>
      <c r="AD1621">
        <v>-1.1097469837013001</v>
      </c>
      <c r="AE1621">
        <v>1.7353999999999601</v>
      </c>
      <c r="AF1621">
        <v>1.54651606580933</v>
      </c>
      <c r="AG1621">
        <v>-1.1097469837013001</v>
      </c>
      <c r="AH1621">
        <v>26.334450955266799</v>
      </c>
      <c r="AI1621">
        <v>92.408899851989702</v>
      </c>
      <c r="AJ1621">
        <v>86.639110076559106</v>
      </c>
      <c r="AK1621">
        <v>26.403154308245</v>
      </c>
      <c r="AL1621">
        <v>79.603753832644898</v>
      </c>
      <c r="AM1621">
        <v>88.729854234902902</v>
      </c>
      <c r="AN1621">
        <v>0.99999997524247397</v>
      </c>
    </row>
    <row r="1622" spans="1:40" x14ac:dyDescent="0.25">
      <c r="A1622" t="str">
        <f>"20190312164253677"</f>
        <v>20190312164253677</v>
      </c>
      <c r="B1622" t="str">
        <f>"1552380173665588"</f>
        <v>1552380173665588</v>
      </c>
      <c r="C1622" t="s">
        <v>40</v>
      </c>
      <c r="D1622">
        <v>4.2566689999999996</v>
      </c>
      <c r="E1622">
        <v>0.5186364</v>
      </c>
      <c r="F1622" t="s">
        <v>46</v>
      </c>
      <c r="G1622">
        <v>-331.80959999999999</v>
      </c>
      <c r="H1622" s="1">
        <v>-6.3134379999999995E-7</v>
      </c>
      <c r="I1622">
        <v>285.9323</v>
      </c>
      <c r="J1622">
        <v>-305.20490000000001</v>
      </c>
      <c r="K1622">
        <v>1.1097490000000001</v>
      </c>
      <c r="L1622">
        <v>284.19009999999997</v>
      </c>
      <c r="M1622">
        <v>-0.99990299999999999</v>
      </c>
      <c r="N1622">
        <v>0</v>
      </c>
      <c r="O1622">
        <v>7.0570980000000004E-3</v>
      </c>
      <c r="P1622">
        <v>-0.98527169999999997</v>
      </c>
      <c r="Q1622">
        <v>0.16858229999999999</v>
      </c>
      <c r="R1622">
        <v>2.863429E-2</v>
      </c>
      <c r="S1622">
        <v>-3.0606080000000002</v>
      </c>
      <c r="T1622">
        <v>-0.12564620000000001</v>
      </c>
      <c r="U1622">
        <v>0.19760130000000001</v>
      </c>
      <c r="V1622">
        <v>2.1686779999999999E-2</v>
      </c>
      <c r="W1622">
        <v>0.1804046</v>
      </c>
      <c r="X1622">
        <v>0.98335340000000004</v>
      </c>
      <c r="Y1622">
        <v>5.7341910000000003E-2</v>
      </c>
      <c r="Z1622">
        <v>8.8601009999999896E-4</v>
      </c>
      <c r="AA1622">
        <v>0.99835419999999997</v>
      </c>
      <c r="AB1622">
        <v>44</v>
      </c>
      <c r="AC1622">
        <v>-26.604699999999902</v>
      </c>
      <c r="AD1622">
        <v>-1.10974963134379</v>
      </c>
      <c r="AE1622">
        <v>1.74220000000002</v>
      </c>
      <c r="AF1622">
        <v>1.55170276237492</v>
      </c>
      <c r="AG1622">
        <v>-1.10974963134379</v>
      </c>
      <c r="AH1622">
        <v>26.570299945617801</v>
      </c>
      <c r="AI1622">
        <v>92.387593386832094</v>
      </c>
      <c r="AJ1622">
        <v>86.657728625398903</v>
      </c>
      <c r="AK1622">
        <v>26.638696756919799</v>
      </c>
      <c r="AL1622">
        <v>79.606672747456699</v>
      </c>
      <c r="AM1622">
        <v>88.736609265845502</v>
      </c>
      <c r="AN1622">
        <v>1.0000000227097401</v>
      </c>
    </row>
    <row r="1623" spans="1:40" x14ac:dyDescent="0.25">
      <c r="A1623" t="str">
        <f>"20190312164253711"</f>
        <v>20190312164253711</v>
      </c>
      <c r="B1623" t="str">
        <f>"1552380173705601"</f>
        <v>1552380173705601</v>
      </c>
      <c r="C1623" t="s">
        <v>40</v>
      </c>
      <c r="D1623">
        <v>4.2350209999999997</v>
      </c>
      <c r="E1623">
        <v>0.51840439999999999</v>
      </c>
      <c r="F1623" t="s">
        <v>46</v>
      </c>
      <c r="G1623">
        <v>-331.92939999999999</v>
      </c>
      <c r="H1623" s="1">
        <v>-5.6615669999999897E-7</v>
      </c>
      <c r="I1623">
        <v>285.90010000000001</v>
      </c>
      <c r="J1623">
        <v>-305.88</v>
      </c>
      <c r="K1623">
        <v>1.1097509999999999</v>
      </c>
      <c r="L1623">
        <v>284.19479999999999</v>
      </c>
      <c r="M1623">
        <v>-0.99990259999999997</v>
      </c>
      <c r="N1623">
        <v>0</v>
      </c>
      <c r="O1623">
        <v>7.0563559999999997E-3</v>
      </c>
      <c r="P1623">
        <v>-0.98534350000000004</v>
      </c>
      <c r="Q1623">
        <v>0.1681792</v>
      </c>
      <c r="R1623">
        <v>2.8538339999999999E-2</v>
      </c>
      <c r="S1623">
        <v>-3.0609440000000001</v>
      </c>
      <c r="T1623">
        <v>-0.12710739999999901</v>
      </c>
      <c r="U1623">
        <v>0.1958618</v>
      </c>
      <c r="V1623">
        <v>2.1590990000000001E-2</v>
      </c>
      <c r="W1623">
        <v>0.18004529999999999</v>
      </c>
      <c r="X1623">
        <v>0.98342130000000005</v>
      </c>
      <c r="Y1623">
        <v>5.6770099999999997E-2</v>
      </c>
      <c r="Z1623">
        <v>8.8439829999999999E-4</v>
      </c>
      <c r="AA1623">
        <v>0.99838689999999997</v>
      </c>
      <c r="AB1623">
        <v>44</v>
      </c>
      <c r="AC1623">
        <v>-26.049399999999899</v>
      </c>
      <c r="AD1623">
        <v>-1.1097515661566999</v>
      </c>
      <c r="AE1623">
        <v>1.70530000000002</v>
      </c>
      <c r="AF1623">
        <v>1.5186858476009499</v>
      </c>
      <c r="AG1623">
        <v>-1.1097515661566999</v>
      </c>
      <c r="AH1623">
        <v>26.0137741488569</v>
      </c>
      <c r="AI1623">
        <v>92.4386184144156</v>
      </c>
      <c r="AJ1623">
        <v>86.658860968289005</v>
      </c>
      <c r="AK1623">
        <v>26.0816870756097</v>
      </c>
      <c r="AL1623">
        <v>79.627601242318505</v>
      </c>
      <c r="AM1623">
        <v>88.742274653788002</v>
      </c>
      <c r="AN1623">
        <v>0.99999996709747896</v>
      </c>
    </row>
    <row r="1624" spans="1:40" x14ac:dyDescent="0.25">
      <c r="A1624" t="str">
        <f>"20190312164253733"</f>
        <v>20190312164253733</v>
      </c>
      <c r="B1624" t="str">
        <f>"1552380173726097"</f>
        <v>1552380173726097</v>
      </c>
      <c r="C1624" t="s">
        <v>40</v>
      </c>
      <c r="D1624">
        <v>4.2634449999999999</v>
      </c>
      <c r="E1624">
        <v>0.51828549999999995</v>
      </c>
      <c r="F1624" t="s">
        <v>46</v>
      </c>
      <c r="G1624">
        <v>-331.97219999999999</v>
      </c>
      <c r="H1624" s="1">
        <v>-5.4109899999999997E-7</v>
      </c>
      <c r="I1624">
        <v>285.84780000000001</v>
      </c>
      <c r="J1624">
        <v>-306.31650000000002</v>
      </c>
      <c r="K1624">
        <v>1.1097570000000001</v>
      </c>
      <c r="L1624">
        <v>284.1979</v>
      </c>
      <c r="M1624">
        <v>-0.99990230000000002</v>
      </c>
      <c r="N1624">
        <v>0</v>
      </c>
      <c r="O1624">
        <v>7.0560249999999996E-3</v>
      </c>
      <c r="P1624">
        <v>-0.98533720000000002</v>
      </c>
      <c r="Q1624">
        <v>0.16818269999999999</v>
      </c>
      <c r="R1624">
        <v>2.873175E-2</v>
      </c>
      <c r="S1624">
        <v>-3.0612180000000002</v>
      </c>
      <c r="T1624">
        <v>-0.13019919999999999</v>
      </c>
      <c r="U1624">
        <v>0.19393920000000001</v>
      </c>
      <c r="V1624">
        <v>2.1784600000000001E-2</v>
      </c>
      <c r="W1624">
        <v>0.18007390000000001</v>
      </c>
      <c r="X1624">
        <v>0.98341179999999995</v>
      </c>
      <c r="Y1624">
        <v>5.613866E-2</v>
      </c>
      <c r="Z1624">
        <v>8.9243380000000004E-4</v>
      </c>
      <c r="AA1624">
        <v>0.99842260000000005</v>
      </c>
      <c r="AB1624">
        <v>44</v>
      </c>
      <c r="AC1624">
        <v>-25.6556999999999</v>
      </c>
      <c r="AD1624">
        <v>-1.1097575410989999</v>
      </c>
      <c r="AE1624">
        <v>1.6498999999999999</v>
      </c>
      <c r="AF1624">
        <v>1.4660866374244499</v>
      </c>
      <c r="AG1624">
        <v>-1.1097575410989999</v>
      </c>
      <c r="AH1624">
        <v>25.6189665350648</v>
      </c>
      <c r="AI1624">
        <v>92.476330603879006</v>
      </c>
      <c r="AJ1624">
        <v>86.724728963661903</v>
      </c>
      <c r="AK1624">
        <v>25.684867493394499</v>
      </c>
      <c r="AL1624">
        <v>79.625935420468807</v>
      </c>
      <c r="AM1624">
        <v>88.7309878380551</v>
      </c>
      <c r="AN1624">
        <v>0.99999997331880397</v>
      </c>
    </row>
    <row r="1625" spans="1:40" x14ac:dyDescent="0.25">
      <c r="A1625" t="str">
        <f>"20190312164253755"</f>
        <v>20190312164253755</v>
      </c>
      <c r="B1625" t="str">
        <f>"1552380173745617"</f>
        <v>1552380173745617</v>
      </c>
      <c r="C1625" t="s">
        <v>40</v>
      </c>
      <c r="D1625">
        <v>4.4639620000000004</v>
      </c>
      <c r="E1625">
        <v>0.51825270000000001</v>
      </c>
      <c r="F1625" t="s">
        <v>46</v>
      </c>
      <c r="G1625">
        <v>-332.13130000000001</v>
      </c>
      <c r="H1625" s="1">
        <v>-4.5545729999999998E-7</v>
      </c>
      <c r="I1625">
        <v>285.8252</v>
      </c>
      <c r="J1625">
        <v>-306.74979999999999</v>
      </c>
      <c r="K1625">
        <v>1.1097589999999999</v>
      </c>
      <c r="L1625">
        <v>284.20089999999999</v>
      </c>
      <c r="M1625">
        <v>-0.99990199999999996</v>
      </c>
      <c r="N1625">
        <v>0</v>
      </c>
      <c r="O1625">
        <v>7.0555319999999998E-3</v>
      </c>
      <c r="P1625">
        <v>-0.9853615</v>
      </c>
      <c r="Q1625">
        <v>0.16802410000000001</v>
      </c>
      <c r="R1625">
        <v>2.882442E-2</v>
      </c>
      <c r="S1625">
        <v>-3.061493</v>
      </c>
      <c r="T1625">
        <v>-0.1316109</v>
      </c>
      <c r="U1625">
        <v>0.1929932</v>
      </c>
      <c r="V1625">
        <v>2.1877589999999999E-2</v>
      </c>
      <c r="W1625">
        <v>0.1799374</v>
      </c>
      <c r="X1625">
        <v>0.98343469999999999</v>
      </c>
      <c r="Y1625">
        <v>5.5825519999999997E-2</v>
      </c>
      <c r="Z1625">
        <v>8.9532909999999997E-4</v>
      </c>
      <c r="AA1625">
        <v>0.99844010000000005</v>
      </c>
      <c r="AB1625">
        <v>44</v>
      </c>
      <c r="AC1625">
        <v>-25.381499999999999</v>
      </c>
      <c r="AD1625">
        <v>-1.1097594554573</v>
      </c>
      <c r="AE1625">
        <v>1.6243000000000001</v>
      </c>
      <c r="AF1625">
        <v>1.4424202364860099</v>
      </c>
      <c r="AG1625">
        <v>-1.1097594554573</v>
      </c>
      <c r="AH1625">
        <v>25.344076252440701</v>
      </c>
      <c r="AI1625">
        <v>92.503204568441305</v>
      </c>
      <c r="AJ1625">
        <v>86.7426103295373</v>
      </c>
      <c r="AK1625">
        <v>25.409335750411302</v>
      </c>
      <c r="AL1625">
        <v>79.633885952618002</v>
      </c>
      <c r="AM1625">
        <v>88.7256023666977</v>
      </c>
      <c r="AN1625">
        <v>0.99999995301352795</v>
      </c>
    </row>
    <row r="1626" spans="1:40" x14ac:dyDescent="0.25">
      <c r="A1626" t="str">
        <f>"20190312164253776"</f>
        <v>20190312164253776</v>
      </c>
      <c r="B1626" t="str">
        <f>"1552380173766116"</f>
        <v>1552380173766116</v>
      </c>
      <c r="C1626" t="s">
        <v>40</v>
      </c>
      <c r="D1626">
        <v>4.1922249999999996</v>
      </c>
      <c r="E1626">
        <v>0.51831159999999998</v>
      </c>
      <c r="F1626" t="s">
        <v>46</v>
      </c>
      <c r="G1626">
        <v>-332.44529999999997</v>
      </c>
      <c r="H1626" s="1">
        <v>-2.8832949999999997E-7</v>
      </c>
      <c r="I1626">
        <v>285.82459999999998</v>
      </c>
      <c r="J1626">
        <v>-307.17320000000001</v>
      </c>
      <c r="K1626">
        <v>1.109761</v>
      </c>
      <c r="L1626">
        <v>284.20389999999998</v>
      </c>
      <c r="M1626">
        <v>-0.99990179999999995</v>
      </c>
      <c r="N1626">
        <v>0</v>
      </c>
      <c r="O1626">
        <v>7.0552219999999999E-3</v>
      </c>
      <c r="P1626">
        <v>-0.98541409999999996</v>
      </c>
      <c r="Q1626">
        <v>0.16768520000000001</v>
      </c>
      <c r="R1626">
        <v>2.8999460000000001E-2</v>
      </c>
      <c r="S1626">
        <v>-3.0614620000000001</v>
      </c>
      <c r="T1626">
        <v>-0.13222110000000001</v>
      </c>
      <c r="U1626">
        <v>0.19345090000000001</v>
      </c>
      <c r="V1626">
        <v>2.2052660000000002E-2</v>
      </c>
      <c r="W1626">
        <v>0.1796208</v>
      </c>
      <c r="X1626">
        <v>0.98348869999999999</v>
      </c>
      <c r="Y1626">
        <v>5.5974610000000001E-2</v>
      </c>
      <c r="Z1626">
        <v>9.0270940000000005E-4</v>
      </c>
      <c r="AA1626">
        <v>0.99843179999999998</v>
      </c>
      <c r="AB1626">
        <v>44</v>
      </c>
      <c r="AC1626">
        <v>-25.272099999999899</v>
      </c>
      <c r="AD1626">
        <v>-1.1097612883295001</v>
      </c>
      <c r="AE1626">
        <v>1.62069999999999</v>
      </c>
      <c r="AF1626">
        <v>1.4395817218159299</v>
      </c>
      <c r="AG1626">
        <v>-1.1097612883295001</v>
      </c>
      <c r="AH1626">
        <v>25.234445671890001</v>
      </c>
      <c r="AI1626">
        <v>92.514050698030701</v>
      </c>
      <c r="AJ1626">
        <v>86.734913341510506</v>
      </c>
      <c r="AK1626">
        <v>25.299826363404701</v>
      </c>
      <c r="AL1626">
        <v>79.652326603804696</v>
      </c>
      <c r="AM1626">
        <v>88.715478227565001</v>
      </c>
      <c r="AN1626">
        <v>0.99999998731670203</v>
      </c>
    </row>
    <row r="1627" spans="1:40" x14ac:dyDescent="0.25">
      <c r="A1627" t="str">
        <f>"20190312164253800"</f>
        <v>20190312164253800</v>
      </c>
      <c r="B1627" t="str">
        <f>"1552380173795393"</f>
        <v>1552380173795393</v>
      </c>
      <c r="C1627" t="s">
        <v>40</v>
      </c>
      <c r="D1627">
        <v>4.2112280000000002</v>
      </c>
      <c r="E1627">
        <v>0.51834480000000005</v>
      </c>
      <c r="F1627" t="s">
        <v>46</v>
      </c>
      <c r="G1627">
        <v>-332.80119999999999</v>
      </c>
      <c r="H1627" s="1">
        <v>-9.9244710000000006E-8</v>
      </c>
      <c r="I1627">
        <v>285.83139999999997</v>
      </c>
      <c r="J1627">
        <v>-307.6395</v>
      </c>
      <c r="K1627">
        <v>1.1097649999999999</v>
      </c>
      <c r="L1627">
        <v>284.2072</v>
      </c>
      <c r="M1627">
        <v>-0.99990129999999999</v>
      </c>
      <c r="N1627">
        <v>0</v>
      </c>
      <c r="O1627">
        <v>7.0549330000000002E-3</v>
      </c>
      <c r="P1627">
        <v>-0.98547419999999997</v>
      </c>
      <c r="Q1627">
        <v>0.1672921</v>
      </c>
      <c r="R1627">
        <v>2.9221779999999999E-2</v>
      </c>
      <c r="S1627">
        <v>-3.0612490000000001</v>
      </c>
      <c r="T1627">
        <v>-0.13256039999999999</v>
      </c>
      <c r="U1627">
        <v>0.19439699999999999</v>
      </c>
      <c r="V1627">
        <v>2.227473E-2</v>
      </c>
      <c r="W1627">
        <v>0.17925529999999901</v>
      </c>
      <c r="X1627">
        <v>0.98355040000000005</v>
      </c>
      <c r="Y1627">
        <v>5.6286059999999999E-2</v>
      </c>
      <c r="Z1627">
        <v>9.1182350000000004E-4</v>
      </c>
      <c r="AA1627">
        <v>0.99841429999999998</v>
      </c>
      <c r="AB1627">
        <v>44</v>
      </c>
      <c r="AC1627">
        <v>-25.1617</v>
      </c>
      <c r="AD1627">
        <v>-1.1097650992447099</v>
      </c>
      <c r="AE1627">
        <v>1.6241999999999699</v>
      </c>
      <c r="AF1627">
        <v>1.4438353525191701</v>
      </c>
      <c r="AG1627">
        <v>-1.1097650992447099</v>
      </c>
      <c r="AH1627">
        <v>25.12386303664</v>
      </c>
      <c r="AI1627">
        <v>92.525050149931999</v>
      </c>
      <c r="AJ1627">
        <v>86.710904663528595</v>
      </c>
      <c r="AK1627">
        <v>25.1897743734344</v>
      </c>
      <c r="AL1627">
        <v>79.673613930298998</v>
      </c>
      <c r="AM1627">
        <v>88.702628873345503</v>
      </c>
      <c r="AN1627">
        <v>1.00000000775741</v>
      </c>
    </row>
    <row r="1628" spans="1:40" x14ac:dyDescent="0.25">
      <c r="A1628" t="str">
        <f>"20190312164253823"</f>
        <v>20190312164253823</v>
      </c>
      <c r="B1628" t="str">
        <f>"1552380173815889"</f>
        <v>1552380173815889</v>
      </c>
      <c r="C1628" t="s">
        <v>40</v>
      </c>
      <c r="D1628">
        <v>4.2278320000000003</v>
      </c>
      <c r="E1628">
        <v>0.51835329999999902</v>
      </c>
      <c r="F1628" t="s">
        <v>46</v>
      </c>
      <c r="G1628">
        <v>-333.0915</v>
      </c>
      <c r="H1628" s="1">
        <v>5.5329039999999998E-8</v>
      </c>
      <c r="I1628">
        <v>285.82940000000002</v>
      </c>
      <c r="J1628">
        <v>-308.08440000000002</v>
      </c>
      <c r="K1628">
        <v>1.109769</v>
      </c>
      <c r="L1628">
        <v>284.21030000000002</v>
      </c>
      <c r="M1628">
        <v>-0.99990109999999999</v>
      </c>
      <c r="N1628">
        <v>0</v>
      </c>
      <c r="O1628">
        <v>7.054388E-3</v>
      </c>
      <c r="P1628">
        <v>-0.98543840000000005</v>
      </c>
      <c r="Q1628">
        <v>0.16751930000000001</v>
      </c>
      <c r="R1628">
        <v>2.913516E-2</v>
      </c>
      <c r="S1628">
        <v>-3.0610659999999998</v>
      </c>
      <c r="T1628">
        <v>-0.13346920000000001</v>
      </c>
      <c r="U1628">
        <v>0.19509889999999999</v>
      </c>
      <c r="V1628">
        <v>2.2188969999999999E-2</v>
      </c>
      <c r="W1628">
        <v>0.17951239999999999</v>
      </c>
      <c r="X1628">
        <v>0.98350539999999997</v>
      </c>
      <c r="Y1628">
        <v>5.6517539999999998E-2</v>
      </c>
      <c r="Z1628">
        <v>9.2318000000000001E-4</v>
      </c>
      <c r="AA1628">
        <v>0.99840119999999999</v>
      </c>
      <c r="AB1628">
        <v>44</v>
      </c>
      <c r="AC1628">
        <v>-25.007099999999902</v>
      </c>
      <c r="AD1628">
        <v>-1.10976894467096</v>
      </c>
      <c r="AE1628">
        <v>1.6191</v>
      </c>
      <c r="AF1628">
        <v>1.4398131021877101</v>
      </c>
      <c r="AG1628">
        <v>-1.10976894467096</v>
      </c>
      <c r="AH1628">
        <v>24.968931224442201</v>
      </c>
      <c r="AI1628">
        <v>92.540677907384193</v>
      </c>
      <c r="AJ1628">
        <v>86.699740219400198</v>
      </c>
      <c r="AK1628">
        <v>25.0350189808339</v>
      </c>
      <c r="AL1628">
        <v>79.658639822053203</v>
      </c>
      <c r="AM1628">
        <v>88.707563075867597</v>
      </c>
      <c r="AN1628">
        <v>0.99999996198628904</v>
      </c>
    </row>
    <row r="1629" spans="1:40" x14ac:dyDescent="0.25">
      <c r="A1629" t="str">
        <f>"20190312164253844"</f>
        <v>20190312164253844</v>
      </c>
      <c r="B1629" t="str">
        <f>"1552380173835408"</f>
        <v>1552380173835408</v>
      </c>
      <c r="C1629" t="s">
        <v>40</v>
      </c>
      <c r="D1629">
        <v>4.1959850000000003</v>
      </c>
      <c r="E1629">
        <v>0.51833240000000003</v>
      </c>
      <c r="F1629" t="s">
        <v>46</v>
      </c>
      <c r="G1629">
        <v>-333.6225</v>
      </c>
      <c r="H1629" s="1">
        <v>3.37500599999999E-7</v>
      </c>
      <c r="I1629">
        <v>285.83819999999997</v>
      </c>
      <c r="J1629">
        <v>-308.51119999999997</v>
      </c>
      <c r="K1629">
        <v>1.1097790000000001</v>
      </c>
      <c r="L1629">
        <v>284.2133</v>
      </c>
      <c r="M1629">
        <v>-0.99990060000000003</v>
      </c>
      <c r="N1629">
        <v>0</v>
      </c>
      <c r="O1629">
        <v>7.0541850000000001E-3</v>
      </c>
      <c r="P1629">
        <v>-0.9853982</v>
      </c>
      <c r="Q1629">
        <v>0.16773929999999901</v>
      </c>
      <c r="R1629">
        <v>2.9222999999999999E-2</v>
      </c>
      <c r="S1629">
        <v>-3.061188</v>
      </c>
      <c r="T1629">
        <v>-0.13302510000000001</v>
      </c>
      <c r="U1629">
        <v>0.19512940000000001</v>
      </c>
      <c r="V1629">
        <v>2.2277229999999999E-2</v>
      </c>
      <c r="W1629">
        <v>0.17976429999999999</v>
      </c>
      <c r="X1629">
        <v>0.98345740000000004</v>
      </c>
      <c r="Y1629">
        <v>5.6525440000000003E-2</v>
      </c>
      <c r="Z1629">
        <v>9.2025379999999995E-4</v>
      </c>
      <c r="AA1629">
        <v>0.99840070000000003</v>
      </c>
      <c r="AB1629">
        <v>44</v>
      </c>
      <c r="AC1629">
        <v>-25.1113</v>
      </c>
      <c r="AD1629">
        <v>-1.1097786624993999</v>
      </c>
      <c r="AE1629">
        <v>1.62489999999996</v>
      </c>
      <c r="AF1629">
        <v>1.44489628410374</v>
      </c>
      <c r="AG1629">
        <v>-1.1097786624993999</v>
      </c>
      <c r="AH1629">
        <v>25.0733705934272</v>
      </c>
      <c r="AI1629">
        <v>92.530136439830002</v>
      </c>
      <c r="AJ1629">
        <v>86.701879367162405</v>
      </c>
      <c r="AK1629">
        <v>25.139475866988398</v>
      </c>
      <c r="AL1629">
        <v>79.643968413352894</v>
      </c>
      <c r="AM1629">
        <v>88.702360656066205</v>
      </c>
      <c r="AN1629">
        <v>0.99999996807286096</v>
      </c>
    </row>
    <row r="1630" spans="1:40" x14ac:dyDescent="0.25">
      <c r="A1630" t="str">
        <f>"20190312164253866"</f>
        <v>20190312164253866</v>
      </c>
      <c r="B1630" t="str">
        <f>"1552380173855905"</f>
        <v>1552380173855905</v>
      </c>
      <c r="C1630" t="s">
        <v>40</v>
      </c>
      <c r="D1630">
        <v>4.547504</v>
      </c>
      <c r="E1630">
        <v>0.51835140000000002</v>
      </c>
      <c r="F1630" t="s">
        <v>46</v>
      </c>
      <c r="G1630">
        <v>-334.06150000000002</v>
      </c>
      <c r="H1630" s="1">
        <v>5.7076889999999995E-7</v>
      </c>
      <c r="I1630">
        <v>285.84629999999999</v>
      </c>
      <c r="J1630">
        <v>-308.94060000000002</v>
      </c>
      <c r="K1630">
        <v>1.109793</v>
      </c>
      <c r="L1630">
        <v>284.21640000000002</v>
      </c>
      <c r="M1630">
        <v>-0.99990020000000002</v>
      </c>
      <c r="N1630">
        <v>0</v>
      </c>
      <c r="O1630">
        <v>7.0539660000000001E-3</v>
      </c>
      <c r="P1630">
        <v>-0.98524509999999998</v>
      </c>
      <c r="Q1630">
        <v>0.16868440000000001</v>
      </c>
      <c r="R1630">
        <v>2.894039E-2</v>
      </c>
      <c r="S1630">
        <v>-3.0612789999999999</v>
      </c>
      <c r="T1630">
        <v>-0.1329669</v>
      </c>
      <c r="U1630">
        <v>0.19564819999999999</v>
      </c>
      <c r="V1630">
        <v>2.1995839999999999E-2</v>
      </c>
      <c r="W1630">
        <v>0.18074219999999999</v>
      </c>
      <c r="X1630">
        <v>0.98328450000000001</v>
      </c>
      <c r="Y1630">
        <v>5.6692140000000002E-2</v>
      </c>
      <c r="Z1630">
        <v>9.2344360000000002E-4</v>
      </c>
      <c r="AA1630">
        <v>0.99839129999999998</v>
      </c>
      <c r="AB1630">
        <v>44</v>
      </c>
      <c r="AC1630">
        <v>-25.120899999999999</v>
      </c>
      <c r="AD1630">
        <v>-1.1097924292311001</v>
      </c>
      <c r="AE1630">
        <v>1.6298999999999599</v>
      </c>
      <c r="AF1630">
        <v>1.4498264268710199</v>
      </c>
      <c r="AG1630">
        <v>-1.1097924292311001</v>
      </c>
      <c r="AH1630">
        <v>25.083023706436499</v>
      </c>
      <c r="AI1630">
        <v>92.529169987783902</v>
      </c>
      <c r="AJ1630">
        <v>86.691921553923507</v>
      </c>
      <c r="AK1630">
        <v>25.149387948053299</v>
      </c>
      <c r="AL1630">
        <v>79.587005998998194</v>
      </c>
      <c r="AM1630">
        <v>88.718520787746598</v>
      </c>
      <c r="AN1630">
        <v>0.99999998388919698</v>
      </c>
    </row>
    <row r="1631" spans="1:40" x14ac:dyDescent="0.25">
      <c r="A1631" t="str">
        <f>"20190312164253889"</f>
        <v>20190312164253889</v>
      </c>
      <c r="B1631" t="str">
        <f>"1552380173886161"</f>
        <v>1552380173886161</v>
      </c>
      <c r="C1631" t="s">
        <v>40</v>
      </c>
      <c r="D1631">
        <v>4.2501129999999998</v>
      </c>
      <c r="E1631">
        <v>0.51848689999999997</v>
      </c>
      <c r="F1631" t="s">
        <v>46</v>
      </c>
      <c r="G1631">
        <v>-335.02749999999997</v>
      </c>
      <c r="H1631" s="1">
        <v>1.08368E-6</v>
      </c>
      <c r="I1631">
        <v>285.87279999999998</v>
      </c>
      <c r="J1631">
        <v>-309.39089999999999</v>
      </c>
      <c r="K1631">
        <v>1.1098030000000001</v>
      </c>
      <c r="L1631">
        <v>284.21949999999998</v>
      </c>
      <c r="M1631">
        <v>-0.99989969999999995</v>
      </c>
      <c r="N1631">
        <v>0</v>
      </c>
      <c r="O1631">
        <v>7.053691E-3</v>
      </c>
      <c r="P1631">
        <v>-0.98527819999999999</v>
      </c>
      <c r="Q1631">
        <v>0.16845669999999999</v>
      </c>
      <c r="R1631">
        <v>2.914518E-2</v>
      </c>
      <c r="S1631">
        <v>-3.0615540000000001</v>
      </c>
      <c r="T1631">
        <v>-0.130245</v>
      </c>
      <c r="U1631">
        <v>0.19439699999999999</v>
      </c>
      <c r="V1631">
        <v>2.220074E-2</v>
      </c>
      <c r="W1631">
        <v>0.18055889999999999</v>
      </c>
      <c r="X1631">
        <v>0.98331360000000001</v>
      </c>
      <c r="Y1631">
        <v>5.6282600000000002E-2</v>
      </c>
      <c r="Z1631">
        <v>8.9580110000000003E-4</v>
      </c>
      <c r="AA1631">
        <v>0.99841449999999998</v>
      </c>
      <c r="AB1631">
        <v>44</v>
      </c>
      <c r="AC1631">
        <v>-25.636599999999898</v>
      </c>
      <c r="AD1631">
        <v>-1.1098019163199999</v>
      </c>
      <c r="AE1631">
        <v>1.6533</v>
      </c>
      <c r="AF1631">
        <v>1.46966981202667</v>
      </c>
      <c r="AG1631">
        <v>-1.1098019163199999</v>
      </c>
      <c r="AH1631">
        <v>25.599849396258101</v>
      </c>
      <c r="AI1631">
        <v>92.478250677048194</v>
      </c>
      <c r="AJ1631">
        <v>86.714295099568005</v>
      </c>
      <c r="AK1631">
        <v>25.666006287713401</v>
      </c>
      <c r="AL1631">
        <v>79.597684298827701</v>
      </c>
      <c r="AM1631">
        <v>88.706625599539393</v>
      </c>
      <c r="AN1631">
        <v>1.0000000125853501</v>
      </c>
    </row>
    <row r="1632" spans="1:40" x14ac:dyDescent="0.25">
      <c r="A1632" t="str">
        <f>"20190312164253912"</f>
        <v>20190312164253912</v>
      </c>
      <c r="B1632" t="str">
        <f>"1552380173905681"</f>
        <v>1552380173905681</v>
      </c>
      <c r="C1632" t="s">
        <v>40</v>
      </c>
      <c r="D1632">
        <v>4.3040029999999998</v>
      </c>
      <c r="E1632">
        <v>0.51835629999999999</v>
      </c>
      <c r="F1632" t="s">
        <v>46</v>
      </c>
      <c r="G1632">
        <v>-335.44</v>
      </c>
      <c r="H1632" s="1">
        <v>1.3026039999999999E-6</v>
      </c>
      <c r="I1632">
        <v>285.88580000000002</v>
      </c>
      <c r="J1632">
        <v>-309.84120000000001</v>
      </c>
      <c r="K1632">
        <v>1.1098159999999999</v>
      </c>
      <c r="L1632">
        <v>284.22269999999997</v>
      </c>
      <c r="M1632">
        <v>-0.99989899999999998</v>
      </c>
      <c r="N1632">
        <v>0</v>
      </c>
      <c r="O1632">
        <v>7.0535210000000001E-3</v>
      </c>
      <c r="P1632">
        <v>-0.98524699999999998</v>
      </c>
      <c r="Q1632">
        <v>0.16870859999999999</v>
      </c>
      <c r="R1632">
        <v>2.874111E-2</v>
      </c>
      <c r="S1632">
        <v>-3.06134</v>
      </c>
      <c r="T1632">
        <v>-0.1304263</v>
      </c>
      <c r="U1632">
        <v>0.19583130000000001</v>
      </c>
      <c r="V1632">
        <v>2.179712E-2</v>
      </c>
      <c r="W1632">
        <v>0.1808661</v>
      </c>
      <c r="X1632">
        <v>0.98326619999999998</v>
      </c>
      <c r="Y1632">
        <v>5.6752509999999999E-2</v>
      </c>
      <c r="Z1632">
        <v>9.0709860000000005E-4</v>
      </c>
      <c r="AA1632">
        <v>0.99838789999999999</v>
      </c>
      <c r="AB1632">
        <v>44</v>
      </c>
      <c r="AC1632">
        <v>-25.598799999999901</v>
      </c>
      <c r="AD1632">
        <v>-1.1098146973959999</v>
      </c>
      <c r="AE1632">
        <v>1.66310000000004</v>
      </c>
      <c r="AF1632">
        <v>1.4797136464798</v>
      </c>
      <c r="AG1632">
        <v>-1.1098146973959999</v>
      </c>
      <c r="AH1632">
        <v>25.562050622469901</v>
      </c>
      <c r="AI1632">
        <v>92.481871198583704</v>
      </c>
      <c r="AJ1632">
        <v>86.687009209939006</v>
      </c>
      <c r="AK1632">
        <v>25.628883572326199</v>
      </c>
      <c r="AL1632">
        <v>79.579788688921298</v>
      </c>
      <c r="AM1632">
        <v>88.730070793664694</v>
      </c>
      <c r="AN1632">
        <v>1.0000000403159699</v>
      </c>
    </row>
    <row r="1633" spans="1:40" x14ac:dyDescent="0.25">
      <c r="A1633" t="str">
        <f>"20190312164253933"</f>
        <v>20190312164253933</v>
      </c>
      <c r="B1633" t="str">
        <f>"1552380173926180"</f>
        <v>1552380173926180</v>
      </c>
      <c r="C1633" t="s">
        <v>40</v>
      </c>
      <c r="D1633">
        <v>4.4930729999999999</v>
      </c>
      <c r="E1633">
        <v>0.49055660000000001</v>
      </c>
      <c r="F1633" t="s">
        <v>46</v>
      </c>
      <c r="G1633">
        <v>-335.87869999999998</v>
      </c>
      <c r="H1633" s="1">
        <v>1.536523E-6</v>
      </c>
      <c r="I1633">
        <v>285.87540000000001</v>
      </c>
      <c r="J1633">
        <v>-310.2747</v>
      </c>
      <c r="K1633">
        <v>1.1098220000000001</v>
      </c>
      <c r="L1633">
        <v>284.22570000000002</v>
      </c>
      <c r="M1633">
        <v>-0.99989810000000001</v>
      </c>
      <c r="N1633">
        <v>0</v>
      </c>
      <c r="O1633">
        <v>7.0533699999999998E-3</v>
      </c>
      <c r="P1633">
        <v>-0.98520750000000001</v>
      </c>
      <c r="Q1633">
        <v>0.16890529999999901</v>
      </c>
      <c r="R1633">
        <v>2.893548E-2</v>
      </c>
      <c r="S1633">
        <v>-3.0616150000000002</v>
      </c>
      <c r="T1633">
        <v>-0.13049749999999999</v>
      </c>
      <c r="U1633">
        <v>0.19433590000000001</v>
      </c>
      <c r="V1633">
        <v>2.1991779999999999E-2</v>
      </c>
      <c r="W1633">
        <v>0.18113290000000001</v>
      </c>
      <c r="X1633">
        <v>0.98321270000000005</v>
      </c>
      <c r="Y1633">
        <v>5.6261680000000001E-2</v>
      </c>
      <c r="Z1633">
        <v>8.9708669999999998E-4</v>
      </c>
      <c r="AA1633">
        <v>0.99841559999999996</v>
      </c>
      <c r="AB1633">
        <v>44</v>
      </c>
      <c r="AC1633">
        <v>-25.6039999999999</v>
      </c>
      <c r="AD1633">
        <v>-1.1098204634769999</v>
      </c>
      <c r="AE1633">
        <v>1.64969999999999</v>
      </c>
      <c r="AF1633">
        <v>1.4663069936837501</v>
      </c>
      <c r="AG1633">
        <v>-1.1098204634769999</v>
      </c>
      <c r="AH1633">
        <v>25.567161820745898</v>
      </c>
      <c r="AI1633">
        <v>92.481464816176398</v>
      </c>
      <c r="AJ1633">
        <v>86.717614835579099</v>
      </c>
      <c r="AK1633">
        <v>25.633211293731499</v>
      </c>
      <c r="AL1633">
        <v>79.564244916080895</v>
      </c>
      <c r="AM1633">
        <v>88.718663712060106</v>
      </c>
      <c r="AN1633">
        <v>0.99999998964563397</v>
      </c>
    </row>
    <row r="1634" spans="1:40" x14ac:dyDescent="0.25">
      <c r="A1634" t="str">
        <f>"20190312164253955"</f>
        <v>20190312164253955</v>
      </c>
      <c r="B1634" t="str">
        <f>"1552380173945697"</f>
        <v>1552380173945697</v>
      </c>
      <c r="C1634" t="s">
        <v>40</v>
      </c>
      <c r="D1634">
        <v>4.4196790000000004</v>
      </c>
      <c r="E1634">
        <v>0.48037059999999998</v>
      </c>
      <c r="F1634" t="s">
        <v>46</v>
      </c>
      <c r="G1634">
        <v>-334.25970000000001</v>
      </c>
      <c r="H1634" s="1">
        <v>7.5671840000000004E-7</v>
      </c>
      <c r="I1634">
        <v>284.00569999999999</v>
      </c>
      <c r="J1634">
        <v>-310.69479999999999</v>
      </c>
      <c r="K1634">
        <v>1.109837</v>
      </c>
      <c r="L1634">
        <v>284.2287</v>
      </c>
      <c r="M1634">
        <v>-0.99989689999999998</v>
      </c>
      <c r="N1634">
        <v>0</v>
      </c>
      <c r="O1634">
        <v>7.0531319999999897E-3</v>
      </c>
      <c r="P1634">
        <v>-0.98517920000000003</v>
      </c>
      <c r="Q1634">
        <v>0.16912759999999999</v>
      </c>
      <c r="R1634">
        <v>2.86019E-2</v>
      </c>
      <c r="S1634">
        <v>-3.0702509999999998</v>
      </c>
      <c r="T1634">
        <v>-0.1420652</v>
      </c>
      <c r="U1634">
        <v>-2.816772E-2</v>
      </c>
      <c r="V1634">
        <v>2.1658730000000001E-2</v>
      </c>
      <c r="W1634">
        <v>0.18144850000000001</v>
      </c>
      <c r="X1634">
        <v>0.98316190000000003</v>
      </c>
      <c r="Y1634">
        <v>-1.6202290000000001E-2</v>
      </c>
      <c r="Z1634">
        <v>-7.0084779999999897E-4</v>
      </c>
      <c r="AA1634">
        <v>0.99986850000000005</v>
      </c>
      <c r="AB1634">
        <v>44</v>
      </c>
      <c r="AC1634">
        <v>-23.564900000000002</v>
      </c>
      <c r="AD1634">
        <v>-1.1098362432816</v>
      </c>
      <c r="AE1634">
        <v>-0.22300000000001299</v>
      </c>
      <c r="AF1634">
        <v>-0.38835246664158701</v>
      </c>
      <c r="AG1634">
        <v>-1.1098362432816</v>
      </c>
      <c r="AH1634">
        <v>23.510595950375301</v>
      </c>
      <c r="AI1634">
        <v>92.702318062102194</v>
      </c>
      <c r="AJ1634">
        <v>90.946336449807106</v>
      </c>
      <c r="AK1634">
        <v>23.539980375247801</v>
      </c>
      <c r="AL1634">
        <v>79.545857688675099</v>
      </c>
      <c r="AM1634">
        <v>88.737997140150597</v>
      </c>
      <c r="AN1634">
        <v>0.999999990174536</v>
      </c>
    </row>
    <row r="1635" spans="1:40" x14ac:dyDescent="0.25">
      <c r="A1635" t="str">
        <f>"20190312164253977"</f>
        <v>20190312164253977</v>
      </c>
      <c r="B1635" t="str">
        <f>"1552380173966193"</f>
        <v>1552380173966193</v>
      </c>
      <c r="C1635" t="s">
        <v>40</v>
      </c>
      <c r="D1635">
        <v>4.3021969999999996</v>
      </c>
      <c r="E1635">
        <v>0.47614459999999997</v>
      </c>
      <c r="F1635" t="s">
        <v>46</v>
      </c>
      <c r="G1635">
        <v>-340.40410000000003</v>
      </c>
      <c r="H1635" s="1">
        <v>-1.3217739999999999E-6</v>
      </c>
      <c r="I1635">
        <v>283.17399999999998</v>
      </c>
      <c r="J1635">
        <v>-311.13319999999999</v>
      </c>
      <c r="K1635">
        <v>1.1098669999999999</v>
      </c>
      <c r="L1635">
        <v>284.23180000000002</v>
      </c>
      <c r="M1635">
        <v>-0.99989519999999998</v>
      </c>
      <c r="N1635">
        <v>0</v>
      </c>
      <c r="O1635">
        <v>7.0529420000000004E-3</v>
      </c>
      <c r="P1635">
        <v>-0.98515109999999995</v>
      </c>
      <c r="Q1635">
        <v>0.16932559999999999</v>
      </c>
      <c r="R1635">
        <v>2.8400399999999999E-2</v>
      </c>
      <c r="S1635">
        <v>-3.0679319999999999</v>
      </c>
      <c r="T1635">
        <v>-0.1146076</v>
      </c>
      <c r="U1635">
        <v>-0.10891720000000001</v>
      </c>
      <c r="V1635">
        <v>2.1457799999999999E-2</v>
      </c>
      <c r="W1635">
        <v>0.18177769999999999</v>
      </c>
      <c r="X1635">
        <v>0.98310549999999997</v>
      </c>
      <c r="Y1635">
        <v>-4.249315E-2</v>
      </c>
      <c r="Z1635">
        <v>-1.0565010000000001E-3</v>
      </c>
      <c r="AA1635">
        <v>0.99909619999999999</v>
      </c>
      <c r="AB1635">
        <v>44</v>
      </c>
      <c r="AC1635">
        <v>-29.270900000000001</v>
      </c>
      <c r="AD1635">
        <v>-1.109868321774</v>
      </c>
      <c r="AE1635">
        <v>-1.0577999999999801</v>
      </c>
      <c r="AF1635">
        <v>-1.2624235180802601</v>
      </c>
      <c r="AG1635">
        <v>-1.109868321774</v>
      </c>
      <c r="AH1635">
        <v>29.220754524796899</v>
      </c>
      <c r="AI1635">
        <v>92.173148527465401</v>
      </c>
      <c r="AJ1635">
        <v>92.473809757802698</v>
      </c>
      <c r="AK1635">
        <v>29.269062435088699</v>
      </c>
      <c r="AL1635">
        <v>79.526677012987093</v>
      </c>
      <c r="AM1635">
        <v>88.749629415297505</v>
      </c>
      <c r="AN1635">
        <v>0.99999999676419005</v>
      </c>
    </row>
    <row r="1636" spans="1:40" x14ac:dyDescent="0.25">
      <c r="A1636" t="str">
        <f>"20190312164254002"</f>
        <v>20190312164254002</v>
      </c>
      <c r="B1636" t="str">
        <f>"1552380173995473"</f>
        <v>1552380173995473</v>
      </c>
      <c r="C1636" t="s">
        <v>40</v>
      </c>
      <c r="D1636">
        <v>4.2955579999999998</v>
      </c>
      <c r="E1636">
        <v>0.47447030000000001</v>
      </c>
      <c r="F1636" t="s">
        <v>46</v>
      </c>
      <c r="G1636">
        <v>-341.64690000000002</v>
      </c>
      <c r="H1636" s="1">
        <v>-6.6042039999999995E-7</v>
      </c>
      <c r="I1636">
        <v>282.80880000000002</v>
      </c>
      <c r="J1636">
        <v>-311.60849999999999</v>
      </c>
      <c r="K1636">
        <v>1.109909</v>
      </c>
      <c r="L1636">
        <v>284.23520000000002</v>
      </c>
      <c r="M1636">
        <v>-0.99989269999999997</v>
      </c>
      <c r="N1636">
        <v>0</v>
      </c>
      <c r="O1636">
        <v>7.0527389999999997E-3</v>
      </c>
      <c r="P1636">
        <v>-0.98513059999999997</v>
      </c>
      <c r="Q1636">
        <v>0.1694425</v>
      </c>
      <c r="R1636">
        <v>2.8409810000000001E-2</v>
      </c>
      <c r="S1636">
        <v>-3.0685419999999999</v>
      </c>
      <c r="T1636">
        <v>-0.11161169999999999</v>
      </c>
      <c r="U1636">
        <v>-0.1430969</v>
      </c>
      <c r="V1636">
        <v>2.1467469999999999E-2</v>
      </c>
      <c r="W1636">
        <v>0.18208099999999999</v>
      </c>
      <c r="X1636">
        <v>0.98304919999999996</v>
      </c>
      <c r="Y1636">
        <v>-5.3587379999999997E-2</v>
      </c>
      <c r="Z1636">
        <v>-1.2300480000000001E-3</v>
      </c>
      <c r="AA1636">
        <v>0.99856239999999996</v>
      </c>
      <c r="AB1636">
        <v>44</v>
      </c>
      <c r="AC1636">
        <v>-30.038399999999999</v>
      </c>
      <c r="AD1636">
        <v>-1.1099096604204</v>
      </c>
      <c r="AE1636">
        <v>-1.4263999999999999</v>
      </c>
      <c r="AF1636">
        <v>-1.6360063961112401</v>
      </c>
      <c r="AG1636">
        <v>-1.1099096604204</v>
      </c>
      <c r="AH1636">
        <v>29.986743752291702</v>
      </c>
      <c r="AI1636">
        <v>92.116595887436006</v>
      </c>
      <c r="AJ1636">
        <v>93.122827376693195</v>
      </c>
      <c r="AK1636">
        <v>30.05184216064</v>
      </c>
      <c r="AL1636">
        <v>79.509004691928794</v>
      </c>
      <c r="AM1636">
        <v>88.748994493129302</v>
      </c>
      <c r="AN1636">
        <v>1.00000003622491</v>
      </c>
    </row>
    <row r="1637" spans="1:40" x14ac:dyDescent="0.25">
      <c r="A1637" t="str">
        <f>"20190312164254035"</f>
        <v>20190312164254035</v>
      </c>
      <c r="B1637" t="str">
        <f>"1552380174025728"</f>
        <v>1552380174025728</v>
      </c>
      <c r="C1637" t="s">
        <v>40</v>
      </c>
      <c r="D1637">
        <v>4.4685879999999996</v>
      </c>
      <c r="E1637">
        <v>0.47368270000000001</v>
      </c>
      <c r="F1637" t="s">
        <v>46</v>
      </c>
      <c r="G1637">
        <v>-344.06029999999998</v>
      </c>
      <c r="H1637" s="1">
        <v>6.2389339999999996E-7</v>
      </c>
      <c r="I1637">
        <v>282.58850000000001</v>
      </c>
      <c r="J1637">
        <v>-312.2704</v>
      </c>
      <c r="K1637">
        <v>1.1099699999999999</v>
      </c>
      <c r="L1637">
        <v>284.2398</v>
      </c>
      <c r="M1637">
        <v>-0.99988840000000001</v>
      </c>
      <c r="N1637">
        <v>0</v>
      </c>
      <c r="O1637">
        <v>7.0521280000000004E-3</v>
      </c>
      <c r="P1637">
        <v>-0.98517299999999997</v>
      </c>
      <c r="Q1637">
        <v>0.1692118</v>
      </c>
      <c r="R1637">
        <v>2.8316669999999999E-2</v>
      </c>
      <c r="S1637">
        <v>-3.0678100000000001</v>
      </c>
      <c r="T1637">
        <v>-0.1049244</v>
      </c>
      <c r="U1637">
        <v>-0.15567020000000001</v>
      </c>
      <c r="V1637">
        <v>2.1374750000000001E-2</v>
      </c>
      <c r="W1637">
        <v>0.18217620000000001</v>
      </c>
      <c r="X1637">
        <v>0.9830335</v>
      </c>
      <c r="Y1637">
        <v>-5.7682560000000001E-2</v>
      </c>
      <c r="Z1637">
        <v>-1.2264999999999999E-3</v>
      </c>
      <c r="AA1637">
        <v>0.99833419999999895</v>
      </c>
      <c r="AB1637">
        <v>44</v>
      </c>
      <c r="AC1637">
        <v>-31.7898999999999</v>
      </c>
      <c r="AD1637">
        <v>-1.1099693761066001</v>
      </c>
      <c r="AE1637">
        <v>-1.65129999999999</v>
      </c>
      <c r="AF1637">
        <v>-1.87318733988014</v>
      </c>
      <c r="AG1637">
        <v>-1.1099693761066001</v>
      </c>
      <c r="AH1637">
        <v>31.738874041378001</v>
      </c>
      <c r="AI1637">
        <v>91.999450762647697</v>
      </c>
      <c r="AJ1637">
        <v>93.377604884432699</v>
      </c>
      <c r="AK1637">
        <v>31.813471804262999</v>
      </c>
      <c r="AL1637">
        <v>79.503456490374504</v>
      </c>
      <c r="AM1637">
        <v>88.754376109070506</v>
      </c>
      <c r="AN1637">
        <v>0.99999995495312499</v>
      </c>
    </row>
    <row r="1638" spans="1:40" x14ac:dyDescent="0.25">
      <c r="A1638" t="str">
        <f>"20190312164254067"</f>
        <v>20190312164254067</v>
      </c>
      <c r="B1638" t="str">
        <f>"1552380174055009"</f>
        <v>1552380174055009</v>
      </c>
      <c r="C1638" t="s">
        <v>40</v>
      </c>
      <c r="D1638">
        <v>4.3498099999999997</v>
      </c>
      <c r="E1638">
        <v>0.47316330000000001</v>
      </c>
      <c r="F1638" t="s">
        <v>46</v>
      </c>
      <c r="G1638">
        <v>-345.6028</v>
      </c>
      <c r="H1638" s="1">
        <v>1.444764E-6</v>
      </c>
      <c r="I1638">
        <v>282.48020000000002</v>
      </c>
      <c r="J1638">
        <v>-312.89030000000002</v>
      </c>
      <c r="K1638">
        <v>1.1100190000000001</v>
      </c>
      <c r="L1638">
        <v>284.24419999999998</v>
      </c>
      <c r="M1638">
        <v>-0.99988410000000005</v>
      </c>
      <c r="N1638">
        <v>0</v>
      </c>
      <c r="O1638">
        <v>7.0514790000000003E-3</v>
      </c>
      <c r="P1638">
        <v>-0.98526729999999996</v>
      </c>
      <c r="Q1638">
        <v>0.16873740000000001</v>
      </c>
      <c r="R1638">
        <v>2.7863140000000002E-2</v>
      </c>
      <c r="S1638">
        <v>-3.0673219999999999</v>
      </c>
      <c r="T1638">
        <v>-0.1021417</v>
      </c>
      <c r="U1638">
        <v>-0.1619263</v>
      </c>
      <c r="V1638">
        <v>2.0920999999999999E-2</v>
      </c>
      <c r="W1638">
        <v>0.1820177</v>
      </c>
      <c r="X1638">
        <v>0.98307259999999996</v>
      </c>
      <c r="Y1638">
        <v>-5.9721450000000002E-2</v>
      </c>
      <c r="Z1638">
        <v>-1.2280119999999999E-3</v>
      </c>
      <c r="AA1638">
        <v>0.9982143</v>
      </c>
      <c r="AB1638">
        <v>44</v>
      </c>
      <c r="AC1638">
        <v>-32.712499999999899</v>
      </c>
      <c r="AD1638">
        <v>-1.1100175552359901</v>
      </c>
      <c r="AE1638">
        <v>-1.7639999999999501</v>
      </c>
      <c r="AF1638">
        <v>-1.9923612584219701</v>
      </c>
      <c r="AG1638">
        <v>-1.1100175552359901</v>
      </c>
      <c r="AH1638">
        <v>32.661748394814602</v>
      </c>
      <c r="AI1638">
        <v>91.942853480769699</v>
      </c>
      <c r="AJ1638">
        <v>93.490707758658203</v>
      </c>
      <c r="AK1638">
        <v>32.741280527236</v>
      </c>
      <c r="AL1638">
        <v>79.512692068014104</v>
      </c>
      <c r="AM1638">
        <v>88.780859018485103</v>
      </c>
      <c r="AN1638">
        <v>0.99999993411252197</v>
      </c>
    </row>
    <row r="1639" spans="1:40" x14ac:dyDescent="0.25">
      <c r="A1639" t="str">
        <f>"20190312164254089"</f>
        <v>20190312164254089</v>
      </c>
      <c r="B1639" t="str">
        <f>"1552380174085677"</f>
        <v>1552380174085677</v>
      </c>
      <c r="C1639" t="s">
        <v>40</v>
      </c>
      <c r="D1639">
        <v>4.3112240000000002</v>
      </c>
      <c r="E1639">
        <v>0.47280109999999997</v>
      </c>
      <c r="F1639" t="s">
        <v>46</v>
      </c>
      <c r="G1639">
        <v>-346.49599999999998</v>
      </c>
      <c r="H1639" s="1">
        <v>1.9200670000000002E-6</v>
      </c>
      <c r="I1639">
        <v>282.404</v>
      </c>
      <c r="J1639">
        <v>-313.3272</v>
      </c>
      <c r="K1639">
        <v>1.1100509999999999</v>
      </c>
      <c r="L1639">
        <v>284.2473</v>
      </c>
      <c r="M1639">
        <v>-0.99988120000000003</v>
      </c>
      <c r="N1639">
        <v>0</v>
      </c>
      <c r="O1639">
        <v>7.0511999999999997E-3</v>
      </c>
      <c r="P1639">
        <v>-0.98528459999999995</v>
      </c>
      <c r="Q1639">
        <v>0.1686819</v>
      </c>
      <c r="R1639">
        <v>2.758126E-2</v>
      </c>
      <c r="S1639">
        <v>-3.0669249999999999</v>
      </c>
      <c r="T1639">
        <v>-0.1013023</v>
      </c>
      <c r="U1639">
        <v>-0.16793820000000001</v>
      </c>
      <c r="V1639">
        <v>2.0639279999999999E-2</v>
      </c>
      <c r="W1639">
        <v>0.1821739</v>
      </c>
      <c r="X1639">
        <v>0.98304970000000003</v>
      </c>
      <c r="Y1639">
        <v>-6.1678530000000002E-2</v>
      </c>
      <c r="Z1639">
        <v>-1.2502979999999999E-3</v>
      </c>
      <c r="AA1639">
        <v>0.99809530000000002</v>
      </c>
      <c r="AB1639">
        <v>44</v>
      </c>
      <c r="AC1639">
        <v>-33.168799999999898</v>
      </c>
      <c r="AD1639">
        <v>-1.1100490799330001</v>
      </c>
      <c r="AE1639">
        <v>-1.8432999999999899</v>
      </c>
      <c r="AF1639">
        <v>-2.0748392800564401</v>
      </c>
      <c r="AG1639">
        <v>-1.1100490799330001</v>
      </c>
      <c r="AH1639">
        <v>33.117998033931997</v>
      </c>
      <c r="AI1639">
        <v>91.915967677208897</v>
      </c>
      <c r="AJ1639">
        <v>93.584889539522905</v>
      </c>
      <c r="AK1639">
        <v>33.201490339643698</v>
      </c>
      <c r="AL1639">
        <v>79.503591110432495</v>
      </c>
      <c r="AM1639">
        <v>88.797242979240593</v>
      </c>
      <c r="AN1639">
        <v>1.0000000111951</v>
      </c>
    </row>
    <row r="1640" spans="1:40" x14ac:dyDescent="0.25">
      <c r="A1640" t="str">
        <f>"20190312164254113"</f>
        <v>20190312164254113</v>
      </c>
      <c r="B1640" t="str">
        <f>"1552380174106173"</f>
        <v>1552380174106173</v>
      </c>
      <c r="C1640" t="s">
        <v>40</v>
      </c>
      <c r="D1640">
        <v>4.2917149999999999</v>
      </c>
      <c r="E1640">
        <v>0.47259950000000001</v>
      </c>
      <c r="F1640" t="s">
        <v>46</v>
      </c>
      <c r="G1640">
        <v>-348.24880000000002</v>
      </c>
      <c r="H1640" s="1">
        <v>2.8528E-6</v>
      </c>
      <c r="I1640">
        <v>282.29020000000003</v>
      </c>
      <c r="J1640">
        <v>-313.7824</v>
      </c>
      <c r="K1640">
        <v>1.11008</v>
      </c>
      <c r="L1640">
        <v>284.25049999999999</v>
      </c>
      <c r="M1640">
        <v>-0.9998783</v>
      </c>
      <c r="N1640">
        <v>0</v>
      </c>
      <c r="O1640">
        <v>7.0512419999999897E-3</v>
      </c>
      <c r="P1640">
        <v>-0.98517339999999998</v>
      </c>
      <c r="Q1640">
        <v>0.16926720000000001</v>
      </c>
      <c r="R1640">
        <v>2.7969170000000002E-2</v>
      </c>
      <c r="S1640">
        <v>-3.0663149999999999</v>
      </c>
      <c r="T1640">
        <v>-9.74685E-2</v>
      </c>
      <c r="U1640">
        <v>-0.17184449999999901</v>
      </c>
      <c r="V1640">
        <v>2.1028020000000001E-2</v>
      </c>
      <c r="W1640">
        <v>0.1829624</v>
      </c>
      <c r="X1640">
        <v>0.98289499999999996</v>
      </c>
      <c r="Y1640">
        <v>-6.2959100000000004E-2</v>
      </c>
      <c r="Z1640">
        <v>-1.2235359999999999E-3</v>
      </c>
      <c r="AA1640">
        <v>0.99801530000000005</v>
      </c>
      <c r="AB1640">
        <v>44</v>
      </c>
      <c r="AC1640">
        <v>-34.4664</v>
      </c>
      <c r="AD1640">
        <v>-1.1100771471999999</v>
      </c>
      <c r="AE1640">
        <v>-1.96029999999996</v>
      </c>
      <c r="AF1640">
        <v>-2.2010299013973702</v>
      </c>
      <c r="AG1640">
        <v>-1.1100771471999999</v>
      </c>
      <c r="AH1640">
        <v>34.416133528389203</v>
      </c>
      <c r="AI1640">
        <v>91.843645680753298</v>
      </c>
      <c r="AJ1640">
        <v>93.659278378346499</v>
      </c>
      <c r="AK1640">
        <v>34.504304817565803</v>
      </c>
      <c r="AL1640">
        <v>79.4576409875785</v>
      </c>
      <c r="AM1640">
        <v>88.774403133172498</v>
      </c>
      <c r="AN1640">
        <v>0.99999999923194005</v>
      </c>
    </row>
    <row r="1641" spans="1:40" x14ac:dyDescent="0.25">
      <c r="A1641" t="str">
        <f>"20190312164254134"</f>
        <v>20190312164254134</v>
      </c>
      <c r="B1641" t="str">
        <f>"1552380174125693"</f>
        <v>1552380174125693</v>
      </c>
      <c r="C1641" t="s">
        <v>40</v>
      </c>
      <c r="D1641">
        <v>4.553795</v>
      </c>
      <c r="E1641">
        <v>0.47254370000000001</v>
      </c>
      <c r="F1641" t="s">
        <v>46</v>
      </c>
      <c r="G1641">
        <v>-349.90960000000001</v>
      </c>
      <c r="H1641" s="1">
        <v>3.736625E-6</v>
      </c>
      <c r="I1641">
        <v>282.22829999999999</v>
      </c>
      <c r="J1641">
        <v>-314.21370000000002</v>
      </c>
      <c r="K1641">
        <v>1.1100969999999999</v>
      </c>
      <c r="L1641">
        <v>284.25349999999997</v>
      </c>
      <c r="M1641">
        <v>-0.99987590000000004</v>
      </c>
      <c r="N1641">
        <v>0</v>
      </c>
      <c r="O1641">
        <v>7.05099E-3</v>
      </c>
      <c r="P1641">
        <v>-0.98505830000000005</v>
      </c>
      <c r="Q1641">
        <v>0.16996</v>
      </c>
      <c r="R1641">
        <v>2.7817740000000001E-2</v>
      </c>
      <c r="S1641">
        <v>-3.0662229999999999</v>
      </c>
      <c r="T1641">
        <v>-9.4215389999999996E-2</v>
      </c>
      <c r="U1641">
        <v>-0.1716309</v>
      </c>
      <c r="V1641">
        <v>2.087746E-2</v>
      </c>
      <c r="W1641">
        <v>0.18383050000000001</v>
      </c>
      <c r="X1641">
        <v>0.98273619999999995</v>
      </c>
      <c r="Y1641">
        <v>-6.2893560000000001E-2</v>
      </c>
      <c r="Z1641">
        <v>-1.1817430000000001E-3</v>
      </c>
      <c r="AA1641">
        <v>0.99801949999999995</v>
      </c>
      <c r="AB1641">
        <v>44</v>
      </c>
      <c r="AC1641">
        <v>-35.695899999999902</v>
      </c>
      <c r="AD1641">
        <v>-1.11009326337499</v>
      </c>
      <c r="AE1641">
        <v>-2.0251999999999799</v>
      </c>
      <c r="AF1641">
        <v>-2.27467322731211</v>
      </c>
      <c r="AG1641">
        <v>-1.11009326337499</v>
      </c>
      <c r="AH1641">
        <v>35.646367539864798</v>
      </c>
      <c r="AI1641">
        <v>91.780100918364397</v>
      </c>
      <c r="AJ1641">
        <v>93.651219341961607</v>
      </c>
      <c r="AK1641">
        <v>35.736115683319099</v>
      </c>
      <c r="AL1641">
        <v>79.407044144888303</v>
      </c>
      <c r="AM1641">
        <v>88.782979155439804</v>
      </c>
      <c r="AN1641">
        <v>0.99999997992836998</v>
      </c>
    </row>
    <row r="1642" spans="1:40" x14ac:dyDescent="0.25">
      <c r="A1642" t="str">
        <f>"20190312164254156"</f>
        <v>20190312164254156</v>
      </c>
      <c r="B1642" t="str">
        <f>"1552380174146188"</f>
        <v>1552380174146188</v>
      </c>
      <c r="C1642" t="s">
        <v>40</v>
      </c>
      <c r="D1642">
        <v>4.2854700000000001</v>
      </c>
      <c r="E1642">
        <v>0.47249930000000001</v>
      </c>
      <c r="F1642" t="s">
        <v>46</v>
      </c>
      <c r="G1642">
        <v>-351.69170000000003</v>
      </c>
      <c r="H1642" s="1">
        <v>-6.3653069999999899E-7</v>
      </c>
      <c r="I1642">
        <v>282.1388</v>
      </c>
      <c r="J1642">
        <v>-314.63279999999997</v>
      </c>
      <c r="K1642">
        <v>1.1101129999999999</v>
      </c>
      <c r="L1642">
        <v>284.25650000000002</v>
      </c>
      <c r="M1642">
        <v>-0.99987349999999997</v>
      </c>
      <c r="N1642">
        <v>0</v>
      </c>
      <c r="O1642">
        <v>7.0508849999999998E-3</v>
      </c>
      <c r="P1642">
        <v>-0.98506859999999996</v>
      </c>
      <c r="Q1642">
        <v>0.16975999999999999</v>
      </c>
      <c r="R1642">
        <v>2.8661229999999999E-2</v>
      </c>
      <c r="S1642">
        <v>-3.066071</v>
      </c>
      <c r="T1642">
        <v>-9.0816969999999997E-2</v>
      </c>
      <c r="U1642">
        <v>-0.1730042</v>
      </c>
      <c r="V1642">
        <v>2.1720989999999999E-2</v>
      </c>
      <c r="W1642">
        <v>0.18378510000000001</v>
      </c>
      <c r="X1642">
        <v>0.98272649999999995</v>
      </c>
      <c r="Y1642">
        <v>-6.3343999999999998E-2</v>
      </c>
      <c r="Z1642">
        <v>-1.14584E-3</v>
      </c>
      <c r="AA1642">
        <v>0.99799110000000002</v>
      </c>
      <c r="AB1642">
        <v>44</v>
      </c>
      <c r="AC1642">
        <v>-37.058900000000001</v>
      </c>
      <c r="AD1642">
        <v>-1.1101136365306901</v>
      </c>
      <c r="AE1642">
        <v>-2.1177000000000099</v>
      </c>
      <c r="AF1642">
        <v>-2.37684608921287</v>
      </c>
      <c r="AG1642">
        <v>-1.1101136365306901</v>
      </c>
      <c r="AH1642">
        <v>37.009943573605703</v>
      </c>
      <c r="AI1642">
        <v>91.714542353751497</v>
      </c>
      <c r="AJ1642">
        <v>93.674593139722901</v>
      </c>
      <c r="AK1642">
        <v>37.102798721111299</v>
      </c>
      <c r="AL1642">
        <v>79.409691415933807</v>
      </c>
      <c r="AM1642">
        <v>88.733810017301394</v>
      </c>
      <c r="AN1642">
        <v>1.0000000690954101</v>
      </c>
    </row>
    <row r="1643" spans="1:40" x14ac:dyDescent="0.25">
      <c r="A1643" t="str">
        <f>"20190312164254178"</f>
        <v>20190312164254178</v>
      </c>
      <c r="B1643" t="str">
        <f>"1552380174175977"</f>
        <v>1552380174175977</v>
      </c>
      <c r="C1643" t="s">
        <v>40</v>
      </c>
      <c r="D1643">
        <v>4.4920540000000004</v>
      </c>
      <c r="E1643">
        <v>0.47229719999999997</v>
      </c>
      <c r="F1643" t="s">
        <v>46</v>
      </c>
      <c r="G1643">
        <v>-352.50450000000001</v>
      </c>
      <c r="H1643" s="1">
        <v>-2.0400390000000001E-7</v>
      </c>
      <c r="I1643">
        <v>282.14019999999999</v>
      </c>
      <c r="J1643">
        <v>-315.07029999999997</v>
      </c>
      <c r="K1643">
        <v>1.1101219999999901</v>
      </c>
      <c r="L1643">
        <v>284.25959999999998</v>
      </c>
      <c r="M1643">
        <v>-0.99987139999999997</v>
      </c>
      <c r="N1643">
        <v>0</v>
      </c>
      <c r="O1643">
        <v>7.0508469999999998E-3</v>
      </c>
      <c r="P1643">
        <v>-0.98503819999999997</v>
      </c>
      <c r="Q1643">
        <v>0.1698982</v>
      </c>
      <c r="R1643">
        <v>2.8883590000000001E-2</v>
      </c>
      <c r="S1643">
        <v>-3.0659480000000001</v>
      </c>
      <c r="T1643">
        <v>-8.9870569999999997E-2</v>
      </c>
      <c r="U1643">
        <v>-0.1713257</v>
      </c>
      <c r="V1643">
        <v>2.1943509999999999E-2</v>
      </c>
      <c r="W1643">
        <v>0.18406629999999999</v>
      </c>
      <c r="X1643">
        <v>0.98266889999999996</v>
      </c>
      <c r="Y1643">
        <v>-6.2802419999999998E-2</v>
      </c>
      <c r="Z1643">
        <v>-1.126036E-3</v>
      </c>
      <c r="AA1643">
        <v>0.99802539999999995</v>
      </c>
      <c r="AB1643">
        <v>44</v>
      </c>
      <c r="AC1643">
        <v>-37.434199999999997</v>
      </c>
      <c r="AD1643">
        <v>-1.1101222040038901</v>
      </c>
      <c r="AE1643">
        <v>-2.1193999999999802</v>
      </c>
      <c r="AF1643">
        <v>-2.38123005770681</v>
      </c>
      <c r="AG1643">
        <v>-1.1101222040038901</v>
      </c>
      <c r="AH1643">
        <v>37.385551005710099</v>
      </c>
      <c r="AI1643">
        <v>91.697396853034107</v>
      </c>
      <c r="AJ1643">
        <v>93.644466267217098</v>
      </c>
      <c r="AK1643">
        <v>37.477754093543197</v>
      </c>
      <c r="AL1643">
        <v>79.393299940146605</v>
      </c>
      <c r="AM1643">
        <v>88.720767907730107</v>
      </c>
      <c r="AN1643">
        <v>1.000000043727</v>
      </c>
    </row>
    <row r="1644" spans="1:40" x14ac:dyDescent="0.25">
      <c r="A1644" t="str">
        <f>"20190312164254202"</f>
        <v>20190312164254202</v>
      </c>
      <c r="B1644" t="str">
        <f>"1552380174195497"</f>
        <v>1552380174195497</v>
      </c>
      <c r="C1644" t="s">
        <v>40</v>
      </c>
      <c r="D1644">
        <v>4.455622</v>
      </c>
      <c r="E1644">
        <v>0.4721226</v>
      </c>
      <c r="F1644" t="s">
        <v>46</v>
      </c>
      <c r="G1644">
        <v>-352.99239999999998</v>
      </c>
      <c r="H1644" s="1">
        <v>5.5637999999999998E-8</v>
      </c>
      <c r="I1644">
        <v>282.13</v>
      </c>
      <c r="J1644">
        <v>-315.51339999999999</v>
      </c>
      <c r="K1644">
        <v>1.110133</v>
      </c>
      <c r="L1644">
        <v>284.2627</v>
      </c>
      <c r="M1644">
        <v>-0.99986960000000003</v>
      </c>
      <c r="N1644">
        <v>0</v>
      </c>
      <c r="O1644">
        <v>7.0507360000000002E-3</v>
      </c>
      <c r="P1644">
        <v>-0.98509610000000003</v>
      </c>
      <c r="Q1644">
        <v>0.16944319999999999</v>
      </c>
      <c r="R1644">
        <v>2.9577800000000001E-2</v>
      </c>
      <c r="S1644">
        <v>-3.0661320000000001</v>
      </c>
      <c r="T1644">
        <v>-8.9757080000000003E-2</v>
      </c>
      <c r="U1644">
        <v>-0.17218020000000001</v>
      </c>
      <c r="V1644">
        <v>2.2637419999999998E-2</v>
      </c>
      <c r="W1644">
        <v>0.1837405</v>
      </c>
      <c r="X1644">
        <v>0.98271410000000003</v>
      </c>
      <c r="Y1644">
        <v>-6.3076229999999997E-2</v>
      </c>
      <c r="Z1644">
        <v>-1.1285399999999999E-3</v>
      </c>
      <c r="AA1644">
        <v>0.99800809999999995</v>
      </c>
      <c r="AB1644">
        <v>44</v>
      </c>
      <c r="AC1644">
        <v>-37.4789999999999</v>
      </c>
      <c r="AD1644">
        <v>-1.1101329443619901</v>
      </c>
      <c r="AE1644">
        <v>-2.1326999999999998</v>
      </c>
      <c r="AF1644">
        <v>-2.3948350715214399</v>
      </c>
      <c r="AG1644">
        <v>-1.1101329443619901</v>
      </c>
      <c r="AH1644">
        <v>37.430295944066899</v>
      </c>
      <c r="AI1644">
        <v>91.695354374687298</v>
      </c>
      <c r="AJ1644">
        <v>93.6608625342366</v>
      </c>
      <c r="AK1644">
        <v>37.5232552510357</v>
      </c>
      <c r="AL1644">
        <v>79.412290479867195</v>
      </c>
      <c r="AM1644">
        <v>88.680390074872903</v>
      </c>
      <c r="AN1644">
        <v>1.00000001323165</v>
      </c>
    </row>
    <row r="1645" spans="1:40" x14ac:dyDescent="0.25">
      <c r="A1645" t="str">
        <f>"20190312164254225"</f>
        <v>20190312164254225</v>
      </c>
      <c r="B1645" t="str">
        <f>"1552380174215993"</f>
        <v>1552380174215993</v>
      </c>
      <c r="C1645" t="s">
        <v>40</v>
      </c>
      <c r="D1645">
        <v>4.205711</v>
      </c>
      <c r="E1645">
        <v>0.47207919999999998</v>
      </c>
      <c r="F1645" t="s">
        <v>46</v>
      </c>
      <c r="G1645">
        <v>-352.41370000000001</v>
      </c>
      <c r="H1645" s="1">
        <v>-2.5233739999999999E-7</v>
      </c>
      <c r="I1645">
        <v>282.19880000000001</v>
      </c>
      <c r="J1645">
        <v>-315.98110000000003</v>
      </c>
      <c r="K1645">
        <v>1.110139</v>
      </c>
      <c r="L1645">
        <v>284.26609999999999</v>
      </c>
      <c r="M1645">
        <v>-0.99986790000000003</v>
      </c>
      <c r="N1645">
        <v>0</v>
      </c>
      <c r="O1645">
        <v>7.0505259999999997E-3</v>
      </c>
      <c r="P1645">
        <v>-0.98508229999999997</v>
      </c>
      <c r="Q1645">
        <v>0.16944119999999999</v>
      </c>
      <c r="R1645">
        <v>3.0039349999999999E-2</v>
      </c>
      <c r="S1645">
        <v>-3.0664060000000002</v>
      </c>
      <c r="T1645">
        <v>-9.2251899999999901E-2</v>
      </c>
      <c r="U1645">
        <v>-0.17150879999999999</v>
      </c>
      <c r="V1645">
        <v>2.3099290000000001E-2</v>
      </c>
      <c r="W1645">
        <v>0.1838545</v>
      </c>
      <c r="X1645">
        <v>0.98268200000000006</v>
      </c>
      <c r="Y1645">
        <v>-6.2851610000000002E-2</v>
      </c>
      <c r="Z1645">
        <v>-1.156416E-3</v>
      </c>
      <c r="AA1645">
        <v>0.99802219999999997</v>
      </c>
      <c r="AB1645">
        <v>44</v>
      </c>
      <c r="AC1645">
        <v>-36.432599999999901</v>
      </c>
      <c r="AD1645">
        <v>-1.1101392523373901</v>
      </c>
      <c r="AE1645">
        <v>-2.0672999999999799</v>
      </c>
      <c r="AF1645">
        <v>-2.3219961316582798</v>
      </c>
      <c r="AG1645">
        <v>-1.1101392523373901</v>
      </c>
      <c r="AH1645">
        <v>36.383444109624101</v>
      </c>
      <c r="AI1645">
        <v>91.744132450508801</v>
      </c>
      <c r="AJ1645">
        <v>93.651671704437405</v>
      </c>
      <c r="AK1645">
        <v>36.474361961152297</v>
      </c>
      <c r="AL1645">
        <v>79.405645243088003</v>
      </c>
      <c r="AM1645">
        <v>88.653431992671898</v>
      </c>
      <c r="AN1645">
        <v>0.999999983746376</v>
      </c>
    </row>
    <row r="1646" spans="1:40" x14ac:dyDescent="0.25">
      <c r="A1646" t="str">
        <f>"20190312164254246"</f>
        <v>20190312164254246</v>
      </c>
      <c r="B1646" t="str">
        <f>"1552380174235513"</f>
        <v>1552380174235513</v>
      </c>
      <c r="C1646" t="s">
        <v>40</v>
      </c>
      <c r="D1646">
        <v>4.195614</v>
      </c>
      <c r="E1646">
        <v>0.4719874</v>
      </c>
      <c r="F1646" t="s">
        <v>46</v>
      </c>
      <c r="G1646">
        <v>-352.96679999999998</v>
      </c>
      <c r="H1646" s="1">
        <v>4.1977099999999998E-8</v>
      </c>
      <c r="I1646">
        <v>282.2088</v>
      </c>
      <c r="J1646">
        <v>-316.38290000000001</v>
      </c>
      <c r="K1646">
        <v>1.1101449999999999</v>
      </c>
      <c r="L1646">
        <v>284.26889999999997</v>
      </c>
      <c r="M1646">
        <v>-0.9998667</v>
      </c>
      <c r="N1646">
        <v>0</v>
      </c>
      <c r="O1646">
        <v>7.0502269999999896E-3</v>
      </c>
      <c r="P1646">
        <v>-0.98509100000000005</v>
      </c>
      <c r="Q1646">
        <v>0.16936279999999901</v>
      </c>
      <c r="R1646">
        <v>3.0206879999999998E-2</v>
      </c>
      <c r="S1646">
        <v>-3.0664370000000001</v>
      </c>
      <c r="T1646">
        <v>-9.2040300000000005E-2</v>
      </c>
      <c r="U1646">
        <v>-0.17056270000000001</v>
      </c>
      <c r="V1646">
        <v>2.326721E-2</v>
      </c>
      <c r="W1646">
        <v>0.18386340000000001</v>
      </c>
      <c r="X1646">
        <v>0.98267640000000001</v>
      </c>
      <c r="Y1646">
        <v>-6.254411E-2</v>
      </c>
      <c r="Z1646">
        <v>-1.1491439999999999E-3</v>
      </c>
      <c r="AA1646">
        <v>0.99804150000000003</v>
      </c>
      <c r="AB1646">
        <v>43</v>
      </c>
      <c r="AC1646">
        <v>-36.5838999999999</v>
      </c>
      <c r="AD1646">
        <v>-1.1101449580228999</v>
      </c>
      <c r="AE1646">
        <v>-2.0600999999999701</v>
      </c>
      <c r="AF1646">
        <v>-2.31587577529453</v>
      </c>
      <c r="AG1646">
        <v>-1.1101449580228999</v>
      </c>
      <c r="AH1646">
        <v>36.534928720328701</v>
      </c>
      <c r="AI1646">
        <v>91.736961641948696</v>
      </c>
      <c r="AJ1646">
        <v>93.627011793506995</v>
      </c>
      <c r="AK1646">
        <v>36.625083194907802</v>
      </c>
      <c r="AL1646">
        <v>79.405126748445497</v>
      </c>
      <c r="AM1646">
        <v>88.643639050315798</v>
      </c>
      <c r="AN1646">
        <v>1.00000001001885</v>
      </c>
    </row>
    <row r="1647" spans="1:40" x14ac:dyDescent="0.25">
      <c r="A1647" t="str">
        <f>"20190312164254268"</f>
        <v>20190312164254268</v>
      </c>
      <c r="B1647" t="str">
        <f>"1552380174265769"</f>
        <v>1552380174265769</v>
      </c>
      <c r="C1647" t="s">
        <v>40</v>
      </c>
      <c r="D1647">
        <v>4.1722659999999996</v>
      </c>
      <c r="E1647">
        <v>0.47198760000000001</v>
      </c>
      <c r="F1647" t="s">
        <v>46</v>
      </c>
      <c r="G1647">
        <v>-353.2226</v>
      </c>
      <c r="H1647" s="1">
        <v>1.781262E-7</v>
      </c>
      <c r="I1647">
        <v>282.21690000000001</v>
      </c>
      <c r="J1647">
        <v>-316.80889999999999</v>
      </c>
      <c r="K1647">
        <v>1.1101490000000001</v>
      </c>
      <c r="L1647">
        <v>284.27190000000002</v>
      </c>
      <c r="M1647">
        <v>-0.99986529999999996</v>
      </c>
      <c r="N1647">
        <v>0</v>
      </c>
      <c r="O1647">
        <v>7.0502710000000003E-3</v>
      </c>
      <c r="P1647">
        <v>-0.98508240000000002</v>
      </c>
      <c r="Q1647">
        <v>0.16947129999999999</v>
      </c>
      <c r="R1647">
        <v>2.9867609999999999E-2</v>
      </c>
      <c r="S1647">
        <v>-3.0664980000000002</v>
      </c>
      <c r="T1647">
        <v>-9.2407230000000007E-2</v>
      </c>
      <c r="U1647">
        <v>-0.17080689999999901</v>
      </c>
      <c r="V1647">
        <v>2.2927880000000001E-2</v>
      </c>
      <c r="W1647">
        <v>0.1840532</v>
      </c>
      <c r="X1647">
        <v>0.98264879999999999</v>
      </c>
      <c r="Y1647">
        <v>-6.2621969999999999E-2</v>
      </c>
      <c r="Z1647">
        <v>-1.154871E-3</v>
      </c>
      <c r="AA1647">
        <v>0.99803660000000005</v>
      </c>
      <c r="AB1647">
        <v>43</v>
      </c>
      <c r="AC1647">
        <v>-36.413699999999999</v>
      </c>
      <c r="AD1647">
        <v>-1.1101488218738</v>
      </c>
      <c r="AE1647">
        <v>-2.0550000000000002</v>
      </c>
      <c r="AF1647">
        <v>-2.30956372868599</v>
      </c>
      <c r="AG1647">
        <v>-1.1101488218738</v>
      </c>
      <c r="AH1647">
        <v>36.3646125872867</v>
      </c>
      <c r="AI1647">
        <v>91.745084281418102</v>
      </c>
      <c r="AJ1647">
        <v>93.634048341214907</v>
      </c>
      <c r="AK1647">
        <v>36.454787938582498</v>
      </c>
      <c r="AL1647">
        <v>79.394062728690301</v>
      </c>
      <c r="AM1647">
        <v>88.663375520919104</v>
      </c>
      <c r="AN1647">
        <v>0.99999996612648601</v>
      </c>
    </row>
    <row r="1648" spans="1:40" x14ac:dyDescent="0.25">
      <c r="A1648" t="str">
        <f>"20190312164254292"</f>
        <v>20190312164254292</v>
      </c>
      <c r="B1648" t="str">
        <f>"1552380174285289"</f>
        <v>1552380174285289</v>
      </c>
      <c r="C1648" t="s">
        <v>40</v>
      </c>
      <c r="D1648">
        <v>4.1740560000000002</v>
      </c>
      <c r="E1648">
        <v>0.47195880000000001</v>
      </c>
      <c r="F1648" t="s">
        <v>46</v>
      </c>
      <c r="G1648">
        <v>-353.69560000000001</v>
      </c>
      <c r="H1648" s="1">
        <v>4.2983259999999898E-7</v>
      </c>
      <c r="I1648">
        <v>282.19970000000001</v>
      </c>
      <c r="J1648">
        <v>-317.2629</v>
      </c>
      <c r="K1648">
        <v>1.1101559999999999</v>
      </c>
      <c r="L1648">
        <v>284.27510000000001</v>
      </c>
      <c r="M1648">
        <v>-0.99986430000000004</v>
      </c>
      <c r="N1648">
        <v>0</v>
      </c>
      <c r="O1648">
        <v>7.0500629999999996E-3</v>
      </c>
      <c r="P1648">
        <v>-0.98503249999999998</v>
      </c>
      <c r="Q1648">
        <v>0.1697582</v>
      </c>
      <c r="R1648">
        <v>2.988886E-2</v>
      </c>
      <c r="S1648">
        <v>-3.0665589999999998</v>
      </c>
      <c r="T1648">
        <v>-9.2291590000000007E-2</v>
      </c>
      <c r="U1648">
        <v>-0.1722717</v>
      </c>
      <c r="V1648">
        <v>2.2949669999999998E-2</v>
      </c>
      <c r="W1648">
        <v>0.18441360000000001</v>
      </c>
      <c r="X1648">
        <v>0.98258080000000003</v>
      </c>
      <c r="Y1648">
        <v>-6.3095789999999999E-2</v>
      </c>
      <c r="Z1648">
        <v>-1.160505E-3</v>
      </c>
      <c r="AA1648">
        <v>0.99800679999999997</v>
      </c>
      <c r="AB1648">
        <v>43</v>
      </c>
      <c r="AC1648">
        <v>-36.432699999999997</v>
      </c>
      <c r="AD1648">
        <v>-1.1101555701674</v>
      </c>
      <c r="AE1648">
        <v>-2.0754000000000001</v>
      </c>
      <c r="AF1648">
        <v>-2.3300732247192601</v>
      </c>
      <c r="AG1648">
        <v>-1.1101555701674</v>
      </c>
      <c r="AH1648">
        <v>36.383488014707403</v>
      </c>
      <c r="AI1648">
        <v>91.744131338631306</v>
      </c>
      <c r="AJ1648">
        <v>93.664335132108704</v>
      </c>
      <c r="AK1648">
        <v>36.474921339721703</v>
      </c>
      <c r="AL1648">
        <v>79.373054564786699</v>
      </c>
      <c r="AM1648">
        <v>88.662013136813698</v>
      </c>
      <c r="AN1648">
        <v>1.00000004587335</v>
      </c>
    </row>
    <row r="1649" spans="1:40" x14ac:dyDescent="0.25">
      <c r="A1649" t="str">
        <f>"20190312164254314"</f>
        <v>20190312164254314</v>
      </c>
      <c r="B1649" t="str">
        <f>"1552380174305786"</f>
        <v>1552380174305786</v>
      </c>
      <c r="C1649" t="s">
        <v>40</v>
      </c>
      <c r="D1649">
        <v>4.1115640000000004</v>
      </c>
      <c r="E1649">
        <v>0.4719373</v>
      </c>
      <c r="F1649" t="s">
        <v>46</v>
      </c>
      <c r="G1649">
        <v>-354.37819999999999</v>
      </c>
      <c r="H1649" s="1">
        <v>7.9306749999999897E-7</v>
      </c>
      <c r="I1649">
        <v>282.18819999999999</v>
      </c>
      <c r="J1649">
        <v>-317.69819999999999</v>
      </c>
      <c r="K1649">
        <v>1.1101620000000001</v>
      </c>
      <c r="L1649">
        <v>284.27809999999999</v>
      </c>
      <c r="M1649">
        <v>-0.99986339999999996</v>
      </c>
      <c r="N1649">
        <v>0</v>
      </c>
      <c r="O1649">
        <v>7.0497880000000004E-3</v>
      </c>
      <c r="P1649">
        <v>-0.98506070000000001</v>
      </c>
      <c r="Q1649">
        <v>0.16958689999999901</v>
      </c>
      <c r="R1649">
        <v>2.9935799999999999E-2</v>
      </c>
      <c r="S1649">
        <v>-3.0666199999999999</v>
      </c>
      <c r="T1649">
        <v>-9.1725710000000002E-2</v>
      </c>
      <c r="U1649">
        <v>-0.1724243</v>
      </c>
      <c r="V1649">
        <v>2.299673E-2</v>
      </c>
      <c r="W1649">
        <v>0.18430199999999999</v>
      </c>
      <c r="X1649">
        <v>0.98260060000000005</v>
      </c>
      <c r="Y1649">
        <v>-6.3144279999999997E-2</v>
      </c>
      <c r="Z1649">
        <v>-1.154085E-3</v>
      </c>
      <c r="AA1649">
        <v>0.99800370000000005</v>
      </c>
      <c r="AB1649">
        <v>43</v>
      </c>
      <c r="AC1649">
        <v>-36.68</v>
      </c>
      <c r="AD1649">
        <v>-1.1101612069325</v>
      </c>
      <c r="AE1649">
        <v>-2.0899000000000001</v>
      </c>
      <c r="AF1649">
        <v>-2.3463208136195202</v>
      </c>
      <c r="AG1649">
        <v>-1.1101612069325</v>
      </c>
      <c r="AH1649">
        <v>36.6309065777576</v>
      </c>
      <c r="AI1649">
        <v>91.732365616787206</v>
      </c>
      <c r="AJ1649">
        <v>93.664961964242394</v>
      </c>
      <c r="AK1649">
        <v>36.722758556162503</v>
      </c>
      <c r="AL1649">
        <v>79.379559879419105</v>
      </c>
      <c r="AM1649">
        <v>88.659297502613995</v>
      </c>
      <c r="AN1649">
        <v>1.00000000795752</v>
      </c>
    </row>
    <row r="1650" spans="1:40" x14ac:dyDescent="0.25">
      <c r="A1650" t="str">
        <f>"20190312164254336"</f>
        <v>20190312164254336</v>
      </c>
      <c r="B1650" t="str">
        <f>"1552380174325305"</f>
        <v>1552380174325305</v>
      </c>
      <c r="C1650" t="s">
        <v>40</v>
      </c>
      <c r="D1650">
        <v>4.0764870000000002</v>
      </c>
      <c r="E1650">
        <v>0.47190189999999999</v>
      </c>
      <c r="F1650" t="s">
        <v>46</v>
      </c>
      <c r="G1650">
        <v>-354.32569999999998</v>
      </c>
      <c r="H1650" s="1">
        <v>7.6515749999999999E-7</v>
      </c>
      <c r="I1650">
        <v>282.22460000000001</v>
      </c>
      <c r="J1650">
        <v>-318.11720000000003</v>
      </c>
      <c r="K1650">
        <v>1.110168</v>
      </c>
      <c r="L1650">
        <v>284.28109999999998</v>
      </c>
      <c r="M1650">
        <v>-0.99986269999999999</v>
      </c>
      <c r="N1650">
        <v>0</v>
      </c>
      <c r="O1650">
        <v>7.0495610000000002E-3</v>
      </c>
      <c r="P1650">
        <v>-0.98507290000000003</v>
      </c>
      <c r="Q1650">
        <v>0.16956459999999901</v>
      </c>
      <c r="R1650">
        <v>2.9655170000000002E-2</v>
      </c>
      <c r="S1650">
        <v>-3.0667719999999998</v>
      </c>
      <c r="T1650">
        <v>-9.295225E-2</v>
      </c>
      <c r="U1650">
        <v>-0.17193599999999901</v>
      </c>
      <c r="V1650">
        <v>2.2716199999999999E-2</v>
      </c>
      <c r="W1650">
        <v>0.1843255</v>
      </c>
      <c r="X1650">
        <v>0.98260270000000005</v>
      </c>
      <c r="Y1650">
        <v>-6.2982109999999994E-2</v>
      </c>
      <c r="Z1650">
        <v>-1.1669950000000001E-3</v>
      </c>
      <c r="AA1650">
        <v>0.99801399999999996</v>
      </c>
      <c r="AB1650">
        <v>43</v>
      </c>
      <c r="AC1650">
        <v>-36.208499999999901</v>
      </c>
      <c r="AD1650">
        <v>-1.1101672348425</v>
      </c>
      <c r="AE1650">
        <v>-2.05649999999997</v>
      </c>
      <c r="AF1650">
        <v>-2.3095674715871599</v>
      </c>
      <c r="AG1650">
        <v>-1.1101672348425</v>
      </c>
      <c r="AH1650">
        <v>36.159218469265703</v>
      </c>
      <c r="AI1650">
        <v>91.754979590717198</v>
      </c>
      <c r="AJ1650">
        <v>93.654640835847403</v>
      </c>
      <c r="AK1650">
        <v>36.249905565438603</v>
      </c>
      <c r="AL1650">
        <v>79.378189774774199</v>
      </c>
      <c r="AM1650">
        <v>88.675649286682003</v>
      </c>
      <c r="AN1650">
        <v>0.99999999086999003</v>
      </c>
    </row>
    <row r="1651" spans="1:40" x14ac:dyDescent="0.25">
      <c r="A1651" t="str">
        <f>"20190312164254357"</f>
        <v>20190312164254357</v>
      </c>
      <c r="B1651" t="str">
        <f>"1552380174345802"</f>
        <v>1552380174345802</v>
      </c>
      <c r="C1651" t="s">
        <v>40</v>
      </c>
      <c r="D1651">
        <v>4.394584</v>
      </c>
      <c r="E1651">
        <v>0.47202080000000002</v>
      </c>
      <c r="F1651" t="s">
        <v>46</v>
      </c>
      <c r="G1651">
        <v>-354.7</v>
      </c>
      <c r="H1651" s="1">
        <v>9.6431140000000009E-7</v>
      </c>
      <c r="I1651">
        <v>282.21589999999998</v>
      </c>
      <c r="J1651">
        <v>-318.53140000000002</v>
      </c>
      <c r="K1651">
        <v>1.1101700000000001</v>
      </c>
      <c r="L1651">
        <v>284.28399999999999</v>
      </c>
      <c r="M1651">
        <v>-0.99986209999999998</v>
      </c>
      <c r="N1651">
        <v>0</v>
      </c>
      <c r="O1651">
        <v>7.0491729999999997E-3</v>
      </c>
      <c r="P1651">
        <v>-0.9851837</v>
      </c>
      <c r="Q1651">
        <v>0.169023799999999</v>
      </c>
      <c r="R1651">
        <v>2.9055290000000001E-2</v>
      </c>
      <c r="S1651">
        <v>-3.0667110000000002</v>
      </c>
      <c r="T1651">
        <v>-9.3064549999999996E-2</v>
      </c>
      <c r="U1651">
        <v>-0.17312620000000001</v>
      </c>
      <c r="V1651">
        <v>2.2115940000000001E-2</v>
      </c>
      <c r="W1651">
        <v>0.18382119999999999</v>
      </c>
      <c r="X1651">
        <v>0.98271090000000005</v>
      </c>
      <c r="Y1651">
        <v>-6.3368690000000005E-2</v>
      </c>
      <c r="Z1651">
        <v>-1.174263E-3</v>
      </c>
      <c r="AA1651">
        <v>0.99798949999999997</v>
      </c>
      <c r="AB1651">
        <v>43</v>
      </c>
      <c r="AC1651">
        <v>-36.168599999999898</v>
      </c>
      <c r="AD1651">
        <v>-1.1101690356886</v>
      </c>
      <c r="AE1651">
        <v>-2.06810000000001</v>
      </c>
      <c r="AF1651">
        <v>-2.3208567070564201</v>
      </c>
      <c r="AG1651">
        <v>-1.1101690356886</v>
      </c>
      <c r="AH1651">
        <v>36.1192027172956</v>
      </c>
      <c r="AI1651">
        <v>91.756882587608899</v>
      </c>
      <c r="AJ1651">
        <v>93.676513550003307</v>
      </c>
      <c r="AK1651">
        <v>36.210711896835001</v>
      </c>
      <c r="AL1651">
        <v>79.407586777213695</v>
      </c>
      <c r="AM1651">
        <v>88.710774288008807</v>
      </c>
      <c r="AN1651">
        <v>1.00000003067516</v>
      </c>
    </row>
    <row r="1652" spans="1:40" x14ac:dyDescent="0.25">
      <c r="A1652" t="str">
        <f>"20190312164254380"</f>
        <v>20190312164254380</v>
      </c>
      <c r="B1652" t="str">
        <f>"1552380174376057"</f>
        <v>1552380174376057</v>
      </c>
      <c r="C1652" t="s">
        <v>40</v>
      </c>
      <c r="D1652">
        <v>4.5210160000000004</v>
      </c>
      <c r="E1652">
        <v>0.50343720000000003</v>
      </c>
      <c r="F1652" t="s">
        <v>46</v>
      </c>
      <c r="G1652">
        <v>-354.27670000000001</v>
      </c>
      <c r="H1652" s="1">
        <v>7.3904799999999999E-7</v>
      </c>
      <c r="I1652">
        <v>282.25139999999999</v>
      </c>
      <c r="J1652">
        <v>-318.97030000000001</v>
      </c>
      <c r="K1652">
        <v>1.1101749999999999</v>
      </c>
      <c r="L1652">
        <v>284.28710000000001</v>
      </c>
      <c r="M1652">
        <v>-0.99986169999999996</v>
      </c>
      <c r="N1652">
        <v>0</v>
      </c>
      <c r="O1652">
        <v>7.0490839999999997E-3</v>
      </c>
      <c r="P1652">
        <v>-0.98521820000000004</v>
      </c>
      <c r="Q1652">
        <v>0.16893069999999999</v>
      </c>
      <c r="R1652">
        <v>2.8415800000000001E-2</v>
      </c>
      <c r="S1652">
        <v>-3.066589</v>
      </c>
      <c r="T1652">
        <v>-9.5241430000000002E-2</v>
      </c>
      <c r="U1652">
        <v>-0.17437739999999999</v>
      </c>
      <c r="V1652">
        <v>2.1476180000000001E-2</v>
      </c>
      <c r="W1652">
        <v>0.18375549999999999</v>
      </c>
      <c r="X1652">
        <v>0.98273739999999998</v>
      </c>
      <c r="Y1652">
        <v>-6.3774990000000004E-2</v>
      </c>
      <c r="Z1652">
        <v>-1.2080509999999999E-3</v>
      </c>
      <c r="AA1652">
        <v>0.9979635</v>
      </c>
      <c r="AB1652">
        <v>43</v>
      </c>
      <c r="AC1652">
        <v>-35.306399999999996</v>
      </c>
      <c r="AD1652">
        <v>-1.110174260952</v>
      </c>
      <c r="AE1652">
        <v>-2.0357000000000198</v>
      </c>
      <c r="AF1652">
        <v>-2.2823063337081599</v>
      </c>
      <c r="AG1652">
        <v>-1.110174260952</v>
      </c>
      <c r="AH1652">
        <v>35.256427759290297</v>
      </c>
      <c r="AI1652">
        <v>91.799801194715897</v>
      </c>
      <c r="AJ1652">
        <v>93.703844245329805</v>
      </c>
      <c r="AK1652">
        <v>35.347660565256902</v>
      </c>
      <c r="AL1652">
        <v>79.411416590112793</v>
      </c>
      <c r="AM1652">
        <v>88.748090133919106</v>
      </c>
      <c r="AN1652">
        <v>1.0000000537231899</v>
      </c>
    </row>
    <row r="1653" spans="1:40" x14ac:dyDescent="0.25">
      <c r="A1653" t="str">
        <f>"20190312164254403"</f>
        <v>20190312164254403</v>
      </c>
      <c r="B1653" t="str">
        <f>"1552380174395580"</f>
        <v>1552380174395580</v>
      </c>
      <c r="C1653" t="s">
        <v>40</v>
      </c>
      <c r="D1653">
        <v>4.1586470000000002</v>
      </c>
      <c r="E1653">
        <v>0.50498699999999996</v>
      </c>
      <c r="F1653" t="s">
        <v>46</v>
      </c>
      <c r="G1653">
        <v>-342.86130000000003</v>
      </c>
      <c r="H1653" s="1">
        <v>-1.417055E-8</v>
      </c>
      <c r="I1653">
        <v>284.84570000000002</v>
      </c>
      <c r="J1653">
        <v>-319.41550000000001</v>
      </c>
      <c r="K1653">
        <v>1.1101749999999999</v>
      </c>
      <c r="L1653">
        <v>284.2903</v>
      </c>
      <c r="M1653">
        <v>-0.99986149999999996</v>
      </c>
      <c r="N1653">
        <v>0</v>
      </c>
      <c r="O1653">
        <v>7.048861E-3</v>
      </c>
      <c r="P1653">
        <v>-0.98520059999999998</v>
      </c>
      <c r="Q1653">
        <v>0.16905390000000001</v>
      </c>
      <c r="R1653">
        <v>2.829483E-2</v>
      </c>
      <c r="S1653">
        <v>-3.0673520000000001</v>
      </c>
      <c r="T1653">
        <v>-0.1425352</v>
      </c>
      <c r="U1653">
        <v>7.1716310000000005E-2</v>
      </c>
      <c r="V1653">
        <v>2.1355530000000001E-2</v>
      </c>
      <c r="W1653">
        <v>0.18389240000000001</v>
      </c>
      <c r="X1653">
        <v>0.98271439999999999</v>
      </c>
      <c r="Y1653">
        <v>1.631583E-2</v>
      </c>
      <c r="Z1653" s="1">
        <v>5.1472630000000001E-5</v>
      </c>
      <c r="AA1653">
        <v>0.9998669</v>
      </c>
      <c r="AB1653">
        <v>43</v>
      </c>
      <c r="AC1653">
        <v>-23.445799999999998</v>
      </c>
      <c r="AD1653">
        <v>-1.11017501417055</v>
      </c>
      <c r="AE1653">
        <v>0.55540000000001999</v>
      </c>
      <c r="AF1653">
        <v>0.38922903172441697</v>
      </c>
      <c r="AG1653">
        <v>-1.11017501417055</v>
      </c>
      <c r="AH1653">
        <v>23.396704707020401</v>
      </c>
      <c r="AI1653">
        <v>92.716275189126094</v>
      </c>
      <c r="AJ1653">
        <v>89.046911774328606</v>
      </c>
      <c r="AK1653">
        <v>23.426262590279698</v>
      </c>
      <c r="AL1653">
        <v>79.403436591151006</v>
      </c>
      <c r="AM1653">
        <v>88.755091832093797</v>
      </c>
      <c r="AN1653">
        <v>1.00000003270335</v>
      </c>
    </row>
    <row r="1654" spans="1:40" x14ac:dyDescent="0.25">
      <c r="A1654" t="str">
        <f>"20190312164254425"</f>
        <v>20190312164254425</v>
      </c>
      <c r="B1654" t="str">
        <f>"1552380174416073"</f>
        <v>1552380174416073</v>
      </c>
      <c r="C1654" t="s">
        <v>40</v>
      </c>
      <c r="D1654">
        <v>4.1313230000000001</v>
      </c>
      <c r="E1654">
        <v>0.50441809999999998</v>
      </c>
      <c r="F1654" t="s">
        <v>46</v>
      </c>
      <c r="G1654">
        <v>-343.86160000000001</v>
      </c>
      <c r="H1654" s="1">
        <v>5.1817929999999995E-7</v>
      </c>
      <c r="I1654">
        <v>284.95249999999999</v>
      </c>
      <c r="J1654">
        <v>-319.8458</v>
      </c>
      <c r="K1654">
        <v>1.1101730000000001</v>
      </c>
      <c r="L1654">
        <v>284.29329999999999</v>
      </c>
      <c r="M1654">
        <v>-0.99986149999999996</v>
      </c>
      <c r="N1654">
        <v>0</v>
      </c>
      <c r="O1654">
        <v>7.0485030000000002E-3</v>
      </c>
      <c r="P1654">
        <v>-0.98509449999999998</v>
      </c>
      <c r="Q1654">
        <v>0.16971539999999999</v>
      </c>
      <c r="R1654">
        <v>2.802692E-2</v>
      </c>
      <c r="S1654">
        <v>-3.0665589999999998</v>
      </c>
      <c r="T1654">
        <v>-0.139262</v>
      </c>
      <c r="U1654">
        <v>8.306885E-2</v>
      </c>
      <c r="V1654">
        <v>2.1088869999999999E-2</v>
      </c>
      <c r="W1654">
        <v>0.18455179999999999</v>
      </c>
      <c r="X1654">
        <v>0.98259649999999998</v>
      </c>
      <c r="Y1654">
        <v>2.0017940000000001E-2</v>
      </c>
      <c r="Z1654">
        <v>1.343234E-4</v>
      </c>
      <c r="AA1654">
        <v>0.99979960000000001</v>
      </c>
      <c r="AB1654">
        <v>43</v>
      </c>
      <c r="AC1654">
        <v>-24.015799999999999</v>
      </c>
      <c r="AD1654">
        <v>-1.1101724818206999</v>
      </c>
      <c r="AE1654">
        <v>0.65919999999999801</v>
      </c>
      <c r="AF1654">
        <v>0.48884510843577</v>
      </c>
      <c r="AG1654">
        <v>-1.1101724818206999</v>
      </c>
      <c r="AH1654">
        <v>23.968669792463398</v>
      </c>
      <c r="AI1654">
        <v>92.651360008991205</v>
      </c>
      <c r="AJ1654">
        <v>88.831604789734499</v>
      </c>
      <c r="AK1654">
        <v>23.999345493149999</v>
      </c>
      <c r="AL1654">
        <v>79.364997451687302</v>
      </c>
      <c r="AM1654">
        <v>88.770484356138098</v>
      </c>
      <c r="AN1654">
        <v>0.99999999456668298</v>
      </c>
    </row>
    <row r="1655" spans="1:40" x14ac:dyDescent="0.25">
      <c r="A1655" t="str">
        <f>"20190312164254448"</f>
        <v>20190312164254448</v>
      </c>
      <c r="B1655" t="str">
        <f>"1552380174435593"</f>
        <v>1552380174435593</v>
      </c>
      <c r="C1655" t="s">
        <v>40</v>
      </c>
      <c r="D1655">
        <v>4.1410780000000003</v>
      </c>
      <c r="E1655">
        <v>0.50407250000000003</v>
      </c>
      <c r="F1655" t="s">
        <v>46</v>
      </c>
      <c r="G1655">
        <v>-344.5317</v>
      </c>
      <c r="H1655" s="1">
        <v>8.7474559999999999E-7</v>
      </c>
      <c r="I1655">
        <v>284.91820000000001</v>
      </c>
      <c r="J1655">
        <v>-320.27499999999998</v>
      </c>
      <c r="K1655">
        <v>1.1101700000000001</v>
      </c>
      <c r="L1655">
        <v>284.29629999999997</v>
      </c>
      <c r="M1655">
        <v>-0.99986160000000002</v>
      </c>
      <c r="N1655">
        <v>0</v>
      </c>
      <c r="O1655">
        <v>7.048215E-3</v>
      </c>
      <c r="P1655">
        <v>-0.98514060000000003</v>
      </c>
      <c r="Q1655">
        <v>0.16946789999999901</v>
      </c>
      <c r="R1655">
        <v>2.790838E-2</v>
      </c>
      <c r="S1655">
        <v>-3.0669559999999998</v>
      </c>
      <c r="T1655">
        <v>-0.13792679999999999</v>
      </c>
      <c r="U1655">
        <v>7.7636720000000006E-2</v>
      </c>
      <c r="V1655">
        <v>2.0970269999999999E-2</v>
      </c>
      <c r="W1655">
        <v>0.18429599999999999</v>
      </c>
      <c r="X1655">
        <v>0.9826471</v>
      </c>
      <c r="Y1655">
        <v>1.824713E-2</v>
      </c>
      <c r="Z1655" s="1">
        <v>9.3243460000000007E-5</v>
      </c>
      <c r="AA1655">
        <v>0.99983350000000004</v>
      </c>
      <c r="AB1655">
        <v>43</v>
      </c>
      <c r="AC1655">
        <v>-24.256699999999999</v>
      </c>
      <c r="AD1655">
        <v>-1.1101691252543999</v>
      </c>
      <c r="AE1655">
        <v>0.62190000000003898</v>
      </c>
      <c r="AF1655">
        <v>0.44995680524050602</v>
      </c>
      <c r="AG1655">
        <v>-1.1101691252543999</v>
      </c>
      <c r="AH1655">
        <v>24.209802986425998</v>
      </c>
      <c r="AI1655">
        <v>92.625073683318902</v>
      </c>
      <c r="AJ1655">
        <v>88.935238833952695</v>
      </c>
      <c r="AK1655">
        <v>24.239420315981398</v>
      </c>
      <c r="AL1655">
        <v>79.379910048725307</v>
      </c>
      <c r="AM1655">
        <v>88.777459762693795</v>
      </c>
      <c r="AN1655">
        <v>1.00000004548914</v>
      </c>
    </row>
    <row r="1656" spans="1:40" x14ac:dyDescent="0.25">
      <c r="A1656" t="str">
        <f>"20190312164254469"</f>
        <v>20190312164254469</v>
      </c>
      <c r="B1656" t="str">
        <f>"1552380174456089"</f>
        <v>1552380174456089</v>
      </c>
      <c r="C1656" t="s">
        <v>40</v>
      </c>
      <c r="D1656">
        <v>4.1607059999999896</v>
      </c>
      <c r="E1656">
        <v>0.50366160000000004</v>
      </c>
      <c r="F1656" t="s">
        <v>46</v>
      </c>
      <c r="G1656">
        <v>-344.50119999999998</v>
      </c>
      <c r="H1656" s="1">
        <v>8.5854340000000001E-7</v>
      </c>
      <c r="I1656">
        <v>284.8811</v>
      </c>
      <c r="J1656">
        <v>-320.6823</v>
      </c>
      <c r="K1656">
        <v>1.110166</v>
      </c>
      <c r="L1656">
        <v>284.29919999999998</v>
      </c>
      <c r="M1656">
        <v>-0.99986189999999997</v>
      </c>
      <c r="N1656">
        <v>0</v>
      </c>
      <c r="O1656">
        <v>7.0480450000000002E-3</v>
      </c>
      <c r="P1656">
        <v>-0.98522200000000004</v>
      </c>
      <c r="Q1656">
        <v>0.16901739999999901</v>
      </c>
      <c r="R1656">
        <v>2.776151E-2</v>
      </c>
      <c r="S1656">
        <v>-3.067291</v>
      </c>
      <c r="T1656">
        <v>-0.14055899999999999</v>
      </c>
      <c r="U1656">
        <v>7.403564E-2</v>
      </c>
      <c r="V1656">
        <v>2.0822899999999998E-2</v>
      </c>
      <c r="W1656">
        <v>0.1838301</v>
      </c>
      <c r="X1656">
        <v>0.98273750000000004</v>
      </c>
      <c r="Y1656">
        <v>1.7072210000000001E-2</v>
      </c>
      <c r="Z1656" s="1">
        <v>6.8117139999999995E-5</v>
      </c>
      <c r="AA1656">
        <v>0.99985429999999997</v>
      </c>
      <c r="AB1656">
        <v>43</v>
      </c>
      <c r="AC1656">
        <v>-23.8188999999999</v>
      </c>
      <c r="AD1656">
        <v>-1.1101651414566001</v>
      </c>
      <c r="AE1656">
        <v>0.58190000000001796</v>
      </c>
      <c r="AF1656">
        <v>0.41309299742691502</v>
      </c>
      <c r="AG1656">
        <v>-1.1101651414566001</v>
      </c>
      <c r="AH1656">
        <v>23.7708020443356</v>
      </c>
      <c r="AI1656">
        <v>92.673532407825306</v>
      </c>
      <c r="AJ1656">
        <v>89.004404518906099</v>
      </c>
      <c r="AK1656">
        <v>23.800297105221599</v>
      </c>
      <c r="AL1656">
        <v>79.407068172470204</v>
      </c>
      <c r="AM1656">
        <v>88.786160302857098</v>
      </c>
      <c r="AN1656">
        <v>1.0000000463683301</v>
      </c>
    </row>
    <row r="1657" spans="1:40" x14ac:dyDescent="0.25">
      <c r="A1657" t="str">
        <f>"20190312164254492"</f>
        <v>20190312164254492</v>
      </c>
      <c r="B1657" t="str">
        <f>"1552380174486345"</f>
        <v>1552380174486345</v>
      </c>
      <c r="C1657" t="s">
        <v>40</v>
      </c>
      <c r="D1657">
        <v>4.180796</v>
      </c>
      <c r="E1657">
        <v>0.50390459999999904</v>
      </c>
      <c r="F1657" t="s">
        <v>46</v>
      </c>
      <c r="G1657">
        <v>-344.61380000000003</v>
      </c>
      <c r="H1657" s="1">
        <v>9.1843899999999998E-7</v>
      </c>
      <c r="I1657">
        <v>284.84870000000001</v>
      </c>
      <c r="J1657">
        <v>-321.1191</v>
      </c>
      <c r="K1657">
        <v>1.1101589999999999</v>
      </c>
      <c r="L1657">
        <v>284.3023</v>
      </c>
      <c r="M1657">
        <v>-0.99986240000000004</v>
      </c>
      <c r="N1657">
        <v>0</v>
      </c>
      <c r="O1657">
        <v>7.0475540000000001E-3</v>
      </c>
      <c r="P1657">
        <v>-0.98534379999999999</v>
      </c>
      <c r="Q1657">
        <v>0.168245799999999</v>
      </c>
      <c r="R1657">
        <v>2.813336E-2</v>
      </c>
      <c r="S1657">
        <v>-3.0674130000000002</v>
      </c>
      <c r="T1657">
        <v>-0.14229520000000001</v>
      </c>
      <c r="U1657">
        <v>7.0434570000000002E-2</v>
      </c>
      <c r="V1657">
        <v>2.1194560000000001E-2</v>
      </c>
      <c r="W1657">
        <v>0.18303130000000001</v>
      </c>
      <c r="X1657">
        <v>0.98287860000000005</v>
      </c>
      <c r="Y1657">
        <v>1.589958E-2</v>
      </c>
      <c r="Z1657" s="1">
        <v>4.1797900000000002E-5</v>
      </c>
      <c r="AA1657">
        <v>0.99987360000000003</v>
      </c>
      <c r="AB1657">
        <v>43</v>
      </c>
      <c r="AC1657">
        <v>-23.494700000000002</v>
      </c>
      <c r="AD1657">
        <v>-1.1101580815609999</v>
      </c>
      <c r="AE1657">
        <v>0.54640000000000499</v>
      </c>
      <c r="AF1657">
        <v>0.37993975520210199</v>
      </c>
      <c r="AG1657">
        <v>-1.1101580815609999</v>
      </c>
      <c r="AH1657">
        <v>23.445648871970501</v>
      </c>
      <c r="AI1657">
        <v>92.710591137091399</v>
      </c>
      <c r="AJ1657">
        <v>89.071595786998301</v>
      </c>
      <c r="AK1657">
        <v>23.474992145075799</v>
      </c>
      <c r="AL1657">
        <v>79.453625554328895</v>
      </c>
      <c r="AM1657">
        <v>88.764678908255107</v>
      </c>
      <c r="AN1657">
        <v>1.0000000042456201</v>
      </c>
    </row>
    <row r="1658" spans="1:40" x14ac:dyDescent="0.25">
      <c r="A1658" t="str">
        <f>"20190312164254514"</f>
        <v>20190312164254514</v>
      </c>
      <c r="B1658" t="str">
        <f>"1552380174505865"</f>
        <v>1552380174505865</v>
      </c>
      <c r="C1658" t="s">
        <v>40</v>
      </c>
      <c r="D1658">
        <v>4.1953110000000002</v>
      </c>
      <c r="E1658">
        <v>0.50382389999999999</v>
      </c>
      <c r="F1658" t="s">
        <v>46</v>
      </c>
      <c r="G1658">
        <v>-345.21480000000003</v>
      </c>
      <c r="H1658" s="1">
        <v>1.2382799999999999E-6</v>
      </c>
      <c r="I1658">
        <v>284.88139999999999</v>
      </c>
      <c r="J1658">
        <v>-321.54680000000002</v>
      </c>
      <c r="K1658">
        <v>1.1101529999999999</v>
      </c>
      <c r="L1658">
        <v>284.30529999999999</v>
      </c>
      <c r="M1658">
        <v>-0.99986299999999995</v>
      </c>
      <c r="N1658">
        <v>0</v>
      </c>
      <c r="O1658">
        <v>7.0474190000000001E-3</v>
      </c>
      <c r="P1658">
        <v>-0.98548040000000003</v>
      </c>
      <c r="Q1658">
        <v>0.1674522</v>
      </c>
      <c r="R1658">
        <v>2.8074060000000001E-2</v>
      </c>
      <c r="S1658">
        <v>-3.0666500000000001</v>
      </c>
      <c r="T1658">
        <v>-0.1412891</v>
      </c>
      <c r="U1658">
        <v>7.369995E-2</v>
      </c>
      <c r="V1658">
        <v>2.1134150000000001E-2</v>
      </c>
      <c r="W1658">
        <v>0.18219540000000001</v>
      </c>
      <c r="X1658">
        <v>0.9830352</v>
      </c>
      <c r="Y1658">
        <v>1.6968500000000001E-2</v>
      </c>
      <c r="Z1658" s="1">
        <v>6.6126579999999997E-5</v>
      </c>
      <c r="AA1658">
        <v>0.99985599999999997</v>
      </c>
      <c r="AB1658">
        <v>43</v>
      </c>
      <c r="AC1658">
        <v>-23.667999999999999</v>
      </c>
      <c r="AD1658">
        <v>-1.1101517617200001</v>
      </c>
      <c r="AE1658">
        <v>0.57609999999999595</v>
      </c>
      <c r="AF1658">
        <v>0.40837074381548</v>
      </c>
      <c r="AG1658">
        <v>-1.1101517617200001</v>
      </c>
      <c r="AH1658">
        <v>23.619538110009898</v>
      </c>
      <c r="AI1658">
        <v>92.690600874298198</v>
      </c>
      <c r="AJ1658">
        <v>89.009481515852301</v>
      </c>
      <c r="AK1658">
        <v>23.649139183671402</v>
      </c>
      <c r="AL1658">
        <v>79.5023382743626</v>
      </c>
      <c r="AM1658">
        <v>88.768394976376399</v>
      </c>
      <c r="AN1658">
        <v>1.0000000102582101</v>
      </c>
    </row>
    <row r="1659" spans="1:40" x14ac:dyDescent="0.25">
      <c r="A1659" t="str">
        <f>"20190312164254536"</f>
        <v>20190312164254536</v>
      </c>
      <c r="B1659" t="str">
        <f>"1552380174525389"</f>
        <v>1552380174525389</v>
      </c>
      <c r="C1659" t="s">
        <v>40</v>
      </c>
      <c r="D1659">
        <v>4.2230660000000002</v>
      </c>
      <c r="E1659">
        <v>0.50381450000000005</v>
      </c>
      <c r="F1659" t="s">
        <v>46</v>
      </c>
      <c r="G1659">
        <v>-344.96179999999998</v>
      </c>
      <c r="H1659" s="1">
        <v>1.103651E-6</v>
      </c>
      <c r="I1659">
        <v>284.86099999999999</v>
      </c>
      <c r="J1659">
        <v>-321.96039999999999</v>
      </c>
      <c r="K1659">
        <v>1.1101430000000001</v>
      </c>
      <c r="L1659">
        <v>284.3082</v>
      </c>
      <c r="M1659">
        <v>-0.99986390000000003</v>
      </c>
      <c r="N1659">
        <v>0</v>
      </c>
      <c r="O1659">
        <v>7.0471869999999999E-3</v>
      </c>
      <c r="P1659">
        <v>-0.98556149999999998</v>
      </c>
      <c r="Q1659">
        <v>0.16694709999999999</v>
      </c>
      <c r="R1659">
        <v>2.8241260000000001E-2</v>
      </c>
      <c r="S1659">
        <v>-3.0668639999999998</v>
      </c>
      <c r="T1659">
        <v>-0.14540620000000001</v>
      </c>
      <c r="U1659">
        <v>7.2784420000000002E-2</v>
      </c>
      <c r="V1659">
        <v>2.1301190000000001E-2</v>
      </c>
      <c r="W1659">
        <v>0.18163609999999999</v>
      </c>
      <c r="X1659">
        <v>0.98313510000000004</v>
      </c>
      <c r="Y1659">
        <v>1.6668470000000001E-2</v>
      </c>
      <c r="Z1659" s="1">
        <v>6.0950579999999997E-5</v>
      </c>
      <c r="AA1659">
        <v>0.99986109999999995</v>
      </c>
      <c r="AB1659">
        <v>43</v>
      </c>
      <c r="AC1659">
        <v>-23.001399999999901</v>
      </c>
      <c r="AD1659">
        <v>-1.110141896349</v>
      </c>
      <c r="AE1659">
        <v>0.55279999999998997</v>
      </c>
      <c r="AF1659">
        <v>0.389765660139332</v>
      </c>
      <c r="AG1659">
        <v>-1.110141896349</v>
      </c>
      <c r="AH1659">
        <v>22.951292410383001</v>
      </c>
      <c r="AI1659">
        <v>92.768809721824695</v>
      </c>
      <c r="AJ1659">
        <v>89.027079588089805</v>
      </c>
      <c r="AK1659">
        <v>22.981430669276399</v>
      </c>
      <c r="AL1659">
        <v>79.534927679766099</v>
      </c>
      <c r="AM1659">
        <v>88.758789753352104</v>
      </c>
      <c r="AN1659">
        <v>1.00000001918531</v>
      </c>
    </row>
    <row r="1660" spans="1:40" x14ac:dyDescent="0.25">
      <c r="A1660" t="str">
        <f>"20190312164254558"</f>
        <v>20190312164254558</v>
      </c>
      <c r="B1660" t="str">
        <f>"1552380174545882"</f>
        <v>1552380174545882</v>
      </c>
      <c r="C1660" t="s">
        <v>40</v>
      </c>
      <c r="D1660">
        <v>4.1877440000000004</v>
      </c>
      <c r="E1660">
        <v>0.50398829999999994</v>
      </c>
      <c r="F1660" t="s">
        <v>46</v>
      </c>
      <c r="G1660">
        <v>-344.86799999999999</v>
      </c>
      <c r="H1660" s="1">
        <v>1.053731E-6</v>
      </c>
      <c r="I1660">
        <v>284.85570000000001</v>
      </c>
      <c r="J1660">
        <v>-322.38260000000002</v>
      </c>
      <c r="K1660">
        <v>1.1101319999999999</v>
      </c>
      <c r="L1660">
        <v>284.31119999999999</v>
      </c>
      <c r="M1660">
        <v>-0.99986489999999995</v>
      </c>
      <c r="N1660">
        <v>0</v>
      </c>
      <c r="O1660">
        <v>7.0468379999999997E-3</v>
      </c>
      <c r="P1660">
        <v>-0.98565630000000004</v>
      </c>
      <c r="Q1660">
        <v>0.16641239999999999</v>
      </c>
      <c r="R1660">
        <v>2.808716E-2</v>
      </c>
      <c r="S1660">
        <v>-3.0670169999999999</v>
      </c>
      <c r="T1660">
        <v>-0.1486326</v>
      </c>
      <c r="U1660">
        <v>7.3303220000000002E-2</v>
      </c>
      <c r="V1660">
        <v>2.1146749999999999E-2</v>
      </c>
      <c r="W1660">
        <v>0.18103859999999999</v>
      </c>
      <c r="X1660">
        <v>0.98324860000000003</v>
      </c>
      <c r="Y1660">
        <v>1.6836E-2</v>
      </c>
      <c r="Z1660" s="1">
        <v>6.6371980000000006E-5</v>
      </c>
      <c r="AA1660">
        <v>0.99985829999999998</v>
      </c>
      <c r="AB1660">
        <v>43</v>
      </c>
      <c r="AC1660">
        <v>-22.485399999999998</v>
      </c>
      <c r="AD1660">
        <v>-1.1101309462690001</v>
      </c>
      <c r="AE1660">
        <v>0.54450000000002696</v>
      </c>
      <c r="AF1660">
        <v>0.38507994451813199</v>
      </c>
      <c r="AG1660">
        <v>-1.1101309462690001</v>
      </c>
      <c r="AH1660">
        <v>22.434027789801601</v>
      </c>
      <c r="AI1660">
        <v>92.832511054860205</v>
      </c>
      <c r="AJ1660">
        <v>89.016614881544697</v>
      </c>
      <c r="AK1660">
        <v>22.4647786580488</v>
      </c>
      <c r="AL1660">
        <v>79.569738682164299</v>
      </c>
      <c r="AM1660">
        <v>88.767928309390399</v>
      </c>
      <c r="AN1660">
        <v>0.99999998456374095</v>
      </c>
    </row>
    <row r="1661" spans="1:40" x14ac:dyDescent="0.25">
      <c r="A1661" t="str">
        <f>"20190312164254581"</f>
        <v>20190312164254581</v>
      </c>
      <c r="B1661" t="str">
        <f>"1552380174576137"</f>
        <v>1552380174576137</v>
      </c>
      <c r="C1661" t="s">
        <v>40</v>
      </c>
      <c r="D1661">
        <v>4.2612009999999998</v>
      </c>
      <c r="E1661">
        <v>0.50408039999999998</v>
      </c>
      <c r="F1661" t="s">
        <v>46</v>
      </c>
      <c r="G1661">
        <v>-344.6857</v>
      </c>
      <c r="H1661" s="1">
        <v>9.5671409999999999E-7</v>
      </c>
      <c r="I1661">
        <v>284.84750000000003</v>
      </c>
      <c r="J1661">
        <v>-322.82729999999998</v>
      </c>
      <c r="K1661">
        <v>1.110123</v>
      </c>
      <c r="L1661">
        <v>284.3143</v>
      </c>
      <c r="M1661">
        <v>-0.99986589999999997</v>
      </c>
      <c r="N1661">
        <v>0</v>
      </c>
      <c r="O1661">
        <v>7.0468290000000001E-3</v>
      </c>
      <c r="P1661">
        <v>-0.98578480000000002</v>
      </c>
      <c r="Q1661">
        <v>0.1656851</v>
      </c>
      <c r="R1661">
        <v>2.7869060000000001E-2</v>
      </c>
      <c r="S1661">
        <v>-3.0673219999999999</v>
      </c>
      <c r="T1661">
        <v>-0.15267500000000001</v>
      </c>
      <c r="U1661">
        <v>7.3760989999999999E-2</v>
      </c>
      <c r="V1661">
        <v>2.0927649999999999E-2</v>
      </c>
      <c r="W1661">
        <v>0.18024370000000001</v>
      </c>
      <c r="X1661">
        <v>0.98339929999999998</v>
      </c>
      <c r="Y1661">
        <v>1.6981960000000001E-2</v>
      </c>
      <c r="Z1661" s="1">
        <v>7.1798599999999994E-5</v>
      </c>
      <c r="AA1661">
        <v>0.99985579999999996</v>
      </c>
      <c r="AB1661">
        <v>43</v>
      </c>
      <c r="AC1661">
        <v>-21.8584</v>
      </c>
      <c r="AD1661">
        <v>-1.11012204328589</v>
      </c>
      <c r="AE1661">
        <v>0.53320000000002199</v>
      </c>
      <c r="AF1661">
        <v>0.37816269708911499</v>
      </c>
      <c r="AG1661">
        <v>-1.11012204328589</v>
      </c>
      <c r="AH1661">
        <v>21.805405329333201</v>
      </c>
      <c r="AI1661">
        <v>92.913997775224502</v>
      </c>
      <c r="AJ1661">
        <v>89.006441094275502</v>
      </c>
      <c r="AK1661">
        <v>21.836920102271101</v>
      </c>
      <c r="AL1661">
        <v>79.616044732563594</v>
      </c>
      <c r="AM1661">
        <v>88.780876639707301</v>
      </c>
      <c r="AN1661">
        <v>0.99999997058235002</v>
      </c>
    </row>
    <row r="1662" spans="1:40" x14ac:dyDescent="0.25">
      <c r="A1662" t="str">
        <f>"20190312164254603"</f>
        <v>20190312164254603</v>
      </c>
      <c r="B1662" t="str">
        <f>"1552380174595657"</f>
        <v>1552380174595657</v>
      </c>
      <c r="C1662" t="s">
        <v>40</v>
      </c>
      <c r="D1662">
        <v>4.2768579999999998</v>
      </c>
      <c r="E1662">
        <v>0.50410250000000001</v>
      </c>
      <c r="F1662" t="s">
        <v>46</v>
      </c>
      <c r="G1662">
        <v>-344.66239999999999</v>
      </c>
      <c r="H1662" s="1">
        <v>9.4429070000000004E-7</v>
      </c>
      <c r="I1662">
        <v>284.83909999999997</v>
      </c>
      <c r="J1662">
        <v>-323.25360000000001</v>
      </c>
      <c r="K1662">
        <v>1.110115</v>
      </c>
      <c r="L1662">
        <v>284.31729999999999</v>
      </c>
      <c r="M1662">
        <v>-0.99986679999999994</v>
      </c>
      <c r="N1662">
        <v>0</v>
      </c>
      <c r="O1662">
        <v>7.0466579999999999E-3</v>
      </c>
      <c r="P1662">
        <v>-0.98595129999999997</v>
      </c>
      <c r="Q1662">
        <v>0.16475680000000001</v>
      </c>
      <c r="R1662">
        <v>2.7482619999999999E-2</v>
      </c>
      <c r="S1662">
        <v>-3.067383</v>
      </c>
      <c r="T1662">
        <v>-0.15594959999999999</v>
      </c>
      <c r="U1662">
        <v>7.3730470000000006E-2</v>
      </c>
      <c r="V1662">
        <v>2.0540200000000002E-2</v>
      </c>
      <c r="W1662">
        <v>0.17925389999999999</v>
      </c>
      <c r="X1662">
        <v>0.98358840000000003</v>
      </c>
      <c r="Y1662">
        <v>1.6971199999999999E-2</v>
      </c>
      <c r="Z1662" s="1">
        <v>7.3070810000000006E-5</v>
      </c>
      <c r="AA1662">
        <v>0.99985599999999997</v>
      </c>
      <c r="AB1662">
        <v>43</v>
      </c>
      <c r="AC1662">
        <v>-21.4087999999999</v>
      </c>
      <c r="AD1662">
        <v>-1.1101140557093001</v>
      </c>
      <c r="AE1662">
        <v>0.52179999999998405</v>
      </c>
      <c r="AF1662">
        <v>0.36991617781022201</v>
      </c>
      <c r="AG1662">
        <v>-1.1101140557093001</v>
      </c>
      <c r="AH1662">
        <v>21.354562682559401</v>
      </c>
      <c r="AI1662">
        <v>92.975389048164402</v>
      </c>
      <c r="AJ1662">
        <v>89.007588378772397</v>
      </c>
      <c r="AK1662">
        <v>21.386597171094099</v>
      </c>
      <c r="AL1662">
        <v>79.673695389766394</v>
      </c>
      <c r="AM1662">
        <v>88.803670580802105</v>
      </c>
      <c r="AN1662">
        <v>1.0000000005478999</v>
      </c>
    </row>
    <row r="1663" spans="1:40" x14ac:dyDescent="0.25">
      <c r="A1663" t="str">
        <f>"20190312164254625"</f>
        <v>20190312164254625</v>
      </c>
      <c r="B1663" t="str">
        <f>"1552380174616153"</f>
        <v>1552380174616153</v>
      </c>
      <c r="C1663" t="s">
        <v>40</v>
      </c>
      <c r="D1663">
        <v>4.2334110000000003</v>
      </c>
      <c r="E1663">
        <v>0.50410690000000002</v>
      </c>
      <c r="F1663" t="s">
        <v>46</v>
      </c>
      <c r="G1663">
        <v>-344.56889999999999</v>
      </c>
      <c r="H1663" s="1">
        <v>8.9454449999999897E-7</v>
      </c>
      <c r="I1663">
        <v>284.82279999999997</v>
      </c>
      <c r="J1663">
        <v>-323.67790000000002</v>
      </c>
      <c r="K1663">
        <v>1.1101099999999999</v>
      </c>
      <c r="L1663">
        <v>284.32029999999997</v>
      </c>
      <c r="M1663">
        <v>-0.99986790000000003</v>
      </c>
      <c r="N1663">
        <v>0</v>
      </c>
      <c r="O1663">
        <v>7.0462759999999998E-3</v>
      </c>
      <c r="P1663">
        <v>-0.9860814</v>
      </c>
      <c r="Q1663">
        <v>0.16400609999999999</v>
      </c>
      <c r="R1663">
        <v>2.7309469999999999E-2</v>
      </c>
      <c r="S1663">
        <v>-3.0674130000000002</v>
      </c>
      <c r="T1663">
        <v>-0.159752799999999</v>
      </c>
      <c r="U1663">
        <v>7.2753910000000005E-2</v>
      </c>
      <c r="V1663">
        <v>2.0366559999999999E-2</v>
      </c>
      <c r="W1663">
        <v>0.17844470000000001</v>
      </c>
      <c r="X1663">
        <v>0.98373909999999998</v>
      </c>
      <c r="Y1663">
        <v>1.6653009999999999E-2</v>
      </c>
      <c r="Z1663" s="1">
        <v>6.6591080000000006E-5</v>
      </c>
      <c r="AA1663">
        <v>0.99986129999999995</v>
      </c>
      <c r="AB1663">
        <v>43</v>
      </c>
      <c r="AC1663">
        <v>-20.890999999999899</v>
      </c>
      <c r="AD1663">
        <v>-1.1101091054554999</v>
      </c>
      <c r="AE1663">
        <v>0.50249999999999695</v>
      </c>
      <c r="AF1663">
        <v>0.35426822248371898</v>
      </c>
      <c r="AG1663">
        <v>-1.1101091054554999</v>
      </c>
      <c r="AH1663">
        <v>20.835224760657699</v>
      </c>
      <c r="AI1663">
        <v>93.049418291669696</v>
      </c>
      <c r="AJ1663">
        <v>89.025874767906004</v>
      </c>
      <c r="AK1663">
        <v>20.867784717755701</v>
      </c>
      <c r="AL1663">
        <v>79.720818535890203</v>
      </c>
      <c r="AM1663">
        <v>88.813962714877306</v>
      </c>
      <c r="AN1663">
        <v>0.99999996229656596</v>
      </c>
    </row>
    <row r="1664" spans="1:40" x14ac:dyDescent="0.25">
      <c r="A1664" t="str">
        <f>"20190312164254648"</f>
        <v>20190312164254648</v>
      </c>
      <c r="B1664" t="str">
        <f>"1552380174635673"</f>
        <v>1552380174635673</v>
      </c>
      <c r="C1664" t="s">
        <v>40</v>
      </c>
      <c r="D1664">
        <v>4.2725059999999999</v>
      </c>
      <c r="E1664">
        <v>0.50406209999999996</v>
      </c>
      <c r="F1664" t="s">
        <v>46</v>
      </c>
      <c r="G1664">
        <v>-344.65030000000002</v>
      </c>
      <c r="H1664" s="1">
        <v>9.3786719999999997E-7</v>
      </c>
      <c r="I1664">
        <v>284.81450000000001</v>
      </c>
      <c r="J1664">
        <v>-324.10570000000001</v>
      </c>
      <c r="K1664">
        <v>1.1101049999999999</v>
      </c>
      <c r="L1664">
        <v>284.32330000000002</v>
      </c>
      <c r="M1664">
        <v>-0.99986870000000005</v>
      </c>
      <c r="N1664">
        <v>0</v>
      </c>
      <c r="O1664">
        <v>7.0462010000000002E-3</v>
      </c>
      <c r="P1664">
        <v>-0.98612409999999995</v>
      </c>
      <c r="Q1664">
        <v>0.16382360000000001</v>
      </c>
      <c r="R1664">
        <v>2.6857220000000001E-2</v>
      </c>
      <c r="S1664">
        <v>-3.067383</v>
      </c>
      <c r="T1664">
        <v>-0.16236210000000001</v>
      </c>
      <c r="U1664">
        <v>7.2296139999999995E-2</v>
      </c>
      <c r="V1664">
        <v>1.9913989999999999E-2</v>
      </c>
      <c r="W1664">
        <v>0.1782012</v>
      </c>
      <c r="X1664">
        <v>0.98379249999999996</v>
      </c>
      <c r="Y1664">
        <v>1.650397E-2</v>
      </c>
      <c r="Z1664" s="1">
        <v>6.3741260000000003E-5</v>
      </c>
      <c r="AA1664">
        <v>0.99986379999999997</v>
      </c>
      <c r="AB1664">
        <v>43</v>
      </c>
      <c r="AC1664">
        <v>-20.544599999999999</v>
      </c>
      <c r="AD1664">
        <v>-1.1101040621328</v>
      </c>
      <c r="AE1664">
        <v>0.49119999999999198</v>
      </c>
      <c r="AF1664">
        <v>0.34540312474608897</v>
      </c>
      <c r="AG1664">
        <v>-1.1101040621328</v>
      </c>
      <c r="AH1664">
        <v>20.487768233610598</v>
      </c>
      <c r="AI1664">
        <v>93.101027445077193</v>
      </c>
      <c r="AJ1664">
        <v>89.034142400598</v>
      </c>
      <c r="AK1664">
        <v>20.520728094818999</v>
      </c>
      <c r="AL1664">
        <v>79.734997280487093</v>
      </c>
      <c r="AM1664">
        <v>88.840373572623406</v>
      </c>
      <c r="AN1664">
        <v>0.99999995886770399</v>
      </c>
    </row>
    <row r="1665" spans="1:40" x14ac:dyDescent="0.25">
      <c r="A1665" t="str">
        <f>"20190312164254670"</f>
        <v>20190312164254670</v>
      </c>
      <c r="B1665" t="str">
        <f>"1552380174665930"</f>
        <v>1552380174665930</v>
      </c>
      <c r="C1665" t="s">
        <v>40</v>
      </c>
      <c r="D1665">
        <v>4.261031</v>
      </c>
      <c r="E1665">
        <v>0.50422479999999903</v>
      </c>
      <c r="F1665" t="s">
        <v>46</v>
      </c>
      <c r="G1665">
        <v>-345.0249</v>
      </c>
      <c r="H1665" s="1">
        <v>1.137212E-6</v>
      </c>
      <c r="I1665">
        <v>284.80869999999999</v>
      </c>
      <c r="J1665">
        <v>-324.52359999999999</v>
      </c>
      <c r="K1665">
        <v>1.1101019999999999</v>
      </c>
      <c r="L1665">
        <v>284.32619999999997</v>
      </c>
      <c r="M1665">
        <v>-0.99986960000000003</v>
      </c>
      <c r="N1665">
        <v>0</v>
      </c>
      <c r="O1665">
        <v>7.0460540000000004E-3</v>
      </c>
      <c r="P1665">
        <v>-0.98616800000000004</v>
      </c>
      <c r="Q1665">
        <v>0.1636263</v>
      </c>
      <c r="R1665">
        <v>2.644287E-2</v>
      </c>
      <c r="S1665">
        <v>-3.0673219999999999</v>
      </c>
      <c r="T1665">
        <v>-0.1627712</v>
      </c>
      <c r="U1665">
        <v>7.1166989999999999E-2</v>
      </c>
      <c r="V1665">
        <v>1.9499570000000001E-2</v>
      </c>
      <c r="W1665">
        <v>0.17793599999999901</v>
      </c>
      <c r="X1665">
        <v>0.98384879999999997</v>
      </c>
      <c r="Y1665">
        <v>1.6137169999999999E-2</v>
      </c>
      <c r="Z1665" s="1">
        <v>5.4186939999999997E-5</v>
      </c>
      <c r="AA1665">
        <v>0.99986980000000003</v>
      </c>
      <c r="AB1665">
        <v>43</v>
      </c>
      <c r="AC1665">
        <v>-20.501300000000001</v>
      </c>
      <c r="AD1665">
        <v>-1.110100862788</v>
      </c>
      <c r="AE1665">
        <v>0.48250000000001497</v>
      </c>
      <c r="AF1665">
        <v>0.33703187495970599</v>
      </c>
      <c r="AG1665">
        <v>-1.110100862788</v>
      </c>
      <c r="AH1665">
        <v>20.444281863251799</v>
      </c>
      <c r="AI1665">
        <v>93.107621000226203</v>
      </c>
      <c r="AJ1665">
        <v>89.055542518657404</v>
      </c>
      <c r="AK1665">
        <v>20.477172053640299</v>
      </c>
      <c r="AL1665">
        <v>79.750438892536295</v>
      </c>
      <c r="AM1665">
        <v>88.8645645488767</v>
      </c>
      <c r="AN1665">
        <v>0.99999995729381097</v>
      </c>
    </row>
    <row r="1666" spans="1:40" x14ac:dyDescent="0.25">
      <c r="A1666" t="str">
        <f>"20190312164254694"</f>
        <v>20190312164254694</v>
      </c>
      <c r="B1666" t="str">
        <f>"1552380174686426"</f>
        <v>1552380174686426</v>
      </c>
      <c r="C1666" t="s">
        <v>40</v>
      </c>
      <c r="D1666">
        <v>4.3691570000000004</v>
      </c>
      <c r="E1666">
        <v>0.50380379999999902</v>
      </c>
      <c r="F1666" t="s">
        <v>46</v>
      </c>
      <c r="G1666">
        <v>-345.54320000000001</v>
      </c>
      <c r="H1666" s="1">
        <v>1.4130019999999999E-6</v>
      </c>
      <c r="I1666">
        <v>284.81709999999998</v>
      </c>
      <c r="J1666">
        <v>-324.971</v>
      </c>
      <c r="K1666">
        <v>1.1100939999999999</v>
      </c>
      <c r="L1666">
        <v>284.32940000000002</v>
      </c>
      <c r="M1666">
        <v>-0.99987099999999995</v>
      </c>
      <c r="N1666">
        <v>0</v>
      </c>
      <c r="O1666">
        <v>7.0456690000000001E-3</v>
      </c>
      <c r="P1666">
        <v>-0.9861972</v>
      </c>
      <c r="Q1666">
        <v>0.16345609999999999</v>
      </c>
      <c r="R1666">
        <v>2.6410110000000001E-2</v>
      </c>
      <c r="S1666">
        <v>-3.0670470000000001</v>
      </c>
      <c r="T1666">
        <v>-0.16197909999999999</v>
      </c>
      <c r="U1666">
        <v>7.1624759999999996E-2</v>
      </c>
      <c r="V1666">
        <v>1.946691E-2</v>
      </c>
      <c r="W1666">
        <v>0.1776808</v>
      </c>
      <c r="X1666">
        <v>0.98389559999999998</v>
      </c>
      <c r="Y1666">
        <v>1.62887E-2</v>
      </c>
      <c r="Z1666" s="1">
        <v>5.7947299999999898E-5</v>
      </c>
      <c r="AA1666">
        <v>0.99986730000000001</v>
      </c>
      <c r="AB1666">
        <v>43</v>
      </c>
      <c r="AC1666">
        <v>-20.572199999999999</v>
      </c>
      <c r="AD1666">
        <v>-1.1100925869980001</v>
      </c>
      <c r="AE1666">
        <v>0.487699999999961</v>
      </c>
      <c r="AF1666">
        <v>0.34173338924600399</v>
      </c>
      <c r="AG1666">
        <v>-1.1100925869980001</v>
      </c>
      <c r="AH1666">
        <v>20.515423179764099</v>
      </c>
      <c r="AI1666">
        <v>93.096833868230306</v>
      </c>
      <c r="AJ1666">
        <v>89.045690156219607</v>
      </c>
      <c r="AK1666">
        <v>20.548276704041101</v>
      </c>
      <c r="AL1666">
        <v>79.765297879970404</v>
      </c>
      <c r="AM1666">
        <v>88.866519706659602</v>
      </c>
      <c r="AN1666">
        <v>0.99999998948647395</v>
      </c>
    </row>
    <row r="1667" spans="1:40" x14ac:dyDescent="0.25">
      <c r="A1667" t="str">
        <f>"20190312164254715"</f>
        <v>20190312164254715</v>
      </c>
      <c r="B1667" t="str">
        <f>"1552380174705945"</f>
        <v>1552380174705945</v>
      </c>
      <c r="C1667" t="s">
        <v>40</v>
      </c>
      <c r="D1667">
        <v>4.3022689999999999</v>
      </c>
      <c r="E1667">
        <v>0.49283559999999998</v>
      </c>
      <c r="F1667" t="s">
        <v>46</v>
      </c>
      <c r="G1667">
        <v>-345.70749999999998</v>
      </c>
      <c r="H1667" s="1">
        <v>1.500474E-6</v>
      </c>
      <c r="I1667">
        <v>284.7835</v>
      </c>
      <c r="J1667">
        <v>-325.38749999999999</v>
      </c>
      <c r="K1667">
        <v>1.110082</v>
      </c>
      <c r="L1667">
        <v>284.33229999999998</v>
      </c>
      <c r="M1667">
        <v>-0.99987230000000005</v>
      </c>
      <c r="N1667">
        <v>0</v>
      </c>
      <c r="O1667">
        <v>7.0454899999999997E-3</v>
      </c>
      <c r="P1667">
        <v>-0.98639739999999998</v>
      </c>
      <c r="Q1667">
        <v>0.16232050000000001</v>
      </c>
      <c r="R1667">
        <v>2.5937539999999999E-2</v>
      </c>
      <c r="S1667">
        <v>-3.0674130000000002</v>
      </c>
      <c r="T1667">
        <v>-0.16420850000000001</v>
      </c>
      <c r="U1667">
        <v>6.7169190000000004E-2</v>
      </c>
      <c r="V1667">
        <v>1.899321E-2</v>
      </c>
      <c r="W1667">
        <v>0.17645920000000001</v>
      </c>
      <c r="X1667">
        <v>0.98412469999999996</v>
      </c>
      <c r="Y1667">
        <v>1.4836200000000001E-2</v>
      </c>
      <c r="Z1667" s="1">
        <v>1.9901109999999999E-5</v>
      </c>
      <c r="AA1667">
        <v>0.9998899</v>
      </c>
      <c r="AB1667">
        <v>43</v>
      </c>
      <c r="AC1667">
        <v>-20.32</v>
      </c>
      <c r="AD1667">
        <v>-1.1100804995260001</v>
      </c>
      <c r="AE1667">
        <v>0.45120000000002802</v>
      </c>
      <c r="AF1667">
        <v>0.30709366409429401</v>
      </c>
      <c r="AG1667">
        <v>-1.1100804995260001</v>
      </c>
      <c r="AH1667">
        <v>20.262233374168598</v>
      </c>
      <c r="AI1667">
        <v>93.135494730323202</v>
      </c>
      <c r="AJ1667">
        <v>89.131693752308195</v>
      </c>
      <c r="AK1667">
        <v>20.294942388270702</v>
      </c>
      <c r="AL1667">
        <v>79.836414363476507</v>
      </c>
      <c r="AM1667">
        <v>88.894351813466898</v>
      </c>
      <c r="AN1667">
        <v>1.0000000082204099</v>
      </c>
    </row>
    <row r="1668" spans="1:40" x14ac:dyDescent="0.25">
      <c r="A1668" t="str">
        <f>"20190312164254737"</f>
        <v>20190312164254737</v>
      </c>
      <c r="B1668" t="str">
        <f>"1552380174725466"</f>
        <v>1552380174725466</v>
      </c>
      <c r="C1668" t="s">
        <v>40</v>
      </c>
      <c r="D1668">
        <v>4.520778</v>
      </c>
      <c r="E1668">
        <v>0.49360510000000002</v>
      </c>
      <c r="F1668" t="s">
        <v>46</v>
      </c>
      <c r="G1668">
        <v>-340.1558</v>
      </c>
      <c r="H1668" s="1">
        <v>-1.453872E-6</v>
      </c>
      <c r="I1668">
        <v>284.20769999999999</v>
      </c>
      <c r="J1668">
        <v>-325.79719999999998</v>
      </c>
      <c r="K1668">
        <v>1.1100639999999999</v>
      </c>
      <c r="L1668">
        <v>284.33519999999999</v>
      </c>
      <c r="M1668">
        <v>-0.99987369999999998</v>
      </c>
      <c r="N1668">
        <v>0</v>
      </c>
      <c r="O1668">
        <v>7.0453540000000002E-3</v>
      </c>
      <c r="P1668">
        <v>-0.98654710000000001</v>
      </c>
      <c r="Q1668">
        <v>0.16147690000000001</v>
      </c>
      <c r="R1668">
        <v>2.5503209999999998E-2</v>
      </c>
      <c r="S1668">
        <v>-3.0802309999999999</v>
      </c>
      <c r="T1668">
        <v>-0.2315295</v>
      </c>
      <c r="U1668">
        <v>-2.600098E-2</v>
      </c>
      <c r="V1668">
        <v>1.8557850000000001E-2</v>
      </c>
      <c r="W1668">
        <v>0.17552229999999999</v>
      </c>
      <c r="X1668">
        <v>0.98430059999999997</v>
      </c>
      <c r="Y1668">
        <v>-1.542317E-2</v>
      </c>
      <c r="Z1668">
        <v>-1.1076969999999999E-3</v>
      </c>
      <c r="AA1668">
        <v>0.9998804</v>
      </c>
      <c r="AB1668">
        <v>43</v>
      </c>
      <c r="AC1668">
        <v>-14.358599999999999</v>
      </c>
      <c r="AD1668">
        <v>-1.1100654538719901</v>
      </c>
      <c r="AE1668">
        <v>-0.127499999999997</v>
      </c>
      <c r="AF1668">
        <v>-0.22731002888965601</v>
      </c>
      <c r="AG1668">
        <v>-1.1100654538719901</v>
      </c>
      <c r="AH1668">
        <v>14.272049891983301</v>
      </c>
      <c r="AI1668">
        <v>94.446891484335097</v>
      </c>
      <c r="AJ1668">
        <v>90.912469078809593</v>
      </c>
      <c r="AK1668">
        <v>14.3169592889124</v>
      </c>
      <c r="AL1668">
        <v>79.890946564553303</v>
      </c>
      <c r="AM1668">
        <v>88.919882279057106</v>
      </c>
      <c r="AN1668">
        <v>1.00000007137713</v>
      </c>
    </row>
    <row r="1669" spans="1:40" x14ac:dyDescent="0.25">
      <c r="A1669" t="str">
        <f>"20190312164254759"</f>
        <v>20190312164254759</v>
      </c>
      <c r="B1669" t="str">
        <f>"1552380174755722"</f>
        <v>1552380174755722</v>
      </c>
      <c r="C1669" t="s">
        <v>40</v>
      </c>
      <c r="D1669">
        <v>4.2627709999999999</v>
      </c>
      <c r="E1669">
        <v>0.49123080000000002</v>
      </c>
      <c r="F1669" t="s">
        <v>46</v>
      </c>
      <c r="G1669">
        <v>-340.36599999999999</v>
      </c>
      <c r="H1669" s="1">
        <v>-1.3420079999999901E-6</v>
      </c>
      <c r="I1669">
        <v>284.23750000000001</v>
      </c>
      <c r="J1669">
        <v>-326.2217</v>
      </c>
      <c r="K1669">
        <v>1.110047</v>
      </c>
      <c r="L1669">
        <v>284.33819999999997</v>
      </c>
      <c r="M1669">
        <v>-0.99987519999999996</v>
      </c>
      <c r="N1669">
        <v>0</v>
      </c>
      <c r="O1669">
        <v>7.0450950000000004E-3</v>
      </c>
      <c r="P1669">
        <v>-0.98673789999999995</v>
      </c>
      <c r="Q1669">
        <v>0.16021850000000001</v>
      </c>
      <c r="R1669">
        <v>2.6053880000000001E-2</v>
      </c>
      <c r="S1669">
        <v>-3.0798649999999999</v>
      </c>
      <c r="T1669">
        <v>-0.2346686</v>
      </c>
      <c r="U1669">
        <v>-2.0660399999999999E-2</v>
      </c>
      <c r="V1669">
        <v>1.910748E-2</v>
      </c>
      <c r="W1669">
        <v>0.1741626</v>
      </c>
      <c r="X1669">
        <v>0.9845315</v>
      </c>
      <c r="Y1669">
        <v>-1.3693429999999999E-2</v>
      </c>
      <c r="Z1669">
        <v>-1.0569889999999999E-3</v>
      </c>
      <c r="AA1669">
        <v>0.99990570000000001</v>
      </c>
      <c r="AB1669">
        <v>43</v>
      </c>
      <c r="AC1669">
        <v>-14.1442999999999</v>
      </c>
      <c r="AD1669">
        <v>-1.1100483420080001</v>
      </c>
      <c r="AE1669">
        <v>-0.10069999999996</v>
      </c>
      <c r="AF1669">
        <v>-0.199128998039831</v>
      </c>
      <c r="AG1669">
        <v>-1.1100483420080001</v>
      </c>
      <c r="AH1669">
        <v>14.0566666514673</v>
      </c>
      <c r="AI1669">
        <v>94.514799168182904</v>
      </c>
      <c r="AJ1669">
        <v>90.811606929142897</v>
      </c>
      <c r="AK1669">
        <v>14.1018345271077</v>
      </c>
      <c r="AL1669">
        <v>79.970069610520895</v>
      </c>
      <c r="AM1669">
        <v>88.888160978326198</v>
      </c>
      <c r="AN1669">
        <v>0.99999999076148005</v>
      </c>
    </row>
    <row r="1670" spans="1:40" x14ac:dyDescent="0.25">
      <c r="A1670" t="str">
        <f>"20190312164254783"</f>
        <v>20190312164254783</v>
      </c>
      <c r="B1670" t="str">
        <f>"1552380174776218"</f>
        <v>1552380174776218</v>
      </c>
      <c r="C1670" t="s">
        <v>40</v>
      </c>
      <c r="D1670">
        <v>4.2823200000000003</v>
      </c>
      <c r="E1670">
        <v>0.49507440000000003</v>
      </c>
      <c r="F1670" t="s">
        <v>46</v>
      </c>
      <c r="G1670">
        <v>-338.41050000000001</v>
      </c>
      <c r="H1670" s="1">
        <v>2.9581140000000001E-6</v>
      </c>
      <c r="I1670">
        <v>284.1755</v>
      </c>
      <c r="J1670">
        <v>-326.66879999999998</v>
      </c>
      <c r="K1670">
        <v>1.1100270000000001</v>
      </c>
      <c r="L1670">
        <v>284.34129999999999</v>
      </c>
      <c r="M1670">
        <v>-0.99987680000000001</v>
      </c>
      <c r="N1670">
        <v>0</v>
      </c>
      <c r="O1670">
        <v>7.0450679999999998E-3</v>
      </c>
      <c r="P1670">
        <v>-0.98697900000000005</v>
      </c>
      <c r="Q1670">
        <v>0.1586661</v>
      </c>
      <c r="R1670">
        <v>2.6410889999999999E-2</v>
      </c>
      <c r="S1670">
        <v>-3.0870669999999998</v>
      </c>
      <c r="T1670">
        <v>-0.281141799999999</v>
      </c>
      <c r="U1670">
        <v>-4.1198730000000003E-2</v>
      </c>
      <c r="V1670">
        <v>1.9462529999999999E-2</v>
      </c>
      <c r="W1670">
        <v>0.1725016</v>
      </c>
      <c r="X1670">
        <v>0.98481700000000005</v>
      </c>
      <c r="Y1670">
        <v>-2.0276160000000001E-2</v>
      </c>
      <c r="Z1670">
        <v>-1.5616499999999999E-3</v>
      </c>
      <c r="AA1670">
        <v>0.99979320000000005</v>
      </c>
      <c r="AB1670">
        <v>43</v>
      </c>
      <c r="AC1670">
        <v>-11.7417</v>
      </c>
      <c r="AD1670">
        <v>-1.1100240418859999</v>
      </c>
      <c r="AE1670">
        <v>-0.16579999999999001</v>
      </c>
      <c r="AF1670">
        <v>-0.246324082972919</v>
      </c>
      <c r="AG1670">
        <v>-1.1100240418859999</v>
      </c>
      <c r="AH1670">
        <v>11.636265147604201</v>
      </c>
      <c r="AI1670">
        <v>95.447942655158798</v>
      </c>
      <c r="AJ1670">
        <v>91.212693473124205</v>
      </c>
      <c r="AK1670">
        <v>11.691684887678299</v>
      </c>
      <c r="AL1670">
        <v>80.066701247008993</v>
      </c>
      <c r="AM1670">
        <v>88.867834645548001</v>
      </c>
      <c r="AN1670">
        <v>1.0000000577827699</v>
      </c>
    </row>
    <row r="1671" spans="1:40" x14ac:dyDescent="0.25">
      <c r="A1671" t="str">
        <f>"20190312164254815"</f>
        <v>20190312164254815</v>
      </c>
      <c r="B1671" t="str">
        <f>"1552380174805501"</f>
        <v>1552380174805501</v>
      </c>
      <c r="C1671" t="s">
        <v>40</v>
      </c>
      <c r="D1671">
        <v>4.312538</v>
      </c>
      <c r="E1671">
        <v>0.4951294</v>
      </c>
      <c r="F1671" t="s">
        <v>41</v>
      </c>
      <c r="G1671">
        <v>-327.73570000000001</v>
      </c>
      <c r="H1671">
        <v>1.0239510000000001</v>
      </c>
      <c r="I1671">
        <v>284.33909999999997</v>
      </c>
      <c r="J1671">
        <v>-327.27780000000001</v>
      </c>
      <c r="K1671">
        <v>1.110006</v>
      </c>
      <c r="L1671">
        <v>284.34559999999999</v>
      </c>
      <c r="M1671">
        <v>-0.99987890000000001</v>
      </c>
      <c r="N1671">
        <v>0</v>
      </c>
      <c r="O1671">
        <v>7.0453269999999997E-3</v>
      </c>
      <c r="P1671">
        <v>-0.98727050000000005</v>
      </c>
      <c r="Q1671">
        <v>0.1569179</v>
      </c>
      <c r="R1671">
        <v>2.5957790000000001E-2</v>
      </c>
      <c r="S1671">
        <v>-3.0797119999999998</v>
      </c>
      <c r="T1671">
        <v>-0.2485059</v>
      </c>
      <c r="U1671">
        <v>-6.8664549999999996E-3</v>
      </c>
      <c r="V1671">
        <v>1.9007030000000001E-2</v>
      </c>
      <c r="W1671">
        <v>0.1706037</v>
      </c>
      <c r="X1671">
        <v>0.98515640000000004</v>
      </c>
      <c r="Y1671">
        <v>-9.2226300000000008E-3</v>
      </c>
      <c r="Z1671">
        <v>-9.3911470000000003E-4</v>
      </c>
      <c r="AA1671">
        <v>0.99995699999999998</v>
      </c>
      <c r="AB1671">
        <v>43</v>
      </c>
      <c r="AC1671">
        <v>-0.45789999999999498</v>
      </c>
      <c r="AD1671">
        <v>-8.6054999999999895E-2</v>
      </c>
      <c r="AE1671">
        <v>-6.5000000000168196E-3</v>
      </c>
      <c r="AF1671">
        <v>-9.3944662705385401E-3</v>
      </c>
      <c r="AG1671">
        <v>-8.6054999999999895E-2</v>
      </c>
      <c r="AH1671">
        <v>0.44222687882109202</v>
      </c>
      <c r="AI1671">
        <v>101.009411922005</v>
      </c>
      <c r="AJ1671">
        <v>91.216982379760907</v>
      </c>
      <c r="AK1671">
        <v>0.45061994116256399</v>
      </c>
      <c r="AL1671">
        <v>80.177078814721895</v>
      </c>
      <c r="AM1671">
        <v>88.894705951415204</v>
      </c>
      <c r="AN1671">
        <v>1.00000001105203</v>
      </c>
    </row>
    <row r="1672" spans="1:40" x14ac:dyDescent="0.25">
      <c r="A1672" t="str">
        <f>"20190312164254839"</f>
        <v>20190312164254839</v>
      </c>
      <c r="B1672" t="str">
        <f>"1552380174835754"</f>
        <v>1552380174835754</v>
      </c>
      <c r="C1672" t="s">
        <v>40</v>
      </c>
      <c r="D1672">
        <v>4.3168629999999997</v>
      </c>
      <c r="E1672">
        <v>0.4920197</v>
      </c>
      <c r="F1672" t="s">
        <v>46</v>
      </c>
      <c r="G1672">
        <v>-340.80560000000003</v>
      </c>
      <c r="H1672" s="1">
        <v>-1.108067E-6</v>
      </c>
      <c r="I1672">
        <v>284.3177</v>
      </c>
      <c r="J1672">
        <v>-327.73070000000001</v>
      </c>
      <c r="K1672">
        <v>1.109993</v>
      </c>
      <c r="L1672">
        <v>284.34879999999998</v>
      </c>
      <c r="M1672">
        <v>-0.99988049999999995</v>
      </c>
      <c r="N1672">
        <v>0</v>
      </c>
      <c r="O1672">
        <v>7.0449190000000002E-3</v>
      </c>
      <c r="P1672">
        <v>-0.98743910000000001</v>
      </c>
      <c r="Q1672">
        <v>0.1558359</v>
      </c>
      <c r="R1672">
        <v>2.6067420000000001E-2</v>
      </c>
      <c r="S1672">
        <v>-3.0789789999999999</v>
      </c>
      <c r="T1672">
        <v>-0.25264049999999999</v>
      </c>
      <c r="U1672">
        <v>-6.3476560000000001E-3</v>
      </c>
      <c r="V1672">
        <v>1.91161E-2</v>
      </c>
      <c r="W1672">
        <v>0.16941300000000001</v>
      </c>
      <c r="X1672">
        <v>0.98535969999999995</v>
      </c>
      <c r="Y1672">
        <v>-9.0530239999999998E-3</v>
      </c>
      <c r="Z1672">
        <v>-9.4793280000000002E-4</v>
      </c>
      <c r="AA1672">
        <v>0.99995860000000003</v>
      </c>
      <c r="AB1672">
        <v>43</v>
      </c>
      <c r="AC1672">
        <v>-13.0749</v>
      </c>
      <c r="AD1672">
        <v>-1.1099941080669999</v>
      </c>
      <c r="AE1672">
        <v>-3.1099999999980799E-2</v>
      </c>
      <c r="AF1672">
        <v>-0.12233785724642</v>
      </c>
      <c r="AG1672">
        <v>-1.1099941080669999</v>
      </c>
      <c r="AH1672">
        <v>12.980802076225199</v>
      </c>
      <c r="AI1672">
        <v>94.887281992572795</v>
      </c>
      <c r="AJ1672">
        <v>90.539969358963504</v>
      </c>
      <c r="AK1672">
        <v>13.0287480600935</v>
      </c>
      <c r="AL1672">
        <v>80.246308246609601</v>
      </c>
      <c r="AM1672">
        <v>88.888594211316899</v>
      </c>
      <c r="AN1672">
        <v>0.999999964116149</v>
      </c>
    </row>
    <row r="1673" spans="1:40" x14ac:dyDescent="0.25">
      <c r="A1673" t="str">
        <f>"20190312164254862"</f>
        <v>20190312164254862</v>
      </c>
      <c r="B1673" t="str">
        <f>"1552380174856250"</f>
        <v>1552380174856250</v>
      </c>
      <c r="C1673" t="s">
        <v>40</v>
      </c>
      <c r="D1673">
        <v>4.324471</v>
      </c>
      <c r="E1673">
        <v>0.49160229999999999</v>
      </c>
      <c r="F1673" t="s">
        <v>41</v>
      </c>
      <c r="G1673">
        <v>-328.51479999999998</v>
      </c>
      <c r="H1673">
        <v>1.0351870000000001</v>
      </c>
      <c r="I1673">
        <v>284.34059999999999</v>
      </c>
      <c r="J1673">
        <v>-328.15870000000001</v>
      </c>
      <c r="K1673">
        <v>1.109979</v>
      </c>
      <c r="L1673">
        <v>284.3519</v>
      </c>
      <c r="M1673">
        <v>-0.99988200000000005</v>
      </c>
      <c r="N1673">
        <v>0</v>
      </c>
      <c r="O1673">
        <v>7.0441710000000001E-3</v>
      </c>
      <c r="P1673">
        <v>-0.98754679999999995</v>
      </c>
      <c r="Q1673">
        <v>0.15519920000000001</v>
      </c>
      <c r="R1673">
        <v>2.5782070000000001E-2</v>
      </c>
      <c r="S1673">
        <v>-3.08548</v>
      </c>
      <c r="T1673">
        <v>-0.29439890000000002</v>
      </c>
      <c r="U1673">
        <v>-3.2684329999999998E-2</v>
      </c>
      <c r="V1673">
        <v>1.8830679999999999E-2</v>
      </c>
      <c r="W1673">
        <v>0.16867179999999901</v>
      </c>
      <c r="X1673">
        <v>0.98549229999999999</v>
      </c>
      <c r="Y1673">
        <v>-1.7524939999999999E-2</v>
      </c>
      <c r="Z1673">
        <v>-1.504785E-3</v>
      </c>
      <c r="AA1673">
        <v>0.99984530000000005</v>
      </c>
      <c r="AB1673">
        <v>43</v>
      </c>
      <c r="AC1673">
        <v>-0.356099999999969</v>
      </c>
      <c r="AD1673">
        <v>-7.47919999999999E-2</v>
      </c>
      <c r="AE1673">
        <v>-1.1300000000005601E-2</v>
      </c>
      <c r="AF1673">
        <v>-1.32255511419764E-2</v>
      </c>
      <c r="AG1673">
        <v>-7.47919999999999E-2</v>
      </c>
      <c r="AH1673">
        <v>0.34098483277713598</v>
      </c>
      <c r="AI1673">
        <v>102.362396845807</v>
      </c>
      <c r="AJ1673">
        <v>92.221179775803094</v>
      </c>
      <c r="AK1673">
        <v>0.349341401283988</v>
      </c>
      <c r="AL1673">
        <v>80.289395552880507</v>
      </c>
      <c r="AM1673">
        <v>88.9053316706826</v>
      </c>
      <c r="AN1673">
        <v>0.99999992199189303</v>
      </c>
    </row>
    <row r="1674" spans="1:40" x14ac:dyDescent="0.25">
      <c r="A1674" t="str">
        <f>"20190312164254883"</f>
        <v>20190312164254883</v>
      </c>
      <c r="B1674" t="str">
        <f>"1552380174875769"</f>
        <v>1552380174875769</v>
      </c>
      <c r="C1674" t="s">
        <v>40</v>
      </c>
      <c r="D1674">
        <v>4.4955660000000002</v>
      </c>
      <c r="E1674">
        <v>0.49476690000000001</v>
      </c>
      <c r="F1674" t="s">
        <v>41</v>
      </c>
      <c r="G1674">
        <v>-329.24799999999999</v>
      </c>
      <c r="H1674">
        <v>1.006721</v>
      </c>
      <c r="I1674">
        <v>284.33920000000001</v>
      </c>
      <c r="J1674">
        <v>-328.5711</v>
      </c>
      <c r="K1674">
        <v>1.1099680000000001</v>
      </c>
      <c r="L1674">
        <v>284.35480000000001</v>
      </c>
      <c r="M1674">
        <v>-0.99988339999999998</v>
      </c>
      <c r="N1674">
        <v>0</v>
      </c>
      <c r="O1674">
        <v>7.0438870000000004E-3</v>
      </c>
      <c r="P1674">
        <v>-0.98759969999999997</v>
      </c>
      <c r="Q1674">
        <v>0.15495539999999999</v>
      </c>
      <c r="R1674">
        <v>2.5209410000000002E-2</v>
      </c>
      <c r="S1674">
        <v>-3.0847470000000001</v>
      </c>
      <c r="T1674">
        <v>-0.29259839999999998</v>
      </c>
      <c r="U1674">
        <v>-3.6621090000000002E-2</v>
      </c>
      <c r="V1674">
        <v>1.8258E-2</v>
      </c>
      <c r="W1674">
        <v>0.16832359999999999</v>
      </c>
      <c r="X1674">
        <v>0.98556270000000001</v>
      </c>
      <c r="Y1674">
        <v>-1.879859E-2</v>
      </c>
      <c r="Z1674">
        <v>-1.556207E-3</v>
      </c>
      <c r="AA1674">
        <v>0.99982210000000005</v>
      </c>
      <c r="AB1674">
        <v>43</v>
      </c>
      <c r="AC1674">
        <v>-0.67690000000004602</v>
      </c>
      <c r="AD1674">
        <v>-0.10324700000000001</v>
      </c>
      <c r="AE1674">
        <v>-1.5600000000006199E-2</v>
      </c>
      <c r="AF1674">
        <v>-1.9905205953166302E-2</v>
      </c>
      <c r="AG1674">
        <v>-0.10324700000000001</v>
      </c>
      <c r="AH1674">
        <v>0.66139404609831298</v>
      </c>
      <c r="AI1674">
        <v>98.868604422249206</v>
      </c>
      <c r="AJ1674">
        <v>91.723843978411793</v>
      </c>
      <c r="AK1674">
        <v>0.66970011531082696</v>
      </c>
      <c r="AL1674">
        <v>80.309636215572098</v>
      </c>
      <c r="AM1674">
        <v>88.938690866640599</v>
      </c>
      <c r="AN1674">
        <v>1.0000000122561199</v>
      </c>
    </row>
    <row r="1675" spans="1:40" x14ac:dyDescent="0.25">
      <c r="A1675" t="str">
        <f>"20190312164254906"</f>
        <v>20190312164254906</v>
      </c>
      <c r="B1675" t="str">
        <f>"1552380174896265"</f>
        <v>1552380174896265</v>
      </c>
      <c r="C1675" t="s">
        <v>40</v>
      </c>
      <c r="D1675">
        <v>4.6399999999999997</v>
      </c>
      <c r="E1675">
        <v>0.49445499999999998</v>
      </c>
      <c r="F1675" t="s">
        <v>41</v>
      </c>
      <c r="G1675">
        <v>-329.63209999999998</v>
      </c>
      <c r="H1675">
        <v>1.0155909999999999</v>
      </c>
      <c r="I1675">
        <v>284.351</v>
      </c>
      <c r="J1675">
        <v>-328.9973</v>
      </c>
      <c r="K1675">
        <v>1.1099570000000001</v>
      </c>
      <c r="L1675">
        <v>284.3578</v>
      </c>
      <c r="M1675">
        <v>-0.99988500000000002</v>
      </c>
      <c r="N1675">
        <v>0</v>
      </c>
      <c r="O1675">
        <v>7.0434319999999996E-3</v>
      </c>
      <c r="P1675">
        <v>-0.98751460000000002</v>
      </c>
      <c r="Q1675">
        <v>0.1555272</v>
      </c>
      <c r="R1675">
        <v>2.5029200000000001E-2</v>
      </c>
      <c r="S1675">
        <v>-3.080994</v>
      </c>
      <c r="T1675">
        <v>-0.27416590000000002</v>
      </c>
      <c r="U1675">
        <v>-1.1810299999999999E-2</v>
      </c>
      <c r="V1675">
        <v>1.8078710000000001E-2</v>
      </c>
      <c r="W1675">
        <v>0.16878750000000001</v>
      </c>
      <c r="X1675">
        <v>0.98548659999999999</v>
      </c>
      <c r="Y1675">
        <v>-1.0806629999999999E-2</v>
      </c>
      <c r="Z1675">
        <v>-1.105455E-3</v>
      </c>
      <c r="AA1675">
        <v>0.99994099999999997</v>
      </c>
      <c r="AB1675">
        <v>43</v>
      </c>
      <c r="AC1675">
        <v>-0.63479999999998404</v>
      </c>
      <c r="AD1675">
        <v>-9.4365999999999894E-2</v>
      </c>
      <c r="AE1675">
        <v>-6.7999999999983603E-3</v>
      </c>
      <c r="AF1675">
        <v>-1.1027739789981001E-2</v>
      </c>
      <c r="AG1675">
        <v>-9.4365999999999894E-2</v>
      </c>
      <c r="AH1675">
        <v>0.62101460933072306</v>
      </c>
      <c r="AI1675">
        <v>98.638916274018598</v>
      </c>
      <c r="AJ1675">
        <v>91.0173296037905</v>
      </c>
      <c r="AK1675">
        <v>0.62824015949560696</v>
      </c>
      <c r="AL1675">
        <v>80.282670270571302</v>
      </c>
      <c r="AM1675">
        <v>88.949029234352594</v>
      </c>
      <c r="AN1675">
        <v>0.99999994934553504</v>
      </c>
    </row>
    <row r="1676" spans="1:40" x14ac:dyDescent="0.25">
      <c r="A1676" t="str">
        <f>"20190312164254926"</f>
        <v>20190312164254926</v>
      </c>
      <c r="B1676" t="str">
        <f>"1552380174915785"</f>
        <v>1552380174915785</v>
      </c>
      <c r="C1676" t="s">
        <v>40</v>
      </c>
      <c r="D1676">
        <v>4.43215</v>
      </c>
      <c r="E1676">
        <v>0.49388520000000002</v>
      </c>
      <c r="F1676" t="s">
        <v>41</v>
      </c>
      <c r="G1676">
        <v>-330.01639999999998</v>
      </c>
      <c r="H1676">
        <v>1.024527</v>
      </c>
      <c r="I1676">
        <v>284.3535</v>
      </c>
      <c r="J1676">
        <v>-329.3981</v>
      </c>
      <c r="K1676">
        <v>1.109947</v>
      </c>
      <c r="L1676">
        <v>284.36059999999998</v>
      </c>
      <c r="M1676">
        <v>-0.99988619999999995</v>
      </c>
      <c r="N1676">
        <v>0</v>
      </c>
      <c r="O1676">
        <v>7.0432630000000001E-3</v>
      </c>
      <c r="P1676">
        <v>-0.98745720000000003</v>
      </c>
      <c r="Q1676">
        <v>0.15582079999999901</v>
      </c>
      <c r="R1676">
        <v>2.546081E-2</v>
      </c>
      <c r="S1676">
        <v>-3.0788880000000001</v>
      </c>
      <c r="T1676">
        <v>-0.2582566</v>
      </c>
      <c r="U1676">
        <v>-1.3854979999999999E-2</v>
      </c>
      <c r="V1676">
        <v>1.8510970000000002E-2</v>
      </c>
      <c r="W1676">
        <v>0.16898199999999999</v>
      </c>
      <c r="X1676">
        <v>0.98544529999999997</v>
      </c>
      <c r="Y1676">
        <v>-1.147861E-2</v>
      </c>
      <c r="Z1676">
        <v>-1.0703659999999999E-3</v>
      </c>
      <c r="AA1676">
        <v>0.99993350000000003</v>
      </c>
      <c r="AB1676">
        <v>43</v>
      </c>
      <c r="AC1676">
        <v>-0.61829999999997598</v>
      </c>
      <c r="AD1676">
        <v>-8.5419999999999996E-2</v>
      </c>
      <c r="AE1676">
        <v>-7.0999999999799002E-3</v>
      </c>
      <c r="AF1676">
        <v>-1.12405492967163E-2</v>
      </c>
      <c r="AG1676">
        <v>-8.5419999999999996E-2</v>
      </c>
      <c r="AH1676">
        <v>0.60665736094844303</v>
      </c>
      <c r="AI1676">
        <v>98.013448198062704</v>
      </c>
      <c r="AJ1676">
        <v>91.061492679592405</v>
      </c>
      <c r="AK1676">
        <v>0.61274471025168598</v>
      </c>
      <c r="AL1676">
        <v>80.271364387682098</v>
      </c>
      <c r="AM1676">
        <v>88.923861388459699</v>
      </c>
      <c r="AN1676">
        <v>1.0000000058132099</v>
      </c>
    </row>
    <row r="1677" spans="1:40" x14ac:dyDescent="0.25">
      <c r="A1677" t="str">
        <f>"20190312164254948"</f>
        <v>20190312164254948</v>
      </c>
      <c r="B1677" t="str">
        <f>"1552380174946043"</f>
        <v>1552380174946043</v>
      </c>
      <c r="C1677" t="s">
        <v>40</v>
      </c>
      <c r="D1677">
        <v>4.3550829999999996</v>
      </c>
      <c r="E1677">
        <v>0.48108980000000001</v>
      </c>
      <c r="F1677" t="s">
        <v>41</v>
      </c>
      <c r="G1677">
        <v>-330.3965</v>
      </c>
      <c r="H1677">
        <v>1.0245930000000001</v>
      </c>
      <c r="I1677">
        <v>284.35550000000001</v>
      </c>
      <c r="J1677">
        <v>-329.82510000000002</v>
      </c>
      <c r="K1677">
        <v>1.1099330000000001</v>
      </c>
      <c r="L1677">
        <v>284.36360000000002</v>
      </c>
      <c r="M1677">
        <v>-0.99988759999999999</v>
      </c>
      <c r="N1677">
        <v>0</v>
      </c>
      <c r="O1677">
        <v>7.0429280000000004E-3</v>
      </c>
      <c r="P1677">
        <v>-0.98737560000000002</v>
      </c>
      <c r="Q1677">
        <v>0.15638550000000001</v>
      </c>
      <c r="R1677">
        <v>2.5161989999999999E-2</v>
      </c>
      <c r="S1677">
        <v>-3.0801090000000002</v>
      </c>
      <c r="T1677">
        <v>-0.26341880000000001</v>
      </c>
      <c r="U1677">
        <v>-1.638794E-2</v>
      </c>
      <c r="V1677">
        <v>1.821304E-2</v>
      </c>
      <c r="W1677">
        <v>0.1694454</v>
      </c>
      <c r="X1677">
        <v>0.98537129999999995</v>
      </c>
      <c r="Y1677">
        <v>-1.2293220000000001E-2</v>
      </c>
      <c r="Z1677">
        <v>-1.1259919999999999E-3</v>
      </c>
      <c r="AA1677">
        <v>0.99992380000000003</v>
      </c>
      <c r="AB1677">
        <v>43</v>
      </c>
      <c r="AC1677">
        <v>-0.57139999999998203</v>
      </c>
      <c r="AD1677">
        <v>-8.5339999999999902E-2</v>
      </c>
      <c r="AE1677">
        <v>-8.1000000000130898E-3</v>
      </c>
      <c r="AF1677">
        <v>-1.1859983150595299E-2</v>
      </c>
      <c r="AG1677">
        <v>-8.5339999999999902E-2</v>
      </c>
      <c r="AH1677">
        <v>0.55886514261456099</v>
      </c>
      <c r="AI1677">
        <v>98.680204761654693</v>
      </c>
      <c r="AJ1677">
        <v>91.215722624519998</v>
      </c>
      <c r="AK1677">
        <v>0.56546779079795995</v>
      </c>
      <c r="AL1677">
        <v>80.244425266222606</v>
      </c>
      <c r="AM1677">
        <v>88.941098129992895</v>
      </c>
      <c r="AN1677">
        <v>1.00000002863544</v>
      </c>
    </row>
    <row r="1678" spans="1:40" x14ac:dyDescent="0.25">
      <c r="A1678" t="str">
        <f>"20190312164254972"</f>
        <v>20190312164254972</v>
      </c>
      <c r="B1678" t="str">
        <f>"1552380174966539"</f>
        <v>1552380174966539</v>
      </c>
      <c r="C1678" t="s">
        <v>40</v>
      </c>
      <c r="D1678">
        <v>4.5098929999999999</v>
      </c>
      <c r="E1678">
        <v>0.48102149999999999</v>
      </c>
      <c r="F1678" t="s">
        <v>46</v>
      </c>
      <c r="G1678">
        <v>-344.58139999999997</v>
      </c>
      <c r="H1678" s="1">
        <v>9.0118700000000001E-7</v>
      </c>
      <c r="I1678">
        <v>283.80239999999998</v>
      </c>
      <c r="J1678">
        <v>-330.25639999999999</v>
      </c>
      <c r="K1678">
        <v>1.1099209999999999</v>
      </c>
      <c r="L1678">
        <v>284.36660000000001</v>
      </c>
      <c r="M1678">
        <v>-0.99988900000000003</v>
      </c>
      <c r="N1678">
        <v>0</v>
      </c>
      <c r="O1678">
        <v>7.0427759999999997E-3</v>
      </c>
      <c r="P1678">
        <v>-0.98735220000000001</v>
      </c>
      <c r="Q1678">
        <v>0.1564622</v>
      </c>
      <c r="R1678">
        <v>2.5603210000000001E-2</v>
      </c>
      <c r="S1678">
        <v>-3.078033</v>
      </c>
      <c r="T1678">
        <v>-0.23152300000000001</v>
      </c>
      <c r="U1678">
        <v>-0.1170654</v>
      </c>
      <c r="V1678">
        <v>1.86547E-2</v>
      </c>
      <c r="W1678">
        <v>0.1694205</v>
      </c>
      <c r="X1678">
        <v>0.98536729999999995</v>
      </c>
      <c r="Y1678">
        <v>-4.4895909999999997E-2</v>
      </c>
      <c r="Z1678">
        <v>-2.2143639999999999E-3</v>
      </c>
      <c r="AA1678">
        <v>0.99898920000000002</v>
      </c>
      <c r="AB1678">
        <v>43</v>
      </c>
      <c r="AC1678">
        <v>-14.3249999999999</v>
      </c>
      <c r="AD1678">
        <v>-1.109920098813</v>
      </c>
      <c r="AE1678">
        <v>-0.56420000000002701</v>
      </c>
      <c r="AF1678">
        <v>-0.66111967801238303</v>
      </c>
      <c r="AG1678">
        <v>-1.109920098813</v>
      </c>
      <c r="AH1678">
        <v>14.235343307459599</v>
      </c>
      <c r="AI1678">
        <v>94.4535126058244</v>
      </c>
      <c r="AJ1678">
        <v>92.659027466507396</v>
      </c>
      <c r="AK1678">
        <v>14.2938448618851</v>
      </c>
      <c r="AL1678">
        <v>80.245872675115194</v>
      </c>
      <c r="AM1678">
        <v>88.915421780577105</v>
      </c>
      <c r="AN1678">
        <v>1.0000000097808099</v>
      </c>
    </row>
    <row r="1679" spans="1:40" x14ac:dyDescent="0.25">
      <c r="A1679" t="str">
        <f>"20190312164254993"</f>
        <v>20190312164254993</v>
      </c>
      <c r="B1679" t="str">
        <f>"1552380174986057"</f>
        <v>1552380174986057</v>
      </c>
      <c r="C1679" t="s">
        <v>40</v>
      </c>
      <c r="D1679">
        <v>4.526402</v>
      </c>
      <c r="E1679">
        <v>0.48226479999999999</v>
      </c>
      <c r="F1679" t="s">
        <v>46</v>
      </c>
      <c r="G1679">
        <v>-346.53960000000001</v>
      </c>
      <c r="H1679" s="1">
        <v>1.9432490000000002E-6</v>
      </c>
      <c r="I1679">
        <v>283.75619999999998</v>
      </c>
      <c r="J1679">
        <v>-330.685</v>
      </c>
      <c r="K1679">
        <v>1.109909</v>
      </c>
      <c r="L1679">
        <v>284.36970000000002</v>
      </c>
      <c r="M1679">
        <v>-0.99989039999999996</v>
      </c>
      <c r="N1679">
        <v>0</v>
      </c>
      <c r="O1679">
        <v>7.0420919999999998E-3</v>
      </c>
      <c r="P1679">
        <v>-0.98732070000000005</v>
      </c>
      <c r="Q1679">
        <v>0.156722</v>
      </c>
      <c r="R1679">
        <v>2.5233229999999999E-2</v>
      </c>
      <c r="S1679">
        <v>-3.0746769999999999</v>
      </c>
      <c r="T1679">
        <v>-0.20958089999999999</v>
      </c>
      <c r="U1679">
        <v>-0.1152649</v>
      </c>
      <c r="V1679">
        <v>1.828581E-2</v>
      </c>
      <c r="W1679">
        <v>0.16957700000000001</v>
      </c>
      <c r="X1679">
        <v>0.98534730000000004</v>
      </c>
      <c r="Y1679">
        <v>-4.4379799999999997E-2</v>
      </c>
      <c r="Z1679">
        <v>-1.9896050000000002E-3</v>
      </c>
      <c r="AA1679">
        <v>0.99901280000000003</v>
      </c>
      <c r="AB1679">
        <v>43</v>
      </c>
      <c r="AC1679">
        <v>-15.8546</v>
      </c>
      <c r="AD1679">
        <v>-1.1099070567509901</v>
      </c>
      <c r="AE1679">
        <v>-0.61350000000004401</v>
      </c>
      <c r="AF1679">
        <v>-0.721612649245851</v>
      </c>
      <c r="AG1679">
        <v>-1.1099070567509901</v>
      </c>
      <c r="AH1679">
        <v>15.772703588898899</v>
      </c>
      <c r="AI1679">
        <v>94.021010827696301</v>
      </c>
      <c r="AJ1679">
        <v>92.619496913125204</v>
      </c>
      <c r="AK1679">
        <v>15.828164675458799</v>
      </c>
      <c r="AL1679">
        <v>80.236774293256701</v>
      </c>
      <c r="AM1679">
        <v>88.936842379732397</v>
      </c>
      <c r="AN1679">
        <v>1.0000000156968201</v>
      </c>
    </row>
    <row r="1680" spans="1:40" x14ac:dyDescent="0.25">
      <c r="A1680" t="str">
        <f>"20190312164255016"</f>
        <v>20190312164255016</v>
      </c>
      <c r="B1680" t="str">
        <f>"1552380175005581"</f>
        <v>1552380175005581</v>
      </c>
      <c r="C1680" t="s">
        <v>40</v>
      </c>
      <c r="D1680">
        <v>4.6753429999999998</v>
      </c>
      <c r="E1680">
        <v>0.48195110000000002</v>
      </c>
      <c r="F1680" t="s">
        <v>46</v>
      </c>
      <c r="G1680">
        <v>-347.06670000000003</v>
      </c>
      <c r="H1680" s="1">
        <v>2.2237310000000002E-6</v>
      </c>
      <c r="I1680">
        <v>283.80259999999998</v>
      </c>
      <c r="J1680">
        <v>-331.09480000000002</v>
      </c>
      <c r="K1680">
        <v>1.109901</v>
      </c>
      <c r="L1680">
        <v>284.37259999999998</v>
      </c>
      <c r="M1680">
        <v>-0.99989170000000005</v>
      </c>
      <c r="N1680">
        <v>0</v>
      </c>
      <c r="O1680">
        <v>7.0417969999999998E-3</v>
      </c>
      <c r="P1680">
        <v>-0.98735969999999995</v>
      </c>
      <c r="Q1680">
        <v>0.15654560000000001</v>
      </c>
      <c r="R1680">
        <v>2.4789530000000001E-2</v>
      </c>
      <c r="S1680">
        <v>-3.0743100000000001</v>
      </c>
      <c r="T1680">
        <v>-0.20829420000000001</v>
      </c>
      <c r="U1680">
        <v>-0.1064148</v>
      </c>
      <c r="V1680">
        <v>1.7842050000000002E-2</v>
      </c>
      <c r="W1680">
        <v>0.16930120000000001</v>
      </c>
      <c r="X1680">
        <v>0.98540280000000002</v>
      </c>
      <c r="Y1680">
        <v>-4.1519590000000002E-2</v>
      </c>
      <c r="Z1680">
        <v>-1.8809779999999999E-3</v>
      </c>
      <c r="AA1680">
        <v>0.99913589999999997</v>
      </c>
      <c r="AB1680">
        <v>43</v>
      </c>
      <c r="AC1680">
        <v>-15.9719</v>
      </c>
      <c r="AD1680">
        <v>-1.109898776269</v>
      </c>
      <c r="AE1680">
        <v>-0.56999999999999296</v>
      </c>
      <c r="AF1680">
        <v>-0.67919052346401498</v>
      </c>
      <c r="AG1680">
        <v>-1.109898776269</v>
      </c>
      <c r="AH1680">
        <v>15.8908510992825</v>
      </c>
      <c r="AI1680">
        <v>93.991710938101505</v>
      </c>
      <c r="AJ1680">
        <v>92.447388110361501</v>
      </c>
      <c r="AK1680">
        <v>15.944037246578899</v>
      </c>
      <c r="AL1680">
        <v>80.252807729289202</v>
      </c>
      <c r="AM1680">
        <v>88.962695792303705</v>
      </c>
      <c r="AN1680">
        <v>0.99999995665873997</v>
      </c>
    </row>
    <row r="1681" spans="1:40" x14ac:dyDescent="0.25">
      <c r="A1681" t="str">
        <f>"20190312164255039"</f>
        <v>20190312164255039</v>
      </c>
      <c r="B1681" t="str">
        <f>"1552380175026074"</f>
        <v>1552380175026074</v>
      </c>
      <c r="C1681" t="s">
        <v>40</v>
      </c>
      <c r="D1681">
        <v>4.3765859999999996</v>
      </c>
      <c r="E1681">
        <v>0.48175000000000001</v>
      </c>
      <c r="F1681" t="s">
        <v>46</v>
      </c>
      <c r="G1681">
        <v>-348.57749999999999</v>
      </c>
      <c r="H1681" s="1">
        <v>3.0277529999999998E-6</v>
      </c>
      <c r="I1681">
        <v>283.75119999999998</v>
      </c>
      <c r="J1681">
        <v>-331.53250000000003</v>
      </c>
      <c r="K1681">
        <v>1.1098790000000001</v>
      </c>
      <c r="L1681">
        <v>284.37569999999999</v>
      </c>
      <c r="M1681">
        <v>-0.99989300000000003</v>
      </c>
      <c r="N1681">
        <v>0</v>
      </c>
      <c r="O1681">
        <v>7.0413089999999999E-3</v>
      </c>
      <c r="P1681">
        <v>-0.98759090000000005</v>
      </c>
      <c r="Q1681">
        <v>0.15525129999999901</v>
      </c>
      <c r="R1681">
        <v>2.3692100000000001E-2</v>
      </c>
      <c r="S1681">
        <v>-3.0720830000000001</v>
      </c>
      <c r="T1681">
        <v>-0.19503239999999999</v>
      </c>
      <c r="U1681">
        <v>-0.109191899999999</v>
      </c>
      <c r="V1681">
        <v>1.6743330000000001E-2</v>
      </c>
      <c r="W1681">
        <v>0.16790329999999901</v>
      </c>
      <c r="X1681">
        <v>0.98566129999999996</v>
      </c>
      <c r="Y1681">
        <v>-4.2457880000000003E-2</v>
      </c>
      <c r="Z1681">
        <v>-1.7924270000000001E-3</v>
      </c>
      <c r="AA1681">
        <v>0.9990966</v>
      </c>
      <c r="AB1681">
        <v>43</v>
      </c>
      <c r="AC1681">
        <v>-17.044999999999899</v>
      </c>
      <c r="AD1681">
        <v>-1.109875972247</v>
      </c>
      <c r="AE1681">
        <v>-0.62450000000001105</v>
      </c>
      <c r="AF1681">
        <v>-0.74137436106796595</v>
      </c>
      <c r="AG1681">
        <v>-1.109875972247</v>
      </c>
      <c r="AH1681">
        <v>16.968332254372001</v>
      </c>
      <c r="AI1681">
        <v>93.738752932425996</v>
      </c>
      <c r="AJ1681">
        <v>92.501755791295196</v>
      </c>
      <c r="AK1681">
        <v>17.0207449928545</v>
      </c>
      <c r="AL1681">
        <v>80.3340654665203</v>
      </c>
      <c r="AM1681">
        <v>89.026815917761198</v>
      </c>
      <c r="AN1681">
        <v>1.00000002778403</v>
      </c>
    </row>
    <row r="1682" spans="1:40" x14ac:dyDescent="0.25">
      <c r="A1682" t="str">
        <f>"20190312164255063"</f>
        <v>20190312164255063</v>
      </c>
      <c r="B1682" t="str">
        <f>"1552380175056329"</f>
        <v>1552380175056329</v>
      </c>
      <c r="C1682" t="s">
        <v>40</v>
      </c>
      <c r="D1682">
        <v>4.5109500000000002</v>
      </c>
      <c r="E1682">
        <v>0.48140620000000001</v>
      </c>
      <c r="F1682" t="s">
        <v>46</v>
      </c>
      <c r="G1682">
        <v>-349.43699999999899</v>
      </c>
      <c r="H1682" s="1">
        <v>3.4851229999999999E-6</v>
      </c>
      <c r="I1682">
        <v>283.7106</v>
      </c>
      <c r="J1682">
        <v>-331.97070000000002</v>
      </c>
      <c r="K1682">
        <v>1.1098600000000001</v>
      </c>
      <c r="L1682">
        <v>284.37880000000001</v>
      </c>
      <c r="M1682">
        <v>-0.99989439999999996</v>
      </c>
      <c r="N1682">
        <v>0</v>
      </c>
      <c r="O1682">
        <v>7.0409929999999997E-3</v>
      </c>
      <c r="P1682">
        <v>-0.98769490000000004</v>
      </c>
      <c r="Q1682">
        <v>0.15468009999999999</v>
      </c>
      <c r="R1682">
        <v>2.3091670000000002E-2</v>
      </c>
      <c r="S1682">
        <v>-3.0703740000000002</v>
      </c>
      <c r="T1682">
        <v>-0.19032840000000001</v>
      </c>
      <c r="U1682">
        <v>-0.1140442</v>
      </c>
      <c r="V1682">
        <v>1.61426E-2</v>
      </c>
      <c r="W1682">
        <v>0.16722590000000001</v>
      </c>
      <c r="X1682">
        <v>0.98578639999999995</v>
      </c>
      <c r="Y1682">
        <v>-4.4055669999999998E-2</v>
      </c>
      <c r="Z1682">
        <v>-1.7996380000000001E-3</v>
      </c>
      <c r="AA1682">
        <v>0.99902740000000001</v>
      </c>
      <c r="AB1682">
        <v>43</v>
      </c>
      <c r="AC1682">
        <v>-17.466299999999901</v>
      </c>
      <c r="AD1682">
        <v>-1.1098565148770001</v>
      </c>
      <c r="AE1682">
        <v>-0.66820000000001301</v>
      </c>
      <c r="AF1682">
        <v>-0.78799644147694003</v>
      </c>
      <c r="AG1682">
        <v>-1.1098565148770001</v>
      </c>
      <c r="AH1682">
        <v>17.391044956879401</v>
      </c>
      <c r="AI1682">
        <v>93.647800627544498</v>
      </c>
      <c r="AJ1682">
        <v>92.594324321709294</v>
      </c>
      <c r="AK1682">
        <v>17.444230122524601</v>
      </c>
      <c r="AL1682">
        <v>80.373433559172497</v>
      </c>
      <c r="AM1682">
        <v>89.061845251571995</v>
      </c>
      <c r="AN1682">
        <v>0.99999995579526302</v>
      </c>
    </row>
    <row r="1683" spans="1:40" x14ac:dyDescent="0.25">
      <c r="A1683" t="str">
        <f>"20190312164255083"</f>
        <v>20190312164255083</v>
      </c>
      <c r="B1683" t="str">
        <f>"1552380175075849"</f>
        <v>1552380175075849</v>
      </c>
      <c r="C1683" t="s">
        <v>40</v>
      </c>
      <c r="D1683">
        <v>4.5601859999999999</v>
      </c>
      <c r="E1683">
        <v>0.48138039999999999</v>
      </c>
      <c r="F1683" t="s">
        <v>46</v>
      </c>
      <c r="G1683">
        <v>-350.1814</v>
      </c>
      <c r="H1683" s="1">
        <v>-1.4402749999999999E-6</v>
      </c>
      <c r="I1683">
        <v>283.67410000000001</v>
      </c>
      <c r="J1683">
        <v>-332.38940000000002</v>
      </c>
      <c r="K1683">
        <v>1.1098490000000001</v>
      </c>
      <c r="L1683">
        <v>284.38170000000002</v>
      </c>
      <c r="M1683">
        <v>-0.9998958</v>
      </c>
      <c r="N1683">
        <v>0</v>
      </c>
      <c r="O1683">
        <v>7.0406399999999999E-3</v>
      </c>
      <c r="P1683">
        <v>-0.98777079999999995</v>
      </c>
      <c r="Q1683">
        <v>0.15428499999999901</v>
      </c>
      <c r="R1683">
        <v>2.2473839999999998E-2</v>
      </c>
      <c r="S1683">
        <v>-3.0694889999999999</v>
      </c>
      <c r="T1683">
        <v>-0.18707199999999999</v>
      </c>
      <c r="U1683">
        <v>-0.1187744</v>
      </c>
      <c r="V1683">
        <v>1.5524420000000001E-2</v>
      </c>
      <c r="W1683">
        <v>0.16672899999999999</v>
      </c>
      <c r="X1683">
        <v>0.9858806</v>
      </c>
      <c r="Y1683">
        <v>-4.5603680000000001E-2</v>
      </c>
      <c r="Z1683">
        <v>-1.8164520000000001E-3</v>
      </c>
      <c r="AA1683">
        <v>0.99895789999999995</v>
      </c>
      <c r="AB1683">
        <v>43</v>
      </c>
      <c r="AC1683">
        <v>-17.791999999999899</v>
      </c>
      <c r="AD1683">
        <v>-1.109850440275</v>
      </c>
      <c r="AE1683">
        <v>-0.707600000000013</v>
      </c>
      <c r="AF1683">
        <v>-0.82963632260889897</v>
      </c>
      <c r="AG1683">
        <v>-1.109850440275</v>
      </c>
      <c r="AH1683">
        <v>17.717742848545999</v>
      </c>
      <c r="AI1683">
        <v>93.580447159817794</v>
      </c>
      <c r="AJ1683">
        <v>92.680926369201003</v>
      </c>
      <c r="AK1683">
        <v>17.7718450385652</v>
      </c>
      <c r="AL1683">
        <v>80.402310258825594</v>
      </c>
      <c r="AM1683">
        <v>89.0978519737141</v>
      </c>
      <c r="AN1683">
        <v>1.0000000622568399</v>
      </c>
    </row>
    <row r="1684" spans="1:40" x14ac:dyDescent="0.25">
      <c r="A1684" t="str">
        <f>"20190312164255105"</f>
        <v>20190312164255105</v>
      </c>
      <c r="B1684" t="str">
        <f>"1552380175096346"</f>
        <v>1552380175096346</v>
      </c>
      <c r="C1684" t="s">
        <v>40</v>
      </c>
      <c r="D1684">
        <v>4.3337149999999998</v>
      </c>
      <c r="E1684">
        <v>0.48169689999999998</v>
      </c>
      <c r="F1684" t="s">
        <v>46</v>
      </c>
      <c r="G1684">
        <v>-350.52199999999999</v>
      </c>
      <c r="H1684" s="1">
        <v>-1.259004E-6</v>
      </c>
      <c r="I1684">
        <v>283.66609999999997</v>
      </c>
      <c r="J1684">
        <v>-332.79329999999999</v>
      </c>
      <c r="K1684">
        <v>1.109831</v>
      </c>
      <c r="L1684">
        <v>284.38459999999998</v>
      </c>
      <c r="M1684">
        <v>-0.99989689999999998</v>
      </c>
      <c r="N1684">
        <v>0</v>
      </c>
      <c r="O1684">
        <v>7.0404129999999997E-3</v>
      </c>
      <c r="P1684">
        <v>-0.9877996</v>
      </c>
      <c r="Q1684">
        <v>0.15413829999999901</v>
      </c>
      <c r="R1684">
        <v>2.2216039999999999E-2</v>
      </c>
      <c r="S1684">
        <v>-3.0692439999999999</v>
      </c>
      <c r="T1684">
        <v>-0.18786059999999999</v>
      </c>
      <c r="U1684">
        <v>-0.1211243</v>
      </c>
      <c r="V1684">
        <v>1.5266750000000001E-2</v>
      </c>
      <c r="W1684">
        <v>0.16648779999999999</v>
      </c>
      <c r="X1684">
        <v>0.9859253</v>
      </c>
      <c r="Y1684">
        <v>-4.6367890000000002E-2</v>
      </c>
      <c r="Z1684">
        <v>-1.8475550000000001E-3</v>
      </c>
      <c r="AA1684">
        <v>0.99892270000000005</v>
      </c>
      <c r="AB1684">
        <v>43</v>
      </c>
      <c r="AC1684">
        <v>-17.7287</v>
      </c>
      <c r="AD1684">
        <v>-1.109832259004</v>
      </c>
      <c r="AE1684">
        <v>-0.71850000000000502</v>
      </c>
      <c r="AF1684">
        <v>-0.84002279314794503</v>
      </c>
      <c r="AG1684">
        <v>-1.109832259004</v>
      </c>
      <c r="AH1684">
        <v>17.6541308057934</v>
      </c>
      <c r="AI1684">
        <v>93.593128128477602</v>
      </c>
      <c r="AJ1684">
        <v>92.724205882333806</v>
      </c>
      <c r="AK1684">
        <v>17.708915846098499</v>
      </c>
      <c r="AL1684">
        <v>80.416325090942195</v>
      </c>
      <c r="AM1684">
        <v>89.112863378482601</v>
      </c>
      <c r="AN1684">
        <v>0.99999997919224604</v>
      </c>
    </row>
    <row r="1685" spans="1:40" x14ac:dyDescent="0.25">
      <c r="A1685" t="str">
        <f>"20190312164255127"</f>
        <v>20190312164255127</v>
      </c>
      <c r="B1685" t="str">
        <f>"1552380175115867"</f>
        <v>1552380175115867</v>
      </c>
      <c r="C1685" t="s">
        <v>40</v>
      </c>
      <c r="D1685">
        <v>4.5233860000000004</v>
      </c>
      <c r="E1685">
        <v>0.48182580000000003</v>
      </c>
      <c r="F1685" t="s">
        <v>46</v>
      </c>
      <c r="G1685">
        <v>-351.1046</v>
      </c>
      <c r="H1685" s="1">
        <v>-9.4896789999999996E-7</v>
      </c>
      <c r="I1685">
        <v>283.67219999999998</v>
      </c>
      <c r="J1685">
        <v>-333.2167</v>
      </c>
      <c r="K1685">
        <v>1.1098220000000001</v>
      </c>
      <c r="L1685">
        <v>284.38760000000002</v>
      </c>
      <c r="M1685">
        <v>-0.99989819999999996</v>
      </c>
      <c r="N1685">
        <v>0</v>
      </c>
      <c r="O1685">
        <v>7.0406499999999999E-3</v>
      </c>
      <c r="P1685">
        <v>-0.98796569999999995</v>
      </c>
      <c r="Q1685">
        <v>0.15310379999999901</v>
      </c>
      <c r="R1685">
        <v>2.1979829999999999E-2</v>
      </c>
      <c r="S1685">
        <v>-3.068756</v>
      </c>
      <c r="T1685">
        <v>-0.18599489999999999</v>
      </c>
      <c r="U1685">
        <v>-0.1193848</v>
      </c>
      <c r="V1685">
        <v>1.502913E-2</v>
      </c>
      <c r="W1685">
        <v>0.16536300000000001</v>
      </c>
      <c r="X1685">
        <v>0.9861183</v>
      </c>
      <c r="Y1685">
        <v>-4.5811959999999999E-2</v>
      </c>
      <c r="Z1685">
        <v>-1.8127390000000001E-3</v>
      </c>
      <c r="AA1685">
        <v>0.99894850000000002</v>
      </c>
      <c r="AB1685">
        <v>43</v>
      </c>
      <c r="AC1685">
        <v>-17.887899999999998</v>
      </c>
      <c r="AD1685">
        <v>-1.1098229489678999</v>
      </c>
      <c r="AE1685">
        <v>-0.715400000000045</v>
      </c>
      <c r="AF1685">
        <v>-0.83811335941070197</v>
      </c>
      <c r="AG1685">
        <v>-1.1098229489678999</v>
      </c>
      <c r="AH1685">
        <v>17.813956447946001</v>
      </c>
      <c r="AI1685">
        <v>93.561033906843406</v>
      </c>
      <c r="AJ1685">
        <v>92.693673015496401</v>
      </c>
      <c r="AK1685">
        <v>17.868161217948401</v>
      </c>
      <c r="AL1685">
        <v>80.481677952038297</v>
      </c>
      <c r="AM1685">
        <v>89.126839998982007</v>
      </c>
      <c r="AN1685">
        <v>1.00000004905622</v>
      </c>
    </row>
    <row r="1686" spans="1:40" x14ac:dyDescent="0.25">
      <c r="A1686" t="str">
        <f>"20190312164255151"</f>
        <v>20190312164255151</v>
      </c>
      <c r="B1686" t="str">
        <f>"1552380175146122"</f>
        <v>1552380175146122</v>
      </c>
      <c r="C1686" t="s">
        <v>40</v>
      </c>
      <c r="D1686">
        <v>4.5053409999999996</v>
      </c>
      <c r="E1686">
        <v>0.48176219999999997</v>
      </c>
      <c r="F1686" t="s">
        <v>46</v>
      </c>
      <c r="G1686">
        <v>-351.50900000000001</v>
      </c>
      <c r="H1686" s="1">
        <v>-7.3375049999999998E-7</v>
      </c>
      <c r="I1686">
        <v>283.67809999999997</v>
      </c>
      <c r="J1686">
        <v>-333.65440000000001</v>
      </c>
      <c r="K1686">
        <v>1.1098159999999999</v>
      </c>
      <c r="L1686">
        <v>284.39069999999998</v>
      </c>
      <c r="M1686">
        <v>-0.99989919999999999</v>
      </c>
      <c r="N1686">
        <v>0</v>
      </c>
      <c r="O1686">
        <v>7.0424240000000003E-3</v>
      </c>
      <c r="P1686">
        <v>-0.98806879999999997</v>
      </c>
      <c r="Q1686">
        <v>0.15243670000000001</v>
      </c>
      <c r="R1686">
        <v>2.1974649999999998E-2</v>
      </c>
      <c r="S1686">
        <v>-3.0680239999999999</v>
      </c>
      <c r="T1686">
        <v>-0.18614140000000001</v>
      </c>
      <c r="U1686">
        <v>-0.118988</v>
      </c>
      <c r="V1686">
        <v>1.502182E-2</v>
      </c>
      <c r="W1686">
        <v>0.16460629999999901</v>
      </c>
      <c r="X1686">
        <v>0.98624500000000004</v>
      </c>
      <c r="Y1686">
        <v>-4.5694020000000002E-2</v>
      </c>
      <c r="Z1686">
        <v>-1.8111340000000001E-3</v>
      </c>
      <c r="AA1686">
        <v>0.9989538</v>
      </c>
      <c r="AB1686">
        <v>43</v>
      </c>
      <c r="AC1686">
        <v>-17.854600000000001</v>
      </c>
      <c r="AD1686">
        <v>-1.1098167337504901</v>
      </c>
      <c r="AE1686">
        <v>-0.712600000000009</v>
      </c>
      <c r="AF1686">
        <v>-0.83511007160539097</v>
      </c>
      <c r="AG1686">
        <v>-1.1098167337504901</v>
      </c>
      <c r="AH1686">
        <v>17.780549083159499</v>
      </c>
      <c r="AI1686">
        <v>93.567700876012694</v>
      </c>
      <c r="AJ1686">
        <v>92.689070233258505</v>
      </c>
      <c r="AK1686">
        <v>17.834714119179299</v>
      </c>
      <c r="AL1686">
        <v>80.525636020317194</v>
      </c>
      <c r="AM1686">
        <v>89.127376728906995</v>
      </c>
      <c r="AN1686">
        <v>1.0000000445504</v>
      </c>
    </row>
    <row r="1687" spans="1:40" x14ac:dyDescent="0.25">
      <c r="A1687" t="str">
        <f>"20190312164255173"</f>
        <v>20190312164255173</v>
      </c>
      <c r="B1687" t="str">
        <f>"1552380175165644"</f>
        <v>1552380175165644</v>
      </c>
      <c r="C1687" t="s">
        <v>40</v>
      </c>
      <c r="D1687">
        <v>4.3064</v>
      </c>
      <c r="E1687">
        <v>0.48162060000000001</v>
      </c>
      <c r="F1687" t="s">
        <v>46</v>
      </c>
      <c r="G1687">
        <v>-351.58569999999997</v>
      </c>
      <c r="H1687" s="1">
        <v>-6.9296230000000001E-7</v>
      </c>
      <c r="I1687">
        <v>283.69349999999997</v>
      </c>
      <c r="J1687">
        <v>-334.09559999999999</v>
      </c>
      <c r="K1687">
        <v>1.1098059999999901</v>
      </c>
      <c r="L1687">
        <v>284.39370000000002</v>
      </c>
      <c r="M1687">
        <v>-0.99990049999999997</v>
      </c>
      <c r="N1687">
        <v>0</v>
      </c>
      <c r="O1687">
        <v>7.0451860000000002E-3</v>
      </c>
      <c r="P1687">
        <v>-0.98815790000000003</v>
      </c>
      <c r="Q1687">
        <v>0.15181700000000001</v>
      </c>
      <c r="R1687">
        <v>2.2273810000000002E-2</v>
      </c>
      <c r="S1687">
        <v>-3.068146</v>
      </c>
      <c r="T1687">
        <v>-0.1898957</v>
      </c>
      <c r="U1687">
        <v>-0.1192932</v>
      </c>
      <c r="V1687">
        <v>1.5318119999999999E-2</v>
      </c>
      <c r="W1687">
        <v>0.1639012</v>
      </c>
      <c r="X1687">
        <v>0.98635779999999995</v>
      </c>
      <c r="Y1687">
        <v>-4.5790329999999997E-2</v>
      </c>
      <c r="Z1687">
        <v>-1.850665E-3</v>
      </c>
      <c r="AA1687">
        <v>0.99894930000000004</v>
      </c>
      <c r="AB1687">
        <v>43</v>
      </c>
      <c r="AC1687">
        <v>-17.490099999999899</v>
      </c>
      <c r="AD1687">
        <v>-1.1098066929622901</v>
      </c>
      <c r="AE1687">
        <v>-0.700200000000052</v>
      </c>
      <c r="AF1687">
        <v>-0.82011605110378105</v>
      </c>
      <c r="AG1687">
        <v>-1.1098066929622901</v>
      </c>
      <c r="AH1687">
        <v>17.414727108557098</v>
      </c>
      <c r="AI1687">
        <v>93.642391707864306</v>
      </c>
      <c r="AJ1687">
        <v>92.6962522676492</v>
      </c>
      <c r="AK1687">
        <v>17.469315427301002</v>
      </c>
      <c r="AL1687">
        <v>80.566590901293196</v>
      </c>
      <c r="AM1687">
        <v>89.110269034351305</v>
      </c>
      <c r="AN1687">
        <v>0.99999997889130698</v>
      </c>
    </row>
    <row r="1688" spans="1:40" x14ac:dyDescent="0.25">
      <c r="A1688" t="str">
        <f>"20190312164255205"</f>
        <v>20190312164255205</v>
      </c>
      <c r="B1688" t="str">
        <f>"1552380175195899"</f>
        <v>1552380175195899</v>
      </c>
      <c r="C1688" t="s">
        <v>40</v>
      </c>
      <c r="D1688">
        <v>4.464696</v>
      </c>
      <c r="E1688">
        <v>0.48176239999999998</v>
      </c>
      <c r="F1688" t="s">
        <v>46</v>
      </c>
      <c r="G1688">
        <v>-351.74880000000002</v>
      </c>
      <c r="H1688" s="1">
        <v>-6.0615629999999999E-7</v>
      </c>
      <c r="I1688">
        <v>283.70740000000001</v>
      </c>
      <c r="J1688">
        <v>-334.70870000000002</v>
      </c>
      <c r="K1688">
        <v>1.109785</v>
      </c>
      <c r="L1688">
        <v>284.3981</v>
      </c>
      <c r="M1688">
        <v>-0.99990159999999995</v>
      </c>
      <c r="N1688">
        <v>0</v>
      </c>
      <c r="O1688">
        <v>7.0512739999999997E-3</v>
      </c>
      <c r="P1688">
        <v>-0.9882206</v>
      </c>
      <c r="Q1688">
        <v>0.15136849999999999</v>
      </c>
      <c r="R1688">
        <v>2.2532759999999999E-2</v>
      </c>
      <c r="S1688">
        <v>-3.0682680000000002</v>
      </c>
      <c r="T1688">
        <v>-0.19289329999999999</v>
      </c>
      <c r="U1688">
        <v>-0.1192932</v>
      </c>
      <c r="V1688">
        <v>1.5571120000000001E-2</v>
      </c>
      <c r="W1688">
        <v>0.1633405</v>
      </c>
      <c r="X1688">
        <v>0.98644690000000002</v>
      </c>
      <c r="Y1688">
        <v>-4.5791640000000002E-2</v>
      </c>
      <c r="Z1688">
        <v>-1.8801689999999999E-3</v>
      </c>
      <c r="AA1688">
        <v>0.99894919999999998</v>
      </c>
      <c r="AB1688">
        <v>43</v>
      </c>
      <c r="AC1688">
        <v>-17.040099999999899</v>
      </c>
      <c r="AD1688">
        <v>-1.1097856061563001</v>
      </c>
      <c r="AE1688">
        <v>-0.69069999999999199</v>
      </c>
      <c r="AF1688">
        <v>-0.80742687973877403</v>
      </c>
      <c r="AG1688">
        <v>-1.1097856061563001</v>
      </c>
      <c r="AH1688">
        <v>16.9629728198036</v>
      </c>
      <c r="AI1688">
        <v>93.738963493433303</v>
      </c>
      <c r="AJ1688">
        <v>92.725186301952505</v>
      </c>
      <c r="AK1688">
        <v>17.0184020737304</v>
      </c>
      <c r="AL1688">
        <v>80.599156019220302</v>
      </c>
      <c r="AM1688">
        <v>89.095657992164007</v>
      </c>
      <c r="AN1688">
        <v>1.00000003261895</v>
      </c>
    </row>
    <row r="1689" spans="1:40" x14ac:dyDescent="0.25">
      <c r="A1689" t="str">
        <f>"20190312164255229"</f>
        <v>20190312164255229</v>
      </c>
      <c r="B1689" t="str">
        <f>"1552380175226153"</f>
        <v>1552380175226153</v>
      </c>
      <c r="C1689" t="s">
        <v>40</v>
      </c>
      <c r="D1689">
        <v>4.4560259999999996</v>
      </c>
      <c r="E1689">
        <v>0.48188140000000002</v>
      </c>
      <c r="F1689" t="s">
        <v>46</v>
      </c>
      <c r="G1689">
        <v>-352.48200000000003</v>
      </c>
      <c r="H1689" s="1">
        <v>-2.1600119999999999E-7</v>
      </c>
      <c r="I1689">
        <v>283.72089999999997</v>
      </c>
      <c r="J1689">
        <v>-335.14440000000002</v>
      </c>
      <c r="K1689">
        <v>1.109775</v>
      </c>
      <c r="L1689">
        <v>284.40120000000002</v>
      </c>
      <c r="M1689">
        <v>-0.99990270000000003</v>
      </c>
      <c r="N1689">
        <v>0</v>
      </c>
      <c r="O1689">
        <v>7.0561039999999997E-3</v>
      </c>
      <c r="P1689">
        <v>-0.98829809999999996</v>
      </c>
      <c r="Q1689">
        <v>0.15084979999999901</v>
      </c>
      <c r="R1689">
        <v>2.2623790000000001E-2</v>
      </c>
      <c r="S1689">
        <v>-3.06778</v>
      </c>
      <c r="T1689">
        <v>-0.191556</v>
      </c>
      <c r="U1689">
        <v>-0.11688229999999999</v>
      </c>
      <c r="V1689">
        <v>1.5657230000000001E-2</v>
      </c>
      <c r="W1689">
        <v>0.1627468</v>
      </c>
      <c r="X1689">
        <v>0.98654370000000002</v>
      </c>
      <c r="Y1689">
        <v>-4.5021619999999998E-2</v>
      </c>
      <c r="Z1689">
        <v>-1.8437760000000001E-3</v>
      </c>
      <c r="AA1689">
        <v>0.99898430000000005</v>
      </c>
      <c r="AB1689">
        <v>43</v>
      </c>
      <c r="AC1689">
        <v>-17.337599999999899</v>
      </c>
      <c r="AD1689">
        <v>-1.1097752160012</v>
      </c>
      <c r="AE1689">
        <v>-0.68030000000004498</v>
      </c>
      <c r="AF1689">
        <v>-0.79935769804709</v>
      </c>
      <c r="AG1689">
        <v>-1.1097752160012</v>
      </c>
      <c r="AH1689">
        <v>17.261750788346099</v>
      </c>
      <c r="AI1689">
        <v>93.674613245751402</v>
      </c>
      <c r="AJ1689">
        <v>92.651360618655104</v>
      </c>
      <c r="AK1689">
        <v>17.315848637547202</v>
      </c>
      <c r="AL1689">
        <v>80.633634237726</v>
      </c>
      <c r="AM1689">
        <v>89.090746929212699</v>
      </c>
      <c r="AN1689">
        <v>1.0000000708855901</v>
      </c>
    </row>
    <row r="1690" spans="1:40" x14ac:dyDescent="0.25">
      <c r="A1690" t="str">
        <f>"20190312164255253"</f>
        <v>20190312164255253</v>
      </c>
      <c r="B1690" t="str">
        <f>"1552380175245674"</f>
        <v>1552380175245674</v>
      </c>
      <c r="C1690" t="s">
        <v>40</v>
      </c>
      <c r="D1690">
        <v>4.374136</v>
      </c>
      <c r="E1690">
        <v>0.48199940000000002</v>
      </c>
      <c r="F1690" t="s">
        <v>46</v>
      </c>
      <c r="G1690">
        <v>-353.05860000000001</v>
      </c>
      <c r="H1690" s="1">
        <v>9.086006E-8</v>
      </c>
      <c r="I1690">
        <v>283.72539999999998</v>
      </c>
      <c r="J1690">
        <v>-335.61270000000002</v>
      </c>
      <c r="K1690">
        <v>1.109766</v>
      </c>
      <c r="L1690">
        <v>284.40449999999998</v>
      </c>
      <c r="M1690">
        <v>-0.9999036</v>
      </c>
      <c r="N1690">
        <v>0</v>
      </c>
      <c r="O1690">
        <v>7.0623109999999999E-3</v>
      </c>
      <c r="P1690">
        <v>-0.98835139999999999</v>
      </c>
      <c r="Q1690">
        <v>0.15043889999999999</v>
      </c>
      <c r="R1690">
        <v>2.3020289999999999E-2</v>
      </c>
      <c r="S1690">
        <v>-3.0671080000000002</v>
      </c>
      <c r="T1690">
        <v>-0.19000520000000001</v>
      </c>
      <c r="U1690">
        <v>-0.11569210000000001</v>
      </c>
      <c r="V1690">
        <v>1.604738E-2</v>
      </c>
      <c r="W1690">
        <v>0.1622584</v>
      </c>
      <c r="X1690">
        <v>0.98661779999999999</v>
      </c>
      <c r="Y1690">
        <v>-4.465131E-2</v>
      </c>
      <c r="Z1690">
        <v>-1.818219E-3</v>
      </c>
      <c r="AA1690">
        <v>0.99900100000000003</v>
      </c>
      <c r="AB1690">
        <v>43</v>
      </c>
      <c r="AC1690">
        <v>-17.445899999999899</v>
      </c>
      <c r="AD1690">
        <v>-1.1097659091399299</v>
      </c>
      <c r="AE1690">
        <v>-0.67910000000000503</v>
      </c>
      <c r="AF1690">
        <v>-0.79907171311457403</v>
      </c>
      <c r="AG1690">
        <v>-1.1097659091399299</v>
      </c>
      <c r="AH1690">
        <v>17.370485752695402</v>
      </c>
      <c r="AI1690">
        <v>93.651694346960895</v>
      </c>
      <c r="AJ1690">
        <v>92.633845899652499</v>
      </c>
      <c r="AK1690">
        <v>17.4242323004597</v>
      </c>
      <c r="AL1690">
        <v>80.661993740737501</v>
      </c>
      <c r="AM1690">
        <v>89.068163904292106</v>
      </c>
      <c r="AN1690">
        <v>0.99999999502613202</v>
      </c>
    </row>
    <row r="1691" spans="1:40" x14ac:dyDescent="0.25">
      <c r="A1691" t="str">
        <f>"20190312164255273"</f>
        <v>20190312164255273</v>
      </c>
      <c r="B1691" t="str">
        <f>"1552380175266170"</f>
        <v>1552380175266170</v>
      </c>
      <c r="C1691" t="s">
        <v>40</v>
      </c>
      <c r="D1691">
        <v>4.216037</v>
      </c>
      <c r="E1691">
        <v>0.48203750000000001</v>
      </c>
      <c r="F1691" t="s">
        <v>46</v>
      </c>
      <c r="G1691">
        <v>-353.64210000000003</v>
      </c>
      <c r="H1691" s="1">
        <v>4.0134550000000001E-7</v>
      </c>
      <c r="I1691">
        <v>283.7353</v>
      </c>
      <c r="J1691">
        <v>-336.00720000000001</v>
      </c>
      <c r="K1691">
        <v>1.1097549999999901</v>
      </c>
      <c r="L1691">
        <v>284.40730000000002</v>
      </c>
      <c r="M1691">
        <v>-0.99990420000000002</v>
      </c>
      <c r="N1691">
        <v>0</v>
      </c>
      <c r="O1691">
        <v>7.0682519999999997E-3</v>
      </c>
      <c r="P1691">
        <v>-0.98842819999999998</v>
      </c>
      <c r="Q1691">
        <v>0.1499229</v>
      </c>
      <c r="R1691">
        <v>2.3086240000000001E-2</v>
      </c>
      <c r="S1691">
        <v>-3.0667420000000001</v>
      </c>
      <c r="T1691">
        <v>-0.18876770000000001</v>
      </c>
      <c r="U1691">
        <v>-0.1138306</v>
      </c>
      <c r="V1691">
        <v>1.610692E-2</v>
      </c>
      <c r="W1691">
        <v>0.16167819999999999</v>
      </c>
      <c r="X1691">
        <v>0.98671209999999998</v>
      </c>
      <c r="Y1691">
        <v>-4.405854E-2</v>
      </c>
      <c r="Z1691">
        <v>-1.7887790000000001E-3</v>
      </c>
      <c r="AA1691">
        <v>0.99902740000000001</v>
      </c>
      <c r="AB1691">
        <v>43</v>
      </c>
      <c r="AC1691">
        <v>-17.634899999999998</v>
      </c>
      <c r="AD1691">
        <v>-1.1097545986545001</v>
      </c>
      <c r="AE1691">
        <v>-0.67200000000002502</v>
      </c>
      <c r="AF1691">
        <v>-0.79350215172559602</v>
      </c>
      <c r="AG1691">
        <v>-1.1097545986545001</v>
      </c>
      <c r="AH1691">
        <v>17.5602693385942</v>
      </c>
      <c r="AI1691">
        <v>93.612430298647595</v>
      </c>
      <c r="AJ1691">
        <v>92.587284785694393</v>
      </c>
      <c r="AK1691">
        <v>17.613184271391699</v>
      </c>
      <c r="AL1691">
        <v>80.695681809597502</v>
      </c>
      <c r="AM1691">
        <v>89.064796530331193</v>
      </c>
      <c r="AN1691">
        <v>1.0000000207567601</v>
      </c>
    </row>
    <row r="1692" spans="1:40" x14ac:dyDescent="0.25">
      <c r="A1692" t="str">
        <f>"20190312164255295"</f>
        <v>20190312164255295</v>
      </c>
      <c r="B1692" t="str">
        <f>"1552380175285690"</f>
        <v>1552380175285690</v>
      </c>
      <c r="C1692" t="s">
        <v>40</v>
      </c>
      <c r="D1692">
        <v>4.2091500000000002</v>
      </c>
      <c r="E1692">
        <v>0.48220429999999997</v>
      </c>
      <c r="F1692" t="s">
        <v>46</v>
      </c>
      <c r="G1692">
        <v>-354.1327</v>
      </c>
      <c r="H1692" s="1">
        <v>6.6242719999999904E-7</v>
      </c>
      <c r="I1692">
        <v>283.73689999999999</v>
      </c>
      <c r="J1692">
        <v>-336.42469999999997</v>
      </c>
      <c r="K1692">
        <v>1.1097429999999999</v>
      </c>
      <c r="L1692">
        <v>284.41019999999997</v>
      </c>
      <c r="M1692">
        <v>-0.99990509999999999</v>
      </c>
      <c r="N1692">
        <v>0</v>
      </c>
      <c r="O1692">
        <v>7.0748740000000001E-3</v>
      </c>
      <c r="P1692">
        <v>-0.98851420000000001</v>
      </c>
      <c r="Q1692">
        <v>0.14932519999999999</v>
      </c>
      <c r="R1692">
        <v>2.3280849999999999E-2</v>
      </c>
      <c r="S1692">
        <v>-3.0662539999999998</v>
      </c>
      <c r="T1692">
        <v>-0.1877346</v>
      </c>
      <c r="U1692">
        <v>-0.1134033</v>
      </c>
      <c r="V1692">
        <v>1.6294329999999999E-2</v>
      </c>
      <c r="W1692">
        <v>0.1610114</v>
      </c>
      <c r="X1692">
        <v>0.98681799999999997</v>
      </c>
      <c r="Y1692">
        <v>-4.3933279999999998E-2</v>
      </c>
      <c r="Z1692">
        <v>-1.7758699999999999E-3</v>
      </c>
      <c r="AA1692">
        <v>0.9990329</v>
      </c>
      <c r="AB1692">
        <v>43</v>
      </c>
      <c r="AC1692">
        <v>-17.707999999999998</v>
      </c>
      <c r="AD1692">
        <v>-1.1097423375727999</v>
      </c>
      <c r="AE1692">
        <v>-0.67329999999998302</v>
      </c>
      <c r="AF1692">
        <v>-0.79545421179485698</v>
      </c>
      <c r="AG1692">
        <v>-1.1097423375727999</v>
      </c>
      <c r="AH1692">
        <v>17.633638511359401</v>
      </c>
      <c r="AI1692">
        <v>93.597412286859694</v>
      </c>
      <c r="AJ1692">
        <v>92.582864122619597</v>
      </c>
      <c r="AK1692">
        <v>17.686420853529398</v>
      </c>
      <c r="AL1692">
        <v>80.734393367916397</v>
      </c>
      <c r="AM1692">
        <v>89.054018566934104</v>
      </c>
      <c r="AN1692">
        <v>0.99999997062205304</v>
      </c>
    </row>
    <row r="1693" spans="1:40" x14ac:dyDescent="0.25">
      <c r="A1693" t="str">
        <f>"20190312164255317"</f>
        <v>20190312164255317</v>
      </c>
      <c r="B1693" t="str">
        <f>"1552380175306186"</f>
        <v>1552380175306186</v>
      </c>
      <c r="C1693" t="s">
        <v>40</v>
      </c>
      <c r="D1693">
        <v>4.1760539999999997</v>
      </c>
      <c r="E1693">
        <v>0.49788110000000002</v>
      </c>
      <c r="F1693" t="s">
        <v>46</v>
      </c>
      <c r="G1693">
        <v>-354.3723</v>
      </c>
      <c r="H1693" s="1">
        <v>7.8991709999999898E-7</v>
      </c>
      <c r="I1693">
        <v>283.7568</v>
      </c>
      <c r="J1693">
        <v>-336.84289999999999</v>
      </c>
      <c r="K1693">
        <v>1.1097319999999999</v>
      </c>
      <c r="L1693">
        <v>284.41320000000002</v>
      </c>
      <c r="M1693">
        <v>-0.99990579999999996</v>
      </c>
      <c r="N1693">
        <v>0</v>
      </c>
      <c r="O1693">
        <v>7.0814980000000003E-3</v>
      </c>
      <c r="P1693">
        <v>-0.98852720000000005</v>
      </c>
      <c r="Q1693">
        <v>0.14922589999999999</v>
      </c>
      <c r="R1693">
        <v>2.3355750000000002E-2</v>
      </c>
      <c r="S1693">
        <v>-3.0661619999999998</v>
      </c>
      <c r="T1693">
        <v>-0.1895887</v>
      </c>
      <c r="U1693">
        <v>-0.1116333</v>
      </c>
      <c r="V1693">
        <v>1.636259E-2</v>
      </c>
      <c r="W1693">
        <v>0.16084200000000001</v>
      </c>
      <c r="X1693">
        <v>0.98684450000000001</v>
      </c>
      <c r="Y1693">
        <v>-4.336421E-2</v>
      </c>
      <c r="Z1693">
        <v>-1.776286E-3</v>
      </c>
      <c r="AA1693">
        <v>0.9990578</v>
      </c>
      <c r="AB1693">
        <v>43</v>
      </c>
      <c r="AC1693">
        <v>-17.529399999999999</v>
      </c>
      <c r="AD1693">
        <v>-1.1097312100829</v>
      </c>
      <c r="AE1693">
        <v>-0.65640000000001897</v>
      </c>
      <c r="AF1693">
        <v>-0.777415201971418</v>
      </c>
      <c r="AG1693">
        <v>-1.1097312100829</v>
      </c>
      <c r="AH1693">
        <v>17.454456498800798</v>
      </c>
      <c r="AI1693">
        <v>93.634299871075996</v>
      </c>
      <c r="AJ1693">
        <v>92.550247885137395</v>
      </c>
      <c r="AK1693">
        <v>17.506968024858502</v>
      </c>
      <c r="AL1693">
        <v>80.744227490304098</v>
      </c>
      <c r="AM1693">
        <v>89.050081902633394</v>
      </c>
      <c r="AN1693">
        <v>0.99999997524787798</v>
      </c>
    </row>
    <row r="1694" spans="1:40" x14ac:dyDescent="0.25">
      <c r="A1694" t="str">
        <f>"20190312164255341"</f>
        <v>20190312164255341</v>
      </c>
      <c r="B1694" t="str">
        <f>"1552380175335467"</f>
        <v>1552380175335467</v>
      </c>
      <c r="C1694" t="s">
        <v>40</v>
      </c>
      <c r="D1694">
        <v>4.1478809999999999</v>
      </c>
      <c r="E1694">
        <v>0.49949280000000001</v>
      </c>
      <c r="F1694" t="s">
        <v>46</v>
      </c>
      <c r="G1694">
        <v>-356.99860000000001</v>
      </c>
      <c r="H1694" s="1">
        <v>2.1875210000000002E-6</v>
      </c>
      <c r="I1694">
        <v>284.51369999999997</v>
      </c>
      <c r="J1694">
        <v>-337.28910000000002</v>
      </c>
      <c r="K1694">
        <v>1.1097220000000001</v>
      </c>
      <c r="L1694">
        <v>284.41629999999998</v>
      </c>
      <c r="M1694">
        <v>-0.99990650000000003</v>
      </c>
      <c r="N1694">
        <v>0</v>
      </c>
      <c r="O1694">
        <v>7.08838E-3</v>
      </c>
      <c r="P1694">
        <v>-0.98847269999999998</v>
      </c>
      <c r="Q1694">
        <v>0.14960570000000001</v>
      </c>
      <c r="R1694">
        <v>2.3231990000000001E-2</v>
      </c>
      <c r="S1694">
        <v>-3.0598749999999999</v>
      </c>
      <c r="T1694">
        <v>-0.16847039999999999</v>
      </c>
      <c r="U1694">
        <v>1.525879E-2</v>
      </c>
      <c r="V1694">
        <v>1.6232670000000001E-2</v>
      </c>
      <c r="W1694">
        <v>0.1611474</v>
      </c>
      <c r="X1694">
        <v>0.98679689999999998</v>
      </c>
      <c r="Y1694">
        <v>-2.0883299999999998E-3</v>
      </c>
      <c r="Z1694">
        <v>-4.4744190000000001E-4</v>
      </c>
      <c r="AA1694">
        <v>0.99999769999999999</v>
      </c>
      <c r="AB1694">
        <v>43</v>
      </c>
      <c r="AC1694">
        <v>-19.709499999999899</v>
      </c>
      <c r="AD1694">
        <v>-1.109719812479</v>
      </c>
      <c r="AE1694">
        <v>9.73999999999932E-2</v>
      </c>
      <c r="AF1694">
        <v>-4.2186692646781099E-2</v>
      </c>
      <c r="AG1694">
        <v>-1.109719812479</v>
      </c>
      <c r="AH1694">
        <v>19.6474121290819</v>
      </c>
      <c r="AI1694">
        <v>93.232722519686206</v>
      </c>
      <c r="AJ1694">
        <v>90.123024636006093</v>
      </c>
      <c r="AK1694">
        <v>19.6787718404691</v>
      </c>
      <c r="AL1694">
        <v>80.726498810580395</v>
      </c>
      <c r="AM1694">
        <v>89.0575774976774</v>
      </c>
      <c r="AN1694">
        <v>1.0000000529758399</v>
      </c>
    </row>
    <row r="1695" spans="1:40" x14ac:dyDescent="0.25">
      <c r="A1695" t="str">
        <f>"20190312164255363"</f>
        <v>20190312164255363</v>
      </c>
      <c r="B1695" t="str">
        <f>"1552380175355962"</f>
        <v>1552380175355962</v>
      </c>
      <c r="C1695" t="s">
        <v>40</v>
      </c>
      <c r="D1695">
        <v>4.3592890000000004</v>
      </c>
      <c r="E1695">
        <v>0.49950339999999999</v>
      </c>
      <c r="F1695" t="s">
        <v>46</v>
      </c>
      <c r="G1695">
        <v>-358.92099999999999</v>
      </c>
      <c r="H1695" s="1">
        <v>3.2105259999999999E-6</v>
      </c>
      <c r="I1695">
        <v>284.61900000000003</v>
      </c>
      <c r="J1695">
        <v>-337.7165</v>
      </c>
      <c r="K1695">
        <v>1.109702</v>
      </c>
      <c r="L1695">
        <v>284.4194</v>
      </c>
      <c r="M1695">
        <v>-0.9999074</v>
      </c>
      <c r="N1695">
        <v>0</v>
      </c>
      <c r="O1695">
        <v>7.0943509999999996E-3</v>
      </c>
      <c r="P1695">
        <v>-0.98843930000000002</v>
      </c>
      <c r="Q1695">
        <v>0.1498612</v>
      </c>
      <c r="R1695">
        <v>2.3014139999999999E-2</v>
      </c>
      <c r="S1695">
        <v>-3.0580750000000001</v>
      </c>
      <c r="T1695">
        <v>-0.156879399999999</v>
      </c>
      <c r="U1695">
        <v>2.8656009999999999E-2</v>
      </c>
      <c r="V1695">
        <v>1.6009329999999999E-2</v>
      </c>
      <c r="W1695">
        <v>0.16133140000000001</v>
      </c>
      <c r="X1695">
        <v>0.98677049999999999</v>
      </c>
      <c r="Y1695">
        <v>2.2817660000000002E-3</v>
      </c>
      <c r="Z1695">
        <v>-3.0522509999999999E-4</v>
      </c>
      <c r="AA1695">
        <v>0.99999740000000004</v>
      </c>
      <c r="AB1695">
        <v>43</v>
      </c>
      <c r="AC1695">
        <v>-21.204499999999999</v>
      </c>
      <c r="AD1695">
        <v>-1.109698789474</v>
      </c>
      <c r="AE1695">
        <v>0.199600000000032</v>
      </c>
      <c r="AF1695">
        <v>4.9018427906502897E-2</v>
      </c>
      <c r="AG1695">
        <v>-1.109698789474</v>
      </c>
      <c r="AH1695">
        <v>21.147469703856402</v>
      </c>
      <c r="AI1695">
        <v>93.003793173192093</v>
      </c>
      <c r="AJ1695">
        <v>89.867192432625899</v>
      </c>
      <c r="AK1695">
        <v>21.1766217580888</v>
      </c>
      <c r="AL1695">
        <v>80.715816769133696</v>
      </c>
      <c r="AM1695">
        <v>89.070516827939898</v>
      </c>
      <c r="AN1695">
        <v>1.00000006947162</v>
      </c>
    </row>
    <row r="1696" spans="1:40" x14ac:dyDescent="0.25">
      <c r="A1696" t="str">
        <f>"20190312164255385"</f>
        <v>20190312164255385</v>
      </c>
      <c r="B1696" t="str">
        <f>"1552380175375484"</f>
        <v>1552380175375484</v>
      </c>
      <c r="C1696" t="s">
        <v>40</v>
      </c>
      <c r="D1696">
        <v>4.1365930000000004</v>
      </c>
      <c r="E1696">
        <v>0.49948870000000001</v>
      </c>
      <c r="F1696" t="s">
        <v>46</v>
      </c>
      <c r="G1696">
        <v>-359.68619999999999</v>
      </c>
      <c r="H1696" s="1">
        <v>3.6176939999999999E-6</v>
      </c>
      <c r="I1696">
        <v>284.6207</v>
      </c>
      <c r="J1696">
        <v>-338.1352</v>
      </c>
      <c r="K1696">
        <v>1.109691</v>
      </c>
      <c r="L1696">
        <v>284.42239999999998</v>
      </c>
      <c r="M1696">
        <v>-0.99990820000000002</v>
      </c>
      <c r="N1696">
        <v>0</v>
      </c>
      <c r="O1696">
        <v>7.1001199999999997E-3</v>
      </c>
      <c r="P1696">
        <v>-0.98839180000000004</v>
      </c>
      <c r="Q1696">
        <v>0.1501662</v>
      </c>
      <c r="R1696">
        <v>2.305944E-2</v>
      </c>
      <c r="S1696">
        <v>-3.0578919999999998</v>
      </c>
      <c r="T1696">
        <v>-0.1544555</v>
      </c>
      <c r="U1696">
        <v>2.8015140000000001E-2</v>
      </c>
      <c r="V1696">
        <v>1.604937E-2</v>
      </c>
      <c r="W1696">
        <v>0.16156719999999999</v>
      </c>
      <c r="X1696">
        <v>0.98673120000000003</v>
      </c>
      <c r="Y1696">
        <v>2.0670910000000001E-3</v>
      </c>
      <c r="Z1696">
        <v>-3.0624260000000001E-4</v>
      </c>
      <c r="AA1696">
        <v>0.99999780000000005</v>
      </c>
      <c r="AB1696">
        <v>43</v>
      </c>
      <c r="AC1696">
        <v>-21.550999999999899</v>
      </c>
      <c r="AD1696">
        <v>-1.1096873823060001</v>
      </c>
      <c r="AE1696">
        <v>0.19830000000001699</v>
      </c>
      <c r="AF1696">
        <v>4.5150425300270601E-2</v>
      </c>
      <c r="AG1696">
        <v>-1.1096873823060001</v>
      </c>
      <c r="AH1696">
        <v>21.494879215140099</v>
      </c>
      <c r="AI1696">
        <v>92.955302432323705</v>
      </c>
      <c r="AJ1696">
        <v>89.879649241925193</v>
      </c>
      <c r="AK1696">
        <v>21.523551684627201</v>
      </c>
      <c r="AL1696">
        <v>80.702126191506096</v>
      </c>
      <c r="AM1696">
        <v>89.068155455319697</v>
      </c>
      <c r="AN1696">
        <v>1.0000000017233299</v>
      </c>
    </row>
    <row r="1697" spans="1:40" x14ac:dyDescent="0.25">
      <c r="A1697" t="str">
        <f>"20190312164255406"</f>
        <v>20190312164255406</v>
      </c>
      <c r="B1697" t="str">
        <f>"1552380175395978"</f>
        <v>1552380175395978</v>
      </c>
      <c r="C1697" t="s">
        <v>40</v>
      </c>
      <c r="D1697">
        <v>4.1784400000000002</v>
      </c>
      <c r="E1697">
        <v>0.49893149999999997</v>
      </c>
      <c r="F1697" t="s">
        <v>46</v>
      </c>
      <c r="G1697">
        <v>-360.72629999999998</v>
      </c>
      <c r="H1697" s="1">
        <v>-1.150298E-6</v>
      </c>
      <c r="I1697">
        <v>284.62979999999999</v>
      </c>
      <c r="J1697">
        <v>-338.5489</v>
      </c>
      <c r="K1697">
        <v>1.109686</v>
      </c>
      <c r="L1697">
        <v>284.42529999999999</v>
      </c>
      <c r="M1697">
        <v>-0.99990889999999999</v>
      </c>
      <c r="N1697">
        <v>0</v>
      </c>
      <c r="O1697">
        <v>7.1056799999999996E-3</v>
      </c>
      <c r="P1697">
        <v>-0.98836299999999999</v>
      </c>
      <c r="Q1697">
        <v>0.15036840000000001</v>
      </c>
      <c r="R1697">
        <v>2.2981459999999999E-2</v>
      </c>
      <c r="S1697">
        <v>-3.057404</v>
      </c>
      <c r="T1697">
        <v>-0.15018219999999999</v>
      </c>
      <c r="U1697">
        <v>2.8076170000000001E-2</v>
      </c>
      <c r="V1697">
        <v>1.5966379999999999E-2</v>
      </c>
      <c r="W1697">
        <v>0.16170599999999999</v>
      </c>
      <c r="X1697">
        <v>0.98670979999999997</v>
      </c>
      <c r="Y1697">
        <v>2.0826009999999999E-3</v>
      </c>
      <c r="Z1697">
        <v>-2.9771970000000002E-4</v>
      </c>
      <c r="AA1697">
        <v>0.99999780000000005</v>
      </c>
      <c r="AB1697">
        <v>43</v>
      </c>
      <c r="AC1697">
        <v>-22.177399999999899</v>
      </c>
      <c r="AD1697">
        <v>-1.1096871502979999</v>
      </c>
      <c r="AE1697">
        <v>0.20449999999999499</v>
      </c>
      <c r="AF1697">
        <v>4.6781833776966798E-2</v>
      </c>
      <c r="AG1697">
        <v>-1.1096871502979999</v>
      </c>
      <c r="AH1697">
        <v>22.122909142440999</v>
      </c>
      <c r="AI1697">
        <v>92.871548445428004</v>
      </c>
      <c r="AJ1697">
        <v>89.878840634350396</v>
      </c>
      <c r="AK1697">
        <v>22.150772064111202</v>
      </c>
      <c r="AL1697">
        <v>80.694067483312693</v>
      </c>
      <c r="AM1697">
        <v>89.072953003285804</v>
      </c>
      <c r="AN1697">
        <v>0.999999992571172</v>
      </c>
    </row>
    <row r="1698" spans="1:40" x14ac:dyDescent="0.25">
      <c r="A1698" t="str">
        <f>"20190312164255429"</f>
        <v>20190312164255429</v>
      </c>
      <c r="B1698" t="str">
        <f>"1552380175426234"</f>
        <v>1552380175426234</v>
      </c>
      <c r="C1698" t="s">
        <v>40</v>
      </c>
      <c r="D1698">
        <v>4.1455089999999997</v>
      </c>
      <c r="E1698">
        <v>0.49898009999999898</v>
      </c>
      <c r="F1698" t="s">
        <v>46</v>
      </c>
      <c r="G1698">
        <v>-360.5308</v>
      </c>
      <c r="H1698" s="1">
        <v>-1.254338E-6</v>
      </c>
      <c r="I1698">
        <v>284.59219999999999</v>
      </c>
      <c r="J1698">
        <v>-338.97859999999997</v>
      </c>
      <c r="K1698">
        <v>1.109677</v>
      </c>
      <c r="L1698">
        <v>284.42840000000001</v>
      </c>
      <c r="M1698">
        <v>-0.99990950000000001</v>
      </c>
      <c r="N1698">
        <v>0</v>
      </c>
      <c r="O1698">
        <v>7.1114150000000003E-3</v>
      </c>
      <c r="P1698">
        <v>-0.98836259999999998</v>
      </c>
      <c r="Q1698">
        <v>0.1503265</v>
      </c>
      <c r="R1698">
        <v>2.3261359999999998E-2</v>
      </c>
      <c r="S1698">
        <v>-3.0582579999999999</v>
      </c>
      <c r="T1698">
        <v>-0.15438659999999901</v>
      </c>
      <c r="U1698">
        <v>2.3223879999999999E-2</v>
      </c>
      <c r="V1698">
        <v>1.6240569999999999E-2</v>
      </c>
      <c r="W1698">
        <v>0.1616011</v>
      </c>
      <c r="X1698">
        <v>0.98672249999999995</v>
      </c>
      <c r="Y1698">
        <v>4.9017080000000001E-4</v>
      </c>
      <c r="Z1698">
        <v>-3.4641839999999897E-4</v>
      </c>
      <c r="AA1698">
        <v>0.99999979999999999</v>
      </c>
      <c r="AB1698">
        <v>43</v>
      </c>
      <c r="AC1698">
        <v>-21.552199999999999</v>
      </c>
      <c r="AD1698">
        <v>-1.1096782543379999</v>
      </c>
      <c r="AE1698">
        <v>0.16379999999997999</v>
      </c>
      <c r="AF1698">
        <v>1.0491412510379199E-2</v>
      </c>
      <c r="AG1698">
        <v>-1.1096782543379999</v>
      </c>
      <c r="AH1698">
        <v>21.495837544264202</v>
      </c>
      <c r="AI1698">
        <v>92.955152803461203</v>
      </c>
      <c r="AJ1698">
        <v>89.972035813491402</v>
      </c>
      <c r="AK1698">
        <v>21.524463468976101</v>
      </c>
      <c r="AL1698">
        <v>80.700157813728097</v>
      </c>
      <c r="AM1698">
        <v>89.057047847530001</v>
      </c>
      <c r="AN1698">
        <v>0.99999998182069205</v>
      </c>
    </row>
    <row r="1699" spans="1:40" x14ac:dyDescent="0.25">
      <c r="A1699" t="str">
        <f>"20190312164255453"</f>
        <v>20190312164255453</v>
      </c>
      <c r="B1699" t="str">
        <f>"1552380175445755"</f>
        <v>1552380175445755</v>
      </c>
      <c r="C1699" t="s">
        <v>40</v>
      </c>
      <c r="D1699">
        <v>4.1616150000000003</v>
      </c>
      <c r="E1699">
        <v>0.4987219</v>
      </c>
      <c r="F1699" t="s">
        <v>46</v>
      </c>
      <c r="G1699">
        <v>-361.10160000000002</v>
      </c>
      <c r="H1699" s="1">
        <v>-9.5055659999999996E-7</v>
      </c>
      <c r="I1699">
        <v>284.60829999999999</v>
      </c>
      <c r="J1699">
        <v>-339.43189999999998</v>
      </c>
      <c r="K1699">
        <v>1.1096710000000001</v>
      </c>
      <c r="L1699">
        <v>284.4316</v>
      </c>
      <c r="M1699">
        <v>-0.99991039999999998</v>
      </c>
      <c r="N1699">
        <v>0</v>
      </c>
      <c r="O1699">
        <v>7.1181609999999996E-3</v>
      </c>
      <c r="P1699">
        <v>-0.9882495</v>
      </c>
      <c r="Q1699">
        <v>0.1510069</v>
      </c>
      <c r="R1699">
        <v>2.3669019999999999E-2</v>
      </c>
      <c r="S1699">
        <v>-3.0580750000000001</v>
      </c>
      <c r="T1699">
        <v>-0.15339120000000001</v>
      </c>
      <c r="U1699">
        <v>2.4871830000000001E-2</v>
      </c>
      <c r="V1699">
        <v>1.664241E-2</v>
      </c>
      <c r="W1699">
        <v>0.1622161</v>
      </c>
      <c r="X1699">
        <v>0.98661489999999996</v>
      </c>
      <c r="Y1699">
        <v>1.0219700000000001E-3</v>
      </c>
      <c r="Z1699">
        <v>-3.3121650000000002E-4</v>
      </c>
      <c r="AA1699">
        <v>0.99999939999999998</v>
      </c>
      <c r="AB1699">
        <v>43</v>
      </c>
      <c r="AC1699">
        <v>-21.669699999999999</v>
      </c>
      <c r="AD1699">
        <v>-1.1096719505566</v>
      </c>
      <c r="AE1699">
        <v>0.17669999999998201</v>
      </c>
      <c r="AF1699">
        <v>2.23785167371492E-2</v>
      </c>
      <c r="AG1699">
        <v>-1.1096719505566</v>
      </c>
      <c r="AH1699">
        <v>21.613734735341399</v>
      </c>
      <c r="AI1699">
        <v>92.939043678202694</v>
      </c>
      <c r="AJ1699">
        <v>89.940676883549997</v>
      </c>
      <c r="AK1699">
        <v>21.642213422974301</v>
      </c>
      <c r="AL1699">
        <v>80.664449909560403</v>
      </c>
      <c r="AM1699">
        <v>89.0336154151084</v>
      </c>
      <c r="AN1699">
        <v>0.99999999690591401</v>
      </c>
    </row>
    <row r="1700" spans="1:40" x14ac:dyDescent="0.25">
      <c r="A1700" t="str">
        <f>"20190312164255475"</f>
        <v>20190312164255475</v>
      </c>
      <c r="B1700" t="str">
        <f>"1552380175466250"</f>
        <v>1552380175466250</v>
      </c>
      <c r="C1700" t="s">
        <v>40</v>
      </c>
      <c r="D1700">
        <v>4.1404920000000001</v>
      </c>
      <c r="E1700">
        <v>0.4994634</v>
      </c>
      <c r="F1700" t="s">
        <v>46</v>
      </c>
      <c r="G1700">
        <v>-361.69029999999998</v>
      </c>
      <c r="H1700" s="1">
        <v>-6.3730680000000002E-7</v>
      </c>
      <c r="I1700">
        <v>284.60750000000002</v>
      </c>
      <c r="J1700">
        <v>-339.86619999999999</v>
      </c>
      <c r="K1700">
        <v>1.1096680000000001</v>
      </c>
      <c r="L1700">
        <v>284.43470000000002</v>
      </c>
      <c r="M1700">
        <v>-0.99991090000000005</v>
      </c>
      <c r="N1700">
        <v>0</v>
      </c>
      <c r="O1700">
        <v>7.1248780000000003E-3</v>
      </c>
      <c r="P1700">
        <v>-0.9881451</v>
      </c>
      <c r="Q1700">
        <v>0.15164629999999901</v>
      </c>
      <c r="R1700">
        <v>2.393404E-2</v>
      </c>
      <c r="S1700">
        <v>-3.058411</v>
      </c>
      <c r="T1700">
        <v>-0.15247459999999999</v>
      </c>
      <c r="U1700">
        <v>2.4169920000000001E-2</v>
      </c>
      <c r="V1700">
        <v>1.6901570000000001E-2</v>
      </c>
      <c r="W1700">
        <v>0.16279479999999999</v>
      </c>
      <c r="X1700">
        <v>0.98651520000000004</v>
      </c>
      <c r="Y1700">
        <v>7.850884E-4</v>
      </c>
      <c r="Z1700">
        <v>-3.3543960000000003E-4</v>
      </c>
      <c r="AA1700">
        <v>0.99999959999999999</v>
      </c>
      <c r="AB1700">
        <v>43</v>
      </c>
      <c r="AC1700">
        <v>-21.824099999999898</v>
      </c>
      <c r="AD1700">
        <v>-1.1096686373068001</v>
      </c>
      <c r="AE1700">
        <v>0.17279999999999501</v>
      </c>
      <c r="AF1700">
        <v>1.7247068958064899E-2</v>
      </c>
      <c r="AG1700">
        <v>-1.1096686373068001</v>
      </c>
      <c r="AH1700">
        <v>21.768502273130999</v>
      </c>
      <c r="AI1700">
        <v>92.918176152871695</v>
      </c>
      <c r="AJ1700">
        <v>89.954604867110305</v>
      </c>
      <c r="AK1700">
        <v>21.7967739163693</v>
      </c>
      <c r="AL1700">
        <v>80.630846433190897</v>
      </c>
      <c r="AM1700">
        <v>89.018470373535806</v>
      </c>
      <c r="AN1700">
        <v>1.0000000249032699</v>
      </c>
    </row>
    <row r="1701" spans="1:40" x14ac:dyDescent="0.25">
      <c r="A1701" t="str">
        <f>"20190312164255496"</f>
        <v>20190312164255496</v>
      </c>
      <c r="B1701" t="str">
        <f>"1552380175485770"</f>
        <v>1552380175485770</v>
      </c>
      <c r="C1701" t="s">
        <v>40</v>
      </c>
      <c r="D1701">
        <v>4.056559</v>
      </c>
      <c r="E1701">
        <v>0.52114209999999905</v>
      </c>
      <c r="F1701" t="s">
        <v>46</v>
      </c>
      <c r="G1701">
        <v>-362.49189999999999</v>
      </c>
      <c r="H1701" s="1">
        <v>-2.1071240000000001E-7</v>
      </c>
      <c r="I1701">
        <v>284.66550000000001</v>
      </c>
      <c r="J1701">
        <v>-340.26819999999998</v>
      </c>
      <c r="K1701">
        <v>1.1096619999999999</v>
      </c>
      <c r="L1701">
        <v>284.43759999999997</v>
      </c>
      <c r="M1701">
        <v>-0.99991149999999995</v>
      </c>
      <c r="N1701">
        <v>0</v>
      </c>
      <c r="O1701">
        <v>7.130908E-3</v>
      </c>
      <c r="P1701">
        <v>-0.98801629999999996</v>
      </c>
      <c r="Q1701">
        <v>0.152517299999999</v>
      </c>
      <c r="R1701">
        <v>2.3722509999999999E-2</v>
      </c>
      <c r="S1701">
        <v>-3.0582579999999999</v>
      </c>
      <c r="T1701">
        <v>-0.1499907</v>
      </c>
      <c r="U1701">
        <v>3.1188960000000002E-2</v>
      </c>
      <c r="V1701">
        <v>1.6685149999999999E-2</v>
      </c>
      <c r="W1701">
        <v>0.16361010000000001</v>
      </c>
      <c r="X1701">
        <v>0.98638400000000004</v>
      </c>
      <c r="Y1701">
        <v>3.0713789999999999E-3</v>
      </c>
      <c r="Z1701">
        <v>-2.742593E-4</v>
      </c>
      <c r="AA1701">
        <v>0.99999519999999997</v>
      </c>
      <c r="AB1701">
        <v>43</v>
      </c>
      <c r="AC1701">
        <v>-22.223700000000001</v>
      </c>
      <c r="AD1701">
        <v>-1.1096622107123999</v>
      </c>
      <c r="AE1701">
        <v>0.22790000000003299</v>
      </c>
      <c r="AF1701">
        <v>6.9236449693886606E-2</v>
      </c>
      <c r="AG1701">
        <v>-1.1096622107123999</v>
      </c>
      <c r="AH1701">
        <v>22.1694940023458</v>
      </c>
      <c r="AI1701">
        <v>92.865452666429604</v>
      </c>
      <c r="AJ1701">
        <v>89.821062967949402</v>
      </c>
      <c r="AK1701">
        <v>22.197355883705999</v>
      </c>
      <c r="AL1701">
        <v>80.583498391868105</v>
      </c>
      <c r="AM1701">
        <v>89.030907322936301</v>
      </c>
      <c r="AN1701">
        <v>1.00000002725426</v>
      </c>
    </row>
    <row r="1702" spans="1:40" x14ac:dyDescent="0.25">
      <c r="A1702" t="str">
        <f>"20190312164255518"</f>
        <v>20190312164255518</v>
      </c>
      <c r="B1702" t="str">
        <f>"1552380175506266"</f>
        <v>1552380175506266</v>
      </c>
      <c r="C1702" t="s">
        <v>40</v>
      </c>
      <c r="D1702">
        <v>4.0906149999999997</v>
      </c>
      <c r="E1702">
        <v>0.52568040000000005</v>
      </c>
      <c r="F1702" t="s">
        <v>46</v>
      </c>
      <c r="G1702">
        <v>-372.00529999999998</v>
      </c>
      <c r="H1702" s="1">
        <v>-4.6967769999999998E-7</v>
      </c>
      <c r="I1702">
        <v>286.5924</v>
      </c>
      <c r="J1702">
        <v>-340.69580000000002</v>
      </c>
      <c r="K1702">
        <v>1.1096600000000001</v>
      </c>
      <c r="L1702">
        <v>284.44060000000002</v>
      </c>
      <c r="M1702">
        <v>-0.99991209999999997</v>
      </c>
      <c r="N1702">
        <v>0</v>
      </c>
      <c r="O1702">
        <v>7.137142E-3</v>
      </c>
      <c r="P1702">
        <v>-0.98796030000000001</v>
      </c>
      <c r="Q1702">
        <v>0.15303079999999999</v>
      </c>
      <c r="R1702">
        <v>2.2718039999999998E-2</v>
      </c>
      <c r="S1702">
        <v>-3.0478519999999998</v>
      </c>
      <c r="T1702">
        <v>-0.1065658</v>
      </c>
      <c r="U1702">
        <v>0.2069397</v>
      </c>
      <c r="V1702">
        <v>1.567487E-2</v>
      </c>
      <c r="W1702">
        <v>0.1640654</v>
      </c>
      <c r="X1702">
        <v>0.98632489999999995</v>
      </c>
      <c r="Y1702">
        <v>6.0585529999999999E-2</v>
      </c>
      <c r="Z1702">
        <v>8.0844289999999904E-4</v>
      </c>
      <c r="AA1702">
        <v>0.99816269999999996</v>
      </c>
      <c r="AB1702">
        <v>43</v>
      </c>
      <c r="AC1702">
        <v>-31.3094999999999</v>
      </c>
      <c r="AD1702">
        <v>-1.1096604696776999</v>
      </c>
      <c r="AE1702">
        <v>2.1517999999999802</v>
      </c>
      <c r="AF1702">
        <v>1.9258631637074799</v>
      </c>
      <c r="AG1702">
        <v>-1.1096604696776999</v>
      </c>
      <c r="AH1702">
        <v>31.284948497175002</v>
      </c>
      <c r="AI1702">
        <v>92.0275643306136</v>
      </c>
      <c r="AJ1702">
        <v>86.477387033518198</v>
      </c>
      <c r="AK1702">
        <v>31.363805536863399</v>
      </c>
      <c r="AL1702">
        <v>80.557053868100695</v>
      </c>
      <c r="AM1702">
        <v>89.089520808084302</v>
      </c>
      <c r="AN1702">
        <v>0.999999982693343</v>
      </c>
    </row>
    <row r="1703" spans="1:40" x14ac:dyDescent="0.25">
      <c r="A1703" t="str">
        <f>"20190312164255542"</f>
        <v>20190312164255542</v>
      </c>
      <c r="B1703" t="str">
        <f>"1552380175535547"</f>
        <v>1552380175535547</v>
      </c>
      <c r="C1703" t="s">
        <v>40</v>
      </c>
      <c r="D1703">
        <v>4.4233200000000004</v>
      </c>
      <c r="E1703">
        <v>0.5276189</v>
      </c>
      <c r="F1703" t="s">
        <v>46</v>
      </c>
      <c r="G1703">
        <v>-373.40960000000001</v>
      </c>
      <c r="H1703" s="1">
        <v>2.7762820000000001E-7</v>
      </c>
      <c r="I1703">
        <v>287.02679999999998</v>
      </c>
      <c r="J1703">
        <v>-341.14060000000001</v>
      </c>
      <c r="K1703">
        <v>1.109653</v>
      </c>
      <c r="L1703">
        <v>284.44380000000001</v>
      </c>
      <c r="M1703">
        <v>-0.99991289999999999</v>
      </c>
      <c r="N1703">
        <v>0</v>
      </c>
      <c r="O1703">
        <v>7.1433869999999898E-3</v>
      </c>
      <c r="P1703">
        <v>-0.98788399999999998</v>
      </c>
      <c r="Q1703">
        <v>0.15360019999999999</v>
      </c>
      <c r="R1703">
        <v>2.2190999999999999E-2</v>
      </c>
      <c r="S1703">
        <v>-3.0470280000000001</v>
      </c>
      <c r="T1703">
        <v>-0.1033558</v>
      </c>
      <c r="U1703">
        <v>0.24087520000000001</v>
      </c>
      <c r="V1703">
        <v>1.5142320000000001E-2</v>
      </c>
      <c r="W1703">
        <v>0.16457339999999901</v>
      </c>
      <c r="X1703">
        <v>0.98624860000000003</v>
      </c>
      <c r="Y1703">
        <v>7.1646189999999998E-2</v>
      </c>
      <c r="Z1703">
        <v>9.7103200000000004E-4</v>
      </c>
      <c r="AA1703">
        <v>0.99742960000000003</v>
      </c>
      <c r="AB1703">
        <v>43</v>
      </c>
      <c r="AC1703">
        <v>-32.268999999999998</v>
      </c>
      <c r="AD1703">
        <v>-1.1096527223718</v>
      </c>
      <c r="AE1703">
        <v>2.58299999999997</v>
      </c>
      <c r="AF1703">
        <v>2.3496491530254202</v>
      </c>
      <c r="AG1703">
        <v>-1.1096527223718</v>
      </c>
      <c r="AH1703">
        <v>32.248737558075398</v>
      </c>
      <c r="AI1703">
        <v>91.965517380887405</v>
      </c>
      <c r="AJ1703">
        <v>85.832782236469498</v>
      </c>
      <c r="AK1703">
        <v>32.353257245541798</v>
      </c>
      <c r="AL1703">
        <v>80.527546664170302</v>
      </c>
      <c r="AM1703">
        <v>89.120381143549395</v>
      </c>
      <c r="AN1703">
        <v>0.99999999742225099</v>
      </c>
    </row>
    <row r="1704" spans="1:40" x14ac:dyDescent="0.25">
      <c r="A1704" t="str">
        <f>"20190312164255563"</f>
        <v>20190312164255563</v>
      </c>
      <c r="B1704" t="str">
        <f>"1552380175556042"</f>
        <v>1552380175556042</v>
      </c>
      <c r="C1704" t="s">
        <v>40</v>
      </c>
      <c r="D1704">
        <v>4.3989039999999999</v>
      </c>
      <c r="E1704">
        <v>0.52820690000000003</v>
      </c>
      <c r="F1704" t="s">
        <v>46</v>
      </c>
      <c r="G1704">
        <v>-374.96170000000001</v>
      </c>
      <c r="H1704" s="1">
        <v>1.1035939999999999E-6</v>
      </c>
      <c r="I1704">
        <v>287.26749999999998</v>
      </c>
      <c r="J1704">
        <v>-341.5677</v>
      </c>
      <c r="K1704">
        <v>1.10964</v>
      </c>
      <c r="L1704">
        <v>284.4468</v>
      </c>
      <c r="M1704">
        <v>-0.99991350000000001</v>
      </c>
      <c r="N1704">
        <v>0</v>
      </c>
      <c r="O1704">
        <v>7.1490800000000004E-3</v>
      </c>
      <c r="P1704">
        <v>-0.98805080000000001</v>
      </c>
      <c r="Q1704">
        <v>0.1526235</v>
      </c>
      <c r="R1704">
        <v>2.1501929999999999E-2</v>
      </c>
      <c r="S1704">
        <v>-3.0466310000000001</v>
      </c>
      <c r="T1704">
        <v>-9.9958179999999994E-2</v>
      </c>
      <c r="U1704">
        <v>0.25436399999999998</v>
      </c>
      <c r="V1704">
        <v>1.444666E-2</v>
      </c>
      <c r="W1704">
        <v>0.16354050000000001</v>
      </c>
      <c r="X1704">
        <v>0.98643080000000005</v>
      </c>
      <c r="Y1704">
        <v>7.603712E-2</v>
      </c>
      <c r="Z1704">
        <v>1.0107849999999999E-3</v>
      </c>
      <c r="AA1704">
        <v>0.99710449999999995</v>
      </c>
      <c r="AB1704">
        <v>43</v>
      </c>
      <c r="AC1704">
        <v>-33.393999999999998</v>
      </c>
      <c r="AD1704">
        <v>-1.109638896406</v>
      </c>
      <c r="AE1704">
        <v>2.82069999999998</v>
      </c>
      <c r="AF1704">
        <v>2.5790495067382699</v>
      </c>
      <c r="AG1704">
        <v>-1.109638896406</v>
      </c>
      <c r="AH1704">
        <v>33.376721453211502</v>
      </c>
      <c r="AI1704">
        <v>91.898492834549003</v>
      </c>
      <c r="AJ1704">
        <v>85.581483263614302</v>
      </c>
      <c r="AK1704">
        <v>33.494601502389798</v>
      </c>
      <c r="AL1704">
        <v>80.587540005130705</v>
      </c>
      <c r="AM1704">
        <v>89.160941168620099</v>
      </c>
      <c r="AN1704">
        <v>0.99999996215702203</v>
      </c>
    </row>
    <row r="1705" spans="1:40" x14ac:dyDescent="0.25">
      <c r="A1705" t="str">
        <f>"20190312164255585"</f>
        <v>20190312164255585</v>
      </c>
      <c r="B1705" t="str">
        <f>"1552380175575566"</f>
        <v>1552380175575566</v>
      </c>
      <c r="C1705" t="s">
        <v>40</v>
      </c>
      <c r="D1705">
        <v>3.9903050000000002</v>
      </c>
      <c r="E1705">
        <v>0.52871060000000003</v>
      </c>
      <c r="F1705" t="s">
        <v>46</v>
      </c>
      <c r="G1705">
        <v>-374.65309999999999</v>
      </c>
      <c r="H1705" s="1">
        <v>9.3938120000000005E-7</v>
      </c>
      <c r="I1705">
        <v>287.23410000000001</v>
      </c>
      <c r="J1705">
        <v>-341.98270000000002</v>
      </c>
      <c r="K1705">
        <v>1.1096280000000001</v>
      </c>
      <c r="L1705">
        <v>284.44979999999998</v>
      </c>
      <c r="M1705">
        <v>-0.99991390000000002</v>
      </c>
      <c r="N1705">
        <v>0</v>
      </c>
      <c r="O1705">
        <v>7.155224E-3</v>
      </c>
      <c r="P1705">
        <v>-0.98814139999999995</v>
      </c>
      <c r="Q1705">
        <v>0.15208379999999999</v>
      </c>
      <c r="R1705">
        <v>2.114568E-2</v>
      </c>
      <c r="S1705">
        <v>-3.0465089999999999</v>
      </c>
      <c r="T1705">
        <v>-0.1021755</v>
      </c>
      <c r="U1705">
        <v>0.25665280000000001</v>
      </c>
      <c r="V1705">
        <v>1.4083419999999999E-2</v>
      </c>
      <c r="W1705">
        <v>0.1629477</v>
      </c>
      <c r="X1705">
        <v>0.98653420000000003</v>
      </c>
      <c r="Y1705">
        <v>7.6776120000000003E-2</v>
      </c>
      <c r="Z1705">
        <v>1.045364E-3</v>
      </c>
      <c r="AA1705">
        <v>0.99704780000000004</v>
      </c>
      <c r="AB1705">
        <v>43</v>
      </c>
      <c r="AC1705">
        <v>-32.670399999999901</v>
      </c>
      <c r="AD1705">
        <v>-1.1096270606187999</v>
      </c>
      <c r="AE1705">
        <v>2.78430000000002</v>
      </c>
      <c r="AF1705">
        <v>2.5475329674249299</v>
      </c>
      <c r="AG1705">
        <v>-1.1096270606187999</v>
      </c>
      <c r="AH1705">
        <v>32.652092090927802</v>
      </c>
      <c r="AI1705">
        <v>91.940460278661007</v>
      </c>
      <c r="AJ1705">
        <v>85.538791346961304</v>
      </c>
      <c r="AK1705">
        <v>32.770113126875302</v>
      </c>
      <c r="AL1705">
        <v>80.621967224424097</v>
      </c>
      <c r="AM1705">
        <v>89.182120884859799</v>
      </c>
      <c r="AN1705">
        <v>1.0000000117119101</v>
      </c>
    </row>
    <row r="1706" spans="1:40" x14ac:dyDescent="0.25">
      <c r="A1706" t="str">
        <f>"20190312164255607"</f>
        <v>20190312164255607</v>
      </c>
      <c r="B1706" t="str">
        <f>"1552380175596059"</f>
        <v>1552380175596059</v>
      </c>
      <c r="C1706" t="s">
        <v>40</v>
      </c>
      <c r="D1706">
        <v>4.0172470000000002</v>
      </c>
      <c r="E1706">
        <v>0.52904649999999998</v>
      </c>
      <c r="F1706" t="s">
        <v>46</v>
      </c>
      <c r="G1706">
        <v>-374.65350000000001</v>
      </c>
      <c r="H1706" s="1">
        <v>9.3958659999999996E-7</v>
      </c>
      <c r="I1706">
        <v>287.24119999999999</v>
      </c>
      <c r="J1706">
        <v>-342.41430000000003</v>
      </c>
      <c r="K1706">
        <v>1.1096090000000001</v>
      </c>
      <c r="L1706">
        <v>284.4529</v>
      </c>
      <c r="M1706">
        <v>-0.99991439999999998</v>
      </c>
      <c r="N1706">
        <v>0</v>
      </c>
      <c r="O1706">
        <v>7.1617699999999996E-3</v>
      </c>
      <c r="P1706">
        <v>-0.98827030000000005</v>
      </c>
      <c r="Q1706">
        <v>0.15118319999999999</v>
      </c>
      <c r="R1706">
        <v>2.158212E-2</v>
      </c>
      <c r="S1706">
        <v>-3.0463870000000002</v>
      </c>
      <c r="T1706">
        <v>-0.10346710000000001</v>
      </c>
      <c r="U1706">
        <v>0.26028440000000003</v>
      </c>
      <c r="V1706">
        <v>1.4512489999999999E-2</v>
      </c>
      <c r="W1706">
        <v>0.16199630000000001</v>
      </c>
      <c r="X1706">
        <v>0.98668460000000002</v>
      </c>
      <c r="Y1706">
        <v>7.7951320000000004E-2</v>
      </c>
      <c r="Z1706">
        <v>1.078255E-3</v>
      </c>
      <c r="AA1706">
        <v>0.99695659999999997</v>
      </c>
      <c r="AB1706">
        <v>43</v>
      </c>
      <c r="AC1706">
        <v>-32.239199999999897</v>
      </c>
      <c r="AD1706">
        <v>-1.1096080604134</v>
      </c>
      <c r="AE1706">
        <v>2.7882999999999898</v>
      </c>
      <c r="AF1706">
        <v>2.5543215282101199</v>
      </c>
      <c r="AG1706">
        <v>-1.1096080604134</v>
      </c>
      <c r="AH1706">
        <v>32.2204585816921</v>
      </c>
      <c r="AI1706">
        <v>91.966208391238595</v>
      </c>
      <c r="AJ1706">
        <v>85.467277444892005</v>
      </c>
      <c r="AK1706">
        <v>32.340589662709398</v>
      </c>
      <c r="AL1706">
        <v>80.677211948495099</v>
      </c>
      <c r="AM1706">
        <v>89.157335106086407</v>
      </c>
      <c r="AN1706">
        <v>0.99999995672842401</v>
      </c>
    </row>
    <row r="1707" spans="1:40" x14ac:dyDescent="0.25">
      <c r="A1707" t="str">
        <f>"20190312164255631"</f>
        <v>20190312164255631</v>
      </c>
      <c r="B1707" t="str">
        <f>"1552380175626314"</f>
        <v>1552380175626314</v>
      </c>
      <c r="C1707" t="s">
        <v>40</v>
      </c>
      <c r="D1707">
        <v>4.074395</v>
      </c>
      <c r="E1707">
        <v>0.52919939999999999</v>
      </c>
      <c r="F1707" t="s">
        <v>46</v>
      </c>
      <c r="G1707">
        <v>-374.45420000000001</v>
      </c>
      <c r="H1707" s="1">
        <v>8.3350250000000001E-7</v>
      </c>
      <c r="I1707">
        <v>287.2312</v>
      </c>
      <c r="J1707">
        <v>-342.8648</v>
      </c>
      <c r="K1707">
        <v>1.109602</v>
      </c>
      <c r="L1707">
        <v>284.45620000000002</v>
      </c>
      <c r="M1707">
        <v>-0.99991490000000005</v>
      </c>
      <c r="N1707">
        <v>0</v>
      </c>
      <c r="O1707">
        <v>7.1680679999999997E-3</v>
      </c>
      <c r="P1707">
        <v>-0.98841080000000003</v>
      </c>
      <c r="Q1707">
        <v>0.15026529999999999</v>
      </c>
      <c r="R1707">
        <v>2.1557139999999999E-2</v>
      </c>
      <c r="S1707">
        <v>-3.0459900000000002</v>
      </c>
      <c r="T1707">
        <v>-0.105489</v>
      </c>
      <c r="U1707">
        <v>0.26412960000000002</v>
      </c>
      <c r="V1707">
        <v>1.448026E-2</v>
      </c>
      <c r="W1707">
        <v>0.16103020000000001</v>
      </c>
      <c r="X1707">
        <v>0.98684320000000003</v>
      </c>
      <c r="Y1707">
        <v>7.9202919999999996E-2</v>
      </c>
      <c r="Z1707">
        <v>1.1208049999999999E-3</v>
      </c>
      <c r="AA1707">
        <v>0.99685789999999996</v>
      </c>
      <c r="AB1707">
        <v>43</v>
      </c>
      <c r="AC1707">
        <v>-31.589400000000001</v>
      </c>
      <c r="AD1707">
        <v>-1.1096011664974901</v>
      </c>
      <c r="AE1707">
        <v>2.7749999999999702</v>
      </c>
      <c r="AF1707">
        <v>2.5453638132993901</v>
      </c>
      <c r="AG1707">
        <v>-1.1096011664974901</v>
      </c>
      <c r="AH1707">
        <v>31.5698277780307</v>
      </c>
      <c r="AI1707">
        <v>92.006470198878404</v>
      </c>
      <c r="AJ1707">
        <v>85.390414621010095</v>
      </c>
      <c r="AK1707">
        <v>31.691704239836401</v>
      </c>
      <c r="AL1707">
        <v>80.733301794383095</v>
      </c>
      <c r="AM1707">
        <v>89.159341374119506</v>
      </c>
      <c r="AN1707">
        <v>0.99999995231397198</v>
      </c>
    </row>
    <row r="1708" spans="1:40" x14ac:dyDescent="0.25">
      <c r="A1708" t="str">
        <f>"20190312164255654"</f>
        <v>20190312164255654</v>
      </c>
      <c r="B1708" t="str">
        <f>"1552380175645834"</f>
        <v>1552380175645834</v>
      </c>
      <c r="C1708" t="s">
        <v>40</v>
      </c>
      <c r="D1708">
        <v>4.1713690000000003</v>
      </c>
      <c r="E1708">
        <v>0.52905309999999905</v>
      </c>
      <c r="F1708" t="s">
        <v>46</v>
      </c>
      <c r="G1708">
        <v>-374.26060000000001</v>
      </c>
      <c r="H1708" s="1">
        <v>7.3050339999999998E-7</v>
      </c>
      <c r="I1708">
        <v>287.1902</v>
      </c>
      <c r="J1708">
        <v>-343.31819999999999</v>
      </c>
      <c r="K1708">
        <v>1.1095900000000001</v>
      </c>
      <c r="L1708">
        <v>284.45940000000002</v>
      </c>
      <c r="M1708">
        <v>-0.99991540000000001</v>
      </c>
      <c r="N1708">
        <v>0</v>
      </c>
      <c r="O1708">
        <v>7.1742369999999896E-3</v>
      </c>
      <c r="P1708">
        <v>-0.98846509999999999</v>
      </c>
      <c r="Q1708">
        <v>0.14993039999999999</v>
      </c>
      <c r="R1708">
        <v>2.1396490000000001E-2</v>
      </c>
      <c r="S1708">
        <v>-3.0456850000000002</v>
      </c>
      <c r="T1708">
        <v>-0.10764170000000001</v>
      </c>
      <c r="U1708">
        <v>0.26522829999999997</v>
      </c>
      <c r="V1708">
        <v>1.4313070000000001E-2</v>
      </c>
      <c r="W1708">
        <v>0.1606476</v>
      </c>
      <c r="X1708">
        <v>0.98690800000000001</v>
      </c>
      <c r="Y1708">
        <v>7.9560279999999997E-2</v>
      </c>
      <c r="Z1708">
        <v>1.149843E-3</v>
      </c>
      <c r="AA1708">
        <v>0.99682939999999998</v>
      </c>
      <c r="AB1708">
        <v>43</v>
      </c>
      <c r="AC1708">
        <v>-30.942399999999999</v>
      </c>
      <c r="AD1708">
        <v>-1.1095892694966001</v>
      </c>
      <c r="AE1708">
        <v>2.7307999999999799</v>
      </c>
      <c r="AF1708">
        <v>2.5055315045424398</v>
      </c>
      <c r="AG1708">
        <v>-1.1095892694966001</v>
      </c>
      <c r="AH1708">
        <v>30.921740354143701</v>
      </c>
      <c r="AI1708">
        <v>92.048400297540994</v>
      </c>
      <c r="AJ1708">
        <v>85.367549342539505</v>
      </c>
      <c r="AK1708">
        <v>31.042920336146199</v>
      </c>
      <c r="AL1708">
        <v>80.755512379238695</v>
      </c>
      <c r="AM1708">
        <v>89.169100855432902</v>
      </c>
      <c r="AN1708">
        <v>0.99999995791129104</v>
      </c>
    </row>
    <row r="1709" spans="1:40" x14ac:dyDescent="0.25">
      <c r="A1709" t="str">
        <f>"20190312164255676"</f>
        <v>20190312164255676</v>
      </c>
      <c r="B1709" t="str">
        <f>"1552380175666330"</f>
        <v>1552380175666330</v>
      </c>
      <c r="C1709" t="s">
        <v>40</v>
      </c>
      <c r="D1709">
        <v>4.1659160000000002</v>
      </c>
      <c r="E1709">
        <v>0.4993708</v>
      </c>
      <c r="F1709" t="s">
        <v>46</v>
      </c>
      <c r="G1709">
        <v>-374.27710000000002</v>
      </c>
      <c r="H1709" s="1">
        <v>7.3927150000000002E-7</v>
      </c>
      <c r="I1709">
        <v>287.14319999999998</v>
      </c>
      <c r="J1709">
        <v>-343.73399999999998</v>
      </c>
      <c r="K1709">
        <v>1.109586</v>
      </c>
      <c r="L1709">
        <v>284.4624</v>
      </c>
      <c r="M1709">
        <v>-0.99991589999999997</v>
      </c>
      <c r="N1709">
        <v>0</v>
      </c>
      <c r="O1709">
        <v>7.1801879999999997E-3</v>
      </c>
      <c r="P1709">
        <v>-0.98852510000000005</v>
      </c>
      <c r="Q1709">
        <v>0.14948129999999901</v>
      </c>
      <c r="R1709">
        <v>2.1761969999999999E-2</v>
      </c>
      <c r="S1709">
        <v>-3.0458370000000001</v>
      </c>
      <c r="T1709">
        <v>-0.109165</v>
      </c>
      <c r="U1709">
        <v>0.2640381</v>
      </c>
      <c r="V1709">
        <v>1.46722E-2</v>
      </c>
      <c r="W1709">
        <v>0.16015760000000001</v>
      </c>
      <c r="X1709">
        <v>0.98698240000000004</v>
      </c>
      <c r="Y1709">
        <v>7.9162410000000002E-2</v>
      </c>
      <c r="Z1709">
        <v>1.1587380000000001E-3</v>
      </c>
      <c r="AA1709">
        <v>0.996861</v>
      </c>
      <c r="AB1709">
        <v>43</v>
      </c>
      <c r="AC1709">
        <v>-30.5430999999999</v>
      </c>
      <c r="AD1709">
        <v>-1.1095852607284999</v>
      </c>
      <c r="AE1709">
        <v>2.6807999999999699</v>
      </c>
      <c r="AF1709">
        <v>2.4581934707238902</v>
      </c>
      <c r="AG1709">
        <v>-1.1095852607284999</v>
      </c>
      <c r="AH1709">
        <v>30.521589098474202</v>
      </c>
      <c r="AI1709">
        <v>92.075306212332194</v>
      </c>
      <c r="AJ1709">
        <v>85.395365661544602</v>
      </c>
      <c r="AK1709">
        <v>30.6405172228936</v>
      </c>
      <c r="AL1709">
        <v>80.783955941325004</v>
      </c>
      <c r="AM1709">
        <v>89.148319950731505</v>
      </c>
      <c r="AN1709">
        <v>0.99999999410018003</v>
      </c>
    </row>
    <row r="1710" spans="1:40" x14ac:dyDescent="0.25">
      <c r="A1710" t="str">
        <f>"20190312164255697"</f>
        <v>20190312164255697</v>
      </c>
      <c r="B1710" t="str">
        <f>"1552380175685850"</f>
        <v>1552380175685850</v>
      </c>
      <c r="C1710" t="s">
        <v>40</v>
      </c>
      <c r="D1710">
        <v>4.1456400000000002</v>
      </c>
      <c r="E1710">
        <v>0.48991440000000003</v>
      </c>
      <c r="F1710" t="s">
        <v>41</v>
      </c>
      <c r="G1710">
        <v>-344.56779999999998</v>
      </c>
      <c r="H1710">
        <v>1.0413920000000001</v>
      </c>
      <c r="I1710">
        <v>284.46820000000002</v>
      </c>
      <c r="J1710">
        <v>-344.1472</v>
      </c>
      <c r="K1710">
        <v>1.1095759999999999</v>
      </c>
      <c r="L1710">
        <v>284.46530000000001</v>
      </c>
      <c r="M1710">
        <v>-0.99991620000000003</v>
      </c>
      <c r="N1710">
        <v>0</v>
      </c>
      <c r="O1710">
        <v>7.1860559999999997E-3</v>
      </c>
      <c r="P1710">
        <v>-0.98858590000000002</v>
      </c>
      <c r="Q1710">
        <v>0.14907229999999999</v>
      </c>
      <c r="R1710">
        <v>2.1805499999999998E-2</v>
      </c>
      <c r="S1710">
        <v>-3.0724490000000002</v>
      </c>
      <c r="T1710">
        <v>-0.25152639999999998</v>
      </c>
      <c r="U1710">
        <v>2.0202640000000001E-2</v>
      </c>
      <c r="V1710">
        <v>1.47095E-2</v>
      </c>
      <c r="W1710">
        <v>0.1597124</v>
      </c>
      <c r="X1710">
        <v>0.98705399999999999</v>
      </c>
      <c r="Y1710">
        <v>-5.8521349999999996E-4</v>
      </c>
      <c r="Z1710">
        <v>-6.1123939999999999E-4</v>
      </c>
      <c r="AA1710">
        <v>0.99999959999999999</v>
      </c>
      <c r="AB1710">
        <v>43</v>
      </c>
      <c r="AC1710">
        <v>-0.42059999999997899</v>
      </c>
      <c r="AD1710">
        <v>-6.8183999999999995E-2</v>
      </c>
      <c r="AE1710">
        <v>2.9000000000110001E-3</v>
      </c>
      <c r="AF1710">
        <v>-1.19563305922666E-4</v>
      </c>
      <c r="AG1710">
        <v>-6.8183999999999995E-2</v>
      </c>
      <c r="AH1710">
        <v>0.40983987361372398</v>
      </c>
      <c r="AI1710">
        <v>99.4456385023922</v>
      </c>
      <c r="AJ1710">
        <v>90.016714997882602</v>
      </c>
      <c r="AK1710">
        <v>0.41547297644383302</v>
      </c>
      <c r="AL1710">
        <v>80.809796798962495</v>
      </c>
      <c r="AM1710">
        <v>89.146217038475797</v>
      </c>
      <c r="AN1710">
        <v>1.0000000095099999</v>
      </c>
    </row>
    <row r="1711" spans="1:40" x14ac:dyDescent="0.25">
      <c r="A1711" t="str">
        <f>"20190312164255720"</f>
        <v>20190312164255720</v>
      </c>
      <c r="B1711" t="str">
        <f>"1552380175716107"</f>
        <v>1552380175716107</v>
      </c>
      <c r="C1711" t="s">
        <v>40</v>
      </c>
      <c r="D1711">
        <v>4.3317160000000001</v>
      </c>
      <c r="E1711">
        <v>0.48510920000000002</v>
      </c>
      <c r="F1711" t="s">
        <v>46</v>
      </c>
      <c r="G1711">
        <v>-356.41120000000001</v>
      </c>
      <c r="H1711" s="1">
        <v>1.874946E-6</v>
      </c>
      <c r="I1711">
        <v>284.23939999999999</v>
      </c>
      <c r="J1711">
        <v>-344.5831</v>
      </c>
      <c r="K1711">
        <v>1.1095699999999999</v>
      </c>
      <c r="L1711">
        <v>284.46839999999997</v>
      </c>
      <c r="M1711">
        <v>-0.99991649999999999</v>
      </c>
      <c r="N1711">
        <v>0</v>
      </c>
      <c r="O1711">
        <v>7.1925189999999996E-3</v>
      </c>
      <c r="P1711">
        <v>-0.98863449999999997</v>
      </c>
      <c r="Q1711">
        <v>0.14873810000000001</v>
      </c>
      <c r="R1711">
        <v>2.1889490000000001E-2</v>
      </c>
      <c r="S1711">
        <v>-3.0778810000000001</v>
      </c>
      <c r="T1711">
        <v>-0.278468099999999</v>
      </c>
      <c r="U1711">
        <v>-5.6701660000000001E-2</v>
      </c>
      <c r="V1711">
        <v>1.478691E-2</v>
      </c>
      <c r="W1711">
        <v>0.15934100000000001</v>
      </c>
      <c r="X1711">
        <v>0.98711289999999996</v>
      </c>
      <c r="Y1711">
        <v>-2.547702E-2</v>
      </c>
      <c r="Z1711">
        <v>-1.799457E-3</v>
      </c>
      <c r="AA1711">
        <v>0.99967379999999995</v>
      </c>
      <c r="AB1711">
        <v>43</v>
      </c>
      <c r="AC1711">
        <v>-11.828099999999999</v>
      </c>
      <c r="AD1711">
        <v>-1.1095681250539999</v>
      </c>
      <c r="AE1711">
        <v>-0.22899999999998499</v>
      </c>
      <c r="AF1711">
        <v>-0.31133412902183799</v>
      </c>
      <c r="AG1711">
        <v>-1.1095681250539999</v>
      </c>
      <c r="AH1711">
        <v>11.723023991578399</v>
      </c>
      <c r="AI1711">
        <v>95.404965282704396</v>
      </c>
      <c r="AJ1711">
        <v>91.521274685661098</v>
      </c>
      <c r="AK1711">
        <v>11.7795314792717</v>
      </c>
      <c r="AL1711">
        <v>80.831352804056706</v>
      </c>
      <c r="AM1711">
        <v>89.141775807821205</v>
      </c>
      <c r="AN1711">
        <v>1.00000004216737</v>
      </c>
    </row>
    <row r="1712" spans="1:40" x14ac:dyDescent="0.25">
      <c r="A1712" t="str">
        <f>"20190312164255743"</f>
        <v>20190312164255743</v>
      </c>
      <c r="B1712" t="str">
        <f>"1552380175735626"</f>
        <v>1552380175735626</v>
      </c>
      <c r="C1712" t="s">
        <v>40</v>
      </c>
      <c r="D1712">
        <v>4.1468379999999998</v>
      </c>
      <c r="E1712">
        <v>0.48425689999999999</v>
      </c>
      <c r="F1712" t="s">
        <v>46</v>
      </c>
      <c r="G1712">
        <v>-356.15780000000001</v>
      </c>
      <c r="H1712" s="1">
        <v>1.7400819999999901E-6</v>
      </c>
      <c r="I1712">
        <v>284.11130000000003</v>
      </c>
      <c r="J1712">
        <v>-345.02620000000002</v>
      </c>
      <c r="K1712">
        <v>1.1095649999999999</v>
      </c>
      <c r="L1712">
        <v>284.4717</v>
      </c>
      <c r="M1712">
        <v>-0.9999169</v>
      </c>
      <c r="N1712">
        <v>0</v>
      </c>
      <c r="O1712">
        <v>7.1989169999999896E-3</v>
      </c>
      <c r="P1712">
        <v>-0.98860760000000003</v>
      </c>
      <c r="Q1712">
        <v>0.14895149999999999</v>
      </c>
      <c r="R1712">
        <v>2.1644190000000001E-2</v>
      </c>
      <c r="S1712">
        <v>-3.0810240000000002</v>
      </c>
      <c r="T1712">
        <v>-0.29535250000000002</v>
      </c>
      <c r="U1712">
        <v>-9.5062259999999996E-2</v>
      </c>
      <c r="V1712">
        <v>1.4535340000000001E-2</v>
      </c>
      <c r="W1712">
        <v>0.15951699999999999</v>
      </c>
      <c r="X1712">
        <v>0.98708810000000002</v>
      </c>
      <c r="Y1712">
        <v>-3.7828319999999999E-2</v>
      </c>
      <c r="Z1712">
        <v>-2.4969860000000001E-3</v>
      </c>
      <c r="AA1712">
        <v>0.99928110000000003</v>
      </c>
      <c r="AB1712">
        <v>43</v>
      </c>
      <c r="AC1712">
        <v>-11.131599999999899</v>
      </c>
      <c r="AD1712">
        <v>-1.1095632599180001</v>
      </c>
      <c r="AE1712">
        <v>-0.36039999999997002</v>
      </c>
      <c r="AF1712">
        <v>-0.43620137452004298</v>
      </c>
      <c r="AG1712">
        <v>-1.1095632599180001</v>
      </c>
      <c r="AH1712">
        <v>11.0193489769794</v>
      </c>
      <c r="AI1712">
        <v>95.745392317837997</v>
      </c>
      <c r="AJ1712">
        <v>92.266872197233099</v>
      </c>
      <c r="AK1712">
        <v>11.083657074420399</v>
      </c>
      <c r="AL1712">
        <v>80.821137086894794</v>
      </c>
      <c r="AM1712">
        <v>89.156353472435597</v>
      </c>
      <c r="AN1712">
        <v>0.99999993327976</v>
      </c>
    </row>
    <row r="1713" spans="1:40" x14ac:dyDescent="0.25">
      <c r="A1713" t="str">
        <f>"20190312164255764"</f>
        <v>20190312164255764</v>
      </c>
      <c r="B1713" t="str">
        <f>"1552380175756122"</f>
        <v>1552380175756122</v>
      </c>
      <c r="C1713" t="s">
        <v>40</v>
      </c>
      <c r="D1713">
        <v>4.1135820000000001</v>
      </c>
      <c r="E1713">
        <v>0.48346220000000001</v>
      </c>
      <c r="F1713" t="s">
        <v>41</v>
      </c>
      <c r="G1713">
        <v>-346.10019999999997</v>
      </c>
      <c r="H1713">
        <v>1.006632</v>
      </c>
      <c r="I1713">
        <v>284.43610000000001</v>
      </c>
      <c r="J1713">
        <v>-345.46109999999999</v>
      </c>
      <c r="K1713">
        <v>1.109561</v>
      </c>
      <c r="L1713">
        <v>284.47480000000002</v>
      </c>
      <c r="M1713">
        <v>-0.99991730000000001</v>
      </c>
      <c r="N1713">
        <v>0</v>
      </c>
      <c r="O1713">
        <v>7.2051169999999996E-3</v>
      </c>
      <c r="P1713">
        <v>-0.98852340000000005</v>
      </c>
      <c r="Q1713">
        <v>0.1496333</v>
      </c>
      <c r="R1713">
        <v>2.0774549999999999E-2</v>
      </c>
      <c r="S1713">
        <v>-3.081299</v>
      </c>
      <c r="T1713">
        <v>-0.29540280000000002</v>
      </c>
      <c r="U1713">
        <v>-0.1026917</v>
      </c>
      <c r="V1713">
        <v>1.3660179999999999E-2</v>
      </c>
      <c r="W1713">
        <v>0.16016469999999999</v>
      </c>
      <c r="X1713">
        <v>0.98699579999999998</v>
      </c>
      <c r="Y1713">
        <v>-4.0292010000000003E-2</v>
      </c>
      <c r="Z1713">
        <v>-2.6154770000000002E-3</v>
      </c>
      <c r="AA1713">
        <v>0.99918450000000003</v>
      </c>
      <c r="AB1713">
        <v>43</v>
      </c>
      <c r="AC1713">
        <v>-0.63909999999998401</v>
      </c>
      <c r="AD1713">
        <v>-0.10292900000000001</v>
      </c>
      <c r="AE1713">
        <v>-3.8700000000005702E-2</v>
      </c>
      <c r="AF1713">
        <v>-4.22131197061342E-2</v>
      </c>
      <c r="AG1713">
        <v>-0.10292900000000001</v>
      </c>
      <c r="AH1713">
        <v>0.62271161869872205</v>
      </c>
      <c r="AI1713">
        <v>99.364538870159507</v>
      </c>
      <c r="AJ1713">
        <v>93.878101621327701</v>
      </c>
      <c r="AK1713">
        <v>0.63257101307181895</v>
      </c>
      <c r="AL1713">
        <v>80.783544065968599</v>
      </c>
      <c r="AM1713">
        <v>89.207067858241203</v>
      </c>
      <c r="AN1713">
        <v>1.00000002043068</v>
      </c>
    </row>
    <row r="1714" spans="1:40" x14ac:dyDescent="0.25">
      <c r="A1714" t="str">
        <f>"20190312164255786"</f>
        <v>20190312164255786</v>
      </c>
      <c r="B1714" t="str">
        <f>"1552380175776152"</f>
        <v>1552380175776152</v>
      </c>
      <c r="C1714" t="s">
        <v>40</v>
      </c>
      <c r="D1714">
        <v>4.1277759999999999</v>
      </c>
      <c r="E1714">
        <v>0.4833152</v>
      </c>
      <c r="F1714" t="s">
        <v>41</v>
      </c>
      <c r="G1714">
        <v>-346.49110000000002</v>
      </c>
      <c r="H1714">
        <v>1.009323</v>
      </c>
      <c r="I1714">
        <v>284.43770000000001</v>
      </c>
      <c r="J1714">
        <v>-345.88139999999999</v>
      </c>
      <c r="K1714">
        <v>1.1095619999999999</v>
      </c>
      <c r="L1714">
        <v>284.4778</v>
      </c>
      <c r="M1714">
        <v>-0.99991750000000001</v>
      </c>
      <c r="N1714">
        <v>0</v>
      </c>
      <c r="O1714">
        <v>7.2113519999999999E-3</v>
      </c>
      <c r="P1714">
        <v>-0.98845510000000003</v>
      </c>
      <c r="Q1714">
        <v>0.15028359999999999</v>
      </c>
      <c r="R1714">
        <v>1.927309E-2</v>
      </c>
      <c r="S1714">
        <v>-3.0825809999999998</v>
      </c>
      <c r="T1714">
        <v>-0.299983</v>
      </c>
      <c r="U1714">
        <v>-0.1117249</v>
      </c>
      <c r="V1714">
        <v>1.2153229999999999E-2</v>
      </c>
      <c r="W1714">
        <v>0.1607855</v>
      </c>
      <c r="X1714">
        <v>0.98691450000000003</v>
      </c>
      <c r="Y1714">
        <v>-4.3188459999999998E-2</v>
      </c>
      <c r="Z1714">
        <v>-2.7957720000000002E-3</v>
      </c>
      <c r="AA1714">
        <v>0.99906300000000003</v>
      </c>
      <c r="AB1714">
        <v>43</v>
      </c>
      <c r="AC1714">
        <v>-0.60970000000003199</v>
      </c>
      <c r="AD1714">
        <v>-0.10023899999999999</v>
      </c>
      <c r="AE1714">
        <v>-4.0099999999995299E-2</v>
      </c>
      <c r="AF1714">
        <v>-4.3329819743994198E-2</v>
      </c>
      <c r="AG1714">
        <v>-0.10023899999999999</v>
      </c>
      <c r="AH1714">
        <v>0.59342397293790905</v>
      </c>
      <c r="AI1714">
        <v>99.562703262163794</v>
      </c>
      <c r="AJ1714">
        <v>94.176133773206601</v>
      </c>
      <c r="AK1714">
        <v>0.60338821836149503</v>
      </c>
      <c r="AL1714">
        <v>80.747507193753506</v>
      </c>
      <c r="AM1714">
        <v>89.294474251116995</v>
      </c>
      <c r="AN1714">
        <v>0.99999995415996501</v>
      </c>
    </row>
    <row r="1715" spans="1:40" x14ac:dyDescent="0.25">
      <c r="A1715" t="str">
        <f>"20190312164255810"</f>
        <v>20190312164255810</v>
      </c>
      <c r="B1715" t="str">
        <f>"1552380175806405"</f>
        <v>1552380175806405</v>
      </c>
      <c r="C1715" t="s">
        <v>40</v>
      </c>
      <c r="D1715">
        <v>4.1035529999999998</v>
      </c>
      <c r="E1715">
        <v>0.48328529999999997</v>
      </c>
      <c r="F1715" t="s">
        <v>41</v>
      </c>
      <c r="G1715">
        <v>-346.8827</v>
      </c>
      <c r="H1715">
        <v>1.012831</v>
      </c>
      <c r="I1715">
        <v>284.44009999999997</v>
      </c>
      <c r="J1715">
        <v>-346.32690000000002</v>
      </c>
      <c r="K1715">
        <v>1.1095600000000001</v>
      </c>
      <c r="L1715">
        <v>284.48099999999999</v>
      </c>
      <c r="M1715">
        <v>-0.99991790000000003</v>
      </c>
      <c r="N1715">
        <v>0</v>
      </c>
      <c r="O1715">
        <v>7.2175219999999997E-3</v>
      </c>
      <c r="P1715">
        <v>-0.98843559999999997</v>
      </c>
      <c r="Q1715">
        <v>0.1506006</v>
      </c>
      <c r="R1715">
        <v>1.7746689999999999E-2</v>
      </c>
      <c r="S1715">
        <v>-3.082611</v>
      </c>
      <c r="T1715">
        <v>-0.29791859999999998</v>
      </c>
      <c r="U1715">
        <v>-0.11688229999999999</v>
      </c>
      <c r="V1715">
        <v>1.0620920000000001E-2</v>
      </c>
      <c r="W1715">
        <v>0.16107449999999901</v>
      </c>
      <c r="X1715">
        <v>0.98688509999999996</v>
      </c>
      <c r="Y1715">
        <v>-4.4858889999999998E-2</v>
      </c>
      <c r="Z1715">
        <v>-2.8576059999999999E-3</v>
      </c>
      <c r="AA1715">
        <v>0.99898920000000002</v>
      </c>
      <c r="AB1715">
        <v>43</v>
      </c>
      <c r="AC1715">
        <v>-0.55579999999997598</v>
      </c>
      <c r="AD1715">
        <v>-9.6728999999999996E-2</v>
      </c>
      <c r="AE1715">
        <v>-4.0900000000021898E-2</v>
      </c>
      <c r="AF1715">
        <v>-4.3597278549040101E-2</v>
      </c>
      <c r="AG1715">
        <v>-9.6728999999999996E-2</v>
      </c>
      <c r="AH1715">
        <v>0.53924539738316402</v>
      </c>
      <c r="AI1715">
        <v>100.13708766054999</v>
      </c>
      <c r="AJ1715">
        <v>94.622234542616994</v>
      </c>
      <c r="AK1715">
        <v>0.54958422533476103</v>
      </c>
      <c r="AL1715">
        <v>80.730730460597499</v>
      </c>
      <c r="AM1715">
        <v>89.383402993614695</v>
      </c>
      <c r="AN1715">
        <v>0.99999999954695296</v>
      </c>
    </row>
    <row r="1716" spans="1:40" x14ac:dyDescent="0.25">
      <c r="A1716" t="str">
        <f>"20190312164255831"</f>
        <v>20190312164255831</v>
      </c>
      <c r="B1716" t="str">
        <f>"1552380175825924"</f>
        <v>1552380175825924</v>
      </c>
      <c r="C1716" t="s">
        <v>40</v>
      </c>
      <c r="D1716">
        <v>4.2929729999999999</v>
      </c>
      <c r="E1716">
        <v>0.4833054</v>
      </c>
      <c r="F1716" t="s">
        <v>41</v>
      </c>
      <c r="G1716">
        <v>-347.27820000000003</v>
      </c>
      <c r="H1716">
        <v>1.0178940000000001</v>
      </c>
      <c r="I1716">
        <v>284.4434</v>
      </c>
      <c r="J1716">
        <v>-346.76389999999998</v>
      </c>
      <c r="K1716">
        <v>1.1095549999999901</v>
      </c>
      <c r="L1716">
        <v>284.48419999999999</v>
      </c>
      <c r="M1716">
        <v>-0.99991799999999997</v>
      </c>
      <c r="N1716">
        <v>0</v>
      </c>
      <c r="O1716">
        <v>7.2240450000000001E-3</v>
      </c>
      <c r="P1716">
        <v>-0.98845369999999999</v>
      </c>
      <c r="Q1716">
        <v>0.15063650000000001</v>
      </c>
      <c r="R1716">
        <v>1.6355939999999999E-2</v>
      </c>
      <c r="S1716">
        <v>-3.0825499999999999</v>
      </c>
      <c r="T1716">
        <v>-0.29708780000000001</v>
      </c>
      <c r="U1716">
        <v>-0.122345</v>
      </c>
      <c r="V1716">
        <v>9.2234499999999994E-3</v>
      </c>
      <c r="W1716">
        <v>0.1610839</v>
      </c>
      <c r="X1716">
        <v>0.98689760000000004</v>
      </c>
      <c r="Y1716">
        <v>-4.6626899999999999E-2</v>
      </c>
      <c r="Z1716">
        <v>-2.9352290000000001E-3</v>
      </c>
      <c r="AA1716">
        <v>0.99890800000000002</v>
      </c>
      <c r="AB1716">
        <v>43</v>
      </c>
      <c r="AC1716">
        <v>-0.51430000000004805</v>
      </c>
      <c r="AD1716">
        <v>-9.1660999999999701E-2</v>
      </c>
      <c r="AE1716">
        <v>-4.0799999999990101E-2</v>
      </c>
      <c r="AF1716">
        <v>-4.31523475766546E-2</v>
      </c>
      <c r="AG1716">
        <v>-9.1660999999999701E-2</v>
      </c>
      <c r="AH1716">
        <v>0.498263913982192</v>
      </c>
      <c r="AI1716">
        <v>100.385607680314</v>
      </c>
      <c r="AJ1716">
        <v>94.949773536253801</v>
      </c>
      <c r="AK1716">
        <v>0.50845923337002097</v>
      </c>
      <c r="AL1716">
        <v>80.730184607618696</v>
      </c>
      <c r="AM1716">
        <v>89.464534748140693</v>
      </c>
      <c r="AN1716">
        <v>0.99999998387743605</v>
      </c>
    </row>
    <row r="1717" spans="1:40" x14ac:dyDescent="0.25">
      <c r="A1717" t="str">
        <f>"20190312164255855"</f>
        <v>20190312164255855</v>
      </c>
      <c r="B1717" t="str">
        <f>"1552380175846421"</f>
        <v>1552380175846421</v>
      </c>
      <c r="C1717" t="s">
        <v>40</v>
      </c>
      <c r="D1717">
        <v>4.0481829999999999</v>
      </c>
      <c r="E1717">
        <v>0.4832014</v>
      </c>
      <c r="F1717" t="s">
        <v>46</v>
      </c>
      <c r="G1717">
        <v>-358.27460000000002</v>
      </c>
      <c r="H1717" s="1">
        <v>2.8665259999999999E-6</v>
      </c>
      <c r="I1717">
        <v>284.01150000000001</v>
      </c>
      <c r="J1717">
        <v>-347.21100000000001</v>
      </c>
      <c r="K1717">
        <v>1.109548</v>
      </c>
      <c r="L1717">
        <v>284.48739999999998</v>
      </c>
      <c r="M1717">
        <v>-0.99991830000000004</v>
      </c>
      <c r="N1717">
        <v>0</v>
      </c>
      <c r="O1717">
        <v>7.2302690000000001E-3</v>
      </c>
      <c r="P1717">
        <v>-0.98861160000000003</v>
      </c>
      <c r="Q1717">
        <v>0.149814</v>
      </c>
      <c r="R1717">
        <v>1.425064E-2</v>
      </c>
      <c r="S1717">
        <v>-3.0823969999999998</v>
      </c>
      <c r="T1717">
        <v>-0.29712149999999998</v>
      </c>
      <c r="U1717">
        <v>-0.1265869</v>
      </c>
      <c r="V1717">
        <v>7.1110100000000001E-3</v>
      </c>
      <c r="W1717">
        <v>0.16023579999999901</v>
      </c>
      <c r="X1717">
        <v>0.98705319999999996</v>
      </c>
      <c r="Y1717">
        <v>-4.8001009999999997E-2</v>
      </c>
      <c r="Z1717">
        <v>-3.00227E-3</v>
      </c>
      <c r="AA1717">
        <v>0.99884280000000003</v>
      </c>
      <c r="AB1717">
        <v>44</v>
      </c>
      <c r="AC1717">
        <v>-11.063599999999999</v>
      </c>
      <c r="AD1717">
        <v>-1.1095451334739901</v>
      </c>
      <c r="AE1717">
        <v>-0.47589999999996702</v>
      </c>
      <c r="AF1717">
        <v>-0.55035969940030904</v>
      </c>
      <c r="AG1717">
        <v>-1.1095451334739901</v>
      </c>
      <c r="AH1717">
        <v>10.9499422872411</v>
      </c>
      <c r="AI1717">
        <v>95.778722149144201</v>
      </c>
      <c r="AJ1717">
        <v>92.8773462082154</v>
      </c>
      <c r="AK1717">
        <v>11.0197650744401</v>
      </c>
      <c r="AL1717">
        <v>80.779417297894597</v>
      </c>
      <c r="AM1717">
        <v>89.587232164880106</v>
      </c>
      <c r="AN1717">
        <v>1.00000004884754</v>
      </c>
    </row>
    <row r="1718" spans="1:40" x14ac:dyDescent="0.25">
      <c r="A1718" t="str">
        <f>"20190312164255887"</f>
        <v>20190312164255887</v>
      </c>
      <c r="B1718" t="str">
        <f>"1552380175875700"</f>
        <v>1552380175875700</v>
      </c>
      <c r="C1718" t="s">
        <v>40</v>
      </c>
      <c r="D1718">
        <v>4.0196719999999999</v>
      </c>
      <c r="E1718">
        <v>0.50022889999999998</v>
      </c>
      <c r="F1718" t="s">
        <v>46</v>
      </c>
      <c r="G1718">
        <v>-358.6302</v>
      </c>
      <c r="H1718" s="1">
        <v>3.0557670000000002E-6</v>
      </c>
      <c r="I1718">
        <v>283.99369999999999</v>
      </c>
      <c r="J1718">
        <v>-347.8349</v>
      </c>
      <c r="K1718">
        <v>1.109537</v>
      </c>
      <c r="L1718">
        <v>284.49200000000002</v>
      </c>
      <c r="M1718">
        <v>-0.99991859999999999</v>
      </c>
      <c r="N1718">
        <v>0</v>
      </c>
      <c r="O1718">
        <v>7.2391479999999999E-3</v>
      </c>
      <c r="P1718">
        <v>-0.98874410000000001</v>
      </c>
      <c r="Q1718">
        <v>0.1489731</v>
      </c>
      <c r="R1718">
        <v>1.38785E-2</v>
      </c>
      <c r="S1718">
        <v>-3.0818479999999999</v>
      </c>
      <c r="T1718">
        <v>-0.29944769999999998</v>
      </c>
      <c r="U1718">
        <v>-0.13323969999999999</v>
      </c>
      <c r="V1718">
        <v>6.7292389999999997E-3</v>
      </c>
      <c r="W1718">
        <v>0.15936359999999999</v>
      </c>
      <c r="X1718">
        <v>0.98719699999999999</v>
      </c>
      <c r="Y1718">
        <v>-5.015522E-2</v>
      </c>
      <c r="Z1718">
        <v>-3.1312900000000001E-3</v>
      </c>
      <c r="AA1718">
        <v>0.99873650000000003</v>
      </c>
      <c r="AB1718">
        <v>44</v>
      </c>
      <c r="AC1718">
        <v>-10.7952999999999</v>
      </c>
      <c r="AD1718">
        <v>-1.1095339442329999</v>
      </c>
      <c r="AE1718">
        <v>-0.498300000000028</v>
      </c>
      <c r="AF1718">
        <v>-0.57042708039482004</v>
      </c>
      <c r="AG1718">
        <v>-1.1095339442329999</v>
      </c>
      <c r="AH1718">
        <v>10.678842503981601</v>
      </c>
      <c r="AI1718">
        <v>95.923375010755905</v>
      </c>
      <c r="AJ1718">
        <v>93.057637767535994</v>
      </c>
      <c r="AK1718">
        <v>10.7514710552695</v>
      </c>
      <c r="AL1718">
        <v>80.830040567699896</v>
      </c>
      <c r="AM1718">
        <v>89.609448749753795</v>
      </c>
      <c r="AN1718">
        <v>0.99999997823573905</v>
      </c>
    </row>
    <row r="1719" spans="1:40" x14ac:dyDescent="0.25">
      <c r="A1719" t="str">
        <f>"20190312164255909"</f>
        <v>20190312164255909</v>
      </c>
      <c r="B1719" t="str">
        <f>"1552380175905956"</f>
        <v>1552380175905956</v>
      </c>
      <c r="C1719" t="s">
        <v>40</v>
      </c>
      <c r="D1719">
        <v>4.0313059999999998</v>
      </c>
      <c r="E1719">
        <v>0.50008019999999997</v>
      </c>
      <c r="F1719" t="s">
        <v>46</v>
      </c>
      <c r="G1719">
        <v>-369.13150000000002</v>
      </c>
      <c r="H1719" s="1">
        <v>3.3225450000000001E-6</v>
      </c>
      <c r="I1719">
        <v>284.5591</v>
      </c>
      <c r="J1719">
        <v>-348.27339999999998</v>
      </c>
      <c r="K1719">
        <v>1.1095299999999999</v>
      </c>
      <c r="L1719">
        <v>284.49520000000001</v>
      </c>
      <c r="M1719">
        <v>-0.99991870000000005</v>
      </c>
      <c r="N1719">
        <v>0</v>
      </c>
      <c r="O1719">
        <v>7.2456880000000001E-3</v>
      </c>
      <c r="P1719">
        <v>-0.98889740000000004</v>
      </c>
      <c r="Q1719">
        <v>0.14789479999999999</v>
      </c>
      <c r="R1719">
        <v>1.4456149999999999E-2</v>
      </c>
      <c r="S1719">
        <v>-3.058014</v>
      </c>
      <c r="T1719">
        <v>-0.1593195</v>
      </c>
      <c r="U1719">
        <v>9.6435549999999998E-3</v>
      </c>
      <c r="V1719">
        <v>7.299214E-3</v>
      </c>
      <c r="W1719">
        <v>0.15826760000000001</v>
      </c>
      <c r="X1719">
        <v>0.98736930000000001</v>
      </c>
      <c r="Y1719">
        <v>-4.0772580000000003E-3</v>
      </c>
      <c r="Z1719">
        <v>-4.8339200000000002E-4</v>
      </c>
      <c r="AA1719">
        <v>0.99999159999999998</v>
      </c>
      <c r="AB1719">
        <v>44</v>
      </c>
      <c r="AC1719">
        <v>-20.8581</v>
      </c>
      <c r="AD1719">
        <v>-1.1095266774550001</v>
      </c>
      <c r="AE1719">
        <v>6.3899999999989604E-2</v>
      </c>
      <c r="AF1719">
        <v>-8.6995122786014498E-2</v>
      </c>
      <c r="AG1719">
        <v>-1.1095266774550001</v>
      </c>
      <c r="AH1719">
        <v>20.799162544283099</v>
      </c>
      <c r="AI1719">
        <v>93.053509641346196</v>
      </c>
      <c r="AJ1719">
        <v>90.239645432691901</v>
      </c>
      <c r="AK1719">
        <v>20.8289169219833</v>
      </c>
      <c r="AL1719">
        <v>80.893644397360504</v>
      </c>
      <c r="AM1719">
        <v>89.576443649102899</v>
      </c>
      <c r="AN1719">
        <v>1.0000000231586299</v>
      </c>
    </row>
    <row r="1720" spans="1:40" x14ac:dyDescent="0.25">
      <c r="A1720" t="str">
        <f>"20190312164255932"</f>
        <v>20190312164255932</v>
      </c>
      <c r="B1720" t="str">
        <f>"1552380175926453"</f>
        <v>1552380175926453</v>
      </c>
      <c r="C1720" t="s">
        <v>40</v>
      </c>
      <c r="D1720">
        <v>3.990558</v>
      </c>
      <c r="E1720">
        <v>0.50614369999999997</v>
      </c>
      <c r="F1720" t="s">
        <v>46</v>
      </c>
      <c r="G1720">
        <v>-370.38940000000002</v>
      </c>
      <c r="H1720" s="1">
        <v>-1.329547E-6</v>
      </c>
      <c r="I1720">
        <v>284.5727</v>
      </c>
      <c r="J1720">
        <v>-348.72269999999997</v>
      </c>
      <c r="K1720">
        <v>1.109526</v>
      </c>
      <c r="L1720">
        <v>284.4984</v>
      </c>
      <c r="M1720">
        <v>-0.9999188</v>
      </c>
      <c r="N1720">
        <v>0</v>
      </c>
      <c r="O1720">
        <v>7.2519769999999997E-3</v>
      </c>
      <c r="P1720">
        <v>-0.98888799999999999</v>
      </c>
      <c r="Q1720">
        <v>0.14792</v>
      </c>
      <c r="R1720">
        <v>1.4843449999999999E-2</v>
      </c>
      <c r="S1720">
        <v>-3.0564580000000001</v>
      </c>
      <c r="T1720">
        <v>-0.15333829999999901</v>
      </c>
      <c r="U1720">
        <v>1.071167E-2</v>
      </c>
      <c r="V1720">
        <v>7.6803740000000002E-3</v>
      </c>
      <c r="W1720">
        <v>0.158276</v>
      </c>
      <c r="X1720">
        <v>0.98736500000000005</v>
      </c>
      <c r="Y1720">
        <v>-3.7340239999999999E-3</v>
      </c>
      <c r="Z1720">
        <v>-4.5721480000000001E-4</v>
      </c>
      <c r="AA1720">
        <v>0.99999289999999996</v>
      </c>
      <c r="AB1720">
        <v>44</v>
      </c>
      <c r="AC1720">
        <v>-21.666699999999999</v>
      </c>
      <c r="AD1720">
        <v>-1.1095273295469901</v>
      </c>
      <c r="AE1720">
        <v>7.4299999999993802E-2</v>
      </c>
      <c r="AF1720">
        <v>-8.2620334401645207E-2</v>
      </c>
      <c r="AG1720">
        <v>-1.1095273295469901</v>
      </c>
      <c r="AH1720">
        <v>21.610000748271599</v>
      </c>
      <c r="AI1720">
        <v>92.939148320490204</v>
      </c>
      <c r="AJ1720">
        <v>90.219054754026203</v>
      </c>
      <c r="AK1720">
        <v>21.638623092862598</v>
      </c>
      <c r="AL1720">
        <v>80.893156405288593</v>
      </c>
      <c r="AM1720">
        <v>89.554324753155896</v>
      </c>
      <c r="AN1720">
        <v>0.99999996177288897</v>
      </c>
    </row>
    <row r="1721" spans="1:40" x14ac:dyDescent="0.25">
      <c r="A1721" t="str">
        <f>"20190312164255954"</f>
        <v>20190312164255954</v>
      </c>
      <c r="B1721" t="str">
        <f>"1552380175945973"</f>
        <v>1552380175945973</v>
      </c>
      <c r="C1721" t="s">
        <v>40</v>
      </c>
      <c r="D1721">
        <v>3.948588</v>
      </c>
      <c r="E1721">
        <v>0.50632069999999996</v>
      </c>
      <c r="F1721" t="s">
        <v>46</v>
      </c>
      <c r="G1721">
        <v>-378.94959999999998</v>
      </c>
      <c r="H1721" s="1">
        <v>3.2257709999999999E-6</v>
      </c>
      <c r="I1721">
        <v>285.12130000000002</v>
      </c>
      <c r="J1721">
        <v>-349.1515</v>
      </c>
      <c r="K1721">
        <v>1.109523</v>
      </c>
      <c r="L1721">
        <v>284.50150000000002</v>
      </c>
      <c r="M1721">
        <v>-0.9999188</v>
      </c>
      <c r="N1721">
        <v>0</v>
      </c>
      <c r="O1721">
        <v>7.2582469999999998E-3</v>
      </c>
      <c r="P1721">
        <v>-0.9888536</v>
      </c>
      <c r="Q1721">
        <v>0.14805979999999999</v>
      </c>
      <c r="R1721">
        <v>1.571349E-2</v>
      </c>
      <c r="S1721">
        <v>-3.0494690000000002</v>
      </c>
      <c r="T1721">
        <v>-0.1119351</v>
      </c>
      <c r="U1721">
        <v>6.283569E-2</v>
      </c>
      <c r="V1721">
        <v>8.5445620000000003E-3</v>
      </c>
      <c r="W1721">
        <v>0.15840219999999999</v>
      </c>
      <c r="X1721">
        <v>0.98733769999999998</v>
      </c>
      <c r="Y1721">
        <v>1.333934E-2</v>
      </c>
      <c r="Z1721" s="1">
        <v>-2.1602839999999999E-5</v>
      </c>
      <c r="AA1721">
        <v>0.99991099999999999</v>
      </c>
      <c r="AB1721">
        <v>44</v>
      </c>
      <c r="AC1721">
        <v>-29.798099999999899</v>
      </c>
      <c r="AD1721">
        <v>-1.1095197742289999</v>
      </c>
      <c r="AE1721">
        <v>0.61979999999999702</v>
      </c>
      <c r="AF1721">
        <v>0.402931448369513</v>
      </c>
      <c r="AG1721">
        <v>-1.1095197742289999</v>
      </c>
      <c r="AH1721">
        <v>29.760571267257401</v>
      </c>
      <c r="AI1721">
        <v>92.134890290998399</v>
      </c>
      <c r="AJ1721">
        <v>89.224313917062005</v>
      </c>
      <c r="AK1721">
        <v>29.7839720325378</v>
      </c>
      <c r="AL1721">
        <v>80.885833648040602</v>
      </c>
      <c r="AM1721">
        <v>89.504166488305401</v>
      </c>
      <c r="AN1721">
        <v>1.0000000001729501</v>
      </c>
    </row>
    <row r="1722" spans="1:40" x14ac:dyDescent="0.25">
      <c r="A1722" t="str">
        <f>"20190312164255976"</f>
        <v>20190312164255976</v>
      </c>
      <c r="B1722" t="str">
        <f>"1552380175966469"</f>
        <v>1552380175966469</v>
      </c>
      <c r="C1722" t="s">
        <v>40</v>
      </c>
      <c r="D1722">
        <v>3.9561030000000001</v>
      </c>
      <c r="E1722">
        <v>0.50650819999999996</v>
      </c>
      <c r="F1722" t="s">
        <v>46</v>
      </c>
      <c r="G1722">
        <v>-379.16980000000001</v>
      </c>
      <c r="H1722" s="1">
        <v>3.3429140000000002E-6</v>
      </c>
      <c r="I1722">
        <v>285.15640000000002</v>
      </c>
      <c r="J1722">
        <v>-349.58429999999998</v>
      </c>
      <c r="K1722">
        <v>1.109518</v>
      </c>
      <c r="L1722">
        <v>284.50470000000001</v>
      </c>
      <c r="M1722">
        <v>-0.99991909999999895</v>
      </c>
      <c r="N1722">
        <v>0</v>
      </c>
      <c r="O1722">
        <v>7.2643859999999899E-3</v>
      </c>
      <c r="P1722">
        <v>-0.98877660000000001</v>
      </c>
      <c r="Q1722">
        <v>0.14843580000000001</v>
      </c>
      <c r="R1722">
        <v>1.697164E-2</v>
      </c>
      <c r="S1722">
        <v>-3.0495909999999999</v>
      </c>
      <c r="T1722">
        <v>-0.1127174</v>
      </c>
      <c r="U1722">
        <v>6.6528320000000002E-2</v>
      </c>
      <c r="V1722">
        <v>9.7971610000000004E-3</v>
      </c>
      <c r="W1722">
        <v>0.15876609999999999</v>
      </c>
      <c r="X1722">
        <v>0.98726760000000002</v>
      </c>
      <c r="Y1722">
        <v>1.4541709999999999E-2</v>
      </c>
      <c r="Z1722" s="1">
        <v>2.3134629999999999E-7</v>
      </c>
      <c r="AA1722">
        <v>0.99989430000000001</v>
      </c>
      <c r="AB1722">
        <v>44</v>
      </c>
      <c r="AC1722">
        <v>-29.5855</v>
      </c>
      <c r="AD1722">
        <v>-1.1095146570859999</v>
      </c>
      <c r="AE1722">
        <v>0.65170000000000505</v>
      </c>
      <c r="AF1722">
        <v>0.436137508392269</v>
      </c>
      <c r="AG1722">
        <v>-1.1095146570859999</v>
      </c>
      <c r="AH1722">
        <v>29.547917749940702</v>
      </c>
      <c r="AI1722">
        <v>92.150193498256598</v>
      </c>
      <c r="AJ1722">
        <v>89.154355842865797</v>
      </c>
      <c r="AK1722">
        <v>29.571957697416199</v>
      </c>
      <c r="AL1722">
        <v>80.864716359369694</v>
      </c>
      <c r="AM1722">
        <v>89.431443357865007</v>
      </c>
      <c r="AN1722">
        <v>0.99999998644131405</v>
      </c>
    </row>
    <row r="1723" spans="1:40" x14ac:dyDescent="0.25">
      <c r="A1723" t="str">
        <f>"20190312164255998"</f>
        <v>20190312164255998</v>
      </c>
      <c r="B1723" t="str">
        <f>"1552380175985989"</f>
        <v>1552380175985989</v>
      </c>
      <c r="C1723" t="s">
        <v>40</v>
      </c>
      <c r="D1723">
        <v>3.9167619999999999</v>
      </c>
      <c r="E1723">
        <v>0.49897209999999997</v>
      </c>
      <c r="F1723" t="s">
        <v>46</v>
      </c>
      <c r="G1723">
        <v>-379.62729999999999</v>
      </c>
      <c r="H1723" s="1">
        <v>3.586357E-6</v>
      </c>
      <c r="I1723">
        <v>285.21080000000001</v>
      </c>
      <c r="J1723">
        <v>-350.02100000000002</v>
      </c>
      <c r="K1723">
        <v>1.1095200000000001</v>
      </c>
      <c r="L1723">
        <v>284.50790000000001</v>
      </c>
      <c r="M1723">
        <v>-0.99991909999999895</v>
      </c>
      <c r="N1723">
        <v>0</v>
      </c>
      <c r="O1723">
        <v>7.2708109999999899E-3</v>
      </c>
      <c r="P1723">
        <v>-0.98869379999999996</v>
      </c>
      <c r="Q1723">
        <v>0.14885599999999999</v>
      </c>
      <c r="R1723">
        <v>1.8077329999999999E-2</v>
      </c>
      <c r="S1723">
        <v>-3.0497130000000001</v>
      </c>
      <c r="T1723">
        <v>-0.1126288</v>
      </c>
      <c r="U1723">
        <v>7.1685789999999999E-2</v>
      </c>
      <c r="V1723">
        <v>1.089705E-2</v>
      </c>
      <c r="W1723">
        <v>0.15917619999999999</v>
      </c>
      <c r="X1723">
        <v>0.98719009999999996</v>
      </c>
      <c r="Y1723">
        <v>1.6223339999999999E-2</v>
      </c>
      <c r="Z1723" s="1">
        <v>3.1031760000000001E-5</v>
      </c>
      <c r="AA1723">
        <v>0.99986839999999999</v>
      </c>
      <c r="AB1723">
        <v>44</v>
      </c>
      <c r="AC1723">
        <v>-29.606300000000001</v>
      </c>
      <c r="AD1723">
        <v>-1.109516413643</v>
      </c>
      <c r="AE1723">
        <v>0.70289999999999897</v>
      </c>
      <c r="AF1723">
        <v>0.48692441707642897</v>
      </c>
      <c r="AG1723">
        <v>-1.109516413643</v>
      </c>
      <c r="AH1723">
        <v>29.5691239880891</v>
      </c>
      <c r="AI1723">
        <v>92.148599078854701</v>
      </c>
      <c r="AJ1723">
        <v>89.056576966208397</v>
      </c>
      <c r="AK1723">
        <v>29.593938830157001</v>
      </c>
      <c r="AL1723">
        <v>80.840917300764602</v>
      </c>
      <c r="AM1723">
        <v>89.367569004877694</v>
      </c>
      <c r="AN1723">
        <v>1.0000000509415701</v>
      </c>
    </row>
    <row r="1724" spans="1:40" x14ac:dyDescent="0.25">
      <c r="A1724" t="str">
        <f>"20190312164256022"</f>
        <v>20190312164256022</v>
      </c>
      <c r="B1724" t="str">
        <f>"1552380176016245"</f>
        <v>1552380176016245</v>
      </c>
      <c r="C1724" t="s">
        <v>40</v>
      </c>
      <c r="D1724">
        <v>3.880862</v>
      </c>
      <c r="E1724">
        <v>0.49889230000000001</v>
      </c>
      <c r="F1724" t="s">
        <v>46</v>
      </c>
      <c r="G1724">
        <v>-374.00889999999998</v>
      </c>
      <c r="H1724" s="1">
        <v>5.9656199999999899E-7</v>
      </c>
      <c r="I1724">
        <v>284.6087</v>
      </c>
      <c r="J1724">
        <v>-350.47660000000002</v>
      </c>
      <c r="K1724">
        <v>1.109523</v>
      </c>
      <c r="L1724">
        <v>284.51119999999997</v>
      </c>
      <c r="M1724">
        <v>-0.99991909999999895</v>
      </c>
      <c r="N1724">
        <v>0</v>
      </c>
      <c r="O1724">
        <v>7.2780559999999998E-3</v>
      </c>
      <c r="P1724">
        <v>-0.98859540000000001</v>
      </c>
      <c r="Q1724">
        <v>0.14938280000000001</v>
      </c>
      <c r="R1724">
        <v>1.90794E-2</v>
      </c>
      <c r="S1724">
        <v>-3.0553889999999999</v>
      </c>
      <c r="T1724">
        <v>-0.1413218</v>
      </c>
      <c r="U1724">
        <v>1.2847900000000001E-2</v>
      </c>
      <c r="V1724">
        <v>1.1892359999999999E-2</v>
      </c>
      <c r="W1724">
        <v>0.15969539999999999</v>
      </c>
      <c r="X1724">
        <v>0.98709469999999999</v>
      </c>
      <c r="Y1724">
        <v>-3.0624860000000001E-3</v>
      </c>
      <c r="Z1724">
        <v>-4.0725439999999999E-4</v>
      </c>
      <c r="AA1724">
        <v>0.99999519999999997</v>
      </c>
      <c r="AB1724">
        <v>44</v>
      </c>
      <c r="AC1724">
        <v>-23.5322999999999</v>
      </c>
      <c r="AD1724">
        <v>-1.109522403438</v>
      </c>
      <c r="AE1724">
        <v>9.7500000000024997E-2</v>
      </c>
      <c r="AF1724">
        <v>-7.3617648924699894E-2</v>
      </c>
      <c r="AG1724">
        <v>-1.109522403438</v>
      </c>
      <c r="AH1724">
        <v>23.4801902787705</v>
      </c>
      <c r="AI1724">
        <v>92.705403403842297</v>
      </c>
      <c r="AJ1724">
        <v>90.179639377275905</v>
      </c>
      <c r="AK1724">
        <v>23.506505377219199</v>
      </c>
      <c r="AL1724">
        <v>80.810783383715005</v>
      </c>
      <c r="AM1724">
        <v>89.309742954065598</v>
      </c>
      <c r="AN1724">
        <v>0.99999999788780902</v>
      </c>
    </row>
    <row r="1725" spans="1:40" x14ac:dyDescent="0.25">
      <c r="A1725" t="str">
        <f>"20190312164256043"</f>
        <v>20190312164256043</v>
      </c>
      <c r="B1725" t="str">
        <f>"1552380176035764"</f>
        <v>1552380176035764</v>
      </c>
      <c r="C1725" t="s">
        <v>40</v>
      </c>
      <c r="D1725">
        <v>3.815817</v>
      </c>
      <c r="E1725">
        <v>0.49888909999999997</v>
      </c>
      <c r="F1725" t="s">
        <v>46</v>
      </c>
      <c r="G1725">
        <v>-374.99970000000002</v>
      </c>
      <c r="H1725" s="1">
        <v>1.1237999999999999E-6</v>
      </c>
      <c r="I1725">
        <v>284.6354</v>
      </c>
      <c r="J1725">
        <v>-350.90359999999998</v>
      </c>
      <c r="K1725">
        <v>1.1095250000000001</v>
      </c>
      <c r="L1725">
        <v>284.51429999999999</v>
      </c>
      <c r="M1725">
        <v>-0.999919</v>
      </c>
      <c r="N1725">
        <v>0</v>
      </c>
      <c r="O1725">
        <v>7.2844579999999997E-3</v>
      </c>
      <c r="P1725">
        <v>-0.98847090000000004</v>
      </c>
      <c r="Q1725">
        <v>0.150148</v>
      </c>
      <c r="R1725">
        <v>1.951516E-2</v>
      </c>
      <c r="S1725">
        <v>-3.0552060000000001</v>
      </c>
      <c r="T1725">
        <v>-0.13822960000000001</v>
      </c>
      <c r="U1725">
        <v>1.5472410000000001E-2</v>
      </c>
      <c r="V1725">
        <v>1.232286E-2</v>
      </c>
      <c r="W1725">
        <v>0.1604546</v>
      </c>
      <c r="X1725">
        <v>0.98696629999999996</v>
      </c>
      <c r="Y1725">
        <v>-2.21097E-3</v>
      </c>
      <c r="Z1725">
        <v>-3.7941199999999998E-4</v>
      </c>
      <c r="AA1725">
        <v>0.99999749999999998</v>
      </c>
      <c r="AB1725">
        <v>44</v>
      </c>
      <c r="AC1725">
        <v>-24.0961</v>
      </c>
      <c r="AD1725">
        <v>-1.1095238761999999</v>
      </c>
      <c r="AE1725">
        <v>0.121100000000012</v>
      </c>
      <c r="AF1725">
        <v>-5.43246257138204E-2</v>
      </c>
      <c r="AG1725">
        <v>-1.1095238761999999</v>
      </c>
      <c r="AH1725">
        <v>24.045362770074199</v>
      </c>
      <c r="AI1725">
        <v>92.641915356391294</v>
      </c>
      <c r="AJ1725">
        <v>90.129445602923099</v>
      </c>
      <c r="AK1725">
        <v>24.071008810211602</v>
      </c>
      <c r="AL1725">
        <v>80.766716234590703</v>
      </c>
      <c r="AM1725">
        <v>89.284665358532905</v>
      </c>
      <c r="AN1725">
        <v>1.00000000443771</v>
      </c>
    </row>
    <row r="1726" spans="1:40" x14ac:dyDescent="0.25">
      <c r="A1726" t="str">
        <f>"20190312164256067"</f>
        <v>20190312164256067</v>
      </c>
      <c r="B1726" t="str">
        <f>"1552380176056260"</f>
        <v>1552380176056260</v>
      </c>
      <c r="C1726" t="s">
        <v>40</v>
      </c>
      <c r="D1726">
        <v>3.8334190000000001</v>
      </c>
      <c r="E1726">
        <v>0.49885940000000001</v>
      </c>
      <c r="F1726" t="s">
        <v>46</v>
      </c>
      <c r="G1726">
        <v>-376.35270000000003</v>
      </c>
      <c r="H1726" s="1">
        <v>1.843821E-6</v>
      </c>
      <c r="I1726">
        <v>284.65570000000002</v>
      </c>
      <c r="J1726">
        <v>-351.35789999999997</v>
      </c>
      <c r="K1726">
        <v>1.1095200000000001</v>
      </c>
      <c r="L1726">
        <v>284.51760000000002</v>
      </c>
      <c r="M1726">
        <v>-0.99991920000000001</v>
      </c>
      <c r="N1726">
        <v>0</v>
      </c>
      <c r="O1726">
        <v>7.2910340000000001E-3</v>
      </c>
      <c r="P1726">
        <v>-0.98841769999999995</v>
      </c>
      <c r="Q1726">
        <v>0.15054790000000001</v>
      </c>
      <c r="R1726">
        <v>1.9140250000000001E-2</v>
      </c>
      <c r="S1726">
        <v>-3.0549010000000001</v>
      </c>
      <c r="T1726">
        <v>-0.13318669999999999</v>
      </c>
      <c r="U1726">
        <v>1.696777E-2</v>
      </c>
      <c r="V1726">
        <v>1.194213E-2</v>
      </c>
      <c r="W1726">
        <v>0.16085089999999999</v>
      </c>
      <c r="X1726">
        <v>0.98690650000000002</v>
      </c>
      <c r="Y1726">
        <v>-1.728704E-3</v>
      </c>
      <c r="Z1726">
        <v>-3.5539810000000002E-4</v>
      </c>
      <c r="AA1726">
        <v>0.99999850000000001</v>
      </c>
      <c r="AB1726">
        <v>44</v>
      </c>
      <c r="AC1726">
        <v>-24.994800000000001</v>
      </c>
      <c r="AD1726">
        <v>-1.109518156179</v>
      </c>
      <c r="AE1726">
        <v>0.13810000000000799</v>
      </c>
      <c r="AF1726">
        <v>-4.4064663555267197E-2</v>
      </c>
      <c r="AG1726">
        <v>-1.109518156179</v>
      </c>
      <c r="AH1726">
        <v>24.945988729757701</v>
      </c>
      <c r="AI1726">
        <v>92.546651519030405</v>
      </c>
      <c r="AJ1726">
        <v>90.101207318293802</v>
      </c>
      <c r="AK1726">
        <v>24.970689336473299</v>
      </c>
      <c r="AL1726">
        <v>80.743711371056605</v>
      </c>
      <c r="AM1726">
        <v>89.306722314314499</v>
      </c>
      <c r="AN1726">
        <v>1.00000003312099</v>
      </c>
    </row>
    <row r="1727" spans="1:40" x14ac:dyDescent="0.25">
      <c r="A1727" t="str">
        <f>"20190312164256089"</f>
        <v>20190312164256089</v>
      </c>
      <c r="B1727" t="str">
        <f>"1552380176085542"</f>
        <v>1552380176085542</v>
      </c>
      <c r="C1727" t="s">
        <v>40</v>
      </c>
      <c r="D1727">
        <v>3.8114729999999999</v>
      </c>
      <c r="E1727">
        <v>0.49889240000000001</v>
      </c>
      <c r="F1727" t="s">
        <v>46</v>
      </c>
      <c r="G1727">
        <v>-377.31849999999997</v>
      </c>
      <c r="H1727" s="1">
        <v>2.3577369999999999E-6</v>
      </c>
      <c r="I1727">
        <v>284.6481</v>
      </c>
      <c r="J1727">
        <v>-351.79039999999998</v>
      </c>
      <c r="K1727">
        <v>1.109518</v>
      </c>
      <c r="L1727">
        <v>284.52080000000001</v>
      </c>
      <c r="M1727">
        <v>-0.99991909999999895</v>
      </c>
      <c r="N1727">
        <v>0</v>
      </c>
      <c r="O1727">
        <v>7.2968900000000003E-3</v>
      </c>
      <c r="P1727">
        <v>-0.98836259999999998</v>
      </c>
      <c r="Q1727">
        <v>0.1510456</v>
      </c>
      <c r="R1727">
        <v>1.8025039999999999E-2</v>
      </c>
      <c r="S1727">
        <v>-3.0547789999999999</v>
      </c>
      <c r="T1727">
        <v>-0.1305568</v>
      </c>
      <c r="U1727">
        <v>1.5350340000000001E-2</v>
      </c>
      <c r="V1727">
        <v>1.0821549999999999E-2</v>
      </c>
      <c r="W1727">
        <v>0.1613455</v>
      </c>
      <c r="X1727">
        <v>0.98683860000000001</v>
      </c>
      <c r="Y1727">
        <v>-2.2636380000000001E-3</v>
      </c>
      <c r="Z1727">
        <v>-3.6007759999999998E-4</v>
      </c>
      <c r="AA1727">
        <v>0.99999740000000004</v>
      </c>
      <c r="AB1727">
        <v>44</v>
      </c>
      <c r="AC1727">
        <v>-25.528099999999899</v>
      </c>
      <c r="AD1727">
        <v>-1.1095156422629999</v>
      </c>
      <c r="AE1727">
        <v>0.127299999999991</v>
      </c>
      <c r="AF1727">
        <v>-5.8878020591315201E-2</v>
      </c>
      <c r="AG1727">
        <v>-1.1095156422629999</v>
      </c>
      <c r="AH1727">
        <v>25.4802185398989</v>
      </c>
      <c r="AI1727">
        <v>92.493316966870196</v>
      </c>
      <c r="AJ1727">
        <v>90.132395100007002</v>
      </c>
      <c r="AK1727">
        <v>25.504431544787298</v>
      </c>
      <c r="AL1727">
        <v>80.7149970495079</v>
      </c>
      <c r="AM1727">
        <v>89.371726752828096</v>
      </c>
      <c r="AN1727">
        <v>0.99999994938230496</v>
      </c>
    </row>
    <row r="1728" spans="1:40" x14ac:dyDescent="0.25">
      <c r="A1728" t="str">
        <f>"20190312164256110"</f>
        <v>20190312164256110</v>
      </c>
      <c r="B1728" t="str">
        <f>"1552380176106037"</f>
        <v>1552380176106037</v>
      </c>
      <c r="C1728" t="s">
        <v>40</v>
      </c>
      <c r="D1728">
        <v>3.8066019999999998</v>
      </c>
      <c r="E1728">
        <v>0.49912050000000002</v>
      </c>
      <c r="F1728" t="s">
        <v>46</v>
      </c>
      <c r="G1728">
        <v>-378.54599999999999</v>
      </c>
      <c r="H1728" s="1">
        <v>3.0109400000000001E-6</v>
      </c>
      <c r="I1728">
        <v>284.62689999999998</v>
      </c>
      <c r="J1728">
        <v>-352.22669999999999</v>
      </c>
      <c r="K1728">
        <v>1.1095159999999999</v>
      </c>
      <c r="L1728">
        <v>284.524</v>
      </c>
      <c r="M1728">
        <v>-0.99991909999999895</v>
      </c>
      <c r="N1728">
        <v>0</v>
      </c>
      <c r="O1728">
        <v>7.3031540000000001E-3</v>
      </c>
      <c r="P1728">
        <v>-0.9883554</v>
      </c>
      <c r="Q1728">
        <v>0.1511855</v>
      </c>
      <c r="R1728">
        <v>1.7234610000000001E-2</v>
      </c>
      <c r="S1728">
        <v>-3.054443</v>
      </c>
      <c r="T1728">
        <v>-0.12666330000000001</v>
      </c>
      <c r="U1728">
        <v>1.211548E-2</v>
      </c>
      <c r="V1728">
        <v>1.002518E-2</v>
      </c>
      <c r="W1728">
        <v>0.1614844</v>
      </c>
      <c r="X1728">
        <v>0.98682429999999999</v>
      </c>
      <c r="Y1728">
        <v>-3.327984E-3</v>
      </c>
      <c r="Z1728">
        <v>-3.7170660000000001E-4</v>
      </c>
      <c r="AA1728">
        <v>0.99999439999999995</v>
      </c>
      <c r="AB1728">
        <v>44</v>
      </c>
      <c r="AC1728">
        <v>-26.319299999999998</v>
      </c>
      <c r="AD1728">
        <v>-1.10951298906</v>
      </c>
      <c r="AE1728">
        <v>0.102899999999976</v>
      </c>
      <c r="AF1728">
        <v>-8.9168609241710495E-2</v>
      </c>
      <c r="AG1728">
        <v>-1.10951298906</v>
      </c>
      <c r="AH1728">
        <v>26.272660677844598</v>
      </c>
      <c r="AI1728">
        <v>92.418190380339496</v>
      </c>
      <c r="AJ1728">
        <v>90.194459381961096</v>
      </c>
      <c r="AK1728">
        <v>26.2962291822788</v>
      </c>
      <c r="AL1728">
        <v>80.706932992262097</v>
      </c>
      <c r="AM1728">
        <v>89.417950344789602</v>
      </c>
      <c r="AN1728">
        <v>0.99999995737393998</v>
      </c>
    </row>
    <row r="1729" spans="1:40" x14ac:dyDescent="0.25">
      <c r="A1729" t="str">
        <f>"20190312164256133"</f>
        <v>20190312164256133</v>
      </c>
      <c r="B1729" t="str">
        <f>"1552380176125563"</f>
        <v>1552380176125563</v>
      </c>
      <c r="C1729" t="s">
        <v>40</v>
      </c>
      <c r="D1729">
        <v>4.1172139999999997</v>
      </c>
      <c r="E1729">
        <v>0.49915169999999998</v>
      </c>
      <c r="F1729" t="s">
        <v>46</v>
      </c>
      <c r="G1729">
        <v>-379.41340000000002</v>
      </c>
      <c r="H1729" s="1">
        <v>3.4725690000000002E-6</v>
      </c>
      <c r="I1729">
        <v>284.62150000000003</v>
      </c>
      <c r="J1729">
        <v>-352.6721</v>
      </c>
      <c r="K1729">
        <v>1.1095079999999999</v>
      </c>
      <c r="L1729">
        <v>284.52719999999999</v>
      </c>
      <c r="M1729">
        <v>-0.99991909999999895</v>
      </c>
      <c r="N1729">
        <v>0</v>
      </c>
      <c r="O1729">
        <v>7.3093519999999999E-3</v>
      </c>
      <c r="P1729">
        <v>-0.98839849999999996</v>
      </c>
      <c r="Q1729">
        <v>0.15095749999999999</v>
      </c>
      <c r="R1729">
        <v>1.674674E-2</v>
      </c>
      <c r="S1729">
        <v>-3.05423</v>
      </c>
      <c r="T1729">
        <v>-0.1246458</v>
      </c>
      <c r="U1729">
        <v>1.095581E-2</v>
      </c>
      <c r="V1729">
        <v>9.5306950000000005E-3</v>
      </c>
      <c r="W1729">
        <v>0.16125699999999901</v>
      </c>
      <c r="X1729">
        <v>0.98686640000000003</v>
      </c>
      <c r="Y1729">
        <v>-3.713549E-3</v>
      </c>
      <c r="Z1729">
        <v>-3.7393410000000001E-4</v>
      </c>
      <c r="AA1729">
        <v>0.99999300000000002</v>
      </c>
      <c r="AB1729">
        <v>44</v>
      </c>
      <c r="AC1729">
        <v>-26.741299999999999</v>
      </c>
      <c r="AD1729">
        <v>-1.109504527431</v>
      </c>
      <c r="AE1729">
        <v>9.43000000000324E-2</v>
      </c>
      <c r="AF1729">
        <v>-0.101000820461308</v>
      </c>
      <c r="AG1729">
        <v>-1.109504527431</v>
      </c>
      <c r="AH1729">
        <v>26.695320921090399</v>
      </c>
      <c r="AI1729">
        <v>92.379926711198806</v>
      </c>
      <c r="AJ1729">
        <v>90.216775559455897</v>
      </c>
      <c r="AK1729">
        <v>26.718558354487001</v>
      </c>
      <c r="AL1729">
        <v>80.720135226140897</v>
      </c>
      <c r="AM1729">
        <v>89.446681310279303</v>
      </c>
      <c r="AN1729">
        <v>0.99999997282257103</v>
      </c>
    </row>
    <row r="1730" spans="1:40" x14ac:dyDescent="0.25">
      <c r="A1730" t="str">
        <f>"20190312164256154"</f>
        <v>20190312164256154</v>
      </c>
      <c r="B1730" t="str">
        <f>"1552380176146053"</f>
        <v>1552380176146053</v>
      </c>
      <c r="C1730" t="s">
        <v>40</v>
      </c>
      <c r="D1730">
        <v>3.8520120000000002</v>
      </c>
      <c r="E1730">
        <v>0.49908130000000001</v>
      </c>
      <c r="F1730" t="s">
        <v>46</v>
      </c>
      <c r="G1730">
        <v>-379.69670000000002</v>
      </c>
      <c r="H1730" s="1">
        <v>3.6232989999999999E-6</v>
      </c>
      <c r="I1730">
        <v>284.61200000000002</v>
      </c>
      <c r="J1730">
        <v>-353.0933</v>
      </c>
      <c r="K1730">
        <v>1.109507</v>
      </c>
      <c r="L1730">
        <v>284.53030000000001</v>
      </c>
      <c r="M1730">
        <v>-0.99991890000000005</v>
      </c>
      <c r="N1730">
        <v>0</v>
      </c>
      <c r="O1730">
        <v>7.3158989999999998E-3</v>
      </c>
      <c r="P1730">
        <v>-0.98848420000000004</v>
      </c>
      <c r="Q1730">
        <v>0.1503816</v>
      </c>
      <c r="R1730">
        <v>1.687234E-2</v>
      </c>
      <c r="S1730">
        <v>-3.0541990000000001</v>
      </c>
      <c r="T1730">
        <v>-0.12539159999999999</v>
      </c>
      <c r="U1730">
        <v>9.5825200000000006E-3</v>
      </c>
      <c r="V1730">
        <v>9.6491100000000007E-3</v>
      </c>
      <c r="W1730">
        <v>0.160683399999999</v>
      </c>
      <c r="X1730">
        <v>0.98695889999999997</v>
      </c>
      <c r="Y1730">
        <v>-4.1691940000000002E-3</v>
      </c>
      <c r="Z1730">
        <v>-3.8579180000000002E-4</v>
      </c>
      <c r="AA1730">
        <v>0.99999119999999997</v>
      </c>
      <c r="AB1730">
        <v>44</v>
      </c>
      <c r="AC1730">
        <v>-26.603400000000001</v>
      </c>
      <c r="AD1730">
        <v>-1.1095033767010001</v>
      </c>
      <c r="AE1730">
        <v>8.1700000000012096E-2</v>
      </c>
      <c r="AF1730">
        <v>-0.112744451776707</v>
      </c>
      <c r="AG1730">
        <v>-1.1095033767010001</v>
      </c>
      <c r="AH1730">
        <v>26.557094496136699</v>
      </c>
      <c r="AI1730">
        <v>92.3922926746596</v>
      </c>
      <c r="AJ1730">
        <v>90.243239803332997</v>
      </c>
      <c r="AK1730">
        <v>26.580499941330199</v>
      </c>
      <c r="AL1730">
        <v>80.753435194253996</v>
      </c>
      <c r="AM1730">
        <v>89.439859485756898</v>
      </c>
      <c r="AN1730">
        <v>1.00000006532427</v>
      </c>
    </row>
    <row r="1731" spans="1:40" x14ac:dyDescent="0.25">
      <c r="A1731" t="str">
        <f>"20190312164256176"</f>
        <v>20190312164256176</v>
      </c>
      <c r="B1731" t="str">
        <f>"1552380176165574"</f>
        <v>1552380176165574</v>
      </c>
      <c r="C1731" t="s">
        <v>40</v>
      </c>
      <c r="D1731">
        <v>4.0490940000000002</v>
      </c>
      <c r="E1731">
        <v>0.49920219999999998</v>
      </c>
      <c r="F1731" t="s">
        <v>46</v>
      </c>
      <c r="G1731">
        <v>-379.72890000000001</v>
      </c>
      <c r="H1731" s="1">
        <v>3.6404400000000002E-6</v>
      </c>
      <c r="I1731">
        <v>284.61020000000002</v>
      </c>
      <c r="J1731">
        <v>-353.51749999999998</v>
      </c>
      <c r="K1731">
        <v>1.10951</v>
      </c>
      <c r="L1731">
        <v>284.53339999999997</v>
      </c>
      <c r="M1731">
        <v>-0.9999188</v>
      </c>
      <c r="N1731">
        <v>0</v>
      </c>
      <c r="O1731">
        <v>7.322444E-3</v>
      </c>
      <c r="P1731">
        <v>-0.98853400000000002</v>
      </c>
      <c r="Q1731">
        <v>0.14998829999999999</v>
      </c>
      <c r="R1731">
        <v>1.744596E-2</v>
      </c>
      <c r="S1731">
        <v>-3.054138</v>
      </c>
      <c r="T1731">
        <v>-0.12722</v>
      </c>
      <c r="U1731">
        <v>9.1552730000000002E-3</v>
      </c>
      <c r="V1731">
        <v>1.021596E-2</v>
      </c>
      <c r="W1731">
        <v>0.16029270000000001</v>
      </c>
      <c r="X1731">
        <v>0.98701669999999997</v>
      </c>
      <c r="Y1731">
        <v>-4.3151489999999999E-3</v>
      </c>
      <c r="Z1731">
        <v>-3.9473150000000001E-4</v>
      </c>
      <c r="AA1731">
        <v>0.99999059999999995</v>
      </c>
      <c r="AB1731">
        <v>44</v>
      </c>
      <c r="AC1731">
        <v>-26.211400000000001</v>
      </c>
      <c r="AD1731">
        <v>-1.1095063595600001</v>
      </c>
      <c r="AE1731">
        <v>7.6800000000048302E-2</v>
      </c>
      <c r="AF1731">
        <v>-0.11493806805749</v>
      </c>
      <c r="AG1731">
        <v>-1.1095063595600001</v>
      </c>
      <c r="AH1731">
        <v>26.164379791430299</v>
      </c>
      <c r="AI1731">
        <v>92.428162146459201</v>
      </c>
      <c r="AJ1731">
        <v>90.251694246012505</v>
      </c>
      <c r="AK1731">
        <v>26.1881458868626</v>
      </c>
      <c r="AL1731">
        <v>80.776114401495803</v>
      </c>
      <c r="AM1731">
        <v>89.406990286063404</v>
      </c>
      <c r="AN1731">
        <v>1.0000000407954499</v>
      </c>
    </row>
    <row r="1732" spans="1:40" x14ac:dyDescent="0.25">
      <c r="A1732" t="str">
        <f>"20190312164256199"</f>
        <v>20190312164256199</v>
      </c>
      <c r="B1732" t="str">
        <f>"1552380176195829"</f>
        <v>1552380176195829</v>
      </c>
      <c r="C1732" t="s">
        <v>40</v>
      </c>
      <c r="D1732">
        <v>3.8858389999999998</v>
      </c>
      <c r="E1732">
        <v>0.49983680000000003</v>
      </c>
      <c r="F1732" t="s">
        <v>46</v>
      </c>
      <c r="G1732">
        <v>-380.0548</v>
      </c>
      <c r="H1732" s="1">
        <v>-1.5076E-6</v>
      </c>
      <c r="I1732">
        <v>284.64060000000001</v>
      </c>
      <c r="J1732">
        <v>-353.97640000000001</v>
      </c>
      <c r="K1732">
        <v>1.1095060000000001</v>
      </c>
      <c r="L1732">
        <v>284.53680000000003</v>
      </c>
      <c r="M1732">
        <v>-0.9999188</v>
      </c>
      <c r="N1732">
        <v>0</v>
      </c>
      <c r="O1732">
        <v>7.3294629999999996E-3</v>
      </c>
      <c r="P1732">
        <v>-0.98857119999999998</v>
      </c>
      <c r="Q1732">
        <v>0.1497716</v>
      </c>
      <c r="R1732">
        <v>1.7192499999999999E-2</v>
      </c>
      <c r="S1732">
        <v>-3.0539860000000001</v>
      </c>
      <c r="T1732">
        <v>-0.1276854</v>
      </c>
      <c r="U1732">
        <v>1.2329100000000001E-2</v>
      </c>
      <c r="V1732">
        <v>9.9550030000000005E-3</v>
      </c>
      <c r="W1732">
        <v>0.16007859999999999</v>
      </c>
      <c r="X1732">
        <v>0.98705399999999999</v>
      </c>
      <c r="Y1732">
        <v>-3.2836179999999999E-3</v>
      </c>
      <c r="Z1732">
        <v>-3.7493200000000002E-4</v>
      </c>
      <c r="AA1732">
        <v>0.99999450000000001</v>
      </c>
      <c r="AB1732">
        <v>44</v>
      </c>
      <c r="AC1732">
        <v>-26.078399999999899</v>
      </c>
      <c r="AD1732">
        <v>-1.1095075075999901</v>
      </c>
      <c r="AE1732">
        <v>0.10379999999997799</v>
      </c>
      <c r="AF1732">
        <v>-8.7196013499685698E-2</v>
      </c>
      <c r="AG1732">
        <v>-1.1095075075999901</v>
      </c>
      <c r="AH1732">
        <v>26.0313421188795</v>
      </c>
      <c r="AI1732">
        <v>92.440569088803201</v>
      </c>
      <c r="AJ1732">
        <v>90.191920372602794</v>
      </c>
      <c r="AK1732">
        <v>26.0551220024843</v>
      </c>
      <c r="AL1732">
        <v>80.788540871649204</v>
      </c>
      <c r="AM1732">
        <v>89.422158951093493</v>
      </c>
      <c r="AN1732">
        <v>0.99999992958934203</v>
      </c>
    </row>
    <row r="1733" spans="1:40" x14ac:dyDescent="0.25">
      <c r="A1733" t="str">
        <f>"20190312164256223"</f>
        <v>20190312164256223</v>
      </c>
      <c r="B1733" t="str">
        <f>"1552380176216328"</f>
        <v>1552380176216328</v>
      </c>
      <c r="C1733" t="s">
        <v>40</v>
      </c>
      <c r="D1733">
        <v>3.9041929999999998</v>
      </c>
      <c r="E1733">
        <v>0.4996949</v>
      </c>
      <c r="F1733" t="s">
        <v>46</v>
      </c>
      <c r="G1733">
        <v>-380.88819999999998</v>
      </c>
      <c r="H1733" s="1">
        <v>-1.064166E-6</v>
      </c>
      <c r="I1733">
        <v>284.6832</v>
      </c>
      <c r="J1733">
        <v>-354.4314</v>
      </c>
      <c r="K1733">
        <v>1.109502</v>
      </c>
      <c r="L1733">
        <v>284.54020000000003</v>
      </c>
      <c r="M1733">
        <v>-0.99991859999999999</v>
      </c>
      <c r="N1733">
        <v>0</v>
      </c>
      <c r="O1733">
        <v>7.3363609999999996E-3</v>
      </c>
      <c r="P1733">
        <v>-0.98855190000000004</v>
      </c>
      <c r="Q1733">
        <v>0.1498766</v>
      </c>
      <c r="R1733">
        <v>1.7387010000000001E-2</v>
      </c>
      <c r="S1733">
        <v>-3.0534669999999999</v>
      </c>
      <c r="T1733">
        <v>-0.12588740000000001</v>
      </c>
      <c r="U1733">
        <v>1.6601560000000001E-2</v>
      </c>
      <c r="V1733">
        <v>1.0143050000000001E-2</v>
      </c>
      <c r="W1733">
        <v>0.16018679999999999</v>
      </c>
      <c r="X1733">
        <v>0.98703459999999998</v>
      </c>
      <c r="Y1733">
        <v>-1.892084E-3</v>
      </c>
      <c r="Z1733">
        <v>-3.4132980000000003E-4</v>
      </c>
      <c r="AA1733">
        <v>0.99999819999999995</v>
      </c>
      <c r="AB1733">
        <v>44</v>
      </c>
      <c r="AC1733">
        <v>-26.456799999999902</v>
      </c>
      <c r="AD1733">
        <v>-1.109503064166</v>
      </c>
      <c r="AE1733">
        <v>0.14299999999997201</v>
      </c>
      <c r="AF1733">
        <v>-5.1021334136061199E-2</v>
      </c>
      <c r="AG1733">
        <v>-1.109503064166</v>
      </c>
      <c r="AH1733">
        <v>26.410690966029701</v>
      </c>
      <c r="AI1733">
        <v>92.405554930768005</v>
      </c>
      <c r="AJ1733">
        <v>90.110686368572303</v>
      </c>
      <c r="AK1733">
        <v>26.4340348325611</v>
      </c>
      <c r="AL1733">
        <v>80.782261048344694</v>
      </c>
      <c r="AM1733">
        <v>89.411232898351798</v>
      </c>
      <c r="AN1733">
        <v>0.99999999697735098</v>
      </c>
    </row>
    <row r="1734" spans="1:40" x14ac:dyDescent="0.25">
      <c r="A1734" t="str">
        <f>"20190312164256244"</f>
        <v>20190312164256244</v>
      </c>
      <c r="B1734" t="str">
        <f>"1552380176235845"</f>
        <v>1552380176235845</v>
      </c>
      <c r="C1734" t="s">
        <v>40</v>
      </c>
      <c r="D1734">
        <v>3.9196430000000002</v>
      </c>
      <c r="E1734">
        <v>0.49967299999999998</v>
      </c>
      <c r="F1734" t="s">
        <v>46</v>
      </c>
      <c r="G1734">
        <v>-381.15859999999998</v>
      </c>
      <c r="H1734" s="1">
        <v>-9.2023530000000004E-7</v>
      </c>
      <c r="I1734">
        <v>284.67770000000002</v>
      </c>
      <c r="J1734">
        <v>-354.8664</v>
      </c>
      <c r="K1734">
        <v>1.1095079999999999</v>
      </c>
      <c r="L1734">
        <v>284.54329999999999</v>
      </c>
      <c r="M1734">
        <v>-0.99991850000000004</v>
      </c>
      <c r="N1734">
        <v>0</v>
      </c>
      <c r="O1734">
        <v>7.342721E-3</v>
      </c>
      <c r="P1734">
        <v>-0.98858520000000005</v>
      </c>
      <c r="Q1734">
        <v>0.1496451</v>
      </c>
      <c r="R1734">
        <v>1.7483519999999999E-2</v>
      </c>
      <c r="S1734">
        <v>-3.0537109999999998</v>
      </c>
      <c r="T1734">
        <v>-0.12676609999999999</v>
      </c>
      <c r="U1734">
        <v>1.5716549999999999E-2</v>
      </c>
      <c r="V1734">
        <v>1.0233000000000001E-2</v>
      </c>
      <c r="W1734">
        <v>0.1599595</v>
      </c>
      <c r="X1734">
        <v>0.98707060000000002</v>
      </c>
      <c r="Y1734">
        <v>-2.188317E-3</v>
      </c>
      <c r="Z1734">
        <v>-3.50093E-4</v>
      </c>
      <c r="AA1734">
        <v>0.99999760000000004</v>
      </c>
      <c r="AB1734">
        <v>44</v>
      </c>
      <c r="AC1734">
        <v>-26.292199999999902</v>
      </c>
      <c r="AD1734">
        <v>-1.1095089202352999</v>
      </c>
      <c r="AE1734">
        <v>0.134400000000027</v>
      </c>
      <c r="AF1734">
        <v>-5.8566152484073299E-2</v>
      </c>
      <c r="AG1734">
        <v>-1.1095089202352999</v>
      </c>
      <c r="AH1734">
        <v>26.245741650835001</v>
      </c>
      <c r="AI1734">
        <v>92.420666695152804</v>
      </c>
      <c r="AJ1734">
        <v>90.1278526564316</v>
      </c>
      <c r="AK1734">
        <v>26.269248082894901</v>
      </c>
      <c r="AL1734">
        <v>80.795455116507</v>
      </c>
      <c r="AM1734">
        <v>89.406033663105404</v>
      </c>
      <c r="AN1734">
        <v>1.0000000626568</v>
      </c>
    </row>
    <row r="1735" spans="1:40" x14ac:dyDescent="0.25">
      <c r="A1735" t="str">
        <f>"20190312164256268"</f>
        <v>20190312164256268</v>
      </c>
      <c r="B1735" t="str">
        <f>"1552380176256341"</f>
        <v>1552380176256341</v>
      </c>
      <c r="C1735" t="s">
        <v>40</v>
      </c>
      <c r="D1735">
        <v>3.9665889999999999</v>
      </c>
      <c r="E1735">
        <v>0.47174070000000001</v>
      </c>
      <c r="F1735" t="s">
        <v>46</v>
      </c>
      <c r="G1735">
        <v>-381.4042</v>
      </c>
      <c r="H1735" s="1">
        <v>-7.8952349999999898E-7</v>
      </c>
      <c r="I1735">
        <v>284.6807</v>
      </c>
      <c r="J1735">
        <v>-355.31830000000002</v>
      </c>
      <c r="K1735">
        <v>1.109505</v>
      </c>
      <c r="L1735">
        <v>284.54669999999999</v>
      </c>
      <c r="M1735">
        <v>-0.99991850000000004</v>
      </c>
      <c r="N1735">
        <v>0</v>
      </c>
      <c r="O1735">
        <v>7.3488980000000004E-3</v>
      </c>
      <c r="P1735">
        <v>-0.98857640000000002</v>
      </c>
      <c r="Q1735">
        <v>0.1496796</v>
      </c>
      <c r="R1735">
        <v>1.7685719999999999E-2</v>
      </c>
      <c r="S1735">
        <v>-3.0536799999999999</v>
      </c>
      <c r="T1735">
        <v>-0.127669899999999</v>
      </c>
      <c r="U1735">
        <v>1.580811E-2</v>
      </c>
      <c r="V1735">
        <v>1.042905E-2</v>
      </c>
      <c r="W1735">
        <v>0.1599981</v>
      </c>
      <c r="X1735">
        <v>0.9870622</v>
      </c>
      <c r="Y1735">
        <v>-2.1643600000000002E-3</v>
      </c>
      <c r="Z1735">
        <v>-3.5234799999999999E-4</v>
      </c>
      <c r="AA1735">
        <v>0.99999760000000004</v>
      </c>
      <c r="AB1735">
        <v>44</v>
      </c>
      <c r="AC1735">
        <v>-26.085899999999899</v>
      </c>
      <c r="AD1735">
        <v>-1.1095057895235001</v>
      </c>
      <c r="AE1735">
        <v>0.134000000000014</v>
      </c>
      <c r="AF1735">
        <v>-5.7612464269236899E-2</v>
      </c>
      <c r="AG1735">
        <v>-1.1095057895235001</v>
      </c>
      <c r="AH1735">
        <v>26.039075904449099</v>
      </c>
      <c r="AI1735">
        <v>92.439849031918399</v>
      </c>
      <c r="AJ1735">
        <v>90.126768925121993</v>
      </c>
      <c r="AK1735">
        <v>26.0627664734711</v>
      </c>
      <c r="AL1735">
        <v>80.793213800225701</v>
      </c>
      <c r="AM1735">
        <v>89.394649784647498</v>
      </c>
      <c r="AN1735">
        <v>0.99999997187817502</v>
      </c>
    </row>
    <row r="1736" spans="1:40" x14ac:dyDescent="0.25">
      <c r="A1736" t="str">
        <f>"20190312164256290"</f>
        <v>20190312164256290</v>
      </c>
      <c r="B1736" t="str">
        <f>"1552380176285621"</f>
        <v>1552380176285621</v>
      </c>
      <c r="C1736" t="s">
        <v>40</v>
      </c>
      <c r="D1736">
        <v>4.1935669999999998</v>
      </c>
      <c r="E1736">
        <v>0.46822439999999999</v>
      </c>
      <c r="F1736" t="s">
        <v>46</v>
      </c>
      <c r="G1736">
        <v>-385.11110000000002</v>
      </c>
      <c r="H1736" s="1">
        <v>1.183087E-6</v>
      </c>
      <c r="I1736">
        <v>282.53550000000001</v>
      </c>
      <c r="J1736">
        <v>-355.7722</v>
      </c>
      <c r="K1736">
        <v>1.1095010000000001</v>
      </c>
      <c r="L1736">
        <v>284.55</v>
      </c>
      <c r="M1736">
        <v>-0.99991830000000004</v>
      </c>
      <c r="N1736">
        <v>0</v>
      </c>
      <c r="O1736">
        <v>7.3552540000000003E-3</v>
      </c>
      <c r="P1736">
        <v>-0.98860550000000003</v>
      </c>
      <c r="Q1736">
        <v>0.149452</v>
      </c>
      <c r="R1736">
        <v>1.7983389999999998E-2</v>
      </c>
      <c r="S1736">
        <v>-3.055542</v>
      </c>
      <c r="T1736">
        <v>-0.1137903</v>
      </c>
      <c r="U1736">
        <v>-0.20626829999999999</v>
      </c>
      <c r="V1736">
        <v>1.072042E-2</v>
      </c>
      <c r="W1736">
        <v>0.15977549999999999</v>
      </c>
      <c r="X1736">
        <v>0.98709519999999995</v>
      </c>
      <c r="Y1736">
        <v>-7.4633550000000007E-2</v>
      </c>
      <c r="Z1736">
        <v>-1.661179E-3</v>
      </c>
      <c r="AA1736">
        <v>0.99720969999999998</v>
      </c>
      <c r="AB1736">
        <v>44</v>
      </c>
      <c r="AC1736">
        <v>-29.338899999999999</v>
      </c>
      <c r="AD1736">
        <v>-1.1094998169129999</v>
      </c>
      <c r="AE1736">
        <v>-2.0144999999999902</v>
      </c>
      <c r="AF1736">
        <v>-2.2270823482961002</v>
      </c>
      <c r="AG1736">
        <v>-1.1094998169129999</v>
      </c>
      <c r="AH1736">
        <v>29.281609152608699</v>
      </c>
      <c r="AI1736">
        <v>92.163694265192902</v>
      </c>
      <c r="AJ1736">
        <v>94.349392846748898</v>
      </c>
      <c r="AK1736">
        <v>29.387131881079501</v>
      </c>
      <c r="AL1736">
        <v>80.806134648729596</v>
      </c>
      <c r="AM1736">
        <v>89.377759437762705</v>
      </c>
      <c r="AN1736">
        <v>1.0000000358341301</v>
      </c>
    </row>
    <row r="1737" spans="1:40" x14ac:dyDescent="0.25">
      <c r="A1737" t="str">
        <f>"20190312164256312"</f>
        <v>20190312164256312</v>
      </c>
      <c r="B1737" t="str">
        <f>"1552380176306117"</f>
        <v>1552380176306117</v>
      </c>
      <c r="C1737" t="s">
        <v>40</v>
      </c>
      <c r="D1737">
        <v>4.1004189999999996</v>
      </c>
      <c r="E1737">
        <v>0.4677694</v>
      </c>
      <c r="F1737" t="s">
        <v>46</v>
      </c>
      <c r="G1737">
        <v>-384.73320000000001</v>
      </c>
      <c r="H1737" s="1">
        <v>9.8197050000000001E-7</v>
      </c>
      <c r="I1737">
        <v>282.33249999999998</v>
      </c>
      <c r="J1737">
        <v>-356.21890000000002</v>
      </c>
      <c r="K1737">
        <v>1.10949599999999</v>
      </c>
      <c r="L1737">
        <v>284.55329999999998</v>
      </c>
      <c r="M1737">
        <v>-0.99991839999999999</v>
      </c>
      <c r="N1737">
        <v>0</v>
      </c>
      <c r="O1737">
        <v>7.3613100000000002E-3</v>
      </c>
      <c r="P1737">
        <v>-0.98865530000000001</v>
      </c>
      <c r="Q1737">
        <v>0.14910590000000001</v>
      </c>
      <c r="R1737">
        <v>1.8127529999999999E-2</v>
      </c>
      <c r="S1737">
        <v>-3.0565799999999999</v>
      </c>
      <c r="T1737">
        <v>-0.1170979</v>
      </c>
      <c r="U1737">
        <v>-0.23403930000000001</v>
      </c>
      <c r="V1737">
        <v>1.085829E-2</v>
      </c>
      <c r="W1737">
        <v>0.15943460000000001</v>
      </c>
      <c r="X1737">
        <v>0.98714880000000005</v>
      </c>
      <c r="Y1737">
        <v>-8.3617360000000002E-2</v>
      </c>
      <c r="Z1737">
        <v>-1.880301E-3</v>
      </c>
      <c r="AA1737">
        <v>0.9964961</v>
      </c>
      <c r="AB1737">
        <v>44</v>
      </c>
      <c r="AC1737">
        <v>-28.514299999999899</v>
      </c>
      <c r="AD1737">
        <v>-1.10949501802949</v>
      </c>
      <c r="AE1737">
        <v>-2.2207999999999899</v>
      </c>
      <c r="AF1737">
        <v>-2.4270015433033501</v>
      </c>
      <c r="AG1737">
        <v>-1.10949501802949</v>
      </c>
      <c r="AH1737">
        <v>28.454358339422701</v>
      </c>
      <c r="AI1737">
        <v>92.224880885350899</v>
      </c>
      <c r="AJ1737">
        <v>94.875217622609696</v>
      </c>
      <c r="AK1737">
        <v>28.5792201467168</v>
      </c>
      <c r="AL1737">
        <v>80.825920302158494</v>
      </c>
      <c r="AM1737">
        <v>89.369791970159298</v>
      </c>
      <c r="AN1737">
        <v>1.0000000237401601</v>
      </c>
    </row>
    <row r="1738" spans="1:40" x14ac:dyDescent="0.25">
      <c r="A1738" t="str">
        <f>"20190312164256335"</f>
        <v>20190312164256335</v>
      </c>
      <c r="B1738" t="str">
        <f>"1552380176325638"</f>
        <v>1552380176325638</v>
      </c>
      <c r="C1738" t="s">
        <v>40</v>
      </c>
      <c r="D1738">
        <v>4.0212570000000003</v>
      </c>
      <c r="E1738">
        <v>0.46710429999999997</v>
      </c>
      <c r="F1738" t="s">
        <v>46</v>
      </c>
      <c r="G1738">
        <v>-383.3974</v>
      </c>
      <c r="H1738" s="1">
        <v>2.7115990000000001E-7</v>
      </c>
      <c r="I1738">
        <v>282.44290000000001</v>
      </c>
      <c r="J1738">
        <v>-356.65949999999998</v>
      </c>
      <c r="K1738">
        <v>1.1094930000000001</v>
      </c>
      <c r="L1738">
        <v>284.55650000000003</v>
      </c>
      <c r="M1738">
        <v>-0.99991819999999998</v>
      </c>
      <c r="N1738">
        <v>0</v>
      </c>
      <c r="O1738">
        <v>7.36748099999999E-3</v>
      </c>
      <c r="P1738">
        <v>-0.9886182</v>
      </c>
      <c r="Q1738">
        <v>0.1493796</v>
      </c>
      <c r="R1738">
        <v>1.7892160000000001E-2</v>
      </c>
      <c r="S1738">
        <v>-3.0576479999999999</v>
      </c>
      <c r="T1738">
        <v>-0.124820899999999</v>
      </c>
      <c r="U1738">
        <v>-0.23742679999999999</v>
      </c>
      <c r="V1738">
        <v>1.0617089999999999E-2</v>
      </c>
      <c r="W1738">
        <v>0.159713299999999</v>
      </c>
      <c r="X1738">
        <v>0.98710629999999999</v>
      </c>
      <c r="Y1738">
        <v>-8.4684549999999997E-2</v>
      </c>
      <c r="Z1738">
        <v>-2.025425E-3</v>
      </c>
      <c r="AA1738">
        <v>0.99640580000000001</v>
      </c>
      <c r="AB1738">
        <v>44</v>
      </c>
      <c r="AC1738">
        <v>-26.7379</v>
      </c>
      <c r="AD1738">
        <v>-1.1094927288401</v>
      </c>
      <c r="AE1738">
        <v>-2.1136000000000101</v>
      </c>
      <c r="AF1738">
        <v>-2.3065974256370199</v>
      </c>
      <c r="AG1738">
        <v>-1.1094927288401</v>
      </c>
      <c r="AH1738">
        <v>26.6759548325083</v>
      </c>
      <c r="AI1738">
        <v>92.372800682961397</v>
      </c>
      <c r="AJ1738">
        <v>94.941918798500296</v>
      </c>
      <c r="AK1738">
        <v>26.798468837329601</v>
      </c>
      <c r="AL1738">
        <v>80.809744049028595</v>
      </c>
      <c r="AM1738">
        <v>89.383763439266602</v>
      </c>
      <c r="AN1738">
        <v>0.99999995414832299</v>
      </c>
    </row>
    <row r="1739" spans="1:40" x14ac:dyDescent="0.25">
      <c r="A1739" t="str">
        <f>"20190312164256355"</f>
        <v>20190312164256355</v>
      </c>
      <c r="B1739" t="str">
        <f>"1552380176346134"</f>
        <v>1552380176346134</v>
      </c>
      <c r="C1739" t="s">
        <v>40</v>
      </c>
      <c r="D1739">
        <v>4.2678430000000001</v>
      </c>
      <c r="E1739">
        <v>0.46699190000000002</v>
      </c>
      <c r="F1739" t="s">
        <v>46</v>
      </c>
      <c r="G1739">
        <v>-384.11</v>
      </c>
      <c r="H1739" s="1">
        <v>6.5031940000000001E-7</v>
      </c>
      <c r="I1739">
        <v>282.3741</v>
      </c>
      <c r="J1739">
        <v>-357.07260000000002</v>
      </c>
      <c r="K1739">
        <v>1.1094980000000001</v>
      </c>
      <c r="L1739">
        <v>284.55959999999999</v>
      </c>
      <c r="M1739">
        <v>-0.99991819999999998</v>
      </c>
      <c r="N1739">
        <v>0</v>
      </c>
      <c r="O1739">
        <v>7.3734739999999997E-3</v>
      </c>
      <c r="P1739">
        <v>-0.98865440000000004</v>
      </c>
      <c r="Q1739">
        <v>0.1491227</v>
      </c>
      <c r="R1739">
        <v>1.803022E-2</v>
      </c>
      <c r="S1739">
        <v>-3.0576479999999999</v>
      </c>
      <c r="T1739">
        <v>-0.12358429999999999</v>
      </c>
      <c r="U1739">
        <v>-0.24310300000000001</v>
      </c>
      <c r="V1739">
        <v>1.0748829999999999E-2</v>
      </c>
      <c r="W1739">
        <v>0.15946150000000001</v>
      </c>
      <c r="X1739">
        <v>0.98714559999999996</v>
      </c>
      <c r="Y1739">
        <v>-8.6528770000000005E-2</v>
      </c>
      <c r="Z1739">
        <v>-2.0426670000000002E-3</v>
      </c>
      <c r="AA1739">
        <v>0.9962472</v>
      </c>
      <c r="AB1739">
        <v>44</v>
      </c>
      <c r="AC1739">
        <v>-27.037399999999899</v>
      </c>
      <c r="AD1739">
        <v>-1.10949734968059</v>
      </c>
      <c r="AE1739">
        <v>-2.18549999999999</v>
      </c>
      <c r="AF1739">
        <v>-2.3808279263784899</v>
      </c>
      <c r="AG1739">
        <v>-1.10949734968059</v>
      </c>
      <c r="AH1739">
        <v>26.9754196110305</v>
      </c>
      <c r="AI1739">
        <v>92.346134544706601</v>
      </c>
      <c r="AJ1739">
        <v>95.043808024147296</v>
      </c>
      <c r="AK1739">
        <v>27.102999634268201</v>
      </c>
      <c r="AL1739">
        <v>80.824358588036404</v>
      </c>
      <c r="AM1739">
        <v>89.376142429926006</v>
      </c>
      <c r="AN1739">
        <v>0.999999971463989</v>
      </c>
    </row>
    <row r="1740" spans="1:40" x14ac:dyDescent="0.25">
      <c r="A1740" t="str">
        <f>"20190312164256378"</f>
        <v>20190312164256378</v>
      </c>
      <c r="B1740" t="str">
        <f>"1552380176365653"</f>
        <v>1552380176365653</v>
      </c>
      <c r="C1740" t="s">
        <v>40</v>
      </c>
      <c r="D1740">
        <v>4.0557980000000002</v>
      </c>
      <c r="E1740">
        <v>0.46667130000000001</v>
      </c>
      <c r="F1740" t="s">
        <v>46</v>
      </c>
      <c r="G1740">
        <v>-384.03449999999998</v>
      </c>
      <c r="H1740" s="1">
        <v>6.1014099999999996E-7</v>
      </c>
      <c r="I1740">
        <v>282.4051</v>
      </c>
      <c r="J1740">
        <v>-357.52080000000001</v>
      </c>
      <c r="K1740">
        <v>1.1095010000000001</v>
      </c>
      <c r="L1740">
        <v>284.56290000000001</v>
      </c>
      <c r="M1740">
        <v>-0.99991799999999997</v>
      </c>
      <c r="N1740">
        <v>0</v>
      </c>
      <c r="O1740">
        <v>7.3801780000000003E-3</v>
      </c>
      <c r="P1740">
        <v>-0.98873</v>
      </c>
      <c r="Q1740">
        <v>0.1486519</v>
      </c>
      <c r="R1740">
        <v>1.7772380000000001E-2</v>
      </c>
      <c r="S1740">
        <v>-3.0578609999999999</v>
      </c>
      <c r="T1740">
        <v>-0.12583279999999999</v>
      </c>
      <c r="U1740">
        <v>-0.24435419999999999</v>
      </c>
      <c r="V1740">
        <v>1.048383E-2</v>
      </c>
      <c r="W1740">
        <v>0.15899679999999999</v>
      </c>
      <c r="X1740">
        <v>0.98722339999999997</v>
      </c>
      <c r="Y1740">
        <v>-8.6931880000000003E-2</v>
      </c>
      <c r="Z1740">
        <v>-2.0881760000000002E-3</v>
      </c>
      <c r="AA1740">
        <v>0.99621210000000004</v>
      </c>
      <c r="AB1740">
        <v>44</v>
      </c>
      <c r="AC1740">
        <v>-26.513699999999901</v>
      </c>
      <c r="AD1740">
        <v>-1.1095003898589999</v>
      </c>
      <c r="AE1740">
        <v>-2.1577999999999999</v>
      </c>
      <c r="AF1740">
        <v>-2.3493408775788902</v>
      </c>
      <c r="AG1740">
        <v>-1.1095003898589999</v>
      </c>
      <c r="AH1740">
        <v>26.451038035139899</v>
      </c>
      <c r="AI1740">
        <v>92.392481351296993</v>
      </c>
      <c r="AJ1740">
        <v>95.075605080323797</v>
      </c>
      <c r="AK1740">
        <v>26.578333409199701</v>
      </c>
      <c r="AL1740">
        <v>80.851327984904202</v>
      </c>
      <c r="AM1740">
        <v>89.391569696054503</v>
      </c>
      <c r="AN1740">
        <v>0.99999996730463303</v>
      </c>
    </row>
    <row r="1741" spans="1:40" x14ac:dyDescent="0.25">
      <c r="A1741" t="str">
        <f>"20190312164256401"</f>
        <v>20190312164256401</v>
      </c>
      <c r="B1741" t="str">
        <f>"1552380176395910"</f>
        <v>1552380176395910</v>
      </c>
      <c r="C1741" t="s">
        <v>40</v>
      </c>
      <c r="D1741">
        <v>4.2978690000000004</v>
      </c>
      <c r="E1741">
        <v>0.46648099999999998</v>
      </c>
      <c r="F1741" t="s">
        <v>46</v>
      </c>
      <c r="G1741">
        <v>-383.78359999999998</v>
      </c>
      <c r="H1741" s="1">
        <v>4.7667580000000002E-7</v>
      </c>
      <c r="I1741">
        <v>282.4348</v>
      </c>
      <c r="J1741">
        <v>-357.97989999999999</v>
      </c>
      <c r="K1741">
        <v>1.1095010000000001</v>
      </c>
      <c r="L1741">
        <v>284.56630000000001</v>
      </c>
      <c r="M1741">
        <v>-0.99991790000000003</v>
      </c>
      <c r="N1741">
        <v>0</v>
      </c>
      <c r="O1741">
        <v>7.3868809999999997E-3</v>
      </c>
      <c r="P1741">
        <v>-0.98873409999999995</v>
      </c>
      <c r="Q1741">
        <v>0.14865390000000001</v>
      </c>
      <c r="R1741">
        <v>1.7529929999999999E-2</v>
      </c>
      <c r="S1741">
        <v>-3.0581049999999999</v>
      </c>
      <c r="T1741">
        <v>-0.12919269999999999</v>
      </c>
      <c r="U1741">
        <v>-0.24780269999999999</v>
      </c>
      <c r="V1741">
        <v>1.0234719999999999E-2</v>
      </c>
      <c r="W1741">
        <v>0.159004799999999</v>
      </c>
      <c r="X1741">
        <v>0.98722480000000001</v>
      </c>
      <c r="Y1741">
        <v>-8.8043099999999999E-2</v>
      </c>
      <c r="Z1741">
        <v>-2.167324E-3</v>
      </c>
      <c r="AA1741">
        <v>0.99611430000000001</v>
      </c>
      <c r="AB1741">
        <v>44</v>
      </c>
      <c r="AC1741">
        <v>-25.8036999999999</v>
      </c>
      <c r="AD1741">
        <v>-1.1095005233241999</v>
      </c>
      <c r="AE1741">
        <v>-2.1315000000000102</v>
      </c>
      <c r="AF1741">
        <v>-2.3178050218401198</v>
      </c>
      <c r="AG1741">
        <v>-1.1095005233241999</v>
      </c>
      <c r="AH1741">
        <v>25.739984222008399</v>
      </c>
      <c r="AI1741">
        <v>92.458225106947594</v>
      </c>
      <c r="AJ1741">
        <v>95.145428441955701</v>
      </c>
      <c r="AK1741">
        <v>25.867933803838401</v>
      </c>
      <c r="AL1741">
        <v>80.850864390819595</v>
      </c>
      <c r="AM1741">
        <v>89.4060266179998</v>
      </c>
      <c r="AN1741">
        <v>1.0000000408257701</v>
      </c>
    </row>
    <row r="1742" spans="1:40" x14ac:dyDescent="0.25">
      <c r="A1742" t="str">
        <f>"20190312164256423"</f>
        <v>20190312164256423</v>
      </c>
      <c r="B1742" t="str">
        <f>"1552380176415434"</f>
        <v>1552380176415434</v>
      </c>
      <c r="C1742" t="s">
        <v>40</v>
      </c>
      <c r="D1742">
        <v>4.1261239999999999</v>
      </c>
      <c r="E1742">
        <v>0.4663062</v>
      </c>
      <c r="F1742" t="s">
        <v>46</v>
      </c>
      <c r="G1742">
        <v>-383.62169999999998</v>
      </c>
      <c r="H1742" s="1">
        <v>3.9049120000000001E-7</v>
      </c>
      <c r="I1742">
        <v>282.47140000000002</v>
      </c>
      <c r="J1742">
        <v>-358.4128</v>
      </c>
      <c r="K1742">
        <v>1.109499</v>
      </c>
      <c r="L1742">
        <v>284.56950000000001</v>
      </c>
      <c r="M1742">
        <v>-0.99991770000000002</v>
      </c>
      <c r="N1742">
        <v>0</v>
      </c>
      <c r="O1742">
        <v>7.3934069999999899E-3</v>
      </c>
      <c r="P1742">
        <v>-0.98877680000000001</v>
      </c>
      <c r="Q1742">
        <v>0.14836920000000001</v>
      </c>
      <c r="R1742">
        <v>1.7520850000000001E-2</v>
      </c>
      <c r="S1742">
        <v>-3.0584720000000001</v>
      </c>
      <c r="T1742">
        <v>-0.13233800000000001</v>
      </c>
      <c r="U1742">
        <v>-0.24987789999999999</v>
      </c>
      <c r="V1742">
        <v>1.021874E-2</v>
      </c>
      <c r="W1742">
        <v>0.15872610000000001</v>
      </c>
      <c r="X1742">
        <v>0.98726979999999998</v>
      </c>
      <c r="Y1742">
        <v>-8.8706649999999998E-2</v>
      </c>
      <c r="Z1742">
        <v>-2.234322E-3</v>
      </c>
      <c r="AA1742">
        <v>0.99605529999999998</v>
      </c>
      <c r="AB1742">
        <v>45</v>
      </c>
      <c r="AC1742">
        <v>-25.2088999999999</v>
      </c>
      <c r="AD1742">
        <v>-1.1094986095088</v>
      </c>
      <c r="AE1742">
        <v>-2.0980999999999801</v>
      </c>
      <c r="AF1742">
        <v>-2.2800463220354001</v>
      </c>
      <c r="AG1742">
        <v>-1.1094986095088</v>
      </c>
      <c r="AH1742">
        <v>25.144326664315301</v>
      </c>
      <c r="AI1742">
        <v>92.516238762037901</v>
      </c>
      <c r="AJ1742">
        <v>95.181317125786705</v>
      </c>
      <c r="AK1742">
        <v>25.271857110171499</v>
      </c>
      <c r="AL1742">
        <v>80.867038005854795</v>
      </c>
      <c r="AM1742">
        <v>89.406980982461803</v>
      </c>
      <c r="AN1742">
        <v>1.0000000277302099</v>
      </c>
    </row>
    <row r="1743" spans="1:40" x14ac:dyDescent="0.25">
      <c r="A1743" t="str">
        <f>"20190312164256445"</f>
        <v>20190312164256445</v>
      </c>
      <c r="B1743" t="str">
        <f>"1552380176435925"</f>
        <v>1552380176435925</v>
      </c>
      <c r="C1743" t="s">
        <v>40</v>
      </c>
      <c r="D1743">
        <v>4.1102749999999997</v>
      </c>
      <c r="E1743">
        <v>0.46607009999999999</v>
      </c>
      <c r="F1743" t="s">
        <v>46</v>
      </c>
      <c r="G1743">
        <v>-383.43459999999999</v>
      </c>
      <c r="H1743" s="1">
        <v>2.9092299999999999E-7</v>
      </c>
      <c r="I1743">
        <v>282.50749999999999</v>
      </c>
      <c r="J1743">
        <v>-358.85930000000002</v>
      </c>
      <c r="K1743">
        <v>1.109488</v>
      </c>
      <c r="L1743">
        <v>284.57279999999997</v>
      </c>
      <c r="M1743">
        <v>-0.99991770000000002</v>
      </c>
      <c r="N1743">
        <v>0</v>
      </c>
      <c r="O1743">
        <v>7.3998709999999997E-3</v>
      </c>
      <c r="P1743">
        <v>-0.98885970000000001</v>
      </c>
      <c r="Q1743">
        <v>0.14784919999999999</v>
      </c>
      <c r="R1743">
        <v>1.7244180000000001E-2</v>
      </c>
      <c r="S1743">
        <v>-3.0588679999999999</v>
      </c>
      <c r="T1743">
        <v>-0.13563430000000001</v>
      </c>
      <c r="U1743">
        <v>-0.2520752</v>
      </c>
      <c r="V1743">
        <v>9.9350229999999994E-3</v>
      </c>
      <c r="W1743">
        <v>0.1582134</v>
      </c>
      <c r="X1743">
        <v>0.98735490000000004</v>
      </c>
      <c r="Y1743">
        <v>-8.9408130000000002E-2</v>
      </c>
      <c r="Z1743">
        <v>-2.3053629999999999E-3</v>
      </c>
      <c r="AA1743">
        <v>0.9959924</v>
      </c>
      <c r="AB1743">
        <v>45</v>
      </c>
      <c r="AC1743">
        <v>-24.575299999999899</v>
      </c>
      <c r="AD1743">
        <v>-1.1094877090769999</v>
      </c>
      <c r="AE1743">
        <v>-2.0652999999999802</v>
      </c>
      <c r="AF1743">
        <v>-2.2425687311168101</v>
      </c>
      <c r="AG1743">
        <v>-1.1094877090769999</v>
      </c>
      <c r="AH1743">
        <v>24.5097378130307</v>
      </c>
      <c r="AI1743">
        <v>92.581084463290196</v>
      </c>
      <c r="AJ1743">
        <v>95.227838637430196</v>
      </c>
      <c r="AK1743">
        <v>24.637112760099999</v>
      </c>
      <c r="AL1743">
        <v>80.896788705500697</v>
      </c>
      <c r="AM1743">
        <v>89.423494351498803</v>
      </c>
      <c r="AN1743">
        <v>0.99999994158778804</v>
      </c>
    </row>
    <row r="1744" spans="1:40" x14ac:dyDescent="0.25">
      <c r="A1744" t="str">
        <f>"20190312164256469"</f>
        <v>20190312164256469</v>
      </c>
      <c r="B1744" t="str">
        <f>"1552380176466181"</f>
        <v>1552380176466181</v>
      </c>
      <c r="C1744" t="s">
        <v>40</v>
      </c>
      <c r="D1744">
        <v>4.4193040000000003</v>
      </c>
      <c r="E1744">
        <v>0.46603800000000001</v>
      </c>
      <c r="F1744" t="s">
        <v>46</v>
      </c>
      <c r="G1744">
        <v>-383.14150000000001</v>
      </c>
      <c r="H1744" s="1">
        <v>1.3498950000000001E-7</v>
      </c>
      <c r="I1744">
        <v>282.548</v>
      </c>
      <c r="J1744">
        <v>-359.31189999999998</v>
      </c>
      <c r="K1744">
        <v>1.1094839999999999</v>
      </c>
      <c r="L1744">
        <v>284.57619999999997</v>
      </c>
      <c r="M1744">
        <v>-0.99991770000000002</v>
      </c>
      <c r="N1744">
        <v>0</v>
      </c>
      <c r="O1744">
        <v>7.4062769999999898E-3</v>
      </c>
      <c r="P1744">
        <v>-0.98888240000000005</v>
      </c>
      <c r="Q1744">
        <v>0.14772089999999999</v>
      </c>
      <c r="R1744">
        <v>1.7043010000000001E-2</v>
      </c>
      <c r="S1744">
        <v>-3.0591740000000001</v>
      </c>
      <c r="T1744">
        <v>-0.13977790000000001</v>
      </c>
      <c r="U1744">
        <v>-0.2550964</v>
      </c>
      <c r="V1744">
        <v>9.7274219999999995E-3</v>
      </c>
      <c r="W1744">
        <v>0.1580915</v>
      </c>
      <c r="X1744">
        <v>0.98737660000000005</v>
      </c>
      <c r="Y1744">
        <v>-9.0376410000000004E-2</v>
      </c>
      <c r="Z1744">
        <v>-2.3977500000000001E-3</v>
      </c>
      <c r="AA1744">
        <v>0.99590480000000003</v>
      </c>
      <c r="AB1744">
        <v>45</v>
      </c>
      <c r="AC1744">
        <v>-23.829599999999999</v>
      </c>
      <c r="AD1744">
        <v>-1.1094838650104999</v>
      </c>
      <c r="AE1744">
        <v>-2.0281999999999698</v>
      </c>
      <c r="AF1744">
        <v>-2.1999081247713002</v>
      </c>
      <c r="AG1744">
        <v>-1.1094838650104999</v>
      </c>
      <c r="AH1744">
        <v>23.762782909873099</v>
      </c>
      <c r="AI1744">
        <v>92.661831440608907</v>
      </c>
      <c r="AJ1744">
        <v>95.289245544070795</v>
      </c>
      <c r="AK1744">
        <v>23.8901737504337</v>
      </c>
      <c r="AL1744">
        <v>80.903863055086802</v>
      </c>
      <c r="AM1744">
        <v>89.435552558353294</v>
      </c>
      <c r="AN1744">
        <v>1.0000000476692801</v>
      </c>
    </row>
    <row r="1745" spans="1:40" x14ac:dyDescent="0.25">
      <c r="A1745" t="str">
        <f>"20190312164256491"</f>
        <v>20190312164256491</v>
      </c>
      <c r="B1745" t="str">
        <f>"1552380176485701"</f>
        <v>1552380176485701</v>
      </c>
      <c r="C1745" t="s">
        <v>40</v>
      </c>
      <c r="D1745">
        <v>4.3250310000000001</v>
      </c>
      <c r="E1745">
        <v>0.46610239999999997</v>
      </c>
      <c r="F1745" t="s">
        <v>46</v>
      </c>
      <c r="G1745">
        <v>-383.32409999999999</v>
      </c>
      <c r="H1745" s="1">
        <v>2.3214399999999999E-7</v>
      </c>
      <c r="I1745">
        <v>282.56880000000001</v>
      </c>
      <c r="J1745">
        <v>-359.76420000000002</v>
      </c>
      <c r="K1745">
        <v>1.1094820000000001</v>
      </c>
      <c r="L1745">
        <v>284.5795</v>
      </c>
      <c r="M1745">
        <v>-0.99991739999999996</v>
      </c>
      <c r="N1745">
        <v>0</v>
      </c>
      <c r="O1745">
        <v>7.4126219999999998E-3</v>
      </c>
      <c r="P1745">
        <v>-0.98890029999999995</v>
      </c>
      <c r="Q1745">
        <v>0.1476316</v>
      </c>
      <c r="R1745">
        <v>1.677095E-2</v>
      </c>
      <c r="S1745">
        <v>-3.0592350000000001</v>
      </c>
      <c r="T1745">
        <v>-0.14135159999999999</v>
      </c>
      <c r="U1745">
        <v>-0.2557373</v>
      </c>
      <c r="V1745">
        <v>9.4489759999999996E-3</v>
      </c>
      <c r="W1745">
        <v>0.15800810000000001</v>
      </c>
      <c r="X1745">
        <v>0.98739259999999995</v>
      </c>
      <c r="Y1745">
        <v>-9.0585769999999996E-2</v>
      </c>
      <c r="Z1745">
        <v>-2.4297659999999999E-3</v>
      </c>
      <c r="AA1745">
        <v>0.99588569999999998</v>
      </c>
      <c r="AB1745">
        <v>45</v>
      </c>
      <c r="AC1745">
        <v>-23.559899999999899</v>
      </c>
      <c r="AD1745">
        <v>-1.1094817678560001</v>
      </c>
      <c r="AE1745">
        <v>-2.0106999999999799</v>
      </c>
      <c r="AF1745">
        <v>-2.1804944002656801</v>
      </c>
      <c r="AG1745">
        <v>-1.1094817678560001</v>
      </c>
      <c r="AH1745">
        <v>23.492625513585399</v>
      </c>
      <c r="AI1745">
        <v>92.6923328855694</v>
      </c>
      <c r="AJ1745">
        <v>95.302779378584503</v>
      </c>
      <c r="AK1745">
        <v>23.6196731379661</v>
      </c>
      <c r="AL1745">
        <v>80.908701861359404</v>
      </c>
      <c r="AM1745">
        <v>89.451717665172794</v>
      </c>
      <c r="AN1745">
        <v>0.99999999467390899</v>
      </c>
    </row>
    <row r="1746" spans="1:40" x14ac:dyDescent="0.25">
      <c r="A1746" t="str">
        <f>"20190312164256514"</f>
        <v>20190312164256514</v>
      </c>
      <c r="B1746" t="str">
        <f>"1552380176506197"</f>
        <v>1552380176506197</v>
      </c>
      <c r="C1746" t="s">
        <v>40</v>
      </c>
      <c r="D1746">
        <v>4.1589419999999997</v>
      </c>
      <c r="E1746">
        <v>0.46606229999999998</v>
      </c>
      <c r="F1746" t="s">
        <v>46</v>
      </c>
      <c r="G1746">
        <v>-383.54939999999999</v>
      </c>
      <c r="H1746" s="1">
        <v>3.5201090000000002E-7</v>
      </c>
      <c r="I1746">
        <v>282.58890000000002</v>
      </c>
      <c r="J1746">
        <v>-360.23340000000002</v>
      </c>
      <c r="K1746">
        <v>1.10948</v>
      </c>
      <c r="L1746">
        <v>284.58300000000003</v>
      </c>
      <c r="M1746">
        <v>-0.99991730000000001</v>
      </c>
      <c r="N1746">
        <v>0</v>
      </c>
      <c r="O1746">
        <v>7.4191429999999996E-3</v>
      </c>
      <c r="P1746">
        <v>-0.98895319999999998</v>
      </c>
      <c r="Q1746">
        <v>0.14730170000000001</v>
      </c>
      <c r="R1746">
        <v>1.6551799999999998E-2</v>
      </c>
      <c r="S1746">
        <v>-3.0592959999999998</v>
      </c>
      <c r="T1746">
        <v>-0.14270379999999999</v>
      </c>
      <c r="U1746">
        <v>-0.25604250000000001</v>
      </c>
      <c r="V1746">
        <v>9.223017E-3</v>
      </c>
      <c r="W1746">
        <v>0.1576861</v>
      </c>
      <c r="X1746">
        <v>0.98744620000000005</v>
      </c>
      <c r="Y1746">
        <v>-9.0687180000000006E-2</v>
      </c>
      <c r="Z1746">
        <v>-2.4555890000000002E-3</v>
      </c>
      <c r="AA1746">
        <v>0.99587639999999999</v>
      </c>
      <c r="AB1746">
        <v>45</v>
      </c>
      <c r="AC1746">
        <v>-23.315999999999899</v>
      </c>
      <c r="AD1746">
        <v>-1.1094796479891</v>
      </c>
      <c r="AE1746">
        <v>-1.99409999999994</v>
      </c>
      <c r="AF1746">
        <v>-2.1621791613476802</v>
      </c>
      <c r="AG1746">
        <v>-1.1094796479891</v>
      </c>
      <c r="AH1746">
        <v>23.248304411316301</v>
      </c>
      <c r="AI1746">
        <v>92.720532727059094</v>
      </c>
      <c r="AJ1746">
        <v>95.313436848704001</v>
      </c>
      <c r="AK1746">
        <v>23.374978541515201</v>
      </c>
      <c r="AL1746">
        <v>80.927385229254497</v>
      </c>
      <c r="AM1746">
        <v>89.464857343999995</v>
      </c>
      <c r="AN1746">
        <v>0.99999998403511603</v>
      </c>
    </row>
    <row r="1747" spans="1:40" x14ac:dyDescent="0.25">
      <c r="A1747" t="str">
        <f>"20190312164256534"</f>
        <v>20190312164256534</v>
      </c>
      <c r="B1747" t="str">
        <f>"1552380176525717"</f>
        <v>1552380176525717</v>
      </c>
      <c r="C1747" t="s">
        <v>40</v>
      </c>
      <c r="D1747">
        <v>4.1591529999999999</v>
      </c>
      <c r="E1747">
        <v>0.46601090000000001</v>
      </c>
      <c r="F1747" t="s">
        <v>46</v>
      </c>
      <c r="G1747">
        <v>-383.78289999999998</v>
      </c>
      <c r="H1747" s="1">
        <v>4.7625930000000001E-7</v>
      </c>
      <c r="I1747">
        <v>282.60480000000001</v>
      </c>
      <c r="J1747">
        <v>-360.63959999999997</v>
      </c>
      <c r="K1747">
        <v>1.109475</v>
      </c>
      <c r="L1747">
        <v>284.58600000000001</v>
      </c>
      <c r="M1747">
        <v>-0.9999171</v>
      </c>
      <c r="N1747">
        <v>0</v>
      </c>
      <c r="O1747">
        <v>7.4244619999999997E-3</v>
      </c>
      <c r="P1747">
        <v>-0.98899519999999996</v>
      </c>
      <c r="Q1747">
        <v>0.147034</v>
      </c>
      <c r="R1747">
        <v>1.642395E-2</v>
      </c>
      <c r="S1747">
        <v>-3.059326</v>
      </c>
      <c r="T1747">
        <v>-0.14413319999999999</v>
      </c>
      <c r="U1747">
        <v>-0.25698850000000001</v>
      </c>
      <c r="V1747">
        <v>9.0895909999999993E-3</v>
      </c>
      <c r="W1747">
        <v>0.1574266</v>
      </c>
      <c r="X1747">
        <v>0.9874889</v>
      </c>
      <c r="Y1747">
        <v>-9.0994950000000005E-2</v>
      </c>
      <c r="Z1747">
        <v>-2.487586E-3</v>
      </c>
      <c r="AA1747">
        <v>0.99584819999999996</v>
      </c>
      <c r="AB1747">
        <v>45</v>
      </c>
      <c r="AC1747">
        <v>-23.1433</v>
      </c>
      <c r="AD1747">
        <v>-1.1094745237407</v>
      </c>
      <c r="AE1747">
        <v>-1.9812000000000001</v>
      </c>
      <c r="AF1747">
        <v>-2.1480806867419902</v>
      </c>
      <c r="AG1747">
        <v>-1.1094745237407</v>
      </c>
      <c r="AH1747">
        <v>23.075306491611499</v>
      </c>
      <c r="AI1747">
        <v>92.740863428276697</v>
      </c>
      <c r="AJ1747">
        <v>95.318337997010502</v>
      </c>
      <c r="AK1747">
        <v>23.201615332502001</v>
      </c>
      <c r="AL1747">
        <v>80.942442061034598</v>
      </c>
      <c r="AM1747">
        <v>89.472621419851393</v>
      </c>
      <c r="AN1747">
        <v>1.00000004133765</v>
      </c>
    </row>
    <row r="1748" spans="1:40" x14ac:dyDescent="0.25">
      <c r="A1748" t="str">
        <f>"20190312164256556"</f>
        <v>20190312164256556</v>
      </c>
      <c r="B1748" t="str">
        <f>"1552380176546214"</f>
        <v>1552380176546214</v>
      </c>
      <c r="C1748" t="s">
        <v>40</v>
      </c>
      <c r="D1748">
        <v>4.1676159999999998</v>
      </c>
      <c r="E1748">
        <v>0.46598250000000002</v>
      </c>
      <c r="F1748" t="s">
        <v>46</v>
      </c>
      <c r="G1748">
        <v>-383.95780000000002</v>
      </c>
      <c r="H1748" s="1">
        <v>5.6935260000000001E-7</v>
      </c>
      <c r="I1748">
        <v>282.6182</v>
      </c>
      <c r="J1748">
        <v>-361.0847</v>
      </c>
      <c r="K1748">
        <v>1.1094759999999999</v>
      </c>
      <c r="L1748">
        <v>284.58929999999998</v>
      </c>
      <c r="M1748">
        <v>-0.9999171</v>
      </c>
      <c r="N1748">
        <v>0</v>
      </c>
      <c r="O1748">
        <v>7.428919E-3</v>
      </c>
      <c r="P1748">
        <v>-0.9889848</v>
      </c>
      <c r="Q1748">
        <v>0.1471267</v>
      </c>
      <c r="R1748">
        <v>1.6232770000000001E-2</v>
      </c>
      <c r="S1748">
        <v>-3.0592959999999998</v>
      </c>
      <c r="T1748">
        <v>-0.14556089999999999</v>
      </c>
      <c r="U1748">
        <v>-0.25817869999999998</v>
      </c>
      <c r="V1748">
        <v>8.8938819999999901E-3</v>
      </c>
      <c r="W1748">
        <v>0.15753120000000001</v>
      </c>
      <c r="X1748">
        <v>0.98747399999999996</v>
      </c>
      <c r="Y1748">
        <v>-9.1382329999999998E-2</v>
      </c>
      <c r="Z1748">
        <v>-2.521588E-3</v>
      </c>
      <c r="AA1748">
        <v>0.9958127</v>
      </c>
      <c r="AB1748">
        <v>45</v>
      </c>
      <c r="AC1748">
        <v>-22.873100000000001</v>
      </c>
      <c r="AD1748">
        <v>-1.1094754306474</v>
      </c>
      <c r="AE1748">
        <v>-1.9710999999999701</v>
      </c>
      <c r="AF1748">
        <v>-2.13598889439755</v>
      </c>
      <c r="AG1748">
        <v>-1.1094754306474</v>
      </c>
      <c r="AH1748">
        <v>22.804565692405902</v>
      </c>
      <c r="AI1748">
        <v>92.773207944336605</v>
      </c>
      <c r="AJ1748">
        <v>95.350995423611494</v>
      </c>
      <c r="AK1748">
        <v>22.9312363536609</v>
      </c>
      <c r="AL1748">
        <v>80.936373188976006</v>
      </c>
      <c r="AM1748">
        <v>89.483968060370103</v>
      </c>
      <c r="AN1748">
        <v>1.0000000403932301</v>
      </c>
    </row>
    <row r="1749" spans="1:40" x14ac:dyDescent="0.25">
      <c r="A1749" t="str">
        <f>"20190312164256579"</f>
        <v>20190312164256579</v>
      </c>
      <c r="B1749" t="str">
        <f>"1552380176575493"</f>
        <v>1552380176575493</v>
      </c>
      <c r="C1749" t="s">
        <v>40</v>
      </c>
      <c r="D1749">
        <v>4.1487150000000002</v>
      </c>
      <c r="E1749">
        <v>0.46577180000000001</v>
      </c>
      <c r="F1749" t="s">
        <v>46</v>
      </c>
      <c r="G1749">
        <v>-384.41199999999998</v>
      </c>
      <c r="H1749" s="1">
        <v>8.1107939999999997E-7</v>
      </c>
      <c r="I1749">
        <v>282.61439999999999</v>
      </c>
      <c r="J1749">
        <v>-361.53440000000001</v>
      </c>
      <c r="K1749">
        <v>1.1094850000000001</v>
      </c>
      <c r="L1749">
        <v>284.59269999999998</v>
      </c>
      <c r="M1749">
        <v>-0.99991680000000005</v>
      </c>
      <c r="N1749">
        <v>0</v>
      </c>
      <c r="O1749">
        <v>7.4328199999999997E-3</v>
      </c>
      <c r="P1749">
        <v>-0.98896600000000001</v>
      </c>
      <c r="Q1749">
        <v>0.14724499999999999</v>
      </c>
      <c r="R1749">
        <v>1.6282459999999999E-2</v>
      </c>
      <c r="S1749">
        <v>-3.0592959999999998</v>
      </c>
      <c r="T1749">
        <v>-0.14550379999999999</v>
      </c>
      <c r="U1749">
        <v>-0.25900269999999997</v>
      </c>
      <c r="V1749">
        <v>8.939097E-3</v>
      </c>
      <c r="W1749">
        <v>0.15766350000000001</v>
      </c>
      <c r="X1749">
        <v>0.98745240000000001</v>
      </c>
      <c r="Y1749">
        <v>-9.1652289999999997E-2</v>
      </c>
      <c r="Z1749">
        <v>-2.5271619999999999E-3</v>
      </c>
      <c r="AA1749">
        <v>0.99578789999999995</v>
      </c>
      <c r="AB1749">
        <v>45</v>
      </c>
      <c r="AC1749">
        <v>-22.877599999999902</v>
      </c>
      <c r="AD1749">
        <v>-1.1094841889206</v>
      </c>
      <c r="AE1749">
        <v>-1.97829999999999</v>
      </c>
      <c r="AF1749">
        <v>-2.1432964456739501</v>
      </c>
      <c r="AG1749">
        <v>-1.1094841889206</v>
      </c>
      <c r="AH1749">
        <v>22.809016128408601</v>
      </c>
      <c r="AI1749">
        <v>92.772611765217306</v>
      </c>
      <c r="AJ1749">
        <v>95.368153705865694</v>
      </c>
      <c r="AK1749">
        <v>22.9363443374376</v>
      </c>
      <c r="AL1749">
        <v>80.928696337747098</v>
      </c>
      <c r="AM1749">
        <v>89.4813334390535</v>
      </c>
      <c r="AN1749">
        <v>0.99999996447659201</v>
      </c>
    </row>
    <row r="1750" spans="1:40" x14ac:dyDescent="0.25">
      <c r="A1750" t="str">
        <f>"20190312164256602"</f>
        <v>20190312164256602</v>
      </c>
      <c r="B1750" t="str">
        <f>"1552380176595989"</f>
        <v>1552380176595989</v>
      </c>
      <c r="C1750" t="s">
        <v>40</v>
      </c>
      <c r="D1750">
        <v>4.3536219999999997</v>
      </c>
      <c r="E1750">
        <v>0.46562409999999999</v>
      </c>
      <c r="F1750" t="s">
        <v>46</v>
      </c>
      <c r="G1750">
        <v>-384.745</v>
      </c>
      <c r="H1750" s="1">
        <v>9.8827899999999998E-7</v>
      </c>
      <c r="I1750">
        <v>282.61619999999999</v>
      </c>
      <c r="J1750">
        <v>-362.00459999999998</v>
      </c>
      <c r="K1750">
        <v>1.1094869999999999</v>
      </c>
      <c r="L1750">
        <v>284.59620000000001</v>
      </c>
      <c r="M1750">
        <v>-0.99991660000000004</v>
      </c>
      <c r="N1750">
        <v>0</v>
      </c>
      <c r="O1750">
        <v>7.4361180000000002E-3</v>
      </c>
      <c r="P1750">
        <v>-0.98889899999999997</v>
      </c>
      <c r="Q1750">
        <v>0.14770829999999999</v>
      </c>
      <c r="R1750">
        <v>1.6165240000000001E-2</v>
      </c>
      <c r="S1750">
        <v>-3.0595400000000001</v>
      </c>
      <c r="T1750">
        <v>-0.14624819999999999</v>
      </c>
      <c r="U1750">
        <v>-0.2605286</v>
      </c>
      <c r="V1750">
        <v>8.8187309999999998E-3</v>
      </c>
      <c r="W1750">
        <v>0.1581409</v>
      </c>
      <c r="X1750">
        <v>0.98737719999999995</v>
      </c>
      <c r="Y1750">
        <v>-9.2140269999999996E-2</v>
      </c>
      <c r="Z1750">
        <v>-2.5516139999999998E-3</v>
      </c>
      <c r="AA1750">
        <v>0.99574269999999998</v>
      </c>
      <c r="AB1750">
        <v>45</v>
      </c>
      <c r="AC1750">
        <v>-22.740400000000001</v>
      </c>
      <c r="AD1750">
        <v>-1.1094860117209999</v>
      </c>
      <c r="AE1750">
        <v>-1.98000000000001</v>
      </c>
      <c r="AF1750">
        <v>-2.1439898509837598</v>
      </c>
      <c r="AG1750">
        <v>-1.1094860117209999</v>
      </c>
      <c r="AH1750">
        <v>22.671486016434802</v>
      </c>
      <c r="AI1750">
        <v>92.789252828782097</v>
      </c>
      <c r="AJ1750">
        <v>95.402262980914699</v>
      </c>
      <c r="AK1750">
        <v>22.799647582467699</v>
      </c>
      <c r="AL1750">
        <v>80.900996373984398</v>
      </c>
      <c r="AM1750">
        <v>89.488278003466803</v>
      </c>
      <c r="AN1750">
        <v>1.00000002467455</v>
      </c>
    </row>
    <row r="1751" spans="1:40" x14ac:dyDescent="0.25">
      <c r="A1751" t="str">
        <f>"20190312164256624"</f>
        <v>20190312164256624</v>
      </c>
      <c r="B1751" t="str">
        <f>"1552380176616486"</f>
        <v>1552380176616486</v>
      </c>
      <c r="C1751" t="s">
        <v>40</v>
      </c>
      <c r="D1751">
        <v>4.2733059999999998</v>
      </c>
      <c r="E1751">
        <v>0.46556259999999999</v>
      </c>
      <c r="F1751" t="s">
        <v>46</v>
      </c>
      <c r="G1751">
        <v>-385.2568</v>
      </c>
      <c r="H1751" s="1">
        <v>1.260612E-6</v>
      </c>
      <c r="I1751">
        <v>282.60570000000001</v>
      </c>
      <c r="J1751">
        <v>-362.44</v>
      </c>
      <c r="K1751">
        <v>1.1094889999999999</v>
      </c>
      <c r="L1751">
        <v>284.59949999999998</v>
      </c>
      <c r="M1751">
        <v>-0.99991660000000004</v>
      </c>
      <c r="N1751">
        <v>0</v>
      </c>
      <c r="O1751">
        <v>7.4377030000000004E-3</v>
      </c>
      <c r="P1751">
        <v>-0.9888806</v>
      </c>
      <c r="Q1751">
        <v>0.14777579999999901</v>
      </c>
      <c r="R1751">
        <v>1.6665719999999998E-2</v>
      </c>
      <c r="S1751">
        <v>-3.0597840000000001</v>
      </c>
      <c r="T1751">
        <v>-0.1459985</v>
      </c>
      <c r="U1751">
        <v>-0.26193240000000001</v>
      </c>
      <c r="V1751">
        <v>9.317367E-3</v>
      </c>
      <c r="W1751">
        <v>0.15822139999999901</v>
      </c>
      <c r="X1751">
        <v>0.98735969999999995</v>
      </c>
      <c r="Y1751">
        <v>-9.258856E-2</v>
      </c>
      <c r="Z1751">
        <v>-2.5577550000000001E-3</v>
      </c>
      <c r="AA1751">
        <v>0.99570119999999895</v>
      </c>
      <c r="AB1751">
        <v>45</v>
      </c>
      <c r="AC1751">
        <v>-22.816800000000001</v>
      </c>
      <c r="AD1751">
        <v>-1.109487739388</v>
      </c>
      <c r="AE1751">
        <v>-1.99379999999996</v>
      </c>
      <c r="AF1751">
        <v>-2.1583940818612501</v>
      </c>
      <c r="AG1751">
        <v>-1.109487739388</v>
      </c>
      <c r="AH1751">
        <v>22.747959208209799</v>
      </c>
      <c r="AI1751">
        <v>92.779812926816305</v>
      </c>
      <c r="AJ1751">
        <v>95.420167450898106</v>
      </c>
      <c r="AK1751">
        <v>22.877046929069401</v>
      </c>
      <c r="AL1751">
        <v>80.896325037291106</v>
      </c>
      <c r="AM1751">
        <v>89.459335883633301</v>
      </c>
      <c r="AN1751">
        <v>1.0000000009649299</v>
      </c>
    </row>
    <row r="1752" spans="1:40" x14ac:dyDescent="0.25">
      <c r="A1752" t="str">
        <f>"20190312164256646"</f>
        <v>20190312164256646</v>
      </c>
      <c r="B1752" t="str">
        <f>"1552380176636016"</f>
        <v>1552380176636016</v>
      </c>
      <c r="C1752" t="s">
        <v>40</v>
      </c>
      <c r="D1752">
        <v>4.1220869999999996</v>
      </c>
      <c r="E1752">
        <v>0.46542620000000001</v>
      </c>
      <c r="F1752" t="s">
        <v>46</v>
      </c>
      <c r="G1752">
        <v>-385.75189999999998</v>
      </c>
      <c r="H1752" s="1">
        <v>1.5240580000000001E-6</v>
      </c>
      <c r="I1752">
        <v>282.60680000000002</v>
      </c>
      <c r="J1752">
        <v>-362.87419999999997</v>
      </c>
      <c r="K1752">
        <v>1.1094999999999999</v>
      </c>
      <c r="L1752">
        <v>284.60270000000003</v>
      </c>
      <c r="M1752">
        <v>-0.99991629999999998</v>
      </c>
      <c r="N1752">
        <v>0</v>
      </c>
      <c r="O1752">
        <v>7.4389360000000002E-3</v>
      </c>
      <c r="P1752">
        <v>-0.98885040000000002</v>
      </c>
      <c r="Q1752">
        <v>0.1479762</v>
      </c>
      <c r="R1752">
        <v>1.666815E-2</v>
      </c>
      <c r="S1752">
        <v>-3.0599370000000001</v>
      </c>
      <c r="T1752">
        <v>-0.1456325</v>
      </c>
      <c r="U1752">
        <v>-0.26156620000000003</v>
      </c>
      <c r="V1752">
        <v>9.3183869999999992E-3</v>
      </c>
      <c r="W1752">
        <v>0.15843470000000001</v>
      </c>
      <c r="X1752">
        <v>0.98732549999999997</v>
      </c>
      <c r="Y1752">
        <v>-9.246799E-2</v>
      </c>
      <c r="Z1752">
        <v>-2.5484330000000001E-3</v>
      </c>
      <c r="AA1752">
        <v>0.99571240000000005</v>
      </c>
      <c r="AB1752">
        <v>45</v>
      </c>
      <c r="AC1752">
        <v>-22.877700000000001</v>
      </c>
      <c r="AD1752">
        <v>-1.1094984759419999</v>
      </c>
      <c r="AE1752">
        <v>-1.9959</v>
      </c>
      <c r="AF1752">
        <v>-2.16099588145905</v>
      </c>
      <c r="AG1752">
        <v>-1.1094984759419999</v>
      </c>
      <c r="AH1752">
        <v>22.8089782865509</v>
      </c>
      <c r="AI1752">
        <v>92.772451069456295</v>
      </c>
      <c r="AJ1752">
        <v>95.412230913923494</v>
      </c>
      <c r="AK1752">
        <v>22.937968099728199</v>
      </c>
      <c r="AL1752">
        <v>80.883947853618693</v>
      </c>
      <c r="AM1752">
        <v>89.459257970011606</v>
      </c>
      <c r="AN1752">
        <v>1.0000000147253101</v>
      </c>
    </row>
    <row r="1753" spans="1:40" x14ac:dyDescent="0.25">
      <c r="A1753" t="str">
        <f>"20190312164256670"</f>
        <v>20190312164256670</v>
      </c>
      <c r="B1753" t="str">
        <f>"1552380176666263"</f>
        <v>1552380176666263</v>
      </c>
      <c r="C1753" t="s">
        <v>40</v>
      </c>
      <c r="D1753">
        <v>4.130897</v>
      </c>
      <c r="E1753">
        <v>0.4652348</v>
      </c>
      <c r="F1753" t="s">
        <v>46</v>
      </c>
      <c r="G1753">
        <v>-386.25839999999999</v>
      </c>
      <c r="H1753" s="1">
        <v>1.793629E-6</v>
      </c>
      <c r="I1753">
        <v>282.59269999999998</v>
      </c>
      <c r="J1753">
        <v>-363.33479999999997</v>
      </c>
      <c r="K1753">
        <v>1.1095060000000001</v>
      </c>
      <c r="L1753">
        <v>284.60610000000003</v>
      </c>
      <c r="M1753">
        <v>-0.99991629999999998</v>
      </c>
      <c r="N1753">
        <v>0</v>
      </c>
      <c r="O1753">
        <v>7.4390389999999997E-3</v>
      </c>
      <c r="P1753">
        <v>-0.98883430000000005</v>
      </c>
      <c r="Q1753">
        <v>0.148098799999999</v>
      </c>
      <c r="R1753">
        <v>1.655067E-2</v>
      </c>
      <c r="S1753">
        <v>-3.0599980000000002</v>
      </c>
      <c r="T1753">
        <v>-0.1451858</v>
      </c>
      <c r="U1753">
        <v>-0.26303100000000001</v>
      </c>
      <c r="V1753">
        <v>9.2008220000000009E-3</v>
      </c>
      <c r="W1753">
        <v>0.15856979999999901</v>
      </c>
      <c r="X1753">
        <v>0.98730490000000004</v>
      </c>
      <c r="Y1753">
        <v>-9.2939759999999996E-2</v>
      </c>
      <c r="Z1753">
        <v>-2.5516940000000002E-3</v>
      </c>
      <c r="AA1753">
        <v>0.99566849999999996</v>
      </c>
      <c r="AB1753">
        <v>45</v>
      </c>
      <c r="AC1753">
        <v>-22.9236</v>
      </c>
      <c r="AD1753">
        <v>-1.1095042063709999</v>
      </c>
      <c r="AE1753">
        <v>-2.0134000000000398</v>
      </c>
      <c r="AF1753">
        <v>-2.1788184337924501</v>
      </c>
      <c r="AG1753">
        <v>-1.1095042063709999</v>
      </c>
      <c r="AH1753">
        <v>22.854857819042401</v>
      </c>
      <c r="AI1753">
        <v>92.766755075665799</v>
      </c>
      <c r="AJ1753">
        <v>95.445711488951503</v>
      </c>
      <c r="AK1753">
        <v>22.9852730086034</v>
      </c>
      <c r="AL1753">
        <v>80.876107962880894</v>
      </c>
      <c r="AM1753">
        <v>89.466068679900303</v>
      </c>
      <c r="AN1753">
        <v>1.0000000010807599</v>
      </c>
    </row>
    <row r="1754" spans="1:40" x14ac:dyDescent="0.25">
      <c r="A1754" t="str">
        <f>"20190312164256692"</f>
        <v>20190312164256692</v>
      </c>
      <c r="B1754" t="str">
        <f>"1552380176685776"</f>
        <v>1552380176685776</v>
      </c>
      <c r="C1754" t="s">
        <v>40</v>
      </c>
      <c r="D1754">
        <v>4.1670579999999999</v>
      </c>
      <c r="E1754">
        <v>0.46519329999999998</v>
      </c>
      <c r="F1754" t="s">
        <v>46</v>
      </c>
      <c r="G1754">
        <v>-386.62049999999999</v>
      </c>
      <c r="H1754" s="1">
        <v>1.9863220000000001E-6</v>
      </c>
      <c r="I1754">
        <v>282.59190000000001</v>
      </c>
      <c r="J1754">
        <v>-363.79430000000002</v>
      </c>
      <c r="K1754">
        <v>1.1095079999999999</v>
      </c>
      <c r="L1754">
        <v>284.60950000000003</v>
      </c>
      <c r="M1754">
        <v>-0.99991609999999997</v>
      </c>
      <c r="N1754">
        <v>0</v>
      </c>
      <c r="O1754">
        <v>7.4387809999999898E-3</v>
      </c>
      <c r="P1754">
        <v>-0.98881540000000001</v>
      </c>
      <c r="Q1754">
        <v>0.1481817</v>
      </c>
      <c r="R1754">
        <v>1.6930629999999999E-2</v>
      </c>
      <c r="S1754">
        <v>-3.0601500000000001</v>
      </c>
      <c r="T1754">
        <v>-0.14580799999999999</v>
      </c>
      <c r="U1754">
        <v>-0.26470949999999999</v>
      </c>
      <c r="V1754">
        <v>9.5811579999999993E-3</v>
      </c>
      <c r="W1754">
        <v>0.1586668</v>
      </c>
      <c r="X1754">
        <v>0.98728570000000004</v>
      </c>
      <c r="Y1754">
        <v>-9.347577E-2</v>
      </c>
      <c r="Z1754">
        <v>-2.5751559999999999E-3</v>
      </c>
      <c r="AA1754">
        <v>0.99561820000000001</v>
      </c>
      <c r="AB1754">
        <v>45</v>
      </c>
      <c r="AC1754">
        <v>-22.826199999999901</v>
      </c>
      <c r="AD1754">
        <v>-1.1095060136779999</v>
      </c>
      <c r="AE1754">
        <v>-2.0176000000000101</v>
      </c>
      <c r="AF1754">
        <v>-2.1822370146714398</v>
      </c>
      <c r="AG1754">
        <v>-1.1095060136779999</v>
      </c>
      <c r="AH1754">
        <v>22.757209432341899</v>
      </c>
      <c r="AI1754">
        <v>92.778465831470598</v>
      </c>
      <c r="AJ1754">
        <v>95.477465650005399</v>
      </c>
      <c r="AK1754">
        <v>22.888506791183701</v>
      </c>
      <c r="AL1754">
        <v>80.870479024679398</v>
      </c>
      <c r="AM1754">
        <v>89.443988012920201</v>
      </c>
      <c r="AN1754">
        <v>1.0000000027176701</v>
      </c>
    </row>
    <row r="1755" spans="1:40" x14ac:dyDescent="0.25">
      <c r="A1755" t="str">
        <f>"20190312164256715"</f>
        <v>20190312164256715</v>
      </c>
      <c r="B1755" t="str">
        <f>"1552380176706272"</f>
        <v>1552380176706272</v>
      </c>
      <c r="C1755" t="s">
        <v>40</v>
      </c>
      <c r="D1755">
        <v>4.1582569999999999</v>
      </c>
      <c r="E1755">
        <v>0.45459270000000002</v>
      </c>
      <c r="F1755" t="s">
        <v>46</v>
      </c>
      <c r="G1755">
        <v>-387.12049999999999</v>
      </c>
      <c r="H1755" s="1">
        <v>2.252369E-6</v>
      </c>
      <c r="I1755">
        <v>282.5942</v>
      </c>
      <c r="J1755">
        <v>-364.24630000000002</v>
      </c>
      <c r="K1755">
        <v>1.109499</v>
      </c>
      <c r="L1755">
        <v>284.61290000000002</v>
      </c>
      <c r="M1755">
        <v>-0.99991589999999997</v>
      </c>
      <c r="N1755">
        <v>0</v>
      </c>
      <c r="O1755">
        <v>7.4382110000000001E-3</v>
      </c>
      <c r="P1755">
        <v>-0.98884930000000004</v>
      </c>
      <c r="Q1755">
        <v>0.147894</v>
      </c>
      <c r="R1755">
        <v>1.745971E-2</v>
      </c>
      <c r="S1755">
        <v>-3.0602719999999999</v>
      </c>
      <c r="T1755">
        <v>-0.1455612</v>
      </c>
      <c r="U1755">
        <v>-0.26440429999999998</v>
      </c>
      <c r="V1755">
        <v>1.011038E-2</v>
      </c>
      <c r="W1755">
        <v>0.1583966</v>
      </c>
      <c r="X1755">
        <v>0.98732379999999997</v>
      </c>
      <c r="Y1755">
        <v>-9.3373769999999995E-2</v>
      </c>
      <c r="Z1755">
        <v>-2.5682639999999998E-3</v>
      </c>
      <c r="AA1755">
        <v>0.99562779999999995</v>
      </c>
      <c r="AB1755">
        <v>45</v>
      </c>
      <c r="AC1755">
        <v>-22.874199999999899</v>
      </c>
      <c r="AD1755">
        <v>-1.109496747631</v>
      </c>
      <c r="AE1755">
        <v>-2.0187000000000199</v>
      </c>
      <c r="AF1755">
        <v>-2.1836990671795502</v>
      </c>
      <c r="AG1755">
        <v>-1.109496747631</v>
      </c>
      <c r="AH1755">
        <v>22.8053121447888</v>
      </c>
      <c r="AI1755">
        <v>92.772627627218995</v>
      </c>
      <c r="AJ1755">
        <v>95.469622095720993</v>
      </c>
      <c r="AK1755">
        <v>22.9364728471981</v>
      </c>
      <c r="AL1755">
        <v>80.886158553551297</v>
      </c>
      <c r="AM1755">
        <v>89.413301030085407</v>
      </c>
      <c r="AN1755">
        <v>0.99999999436087195</v>
      </c>
    </row>
    <row r="1756" spans="1:40" x14ac:dyDescent="0.25">
      <c r="A1756" t="str">
        <f>"20190312164256736"</f>
        <v>20190312164256736</v>
      </c>
      <c r="B1756" t="str">
        <f>"1552380176725792"</f>
        <v>1552380176725792</v>
      </c>
      <c r="C1756" t="s">
        <v>40</v>
      </c>
      <c r="D1756">
        <v>4.131246</v>
      </c>
      <c r="E1756">
        <v>0.4547408</v>
      </c>
      <c r="F1756" t="s">
        <v>46</v>
      </c>
      <c r="G1756">
        <v>-386.2921</v>
      </c>
      <c r="H1756" s="1">
        <v>1.8115539999999999E-6</v>
      </c>
      <c r="I1756">
        <v>282.10570000000001</v>
      </c>
      <c r="J1756">
        <v>-364.67520000000002</v>
      </c>
      <c r="K1756">
        <v>1.1094980000000001</v>
      </c>
      <c r="L1756">
        <v>284.61610000000002</v>
      </c>
      <c r="M1756">
        <v>-0.99991580000000002</v>
      </c>
      <c r="N1756">
        <v>0</v>
      </c>
      <c r="O1756">
        <v>7.43763699999999E-3</v>
      </c>
      <c r="P1756">
        <v>-0.98881260000000004</v>
      </c>
      <c r="Q1756">
        <v>0.14812890000000001</v>
      </c>
      <c r="R1756">
        <v>1.7544000000000001E-2</v>
      </c>
      <c r="S1756">
        <v>-3.0630190000000002</v>
      </c>
      <c r="T1756">
        <v>-0.15415229999999999</v>
      </c>
      <c r="U1756">
        <v>-0.34835820000000001</v>
      </c>
      <c r="V1756">
        <v>1.019541E-2</v>
      </c>
      <c r="W1756">
        <v>0.15864839999999999</v>
      </c>
      <c r="X1756">
        <v>0.98728249999999995</v>
      </c>
      <c r="Y1756">
        <v>-0.12022960000000001</v>
      </c>
      <c r="Z1756">
        <v>-3.3867179999999999E-3</v>
      </c>
      <c r="AA1756">
        <v>0.99274030000000002</v>
      </c>
      <c r="AB1756">
        <v>45</v>
      </c>
      <c r="AC1756">
        <v>-21.616899999999902</v>
      </c>
      <c r="AD1756">
        <v>-1.109496188446</v>
      </c>
      <c r="AE1756">
        <v>-2.5104000000000002</v>
      </c>
      <c r="AF1756">
        <v>-2.6641934161371399</v>
      </c>
      <c r="AG1756">
        <v>-1.109496188446</v>
      </c>
      <c r="AH1756">
        <v>21.541637573078098</v>
      </c>
      <c r="AI1756">
        <v>92.926143451767899</v>
      </c>
      <c r="AJ1756">
        <v>97.050337474566106</v>
      </c>
      <c r="AK1756">
        <v>21.734098961783801</v>
      </c>
      <c r="AL1756">
        <v>80.871546748345295</v>
      </c>
      <c r="AM1756">
        <v>89.408342394701606</v>
      </c>
      <c r="AN1756">
        <v>0.99999999800693895</v>
      </c>
    </row>
    <row r="1757" spans="1:40" x14ac:dyDescent="0.25">
      <c r="A1757" t="str">
        <f>"20190312164256758"</f>
        <v>20190312164256758</v>
      </c>
      <c r="B1757" t="str">
        <f>"1552380176756048"</f>
        <v>1552380176756048</v>
      </c>
      <c r="C1757" t="s">
        <v>40</v>
      </c>
      <c r="D1757">
        <v>4.3903119999999998</v>
      </c>
      <c r="E1757">
        <v>0.45462849999999999</v>
      </c>
      <c r="F1757" t="s">
        <v>46</v>
      </c>
      <c r="G1757">
        <v>-386.78129999999999</v>
      </c>
      <c r="H1757" s="1">
        <v>2.0718740000000001E-6</v>
      </c>
      <c r="I1757">
        <v>282.10890000000001</v>
      </c>
      <c r="J1757">
        <v>-365.1293</v>
      </c>
      <c r="K1757">
        <v>1.1094999999999999</v>
      </c>
      <c r="L1757">
        <v>284.61950000000002</v>
      </c>
      <c r="M1757">
        <v>-0.99991549999999996</v>
      </c>
      <c r="N1757">
        <v>0</v>
      </c>
      <c r="O1757">
        <v>7.4371740000000004E-3</v>
      </c>
      <c r="P1757">
        <v>-0.98884309999999997</v>
      </c>
      <c r="Q1757">
        <v>0.14785680000000001</v>
      </c>
      <c r="R1757">
        <v>1.810173E-2</v>
      </c>
      <c r="S1757">
        <v>-3.063202</v>
      </c>
      <c r="T1757">
        <v>-0.15374060000000001</v>
      </c>
      <c r="U1757">
        <v>-0.347412099999999</v>
      </c>
      <c r="V1757">
        <v>1.075315E-2</v>
      </c>
      <c r="W1757">
        <v>0.1583947</v>
      </c>
      <c r="X1757">
        <v>0.98731729999999995</v>
      </c>
      <c r="Y1757">
        <v>-0.1199211</v>
      </c>
      <c r="Z1757">
        <v>-3.3698069999999998E-3</v>
      </c>
      <c r="AA1757">
        <v>0.99277769999999999</v>
      </c>
      <c r="AB1757">
        <v>45</v>
      </c>
      <c r="AC1757">
        <v>-21.651999999999902</v>
      </c>
      <c r="AD1757">
        <v>-1.109497928126</v>
      </c>
      <c r="AE1757">
        <v>-2.5106000000000099</v>
      </c>
      <c r="AF1757">
        <v>-2.6646654245102099</v>
      </c>
      <c r="AG1757">
        <v>-1.109497928126</v>
      </c>
      <c r="AH1757">
        <v>21.576824105980599</v>
      </c>
      <c r="AI1757">
        <v>92.9214483043869</v>
      </c>
      <c r="AJ1757">
        <v>97.040190085136899</v>
      </c>
      <c r="AK1757">
        <v>21.769032270119901</v>
      </c>
      <c r="AL1757">
        <v>80.886268685073503</v>
      </c>
      <c r="AM1757">
        <v>89.376000246109996</v>
      </c>
      <c r="AN1757">
        <v>0.99999998105115095</v>
      </c>
    </row>
    <row r="1758" spans="1:40" x14ac:dyDescent="0.25">
      <c r="A1758" t="str">
        <f>"20190312164256782"</f>
        <v>20190312164256782</v>
      </c>
      <c r="B1758" t="str">
        <f>"1552380176775569"</f>
        <v>1552380176775569</v>
      </c>
      <c r="C1758" t="s">
        <v>40</v>
      </c>
      <c r="D1758">
        <v>4.1071400000000002</v>
      </c>
      <c r="E1758">
        <v>0.45481660000000002</v>
      </c>
      <c r="F1758" t="s">
        <v>46</v>
      </c>
      <c r="G1758">
        <v>-387.90899999999999</v>
      </c>
      <c r="H1758" s="1">
        <v>2.6720040000000001E-6</v>
      </c>
      <c r="I1758">
        <v>282.0403</v>
      </c>
      <c r="J1758">
        <v>-365.59300000000002</v>
      </c>
      <c r="K1758">
        <v>1.1095060000000001</v>
      </c>
      <c r="L1758">
        <v>284.62290000000002</v>
      </c>
      <c r="M1758">
        <v>-0.99991529999999995</v>
      </c>
      <c r="N1758">
        <v>0</v>
      </c>
      <c r="O1758">
        <v>7.4352150000000002E-3</v>
      </c>
      <c r="P1758">
        <v>-0.98888589999999998</v>
      </c>
      <c r="Q1758">
        <v>0.1474964</v>
      </c>
      <c r="R1758">
        <v>1.869556E-2</v>
      </c>
      <c r="S1758">
        <v>-3.0625</v>
      </c>
      <c r="T1758">
        <v>-0.1491606</v>
      </c>
      <c r="U1758">
        <v>-0.34674070000000001</v>
      </c>
      <c r="V1758">
        <v>1.1348230000000001E-2</v>
      </c>
      <c r="W1758">
        <v>0.15805329999999901</v>
      </c>
      <c r="X1758">
        <v>0.98736539999999995</v>
      </c>
      <c r="Y1758">
        <v>-0.1197391</v>
      </c>
      <c r="Z1758">
        <v>-3.2658129999999998E-3</v>
      </c>
      <c r="AA1758">
        <v>0.99280000000000002</v>
      </c>
      <c r="AB1758">
        <v>45</v>
      </c>
      <c r="AC1758">
        <v>-22.315999999999899</v>
      </c>
      <c r="AD1758">
        <v>-1.1095033279959901</v>
      </c>
      <c r="AE1758">
        <v>-2.58260000000001</v>
      </c>
      <c r="AF1758">
        <v>-2.74177460669799</v>
      </c>
      <c r="AG1758">
        <v>-1.1095033279959901</v>
      </c>
      <c r="AH1758">
        <v>22.2419273944511</v>
      </c>
      <c r="AI1758">
        <v>92.834324007669395</v>
      </c>
      <c r="AJ1758">
        <v>97.027429908673497</v>
      </c>
      <c r="AK1758">
        <v>22.437728491289</v>
      </c>
      <c r="AL1758">
        <v>80.906079464400094</v>
      </c>
      <c r="AM1758">
        <v>89.341503099414595</v>
      </c>
      <c r="AN1758">
        <v>1.0000000305410901</v>
      </c>
    </row>
    <row r="1759" spans="1:40" x14ac:dyDescent="0.25">
      <c r="A1759" t="str">
        <f>"20190312164256803"</f>
        <v>20190312164256803</v>
      </c>
      <c r="B1759" t="str">
        <f>"1552380176796064"</f>
        <v>1552380176796064</v>
      </c>
      <c r="C1759" t="s">
        <v>40</v>
      </c>
      <c r="D1759">
        <v>4.0987390000000001</v>
      </c>
      <c r="E1759">
        <v>0.45495530000000001</v>
      </c>
      <c r="F1759" t="s">
        <v>46</v>
      </c>
      <c r="G1759">
        <v>-389.15499999999997</v>
      </c>
      <c r="H1759" s="1">
        <v>3.3350210000000002E-6</v>
      </c>
      <c r="I1759">
        <v>281.98390000000001</v>
      </c>
      <c r="J1759">
        <v>-366.04020000000003</v>
      </c>
      <c r="K1759">
        <v>1.1095029999999999</v>
      </c>
      <c r="L1759">
        <v>284.62630000000001</v>
      </c>
      <c r="M1759">
        <v>-0.9999152</v>
      </c>
      <c r="N1759">
        <v>0</v>
      </c>
      <c r="O1759">
        <v>7.4285319999999998E-3</v>
      </c>
      <c r="P1759">
        <v>-0.98888909999999997</v>
      </c>
      <c r="Q1759">
        <v>0.14745420000000001</v>
      </c>
      <c r="R1759">
        <v>1.8860559999999998E-2</v>
      </c>
      <c r="S1759">
        <v>-3.0617070000000002</v>
      </c>
      <c r="T1759">
        <v>-0.1441722</v>
      </c>
      <c r="U1759">
        <v>-0.34292600000000001</v>
      </c>
      <c r="V1759">
        <v>1.151869E-2</v>
      </c>
      <c r="W1759">
        <v>0.1580279</v>
      </c>
      <c r="X1759">
        <v>0.98736749999999995</v>
      </c>
      <c r="Y1759">
        <v>-0.11855069999999999</v>
      </c>
      <c r="Z1759">
        <v>-3.1295540000000001E-3</v>
      </c>
      <c r="AA1759">
        <v>0.99294300000000002</v>
      </c>
      <c r="AB1759">
        <v>45</v>
      </c>
      <c r="AC1759">
        <v>-23.114799999999899</v>
      </c>
      <c r="AD1759">
        <v>-1.1094996649789901</v>
      </c>
      <c r="AE1759">
        <v>-2.6423999999999999</v>
      </c>
      <c r="AF1759">
        <v>-2.8076606570176001</v>
      </c>
      <c r="AG1759">
        <v>-1.1094996649789901</v>
      </c>
      <c r="AH1759">
        <v>23.042128649618299</v>
      </c>
      <c r="AI1759">
        <v>92.736506500735899</v>
      </c>
      <c r="AJ1759">
        <v>96.9471872682645</v>
      </c>
      <c r="AK1759">
        <v>23.239054210038699</v>
      </c>
      <c r="AL1759">
        <v>80.907553374467398</v>
      </c>
      <c r="AM1759">
        <v>89.331614231902805</v>
      </c>
      <c r="AN1759">
        <v>1.0000000387269801</v>
      </c>
    </row>
    <row r="1760" spans="1:40" x14ac:dyDescent="0.25">
      <c r="A1760" t="str">
        <f>"20190312164256825"</f>
        <v>20190312164256825</v>
      </c>
      <c r="B1760" t="str">
        <f>"1552380176815588"</f>
        <v>1552380176815588</v>
      </c>
      <c r="C1760" t="s">
        <v>40</v>
      </c>
      <c r="D1760">
        <v>4.1142370000000001</v>
      </c>
      <c r="E1760">
        <v>0.45487179999999999</v>
      </c>
      <c r="F1760" t="s">
        <v>46</v>
      </c>
      <c r="G1760">
        <v>-389.99380000000002</v>
      </c>
      <c r="H1760" s="1">
        <v>-1.540105E-6</v>
      </c>
      <c r="I1760">
        <v>281.9547</v>
      </c>
      <c r="J1760">
        <v>-366.47669999999999</v>
      </c>
      <c r="K1760">
        <v>1.1095079999999999</v>
      </c>
      <c r="L1760">
        <v>284.62950000000001</v>
      </c>
      <c r="M1760">
        <v>-0.99991509999999995</v>
      </c>
      <c r="N1760">
        <v>0</v>
      </c>
      <c r="O1760">
        <v>7.4174890000000002E-3</v>
      </c>
      <c r="P1760">
        <v>-0.9888593</v>
      </c>
      <c r="Q1760">
        <v>0.14763589999999999</v>
      </c>
      <c r="R1760">
        <v>1.9000090000000001E-2</v>
      </c>
      <c r="S1760">
        <v>-3.06134</v>
      </c>
      <c r="T1760">
        <v>-0.1417979</v>
      </c>
      <c r="U1760">
        <v>-0.34143069999999998</v>
      </c>
      <c r="V1760">
        <v>1.1667719999999999E-2</v>
      </c>
      <c r="W1760">
        <v>0.158223799999999</v>
      </c>
      <c r="X1760">
        <v>0.9873343</v>
      </c>
      <c r="Y1760">
        <v>-0.1180788</v>
      </c>
      <c r="Z1760">
        <v>-3.06712E-3</v>
      </c>
      <c r="AA1760">
        <v>0.99299950000000003</v>
      </c>
      <c r="AB1760">
        <v>45</v>
      </c>
      <c r="AC1760">
        <v>-23.517099999999999</v>
      </c>
      <c r="AD1760">
        <v>-1.1095095401049999</v>
      </c>
      <c r="AE1760">
        <v>-2.6747999999999998</v>
      </c>
      <c r="AF1760">
        <v>-2.8429271551936499</v>
      </c>
      <c r="AG1760">
        <v>-1.1095095401049999</v>
      </c>
      <c r="AH1760">
        <v>23.445092902858001</v>
      </c>
      <c r="AI1760">
        <v>92.689755991873298</v>
      </c>
      <c r="AJ1760">
        <v>96.913870881451004</v>
      </c>
      <c r="AK1760">
        <v>23.6428768861356</v>
      </c>
      <c r="AL1760">
        <v>80.896185427058001</v>
      </c>
      <c r="AM1760">
        <v>89.322944623955095</v>
      </c>
      <c r="AN1760">
        <v>0.99999996326646301</v>
      </c>
    </row>
    <row r="1761" spans="1:40" x14ac:dyDescent="0.25">
      <c r="A1761" t="str">
        <f>"20190312164256847"</f>
        <v>20190312164256847</v>
      </c>
      <c r="B1761" t="str">
        <f>"1552380176836081"</f>
        <v>1552380176836081</v>
      </c>
      <c r="C1761" t="s">
        <v>40</v>
      </c>
      <c r="D1761">
        <v>4.1158609999999998</v>
      </c>
      <c r="E1761">
        <v>0.4546327</v>
      </c>
      <c r="F1761" t="s">
        <v>46</v>
      </c>
      <c r="G1761">
        <v>-390.99450000000002</v>
      </c>
      <c r="H1761" s="1">
        <v>-1.00755E-6</v>
      </c>
      <c r="I1761">
        <v>281.89749999999998</v>
      </c>
      <c r="J1761">
        <v>-366.92540000000002</v>
      </c>
      <c r="K1761">
        <v>1.109515</v>
      </c>
      <c r="L1761">
        <v>284.63279999999997</v>
      </c>
      <c r="M1761">
        <v>-0.99991509999999995</v>
      </c>
      <c r="N1761">
        <v>0</v>
      </c>
      <c r="O1761">
        <v>7.4011900000000002E-3</v>
      </c>
      <c r="P1761">
        <v>-0.98889760000000004</v>
      </c>
      <c r="Q1761">
        <v>0.14736669999999999</v>
      </c>
      <c r="R1761">
        <v>1.9096740000000001E-2</v>
      </c>
      <c r="S1761">
        <v>-3.0610659999999998</v>
      </c>
      <c r="T1761">
        <v>-0.1385227</v>
      </c>
      <c r="U1761">
        <v>-0.34109499999999998</v>
      </c>
      <c r="V1761">
        <v>1.1778240000000001E-2</v>
      </c>
      <c r="W1761">
        <v>0.15797</v>
      </c>
      <c r="X1761">
        <v>0.98737370000000002</v>
      </c>
      <c r="Y1761">
        <v>-0.11797100000000001</v>
      </c>
      <c r="Z1761">
        <v>-2.9934710000000002E-3</v>
      </c>
      <c r="AA1761">
        <v>0.99301249999999996</v>
      </c>
      <c r="AB1761">
        <v>45</v>
      </c>
      <c r="AC1761">
        <v>-24.069099999999899</v>
      </c>
      <c r="AD1761">
        <v>-1.1095160075499999</v>
      </c>
      <c r="AE1761">
        <v>-2.7352999999999899</v>
      </c>
      <c r="AF1761">
        <v>-2.9072762708873698</v>
      </c>
      <c r="AG1761">
        <v>-1.1095160075499999</v>
      </c>
      <c r="AH1761">
        <v>23.9978511527984</v>
      </c>
      <c r="AI1761">
        <v>92.627939222900906</v>
      </c>
      <c r="AJ1761">
        <v>96.907570175242995</v>
      </c>
      <c r="AK1761">
        <v>24.198763212985501</v>
      </c>
      <c r="AL1761">
        <v>80.910912971022697</v>
      </c>
      <c r="AM1761">
        <v>89.316559236606693</v>
      </c>
      <c r="AN1761">
        <v>1.0000000356445899</v>
      </c>
    </row>
    <row r="1762" spans="1:40" x14ac:dyDescent="0.25">
      <c r="A1762" t="str">
        <f>"20190312164256872"</f>
        <v>20190312164256872</v>
      </c>
      <c r="B1762" t="str">
        <f>"1552380176866336"</f>
        <v>1552380176866336</v>
      </c>
      <c r="C1762" t="s">
        <v>40</v>
      </c>
      <c r="D1762">
        <v>4.0993370000000002</v>
      </c>
      <c r="E1762">
        <v>0.45436860000000001</v>
      </c>
      <c r="F1762" t="s">
        <v>46</v>
      </c>
      <c r="G1762">
        <v>-391.18860000000001</v>
      </c>
      <c r="H1762" s="1">
        <v>-9.0429360000000004E-7</v>
      </c>
      <c r="I1762">
        <v>281.92180000000002</v>
      </c>
      <c r="J1762">
        <v>-367.41359999999997</v>
      </c>
      <c r="K1762">
        <v>1.109518</v>
      </c>
      <c r="L1762">
        <v>284.63639999999998</v>
      </c>
      <c r="M1762">
        <v>-0.99991509999999995</v>
      </c>
      <c r="N1762">
        <v>0</v>
      </c>
      <c r="O1762">
        <v>7.37820199999999E-3</v>
      </c>
      <c r="P1762">
        <v>-0.98893310000000001</v>
      </c>
      <c r="Q1762">
        <v>0.147178</v>
      </c>
      <c r="R1762">
        <v>1.8710049999999999E-2</v>
      </c>
      <c r="S1762">
        <v>-3.0611570000000001</v>
      </c>
      <c r="T1762">
        <v>-0.13998189999999999</v>
      </c>
      <c r="U1762">
        <v>-0.34204099999999998</v>
      </c>
      <c r="V1762">
        <v>1.141202E-2</v>
      </c>
      <c r="W1762">
        <v>0.1577981</v>
      </c>
      <c r="X1762">
        <v>0.98740539999999999</v>
      </c>
      <c r="Y1762">
        <v>-0.11824510000000001</v>
      </c>
      <c r="Z1762">
        <v>-3.0300240000000001E-3</v>
      </c>
      <c r="AA1762">
        <v>0.99297979999999997</v>
      </c>
      <c r="AB1762">
        <v>45</v>
      </c>
      <c r="AC1762">
        <v>-23.774999999999999</v>
      </c>
      <c r="AD1762">
        <v>-1.1095189042936</v>
      </c>
      <c r="AE1762">
        <v>-2.7145999999999599</v>
      </c>
      <c r="AF1762">
        <v>-2.8837534073053099</v>
      </c>
      <c r="AG1762">
        <v>-1.1095189042936</v>
      </c>
      <c r="AH1762">
        <v>23.703364673877701</v>
      </c>
      <c r="AI1762">
        <v>92.660385627014307</v>
      </c>
      <c r="AJ1762">
        <v>96.936520667882206</v>
      </c>
      <c r="AK1762">
        <v>23.903902668308401</v>
      </c>
      <c r="AL1762">
        <v>80.920886424600994</v>
      </c>
      <c r="AM1762">
        <v>89.3378287476298</v>
      </c>
      <c r="AN1762">
        <v>0.99999994925662306</v>
      </c>
    </row>
    <row r="1763" spans="1:40" x14ac:dyDescent="0.25">
      <c r="A1763" t="str">
        <f>"20190312164256894"</f>
        <v>20190312164256894</v>
      </c>
      <c r="B1763" t="str">
        <f>"1552380176885856"</f>
        <v>1552380176885856</v>
      </c>
      <c r="C1763" t="s">
        <v>40</v>
      </c>
      <c r="D1763">
        <v>4.0994960000000003</v>
      </c>
      <c r="E1763">
        <v>0.45436609999999999</v>
      </c>
      <c r="F1763" t="s">
        <v>46</v>
      </c>
      <c r="G1763">
        <v>-390.23660000000001</v>
      </c>
      <c r="H1763" s="1">
        <v>-1.4108629999999999E-6</v>
      </c>
      <c r="I1763">
        <v>282.05669999999998</v>
      </c>
      <c r="J1763">
        <v>-367.86540000000002</v>
      </c>
      <c r="K1763">
        <v>1.109523</v>
      </c>
      <c r="L1763">
        <v>284.6397</v>
      </c>
      <c r="M1763">
        <v>-0.99991509999999995</v>
      </c>
      <c r="N1763">
        <v>0</v>
      </c>
      <c r="O1763">
        <v>7.3531949999999999E-3</v>
      </c>
      <c r="P1763">
        <v>-0.98893560000000003</v>
      </c>
      <c r="Q1763">
        <v>0.14725009999999999</v>
      </c>
      <c r="R1763">
        <v>1.7997849999999999E-2</v>
      </c>
      <c r="S1763">
        <v>-3.0622859999999998</v>
      </c>
      <c r="T1763">
        <v>-0.14887</v>
      </c>
      <c r="U1763">
        <v>-0.3461304</v>
      </c>
      <c r="V1763">
        <v>1.0722840000000001E-2</v>
      </c>
      <c r="W1763">
        <v>0.1578881</v>
      </c>
      <c r="X1763">
        <v>0.98739880000000002</v>
      </c>
      <c r="Y1763">
        <v>-0.11947099999999999</v>
      </c>
      <c r="Z1763">
        <v>-3.249254E-3</v>
      </c>
      <c r="AA1763">
        <v>0.99283239999999995</v>
      </c>
      <c r="AB1763">
        <v>45</v>
      </c>
      <c r="AC1763">
        <v>-22.371199999999899</v>
      </c>
      <c r="AD1763">
        <v>-1.109524410863</v>
      </c>
      <c r="AE1763">
        <v>-2.5830000000000202</v>
      </c>
      <c r="AF1763">
        <v>-2.7407864536813902</v>
      </c>
      <c r="AG1763">
        <v>-1.109524410863</v>
      </c>
      <c r="AH1763">
        <v>22.297475530932299</v>
      </c>
      <c r="AI1763">
        <v>92.827448446125203</v>
      </c>
      <c r="AJ1763">
        <v>97.007596009656496</v>
      </c>
      <c r="AK1763">
        <v>22.4926736929052</v>
      </c>
      <c r="AL1763">
        <v>80.915664905297803</v>
      </c>
      <c r="AM1763">
        <v>89.377810337103497</v>
      </c>
      <c r="AN1763">
        <v>1.00000001083035</v>
      </c>
    </row>
    <row r="1764" spans="1:40" x14ac:dyDescent="0.25">
      <c r="A1764" t="str">
        <f>"20190312164256926"</f>
        <v>20190312164256926</v>
      </c>
      <c r="B1764" t="str">
        <f>"1552380176916112"</f>
        <v>1552380176916112</v>
      </c>
      <c r="C1764" t="s">
        <v>40</v>
      </c>
      <c r="D1764">
        <v>4.3053089999999896</v>
      </c>
      <c r="E1764">
        <v>0.45433269999999998</v>
      </c>
      <c r="F1764" t="s">
        <v>46</v>
      </c>
      <c r="G1764">
        <v>-391.0437</v>
      </c>
      <c r="H1764" s="1">
        <v>-9.8137559999999898E-7</v>
      </c>
      <c r="I1764">
        <v>282.00020000000001</v>
      </c>
      <c r="J1764">
        <v>-368.51859999999999</v>
      </c>
      <c r="K1764">
        <v>1.109532</v>
      </c>
      <c r="L1764">
        <v>284.64440000000002</v>
      </c>
      <c r="M1764">
        <v>-0.99991509999999995</v>
      </c>
      <c r="N1764">
        <v>0</v>
      </c>
      <c r="O1764">
        <v>7.3118289999999997E-3</v>
      </c>
      <c r="P1764">
        <v>-0.98886980000000002</v>
      </c>
      <c r="Q1764">
        <v>0.1477598</v>
      </c>
      <c r="R1764">
        <v>1.7428550000000001E-2</v>
      </c>
      <c r="S1764">
        <v>-3.0617369999999999</v>
      </c>
      <c r="T1764">
        <v>-0.1465621</v>
      </c>
      <c r="U1764">
        <v>-0.34866329999999901</v>
      </c>
      <c r="V1764">
        <v>1.019313E-2</v>
      </c>
      <c r="W1764">
        <v>0.1584286</v>
      </c>
      <c r="X1764">
        <v>0.98731780000000002</v>
      </c>
      <c r="Y1764">
        <v>-0.12026439999999999</v>
      </c>
      <c r="Z1764">
        <v>-3.216305E-3</v>
      </c>
      <c r="AA1764">
        <v>0.99273670000000003</v>
      </c>
      <c r="AB1764">
        <v>45</v>
      </c>
      <c r="AC1764">
        <v>-22.525099999999998</v>
      </c>
      <c r="AD1764">
        <v>-1.1095329813756001</v>
      </c>
      <c r="AE1764">
        <v>-2.6442000000000099</v>
      </c>
      <c r="AF1764">
        <v>-2.8021321315522698</v>
      </c>
      <c r="AG1764">
        <v>-1.1095329813756001</v>
      </c>
      <c r="AH1764">
        <v>22.451428979172601</v>
      </c>
      <c r="AI1764">
        <v>92.807466754511296</v>
      </c>
      <c r="AJ1764">
        <v>97.114220187308007</v>
      </c>
      <c r="AK1764">
        <v>22.652807135679002</v>
      </c>
      <c r="AL1764">
        <v>80.884301506561798</v>
      </c>
      <c r="AM1764">
        <v>89.408495845273094</v>
      </c>
      <c r="AN1764">
        <v>0.99999997969699805</v>
      </c>
    </row>
    <row r="1765" spans="1:40" x14ac:dyDescent="0.25">
      <c r="A1765" t="str">
        <f>"20190312164256948"</f>
        <v>20190312164256948</v>
      </c>
      <c r="B1765" t="str">
        <f>"1552380176935632"</f>
        <v>1552380176935632</v>
      </c>
      <c r="C1765" t="s">
        <v>40</v>
      </c>
      <c r="D1765">
        <v>4.1093039999999998</v>
      </c>
      <c r="E1765">
        <v>0.45416620000000002</v>
      </c>
      <c r="F1765" t="s">
        <v>46</v>
      </c>
      <c r="G1765">
        <v>-391.79939999999999</v>
      </c>
      <c r="H1765" s="1">
        <v>-5.7924919999999996E-7</v>
      </c>
      <c r="I1765">
        <v>281.97840000000002</v>
      </c>
      <c r="J1765">
        <v>-368.95830000000001</v>
      </c>
      <c r="K1765">
        <v>1.1095349999999999</v>
      </c>
      <c r="L1765">
        <v>284.64760000000001</v>
      </c>
      <c r="M1765">
        <v>-0.99991490000000005</v>
      </c>
      <c r="N1765">
        <v>0</v>
      </c>
      <c r="O1765">
        <v>7.281544E-3</v>
      </c>
      <c r="P1765">
        <v>-0.98888489999999996</v>
      </c>
      <c r="Q1765">
        <v>0.14763850000000001</v>
      </c>
      <c r="R1765">
        <v>1.758641E-2</v>
      </c>
      <c r="S1765">
        <v>-3.0617369999999999</v>
      </c>
      <c r="T1765">
        <v>-0.14591860000000001</v>
      </c>
      <c r="U1765">
        <v>-0.3506165</v>
      </c>
      <c r="V1765">
        <v>1.0379859999999999E-2</v>
      </c>
      <c r="W1765">
        <v>0.1583358</v>
      </c>
      <c r="X1765">
        <v>0.98733070000000001</v>
      </c>
      <c r="Y1765">
        <v>-0.1208601</v>
      </c>
      <c r="Z1765">
        <v>-3.2147870000000002E-3</v>
      </c>
      <c r="AA1765">
        <v>0.99266430000000005</v>
      </c>
      <c r="AB1765">
        <v>45</v>
      </c>
      <c r="AC1765">
        <v>-22.841099999999901</v>
      </c>
      <c r="AD1765">
        <v>-1.1095355792492001</v>
      </c>
      <c r="AE1765">
        <v>-2.66919999999998</v>
      </c>
      <c r="AF1765">
        <v>-2.8288722161159998</v>
      </c>
      <c r="AG1765">
        <v>-1.1095355792492001</v>
      </c>
      <c r="AH1765">
        <v>22.768056397354201</v>
      </c>
      <c r="AI1765">
        <v>92.768682170801398</v>
      </c>
      <c r="AJ1765">
        <v>97.082556022298107</v>
      </c>
      <c r="AK1765">
        <v>22.9699364241574</v>
      </c>
      <c r="AL1765">
        <v>80.889686152446203</v>
      </c>
      <c r="AM1765">
        <v>89.397668622098394</v>
      </c>
      <c r="AN1765">
        <v>0.99999993910887297</v>
      </c>
    </row>
    <row r="1766" spans="1:40" x14ac:dyDescent="0.25">
      <c r="A1766" t="str">
        <f>"20190312164256971"</f>
        <v>20190312164256971</v>
      </c>
      <c r="B1766" t="str">
        <f>"1552380176965889"</f>
        <v>1552380176965889</v>
      </c>
      <c r="C1766" t="s">
        <v>40</v>
      </c>
      <c r="D1766">
        <v>4.1414739999999997</v>
      </c>
      <c r="E1766">
        <v>0.45392100000000002</v>
      </c>
      <c r="F1766" t="s">
        <v>46</v>
      </c>
      <c r="G1766">
        <v>-391.83229999999998</v>
      </c>
      <c r="H1766" s="1">
        <v>-5.6171780000000004E-7</v>
      </c>
      <c r="I1766">
        <v>282.02280000000002</v>
      </c>
      <c r="J1766">
        <v>-369.44110000000001</v>
      </c>
      <c r="K1766">
        <v>1.1095410000000001</v>
      </c>
      <c r="L1766">
        <v>284.65109999999999</v>
      </c>
      <c r="M1766">
        <v>-0.99991479999999999</v>
      </c>
      <c r="N1766">
        <v>0</v>
      </c>
      <c r="O1766">
        <v>7.2463859999999996E-3</v>
      </c>
      <c r="P1766">
        <v>-0.98883880000000002</v>
      </c>
      <c r="Q1766">
        <v>0.1479809</v>
      </c>
      <c r="R1766">
        <v>1.731005E-2</v>
      </c>
      <c r="S1766">
        <v>-3.062103</v>
      </c>
      <c r="T1766">
        <v>-0.1485312</v>
      </c>
      <c r="U1766">
        <v>-0.35137940000000001</v>
      </c>
      <c r="V1766">
        <v>1.013792E-2</v>
      </c>
      <c r="W1766">
        <v>0.15871479999999999</v>
      </c>
      <c r="X1766">
        <v>0.98727240000000005</v>
      </c>
      <c r="Y1766">
        <v>-0.12105050000000001</v>
      </c>
      <c r="Z1766">
        <v>-3.2747480000000001E-3</v>
      </c>
      <c r="AA1766">
        <v>0.992641</v>
      </c>
      <c r="AB1766">
        <v>45</v>
      </c>
      <c r="AC1766">
        <v>-22.391199999999898</v>
      </c>
      <c r="AD1766">
        <v>-1.1095415617177999</v>
      </c>
      <c r="AE1766">
        <v>-2.6282999999999599</v>
      </c>
      <c r="AF1766">
        <v>-2.7837533394424798</v>
      </c>
      <c r="AG1766">
        <v>-1.1095415617177999</v>
      </c>
      <c r="AH1766">
        <v>22.317510328878601</v>
      </c>
      <c r="AI1766">
        <v>92.824333714362595</v>
      </c>
      <c r="AJ1766">
        <v>97.110012195897895</v>
      </c>
      <c r="AK1766">
        <v>22.517807007158599</v>
      </c>
      <c r="AL1766">
        <v>80.867693307177205</v>
      </c>
      <c r="AM1766">
        <v>89.411672387299205</v>
      </c>
      <c r="AN1766">
        <v>0.99999997848136302</v>
      </c>
    </row>
    <row r="1767" spans="1:40" x14ac:dyDescent="0.25">
      <c r="A1767" t="str">
        <f>"20190312164256994"</f>
        <v>20190312164256994</v>
      </c>
      <c r="B1767" t="str">
        <f>"1552380176985955"</f>
        <v>1552380176985955</v>
      </c>
      <c r="C1767" t="s">
        <v>40</v>
      </c>
      <c r="D1767">
        <v>4.1464790000000002</v>
      </c>
      <c r="E1767">
        <v>0.45381949999999999</v>
      </c>
      <c r="F1767" t="s">
        <v>46</v>
      </c>
      <c r="G1767">
        <v>-391.7593</v>
      </c>
      <c r="H1767" s="1">
        <v>-6.0055750000000001E-7</v>
      </c>
      <c r="I1767">
        <v>282.06959999999998</v>
      </c>
      <c r="J1767">
        <v>-369.91219999999998</v>
      </c>
      <c r="K1767">
        <v>1.109553</v>
      </c>
      <c r="L1767">
        <v>284.65449999999998</v>
      </c>
      <c r="M1767">
        <v>-0.99991450000000004</v>
      </c>
      <c r="N1767">
        <v>0</v>
      </c>
      <c r="O1767">
        <v>7.21267099999999E-3</v>
      </c>
      <c r="P1767">
        <v>-0.98888399999999999</v>
      </c>
      <c r="Q1767">
        <v>0.1477087</v>
      </c>
      <c r="R1767">
        <v>1.7046499999999999E-2</v>
      </c>
      <c r="S1767">
        <v>-3.0628660000000001</v>
      </c>
      <c r="T1767">
        <v>-0.15226909999999999</v>
      </c>
      <c r="U1767">
        <v>-0.354278599999999</v>
      </c>
      <c r="V1767">
        <v>9.9064989999999992E-3</v>
      </c>
      <c r="W1767">
        <v>0.1584874</v>
      </c>
      <c r="X1767">
        <v>0.9873113</v>
      </c>
      <c r="Y1767">
        <v>-0.1219078</v>
      </c>
      <c r="Z1767">
        <v>-3.3756060000000002E-3</v>
      </c>
      <c r="AA1767">
        <v>0.99253570000000002</v>
      </c>
      <c r="AB1767">
        <v>45</v>
      </c>
      <c r="AC1767">
        <v>-21.847100000000001</v>
      </c>
      <c r="AD1767">
        <v>-1.1095536005575</v>
      </c>
      <c r="AE1767">
        <v>-2.5849000000000002</v>
      </c>
      <c r="AF1767">
        <v>-2.7354597957419702</v>
      </c>
      <c r="AG1767">
        <v>-1.1095536005575</v>
      </c>
      <c r="AH1767">
        <v>21.772503090246602</v>
      </c>
      <c r="AI1767">
        <v>92.894622652863305</v>
      </c>
      <c r="AJ1767">
        <v>97.161021525396507</v>
      </c>
      <c r="AK1767">
        <v>21.9717031725223</v>
      </c>
      <c r="AL1767">
        <v>80.880889581763995</v>
      </c>
      <c r="AM1767">
        <v>89.425124035945899</v>
      </c>
      <c r="AN1767">
        <v>0.99999999889444302</v>
      </c>
    </row>
    <row r="1768" spans="1:40" x14ac:dyDescent="0.25">
      <c r="A1768" t="str">
        <f>"20190312164257015"</f>
        <v>20190312164257015</v>
      </c>
      <c r="B1768" t="str">
        <f>"1552380177006454"</f>
        <v>1552380177006454</v>
      </c>
      <c r="C1768" t="s">
        <v>40</v>
      </c>
      <c r="D1768">
        <v>4.115577</v>
      </c>
      <c r="E1768">
        <v>0.45373659999999999</v>
      </c>
      <c r="F1768" t="s">
        <v>46</v>
      </c>
      <c r="G1768">
        <v>-391.66019999999997</v>
      </c>
      <c r="H1768" s="1">
        <v>-6.5328160000000002E-7</v>
      </c>
      <c r="I1768">
        <v>282.13080000000002</v>
      </c>
      <c r="J1768">
        <v>-370.31319999999999</v>
      </c>
      <c r="K1768">
        <v>1.1095680000000001</v>
      </c>
      <c r="L1768">
        <v>284.6574</v>
      </c>
      <c r="M1768">
        <v>-0.99991430000000003</v>
      </c>
      <c r="N1768">
        <v>0</v>
      </c>
      <c r="O1768">
        <v>7.1835469999999898E-3</v>
      </c>
      <c r="P1768">
        <v>-0.98890120000000004</v>
      </c>
      <c r="Q1768">
        <v>0.14759559999999999</v>
      </c>
      <c r="R1768">
        <v>1.7036579999999999E-2</v>
      </c>
      <c r="S1768">
        <v>-3.0632320000000002</v>
      </c>
      <c r="T1768">
        <v>-0.1562818</v>
      </c>
      <c r="U1768">
        <v>-0.35546879999999997</v>
      </c>
      <c r="V1768">
        <v>9.9247490000000001E-3</v>
      </c>
      <c r="W1768">
        <v>0.15842059999999999</v>
      </c>
      <c r="X1768">
        <v>0.98732189999999997</v>
      </c>
      <c r="Y1768">
        <v>-0.1222372</v>
      </c>
      <c r="Z1768">
        <v>-3.4708489999999998E-3</v>
      </c>
      <c r="AA1768">
        <v>0.99249489999999996</v>
      </c>
      <c r="AB1768">
        <v>45</v>
      </c>
      <c r="AC1768">
        <v>-21.346999999999898</v>
      </c>
      <c r="AD1768">
        <v>-1.1095686532816</v>
      </c>
      <c r="AE1768">
        <v>-2.52659999999997</v>
      </c>
      <c r="AF1768">
        <v>-2.6727699419847499</v>
      </c>
      <c r="AG1768">
        <v>-1.1095686532816</v>
      </c>
      <c r="AH1768">
        <v>21.271622833822398</v>
      </c>
      <c r="AI1768">
        <v>92.962697932746494</v>
      </c>
      <c r="AJ1768">
        <v>97.161657605918293</v>
      </c>
      <c r="AK1768">
        <v>21.467575078324899</v>
      </c>
      <c r="AL1768">
        <v>80.884766480019806</v>
      </c>
      <c r="AM1768">
        <v>89.424071239238401</v>
      </c>
      <c r="AN1768">
        <v>1.0000000606833299</v>
      </c>
    </row>
    <row r="1769" spans="1:40" x14ac:dyDescent="0.25">
      <c r="A1769" t="str">
        <f>"20190312164257037"</f>
        <v>20190312164257037</v>
      </c>
      <c r="B1769" t="str">
        <f>"1552380177025971"</f>
        <v>1552380177025971</v>
      </c>
      <c r="C1769" t="s">
        <v>40</v>
      </c>
      <c r="D1769">
        <v>4.1397370000000002</v>
      </c>
      <c r="E1769">
        <v>0.44546629999999998</v>
      </c>
      <c r="F1769" t="s">
        <v>46</v>
      </c>
      <c r="G1769">
        <v>-391.95530000000002</v>
      </c>
      <c r="H1769" s="1">
        <v>-4.9625679999999895E-7</v>
      </c>
      <c r="I1769">
        <v>282.14060000000001</v>
      </c>
      <c r="J1769">
        <v>-370.7749</v>
      </c>
      <c r="K1769">
        <v>1.109577</v>
      </c>
      <c r="L1769">
        <v>284.66070000000002</v>
      </c>
      <c r="M1769">
        <v>-0.99991370000000002</v>
      </c>
      <c r="N1769">
        <v>0</v>
      </c>
      <c r="O1769">
        <v>7.1508819999999999E-3</v>
      </c>
      <c r="P1769">
        <v>-0.98890750000000005</v>
      </c>
      <c r="Q1769">
        <v>0.14754220000000001</v>
      </c>
      <c r="R1769">
        <v>1.7130139999999999E-2</v>
      </c>
      <c r="S1769">
        <v>-3.0632320000000002</v>
      </c>
      <c r="T1769">
        <v>-0.1570483</v>
      </c>
      <c r="U1769">
        <v>-0.35623169999999998</v>
      </c>
      <c r="V1769">
        <v>1.0049860000000001E-2</v>
      </c>
      <c r="W1769">
        <v>0.15842719999999999</v>
      </c>
      <c r="X1769">
        <v>0.98731950000000002</v>
      </c>
      <c r="Y1769">
        <v>-0.12244679999999999</v>
      </c>
      <c r="Z1769">
        <v>-3.491484E-3</v>
      </c>
      <c r="AA1769">
        <v>0.99246900000000005</v>
      </c>
      <c r="AB1769">
        <v>45</v>
      </c>
      <c r="AC1769">
        <v>-21.180399999999999</v>
      </c>
      <c r="AD1769">
        <v>-1.1095774962567999</v>
      </c>
      <c r="AE1769">
        <v>-2.52010000000001</v>
      </c>
      <c r="AF1769">
        <v>-2.6642934872009301</v>
      </c>
      <c r="AG1769">
        <v>-1.1095774962567999</v>
      </c>
      <c r="AH1769">
        <v>21.1047251320744</v>
      </c>
      <c r="AI1769">
        <v>92.985889916910395</v>
      </c>
      <c r="AJ1769">
        <v>97.195047527271996</v>
      </c>
      <c r="AK1769">
        <v>21.301151257773601</v>
      </c>
      <c r="AL1769">
        <v>80.884382806760897</v>
      </c>
      <c r="AM1769">
        <v>89.416810184459806</v>
      </c>
      <c r="AN1769">
        <v>0.99999998623305397</v>
      </c>
    </row>
    <row r="1770" spans="1:40" x14ac:dyDescent="0.25">
      <c r="A1770" t="str">
        <f>"20190312164257061"</f>
        <v>20190312164257061</v>
      </c>
      <c r="B1770" t="str">
        <f>"1552380177056227"</f>
        <v>1552380177056227</v>
      </c>
      <c r="C1770" t="s">
        <v>40</v>
      </c>
      <c r="D1770">
        <v>4.157349</v>
      </c>
      <c r="E1770">
        <v>0.44482270000000002</v>
      </c>
      <c r="F1770" t="s">
        <v>46</v>
      </c>
      <c r="G1770">
        <v>-390.8252</v>
      </c>
      <c r="H1770" s="1">
        <v>-1.0976610000000001E-6</v>
      </c>
      <c r="I1770">
        <v>281.89159999999998</v>
      </c>
      <c r="J1770">
        <v>-371.23160000000001</v>
      </c>
      <c r="K1770">
        <v>1.109585</v>
      </c>
      <c r="L1770">
        <v>284.66390000000001</v>
      </c>
      <c r="M1770">
        <v>-0.9999133</v>
      </c>
      <c r="N1770">
        <v>0</v>
      </c>
      <c r="O1770">
        <v>7.1177870000000004E-3</v>
      </c>
      <c r="P1770">
        <v>-0.98888200000000004</v>
      </c>
      <c r="Q1770">
        <v>0.14766899999999999</v>
      </c>
      <c r="R1770">
        <v>1.7511510000000001E-2</v>
      </c>
      <c r="S1770">
        <v>-3.0663450000000001</v>
      </c>
      <c r="T1770">
        <v>-0.16969100000000001</v>
      </c>
      <c r="U1770">
        <v>-0.42349239999999999</v>
      </c>
      <c r="V1770">
        <v>1.046362E-2</v>
      </c>
      <c r="W1770">
        <v>0.15861639999999999</v>
      </c>
      <c r="X1770">
        <v>0.98728479999999996</v>
      </c>
      <c r="Y1770">
        <v>-0.1436326</v>
      </c>
      <c r="Z1770">
        <v>-4.3443580000000004E-3</v>
      </c>
      <c r="AA1770">
        <v>0.98962150000000004</v>
      </c>
      <c r="AB1770">
        <v>45</v>
      </c>
      <c r="AC1770">
        <v>-19.593599999999899</v>
      </c>
      <c r="AD1770">
        <v>-1.1095860976609999</v>
      </c>
      <c r="AE1770">
        <v>-2.77230000000002</v>
      </c>
      <c r="AF1770">
        <v>-2.9025756429779102</v>
      </c>
      <c r="AG1770">
        <v>-1.1095860976609999</v>
      </c>
      <c r="AH1770">
        <v>19.5120235842226</v>
      </c>
      <c r="AI1770">
        <v>93.219371397915396</v>
      </c>
      <c r="AJ1770">
        <v>98.461174849420402</v>
      </c>
      <c r="AK1770">
        <v>19.757914642557601</v>
      </c>
      <c r="AL1770">
        <v>80.873403404678697</v>
      </c>
      <c r="AM1770">
        <v>89.392780260840397</v>
      </c>
      <c r="AN1770">
        <v>0.99999996300175098</v>
      </c>
    </row>
    <row r="1771" spans="1:40" x14ac:dyDescent="0.25">
      <c r="A1771" t="str">
        <f>"20190312164257084"</f>
        <v>20190312164257084</v>
      </c>
      <c r="B1771" t="str">
        <f>"1552380177076267"</f>
        <v>1552380177076267</v>
      </c>
      <c r="C1771" t="s">
        <v>40</v>
      </c>
      <c r="D1771">
        <v>4.1985049999999999</v>
      </c>
      <c r="E1771">
        <v>0.44475710000000002</v>
      </c>
      <c r="F1771" t="s">
        <v>46</v>
      </c>
      <c r="G1771">
        <v>-390.43189999999998</v>
      </c>
      <c r="H1771" s="1">
        <v>-1.3069649999999901E-6</v>
      </c>
      <c r="I1771">
        <v>281.98509999999999</v>
      </c>
      <c r="J1771">
        <v>-371.71600000000001</v>
      </c>
      <c r="K1771">
        <v>1.109588</v>
      </c>
      <c r="L1771">
        <v>284.66730000000001</v>
      </c>
      <c r="M1771">
        <v>-0.99991289999999999</v>
      </c>
      <c r="N1771">
        <v>0</v>
      </c>
      <c r="O1771">
        <v>7.0831109999999996E-3</v>
      </c>
      <c r="P1771">
        <v>-0.98885199999999995</v>
      </c>
      <c r="Q1771">
        <v>0.14786289999999999</v>
      </c>
      <c r="R1771">
        <v>1.7557369999999999E-2</v>
      </c>
      <c r="S1771">
        <v>-3.06778</v>
      </c>
      <c r="T1771">
        <v>-0.17728720000000001</v>
      </c>
      <c r="U1771">
        <v>-0.42800899999999997</v>
      </c>
      <c r="V1771">
        <v>1.054329E-2</v>
      </c>
      <c r="W1771">
        <v>0.15887770000000001</v>
      </c>
      <c r="X1771">
        <v>0.98724199999999995</v>
      </c>
      <c r="Y1771">
        <v>-0.1449425</v>
      </c>
      <c r="Z1771">
        <v>-4.5716089999999999E-3</v>
      </c>
      <c r="AA1771">
        <v>0.98942949999999996</v>
      </c>
      <c r="AB1771">
        <v>45</v>
      </c>
      <c r="AC1771">
        <v>-18.715899999999898</v>
      </c>
      <c r="AD1771">
        <v>-1.109589306965</v>
      </c>
      <c r="AE1771">
        <v>-2.6822000000000199</v>
      </c>
      <c r="AF1771">
        <v>-2.8050469058302201</v>
      </c>
      <c r="AG1771">
        <v>-1.109589306965</v>
      </c>
      <c r="AH1771">
        <v>18.632259858453601</v>
      </c>
      <c r="AI1771">
        <v>93.370167365811497</v>
      </c>
      <c r="AJ1771">
        <v>98.561462642629195</v>
      </c>
      <c r="AK1771">
        <v>18.874866463288701</v>
      </c>
      <c r="AL1771">
        <v>80.858240307311306</v>
      </c>
      <c r="AM1771">
        <v>89.388130716784104</v>
      </c>
      <c r="AN1771">
        <v>1.00000002554265</v>
      </c>
    </row>
    <row r="1772" spans="1:40" x14ac:dyDescent="0.25">
      <c r="A1772" t="str">
        <f>"20190312164257105"</f>
        <v>20190312164257105</v>
      </c>
      <c r="B1772" t="str">
        <f>"1552380177095787"</f>
        <v>1552380177095787</v>
      </c>
      <c r="C1772" t="s">
        <v>40</v>
      </c>
      <c r="D1772">
        <v>4.2551629999999996</v>
      </c>
      <c r="E1772">
        <v>0.44495420000000002</v>
      </c>
      <c r="F1772" t="s">
        <v>46</v>
      </c>
      <c r="G1772">
        <v>-391.1943</v>
      </c>
      <c r="H1772" s="1">
        <v>-9.0125169999999997E-7</v>
      </c>
      <c r="I1772">
        <v>281.94970000000001</v>
      </c>
      <c r="J1772">
        <v>-372.14909999999998</v>
      </c>
      <c r="K1772">
        <v>1.10959599999999</v>
      </c>
      <c r="L1772">
        <v>284.67039999999997</v>
      </c>
      <c r="M1772">
        <v>-0.99991240000000003</v>
      </c>
      <c r="N1772">
        <v>0</v>
      </c>
      <c r="O1772">
        <v>7.0519999999999897E-3</v>
      </c>
      <c r="P1772">
        <v>-0.98890140000000004</v>
      </c>
      <c r="Q1772">
        <v>0.14749499999999999</v>
      </c>
      <c r="R1772">
        <v>1.7878660000000001E-2</v>
      </c>
      <c r="S1772">
        <v>-3.0675050000000001</v>
      </c>
      <c r="T1772">
        <v>-0.1747417</v>
      </c>
      <c r="U1772">
        <v>-0.42797849999999998</v>
      </c>
      <c r="V1772">
        <v>1.0894890000000001E-2</v>
      </c>
      <c r="W1772">
        <v>0.15857079999999901</v>
      </c>
      <c r="X1772">
        <v>0.98728749999999998</v>
      </c>
      <c r="Y1772">
        <v>-0.1449213</v>
      </c>
      <c r="Z1772">
        <v>-4.504114E-3</v>
      </c>
      <c r="AA1772">
        <v>0.98943289999999995</v>
      </c>
      <c r="AB1772">
        <v>45</v>
      </c>
      <c r="AC1772">
        <v>-19.045200000000001</v>
      </c>
      <c r="AD1772">
        <v>-1.10959690125169</v>
      </c>
      <c r="AE1772">
        <v>-2.7206999999999599</v>
      </c>
      <c r="AF1772">
        <v>-2.8454820586720002</v>
      </c>
      <c r="AG1772">
        <v>-1.10959690125169</v>
      </c>
      <c r="AH1772">
        <v>18.962460423424599</v>
      </c>
      <c r="AI1772">
        <v>93.311873318739003</v>
      </c>
      <c r="AJ1772">
        <v>98.534054536413294</v>
      </c>
      <c r="AK1772">
        <v>19.2068445804988</v>
      </c>
      <c r="AL1772">
        <v>80.876049945473696</v>
      </c>
      <c r="AM1772">
        <v>89.367756728907693</v>
      </c>
      <c r="AN1772">
        <v>1.0000000024485001</v>
      </c>
    </row>
    <row r="1773" spans="1:40" x14ac:dyDescent="0.25">
      <c r="A1773" t="str">
        <f>"20190312164257127"</f>
        <v>20190312164257127</v>
      </c>
      <c r="B1773" t="str">
        <f>"1552380177116284"</f>
        <v>1552380177116284</v>
      </c>
      <c r="C1773" t="s">
        <v>40</v>
      </c>
      <c r="D1773">
        <v>4.143268</v>
      </c>
      <c r="E1773">
        <v>0.44498910000000003</v>
      </c>
      <c r="F1773" t="s">
        <v>46</v>
      </c>
      <c r="G1773">
        <v>-391.69200000000001</v>
      </c>
      <c r="H1773" s="1">
        <v>-6.3642279999999997E-7</v>
      </c>
      <c r="I1773">
        <v>281.95999999999998</v>
      </c>
      <c r="J1773">
        <v>-372.58730000000003</v>
      </c>
      <c r="K1773">
        <v>1.109602</v>
      </c>
      <c r="L1773">
        <v>284.67349999999999</v>
      </c>
      <c r="M1773">
        <v>-0.99991200000000002</v>
      </c>
      <c r="N1773">
        <v>0</v>
      </c>
      <c r="O1773">
        <v>7.0202490000000001E-3</v>
      </c>
      <c r="P1773">
        <v>-0.98891890000000005</v>
      </c>
      <c r="Q1773">
        <v>0.1474076</v>
      </c>
      <c r="R1773">
        <v>1.7629140000000001E-2</v>
      </c>
      <c r="S1773">
        <v>-3.0673520000000001</v>
      </c>
      <c r="T1773">
        <v>-0.17415739999999999</v>
      </c>
      <c r="U1773">
        <v>-0.42541499999999999</v>
      </c>
      <c r="V1773">
        <v>1.067631E-2</v>
      </c>
      <c r="W1773">
        <v>0.15854109999999999</v>
      </c>
      <c r="X1773">
        <v>0.98729469999999997</v>
      </c>
      <c r="Y1773">
        <v>-0.1440882</v>
      </c>
      <c r="Z1773">
        <v>-4.4642409999999999E-3</v>
      </c>
      <c r="AA1773">
        <v>0.98955479999999996</v>
      </c>
      <c r="AB1773">
        <v>45</v>
      </c>
      <c r="AC1773">
        <v>-19.104699999999902</v>
      </c>
      <c r="AD1773">
        <v>-1.1096026364228</v>
      </c>
      <c r="AE1773">
        <v>-2.71350000000001</v>
      </c>
      <c r="AF1773">
        <v>-2.8381766833990398</v>
      </c>
      <c r="AG1773">
        <v>-1.1096026364228</v>
      </c>
      <c r="AH1773">
        <v>19.022279600823602</v>
      </c>
      <c r="AI1773">
        <v>93.301911289693507</v>
      </c>
      <c r="AJ1773">
        <v>98.486087249358704</v>
      </c>
      <c r="AK1773">
        <v>19.264827694761699</v>
      </c>
      <c r="AL1773">
        <v>80.877773817426203</v>
      </c>
      <c r="AM1773">
        <v>89.380444702199398</v>
      </c>
      <c r="AN1773">
        <v>1.00000004431625</v>
      </c>
    </row>
    <row r="1774" spans="1:40" x14ac:dyDescent="0.25">
      <c r="A1774" t="str">
        <f>"20190312164257149"</f>
        <v>20190312164257149</v>
      </c>
      <c r="B1774" t="str">
        <f>"1552380177145564"</f>
        <v>1552380177145564</v>
      </c>
      <c r="C1774" t="s">
        <v>40</v>
      </c>
      <c r="D1774">
        <v>4.2009080000000001</v>
      </c>
      <c r="E1774">
        <v>0.44458700000000001</v>
      </c>
      <c r="F1774" t="s">
        <v>46</v>
      </c>
      <c r="G1774">
        <v>-392.22710000000001</v>
      </c>
      <c r="H1774" s="1">
        <v>-3.5162379999999999E-7</v>
      </c>
      <c r="I1774">
        <v>281.95030000000003</v>
      </c>
      <c r="J1774">
        <v>-373.0385</v>
      </c>
      <c r="K1774">
        <v>1.1096170000000001</v>
      </c>
      <c r="L1774">
        <v>284.67660000000001</v>
      </c>
      <c r="M1774">
        <v>-0.99991140000000001</v>
      </c>
      <c r="N1774">
        <v>0</v>
      </c>
      <c r="O1774">
        <v>6.9875010000000001E-3</v>
      </c>
      <c r="P1774">
        <v>-0.98889349999999998</v>
      </c>
      <c r="Q1774">
        <v>0.14761830000000001</v>
      </c>
      <c r="R1774">
        <v>1.7273879999999998E-2</v>
      </c>
      <c r="S1774">
        <v>-3.0670169999999999</v>
      </c>
      <c r="T1774">
        <v>-0.1732793</v>
      </c>
      <c r="U1774">
        <v>-0.42526249999999999</v>
      </c>
      <c r="V1774">
        <v>1.035344E-2</v>
      </c>
      <c r="W1774">
        <v>0.15880610000000001</v>
      </c>
      <c r="X1774">
        <v>0.98725549999999995</v>
      </c>
      <c r="Y1774">
        <v>-0.14402479999999901</v>
      </c>
      <c r="Z1774">
        <v>-4.4386429999999999E-3</v>
      </c>
      <c r="AA1774">
        <v>0.98956409999999995</v>
      </c>
      <c r="AB1774">
        <v>45</v>
      </c>
      <c r="AC1774">
        <v>-19.188600000000001</v>
      </c>
      <c r="AD1774">
        <v>-1.1096173516237999</v>
      </c>
      <c r="AE1774">
        <v>-2.7262999999999802</v>
      </c>
      <c r="AF1774">
        <v>-2.8509775143439899</v>
      </c>
      <c r="AG1774">
        <v>-1.1096173516237999</v>
      </c>
      <c r="AH1774">
        <v>19.106453416379999</v>
      </c>
      <c r="AI1774">
        <v>93.287434075878096</v>
      </c>
      <c r="AJ1774">
        <v>98.4867967501512</v>
      </c>
      <c r="AK1774">
        <v>19.349829084687499</v>
      </c>
      <c r="AL1774">
        <v>80.862395172608601</v>
      </c>
      <c r="AM1774">
        <v>89.399155871979005</v>
      </c>
      <c r="AN1774">
        <v>0.99999999669864603</v>
      </c>
    </row>
    <row r="1775" spans="1:40" x14ac:dyDescent="0.25">
      <c r="A1775" t="str">
        <f>"20190312164257171"</f>
        <v>20190312164257171</v>
      </c>
      <c r="B1775" t="str">
        <f>"1552380177166059"</f>
        <v>1552380177166059</v>
      </c>
      <c r="C1775" t="s">
        <v>40</v>
      </c>
      <c r="D1775">
        <v>4.2130979999999996</v>
      </c>
      <c r="E1775">
        <v>0.444608</v>
      </c>
      <c r="F1775" t="s">
        <v>46</v>
      </c>
      <c r="G1775">
        <v>-392.15390000000002</v>
      </c>
      <c r="H1775" s="1">
        <v>-3.9061539999999998E-7</v>
      </c>
      <c r="I1775">
        <v>281.99689999999998</v>
      </c>
      <c r="J1775">
        <v>-373.50560000000002</v>
      </c>
      <c r="K1775">
        <v>1.1096220000000001</v>
      </c>
      <c r="L1775">
        <v>284.6798</v>
      </c>
      <c r="M1775">
        <v>-0.9999112</v>
      </c>
      <c r="N1775">
        <v>0</v>
      </c>
      <c r="O1775">
        <v>6.9535810000000003E-3</v>
      </c>
      <c r="P1775">
        <v>-0.98883489999999996</v>
      </c>
      <c r="Q1775">
        <v>0.14800350000000001</v>
      </c>
      <c r="R1775">
        <v>1.7346899999999998E-2</v>
      </c>
      <c r="S1775">
        <v>-3.0677490000000001</v>
      </c>
      <c r="T1775">
        <v>-0.17807829999999999</v>
      </c>
      <c r="U1775">
        <v>-0.43005369999999998</v>
      </c>
      <c r="V1775">
        <v>1.0460240000000001E-2</v>
      </c>
      <c r="W1775">
        <v>0.15924160000000001</v>
      </c>
      <c r="X1775">
        <v>0.98718419999999896</v>
      </c>
      <c r="Y1775">
        <v>-0.14545959999999999</v>
      </c>
      <c r="Z1775">
        <v>-4.599255E-3</v>
      </c>
      <c r="AA1775">
        <v>0.9893535</v>
      </c>
      <c r="AB1775">
        <v>45</v>
      </c>
      <c r="AC1775">
        <v>-18.648299999999999</v>
      </c>
      <c r="AD1775">
        <v>-1.1096223906153999</v>
      </c>
      <c r="AE1775">
        <v>-2.6829000000000098</v>
      </c>
      <c r="AF1775">
        <v>-2.8027937463311798</v>
      </c>
      <c r="AG1775">
        <v>-1.1096223906153999</v>
      </c>
      <c r="AH1775">
        <v>18.5647952501139</v>
      </c>
      <c r="AI1775">
        <v>93.382275039664194</v>
      </c>
      <c r="AJ1775">
        <v>98.585312789513097</v>
      </c>
      <c r="AK1775">
        <v>18.8079381462424</v>
      </c>
      <c r="AL1775">
        <v>80.837121035671501</v>
      </c>
      <c r="AM1775">
        <v>89.392914537964899</v>
      </c>
      <c r="AN1775">
        <v>0.999999974260528</v>
      </c>
    </row>
    <row r="1776" spans="1:40" x14ac:dyDescent="0.25">
      <c r="A1776" t="str">
        <f>"20190312164257193"</f>
        <v>20190312164257193</v>
      </c>
      <c r="B1776" t="str">
        <f>"1552380177186122"</f>
        <v>1552380177186122</v>
      </c>
      <c r="C1776" t="s">
        <v>40</v>
      </c>
      <c r="D1776">
        <v>4.2162839999999999</v>
      </c>
      <c r="E1776">
        <v>0.44441419999999998</v>
      </c>
      <c r="F1776" t="s">
        <v>46</v>
      </c>
      <c r="G1776">
        <v>-392.86779999999999</v>
      </c>
      <c r="H1776" s="1">
        <v>-1.069208E-8</v>
      </c>
      <c r="I1776">
        <v>281.96050000000002</v>
      </c>
      <c r="J1776">
        <v>-373.9597</v>
      </c>
      <c r="K1776">
        <v>1.1096250000000001</v>
      </c>
      <c r="L1776">
        <v>284.68299999999999</v>
      </c>
      <c r="M1776">
        <v>-0.99991099999999999</v>
      </c>
      <c r="N1776">
        <v>0</v>
      </c>
      <c r="O1776">
        <v>6.9207720000000004E-3</v>
      </c>
      <c r="P1776">
        <v>-0.98877459999999995</v>
      </c>
      <c r="Q1776">
        <v>0.14841499999999999</v>
      </c>
      <c r="R1776">
        <v>1.7265079999999999E-2</v>
      </c>
      <c r="S1776">
        <v>-3.0677490000000001</v>
      </c>
      <c r="T1776">
        <v>-0.1758082</v>
      </c>
      <c r="U1776">
        <v>-0.43084719999999999</v>
      </c>
      <c r="V1776">
        <v>1.041107E-2</v>
      </c>
      <c r="W1776">
        <v>0.15969729999999999</v>
      </c>
      <c r="X1776">
        <v>0.98711119999999997</v>
      </c>
      <c r="Y1776">
        <v>-0.14568410000000001</v>
      </c>
      <c r="Z1776">
        <v>-4.5451659999999998E-3</v>
      </c>
      <c r="AA1776">
        <v>0.98932070000000005</v>
      </c>
      <c r="AB1776">
        <v>45</v>
      </c>
      <c r="AC1776">
        <v>-18.908099999999902</v>
      </c>
      <c r="AD1776">
        <v>-1.10962501069208</v>
      </c>
      <c r="AE1776">
        <v>-2.7224999999999602</v>
      </c>
      <c r="AF1776">
        <v>-2.84370728636185</v>
      </c>
      <c r="AG1776">
        <v>-1.10962501069208</v>
      </c>
      <c r="AH1776">
        <v>18.825287579705499</v>
      </c>
      <c r="AI1776">
        <v>93.335546146081697</v>
      </c>
      <c r="AJ1776">
        <v>98.590032469060802</v>
      </c>
      <c r="AK1776">
        <v>19.071166489060701</v>
      </c>
      <c r="AL1776">
        <v>80.810673771018401</v>
      </c>
      <c r="AM1776">
        <v>89.395723344837506</v>
      </c>
      <c r="AN1776">
        <v>1.0000000695856299</v>
      </c>
    </row>
    <row r="1777" spans="1:40" x14ac:dyDescent="0.25">
      <c r="A1777" t="str">
        <f>"20190312164257215"</f>
        <v>20190312164257215</v>
      </c>
      <c r="B1777" t="str">
        <f>"1552380177205638"</f>
        <v>1552380177205638</v>
      </c>
      <c r="C1777" t="s">
        <v>40</v>
      </c>
      <c r="D1777">
        <v>4.2301780000000004</v>
      </c>
      <c r="E1777">
        <v>0.44433549999999999</v>
      </c>
      <c r="F1777" t="s">
        <v>46</v>
      </c>
      <c r="G1777">
        <v>-393.32010000000002</v>
      </c>
      <c r="H1777" s="1">
        <v>2.3000020000000001E-7</v>
      </c>
      <c r="I1777">
        <v>281.95170000000002</v>
      </c>
      <c r="J1777">
        <v>-374.40010000000001</v>
      </c>
      <c r="K1777">
        <v>1.109634</v>
      </c>
      <c r="L1777">
        <v>284.68599999999998</v>
      </c>
      <c r="M1777">
        <v>-0.99991070000000004</v>
      </c>
      <c r="N1777">
        <v>0</v>
      </c>
      <c r="O1777">
        <v>6.8889390000000002E-3</v>
      </c>
      <c r="P1777">
        <v>-0.98881730000000001</v>
      </c>
      <c r="Q1777">
        <v>0.14812529999999999</v>
      </c>
      <c r="R1777">
        <v>1.7307949999999999E-2</v>
      </c>
      <c r="S1777">
        <v>-3.068085</v>
      </c>
      <c r="T1777">
        <v>-0.175844899999999</v>
      </c>
      <c r="U1777">
        <v>-0.43283080000000002</v>
      </c>
      <c r="V1777">
        <v>1.0485080000000001E-2</v>
      </c>
      <c r="W1777">
        <v>0.1594487</v>
      </c>
      <c r="X1777">
        <v>0.98715050000000004</v>
      </c>
      <c r="Y1777">
        <v>-0.14626400000000001</v>
      </c>
      <c r="Z1777">
        <v>-4.5601280000000001E-3</v>
      </c>
      <c r="AA1777">
        <v>0.98923510000000003</v>
      </c>
      <c r="AB1777">
        <v>46</v>
      </c>
      <c r="AC1777">
        <v>-18.920000000000002</v>
      </c>
      <c r="AD1777">
        <v>-1.1096337699998</v>
      </c>
      <c r="AE1777">
        <v>-2.7342999999999602</v>
      </c>
      <c r="AF1777">
        <v>-2.8549631491778098</v>
      </c>
      <c r="AG1777">
        <v>-1.1096337699998</v>
      </c>
      <c r="AH1777">
        <v>18.837244961961702</v>
      </c>
      <c r="AI1777">
        <v>93.333213070466698</v>
      </c>
      <c r="AJ1777">
        <v>98.618131296574106</v>
      </c>
      <c r="AK1777">
        <v>19.084650886082201</v>
      </c>
      <c r="AL1777">
        <v>80.825101440124598</v>
      </c>
      <c r="AM1777">
        <v>89.391452223712903</v>
      </c>
      <c r="AN1777">
        <v>0.99999996724227203</v>
      </c>
    </row>
    <row r="1778" spans="1:40" x14ac:dyDescent="0.25">
      <c r="A1778" t="str">
        <f>"20190312164257238"</f>
        <v>20190312164257238</v>
      </c>
      <c r="B1778" t="str">
        <f>"1552380177235895"</f>
        <v>1552380177235895</v>
      </c>
      <c r="C1778" t="s">
        <v>40</v>
      </c>
      <c r="D1778">
        <v>4.295242</v>
      </c>
      <c r="E1778">
        <v>0.44413449999999999</v>
      </c>
      <c r="F1778" t="s">
        <v>46</v>
      </c>
      <c r="G1778">
        <v>-393.41500000000002</v>
      </c>
      <c r="H1778" s="1">
        <v>2.8052789999999999E-7</v>
      </c>
      <c r="I1778">
        <v>282.00229999999999</v>
      </c>
      <c r="J1778">
        <v>-374.85820000000001</v>
      </c>
      <c r="K1778">
        <v>1.1096330000000001</v>
      </c>
      <c r="L1778">
        <v>284.6891</v>
      </c>
      <c r="M1778">
        <v>-0.99991050000000004</v>
      </c>
      <c r="N1778">
        <v>0</v>
      </c>
      <c r="O1778">
        <v>6.8555530000000003E-3</v>
      </c>
      <c r="P1778">
        <v>-0.98884399999999995</v>
      </c>
      <c r="Q1778">
        <v>0.14791599999999999</v>
      </c>
      <c r="R1778">
        <v>1.7564360000000001E-2</v>
      </c>
      <c r="S1778">
        <v>-3.068298</v>
      </c>
      <c r="T1778">
        <v>-0.1790534</v>
      </c>
      <c r="U1778">
        <v>-0.4330444</v>
      </c>
      <c r="V1778">
        <v>1.077405E-2</v>
      </c>
      <c r="W1778">
        <v>0.1592816</v>
      </c>
      <c r="X1778">
        <v>0.98717440000000001</v>
      </c>
      <c r="Y1778">
        <v>-0.14627999999999999</v>
      </c>
      <c r="Z1778">
        <v>-4.6413790000000002E-3</v>
      </c>
      <c r="AA1778">
        <v>0.98923240000000001</v>
      </c>
      <c r="AB1778">
        <v>46</v>
      </c>
      <c r="AC1778">
        <v>-18.556799999999999</v>
      </c>
      <c r="AD1778">
        <v>-1.1096327194721001</v>
      </c>
      <c r="AE1778">
        <v>-2.6867999999999999</v>
      </c>
      <c r="AF1778">
        <v>-2.80414168441134</v>
      </c>
      <c r="AG1778">
        <v>-1.1096327194721001</v>
      </c>
      <c r="AH1778">
        <v>18.4732459750537</v>
      </c>
      <c r="AI1778">
        <v>93.398617126248297</v>
      </c>
      <c r="AJ1778">
        <v>98.631307624936596</v>
      </c>
      <c r="AK1778">
        <v>18.717780643367199</v>
      </c>
      <c r="AL1778">
        <v>80.834799831928905</v>
      </c>
      <c r="AM1778">
        <v>89.374697029618105</v>
      </c>
      <c r="AN1778">
        <v>1.0000000021336599</v>
      </c>
    </row>
    <row r="1779" spans="1:40" x14ac:dyDescent="0.25">
      <c r="A1779" t="str">
        <f>"20190312164257261"</f>
        <v>20190312164257261</v>
      </c>
      <c r="B1779" t="str">
        <f>"1552380177256391"</f>
        <v>1552380177256391</v>
      </c>
      <c r="C1779" t="s">
        <v>40</v>
      </c>
      <c r="D1779">
        <v>4.2606630000000001</v>
      </c>
      <c r="E1779">
        <v>0.43216660000000001</v>
      </c>
      <c r="F1779" t="s">
        <v>46</v>
      </c>
      <c r="G1779">
        <v>-393.52170000000001</v>
      </c>
      <c r="H1779" s="1">
        <v>3.373032E-7</v>
      </c>
      <c r="I1779">
        <v>282.04910000000001</v>
      </c>
      <c r="J1779">
        <v>-375.32170000000002</v>
      </c>
      <c r="K1779">
        <v>1.1096349999999999</v>
      </c>
      <c r="L1779">
        <v>284.69229999999999</v>
      </c>
      <c r="M1779">
        <v>-0.99991010000000002</v>
      </c>
      <c r="N1779">
        <v>0</v>
      </c>
      <c r="O1779">
        <v>6.8220399999999997E-3</v>
      </c>
      <c r="P1779">
        <v>-0.98889110000000002</v>
      </c>
      <c r="Q1779">
        <v>0.1475844</v>
      </c>
      <c r="R1779">
        <v>1.7696369999999999E-2</v>
      </c>
      <c r="S1779">
        <v>-3.0688780000000002</v>
      </c>
      <c r="T1779">
        <v>-0.18245900000000001</v>
      </c>
      <c r="U1779">
        <v>-0.43411250000000001</v>
      </c>
      <c r="V1779">
        <v>1.093892E-2</v>
      </c>
      <c r="W1779">
        <v>0.15899260000000001</v>
      </c>
      <c r="X1779">
        <v>0.98721919999999996</v>
      </c>
      <c r="Y1779">
        <v>-0.1465484</v>
      </c>
      <c r="Z1779">
        <v>-4.7344609999999997E-3</v>
      </c>
      <c r="AA1779">
        <v>0.98919219999999997</v>
      </c>
      <c r="AB1779">
        <v>46</v>
      </c>
      <c r="AC1779">
        <v>-18.1999999999999</v>
      </c>
      <c r="AD1779">
        <v>-1.1096346626967999</v>
      </c>
      <c r="AE1779">
        <v>-2.6431999999999798</v>
      </c>
      <c r="AF1779">
        <v>-2.7572702421891302</v>
      </c>
      <c r="AG1779">
        <v>-1.1096346626967999</v>
      </c>
      <c r="AH1779">
        <v>18.115594695242802</v>
      </c>
      <c r="AI1779">
        <v>93.465348891148693</v>
      </c>
      <c r="AJ1779">
        <v>98.654239814185701</v>
      </c>
      <c r="AK1779">
        <v>18.3577939697402</v>
      </c>
      <c r="AL1779">
        <v>80.851572286263703</v>
      </c>
      <c r="AM1779">
        <v>89.365157910501907</v>
      </c>
      <c r="AN1779">
        <v>1.00000002783708</v>
      </c>
    </row>
    <row r="1780" spans="1:40" x14ac:dyDescent="0.25">
      <c r="A1780" t="str">
        <f>"20190312164257286"</f>
        <v>20190312164257286</v>
      </c>
      <c r="B1780" t="str">
        <f>"1552380177275518"</f>
        <v>1552380177275518</v>
      </c>
      <c r="C1780" t="s">
        <v>40</v>
      </c>
      <c r="D1780">
        <v>4.2189209999999999</v>
      </c>
      <c r="E1780">
        <v>0.4315118</v>
      </c>
      <c r="F1780" t="s">
        <v>46</v>
      </c>
      <c r="G1780">
        <v>-394.93599999999998</v>
      </c>
      <c r="H1780" s="1">
        <v>1.089903E-6</v>
      </c>
      <c r="I1780">
        <v>281.31</v>
      </c>
      <c r="J1780">
        <v>-375.8021</v>
      </c>
      <c r="K1780">
        <v>1.109634</v>
      </c>
      <c r="L1780">
        <v>284.69560000000001</v>
      </c>
      <c r="M1780">
        <v>-0.99990990000000002</v>
      </c>
      <c r="N1780">
        <v>0</v>
      </c>
      <c r="O1780">
        <v>6.786851E-3</v>
      </c>
      <c r="P1780">
        <v>-0.98891459999999998</v>
      </c>
      <c r="Q1780">
        <v>0.147417299999999</v>
      </c>
      <c r="R1780">
        <v>1.7787109999999998E-2</v>
      </c>
      <c r="S1780">
        <v>-3.0690919999999999</v>
      </c>
      <c r="T1780">
        <v>-0.17362729999999901</v>
      </c>
      <c r="U1780">
        <v>-0.52923580000000003</v>
      </c>
      <c r="V1780">
        <v>1.106442E-2</v>
      </c>
      <c r="W1780">
        <v>0.15887019999999999</v>
      </c>
      <c r="X1780">
        <v>0.98723749999999999</v>
      </c>
      <c r="Y1780">
        <v>-0.17633279999999901</v>
      </c>
      <c r="Z1780">
        <v>-5.3283360000000004E-3</v>
      </c>
      <c r="AA1780">
        <v>0.98431619999999997</v>
      </c>
      <c r="AB1780">
        <v>46</v>
      </c>
      <c r="AC1780">
        <v>-19.133899999999901</v>
      </c>
      <c r="AD1780">
        <v>-1.1096329100969999</v>
      </c>
      <c r="AE1780">
        <v>-3.3856000000000099</v>
      </c>
      <c r="AF1780">
        <v>-3.50396291019816</v>
      </c>
      <c r="AG1780">
        <v>-1.1096329100969999</v>
      </c>
      <c r="AH1780">
        <v>19.0483617127631</v>
      </c>
      <c r="AI1780">
        <v>93.279016490410697</v>
      </c>
      <c r="AJ1780">
        <v>100.42308632716799</v>
      </c>
      <c r="AK1780">
        <v>19.399719719920601</v>
      </c>
      <c r="AL1780">
        <v>80.858675517619901</v>
      </c>
      <c r="AM1780">
        <v>89.357887004774</v>
      </c>
      <c r="AN1780">
        <v>1.0000000216221101</v>
      </c>
    </row>
    <row r="1781" spans="1:40" x14ac:dyDescent="0.25">
      <c r="A1781" t="str">
        <f>"20190312164257307"</f>
        <v>20190312164257307</v>
      </c>
      <c r="B1781" t="str">
        <f>"1552380177296004"</f>
        <v>1552380177296004</v>
      </c>
      <c r="C1781" t="s">
        <v>40</v>
      </c>
      <c r="D1781">
        <v>4.2150530000000002</v>
      </c>
      <c r="E1781">
        <v>0.43115110000000001</v>
      </c>
      <c r="F1781" t="s">
        <v>46</v>
      </c>
      <c r="G1781">
        <v>-394.68450000000001</v>
      </c>
      <c r="H1781" s="1">
        <v>9.5609359999999991E-7</v>
      </c>
      <c r="I1781">
        <v>281.40690000000001</v>
      </c>
      <c r="J1781">
        <v>-376.24849999999998</v>
      </c>
      <c r="K1781">
        <v>1.1096440000000001</v>
      </c>
      <c r="L1781">
        <v>284.69850000000002</v>
      </c>
      <c r="M1781">
        <v>-0.99990959999999995</v>
      </c>
      <c r="N1781">
        <v>0</v>
      </c>
      <c r="O1781">
        <v>6.7541959999999996E-3</v>
      </c>
      <c r="P1781">
        <v>-0.98887579999999997</v>
      </c>
      <c r="Q1781">
        <v>0.1476452</v>
      </c>
      <c r="R1781">
        <v>1.8054830000000001E-2</v>
      </c>
      <c r="S1781">
        <v>-3.0700989999999999</v>
      </c>
      <c r="T1781">
        <v>-0.1804153</v>
      </c>
      <c r="U1781">
        <v>-0.53469849999999997</v>
      </c>
      <c r="V1781">
        <v>1.136477E-2</v>
      </c>
      <c r="W1781">
        <v>0.1591371</v>
      </c>
      <c r="X1781">
        <v>0.98719109999999999</v>
      </c>
      <c r="Y1781">
        <v>-0.17792169999999999</v>
      </c>
      <c r="Z1781">
        <v>-5.5780830000000002E-3</v>
      </c>
      <c r="AA1781">
        <v>0.98402880000000004</v>
      </c>
      <c r="AB1781">
        <v>46</v>
      </c>
      <c r="AC1781">
        <v>-18.436</v>
      </c>
      <c r="AD1781">
        <v>-1.1096430439064</v>
      </c>
      <c r="AE1781">
        <v>-3.2916000000000101</v>
      </c>
      <c r="AF1781">
        <v>-3.4041025854429399</v>
      </c>
      <c r="AG1781">
        <v>-1.1096430439064</v>
      </c>
      <c r="AH1781">
        <v>18.348926533554799</v>
      </c>
      <c r="AI1781">
        <v>93.402798456582701</v>
      </c>
      <c r="AJ1781">
        <v>100.510052705395</v>
      </c>
      <c r="AK1781">
        <v>18.694981332724002</v>
      </c>
      <c r="AL1781">
        <v>80.843186216049205</v>
      </c>
      <c r="AM1781">
        <v>89.340427003108104</v>
      </c>
      <c r="AN1781">
        <v>1.00000002125638</v>
      </c>
    </row>
    <row r="1782" spans="1:40" x14ac:dyDescent="0.25">
      <c r="A1782" t="str">
        <f>"20190312164257351"</f>
        <v>20190312164257351</v>
      </c>
      <c r="B1782" t="str">
        <f>"1552380177345780"</f>
        <v>1552380177345780</v>
      </c>
      <c r="C1782" t="s">
        <v>40</v>
      </c>
      <c r="D1782">
        <v>4.3463149999999997</v>
      </c>
      <c r="E1782">
        <v>0.43164409999999998</v>
      </c>
      <c r="F1782" t="s">
        <v>46</v>
      </c>
      <c r="G1782">
        <v>-395.11279999999999</v>
      </c>
      <c r="H1782" s="1">
        <v>1.1839809999999999E-6</v>
      </c>
      <c r="I1782">
        <v>281.40140000000002</v>
      </c>
      <c r="J1782">
        <v>-377.14280000000002</v>
      </c>
      <c r="K1782">
        <v>1.10965</v>
      </c>
      <c r="L1782">
        <v>284.7045</v>
      </c>
      <c r="M1782">
        <v>-0.9999093</v>
      </c>
      <c r="N1782">
        <v>0</v>
      </c>
      <c r="O1782">
        <v>6.6889069999999896E-3</v>
      </c>
      <c r="P1782">
        <v>-0.98877660000000001</v>
      </c>
      <c r="Q1782">
        <v>0.14825199999999999</v>
      </c>
      <c r="R1782">
        <v>1.8505319999999999E-2</v>
      </c>
      <c r="S1782">
        <v>-3.0705260000000001</v>
      </c>
      <c r="T1782">
        <v>-0.1806161</v>
      </c>
      <c r="U1782">
        <v>-0.53668209999999905</v>
      </c>
      <c r="V1782">
        <v>1.1880190000000001E-2</v>
      </c>
      <c r="W1782">
        <v>0.15981589999999901</v>
      </c>
      <c r="X1782">
        <v>0.98707529999999999</v>
      </c>
      <c r="Y1782">
        <v>-0.17844989999999999</v>
      </c>
      <c r="Z1782">
        <v>-5.5948069999999898E-3</v>
      </c>
      <c r="AA1782">
        <v>0.9839331</v>
      </c>
      <c r="AB1782">
        <v>46</v>
      </c>
      <c r="AC1782">
        <v>-17.969999999999899</v>
      </c>
      <c r="AD1782">
        <v>-1.1096488160189999</v>
      </c>
      <c r="AE1782">
        <v>-3.3030999999999699</v>
      </c>
      <c r="AF1782">
        <v>-3.4106539402182898</v>
      </c>
      <c r="AG1782">
        <v>-1.1096488160189999</v>
      </c>
      <c r="AH1782">
        <v>17.8815470979238</v>
      </c>
      <c r="AI1782">
        <v>93.488241150751307</v>
      </c>
      <c r="AJ1782">
        <v>100.798659441006</v>
      </c>
      <c r="AK1782">
        <v>18.237697426212701</v>
      </c>
      <c r="AL1782">
        <v>80.803789011902396</v>
      </c>
      <c r="AM1782">
        <v>89.310435706531393</v>
      </c>
      <c r="AN1782">
        <v>0.99999995433866695</v>
      </c>
    </row>
    <row r="1783" spans="1:40" x14ac:dyDescent="0.25">
      <c r="A1783" t="str">
        <f>"20190312164257373"</f>
        <v>20190312164257373</v>
      </c>
      <c r="B1783" t="str">
        <f>"1552380177366279"</f>
        <v>1552380177366279</v>
      </c>
      <c r="C1783" t="s">
        <v>40</v>
      </c>
      <c r="D1783">
        <v>4.3245879999999897</v>
      </c>
      <c r="E1783">
        <v>0.43160660000000001</v>
      </c>
      <c r="F1783" t="s">
        <v>46</v>
      </c>
      <c r="G1783">
        <v>-396.69979999999998</v>
      </c>
      <c r="H1783" s="1">
        <v>2.0285199999999998E-6</v>
      </c>
      <c r="I1783">
        <v>281.3177</v>
      </c>
      <c r="J1783">
        <v>-377.60759999999999</v>
      </c>
      <c r="K1783">
        <v>1.1096600000000001</v>
      </c>
      <c r="L1783">
        <v>284.70760000000001</v>
      </c>
      <c r="M1783">
        <v>-0.99990900000000005</v>
      </c>
      <c r="N1783">
        <v>0</v>
      </c>
      <c r="O1783">
        <v>6.6555989999999999E-3</v>
      </c>
      <c r="P1783">
        <v>-0.98875000000000002</v>
      </c>
      <c r="Q1783">
        <v>0.14841940000000001</v>
      </c>
      <c r="R1783">
        <v>1.8583140000000001E-2</v>
      </c>
      <c r="S1783">
        <v>-3.0701290000000001</v>
      </c>
      <c r="T1783">
        <v>-0.17419660000000001</v>
      </c>
      <c r="U1783">
        <v>-0.53167719999999996</v>
      </c>
      <c r="V1783">
        <v>1.199103E-2</v>
      </c>
      <c r="W1783">
        <v>0.1600202</v>
      </c>
      <c r="X1783">
        <v>0.9870409</v>
      </c>
      <c r="Y1783">
        <v>-0.1769056</v>
      </c>
      <c r="Z1783">
        <v>-5.352374E-3</v>
      </c>
      <c r="AA1783">
        <v>0.98421329999999996</v>
      </c>
      <c r="AB1783">
        <v>46</v>
      </c>
      <c r="AC1783">
        <v>-19.092199999999899</v>
      </c>
      <c r="AD1783">
        <v>-1.1096579714799999</v>
      </c>
      <c r="AE1783">
        <v>-3.3899000000000101</v>
      </c>
      <c r="AF1783">
        <v>-3.5054240796841598</v>
      </c>
      <c r="AG1783">
        <v>-1.1096579714799999</v>
      </c>
      <c r="AH1783">
        <v>19.006969455090701</v>
      </c>
      <c r="AI1783">
        <v>93.285936862008199</v>
      </c>
      <c r="AJ1783">
        <v>100.449545844741</v>
      </c>
      <c r="AK1783">
        <v>19.359344685677002</v>
      </c>
      <c r="AL1783">
        <v>80.791931238785196</v>
      </c>
      <c r="AM1783">
        <v>89.303978573467006</v>
      </c>
      <c r="AN1783">
        <v>0.99999999374065496</v>
      </c>
    </row>
    <row r="1784" spans="1:40" x14ac:dyDescent="0.25">
      <c r="A1784" t="str">
        <f>"20190312164257395"</f>
        <v>20190312164257395</v>
      </c>
      <c r="B1784" t="str">
        <f>"1552380177386400"</f>
        <v>1552380177386400</v>
      </c>
      <c r="C1784" t="s">
        <v>40</v>
      </c>
      <c r="D1784">
        <v>4.3197939999999999</v>
      </c>
      <c r="E1784">
        <v>0.43095559999999999</v>
      </c>
      <c r="F1784" t="s">
        <v>46</v>
      </c>
      <c r="G1784">
        <v>-397.48</v>
      </c>
      <c r="H1784" s="1">
        <v>2.4436990000000002E-6</v>
      </c>
      <c r="I1784">
        <v>281.26710000000003</v>
      </c>
      <c r="J1784">
        <v>-378.04989999999998</v>
      </c>
      <c r="K1784">
        <v>1.109666</v>
      </c>
      <c r="L1784">
        <v>284.7106</v>
      </c>
      <c r="M1784">
        <v>-0.99990880000000004</v>
      </c>
      <c r="N1784">
        <v>0</v>
      </c>
      <c r="O1784">
        <v>6.6234400000000004E-3</v>
      </c>
      <c r="P1784">
        <v>-0.98871109999999895</v>
      </c>
      <c r="Q1784">
        <v>0.14866299999999999</v>
      </c>
      <c r="R1784">
        <v>1.8707350000000001E-2</v>
      </c>
      <c r="S1784">
        <v>-3.069855</v>
      </c>
      <c r="T1784">
        <v>-0.17141799999999999</v>
      </c>
      <c r="U1784">
        <v>-0.53149409999999997</v>
      </c>
      <c r="V1784">
        <v>1.2147160000000001E-2</v>
      </c>
      <c r="W1784">
        <v>0.16029839999999901</v>
      </c>
      <c r="X1784">
        <v>0.98699380000000003</v>
      </c>
      <c r="Y1784">
        <v>-0.1768409</v>
      </c>
      <c r="Z1784">
        <v>-5.2640459999999997E-3</v>
      </c>
      <c r="AA1784">
        <v>0.98422540000000003</v>
      </c>
      <c r="AB1784">
        <v>46</v>
      </c>
      <c r="AC1784">
        <v>-19.430099999999999</v>
      </c>
      <c r="AD1784">
        <v>-1.109663556301</v>
      </c>
      <c r="AE1784">
        <v>-3.44349999999997</v>
      </c>
      <c r="AF1784">
        <v>-3.56086697530333</v>
      </c>
      <c r="AG1784">
        <v>-1.109663556301</v>
      </c>
      <c r="AH1784">
        <v>19.345687655324198</v>
      </c>
      <c r="AI1784">
        <v>93.2287518390836</v>
      </c>
      <c r="AJ1784">
        <v>100.429419279589</v>
      </c>
      <c r="AK1784">
        <v>19.701948068182201</v>
      </c>
      <c r="AL1784">
        <v>80.775782654096204</v>
      </c>
      <c r="AM1784">
        <v>89.294883245805906</v>
      </c>
      <c r="AN1784">
        <v>0.99999994588853103</v>
      </c>
    </row>
    <row r="1785" spans="1:40" x14ac:dyDescent="0.25">
      <c r="A1785" t="str">
        <f>"20190312164257416"</f>
        <v>20190312164257416</v>
      </c>
      <c r="B1785" t="str">
        <f>"1552380177405918"</f>
        <v>1552380177405918</v>
      </c>
      <c r="C1785" t="s">
        <v>40</v>
      </c>
      <c r="D1785">
        <v>4.330622</v>
      </c>
      <c r="E1785">
        <v>0.43041180000000001</v>
      </c>
      <c r="F1785" t="s">
        <v>46</v>
      </c>
      <c r="G1785">
        <v>-397.55869999999999</v>
      </c>
      <c r="H1785" s="1">
        <v>2.4855819999999999E-6</v>
      </c>
      <c r="I1785">
        <v>281.30070000000001</v>
      </c>
      <c r="J1785">
        <v>-378.50110000000001</v>
      </c>
      <c r="K1785">
        <v>1.109677</v>
      </c>
      <c r="L1785">
        <v>284.71350000000001</v>
      </c>
      <c r="M1785">
        <v>-0.99990860000000004</v>
      </c>
      <c r="N1785">
        <v>0</v>
      </c>
      <c r="O1785">
        <v>6.5912590000000004E-3</v>
      </c>
      <c r="P1785">
        <v>-0.9885929</v>
      </c>
      <c r="Q1785">
        <v>0.1494856</v>
      </c>
      <c r="R1785">
        <v>1.8392680000000002E-2</v>
      </c>
      <c r="S1785">
        <v>-3.0706790000000002</v>
      </c>
      <c r="T1785">
        <v>-0.17466019999999999</v>
      </c>
      <c r="U1785">
        <v>-0.53671259999999998</v>
      </c>
      <c r="V1785">
        <v>1.186503E-2</v>
      </c>
      <c r="W1785">
        <v>0.161157299999999</v>
      </c>
      <c r="X1785">
        <v>0.9868574</v>
      </c>
      <c r="Y1785">
        <v>-0.17837549999999999</v>
      </c>
      <c r="Z1785">
        <v>-5.4027320000000004E-3</v>
      </c>
      <c r="AA1785">
        <v>0.98394769999999998</v>
      </c>
      <c r="AB1785">
        <v>46</v>
      </c>
      <c r="AC1785">
        <v>-19.057599999999901</v>
      </c>
      <c r="AD1785">
        <v>-1.109674514418</v>
      </c>
      <c r="AE1785">
        <v>-3.4127999999999998</v>
      </c>
      <c r="AF1785">
        <v>-3.5267624848238301</v>
      </c>
      <c r="AG1785">
        <v>-1.109674514418</v>
      </c>
      <c r="AH1785">
        <v>18.972363993634399</v>
      </c>
      <c r="AI1785">
        <v>93.291107116289197</v>
      </c>
      <c r="AJ1785">
        <v>100.530486094102</v>
      </c>
      <c r="AK1785">
        <v>19.3292531324742</v>
      </c>
      <c r="AL1785">
        <v>80.725923491438905</v>
      </c>
      <c r="AM1785">
        <v>89.311163508511001</v>
      </c>
      <c r="AN1785">
        <v>0.99999999110747495</v>
      </c>
    </row>
    <row r="1786" spans="1:40" x14ac:dyDescent="0.25">
      <c r="A1786" t="str">
        <f>"20190312164257439"</f>
        <v>20190312164257439</v>
      </c>
      <c r="B1786" t="str">
        <f>"1552380177436174"</f>
        <v>1552380177436174</v>
      </c>
      <c r="C1786" t="s">
        <v>40</v>
      </c>
      <c r="D1786">
        <v>4.3254010000000003</v>
      </c>
      <c r="E1786">
        <v>0.43004690000000001</v>
      </c>
      <c r="F1786" t="s">
        <v>46</v>
      </c>
      <c r="G1786">
        <v>-397.91449999999998</v>
      </c>
      <c r="H1786" s="1">
        <v>2.6748889999999999E-6</v>
      </c>
      <c r="I1786">
        <v>281.2867</v>
      </c>
      <c r="J1786">
        <v>-378.9554</v>
      </c>
      <c r="K1786">
        <v>1.10968</v>
      </c>
      <c r="L1786">
        <v>284.7165</v>
      </c>
      <c r="M1786">
        <v>-0.99990829999999997</v>
      </c>
      <c r="N1786">
        <v>0</v>
      </c>
      <c r="O1786">
        <v>6.5580999999999999E-3</v>
      </c>
      <c r="P1786">
        <v>-0.98860000000000003</v>
      </c>
      <c r="Q1786">
        <v>0.14941470000000001</v>
      </c>
      <c r="R1786">
        <v>1.8585109999999998E-2</v>
      </c>
      <c r="S1786">
        <v>-3.071259</v>
      </c>
      <c r="T1786">
        <v>-0.17555389999999901</v>
      </c>
      <c r="U1786">
        <v>-0.54214479999999998</v>
      </c>
      <c r="V1786">
        <v>1.209027E-2</v>
      </c>
      <c r="W1786">
        <v>0.16112950000000001</v>
      </c>
      <c r="X1786">
        <v>0.98685919999999905</v>
      </c>
      <c r="Y1786">
        <v>-0.17999399999999999</v>
      </c>
      <c r="Z1786">
        <v>-5.4724910000000003E-3</v>
      </c>
      <c r="AA1786">
        <v>0.98365250000000004</v>
      </c>
      <c r="AB1786">
        <v>46</v>
      </c>
      <c r="AC1786">
        <v>-18.9590999999999</v>
      </c>
      <c r="AD1786">
        <v>-1.1096773251109999</v>
      </c>
      <c r="AE1786">
        <v>-3.4298000000000002</v>
      </c>
      <c r="AF1786">
        <v>-3.54232002608035</v>
      </c>
      <c r="AG1786">
        <v>-1.1096773251109999</v>
      </c>
      <c r="AH1786">
        <v>18.873590078199999</v>
      </c>
      <c r="AI1786">
        <v>93.307230600832199</v>
      </c>
      <c r="AJ1786">
        <v>100.629983434024</v>
      </c>
      <c r="AK1786">
        <v>19.235171363233601</v>
      </c>
      <c r="AL1786">
        <v>80.727537354029806</v>
      </c>
      <c r="AM1786">
        <v>89.298089545444498</v>
      </c>
      <c r="AN1786">
        <v>0.99999998551178104</v>
      </c>
    </row>
    <row r="1787" spans="1:40" x14ac:dyDescent="0.25">
      <c r="A1787" t="str">
        <f>"20190312164257462"</f>
        <v>20190312164257462</v>
      </c>
      <c r="B1787" t="str">
        <f>"1552380177455698"</f>
        <v>1552380177455698</v>
      </c>
      <c r="C1787" t="s">
        <v>40</v>
      </c>
      <c r="D1787">
        <v>4.35358</v>
      </c>
      <c r="E1787">
        <v>0.42986439999999998</v>
      </c>
      <c r="F1787" t="s">
        <v>46</v>
      </c>
      <c r="G1787">
        <v>-398.5761</v>
      </c>
      <c r="H1787" s="1">
        <v>3.0269729999999999E-6</v>
      </c>
      <c r="I1787">
        <v>281.23410000000001</v>
      </c>
      <c r="J1787">
        <v>-379.42309999999998</v>
      </c>
      <c r="K1787">
        <v>1.1096839999999999</v>
      </c>
      <c r="L1787">
        <v>284.71960000000001</v>
      </c>
      <c r="M1787">
        <v>-0.99990789999999996</v>
      </c>
      <c r="N1787">
        <v>0</v>
      </c>
      <c r="O1787">
        <v>6.5238319999999898E-3</v>
      </c>
      <c r="P1787">
        <v>-0.98859609999999998</v>
      </c>
      <c r="Q1787">
        <v>0.14938399999999999</v>
      </c>
      <c r="R1787">
        <v>1.9035010000000002E-2</v>
      </c>
      <c r="S1787">
        <v>-3.0711059999999999</v>
      </c>
      <c r="T1787">
        <v>-0.1736906</v>
      </c>
      <c r="U1787">
        <v>-0.54507450000000002</v>
      </c>
      <c r="V1787">
        <v>1.2573910000000001E-2</v>
      </c>
      <c r="W1787">
        <v>0.1611465</v>
      </c>
      <c r="X1787">
        <v>0.98685040000000002</v>
      </c>
      <c r="Y1787">
        <v>-0.1808834</v>
      </c>
      <c r="Z1787">
        <v>-5.437328E-3</v>
      </c>
      <c r="AA1787">
        <v>0.98348950000000002</v>
      </c>
      <c r="AB1787">
        <v>46</v>
      </c>
      <c r="AC1787">
        <v>-19.152999999999999</v>
      </c>
      <c r="AD1787">
        <v>-1.1096809730270001</v>
      </c>
      <c r="AE1787">
        <v>-3.4855</v>
      </c>
      <c r="AF1787">
        <v>-3.5986928409305801</v>
      </c>
      <c r="AG1787">
        <v>-1.1096809730270001</v>
      </c>
      <c r="AH1787">
        <v>19.067897015475399</v>
      </c>
      <c r="AI1787">
        <v>93.272993725895404</v>
      </c>
      <c r="AJ1787">
        <v>100.687745499089</v>
      </c>
      <c r="AK1787">
        <v>19.436220790525098</v>
      </c>
      <c r="AL1787">
        <v>80.7265506092115</v>
      </c>
      <c r="AM1787">
        <v>89.270007903248697</v>
      </c>
      <c r="AN1787">
        <v>1.0000000048275399</v>
      </c>
    </row>
    <row r="1788" spans="1:40" x14ac:dyDescent="0.25">
      <c r="A1788" t="str">
        <f>"20190312164257484"</f>
        <v>20190312164257484</v>
      </c>
      <c r="B1788" t="str">
        <f>"1552380177476231"</f>
        <v>1552380177476231</v>
      </c>
      <c r="C1788" t="s">
        <v>40</v>
      </c>
      <c r="D1788">
        <v>4.5221109999999998</v>
      </c>
      <c r="E1788">
        <v>0.45949109999999999</v>
      </c>
      <c r="F1788" t="s">
        <v>46</v>
      </c>
      <c r="G1788">
        <v>-398.82049999999998</v>
      </c>
      <c r="H1788" s="1">
        <v>3.1570290000000002E-6</v>
      </c>
      <c r="I1788">
        <v>281.27420000000001</v>
      </c>
      <c r="J1788">
        <v>-379.88690000000003</v>
      </c>
      <c r="K1788">
        <v>1.1096919999999999</v>
      </c>
      <c r="L1788">
        <v>284.7226</v>
      </c>
      <c r="M1788">
        <v>-0.99990760000000001</v>
      </c>
      <c r="N1788">
        <v>0</v>
      </c>
      <c r="O1788">
        <v>6.4891289999999997E-3</v>
      </c>
      <c r="P1788">
        <v>-0.98861849999999996</v>
      </c>
      <c r="Q1788">
        <v>0.14919399999999999</v>
      </c>
      <c r="R1788">
        <v>1.9358549999999999E-2</v>
      </c>
      <c r="S1788">
        <v>-3.0716860000000001</v>
      </c>
      <c r="T1788">
        <v>-0.1757243</v>
      </c>
      <c r="U1788">
        <v>-0.54559329999999995</v>
      </c>
      <c r="V1788">
        <v>1.293147E-2</v>
      </c>
      <c r="W1788">
        <v>0.1610067</v>
      </c>
      <c r="X1788">
        <v>0.98686859999999998</v>
      </c>
      <c r="Y1788">
        <v>-0.18097160000000001</v>
      </c>
      <c r="Z1788">
        <v>-5.5003219999999898E-3</v>
      </c>
      <c r="AA1788">
        <v>0.98347289999999998</v>
      </c>
      <c r="AB1788">
        <v>46</v>
      </c>
      <c r="AC1788">
        <v>-18.933599999999899</v>
      </c>
      <c r="AD1788">
        <v>-1.1096888429709999</v>
      </c>
      <c r="AE1788">
        <v>-3.4483999999999901</v>
      </c>
      <c r="AF1788">
        <v>-3.55936460347574</v>
      </c>
      <c r="AG1788">
        <v>-1.1096888429709999</v>
      </c>
      <c r="AH1788">
        <v>18.848156535098902</v>
      </c>
      <c r="AI1788">
        <v>93.311022324505799</v>
      </c>
      <c r="AJ1788">
        <v>100.694037151118</v>
      </c>
      <c r="AK1788">
        <v>19.213367494540901</v>
      </c>
      <c r="AL1788">
        <v>80.734666558132204</v>
      </c>
      <c r="AM1788">
        <v>89.249265553330503</v>
      </c>
      <c r="AN1788">
        <v>1.0000000070135999</v>
      </c>
    </row>
    <row r="1789" spans="1:40" x14ac:dyDescent="0.25">
      <c r="A1789" t="str">
        <f>"20190312164257507"</f>
        <v>20190312164257507</v>
      </c>
      <c r="B1789" t="str">
        <f>"1552380177495704"</f>
        <v>1552380177495704</v>
      </c>
      <c r="C1789" t="s">
        <v>40</v>
      </c>
      <c r="D1789">
        <v>4.4566919999999897</v>
      </c>
      <c r="E1789">
        <v>0.47772700000000001</v>
      </c>
      <c r="F1789" t="s">
        <v>46</v>
      </c>
      <c r="G1789">
        <v>-397.084</v>
      </c>
      <c r="H1789" s="1">
        <v>2.2329900000000002E-6</v>
      </c>
      <c r="I1789">
        <v>282.99110000000002</v>
      </c>
      <c r="J1789">
        <v>-380.33510000000001</v>
      </c>
      <c r="K1789">
        <v>1.1096999999999999</v>
      </c>
      <c r="L1789">
        <v>284.72550000000001</v>
      </c>
      <c r="M1789">
        <v>-0.99990710000000005</v>
      </c>
      <c r="N1789">
        <v>0</v>
      </c>
      <c r="O1789">
        <v>6.4548440000000004E-3</v>
      </c>
      <c r="P1789">
        <v>-0.98860199999999998</v>
      </c>
      <c r="Q1789">
        <v>0.14929329999999999</v>
      </c>
      <c r="R1789">
        <v>1.9436800000000001E-2</v>
      </c>
      <c r="S1789">
        <v>-3.070465</v>
      </c>
      <c r="T1789">
        <v>-0.19812920000000001</v>
      </c>
      <c r="U1789">
        <v>-0.309143099999999</v>
      </c>
      <c r="V1789">
        <v>1.3043310000000001E-2</v>
      </c>
      <c r="W1789">
        <v>0.16115450000000001</v>
      </c>
      <c r="X1789">
        <v>0.98684300000000003</v>
      </c>
      <c r="Y1789">
        <v>-0.1063648</v>
      </c>
      <c r="Z1789">
        <v>-3.8346370000000001E-3</v>
      </c>
      <c r="AA1789">
        <v>0.99431979999999998</v>
      </c>
      <c r="AB1789">
        <v>46</v>
      </c>
      <c r="AC1789">
        <v>-16.7488999999999</v>
      </c>
      <c r="AD1789">
        <v>-1.1096977670099999</v>
      </c>
      <c r="AE1789">
        <v>-1.7343999999999899</v>
      </c>
      <c r="AF1789">
        <v>-1.83451561869091</v>
      </c>
      <c r="AG1789">
        <v>-1.1096977670099999</v>
      </c>
      <c r="AH1789">
        <v>16.664976482748799</v>
      </c>
      <c r="AI1789">
        <v>93.786814599617401</v>
      </c>
      <c r="AJ1789">
        <v>96.281946231321697</v>
      </c>
      <c r="AK1789">
        <v>16.802330727012201</v>
      </c>
      <c r="AL1789">
        <v>80.726086162428302</v>
      </c>
      <c r="AM1789">
        <v>89.242753811432195</v>
      </c>
      <c r="AN1789">
        <v>1.0000000037275001</v>
      </c>
    </row>
    <row r="1790" spans="1:40" x14ac:dyDescent="0.25">
      <c r="A1790" t="str">
        <f>"20190312164257529"</f>
        <v>20190312164257529</v>
      </c>
      <c r="B1790" t="str">
        <f>"1552380177525961"</f>
        <v>1552380177525961</v>
      </c>
      <c r="C1790" t="s">
        <v>40</v>
      </c>
      <c r="D1790">
        <v>4.4627489999999996</v>
      </c>
      <c r="E1790">
        <v>0.49010979999999998</v>
      </c>
      <c r="F1790" t="s">
        <v>46</v>
      </c>
      <c r="G1790">
        <v>-397.67349999999999</v>
      </c>
      <c r="H1790" s="1">
        <v>2.54665E-6</v>
      </c>
      <c r="I1790">
        <v>283.80399999999997</v>
      </c>
      <c r="J1790">
        <v>-380.79430000000002</v>
      </c>
      <c r="K1790">
        <v>1.109707</v>
      </c>
      <c r="L1790">
        <v>284.72840000000002</v>
      </c>
      <c r="M1790">
        <v>-0.99990679999999998</v>
      </c>
      <c r="N1790">
        <v>0</v>
      </c>
      <c r="O1790">
        <v>6.4153269999999898E-3</v>
      </c>
      <c r="P1790">
        <v>-0.98854039999999999</v>
      </c>
      <c r="Q1790">
        <v>0.14964720000000001</v>
      </c>
      <c r="R1790">
        <v>1.9848540000000001E-2</v>
      </c>
      <c r="S1790">
        <v>-3.0674739999999998</v>
      </c>
      <c r="T1790">
        <v>-0.19632630000000001</v>
      </c>
      <c r="U1790">
        <v>-0.1630249</v>
      </c>
      <c r="V1790">
        <v>1.3493420000000001E-2</v>
      </c>
      <c r="W1790">
        <v>0.1615597</v>
      </c>
      <c r="X1790">
        <v>0.9867707</v>
      </c>
      <c r="Y1790">
        <v>-5.9342880000000001E-2</v>
      </c>
      <c r="Z1790">
        <v>-2.305709E-3</v>
      </c>
      <c r="AA1790">
        <v>0.99823499999999998</v>
      </c>
      <c r="AB1790">
        <v>46</v>
      </c>
      <c r="AC1790">
        <v>-16.879199999999901</v>
      </c>
      <c r="AD1790">
        <v>-1.10970445335</v>
      </c>
      <c r="AE1790">
        <v>-0.92439999999999101</v>
      </c>
      <c r="AF1790">
        <v>-1.02824338047861</v>
      </c>
      <c r="AG1790">
        <v>-1.10970445335</v>
      </c>
      <c r="AH1790">
        <v>16.800522751862101</v>
      </c>
      <c r="AI1790">
        <v>93.771961454799197</v>
      </c>
      <c r="AJ1790">
        <v>93.502308318438693</v>
      </c>
      <c r="AK1790">
        <v>16.868500026947199</v>
      </c>
      <c r="AL1790">
        <v>80.702561724208607</v>
      </c>
      <c r="AM1790">
        <v>89.216567906773406</v>
      </c>
      <c r="AN1790">
        <v>1.00000001171293</v>
      </c>
    </row>
    <row r="1791" spans="1:40" x14ac:dyDescent="0.25">
      <c r="A1791" t="str">
        <f>"20190312164257552"</f>
        <v>20190312164257552</v>
      </c>
      <c r="B1791" t="str">
        <f>"1552380177546457"</f>
        <v>1552380177546457</v>
      </c>
      <c r="C1791" t="s">
        <v>40</v>
      </c>
      <c r="D1791">
        <v>4.4159499999999996</v>
      </c>
      <c r="E1791">
        <v>0.49316840000000001</v>
      </c>
      <c r="F1791" t="s">
        <v>46</v>
      </c>
      <c r="G1791">
        <v>-398.18</v>
      </c>
      <c r="H1791" s="1">
        <v>2.816206E-6</v>
      </c>
      <c r="I1791">
        <v>284.37169999999998</v>
      </c>
      <c r="J1791">
        <v>-381.25360000000001</v>
      </c>
      <c r="K1791">
        <v>1.1097170000000001</v>
      </c>
      <c r="L1791">
        <v>284.73129999999998</v>
      </c>
      <c r="M1791">
        <v>-0.99990639999999997</v>
      </c>
      <c r="N1791">
        <v>0</v>
      </c>
      <c r="O1791">
        <v>6.364644E-3</v>
      </c>
      <c r="P1791">
        <v>-0.98858559999999995</v>
      </c>
      <c r="Q1791">
        <v>0.14927000000000001</v>
      </c>
      <c r="R1791">
        <v>2.0429249999999999E-2</v>
      </c>
      <c r="S1791">
        <v>-3.065674</v>
      </c>
      <c r="T1791">
        <v>-0.19567689999999999</v>
      </c>
      <c r="U1791">
        <v>-6.2896729999999998E-2</v>
      </c>
      <c r="V1791">
        <v>1.4121689999999999E-2</v>
      </c>
      <c r="W1791">
        <v>0.1612382</v>
      </c>
      <c r="X1791">
        <v>0.98681450000000004</v>
      </c>
      <c r="Y1791">
        <v>-2.6807999999999998E-2</v>
      </c>
      <c r="Z1791">
        <v>-1.260419E-3</v>
      </c>
      <c r="AA1791">
        <v>0.99963979999999997</v>
      </c>
      <c r="AB1791">
        <v>46</v>
      </c>
      <c r="AC1791">
        <v>-16.926400000000001</v>
      </c>
      <c r="AD1791">
        <v>-1.1097141837940001</v>
      </c>
      <c r="AE1791">
        <v>-0.35959999999999998</v>
      </c>
      <c r="AF1791">
        <v>-0.465331910554103</v>
      </c>
      <c r="AG1791">
        <v>-1.1097141837940001</v>
      </c>
      <c r="AH1791">
        <v>16.8513692643605</v>
      </c>
      <c r="AI1791">
        <v>93.766230697231904</v>
      </c>
      <c r="AJ1791">
        <v>91.581757571677002</v>
      </c>
      <c r="AK1791">
        <v>16.894278482389399</v>
      </c>
      <c r="AL1791">
        <v>80.721227095538495</v>
      </c>
      <c r="AM1791">
        <v>89.180131613965401</v>
      </c>
      <c r="AN1791">
        <v>1.0000000183389699</v>
      </c>
    </row>
    <row r="1792" spans="1:40" x14ac:dyDescent="0.25">
      <c r="A1792" t="str">
        <f>"20190312164257573"</f>
        <v>20190312164257573</v>
      </c>
      <c r="B1792" t="str">
        <f>"1552380177565976"</f>
        <v>1552380177565976</v>
      </c>
      <c r="C1792" t="s">
        <v>40</v>
      </c>
      <c r="D1792">
        <v>4.4218669999999998</v>
      </c>
      <c r="E1792">
        <v>0.49468220000000002</v>
      </c>
      <c r="F1792" t="s">
        <v>46</v>
      </c>
      <c r="G1792">
        <v>-398.6696</v>
      </c>
      <c r="H1792" s="1">
        <v>3.0767460000000001E-6</v>
      </c>
      <c r="I1792">
        <v>284.51799999999997</v>
      </c>
      <c r="J1792">
        <v>-381.69929999999999</v>
      </c>
      <c r="K1792">
        <v>1.109739</v>
      </c>
      <c r="L1792">
        <v>284.73410000000001</v>
      </c>
      <c r="M1792">
        <v>-0.99990619999999997</v>
      </c>
      <c r="N1792">
        <v>0</v>
      </c>
      <c r="O1792">
        <v>6.2962219999999998E-3</v>
      </c>
      <c r="P1792">
        <v>-0.98861339999999998</v>
      </c>
      <c r="Q1792">
        <v>0.14895259999999999</v>
      </c>
      <c r="R1792">
        <v>2.1376820000000001E-2</v>
      </c>
      <c r="S1792">
        <v>-3.0649109999999999</v>
      </c>
      <c r="T1792">
        <v>-0.19529009999999999</v>
      </c>
      <c r="U1792">
        <v>-3.753662E-2</v>
      </c>
      <c r="V1792">
        <v>1.5131850000000001E-2</v>
      </c>
      <c r="W1792">
        <v>0.16097800000000001</v>
      </c>
      <c r="X1792">
        <v>0.986842</v>
      </c>
      <c r="Y1792">
        <v>-1.849201E-2</v>
      </c>
      <c r="Z1792">
        <v>-9.8931149999999897E-4</v>
      </c>
      <c r="AA1792">
        <v>0.99982850000000001</v>
      </c>
      <c r="AB1792">
        <v>46</v>
      </c>
      <c r="AC1792">
        <v>-16.970300000000002</v>
      </c>
      <c r="AD1792">
        <v>-1.1097359232540001</v>
      </c>
      <c r="AE1792">
        <v>-0.21610000000003901</v>
      </c>
      <c r="AF1792">
        <v>-0.32157748333834602</v>
      </c>
      <c r="AG1792">
        <v>-1.1097359232540001</v>
      </c>
      <c r="AH1792">
        <v>16.896361979182299</v>
      </c>
      <c r="AI1792">
        <v>93.757053179265895</v>
      </c>
      <c r="AJ1792">
        <v>91.090341718869198</v>
      </c>
      <c r="AK1792">
        <v>16.935819260629401</v>
      </c>
      <c r="AL1792">
        <v>80.736332719275495</v>
      </c>
      <c r="AM1792">
        <v>89.121517728325799</v>
      </c>
      <c r="AN1792">
        <v>1.00000001116621</v>
      </c>
    </row>
    <row r="1793" spans="1:40" x14ac:dyDescent="0.25">
      <c r="A1793" t="str">
        <f>"20190312164257595"</f>
        <v>20190312164257595</v>
      </c>
      <c r="B1793" t="str">
        <f>"1552380177586476"</f>
        <v>1552380177586476</v>
      </c>
      <c r="C1793" t="s">
        <v>40</v>
      </c>
      <c r="D1793">
        <v>4.4204160000000003</v>
      </c>
      <c r="E1793">
        <v>0.4962801</v>
      </c>
      <c r="F1793" t="s">
        <v>46</v>
      </c>
      <c r="G1793">
        <v>-399.01830000000001</v>
      </c>
      <c r="H1793" s="1">
        <v>3.2622849999999999E-6</v>
      </c>
      <c r="I1793">
        <v>284.60039999999998</v>
      </c>
      <c r="J1793">
        <v>-382.14350000000002</v>
      </c>
      <c r="K1793">
        <v>1.109766</v>
      </c>
      <c r="L1793">
        <v>284.73680000000002</v>
      </c>
      <c r="M1793">
        <v>-0.99990599999999996</v>
      </c>
      <c r="N1793">
        <v>0</v>
      </c>
      <c r="O1793">
        <v>6.2012530000000003E-3</v>
      </c>
      <c r="P1793">
        <v>-0.98858509999999999</v>
      </c>
      <c r="Q1793">
        <v>0.1490117</v>
      </c>
      <c r="R1793">
        <v>2.225297E-2</v>
      </c>
      <c r="S1793">
        <v>-3.064667</v>
      </c>
      <c r="T1793">
        <v>-0.1963724</v>
      </c>
      <c r="U1793">
        <v>-2.3651120000000001E-2</v>
      </c>
      <c r="V1793">
        <v>1.6093980000000001E-2</v>
      </c>
      <c r="W1793">
        <v>0.1610975</v>
      </c>
      <c r="X1793">
        <v>0.98680730000000005</v>
      </c>
      <c r="Y1793">
        <v>-1.387734E-2</v>
      </c>
      <c r="Z1793">
        <v>-8.4111229999999997E-4</v>
      </c>
      <c r="AA1793">
        <v>0.9999034</v>
      </c>
      <c r="AB1793">
        <v>46</v>
      </c>
      <c r="AC1793">
        <v>-16.874799999999901</v>
      </c>
      <c r="AD1793">
        <v>-1.1097627377149999</v>
      </c>
      <c r="AE1793">
        <v>-0.13640000000003699</v>
      </c>
      <c r="AF1793">
        <v>-0.24001212876522801</v>
      </c>
      <c r="AG1793">
        <v>-1.1097627377149999</v>
      </c>
      <c r="AH1793">
        <v>16.800970637892298</v>
      </c>
      <c r="AI1793">
        <v>93.778711964649702</v>
      </c>
      <c r="AJ1793">
        <v>90.818449537593196</v>
      </c>
      <c r="AK1793">
        <v>16.839293142269799</v>
      </c>
      <c r="AL1793">
        <v>80.729395542289396</v>
      </c>
      <c r="AM1793">
        <v>89.065637855314904</v>
      </c>
      <c r="AN1793">
        <v>1.0000000340158799</v>
      </c>
    </row>
    <row r="1794" spans="1:40" x14ac:dyDescent="0.25">
      <c r="A1794" t="str">
        <f>"20190312164257618"</f>
        <v>20190312164257618</v>
      </c>
      <c r="B1794" t="str">
        <f>"1552380177605993"</f>
        <v>1552380177605993</v>
      </c>
      <c r="C1794" t="s">
        <v>40</v>
      </c>
      <c r="D1794">
        <v>4.4235220000000002</v>
      </c>
      <c r="E1794">
        <v>0.49747599999999997</v>
      </c>
      <c r="F1794" t="s">
        <v>46</v>
      </c>
      <c r="G1794">
        <v>-399.37329999999997</v>
      </c>
      <c r="H1794" s="1">
        <v>3.4511869999999999E-6</v>
      </c>
      <c r="I1794">
        <v>284.69240000000002</v>
      </c>
      <c r="J1794">
        <v>-382.60169999999999</v>
      </c>
      <c r="K1794">
        <v>1.109807</v>
      </c>
      <c r="L1794">
        <v>284.7396</v>
      </c>
      <c r="M1794">
        <v>-0.99990599999999996</v>
      </c>
      <c r="N1794">
        <v>0</v>
      </c>
      <c r="O1794">
        <v>6.0693070000000003E-3</v>
      </c>
      <c r="P1794">
        <v>-0.98859770000000002</v>
      </c>
      <c r="Q1794">
        <v>0.1488168</v>
      </c>
      <c r="R1794">
        <v>2.2986469999999998E-2</v>
      </c>
      <c r="S1794">
        <v>-3.0646059999999999</v>
      </c>
      <c r="T1794">
        <v>-0.1973906</v>
      </c>
      <c r="U1794">
        <v>-7.9040529999999994E-3</v>
      </c>
      <c r="V1794">
        <v>1.6945970000000001E-2</v>
      </c>
      <c r="W1794">
        <v>0.16097049999999999</v>
      </c>
      <c r="X1794">
        <v>0.98681370000000002</v>
      </c>
      <c r="Y1794">
        <v>-8.6183949999999992E-3</v>
      </c>
      <c r="Z1794">
        <v>-6.6781239999999997E-4</v>
      </c>
      <c r="AA1794">
        <v>0.99996260000000003</v>
      </c>
      <c r="AB1794">
        <v>46</v>
      </c>
      <c r="AC1794">
        <v>-16.7715999999999</v>
      </c>
      <c r="AD1794">
        <v>-1.109803548813</v>
      </c>
      <c r="AE1794">
        <v>-4.7199999999975199E-2</v>
      </c>
      <c r="AF1794">
        <v>-0.14834924508441499</v>
      </c>
      <c r="AG1794">
        <v>-1.109803548813</v>
      </c>
      <c r="AH1794">
        <v>16.697890411198902</v>
      </c>
      <c r="AI1794">
        <v>93.802347280271405</v>
      </c>
      <c r="AJ1794">
        <v>90.509020110112502</v>
      </c>
      <c r="AK1794">
        <v>16.735388122176399</v>
      </c>
      <c r="AL1794">
        <v>80.736767760434006</v>
      </c>
      <c r="AM1794">
        <v>89.016190049186505</v>
      </c>
      <c r="AN1794">
        <v>0.99999997313859001</v>
      </c>
    </row>
    <row r="1795" spans="1:40" x14ac:dyDescent="0.25">
      <c r="A1795" t="str">
        <f>"20190312164257641"</f>
        <v>20190312164257641</v>
      </c>
      <c r="B1795" t="str">
        <f>"1552380177636249"</f>
        <v>1552380177636249</v>
      </c>
      <c r="C1795" t="s">
        <v>40</v>
      </c>
      <c r="D1795">
        <v>4.6875489999999997</v>
      </c>
      <c r="E1795">
        <v>0.49877369999999999</v>
      </c>
      <c r="F1795" t="s">
        <v>47</v>
      </c>
      <c r="G1795">
        <v>-400.42579999999998</v>
      </c>
      <c r="H1795" s="1">
        <v>8.1825559999999999E-6</v>
      </c>
      <c r="I1795">
        <v>284.76580000000001</v>
      </c>
      <c r="J1795">
        <v>-383.06299999999999</v>
      </c>
      <c r="K1795">
        <v>1.1098600000000001</v>
      </c>
      <c r="L1795">
        <v>284.74220000000003</v>
      </c>
      <c r="M1795">
        <v>-0.99990619999999997</v>
      </c>
      <c r="N1795">
        <v>0</v>
      </c>
      <c r="O1795">
        <v>5.8988640000000002E-3</v>
      </c>
      <c r="P1795">
        <v>-0.98856820000000001</v>
      </c>
      <c r="Q1795">
        <v>0.14893890000000001</v>
      </c>
      <c r="R1795">
        <v>2.3456589999999999E-2</v>
      </c>
      <c r="S1795">
        <v>-3.063202</v>
      </c>
      <c r="T1795">
        <v>-0.19072710000000001</v>
      </c>
      <c r="U1795">
        <v>4.5166019999999998E-3</v>
      </c>
      <c r="V1795">
        <v>1.7569350000000001E-2</v>
      </c>
      <c r="W1795">
        <v>0.1611639</v>
      </c>
      <c r="X1795">
        <v>0.98677130000000002</v>
      </c>
      <c r="Y1795">
        <v>-4.4049099999999997E-3</v>
      </c>
      <c r="Z1795">
        <v>-5.0395799999999999E-4</v>
      </c>
      <c r="AA1795">
        <v>0.99999020000000005</v>
      </c>
      <c r="AB1795">
        <v>46</v>
      </c>
      <c r="AC1795">
        <v>-17.362799999999901</v>
      </c>
      <c r="AD1795">
        <v>-1.109851817444</v>
      </c>
      <c r="AE1795">
        <v>2.35999999999876E-2</v>
      </c>
      <c r="AF1795">
        <v>-7.8508253791990001E-2</v>
      </c>
      <c r="AG1795">
        <v>-1.109851817444</v>
      </c>
      <c r="AH1795">
        <v>17.291983461991101</v>
      </c>
      <c r="AI1795">
        <v>93.672341525670802</v>
      </c>
      <c r="AJ1795">
        <v>90.260129828508795</v>
      </c>
      <c r="AK1795">
        <v>17.327741533516999</v>
      </c>
      <c r="AL1795">
        <v>80.725540803235106</v>
      </c>
      <c r="AM1795">
        <v>88.979962986328502</v>
      </c>
      <c r="AN1795">
        <v>1.00000004161316</v>
      </c>
    </row>
    <row r="1796" spans="1:40" x14ac:dyDescent="0.25">
      <c r="A1796" t="str">
        <f>"20190312164257663"</f>
        <v>20190312164257663</v>
      </c>
      <c r="B1796" t="str">
        <f>"1552380177655769"</f>
        <v>1552380177655769</v>
      </c>
      <c r="C1796" t="s">
        <v>40</v>
      </c>
      <c r="D1796">
        <v>4.7425350000000002</v>
      </c>
      <c r="E1796">
        <v>0.49932749999999998</v>
      </c>
      <c r="F1796" t="s">
        <v>47</v>
      </c>
      <c r="G1796">
        <v>-401.60399999999998</v>
      </c>
      <c r="H1796" s="1">
        <v>7.6438820000000006E-6</v>
      </c>
      <c r="I1796">
        <v>284.84399999999999</v>
      </c>
      <c r="J1796">
        <v>-383.5283</v>
      </c>
      <c r="K1796">
        <v>1.1099190000000001</v>
      </c>
      <c r="L1796">
        <v>284.74470000000002</v>
      </c>
      <c r="M1796">
        <v>-0.99990659999999998</v>
      </c>
      <c r="N1796">
        <v>0</v>
      </c>
      <c r="O1796">
        <v>5.6756489999999996E-3</v>
      </c>
      <c r="P1796">
        <v>-0.98852689999999999</v>
      </c>
      <c r="Q1796">
        <v>0.14914279999999999</v>
      </c>
      <c r="R1796">
        <v>2.3904209999999999E-2</v>
      </c>
      <c r="S1796">
        <v>-3.0619200000000002</v>
      </c>
      <c r="T1796">
        <v>-0.18328439999999999</v>
      </c>
      <c r="U1796">
        <v>1.6815190000000001E-2</v>
      </c>
      <c r="V1796">
        <v>1.82211E-2</v>
      </c>
      <c r="W1796">
        <v>0.16144059999999999</v>
      </c>
      <c r="X1796">
        <v>0.98671419999999999</v>
      </c>
      <c r="Y1796">
        <v>-1.739895E-4</v>
      </c>
      <c r="Z1796">
        <v>-3.4466040000000002E-4</v>
      </c>
      <c r="AA1796">
        <v>0.99999990000000005</v>
      </c>
      <c r="AB1796">
        <v>46</v>
      </c>
      <c r="AC1796">
        <v>-18.075700000000001</v>
      </c>
      <c r="AD1796">
        <v>-1.1099113561180001</v>
      </c>
      <c r="AE1796">
        <v>9.9299999999970995E-2</v>
      </c>
      <c r="AF1796">
        <v>-3.2884599754037999E-3</v>
      </c>
      <c r="AG1796">
        <v>-1.1099113561180001</v>
      </c>
      <c r="AH1796">
        <v>18.008077017275799</v>
      </c>
      <c r="AI1796">
        <v>93.526911457856897</v>
      </c>
      <c r="AJ1796">
        <v>90.010462798188399</v>
      </c>
      <c r="AK1796">
        <v>18.042249080769999</v>
      </c>
      <c r="AL1796">
        <v>80.709476258243996</v>
      </c>
      <c r="AM1796">
        <v>88.942071086071905</v>
      </c>
      <c r="AN1796">
        <v>0.99999999414760399</v>
      </c>
    </row>
    <row r="1797" spans="1:40" x14ac:dyDescent="0.25">
      <c r="A1797" t="str">
        <f>"20190312164257685"</f>
        <v>20190312164257685</v>
      </c>
      <c r="B1797" t="str">
        <f>"1552380177676268"</f>
        <v>1552380177676268</v>
      </c>
      <c r="C1797" t="s">
        <v>40</v>
      </c>
      <c r="D1797">
        <v>4.6786589999999997</v>
      </c>
      <c r="E1797">
        <v>0.4997258</v>
      </c>
      <c r="F1797" t="s">
        <v>47</v>
      </c>
      <c r="G1797">
        <v>-402.45030000000003</v>
      </c>
      <c r="H1797" s="1">
        <v>7.2604939999999996E-6</v>
      </c>
      <c r="I1797">
        <v>284.88339999999999</v>
      </c>
      <c r="J1797">
        <v>-383.97399999999999</v>
      </c>
      <c r="K1797">
        <v>1.109966</v>
      </c>
      <c r="L1797">
        <v>284.74700000000001</v>
      </c>
      <c r="M1797">
        <v>-0.99990710000000005</v>
      </c>
      <c r="N1797">
        <v>0</v>
      </c>
      <c r="O1797">
        <v>5.4134880000000002E-3</v>
      </c>
      <c r="P1797">
        <v>-0.98851330000000004</v>
      </c>
      <c r="Q1797">
        <v>0.1492134</v>
      </c>
      <c r="R1797">
        <v>2.4025589999999999E-2</v>
      </c>
      <c r="S1797">
        <v>-3.061401</v>
      </c>
      <c r="T1797">
        <v>-0.17957339999999999</v>
      </c>
      <c r="U1797">
        <v>2.243042E-2</v>
      </c>
      <c r="V1797">
        <v>1.858514E-2</v>
      </c>
      <c r="W1797">
        <v>0.16157939999999901</v>
      </c>
      <c r="X1797">
        <v>0.98668469999999997</v>
      </c>
      <c r="Y1797">
        <v>1.9187849999999999E-3</v>
      </c>
      <c r="Z1797">
        <v>-2.610593E-4</v>
      </c>
      <c r="AA1797">
        <v>0.99999819999999995</v>
      </c>
      <c r="AB1797">
        <v>46</v>
      </c>
      <c r="AC1797">
        <v>-18.476299999999998</v>
      </c>
      <c r="AD1797">
        <v>-1.109958739506</v>
      </c>
      <c r="AE1797">
        <v>0.13639999999998001</v>
      </c>
      <c r="AF1797">
        <v>3.6238170364437397E-2</v>
      </c>
      <c r="AG1797">
        <v>-1.109958739506</v>
      </c>
      <c r="AH1797">
        <v>18.410328918203302</v>
      </c>
      <c r="AI1797">
        <v>93.450179609164493</v>
      </c>
      <c r="AJ1797">
        <v>89.887221377364099</v>
      </c>
      <c r="AK1797">
        <v>18.443793874494201</v>
      </c>
      <c r="AL1797">
        <v>80.701417893598205</v>
      </c>
      <c r="AM1797">
        <v>88.920907381333294</v>
      </c>
      <c r="AN1797">
        <v>1.0000000035736301</v>
      </c>
    </row>
    <row r="1798" spans="1:40" x14ac:dyDescent="0.25">
      <c r="A1798" t="str">
        <f>"20190312164257707"</f>
        <v>20190312164257707</v>
      </c>
      <c r="B1798" t="str">
        <f>"1552380177695785"</f>
        <v>1552380177695785</v>
      </c>
      <c r="C1798" t="s">
        <v>40</v>
      </c>
      <c r="D1798">
        <v>4.635567</v>
      </c>
      <c r="E1798">
        <v>0.50013260000000004</v>
      </c>
      <c r="F1798" t="s">
        <v>47</v>
      </c>
      <c r="G1798">
        <v>-402.9461</v>
      </c>
      <c r="H1798" s="1">
        <v>7.0358779999999997E-6</v>
      </c>
      <c r="I1798">
        <v>284.90629999999999</v>
      </c>
      <c r="J1798">
        <v>-384.4237</v>
      </c>
      <c r="K1798">
        <v>1.1100139999999901</v>
      </c>
      <c r="L1798">
        <v>284.74919999999997</v>
      </c>
      <c r="M1798">
        <v>-0.99990789999999996</v>
      </c>
      <c r="N1798">
        <v>0</v>
      </c>
      <c r="O1798">
        <v>5.1070859999999899E-3</v>
      </c>
      <c r="P1798">
        <v>-0.98843490000000001</v>
      </c>
      <c r="Q1798">
        <v>0.14969969999999999</v>
      </c>
      <c r="R1798">
        <v>2.4216890000000001E-2</v>
      </c>
      <c r="S1798">
        <v>-3.0612789999999999</v>
      </c>
      <c r="T1798">
        <v>-0.1790996</v>
      </c>
      <c r="U1798">
        <v>2.5695800000000001E-2</v>
      </c>
      <c r="V1798">
        <v>1.9063460000000001E-2</v>
      </c>
      <c r="W1798">
        <v>0.16212989999999999</v>
      </c>
      <c r="X1798">
        <v>0.9865853</v>
      </c>
      <c r="Y1798">
        <v>3.2892049999999999E-3</v>
      </c>
      <c r="Z1798">
        <v>-2.024164E-4</v>
      </c>
      <c r="AA1798">
        <v>0.99999459999999996</v>
      </c>
      <c r="AB1798">
        <v>46</v>
      </c>
      <c r="AC1798">
        <v>-18.522400000000001</v>
      </c>
      <c r="AD1798">
        <v>-1.1100069641219901</v>
      </c>
      <c r="AE1798">
        <v>0.15710000000001401</v>
      </c>
      <c r="AF1798">
        <v>6.2271360345121297E-2</v>
      </c>
      <c r="AG1798">
        <v>-1.1100069641219901</v>
      </c>
      <c r="AH1798">
        <v>18.456681287462999</v>
      </c>
      <c r="AI1798">
        <v>93.441671907343107</v>
      </c>
      <c r="AJ1798">
        <v>89.806689375045707</v>
      </c>
      <c r="AK1798">
        <v>18.490134594688701</v>
      </c>
      <c r="AL1798">
        <v>80.669455440457995</v>
      </c>
      <c r="AM1798">
        <v>88.893030440969895</v>
      </c>
      <c r="AN1798">
        <v>1.0000000370786299</v>
      </c>
    </row>
    <row r="1799" spans="1:40" x14ac:dyDescent="0.25">
      <c r="A1799" t="str">
        <f>"20190312164257730"</f>
        <v>20190312164257730</v>
      </c>
      <c r="B1799" t="str">
        <f>"1552380177726040"</f>
        <v>1552380177726040</v>
      </c>
      <c r="C1799" t="s">
        <v>40</v>
      </c>
      <c r="D1799">
        <v>4.3507759999999998</v>
      </c>
      <c r="E1799">
        <v>0.50056449999999997</v>
      </c>
      <c r="F1799" t="s">
        <v>47</v>
      </c>
      <c r="G1799">
        <v>-403.8614</v>
      </c>
      <c r="H1799" s="1">
        <v>6.6233029999999996E-6</v>
      </c>
      <c r="I1799">
        <v>284.93849999999998</v>
      </c>
      <c r="J1799">
        <v>-384.8904</v>
      </c>
      <c r="K1799">
        <v>1.1100589999999999</v>
      </c>
      <c r="L1799">
        <v>284.75130000000001</v>
      </c>
      <c r="M1799">
        <v>-0.99990900000000005</v>
      </c>
      <c r="N1799">
        <v>0</v>
      </c>
      <c r="O1799">
        <v>4.7515919999999998E-3</v>
      </c>
      <c r="P1799">
        <v>-0.9884406</v>
      </c>
      <c r="Q1799">
        <v>0.14962249999999999</v>
      </c>
      <c r="R1799">
        <v>2.4468839999999999E-2</v>
      </c>
      <c r="S1799">
        <v>-3.0608520000000001</v>
      </c>
      <c r="T1799">
        <v>-0.17479259999999999</v>
      </c>
      <c r="U1799">
        <v>2.9815669999999999E-2</v>
      </c>
      <c r="V1799">
        <v>1.965132E-2</v>
      </c>
      <c r="W1799">
        <v>0.16211349999999999</v>
      </c>
      <c r="X1799">
        <v>0.98657640000000002</v>
      </c>
      <c r="Y1799">
        <v>4.9882700000000004E-3</v>
      </c>
      <c r="Z1799">
        <v>-1.288254E-4</v>
      </c>
      <c r="AA1799">
        <v>0.99998750000000003</v>
      </c>
      <c r="AB1799">
        <v>46</v>
      </c>
      <c r="AC1799">
        <v>-18.971</v>
      </c>
      <c r="AD1799">
        <v>-1.1100523766970001</v>
      </c>
      <c r="AE1799">
        <v>0.18719999999996101</v>
      </c>
      <c r="AF1799">
        <v>9.6717142238066003E-2</v>
      </c>
      <c r="AG1799">
        <v>-1.1100523766970001</v>
      </c>
      <c r="AH1799">
        <v>18.906948348556799</v>
      </c>
      <c r="AI1799">
        <v>93.360011259859306</v>
      </c>
      <c r="AJ1799">
        <v>89.706910093600897</v>
      </c>
      <c r="AK1799">
        <v>18.939753597647702</v>
      </c>
      <c r="AL1799">
        <v>80.670407124598</v>
      </c>
      <c r="AM1799">
        <v>88.858893415352199</v>
      </c>
      <c r="AN1799">
        <v>0.99999997714847599</v>
      </c>
    </row>
    <row r="1800" spans="1:40" x14ac:dyDescent="0.25">
      <c r="A1800" t="str">
        <f>"20190312164257753"</f>
        <v>20190312164257753</v>
      </c>
      <c r="B1800" t="str">
        <f>"1552380177746538"</f>
        <v>1552380177746538</v>
      </c>
      <c r="C1800" t="s">
        <v>40</v>
      </c>
      <c r="D1800">
        <v>4.2842979999999997</v>
      </c>
      <c r="E1800">
        <v>0.5009015</v>
      </c>
      <c r="F1800" t="s">
        <v>47</v>
      </c>
      <c r="G1800">
        <v>-404.58960000000002</v>
      </c>
      <c r="H1800" s="1">
        <v>6.29283199999999E-6</v>
      </c>
      <c r="I1800">
        <v>284.97500000000002</v>
      </c>
      <c r="J1800">
        <v>-385.358</v>
      </c>
      <c r="K1800">
        <v>1.110098</v>
      </c>
      <c r="L1800">
        <v>284.75310000000002</v>
      </c>
      <c r="M1800">
        <v>-0.99990990000000002</v>
      </c>
      <c r="N1800">
        <v>0</v>
      </c>
      <c r="O1800">
        <v>4.3666159999999898E-3</v>
      </c>
      <c r="P1800">
        <v>-0.98848740000000002</v>
      </c>
      <c r="Q1800">
        <v>0.1494115</v>
      </c>
      <c r="R1800">
        <v>2.3856410000000002E-2</v>
      </c>
      <c r="S1800">
        <v>-3.0603639999999999</v>
      </c>
      <c r="T1800">
        <v>-0.17245160000000001</v>
      </c>
      <c r="U1800">
        <v>3.4759520000000002E-2</v>
      </c>
      <c r="V1800">
        <v>1.9404950000000001E-2</v>
      </c>
      <c r="W1800">
        <v>0.1619573</v>
      </c>
      <c r="X1800">
        <v>0.98660700000000001</v>
      </c>
      <c r="Y1800">
        <v>6.9862889999999997E-3</v>
      </c>
      <c r="Z1800" s="1">
        <v>-4.9197260000000001E-5</v>
      </c>
      <c r="AA1800">
        <v>0.99997559999999996</v>
      </c>
      <c r="AB1800">
        <v>46</v>
      </c>
      <c r="AC1800">
        <v>-19.2316</v>
      </c>
      <c r="AD1800">
        <v>-1.1100917071680001</v>
      </c>
      <c r="AE1800">
        <v>0.22190000000000501</v>
      </c>
      <c r="AF1800">
        <v>0.137456181732271</v>
      </c>
      <c r="AG1800">
        <v>-1.1100917071680001</v>
      </c>
      <c r="AH1800">
        <v>19.168527284214701</v>
      </c>
      <c r="AI1800">
        <v>93.314337958852406</v>
      </c>
      <c r="AJ1800">
        <v>89.589142975152001</v>
      </c>
      <c r="AK1800">
        <v>19.2011363217363</v>
      </c>
      <c r="AL1800">
        <v>80.679477224278401</v>
      </c>
      <c r="AM1800">
        <v>88.873230777326299</v>
      </c>
      <c r="AN1800">
        <v>1.00000004577839</v>
      </c>
    </row>
    <row r="1801" spans="1:40" x14ac:dyDescent="0.25">
      <c r="A1801" t="str">
        <f>"20190312164257773"</f>
        <v>20190312164257773</v>
      </c>
      <c r="B1801" t="str">
        <f>"1552380177766057"</f>
        <v>1552380177766057</v>
      </c>
      <c r="C1801" t="s">
        <v>40</v>
      </c>
      <c r="D1801">
        <v>4.3045460000000002</v>
      </c>
      <c r="E1801">
        <v>0.50110659999999996</v>
      </c>
      <c r="F1801" t="s">
        <v>47</v>
      </c>
      <c r="G1801">
        <v>-405.17989999999998</v>
      </c>
      <c r="H1801" s="1">
        <v>6.0289339999999997E-6</v>
      </c>
      <c r="I1801">
        <v>284.98540000000003</v>
      </c>
      <c r="J1801">
        <v>-385.79</v>
      </c>
      <c r="K1801">
        <v>1.110131</v>
      </c>
      <c r="L1801">
        <v>284.75470000000001</v>
      </c>
      <c r="M1801">
        <v>-0.99991099999999999</v>
      </c>
      <c r="N1801">
        <v>0</v>
      </c>
      <c r="O1801">
        <v>3.9920590000000001E-3</v>
      </c>
      <c r="P1801">
        <v>-0.98853559999999996</v>
      </c>
      <c r="Q1801">
        <v>0.14918199999999901</v>
      </c>
      <c r="R1801">
        <v>2.3288650000000001E-2</v>
      </c>
      <c r="S1801">
        <v>-3.0599669999999999</v>
      </c>
      <c r="T1801">
        <v>-0.1713684</v>
      </c>
      <c r="U1801">
        <v>3.5858149999999998E-2</v>
      </c>
      <c r="V1801">
        <v>1.9195759999999999E-2</v>
      </c>
      <c r="W1801">
        <v>0.16177239999999901</v>
      </c>
      <c r="X1801">
        <v>0.9866414</v>
      </c>
      <c r="Y1801">
        <v>7.7196319999999997E-3</v>
      </c>
      <c r="Z1801" s="1">
        <v>-7.4163539999999998E-6</v>
      </c>
      <c r="AA1801">
        <v>0.99997020000000003</v>
      </c>
      <c r="AB1801">
        <v>46</v>
      </c>
      <c r="AC1801">
        <v>-19.389899999999901</v>
      </c>
      <c r="AD1801">
        <v>-1.1101249710659999</v>
      </c>
      <c r="AE1801">
        <v>0.23070000000001301</v>
      </c>
      <c r="AF1801">
        <v>0.15278552263388701</v>
      </c>
      <c r="AG1801">
        <v>-1.1101249710659999</v>
      </c>
      <c r="AH1801">
        <v>19.327322899870001</v>
      </c>
      <c r="AI1801">
        <v>93.287247051276793</v>
      </c>
      <c r="AJ1801">
        <v>89.547077299825403</v>
      </c>
      <c r="AK1801">
        <v>19.359781283453401</v>
      </c>
      <c r="AL1801">
        <v>80.690212536170904</v>
      </c>
      <c r="AM1801">
        <v>88.885413390236394</v>
      </c>
      <c r="AN1801">
        <v>1.0000000193988401</v>
      </c>
    </row>
    <row r="1802" spans="1:40" x14ac:dyDescent="0.25">
      <c r="A1802" t="str">
        <f>"20190312164257797"</f>
        <v>20190312164257797</v>
      </c>
      <c r="B1802" t="str">
        <f>"1552380177785578"</f>
        <v>1552380177785578</v>
      </c>
      <c r="C1802" t="s">
        <v>40</v>
      </c>
      <c r="D1802">
        <v>4.2715430000000003</v>
      </c>
      <c r="E1802">
        <v>0.50115279999999995</v>
      </c>
      <c r="F1802" t="s">
        <v>47</v>
      </c>
      <c r="G1802">
        <v>-405.6728</v>
      </c>
      <c r="H1802" s="1">
        <v>5.8101520000000002E-6</v>
      </c>
      <c r="I1802">
        <v>284.98630000000003</v>
      </c>
      <c r="J1802">
        <v>-386.2441</v>
      </c>
      <c r="K1802">
        <v>1.110166</v>
      </c>
      <c r="L1802">
        <v>284.75619999999998</v>
      </c>
      <c r="M1802">
        <v>-0.99991200000000002</v>
      </c>
      <c r="N1802">
        <v>0</v>
      </c>
      <c r="O1802">
        <v>3.5859630000000002E-3</v>
      </c>
      <c r="P1802">
        <v>-0.98857039999999996</v>
      </c>
      <c r="Q1802">
        <v>0.1490599</v>
      </c>
      <c r="R1802">
        <v>2.2575250000000002E-2</v>
      </c>
      <c r="S1802">
        <v>-3.059723</v>
      </c>
      <c r="T1802">
        <v>-0.17083480000000001</v>
      </c>
      <c r="U1802">
        <v>3.5644530000000001E-2</v>
      </c>
      <c r="V1802">
        <v>1.8873049999999999E-2</v>
      </c>
      <c r="W1802">
        <v>0.16169420000000001</v>
      </c>
      <c r="X1802">
        <v>0.98666039999999999</v>
      </c>
      <c r="Y1802">
        <v>8.0557570000000002E-3</v>
      </c>
      <c r="Z1802" s="1">
        <v>2.4638690000000001E-5</v>
      </c>
      <c r="AA1802">
        <v>0.99996759999999996</v>
      </c>
      <c r="AB1802">
        <v>46</v>
      </c>
      <c r="AC1802">
        <v>-19.4286999999999</v>
      </c>
      <c r="AD1802">
        <v>-1.110160189848</v>
      </c>
      <c r="AE1802">
        <v>0.23010000000004999</v>
      </c>
      <c r="AF1802">
        <v>0.159900235678756</v>
      </c>
      <c r="AG1802">
        <v>-1.110160189848</v>
      </c>
      <c r="AH1802">
        <v>19.3661784620258</v>
      </c>
      <c r="AI1802">
        <v>93.2807606182336</v>
      </c>
      <c r="AJ1802">
        <v>89.526938136837003</v>
      </c>
      <c r="AK1802">
        <v>19.398631187677299</v>
      </c>
      <c r="AL1802">
        <v>80.694752430500202</v>
      </c>
      <c r="AM1802">
        <v>88.9041677800776</v>
      </c>
      <c r="AN1802">
        <v>0.99999997562905096</v>
      </c>
    </row>
    <row r="1803" spans="1:40" x14ac:dyDescent="0.25">
      <c r="A1803" t="str">
        <f>"20190312164257818"</f>
        <v>20190312164257818</v>
      </c>
      <c r="B1803" t="str">
        <f>"1552380177806073"</f>
        <v>1552380177806073</v>
      </c>
      <c r="C1803" t="s">
        <v>40</v>
      </c>
      <c r="D1803">
        <v>4.5580489999999996</v>
      </c>
      <c r="E1803">
        <v>0.50185519999999995</v>
      </c>
      <c r="F1803" t="s">
        <v>47</v>
      </c>
      <c r="G1803">
        <v>-406.00310000000002</v>
      </c>
      <c r="H1803" s="1">
        <v>5.6659780000000003E-6</v>
      </c>
      <c r="I1803">
        <v>284.9753</v>
      </c>
      <c r="J1803">
        <v>-386.69099999999997</v>
      </c>
      <c r="K1803">
        <v>1.1101920000000001</v>
      </c>
      <c r="L1803">
        <v>284.75740000000002</v>
      </c>
      <c r="M1803">
        <v>-0.99991289999999999</v>
      </c>
      <c r="N1803">
        <v>0</v>
      </c>
      <c r="O1803">
        <v>3.1778760000000001E-3</v>
      </c>
      <c r="P1803">
        <v>-0.98854580000000003</v>
      </c>
      <c r="Q1803">
        <v>0.149316</v>
      </c>
      <c r="R1803">
        <v>2.1953839999999999E-2</v>
      </c>
      <c r="S1803">
        <v>-3.0598749999999999</v>
      </c>
      <c r="T1803">
        <v>-0.17192009999999999</v>
      </c>
      <c r="U1803">
        <v>3.3935550000000002E-2</v>
      </c>
      <c r="V1803">
        <v>1.8646389999999999E-2</v>
      </c>
      <c r="W1803">
        <v>0.16199069999999999</v>
      </c>
      <c r="X1803">
        <v>0.9866161</v>
      </c>
      <c r="Y1803">
        <v>7.9043659999999995E-3</v>
      </c>
      <c r="Z1803" s="1">
        <v>4.3455419999999999E-5</v>
      </c>
      <c r="AA1803">
        <v>0.99996879999999999</v>
      </c>
      <c r="AB1803">
        <v>46</v>
      </c>
      <c r="AC1803">
        <v>-19.312100000000001</v>
      </c>
      <c r="AD1803">
        <v>-1.110186334022</v>
      </c>
      <c r="AE1803">
        <v>0.21789999999998599</v>
      </c>
      <c r="AF1803">
        <v>0.15600691322982799</v>
      </c>
      <c r="AG1803">
        <v>-1.110186334022</v>
      </c>
      <c r="AH1803">
        <v>19.2490905081976</v>
      </c>
      <c r="AI1803">
        <v>93.300754423808897</v>
      </c>
      <c r="AJ1803">
        <v>89.535648606510406</v>
      </c>
      <c r="AK1803">
        <v>19.2817099149947</v>
      </c>
      <c r="AL1803">
        <v>80.677537523102799</v>
      </c>
      <c r="AM1803">
        <v>88.917276662345401</v>
      </c>
      <c r="AN1803">
        <v>1.0000000017628601</v>
      </c>
    </row>
    <row r="1804" spans="1:40" x14ac:dyDescent="0.25">
      <c r="A1804" t="str">
        <f>"20190312164257842"</f>
        <v>20190312164257842</v>
      </c>
      <c r="B1804" t="str">
        <f>"1552380177836332"</f>
        <v>1552380177836332</v>
      </c>
      <c r="C1804" t="s">
        <v>40</v>
      </c>
      <c r="D1804">
        <v>4.0989380000000004</v>
      </c>
      <c r="E1804">
        <v>0.5325801</v>
      </c>
      <c r="F1804" t="s">
        <v>47</v>
      </c>
      <c r="G1804">
        <v>-406.41680000000002</v>
      </c>
      <c r="H1804" s="1">
        <v>5.4774530000000003E-6</v>
      </c>
      <c r="I1804">
        <v>284.99979999999999</v>
      </c>
      <c r="J1804">
        <v>-387.15780000000001</v>
      </c>
      <c r="K1804">
        <v>1.110209</v>
      </c>
      <c r="L1804">
        <v>284.75850000000003</v>
      </c>
      <c r="M1804">
        <v>-0.99991359999999996</v>
      </c>
      <c r="N1804">
        <v>0</v>
      </c>
      <c r="O1804">
        <v>2.7450579999999999E-3</v>
      </c>
      <c r="P1804">
        <v>-0.98847090000000004</v>
      </c>
      <c r="Q1804">
        <v>0.1498206</v>
      </c>
      <c r="R1804">
        <v>2.1897219999999998E-2</v>
      </c>
      <c r="S1804">
        <v>-3.0599059999999998</v>
      </c>
      <c r="T1804">
        <v>-0.17221449999999999</v>
      </c>
      <c r="U1804">
        <v>3.7597659999999998E-2</v>
      </c>
      <c r="V1804">
        <v>1.901038E-2</v>
      </c>
      <c r="W1804">
        <v>0.1625346</v>
      </c>
      <c r="X1804">
        <v>0.9865197</v>
      </c>
      <c r="Y1804">
        <v>9.5304069999999994E-3</v>
      </c>
      <c r="Z1804">
        <v>1.135896E-4</v>
      </c>
      <c r="AA1804">
        <v>0.99995460000000003</v>
      </c>
      <c r="AB1804">
        <v>46</v>
      </c>
      <c r="AC1804">
        <v>-19.259</v>
      </c>
      <c r="AD1804">
        <v>-1.1102035225469999</v>
      </c>
      <c r="AE1804">
        <v>0.24129999999996599</v>
      </c>
      <c r="AF1804">
        <v>0.18780366556084599</v>
      </c>
      <c r="AG1804">
        <v>-1.1102035225469999</v>
      </c>
      <c r="AH1804">
        <v>19.195811109191499</v>
      </c>
      <c r="AI1804">
        <v>93.3098971144194</v>
      </c>
      <c r="AJ1804">
        <v>89.439460304593396</v>
      </c>
      <c r="AK1804">
        <v>19.228806156858401</v>
      </c>
      <c r="AL1804">
        <v>80.645955841859802</v>
      </c>
      <c r="AM1804">
        <v>88.896038519544305</v>
      </c>
      <c r="AN1804">
        <v>1.0000000046164901</v>
      </c>
    </row>
    <row r="1805" spans="1:40" x14ac:dyDescent="0.25">
      <c r="A1805" t="str">
        <f>"20190312164257863"</f>
        <v>20190312164257863</v>
      </c>
      <c r="B1805" t="str">
        <f>"1552380177855849"</f>
        <v>1552380177855849</v>
      </c>
      <c r="C1805" t="s">
        <v>40</v>
      </c>
      <c r="D1805">
        <v>4.0809819999999997</v>
      </c>
      <c r="E1805">
        <v>0.53303500000000004</v>
      </c>
      <c r="F1805" t="s">
        <v>41</v>
      </c>
      <c r="G1805">
        <v>-388.2835</v>
      </c>
      <c r="H1805">
        <v>1.041512</v>
      </c>
      <c r="I1805">
        <v>284.86259999999999</v>
      </c>
      <c r="J1805">
        <v>-387.6096</v>
      </c>
      <c r="K1805">
        <v>1.110225</v>
      </c>
      <c r="L1805">
        <v>284.75940000000003</v>
      </c>
      <c r="M1805">
        <v>-0.99991439999999998</v>
      </c>
      <c r="N1805">
        <v>0</v>
      </c>
      <c r="O1805">
        <v>2.3224740000000002E-3</v>
      </c>
      <c r="P1805">
        <v>-0.98840499999999998</v>
      </c>
      <c r="Q1805">
        <v>0.15027099999999999</v>
      </c>
      <c r="R1805">
        <v>2.1793799999999999E-2</v>
      </c>
      <c r="S1805">
        <v>-3.0570680000000001</v>
      </c>
      <c r="T1805">
        <v>-0.18663289999999999</v>
      </c>
      <c r="U1805">
        <v>0.28213500000000002</v>
      </c>
      <c r="V1805">
        <v>1.931884E-2</v>
      </c>
      <c r="W1805">
        <v>0.1630192</v>
      </c>
      <c r="X1805">
        <v>0.98643369999999997</v>
      </c>
      <c r="Y1805">
        <v>8.9425030000000003E-2</v>
      </c>
      <c r="Z1805">
        <v>2.5800150000000002E-3</v>
      </c>
      <c r="AA1805">
        <v>0.99599020000000005</v>
      </c>
      <c r="AB1805">
        <v>46</v>
      </c>
      <c r="AC1805">
        <v>-0.67390000000000305</v>
      </c>
      <c r="AD1805">
        <v>-6.8712999999999996E-2</v>
      </c>
      <c r="AE1805">
        <v>0.10319999999995801</v>
      </c>
      <c r="AF1805">
        <v>0.100612428568201</v>
      </c>
      <c r="AG1805">
        <v>-6.8712999999999996E-2</v>
      </c>
      <c r="AH1805">
        <v>0.66735867279732397</v>
      </c>
      <c r="AI1805">
        <v>95.813370598741002</v>
      </c>
      <c r="AJ1805">
        <v>81.426532083248205</v>
      </c>
      <c r="AK1805">
        <v>0.67838922110334099</v>
      </c>
      <c r="AL1805">
        <v>80.617814575010101</v>
      </c>
      <c r="AM1805">
        <v>88.878032540235694</v>
      </c>
      <c r="AN1805">
        <v>0.999999960821637</v>
      </c>
    </row>
    <row r="1806" spans="1:40" x14ac:dyDescent="0.25">
      <c r="A1806" t="str">
        <f>"20190312164257886"</f>
        <v>20190312164257886</v>
      </c>
      <c r="B1806" t="str">
        <f>"1552380177876348"</f>
        <v>1552380177876348</v>
      </c>
      <c r="C1806" t="s">
        <v>40</v>
      </c>
      <c r="D1806">
        <v>4.051812</v>
      </c>
      <c r="E1806">
        <v>0.53302380000000005</v>
      </c>
      <c r="F1806" t="s">
        <v>41</v>
      </c>
      <c r="G1806">
        <v>-388.70729999999998</v>
      </c>
      <c r="H1806">
        <v>1.051712</v>
      </c>
      <c r="I1806">
        <v>284.86290000000002</v>
      </c>
      <c r="J1806">
        <v>-388.05279999999999</v>
      </c>
      <c r="K1806">
        <v>1.1102430000000001</v>
      </c>
      <c r="L1806">
        <v>284.76010000000002</v>
      </c>
      <c r="M1806">
        <v>-0.99991490000000005</v>
      </c>
      <c r="N1806">
        <v>0</v>
      </c>
      <c r="O1806">
        <v>1.906102E-3</v>
      </c>
      <c r="P1806">
        <v>-0.988429</v>
      </c>
      <c r="Q1806">
        <v>0.15009790000000001</v>
      </c>
      <c r="R1806">
        <v>2.1890449999999999E-2</v>
      </c>
      <c r="S1806">
        <v>-3.0536500000000002</v>
      </c>
      <c r="T1806">
        <v>-0.1629621</v>
      </c>
      <c r="U1806">
        <v>0.2871399</v>
      </c>
      <c r="V1806">
        <v>1.9822409999999999E-2</v>
      </c>
      <c r="W1806">
        <v>0.1628771</v>
      </c>
      <c r="X1806">
        <v>0.98644719999999997</v>
      </c>
      <c r="Y1806">
        <v>9.1594170000000003E-2</v>
      </c>
      <c r="Z1806">
        <v>2.3354890000000001E-3</v>
      </c>
      <c r="AA1806">
        <v>0.9957937</v>
      </c>
      <c r="AB1806">
        <v>46</v>
      </c>
      <c r="AC1806">
        <v>-0.65449999999998398</v>
      </c>
      <c r="AD1806">
        <v>-5.8531000000000097E-2</v>
      </c>
      <c r="AE1806">
        <v>0.102800000000001</v>
      </c>
      <c r="AF1806">
        <v>0.100765697054903</v>
      </c>
      <c r="AG1806">
        <v>-5.8531000000000097E-2</v>
      </c>
      <c r="AH1806">
        <v>0.64962450524093396</v>
      </c>
      <c r="AI1806">
        <v>95.0879139294005</v>
      </c>
      <c r="AJ1806">
        <v>81.182902294891207</v>
      </c>
      <c r="AK1806">
        <v>0.65999363744924799</v>
      </c>
      <c r="AL1806">
        <v>80.626066759534794</v>
      </c>
      <c r="AM1806">
        <v>88.848810560233304</v>
      </c>
      <c r="AN1806">
        <v>0.999999978015228</v>
      </c>
    </row>
    <row r="1807" spans="1:40" x14ac:dyDescent="0.25">
      <c r="A1807" t="str">
        <f>"20190312164257909"</f>
        <v>20190312164257909</v>
      </c>
      <c r="B1807" t="str">
        <f>"1552380177905625"</f>
        <v>1552380177905625</v>
      </c>
      <c r="C1807" t="s">
        <v>40</v>
      </c>
      <c r="D1807">
        <v>4.0866870000000004</v>
      </c>
      <c r="E1807">
        <v>0.53354389999999996</v>
      </c>
      <c r="F1807" t="s">
        <v>47</v>
      </c>
      <c r="G1807">
        <v>-410.30500000000001</v>
      </c>
      <c r="H1807" s="1">
        <v>2.063646E-6</v>
      </c>
      <c r="I1807">
        <v>286.86059999999998</v>
      </c>
      <c r="J1807">
        <v>-388.52690000000001</v>
      </c>
      <c r="K1807">
        <v>1.1102540000000001</v>
      </c>
      <c r="L1807">
        <v>284.76060000000001</v>
      </c>
      <c r="M1807">
        <v>-0.9999152</v>
      </c>
      <c r="N1807">
        <v>0</v>
      </c>
      <c r="O1807">
        <v>1.458893E-3</v>
      </c>
      <c r="P1807">
        <v>-0.98836800000000002</v>
      </c>
      <c r="Q1807">
        <v>0.1504713</v>
      </c>
      <c r="R1807">
        <v>2.2083189999999999E-2</v>
      </c>
      <c r="S1807">
        <v>-3.0518489999999998</v>
      </c>
      <c r="T1807">
        <v>-0.15226789999999901</v>
      </c>
      <c r="U1807">
        <v>0.28808590000000001</v>
      </c>
      <c r="V1807">
        <v>2.0453209999999999E-2</v>
      </c>
      <c r="W1807">
        <v>0.16327839999999999</v>
      </c>
      <c r="X1807">
        <v>0.98636800000000002</v>
      </c>
      <c r="Y1807">
        <v>9.2414579999999996E-2</v>
      </c>
      <c r="Z1807">
        <v>2.226329E-3</v>
      </c>
      <c r="AA1807">
        <v>0.99571810000000005</v>
      </c>
      <c r="AB1807">
        <v>46</v>
      </c>
      <c r="AC1807">
        <v>-21.778099999999899</v>
      </c>
      <c r="AD1807">
        <v>-1.110251936354</v>
      </c>
      <c r="AE1807">
        <v>2.0999999999999601</v>
      </c>
      <c r="AF1807">
        <v>2.0629111124534001</v>
      </c>
      <c r="AG1807">
        <v>-1.110251936354</v>
      </c>
      <c r="AH1807">
        <v>21.725197547360199</v>
      </c>
      <c r="AI1807">
        <v>92.912440392471595</v>
      </c>
      <c r="AJ1807">
        <v>84.575755883845503</v>
      </c>
      <c r="AK1807">
        <v>21.851143450444098</v>
      </c>
      <c r="AL1807">
        <v>80.602762200502596</v>
      </c>
      <c r="AM1807">
        <v>88.812091741579906</v>
      </c>
      <c r="AN1807">
        <v>1.0000000005649301</v>
      </c>
    </row>
    <row r="1808" spans="1:40" x14ac:dyDescent="0.25">
      <c r="A1808" t="str">
        <f>"20190312164257931"</f>
        <v>20190312164257931</v>
      </c>
      <c r="B1808" t="str">
        <f>"1552380177926121"</f>
        <v>1552380177926121</v>
      </c>
      <c r="C1808" t="s">
        <v>40</v>
      </c>
      <c r="D1808">
        <v>4.3567260000000001</v>
      </c>
      <c r="E1808">
        <v>0.53348809999999902</v>
      </c>
      <c r="F1808" t="s">
        <v>47</v>
      </c>
      <c r="G1808">
        <v>-412.57900000000001</v>
      </c>
      <c r="H1808" s="1">
        <v>2.4481950000000002E-6</v>
      </c>
      <c r="I1808">
        <v>287.07600000000002</v>
      </c>
      <c r="J1808">
        <v>-388.97890000000001</v>
      </c>
      <c r="K1808">
        <v>1.110266</v>
      </c>
      <c r="L1808">
        <v>284.76080000000002</v>
      </c>
      <c r="M1808">
        <v>-0.99991529999999995</v>
      </c>
      <c r="N1808">
        <v>0</v>
      </c>
      <c r="O1808">
        <v>1.03268E-3</v>
      </c>
      <c r="P1808">
        <v>-0.98833839999999995</v>
      </c>
      <c r="Q1808">
        <v>0.15069869999999999</v>
      </c>
      <c r="R1808">
        <v>2.1843250000000002E-2</v>
      </c>
      <c r="S1808">
        <v>-3.0501710000000002</v>
      </c>
      <c r="T1808">
        <v>-0.140796799999999</v>
      </c>
      <c r="U1808">
        <v>0.29364010000000001</v>
      </c>
      <c r="V1808">
        <v>2.0631090000000001E-2</v>
      </c>
      <c r="W1808">
        <v>0.16352910000000001</v>
      </c>
      <c r="X1808">
        <v>0.98632280000000006</v>
      </c>
      <c r="Y1808">
        <v>9.4700140000000002E-2</v>
      </c>
      <c r="Z1808">
        <v>2.1319619999999998E-3</v>
      </c>
      <c r="AA1808">
        <v>0.99550349999999999</v>
      </c>
      <c r="AB1808">
        <v>46</v>
      </c>
      <c r="AC1808">
        <v>-23.600100000000001</v>
      </c>
      <c r="AD1808">
        <v>-1.1102635518049999</v>
      </c>
      <c r="AE1808">
        <v>2.31519999999994</v>
      </c>
      <c r="AF1808">
        <v>2.2858145764138902</v>
      </c>
      <c r="AG1808">
        <v>-1.1102635518049999</v>
      </c>
      <c r="AH1808">
        <v>23.550852116759401</v>
      </c>
      <c r="AI1808">
        <v>92.686504810395604</v>
      </c>
      <c r="AJ1808">
        <v>84.456311755579705</v>
      </c>
      <c r="AK1808">
        <v>23.687555147327501</v>
      </c>
      <c r="AL1808">
        <v>80.588202802183304</v>
      </c>
      <c r="AM1808">
        <v>88.801708698229504</v>
      </c>
      <c r="AN1808">
        <v>1.0000000371106099</v>
      </c>
    </row>
    <row r="1809" spans="1:40" x14ac:dyDescent="0.25">
      <c r="A1809" t="str">
        <f>"20190312164257953"</f>
        <v>20190312164257953</v>
      </c>
      <c r="B1809" t="str">
        <f>"1552380177945641"</f>
        <v>1552380177945641</v>
      </c>
      <c r="C1809" t="s">
        <v>40</v>
      </c>
      <c r="D1809">
        <v>4.0079359999999999</v>
      </c>
      <c r="E1809">
        <v>0.53348229999999996</v>
      </c>
      <c r="F1809" t="s">
        <v>47</v>
      </c>
      <c r="G1809">
        <v>-413.84339999999997</v>
      </c>
      <c r="H1809" s="1">
        <v>2.665749E-6</v>
      </c>
      <c r="I1809">
        <v>287.15289999999999</v>
      </c>
      <c r="J1809">
        <v>-389.43360000000001</v>
      </c>
      <c r="K1809">
        <v>1.110274</v>
      </c>
      <c r="L1809">
        <v>284.76089999999999</v>
      </c>
      <c r="M1809">
        <v>-0.99991549999999996</v>
      </c>
      <c r="N1809">
        <v>0</v>
      </c>
      <c r="O1809">
        <v>6.0821479999999999E-4</v>
      </c>
      <c r="P1809">
        <v>-0.98832319999999996</v>
      </c>
      <c r="Q1809">
        <v>0.15083050000000001</v>
      </c>
      <c r="R1809">
        <v>2.1623799999999999E-2</v>
      </c>
      <c r="S1809">
        <v>-3.0497130000000001</v>
      </c>
      <c r="T1809">
        <v>-0.136177399999999</v>
      </c>
      <c r="U1809">
        <v>0.29339599999999999</v>
      </c>
      <c r="V1809">
        <v>2.082927E-2</v>
      </c>
      <c r="W1809">
        <v>0.1636811</v>
      </c>
      <c r="X1809">
        <v>0.98629339999999999</v>
      </c>
      <c r="Y1809">
        <v>9.5063599999999998E-2</v>
      </c>
      <c r="Z1809">
        <v>2.0893959999999999E-3</v>
      </c>
      <c r="AA1809">
        <v>0.99546900000000005</v>
      </c>
      <c r="AB1809">
        <v>45</v>
      </c>
      <c r="AC1809">
        <v>-24.409799999999901</v>
      </c>
      <c r="AD1809">
        <v>-1.110271334251</v>
      </c>
      <c r="AE1809">
        <v>2.3919999999999901</v>
      </c>
      <c r="AF1809">
        <v>2.3722906624217801</v>
      </c>
      <c r="AG1809">
        <v>-1.110271334251</v>
      </c>
      <c r="AH1809">
        <v>24.361329799560899</v>
      </c>
      <c r="AI1809">
        <v>92.5971899820738</v>
      </c>
      <c r="AJ1809">
        <v>84.438110172963405</v>
      </c>
      <c r="AK1809">
        <v>24.5017316740194</v>
      </c>
      <c r="AL1809">
        <v>80.579374694711305</v>
      </c>
      <c r="AM1809">
        <v>88.790165395764802</v>
      </c>
      <c r="AN1809">
        <v>1.00000001593475</v>
      </c>
    </row>
    <row r="1810" spans="1:40" x14ac:dyDescent="0.25">
      <c r="A1810" t="str">
        <f>"20190312164257974"</f>
        <v>20190312164257974</v>
      </c>
      <c r="B1810" t="str">
        <f>"1552380177966137"</f>
        <v>1552380177966137</v>
      </c>
      <c r="C1810" t="s">
        <v>40</v>
      </c>
      <c r="D1810">
        <v>3.9946419999999998</v>
      </c>
      <c r="E1810">
        <v>0.53314969999999995</v>
      </c>
      <c r="F1810" t="s">
        <v>47</v>
      </c>
      <c r="G1810">
        <v>-414.68040000000002</v>
      </c>
      <c r="H1810" s="1">
        <v>2.810746E-6</v>
      </c>
      <c r="I1810">
        <v>287.1927</v>
      </c>
      <c r="J1810">
        <v>-389.87009999999998</v>
      </c>
      <c r="K1810">
        <v>1.1102799999999999</v>
      </c>
      <c r="L1810">
        <v>284.76089999999999</v>
      </c>
      <c r="M1810">
        <v>-0.99991549999999996</v>
      </c>
      <c r="N1810">
        <v>0</v>
      </c>
      <c r="O1810">
        <v>2.1133759999999999E-4</v>
      </c>
      <c r="P1810">
        <v>-0.98819570000000001</v>
      </c>
      <c r="Q1810">
        <v>0.15172339999999901</v>
      </c>
      <c r="R1810">
        <v>2.1199900000000001E-2</v>
      </c>
      <c r="S1810">
        <v>-3.0495000000000001</v>
      </c>
      <c r="T1810">
        <v>-0.1341069</v>
      </c>
      <c r="U1810">
        <v>0.29373169999999998</v>
      </c>
      <c r="V1810">
        <v>2.0796809999999999E-2</v>
      </c>
      <c r="W1810">
        <v>0.16458889999999901</v>
      </c>
      <c r="X1810">
        <v>0.98614299999999999</v>
      </c>
      <c r="Y1810">
        <v>9.5575830000000001E-2</v>
      </c>
      <c r="Z1810">
        <v>2.086428E-3</v>
      </c>
      <c r="AA1810">
        <v>0.99541999999999997</v>
      </c>
      <c r="AB1810">
        <v>45</v>
      </c>
      <c r="AC1810">
        <v>-24.810300000000002</v>
      </c>
      <c r="AD1810">
        <v>-1.110277189254</v>
      </c>
      <c r="AE1810">
        <v>2.4318</v>
      </c>
      <c r="AF1810">
        <v>2.4217524503033099</v>
      </c>
      <c r="AG1810">
        <v>-1.110277189254</v>
      </c>
      <c r="AH1810">
        <v>24.7616969872029</v>
      </c>
      <c r="AI1810">
        <v>92.555161733610007</v>
      </c>
      <c r="AJ1810">
        <v>84.414102498257904</v>
      </c>
      <c r="AK1810">
        <v>24.904602748359199</v>
      </c>
      <c r="AL1810">
        <v>80.526646468735507</v>
      </c>
      <c r="AM1810">
        <v>88.791866049624105</v>
      </c>
      <c r="AN1810">
        <v>1.0000000148791901</v>
      </c>
    </row>
    <row r="1811" spans="1:40" x14ac:dyDescent="0.25">
      <c r="A1811" t="str">
        <f>"20190312164257998"</f>
        <v>20190312164257998</v>
      </c>
      <c r="B1811" t="str">
        <f>"1552380177985658"</f>
        <v>1552380177985658</v>
      </c>
      <c r="C1811" t="s">
        <v>40</v>
      </c>
      <c r="D1811">
        <v>4.2202699999999904</v>
      </c>
      <c r="E1811">
        <v>0.5331882</v>
      </c>
      <c r="F1811" t="s">
        <v>47</v>
      </c>
      <c r="G1811">
        <v>-415.48390000000001</v>
      </c>
      <c r="H1811" s="1">
        <v>2.9527850000000001E-6</v>
      </c>
      <c r="I1811">
        <v>287.19819999999999</v>
      </c>
      <c r="J1811">
        <v>-390.32749999999999</v>
      </c>
      <c r="K1811">
        <v>1.1102749999999999</v>
      </c>
      <c r="L1811">
        <v>284.76060000000001</v>
      </c>
      <c r="M1811">
        <v>-0.9999152</v>
      </c>
      <c r="N1811">
        <v>0</v>
      </c>
      <c r="O1811">
        <v>-1.886953E-4</v>
      </c>
      <c r="P1811">
        <v>-0.98816340000000003</v>
      </c>
      <c r="Q1811">
        <v>0.15191769999999999</v>
      </c>
      <c r="R1811">
        <v>2.131742E-2</v>
      </c>
      <c r="S1811">
        <v>-3.0498660000000002</v>
      </c>
      <c r="T1811">
        <v>-0.13220179999999901</v>
      </c>
      <c r="U1811">
        <v>0.29022219999999999</v>
      </c>
      <c r="V1811">
        <v>2.1312520000000001E-2</v>
      </c>
      <c r="W1811">
        <v>0.16479820000000001</v>
      </c>
      <c r="X1811">
        <v>0.986097</v>
      </c>
      <c r="Y1811">
        <v>9.4830490000000003E-2</v>
      </c>
      <c r="Z1811">
        <v>2.0578670000000001E-3</v>
      </c>
      <c r="AA1811">
        <v>0.99549129999999997</v>
      </c>
      <c r="AB1811">
        <v>45</v>
      </c>
      <c r="AC1811">
        <v>-25.156400000000001</v>
      </c>
      <c r="AD1811">
        <v>-1.1102720472149901</v>
      </c>
      <c r="AE1811">
        <v>2.43759999999997</v>
      </c>
      <c r="AF1811">
        <v>2.4376431884940999</v>
      </c>
      <c r="AG1811">
        <v>-1.1102720472149901</v>
      </c>
      <c r="AH1811">
        <v>25.107488136344401</v>
      </c>
      <c r="AI1811">
        <v>92.520178452166107</v>
      </c>
      <c r="AJ1811">
        <v>84.454630737575599</v>
      </c>
      <c r="AK1811">
        <v>25.249965719776998</v>
      </c>
      <c r="AL1811">
        <v>80.514488125292999</v>
      </c>
      <c r="AM1811">
        <v>88.761858759214803</v>
      </c>
      <c r="AN1811">
        <v>0.99999998182049499</v>
      </c>
    </row>
    <row r="1812" spans="1:40" x14ac:dyDescent="0.25">
      <c r="A1812" t="str">
        <f>"20190312164258020"</f>
        <v>20190312164258020</v>
      </c>
      <c r="B1812" t="str">
        <f>"1552380178015914"</f>
        <v>1552380178015914</v>
      </c>
      <c r="C1812" t="s">
        <v>40</v>
      </c>
      <c r="D1812">
        <v>4.367623</v>
      </c>
      <c r="E1812">
        <v>0.53334630000000005</v>
      </c>
      <c r="F1812" t="s">
        <v>47</v>
      </c>
      <c r="G1812">
        <v>-416.214</v>
      </c>
      <c r="H1812" s="1">
        <v>3.0802600000000001E-6</v>
      </c>
      <c r="I1812">
        <v>287.22140000000002</v>
      </c>
      <c r="J1812">
        <v>-390.79640000000001</v>
      </c>
      <c r="K1812">
        <v>1.110263</v>
      </c>
      <c r="L1812">
        <v>284.7602</v>
      </c>
      <c r="M1812">
        <v>-0.99991490000000005</v>
      </c>
      <c r="N1812">
        <v>0</v>
      </c>
      <c r="O1812">
        <v>-5.7750629999999998E-4</v>
      </c>
      <c r="P1812">
        <v>-0.98820810000000003</v>
      </c>
      <c r="Q1812">
        <v>0.1516853</v>
      </c>
      <c r="R1812">
        <v>2.0891440000000001E-2</v>
      </c>
      <c r="S1812">
        <v>-3.0497740000000002</v>
      </c>
      <c r="T1812">
        <v>-0.1308048</v>
      </c>
      <c r="U1812">
        <v>0.28991699999999998</v>
      </c>
      <c r="V1812">
        <v>2.127681E-2</v>
      </c>
      <c r="W1812">
        <v>0.164579</v>
      </c>
      <c r="X1812">
        <v>0.98613439999999997</v>
      </c>
      <c r="Y1812">
        <v>9.5122910000000005E-2</v>
      </c>
      <c r="Z1812">
        <v>2.0590980000000001E-3</v>
      </c>
      <c r="AA1812">
        <v>0.9954634</v>
      </c>
      <c r="AB1812">
        <v>45</v>
      </c>
      <c r="AC1812">
        <v>-25.4176</v>
      </c>
      <c r="AD1812">
        <v>-1.1102599197399901</v>
      </c>
      <c r="AE1812">
        <v>2.4612000000000198</v>
      </c>
      <c r="AF1812">
        <v>2.4712083732716499</v>
      </c>
      <c r="AG1812">
        <v>-1.1102599197399901</v>
      </c>
      <c r="AH1812">
        <v>25.3682211231297</v>
      </c>
      <c r="AI1812">
        <v>92.494203831218996</v>
      </c>
      <c r="AJ1812">
        <v>84.436169771573503</v>
      </c>
      <c r="AK1812">
        <v>25.5124712810326</v>
      </c>
      <c r="AL1812">
        <v>80.527221419584095</v>
      </c>
      <c r="AM1812">
        <v>88.763979535780095</v>
      </c>
      <c r="AN1812">
        <v>1.0000000023740601</v>
      </c>
    </row>
    <row r="1813" spans="1:40" x14ac:dyDescent="0.25">
      <c r="A1813" t="str">
        <f>"20190312164258043"</f>
        <v>20190312164258043</v>
      </c>
      <c r="B1813" t="str">
        <f>"1552380178036412"</f>
        <v>1552380178036412</v>
      </c>
      <c r="C1813" t="s">
        <v>40</v>
      </c>
      <c r="D1813">
        <v>3.96916</v>
      </c>
      <c r="E1813">
        <v>0.53340240000000005</v>
      </c>
      <c r="F1813" t="s">
        <v>47</v>
      </c>
      <c r="G1813">
        <v>-416.83269999999999</v>
      </c>
      <c r="H1813" s="1">
        <v>3.1884120000000002E-6</v>
      </c>
      <c r="I1813">
        <v>287.23970000000003</v>
      </c>
      <c r="J1813">
        <v>-391.24869999999999</v>
      </c>
      <c r="K1813">
        <v>1.1102459999999901</v>
      </c>
      <c r="L1813">
        <v>284.75959999999998</v>
      </c>
      <c r="M1813">
        <v>-0.99991459999999999</v>
      </c>
      <c r="N1813">
        <v>0</v>
      </c>
      <c r="O1813">
        <v>-9.258046E-4</v>
      </c>
      <c r="P1813">
        <v>-0.98825339999999995</v>
      </c>
      <c r="Q1813">
        <v>0.15138460000000001</v>
      </c>
      <c r="R1813">
        <v>2.09336E-2</v>
      </c>
      <c r="S1813">
        <v>-3.049652</v>
      </c>
      <c r="T1813">
        <v>-0.13004549999999901</v>
      </c>
      <c r="U1813">
        <v>0.29043580000000002</v>
      </c>
      <c r="V1813">
        <v>2.1671349999999999E-2</v>
      </c>
      <c r="W1813">
        <v>0.16428879999999901</v>
      </c>
      <c r="X1813">
        <v>0.9861742</v>
      </c>
      <c r="Y1813">
        <v>9.5641450000000003E-2</v>
      </c>
      <c r="Z1813">
        <v>2.0730620000000001E-3</v>
      </c>
      <c r="AA1813">
        <v>0.99541369999999896</v>
      </c>
      <c r="AB1813">
        <v>45</v>
      </c>
      <c r="AC1813">
        <v>-25.584</v>
      </c>
      <c r="AD1813">
        <v>-1.1102428115880001</v>
      </c>
      <c r="AE1813">
        <v>2.4801000000000499</v>
      </c>
      <c r="AF1813">
        <v>2.4991241711408301</v>
      </c>
      <c r="AG1813">
        <v>-1.1102428115880001</v>
      </c>
      <c r="AH1813">
        <v>25.5340544017273</v>
      </c>
      <c r="AI1813">
        <v>92.477876857628104</v>
      </c>
      <c r="AJ1813">
        <v>84.410027675013794</v>
      </c>
      <c r="AK1813">
        <v>25.680073888402902</v>
      </c>
      <c r="AL1813">
        <v>80.544078131159196</v>
      </c>
      <c r="AM1813">
        <v>88.741117870228194</v>
      </c>
      <c r="AN1813">
        <v>1.0000000049809501</v>
      </c>
    </row>
    <row r="1814" spans="1:40" x14ac:dyDescent="0.25">
      <c r="A1814" t="str">
        <f>"20190312164258064"</f>
        <v>20190312164258064</v>
      </c>
      <c r="B1814" t="str">
        <f>"1552380178055929"</f>
        <v>1552380178055929</v>
      </c>
      <c r="C1814" t="s">
        <v>40</v>
      </c>
      <c r="D1814">
        <v>3.9760870000000001</v>
      </c>
      <c r="E1814">
        <v>0.53347559999999905</v>
      </c>
      <c r="F1814" t="s">
        <v>47</v>
      </c>
      <c r="G1814">
        <v>-417.36829999999998</v>
      </c>
      <c r="H1814" s="1">
        <v>3.2823240000000001E-6</v>
      </c>
      <c r="I1814">
        <v>287.25229999999999</v>
      </c>
      <c r="J1814">
        <v>-391.6884</v>
      </c>
      <c r="K1814">
        <v>1.1102190000000001</v>
      </c>
      <c r="L1814">
        <v>284.75889999999998</v>
      </c>
      <c r="M1814">
        <v>-0.99991399999999997</v>
      </c>
      <c r="N1814">
        <v>0</v>
      </c>
      <c r="O1814">
        <v>-1.2399589999999999E-3</v>
      </c>
      <c r="P1814">
        <v>-0.98822279999999996</v>
      </c>
      <c r="Q1814">
        <v>0.15156549999999999</v>
      </c>
      <c r="R1814">
        <v>2.1061710000000001E-2</v>
      </c>
      <c r="S1814">
        <v>-3.049347</v>
      </c>
      <c r="T1814">
        <v>-0.12961549999999999</v>
      </c>
      <c r="U1814">
        <v>0.29101559999999999</v>
      </c>
      <c r="V1814">
        <v>2.211813E-2</v>
      </c>
      <c r="W1814">
        <v>0.1644774</v>
      </c>
      <c r="X1814">
        <v>0.98613289999999998</v>
      </c>
      <c r="Y1814">
        <v>9.6150959999999994E-2</v>
      </c>
      <c r="Z1814">
        <v>2.0905189999999999E-3</v>
      </c>
      <c r="AA1814">
        <v>0.99536449999999999</v>
      </c>
      <c r="AB1814">
        <v>45</v>
      </c>
      <c r="AC1814">
        <v>-25.6798999999999</v>
      </c>
      <c r="AD1814">
        <v>-1.1102157176759999</v>
      </c>
      <c r="AE1814">
        <v>2.4933999999999998</v>
      </c>
      <c r="AF1814">
        <v>2.5205756602018501</v>
      </c>
      <c r="AG1814">
        <v>-1.1102157176759999</v>
      </c>
      <c r="AH1814">
        <v>25.629332374987399</v>
      </c>
      <c r="AI1814">
        <v>92.468503150323698</v>
      </c>
      <c r="AJ1814">
        <v>84.383177260776506</v>
      </c>
      <c r="AK1814">
        <v>25.776899708579201</v>
      </c>
      <c r="AL1814">
        <v>80.533123662656493</v>
      </c>
      <c r="AM1814">
        <v>88.715119376263999</v>
      </c>
      <c r="AN1814">
        <v>1.00000006162393</v>
      </c>
    </row>
    <row r="1815" spans="1:40" x14ac:dyDescent="0.25">
      <c r="A1815" t="str">
        <f>"20190312164258087"</f>
        <v>20190312164258087</v>
      </c>
      <c r="B1815" t="str">
        <f>"1552380178076426"</f>
        <v>1552380178076426</v>
      </c>
      <c r="C1815" t="s">
        <v>40</v>
      </c>
      <c r="D1815">
        <v>3.9462549999999998</v>
      </c>
      <c r="E1815">
        <v>0.53362860000000001</v>
      </c>
      <c r="F1815" t="s">
        <v>47</v>
      </c>
      <c r="G1815">
        <v>-418.20010000000002</v>
      </c>
      <c r="H1815" s="1">
        <v>3.4258989999999999E-6</v>
      </c>
      <c r="I1815">
        <v>287.29770000000002</v>
      </c>
      <c r="J1815">
        <v>-392.14060000000001</v>
      </c>
      <c r="K1815">
        <v>1.110196</v>
      </c>
      <c r="L1815">
        <v>284.75799999999998</v>
      </c>
      <c r="M1815">
        <v>-0.99991359999999996</v>
      </c>
      <c r="N1815">
        <v>0</v>
      </c>
      <c r="O1815">
        <v>-1.5405200000000001E-3</v>
      </c>
      <c r="P1815">
        <v>-0.98823450000000002</v>
      </c>
      <c r="Q1815">
        <v>0.15151729999999899</v>
      </c>
      <c r="R1815">
        <v>2.086462E-2</v>
      </c>
      <c r="S1815">
        <v>-3.0491030000000001</v>
      </c>
      <c r="T1815">
        <v>-0.12768589999999999</v>
      </c>
      <c r="U1815">
        <v>0.29199219999999998</v>
      </c>
      <c r="V1815">
        <v>2.222681E-2</v>
      </c>
      <c r="W1815">
        <v>0.164436</v>
      </c>
      <c r="X1815">
        <v>0.98613729999999999</v>
      </c>
      <c r="Y1815">
        <v>9.6775349999999996E-2</v>
      </c>
      <c r="Z1815">
        <v>2.0851480000000002E-3</v>
      </c>
      <c r="AA1815">
        <v>0.99530399999999997</v>
      </c>
      <c r="AB1815">
        <v>45</v>
      </c>
      <c r="AC1815">
        <v>-26.0595</v>
      </c>
      <c r="AD1815">
        <v>-1.1101925741009999</v>
      </c>
      <c r="AE1815">
        <v>2.53970000000003</v>
      </c>
      <c r="AF1815">
        <v>2.5752156772662702</v>
      </c>
      <c r="AG1815">
        <v>-1.1101925741009999</v>
      </c>
      <c r="AH1815">
        <v>26.008795768668701</v>
      </c>
      <c r="AI1815">
        <v>92.432322973211001</v>
      </c>
      <c r="AJ1815">
        <v>84.345388546046294</v>
      </c>
      <c r="AK1815">
        <v>26.159543586850798</v>
      </c>
      <c r="AL1815">
        <v>80.535527879377</v>
      </c>
      <c r="AM1815">
        <v>88.708813857359004</v>
      </c>
      <c r="AN1815">
        <v>1.0000000018150299</v>
      </c>
    </row>
    <row r="1816" spans="1:40" x14ac:dyDescent="0.25">
      <c r="A1816" t="str">
        <f>"20190312164258110"</f>
        <v>20190312164258110</v>
      </c>
      <c r="B1816" t="str">
        <f>"1552380178105707"</f>
        <v>1552380178105707</v>
      </c>
      <c r="C1816" t="s">
        <v>40</v>
      </c>
      <c r="D1816">
        <v>4.2455600000000002</v>
      </c>
      <c r="E1816">
        <v>0.53376789999999996</v>
      </c>
      <c r="F1816" t="s">
        <v>47</v>
      </c>
      <c r="G1816">
        <v>-418.79399999999998</v>
      </c>
      <c r="H1816" s="1">
        <v>3.5298800000000002E-6</v>
      </c>
      <c r="I1816">
        <v>287.3134</v>
      </c>
      <c r="J1816">
        <v>-392.60590000000002</v>
      </c>
      <c r="K1816">
        <v>1.110171</v>
      </c>
      <c r="L1816">
        <v>284.75700000000001</v>
      </c>
      <c r="M1816">
        <v>-0.99991289999999999</v>
      </c>
      <c r="N1816">
        <v>0</v>
      </c>
      <c r="O1816">
        <v>-1.828571E-3</v>
      </c>
      <c r="P1816">
        <v>-0.98819069999999998</v>
      </c>
      <c r="Q1816">
        <v>0.15175900000000001</v>
      </c>
      <c r="R1816">
        <v>2.1174200000000001E-2</v>
      </c>
      <c r="S1816">
        <v>-3.0490110000000001</v>
      </c>
      <c r="T1816">
        <v>-0.127</v>
      </c>
      <c r="U1816">
        <v>0.29232789999999997</v>
      </c>
      <c r="V1816">
        <v>2.282899E-2</v>
      </c>
      <c r="W1816">
        <v>0.16468339999999901</v>
      </c>
      <c r="X1816">
        <v>0.98608229999999997</v>
      </c>
      <c r="Y1816">
        <v>9.7173800000000005E-2</v>
      </c>
      <c r="Z1816">
        <v>2.0942500000000002E-3</v>
      </c>
      <c r="AA1816">
        <v>0.99526519999999996</v>
      </c>
      <c r="AB1816">
        <v>45</v>
      </c>
      <c r="AC1816">
        <v>-26.188099999999999</v>
      </c>
      <c r="AD1816">
        <v>-1.1101674701199999</v>
      </c>
      <c r="AE1816">
        <v>2.5563999999999898</v>
      </c>
      <c r="AF1816">
        <v>2.5996589022757099</v>
      </c>
      <c r="AG1816">
        <v>-1.1101674701199999</v>
      </c>
      <c r="AH1816">
        <v>26.136854416858601</v>
      </c>
      <c r="AI1816">
        <v>92.420258321015694</v>
      </c>
      <c r="AJ1816">
        <v>84.319852250406399</v>
      </c>
      <c r="AK1816">
        <v>26.2892726606872</v>
      </c>
      <c r="AL1816">
        <v>80.521157387581198</v>
      </c>
      <c r="AM1816">
        <v>88.673770774153198</v>
      </c>
      <c r="AN1816">
        <v>1.0000000436966301</v>
      </c>
    </row>
    <row r="1817" spans="1:40" x14ac:dyDescent="0.25">
      <c r="A1817" t="str">
        <f>"20190312164258133"</f>
        <v>20190312164258133</v>
      </c>
      <c r="B1817" t="str">
        <f>"1552380178126201"</f>
        <v>1552380178126201</v>
      </c>
      <c r="C1817" t="s">
        <v>40</v>
      </c>
      <c r="D1817">
        <v>4.0922510000000001</v>
      </c>
      <c r="E1817">
        <v>0.53383059999999904</v>
      </c>
      <c r="F1817" t="s">
        <v>47</v>
      </c>
      <c r="G1817">
        <v>-419.50740000000002</v>
      </c>
      <c r="H1817" s="1">
        <v>3.6522329999999998E-6</v>
      </c>
      <c r="I1817">
        <v>287.3612</v>
      </c>
      <c r="J1817">
        <v>-393.06939999999997</v>
      </c>
      <c r="K1817">
        <v>1.110166</v>
      </c>
      <c r="L1817">
        <v>284.7559</v>
      </c>
      <c r="M1817">
        <v>-0.99991240000000003</v>
      </c>
      <c r="N1817">
        <v>0</v>
      </c>
      <c r="O1817">
        <v>-2.0955610000000001E-3</v>
      </c>
      <c r="P1817">
        <v>-0.98816559999999998</v>
      </c>
      <c r="Q1817">
        <v>0.1518582</v>
      </c>
      <c r="R1817">
        <v>2.1637630000000001E-2</v>
      </c>
      <c r="S1817">
        <v>-3.0488279999999999</v>
      </c>
      <c r="T1817">
        <v>-0.12581869999999901</v>
      </c>
      <c r="U1817">
        <v>0.2951355</v>
      </c>
      <c r="V1817">
        <v>2.3563790000000001E-2</v>
      </c>
      <c r="W1817">
        <v>0.16478880000000001</v>
      </c>
      <c r="X1817">
        <v>0.98604740000000002</v>
      </c>
      <c r="Y1817">
        <v>9.8353620000000003E-2</v>
      </c>
      <c r="Z1817">
        <v>2.1100870000000001E-3</v>
      </c>
      <c r="AA1817">
        <v>0.99514930000000001</v>
      </c>
      <c r="AB1817">
        <v>45</v>
      </c>
      <c r="AC1817">
        <v>-26.437999999999999</v>
      </c>
      <c r="AD1817">
        <v>-1.110162347767</v>
      </c>
      <c r="AE1817">
        <v>2.6053000000000002</v>
      </c>
      <c r="AF1817">
        <v>2.6560631702216799</v>
      </c>
      <c r="AG1817">
        <v>-1.110162347767</v>
      </c>
      <c r="AH1817">
        <v>26.386403343075099</v>
      </c>
      <c r="AI1817">
        <v>92.397100619740002</v>
      </c>
      <c r="AJ1817">
        <v>84.251951719884005</v>
      </c>
      <c r="AK1817">
        <v>26.542972956812001</v>
      </c>
      <c r="AL1817">
        <v>80.515034708190399</v>
      </c>
      <c r="AM1817">
        <v>88.631050799825005</v>
      </c>
      <c r="AN1817">
        <v>1.0000000379256799</v>
      </c>
    </row>
    <row r="1818" spans="1:40" x14ac:dyDescent="0.25">
      <c r="A1818" t="str">
        <f>"20190312164258154"</f>
        <v>20190312164258154</v>
      </c>
      <c r="B1818" t="str">
        <f>"1552380178145721"</f>
        <v>1552380178145721</v>
      </c>
      <c r="C1818" t="s">
        <v>40</v>
      </c>
      <c r="D1818">
        <v>4.5135139999999998</v>
      </c>
      <c r="E1818">
        <v>0.52520889999999998</v>
      </c>
      <c r="F1818" t="s">
        <v>47</v>
      </c>
      <c r="G1818">
        <v>-420.33330000000001</v>
      </c>
      <c r="H1818" s="1">
        <v>3.6607910000000001E-6</v>
      </c>
      <c r="I1818">
        <v>287.4153</v>
      </c>
      <c r="J1818">
        <v>-393.50560000000002</v>
      </c>
      <c r="K1818">
        <v>1.1101559999999999</v>
      </c>
      <c r="L1818">
        <v>284.75479999999999</v>
      </c>
      <c r="M1818">
        <v>-0.99991180000000002</v>
      </c>
      <c r="N1818">
        <v>0</v>
      </c>
      <c r="O1818">
        <v>-2.3319740000000001E-3</v>
      </c>
      <c r="P1818">
        <v>-0.98809860000000005</v>
      </c>
      <c r="Q1818">
        <v>0.1522077</v>
      </c>
      <c r="R1818">
        <v>2.2239419999999999E-2</v>
      </c>
      <c r="S1818">
        <v>-3.048492</v>
      </c>
      <c r="T1818">
        <v>-0.1241324</v>
      </c>
      <c r="U1818">
        <v>0.2973633</v>
      </c>
      <c r="V1818">
        <v>2.4405090000000001E-2</v>
      </c>
      <c r="W1818">
        <v>0.16514619999999999</v>
      </c>
      <c r="X1818">
        <v>0.98596709999999999</v>
      </c>
      <c r="Y1818">
        <v>9.9321039999999999E-2</v>
      </c>
      <c r="Z1818">
        <v>2.1112259999999999E-3</v>
      </c>
      <c r="AA1818">
        <v>0.99505319999999997</v>
      </c>
      <c r="AB1818">
        <v>45</v>
      </c>
      <c r="AC1818">
        <v>-26.8277</v>
      </c>
      <c r="AD1818">
        <v>-1.110152339209</v>
      </c>
      <c r="AE1818">
        <v>2.6605000000000101</v>
      </c>
      <c r="AF1818">
        <v>2.71844994712127</v>
      </c>
      <c r="AG1818">
        <v>-1.110152339209</v>
      </c>
      <c r="AH1818">
        <v>26.776018306858901</v>
      </c>
      <c r="AI1818">
        <v>92.362034902237497</v>
      </c>
      <c r="AJ1818">
        <v>84.202877924247204</v>
      </c>
      <c r="AK1818">
        <v>26.936547007745801</v>
      </c>
      <c r="AL1818">
        <v>80.494272364487898</v>
      </c>
      <c r="AM1818">
        <v>88.582079273073006</v>
      </c>
      <c r="AN1818">
        <v>0.99999999903737902</v>
      </c>
    </row>
    <row r="1819" spans="1:40" x14ac:dyDescent="0.25">
      <c r="A1819" t="str">
        <f>"20190312164258175"</f>
        <v>20190312164258175</v>
      </c>
      <c r="B1819" t="str">
        <f>"1552380178166218"</f>
        <v>1552380178166218</v>
      </c>
      <c r="C1819" t="s">
        <v>40</v>
      </c>
      <c r="D1819">
        <v>4.3138050000000003</v>
      </c>
      <c r="E1819">
        <v>0.52478979999999997</v>
      </c>
      <c r="F1819" t="s">
        <v>47</v>
      </c>
      <c r="G1819">
        <v>-411.92200000000003</v>
      </c>
      <c r="H1819" s="1">
        <v>2.415778E-6</v>
      </c>
      <c r="I1819">
        <v>286.11380000000003</v>
      </c>
      <c r="J1819">
        <v>-393.9579</v>
      </c>
      <c r="K1819">
        <v>1.1101490000000001</v>
      </c>
      <c r="L1819">
        <v>284.7534</v>
      </c>
      <c r="M1819">
        <v>-0.99991090000000005</v>
      </c>
      <c r="N1819">
        <v>0</v>
      </c>
      <c r="O1819">
        <v>-2.5649520000000001E-3</v>
      </c>
      <c r="P1819">
        <v>-0.98799300000000001</v>
      </c>
      <c r="Q1819">
        <v>0.15282589999999999</v>
      </c>
      <c r="R1819">
        <v>2.2677269999999999E-2</v>
      </c>
      <c r="S1819">
        <v>-3.0594790000000001</v>
      </c>
      <c r="T1819">
        <v>-0.1844276</v>
      </c>
      <c r="U1819">
        <v>0.225769</v>
      </c>
      <c r="V1819">
        <v>2.507856E-2</v>
      </c>
      <c r="W1819">
        <v>0.16577359999999999</v>
      </c>
      <c r="X1819">
        <v>0.98584490000000002</v>
      </c>
      <c r="Y1819">
        <v>7.600933E-2</v>
      </c>
      <c r="Z1819">
        <v>2.4400569999999998E-3</v>
      </c>
      <c r="AA1819">
        <v>0.99710410000000005</v>
      </c>
      <c r="AB1819">
        <v>45</v>
      </c>
      <c r="AC1819">
        <v>-17.964099999999899</v>
      </c>
      <c r="AD1819">
        <v>-1.110146584222</v>
      </c>
      <c r="AE1819">
        <v>1.36040000000002</v>
      </c>
      <c r="AF1819">
        <v>1.4011560292451699</v>
      </c>
      <c r="AG1819">
        <v>-1.110146584222</v>
      </c>
      <c r="AH1819">
        <v>17.892608991322099</v>
      </c>
      <c r="AI1819">
        <v>93.539555810292299</v>
      </c>
      <c r="AJ1819">
        <v>85.522350807185205</v>
      </c>
      <c r="AK1819">
        <v>17.9816884683583</v>
      </c>
      <c r="AL1819">
        <v>80.457822535896995</v>
      </c>
      <c r="AM1819">
        <v>88.542787192675206</v>
      </c>
      <c r="AN1819">
        <v>0.99999999374232096</v>
      </c>
    </row>
    <row r="1820" spans="1:40" x14ac:dyDescent="0.25">
      <c r="A1820" t="str">
        <f>"20190312164258198"</f>
        <v>20190312164258198</v>
      </c>
      <c r="B1820" t="str">
        <f>"1552380178185737"</f>
        <v>1552380178185737</v>
      </c>
      <c r="C1820" t="s">
        <v>40</v>
      </c>
      <c r="D1820">
        <v>4.0929840000000004</v>
      </c>
      <c r="E1820">
        <v>0.52516529999999995</v>
      </c>
      <c r="F1820" t="s">
        <v>47</v>
      </c>
      <c r="G1820">
        <v>-422.84840000000003</v>
      </c>
      <c r="H1820" s="1">
        <v>3.2585319999999998E-6</v>
      </c>
      <c r="I1820">
        <v>286.91329999999999</v>
      </c>
      <c r="J1820">
        <v>-394.40320000000003</v>
      </c>
      <c r="K1820">
        <v>1.1101350000000001</v>
      </c>
      <c r="L1820">
        <v>284.75209999999998</v>
      </c>
      <c r="M1820">
        <v>-0.99991039999999998</v>
      </c>
      <c r="N1820">
        <v>0</v>
      </c>
      <c r="O1820">
        <v>-2.7855530000000001E-3</v>
      </c>
      <c r="P1820">
        <v>-0.98790809999999996</v>
      </c>
      <c r="Q1820">
        <v>0.1532482</v>
      </c>
      <c r="R1820">
        <v>2.3518629999999999E-2</v>
      </c>
      <c r="S1820">
        <v>-3.049347</v>
      </c>
      <c r="T1820">
        <v>-0.1171743</v>
      </c>
      <c r="U1820">
        <v>0.22796630000000001</v>
      </c>
      <c r="V1820">
        <v>2.6143039999999999E-2</v>
      </c>
      <c r="W1820">
        <v>0.1662052</v>
      </c>
      <c r="X1820">
        <v>0.98574459999999997</v>
      </c>
      <c r="Y1820">
        <v>7.7270019999999995E-2</v>
      </c>
      <c r="Z1820">
        <v>1.588838E-3</v>
      </c>
      <c r="AA1820">
        <v>0.99700889999999998</v>
      </c>
      <c r="AB1820">
        <v>45</v>
      </c>
      <c r="AC1820">
        <v>-28.4452</v>
      </c>
      <c r="AD1820">
        <v>-1.1101317414679901</v>
      </c>
      <c r="AE1820">
        <v>2.1612</v>
      </c>
      <c r="AF1820">
        <v>2.2370463086718702</v>
      </c>
      <c r="AG1820">
        <v>-1.1101317414679901</v>
      </c>
      <c r="AH1820">
        <v>28.396066891867299</v>
      </c>
      <c r="AI1820">
        <v>92.231904956603103</v>
      </c>
      <c r="AJ1820">
        <v>85.495533433173094</v>
      </c>
      <c r="AK1820">
        <v>28.505672831876101</v>
      </c>
      <c r="AL1820">
        <v>80.432746071369394</v>
      </c>
      <c r="AM1820">
        <v>88.480808502689698</v>
      </c>
      <c r="AN1820">
        <v>1.00000002173832</v>
      </c>
    </row>
    <row r="1821" spans="1:40" x14ac:dyDescent="0.25">
      <c r="A1821" t="str">
        <f>"20190312164258221"</f>
        <v>20190312164258221</v>
      </c>
      <c r="B1821" t="str">
        <f>"1552380178215993"</f>
        <v>1552380178215993</v>
      </c>
      <c r="C1821" t="s">
        <v>40</v>
      </c>
      <c r="D1821">
        <v>4.3248129999999998</v>
      </c>
      <c r="E1821">
        <v>0.52530169999999998</v>
      </c>
      <c r="F1821" t="s">
        <v>47</v>
      </c>
      <c r="G1821">
        <v>-422.76589999999999</v>
      </c>
      <c r="H1821" s="1">
        <v>3.2723150000000002E-6</v>
      </c>
      <c r="I1821">
        <v>286.92309999999998</v>
      </c>
      <c r="J1821">
        <v>-394.87049999999999</v>
      </c>
      <c r="K1821">
        <v>1.110123</v>
      </c>
      <c r="L1821">
        <v>284.75049999999999</v>
      </c>
      <c r="M1821">
        <v>-0.99990950000000001</v>
      </c>
      <c r="N1821">
        <v>0</v>
      </c>
      <c r="O1821">
        <v>-3.0082020000000002E-3</v>
      </c>
      <c r="P1821">
        <v>-0.98777689999999996</v>
      </c>
      <c r="Q1821">
        <v>0.15409629999999999</v>
      </c>
      <c r="R1821">
        <v>2.3475019999999999E-2</v>
      </c>
      <c r="S1821">
        <v>-3.049652</v>
      </c>
      <c r="T1821">
        <v>-0.119365</v>
      </c>
      <c r="U1821">
        <v>0.233429</v>
      </c>
      <c r="V1821">
        <v>2.632398E-2</v>
      </c>
      <c r="W1821">
        <v>0.16706470000000001</v>
      </c>
      <c r="X1821">
        <v>0.98559450000000004</v>
      </c>
      <c r="Y1821">
        <v>7.9256300000000002E-2</v>
      </c>
      <c r="Z1821">
        <v>1.665751E-3</v>
      </c>
      <c r="AA1821">
        <v>0.99685290000000004</v>
      </c>
      <c r="AB1821">
        <v>45</v>
      </c>
      <c r="AC1821">
        <v>-27.895399999999899</v>
      </c>
      <c r="AD1821">
        <v>-1.1101197276849999</v>
      </c>
      <c r="AE1821">
        <v>2.1725999999999801</v>
      </c>
      <c r="AF1821">
        <v>2.2529658594733202</v>
      </c>
      <c r="AG1821">
        <v>-1.1101197276849999</v>
      </c>
      <c r="AH1821">
        <v>27.8449053285693</v>
      </c>
      <c r="AI1821">
        <v>92.275628234615894</v>
      </c>
      <c r="AJ1821">
        <v>85.374204240936905</v>
      </c>
      <c r="AK1821">
        <v>27.957950098866998</v>
      </c>
      <c r="AL1821">
        <v>80.382802262385397</v>
      </c>
      <c r="AM1821">
        <v>88.470066069991802</v>
      </c>
      <c r="AN1821">
        <v>1.00000004216968</v>
      </c>
    </row>
    <row r="1822" spans="1:40" x14ac:dyDescent="0.25">
      <c r="A1822" t="str">
        <f>"20190312164258243"</f>
        <v>20190312164258243</v>
      </c>
      <c r="B1822" t="str">
        <f>"1552380178236493"</f>
        <v>1552380178236493</v>
      </c>
      <c r="C1822" t="s">
        <v>40</v>
      </c>
      <c r="D1822">
        <v>4.4886410000000003</v>
      </c>
      <c r="E1822">
        <v>0.52550399999999997</v>
      </c>
      <c r="F1822" t="s">
        <v>47</v>
      </c>
      <c r="G1822">
        <v>-423.63729999999998</v>
      </c>
      <c r="H1822" s="1">
        <v>3.1138339999999998E-6</v>
      </c>
      <c r="I1822">
        <v>286.96780000000001</v>
      </c>
      <c r="J1822">
        <v>-395.31650000000002</v>
      </c>
      <c r="K1822">
        <v>1.1101190000000001</v>
      </c>
      <c r="L1822">
        <v>284.74900000000002</v>
      </c>
      <c r="M1822">
        <v>-0.99990840000000003</v>
      </c>
      <c r="N1822">
        <v>0</v>
      </c>
      <c r="O1822">
        <v>-3.2132409999999999E-3</v>
      </c>
      <c r="P1822">
        <v>-0.98765060000000005</v>
      </c>
      <c r="Q1822">
        <v>0.154885299999999</v>
      </c>
      <c r="R1822">
        <v>2.35958E-2</v>
      </c>
      <c r="S1822">
        <v>-3.0499269999999998</v>
      </c>
      <c r="T1822">
        <v>-0.1176975</v>
      </c>
      <c r="U1822">
        <v>0.23507690000000001</v>
      </c>
      <c r="V1822">
        <v>2.6652209999999999E-2</v>
      </c>
      <c r="W1822">
        <v>0.1678695</v>
      </c>
      <c r="X1822">
        <v>0.98544889999999996</v>
      </c>
      <c r="Y1822">
        <v>7.9990359999999996E-2</v>
      </c>
      <c r="Z1822">
        <v>1.6643529999999999E-3</v>
      </c>
      <c r="AA1822">
        <v>0.99679419999999996</v>
      </c>
      <c r="AB1822">
        <v>45</v>
      </c>
      <c r="AC1822">
        <v>-28.320799999999899</v>
      </c>
      <c r="AD1822">
        <v>-1.1101158861660001</v>
      </c>
      <c r="AE1822">
        <v>2.2187999999999799</v>
      </c>
      <c r="AF1822">
        <v>2.3062760469574002</v>
      </c>
      <c r="AG1822">
        <v>-1.1101158861660001</v>
      </c>
      <c r="AH1822">
        <v>28.270351901701499</v>
      </c>
      <c r="AI1822">
        <v>92.241288530749003</v>
      </c>
      <c r="AJ1822">
        <v>85.336177247744502</v>
      </c>
      <c r="AK1822">
        <v>28.385983568154298</v>
      </c>
      <c r="AL1822">
        <v>80.336029889746698</v>
      </c>
      <c r="AM1822">
        <v>88.450770022778698</v>
      </c>
      <c r="AN1822">
        <v>1.0000000219196701</v>
      </c>
    </row>
    <row r="1823" spans="1:40" x14ac:dyDescent="0.25">
      <c r="A1823" t="str">
        <f>"20190312164258265"</f>
        <v>20190312164258265</v>
      </c>
      <c r="B1823" t="str">
        <f>"1552380178256009"</f>
        <v>1552380178256009</v>
      </c>
      <c r="C1823" t="s">
        <v>40</v>
      </c>
      <c r="D1823">
        <v>4.6783289999999997</v>
      </c>
      <c r="E1823">
        <v>0.52564119999999903</v>
      </c>
      <c r="F1823" t="s">
        <v>47</v>
      </c>
      <c r="G1823">
        <v>-424.0992</v>
      </c>
      <c r="H1823" s="1">
        <v>3.0305480000000001E-6</v>
      </c>
      <c r="I1823">
        <v>286.98329999999999</v>
      </c>
      <c r="J1823">
        <v>-395.76190000000003</v>
      </c>
      <c r="K1823">
        <v>1.1101160000000001</v>
      </c>
      <c r="L1823">
        <v>284.7473</v>
      </c>
      <c r="M1823">
        <v>-0.99990769999999995</v>
      </c>
      <c r="N1823">
        <v>0</v>
      </c>
      <c r="O1823">
        <v>-3.4129469999999999E-3</v>
      </c>
      <c r="P1823">
        <v>-0.98753150000000001</v>
      </c>
      <c r="Q1823">
        <v>0.1555581</v>
      </c>
      <c r="R1823">
        <v>2.415697E-2</v>
      </c>
      <c r="S1823">
        <v>-3.0503230000000001</v>
      </c>
      <c r="T1823">
        <v>-0.1176475</v>
      </c>
      <c r="U1823">
        <v>0.23678589999999999</v>
      </c>
      <c r="V1823">
        <v>2.7415470000000001E-2</v>
      </c>
      <c r="W1823">
        <v>0.16856279999999901</v>
      </c>
      <c r="X1823">
        <v>0.98530960000000001</v>
      </c>
      <c r="Y1823">
        <v>8.0734009999999995E-2</v>
      </c>
      <c r="Z1823">
        <v>1.685399E-3</v>
      </c>
      <c r="AA1823">
        <v>0.99673429999999996</v>
      </c>
      <c r="AB1823">
        <v>45</v>
      </c>
      <c r="AC1823">
        <v>-28.3372999999999</v>
      </c>
      <c r="AD1823">
        <v>-1.11011296945199</v>
      </c>
      <c r="AE1823">
        <v>2.23599999999999</v>
      </c>
      <c r="AF1823">
        <v>2.32915665347234</v>
      </c>
      <c r="AG1823">
        <v>-1.11011296945199</v>
      </c>
      <c r="AH1823">
        <v>28.2863610632042</v>
      </c>
      <c r="AI1823">
        <v>92.239876497462006</v>
      </c>
      <c r="AJ1823">
        <v>85.292768181679193</v>
      </c>
      <c r="AK1823">
        <v>28.4037945302967</v>
      </c>
      <c r="AL1823">
        <v>80.295732442135403</v>
      </c>
      <c r="AM1823">
        <v>88.406200903191205</v>
      </c>
      <c r="AN1823">
        <v>1.00000001669566</v>
      </c>
    </row>
    <row r="1824" spans="1:40" x14ac:dyDescent="0.25">
      <c r="A1824" t="str">
        <f>"20190312164258288"</f>
        <v>20190312164258288</v>
      </c>
      <c r="B1824" t="str">
        <f>"1552380178276507"</f>
        <v>1552380178276507</v>
      </c>
      <c r="C1824" t="s">
        <v>40</v>
      </c>
      <c r="D1824">
        <v>4.6381199999999998</v>
      </c>
      <c r="E1824">
        <v>0.52574770000000004</v>
      </c>
      <c r="F1824" t="s">
        <v>47</v>
      </c>
      <c r="G1824">
        <v>-424.65460000000002</v>
      </c>
      <c r="H1824" s="1">
        <v>2.9295730000000002E-6</v>
      </c>
      <c r="I1824">
        <v>287.01139999999998</v>
      </c>
      <c r="J1824">
        <v>-396.22410000000002</v>
      </c>
      <c r="K1824">
        <v>1.1101110000000001</v>
      </c>
      <c r="L1824">
        <v>284.74549999999999</v>
      </c>
      <c r="M1824">
        <v>-0.99990650000000003</v>
      </c>
      <c r="N1824">
        <v>0</v>
      </c>
      <c r="O1824">
        <v>-3.6138720000000002E-3</v>
      </c>
      <c r="P1824">
        <v>-0.98744430000000005</v>
      </c>
      <c r="Q1824">
        <v>0.15611639999999999</v>
      </c>
      <c r="R1824">
        <v>2.4119870000000002E-2</v>
      </c>
      <c r="S1824">
        <v>-3.0505070000000001</v>
      </c>
      <c r="T1824">
        <v>-0.1172063</v>
      </c>
      <c r="U1824">
        <v>0.23904420000000001</v>
      </c>
      <c r="V1824">
        <v>2.7582430000000002E-2</v>
      </c>
      <c r="W1824">
        <v>0.16914799999999999</v>
      </c>
      <c r="X1824">
        <v>0.98520459999999999</v>
      </c>
      <c r="Y1824">
        <v>8.1662730000000003E-2</v>
      </c>
      <c r="Z1824">
        <v>1.704449E-3</v>
      </c>
      <c r="AA1824">
        <v>0.99665859999999995</v>
      </c>
      <c r="AB1824">
        <v>45</v>
      </c>
      <c r="AC1824">
        <v>-28.430499999999899</v>
      </c>
      <c r="AD1824">
        <v>-1.1101080704269899</v>
      </c>
      <c r="AE1824">
        <v>2.2658999999999798</v>
      </c>
      <c r="AF1824">
        <v>2.36505527503639</v>
      </c>
      <c r="AG1824">
        <v>-1.1101080704269899</v>
      </c>
      <c r="AH1824">
        <v>28.379130649634899</v>
      </c>
      <c r="AI1824">
        <v>92.232369342489207</v>
      </c>
      <c r="AJ1824">
        <v>85.236102226807503</v>
      </c>
      <c r="AK1824">
        <v>28.499138281903399</v>
      </c>
      <c r="AL1824">
        <v>80.261714024345295</v>
      </c>
      <c r="AM1824">
        <v>88.3963289243258</v>
      </c>
      <c r="AN1824">
        <v>0.99999997010493102</v>
      </c>
    </row>
    <row r="1825" spans="1:40" x14ac:dyDescent="0.25">
      <c r="A1825" t="str">
        <f>"20190312164258311"</f>
        <v>20190312164258311</v>
      </c>
      <c r="B1825" t="str">
        <f>"1552380178305786"</f>
        <v>1552380178305786</v>
      </c>
      <c r="C1825" t="s">
        <v>40</v>
      </c>
      <c r="D1825">
        <v>4.1461540000000001</v>
      </c>
      <c r="E1825">
        <v>0.52574500000000002</v>
      </c>
      <c r="F1825" t="s">
        <v>47</v>
      </c>
      <c r="G1825">
        <v>-425.56630000000001</v>
      </c>
      <c r="H1825" s="1">
        <v>2.7641069999999999E-6</v>
      </c>
      <c r="I1825">
        <v>287.05430000000001</v>
      </c>
      <c r="J1825">
        <v>-396.6936</v>
      </c>
      <c r="K1825">
        <v>1.1101049999999999</v>
      </c>
      <c r="L1825">
        <v>284.74369999999999</v>
      </c>
      <c r="M1825">
        <v>-0.99990509999999999</v>
      </c>
      <c r="N1825">
        <v>0</v>
      </c>
      <c r="O1825">
        <v>-3.811792E-3</v>
      </c>
      <c r="P1825">
        <v>-0.98747269999999998</v>
      </c>
      <c r="Q1825">
        <v>0.15591969999999999</v>
      </c>
      <c r="R1825">
        <v>2.4232409999999999E-2</v>
      </c>
      <c r="S1825">
        <v>-3.0505070000000001</v>
      </c>
      <c r="T1825">
        <v>-0.1154106</v>
      </c>
      <c r="U1825">
        <v>0.24002080000000001</v>
      </c>
      <c r="V1825">
        <v>2.7897410000000001E-2</v>
      </c>
      <c r="W1825">
        <v>0.16899520000000001</v>
      </c>
      <c r="X1825">
        <v>0.98522200000000004</v>
      </c>
      <c r="Y1825">
        <v>8.2178490000000007E-2</v>
      </c>
      <c r="Z1825">
        <v>1.6955449999999999E-3</v>
      </c>
      <c r="AA1825">
        <v>0.99661619999999995</v>
      </c>
      <c r="AB1825">
        <v>45</v>
      </c>
      <c r="AC1825">
        <v>-28.872699999999998</v>
      </c>
      <c r="AD1825">
        <v>-1.1101022358929999</v>
      </c>
      <c r="AE1825">
        <v>2.31060000000002</v>
      </c>
      <c r="AF1825">
        <v>2.41709921719819</v>
      </c>
      <c r="AG1825">
        <v>-1.1101022358929999</v>
      </c>
      <c r="AH1825">
        <v>28.821347553260299</v>
      </c>
      <c r="AI1825">
        <v>92.198043482070204</v>
      </c>
      <c r="AJ1825">
        <v>85.206113582015703</v>
      </c>
      <c r="AK1825">
        <v>28.943820936181499</v>
      </c>
      <c r="AL1825">
        <v>80.270597149514401</v>
      </c>
      <c r="AM1825">
        <v>88.378054018233598</v>
      </c>
      <c r="AN1825">
        <v>1.00000001619587</v>
      </c>
    </row>
    <row r="1826" spans="1:40" x14ac:dyDescent="0.25">
      <c r="A1826" t="str">
        <f>"20190312164258335"</f>
        <v>20190312164258335</v>
      </c>
      <c r="B1826" t="str">
        <f>"1552380178326282"</f>
        <v>1552380178326282</v>
      </c>
      <c r="C1826" t="s">
        <v>40</v>
      </c>
      <c r="D1826">
        <v>4.5521979999999997</v>
      </c>
      <c r="E1826">
        <v>0.51478769999999996</v>
      </c>
      <c r="F1826" t="s">
        <v>47</v>
      </c>
      <c r="G1826">
        <v>-425.54059999999998</v>
      </c>
      <c r="H1826" s="1">
        <v>2.772517E-6</v>
      </c>
      <c r="I1826">
        <v>287.01</v>
      </c>
      <c r="J1826">
        <v>-397.1524</v>
      </c>
      <c r="K1826">
        <v>1.110101</v>
      </c>
      <c r="L1826">
        <v>284.74169999999998</v>
      </c>
      <c r="M1826">
        <v>-0.9999034</v>
      </c>
      <c r="N1826">
        <v>0</v>
      </c>
      <c r="O1826">
        <v>-3.9979480000000003E-3</v>
      </c>
      <c r="P1826">
        <v>-0.98746409999999996</v>
      </c>
      <c r="Q1826">
        <v>0.15602099999999999</v>
      </c>
      <c r="R1826">
        <v>2.392354E-2</v>
      </c>
      <c r="S1826">
        <v>-3.050751</v>
      </c>
      <c r="T1826">
        <v>-0.1173999</v>
      </c>
      <c r="U1826">
        <v>0.23968510000000001</v>
      </c>
      <c r="V1826">
        <v>2.7778859999999999E-2</v>
      </c>
      <c r="W1826">
        <v>0.16916249999999999</v>
      </c>
      <c r="X1826">
        <v>0.98519670000000004</v>
      </c>
      <c r="Y1826">
        <v>8.22465E-2</v>
      </c>
      <c r="Z1826">
        <v>1.7330780000000001E-3</v>
      </c>
      <c r="AA1826">
        <v>0.99661049999999995</v>
      </c>
      <c r="AB1826">
        <v>45</v>
      </c>
      <c r="AC1826">
        <v>-28.388199999999902</v>
      </c>
      <c r="AD1826">
        <v>-1.110098227483</v>
      </c>
      <c r="AE1826">
        <v>2.2683</v>
      </c>
      <c r="AF1826">
        <v>2.3781729856836402</v>
      </c>
      <c r="AG1826">
        <v>-1.110098227483</v>
      </c>
      <c r="AH1826">
        <v>28.335849152045299</v>
      </c>
      <c r="AI1826">
        <v>92.235646423485704</v>
      </c>
      <c r="AJ1826">
        <v>85.202519376116399</v>
      </c>
      <c r="AK1826">
        <v>28.457132181440201</v>
      </c>
      <c r="AL1826">
        <v>80.260872140313694</v>
      </c>
      <c r="AM1826">
        <v>88.384901363976397</v>
      </c>
      <c r="AN1826">
        <v>1.0000000770800099</v>
      </c>
    </row>
    <row r="1827" spans="1:40" x14ac:dyDescent="0.25">
      <c r="A1827" t="str">
        <f>"20190312164258356"</f>
        <v>20190312164258356</v>
      </c>
      <c r="B1827" t="str">
        <f>"1552380178345802"</f>
        <v>1552380178345802</v>
      </c>
      <c r="C1827" t="s">
        <v>40</v>
      </c>
      <c r="D1827">
        <v>4.1748310000000002</v>
      </c>
      <c r="E1827">
        <v>0.51898059999999901</v>
      </c>
      <c r="F1827" t="s">
        <v>47</v>
      </c>
      <c r="G1827">
        <v>-415.226</v>
      </c>
      <c r="H1827" s="1">
        <v>3.0464639999999998E-6</v>
      </c>
      <c r="I1827">
        <v>285.6035</v>
      </c>
      <c r="J1827">
        <v>-397.5924</v>
      </c>
      <c r="K1827">
        <v>1.1101049999999999</v>
      </c>
      <c r="L1827">
        <v>284.7398</v>
      </c>
      <c r="M1827">
        <v>-0.99990159999999995</v>
      </c>
      <c r="N1827">
        <v>0</v>
      </c>
      <c r="O1827">
        <v>-4.1699959999999996E-3</v>
      </c>
      <c r="P1827">
        <v>-0.98749509999999996</v>
      </c>
      <c r="Q1827">
        <v>0.15584719999999999</v>
      </c>
      <c r="R1827">
        <v>2.3778029999999999E-2</v>
      </c>
      <c r="S1827">
        <v>-3.0643009999999999</v>
      </c>
      <c r="T1827">
        <v>-0.1882122</v>
      </c>
      <c r="U1827">
        <v>0.1461182</v>
      </c>
      <c r="V1827">
        <v>2.7809489999999999E-2</v>
      </c>
      <c r="W1827">
        <v>0.16908029999999999</v>
      </c>
      <c r="X1827">
        <v>0.98520989999999997</v>
      </c>
      <c r="Y1827">
        <v>5.1690090000000001E-2</v>
      </c>
      <c r="Z1827">
        <v>1.8408020000000001E-3</v>
      </c>
      <c r="AA1827">
        <v>0.99866149999999998</v>
      </c>
      <c r="AB1827">
        <v>45</v>
      </c>
      <c r="AC1827">
        <v>-17.633600000000001</v>
      </c>
      <c r="AD1827">
        <v>-1.1101019535359999</v>
      </c>
      <c r="AE1827">
        <v>0.86369999999999403</v>
      </c>
      <c r="AF1827">
        <v>0.93354019475322603</v>
      </c>
      <c r="AG1827">
        <v>-1.1101019535359999</v>
      </c>
      <c r="AH1827">
        <v>17.560416188447999</v>
      </c>
      <c r="AI1827">
        <v>93.612118346096494</v>
      </c>
      <c r="AJ1827">
        <v>86.956928045883998</v>
      </c>
      <c r="AK1827">
        <v>17.620216807802699</v>
      </c>
      <c r="AL1827">
        <v>80.265650237115693</v>
      </c>
      <c r="AM1827">
        <v>88.383143092897697</v>
      </c>
      <c r="AN1827">
        <v>1.0000000313200701</v>
      </c>
    </row>
    <row r="1828" spans="1:40" x14ac:dyDescent="0.25">
      <c r="A1828" t="str">
        <f>"20190312164258377"</f>
        <v>20190312164258377</v>
      </c>
      <c r="B1828" t="str">
        <f>"1552380178366300"</f>
        <v>1552380178366300</v>
      </c>
      <c r="C1828" t="s">
        <v>40</v>
      </c>
      <c r="D1828">
        <v>4.2396279999999997</v>
      </c>
      <c r="E1828">
        <v>0.52119950000000004</v>
      </c>
      <c r="F1828" t="s">
        <v>47</v>
      </c>
      <c r="G1828">
        <v>-416.65120000000002</v>
      </c>
      <c r="H1828" s="1">
        <v>3.2770460000000001E-6</v>
      </c>
      <c r="I1828">
        <v>285.85770000000002</v>
      </c>
      <c r="J1828">
        <v>-398.0213</v>
      </c>
      <c r="K1828">
        <v>1.1101209999999999</v>
      </c>
      <c r="L1828">
        <v>284.73790000000002</v>
      </c>
      <c r="M1828">
        <v>-0.99989919999999999</v>
      </c>
      <c r="N1828">
        <v>0</v>
      </c>
      <c r="O1828">
        <v>-4.3302409999999899E-3</v>
      </c>
      <c r="P1828">
        <v>-0.98748279999999999</v>
      </c>
      <c r="Q1828">
        <v>0.15593080000000001</v>
      </c>
      <c r="R1828">
        <v>2.373579E-2</v>
      </c>
      <c r="S1828">
        <v>-3.061798</v>
      </c>
      <c r="T1828">
        <v>-0.17833760000000001</v>
      </c>
      <c r="U1828">
        <v>0.179595899999999</v>
      </c>
      <c r="V1828">
        <v>2.7930549999999998E-2</v>
      </c>
      <c r="W1828">
        <v>0.1692833</v>
      </c>
      <c r="X1828">
        <v>0.98517160000000004</v>
      </c>
      <c r="Y1828">
        <v>6.2765699999999994E-2</v>
      </c>
      <c r="Z1828">
        <v>2.0766349999999999E-3</v>
      </c>
      <c r="AA1828">
        <v>0.99802610000000003</v>
      </c>
      <c r="AB1828">
        <v>45</v>
      </c>
      <c r="AC1828">
        <v>-18.629899999999999</v>
      </c>
      <c r="AD1828">
        <v>-1.110117722954</v>
      </c>
      <c r="AE1828">
        <v>1.1197999999999899</v>
      </c>
      <c r="AF1828">
        <v>1.1962366157378701</v>
      </c>
      <c r="AG1828">
        <v>-1.110117722954</v>
      </c>
      <c r="AH1828">
        <v>18.559214421204501</v>
      </c>
      <c r="AI1828">
        <v>93.415991742099607</v>
      </c>
      <c r="AJ1828">
        <v>86.312094411938602</v>
      </c>
      <c r="AK1828">
        <v>18.630828841785199</v>
      </c>
      <c r="AL1828">
        <v>80.253848931710095</v>
      </c>
      <c r="AM1828">
        <v>88.376045270337201</v>
      </c>
      <c r="AN1828">
        <v>1.0000000163643701</v>
      </c>
    </row>
    <row r="1829" spans="1:40" x14ac:dyDescent="0.25">
      <c r="A1829" t="str">
        <f>"20190312164258400"</f>
        <v>20190312164258400</v>
      </c>
      <c r="B1829" t="str">
        <f>"1552380178395577"</f>
        <v>1552380178395577</v>
      </c>
      <c r="C1829" t="s">
        <v>40</v>
      </c>
      <c r="D1829">
        <v>4.2107859999999997</v>
      </c>
      <c r="E1829">
        <v>0.52267920000000001</v>
      </c>
      <c r="F1829" t="s">
        <v>47</v>
      </c>
      <c r="G1829">
        <v>-418.87580000000003</v>
      </c>
      <c r="H1829" s="1">
        <v>3.6518100000000002E-6</v>
      </c>
      <c r="I1829">
        <v>286.08460000000002</v>
      </c>
      <c r="J1829">
        <v>-398.47930000000002</v>
      </c>
      <c r="K1829">
        <v>1.1101430000000001</v>
      </c>
      <c r="L1829">
        <v>284.73570000000001</v>
      </c>
      <c r="M1829">
        <v>-0.99989629999999996</v>
      </c>
      <c r="N1829">
        <v>0</v>
      </c>
      <c r="O1829">
        <v>-4.4923430000000002E-3</v>
      </c>
      <c r="P1829">
        <v>-0.98744710000000002</v>
      </c>
      <c r="Q1829">
        <v>0.1561099</v>
      </c>
      <c r="R1829">
        <v>2.403827E-2</v>
      </c>
      <c r="S1829">
        <v>-3.0589900000000001</v>
      </c>
      <c r="T1829">
        <v>-0.1628348</v>
      </c>
      <c r="U1829">
        <v>0.1975403</v>
      </c>
      <c r="V1829">
        <v>2.839771E-2</v>
      </c>
      <c r="W1829">
        <v>0.16962160000000001</v>
      </c>
      <c r="X1829">
        <v>0.98509999999999998</v>
      </c>
      <c r="Y1829">
        <v>6.8822140000000004E-2</v>
      </c>
      <c r="Z1829">
        <v>2.0673060000000001E-3</v>
      </c>
      <c r="AA1829">
        <v>0.99762680000000004</v>
      </c>
      <c r="AB1829">
        <v>45</v>
      </c>
      <c r="AC1829">
        <v>-20.3965</v>
      </c>
      <c r="AD1829">
        <v>-1.1101393481899999</v>
      </c>
      <c r="AE1829">
        <v>1.34890000000001</v>
      </c>
      <c r="AF1829">
        <v>1.43628671087021</v>
      </c>
      <c r="AG1829">
        <v>-1.1101393481899999</v>
      </c>
      <c r="AH1829">
        <v>20.330269733693601</v>
      </c>
      <c r="AI1829">
        <v>93.117790472601698</v>
      </c>
      <c r="AJ1829">
        <v>85.958899450489994</v>
      </c>
      <c r="AK1829">
        <v>20.4111537237109</v>
      </c>
      <c r="AL1829">
        <v>80.234180823504005</v>
      </c>
      <c r="AM1829">
        <v>88.348778345176299</v>
      </c>
      <c r="AN1829">
        <v>0.99999996355990095</v>
      </c>
    </row>
    <row r="1830" spans="1:40" x14ac:dyDescent="0.25">
      <c r="A1830" t="str">
        <f>"20190312164258422"</f>
        <v>20190312164258422</v>
      </c>
      <c r="B1830" t="str">
        <f>"1552380178416073"</f>
        <v>1552380178416073</v>
      </c>
      <c r="C1830" t="s">
        <v>40</v>
      </c>
      <c r="D1830">
        <v>4.4701849999999999</v>
      </c>
      <c r="E1830">
        <v>0.52329269999999894</v>
      </c>
      <c r="F1830" t="s">
        <v>47</v>
      </c>
      <c r="G1830">
        <v>-420.87670000000003</v>
      </c>
      <c r="H1830" s="1">
        <v>3.663434E-6</v>
      </c>
      <c r="I1830">
        <v>286.28230000000002</v>
      </c>
      <c r="J1830">
        <v>-398.93709999999999</v>
      </c>
      <c r="K1830">
        <v>1.1101700000000001</v>
      </c>
      <c r="L1830">
        <v>284.73360000000002</v>
      </c>
      <c r="M1830">
        <v>-0.99989309999999998</v>
      </c>
      <c r="N1830">
        <v>0</v>
      </c>
      <c r="O1830">
        <v>-4.6387800000000003E-3</v>
      </c>
      <c r="P1830">
        <v>-0.98750329999999997</v>
      </c>
      <c r="Q1830">
        <v>0.1556941</v>
      </c>
      <c r="R1830">
        <v>2.4431680000000001E-2</v>
      </c>
      <c r="S1830">
        <v>-3.0569760000000001</v>
      </c>
      <c r="T1830">
        <v>-0.1515203</v>
      </c>
      <c r="U1830">
        <v>0.2110901</v>
      </c>
      <c r="V1830">
        <v>2.894041E-2</v>
      </c>
      <c r="W1830">
        <v>0.16938810000000001</v>
      </c>
      <c r="X1830">
        <v>0.98512440000000001</v>
      </c>
      <c r="Y1830">
        <v>7.3419960000000006E-2</v>
      </c>
      <c r="Z1830">
        <v>2.0458099999999999E-3</v>
      </c>
      <c r="AA1830">
        <v>0.99729900000000005</v>
      </c>
      <c r="AB1830">
        <v>45</v>
      </c>
      <c r="AC1830">
        <v>-21.939599999999999</v>
      </c>
      <c r="AD1830">
        <v>-1.1101663365659999</v>
      </c>
      <c r="AE1830">
        <v>1.54869999999999</v>
      </c>
      <c r="AF1830">
        <v>1.6462717768753701</v>
      </c>
      <c r="AG1830">
        <v>-1.1101663365659999</v>
      </c>
      <c r="AH1830">
        <v>21.876443009304101</v>
      </c>
      <c r="AI1830">
        <v>92.896926216102997</v>
      </c>
      <c r="AJ1830">
        <v>85.696422268924195</v>
      </c>
      <c r="AK1830">
        <v>21.966370633254598</v>
      </c>
      <c r="AL1830">
        <v>80.247755985740795</v>
      </c>
      <c r="AM1830">
        <v>88.317281978920306</v>
      </c>
      <c r="AN1830">
        <v>0.99999997961396803</v>
      </c>
    </row>
    <row r="1831" spans="1:40" x14ac:dyDescent="0.25">
      <c r="A1831" t="str">
        <f>"20190312164258444"</f>
        <v>20190312164258444</v>
      </c>
      <c r="B1831" t="str">
        <f>"1552380178435596"</f>
        <v>1552380178435596</v>
      </c>
      <c r="C1831" t="s">
        <v>40</v>
      </c>
      <c r="D1831">
        <v>4.414981</v>
      </c>
      <c r="E1831">
        <v>0.49937700000000002</v>
      </c>
      <c r="F1831" t="s">
        <v>47</v>
      </c>
      <c r="G1831">
        <v>-421.80470000000003</v>
      </c>
      <c r="H1831" s="1">
        <v>3.491838E-6</v>
      </c>
      <c r="I1831">
        <v>286.36219999999997</v>
      </c>
      <c r="J1831">
        <v>-399.37040000000002</v>
      </c>
      <c r="K1831">
        <v>1.110188</v>
      </c>
      <c r="L1831">
        <v>284.73140000000001</v>
      </c>
      <c r="M1831">
        <v>-0.99988999999999995</v>
      </c>
      <c r="N1831">
        <v>0</v>
      </c>
      <c r="O1831">
        <v>-4.7610839999999996E-3</v>
      </c>
      <c r="P1831">
        <v>-0.98753749999999996</v>
      </c>
      <c r="Q1831">
        <v>0.1554721</v>
      </c>
      <c r="R1831">
        <v>2.4463149999999999E-2</v>
      </c>
      <c r="S1831">
        <v>-3.0559690000000002</v>
      </c>
      <c r="T1831">
        <v>-0.1483594</v>
      </c>
      <c r="U1831">
        <v>0.21765139999999999</v>
      </c>
      <c r="V1831">
        <v>2.909747E-2</v>
      </c>
      <c r="W1831">
        <v>0.16934060000000001</v>
      </c>
      <c r="X1831">
        <v>0.98512789999999995</v>
      </c>
      <c r="Y1831">
        <v>7.5696200000000005E-2</v>
      </c>
      <c r="Z1831">
        <v>2.0647700000000001E-3</v>
      </c>
      <c r="AA1831">
        <v>0.99712880000000004</v>
      </c>
      <c r="AB1831">
        <v>45</v>
      </c>
      <c r="AC1831">
        <v>-22.4343</v>
      </c>
      <c r="AD1831">
        <v>-1.1101845081620001</v>
      </c>
      <c r="AE1831">
        <v>1.6307999999999601</v>
      </c>
      <c r="AF1831">
        <v>1.73338113098918</v>
      </c>
      <c r="AG1831">
        <v>-1.1101845081620001</v>
      </c>
      <c r="AH1831">
        <v>22.3717829798371</v>
      </c>
      <c r="AI1831">
        <v>92.8324582213599</v>
      </c>
      <c r="AJ1831">
        <v>85.5695351905471</v>
      </c>
      <c r="AK1831">
        <v>22.466281256237298</v>
      </c>
      <c r="AL1831">
        <v>80.2505170430627</v>
      </c>
      <c r="AM1831">
        <v>88.308161145694797</v>
      </c>
      <c r="AN1831">
        <v>0.99999994046358298</v>
      </c>
    </row>
    <row r="1832" spans="1:40" x14ac:dyDescent="0.25">
      <c r="A1832" t="str">
        <f>"20190312164258466"</f>
        <v>20190312164258466</v>
      </c>
      <c r="B1832" t="str">
        <f>"1552380178456090"</f>
        <v>1552380178456090</v>
      </c>
      <c r="C1832" t="s">
        <v>40</v>
      </c>
      <c r="D1832">
        <v>4.3013510000000004</v>
      </c>
      <c r="E1832">
        <v>0.48217929999999998</v>
      </c>
      <c r="F1832" t="s">
        <v>47</v>
      </c>
      <c r="G1832">
        <v>-428.28089999999997</v>
      </c>
      <c r="H1832" s="1">
        <v>2.4617379999999999E-6</v>
      </c>
      <c r="I1832">
        <v>285.00490000000002</v>
      </c>
      <c r="J1832">
        <v>-399.82029999999997</v>
      </c>
      <c r="K1832">
        <v>1.110198</v>
      </c>
      <c r="L1832">
        <v>284.72919999999999</v>
      </c>
      <c r="M1832">
        <v>-0.99988699999999997</v>
      </c>
      <c r="N1832">
        <v>0</v>
      </c>
      <c r="O1832">
        <v>-4.8710659999999899E-3</v>
      </c>
      <c r="P1832">
        <v>-0.98762369999999999</v>
      </c>
      <c r="Q1832">
        <v>0.15495519999999999</v>
      </c>
      <c r="R1832">
        <v>2.4257310000000001E-2</v>
      </c>
      <c r="S1832">
        <v>-3.0556030000000001</v>
      </c>
      <c r="T1832">
        <v>-0.1173375</v>
      </c>
      <c r="U1832">
        <v>2.8900149999999999E-2</v>
      </c>
      <c r="V1832">
        <v>2.9006009999999999E-2</v>
      </c>
      <c r="W1832">
        <v>0.16899520000000001</v>
      </c>
      <c r="X1832">
        <v>0.98519000000000001</v>
      </c>
      <c r="Y1832">
        <v>1.4314749999999999E-2</v>
      </c>
      <c r="Z1832">
        <v>4.6174010000000001E-4</v>
      </c>
      <c r="AA1832">
        <v>0.99989740000000005</v>
      </c>
      <c r="AB1832">
        <v>45</v>
      </c>
      <c r="AC1832">
        <v>-28.460599999999999</v>
      </c>
      <c r="AD1832">
        <v>-1.1101955382619999</v>
      </c>
      <c r="AE1832">
        <v>0.27570000000002798</v>
      </c>
      <c r="AF1832">
        <v>0.41371474734063401</v>
      </c>
      <c r="AG1832">
        <v>-1.1101955382619999</v>
      </c>
      <c r="AH1832">
        <v>28.415684914817</v>
      </c>
      <c r="AI1832">
        <v>92.237160656132502</v>
      </c>
      <c r="AJ1832">
        <v>89.1658679235817</v>
      </c>
      <c r="AK1832">
        <v>28.440373471589702</v>
      </c>
      <c r="AL1832">
        <v>80.270597296616302</v>
      </c>
      <c r="AM1832">
        <v>88.313582152107202</v>
      </c>
      <c r="AN1832">
        <v>1.00000003116957</v>
      </c>
    </row>
    <row r="1833" spans="1:40" x14ac:dyDescent="0.25">
      <c r="A1833" t="str">
        <f>"20190312164258489"</f>
        <v>20190312164258489</v>
      </c>
      <c r="B1833" t="str">
        <f>"1552380178486346"</f>
        <v>1552380178486346</v>
      </c>
      <c r="C1833" t="s">
        <v>40</v>
      </c>
      <c r="D1833">
        <v>4.5516059999999996</v>
      </c>
      <c r="E1833">
        <v>0.46992610000000001</v>
      </c>
      <c r="F1833" t="s">
        <v>47</v>
      </c>
      <c r="G1833">
        <v>-426.37970000000001</v>
      </c>
      <c r="H1833" s="1">
        <v>2.905969E-6</v>
      </c>
      <c r="I1833">
        <v>283.78109999999998</v>
      </c>
      <c r="J1833">
        <v>-400.27839999999998</v>
      </c>
      <c r="K1833">
        <v>1.1102030000000001</v>
      </c>
      <c r="L1833">
        <v>284.7269</v>
      </c>
      <c r="M1833">
        <v>-0.9998842</v>
      </c>
      <c r="N1833">
        <v>0</v>
      </c>
      <c r="O1833">
        <v>-4.9612220000000004E-3</v>
      </c>
      <c r="P1833">
        <v>-0.98769410000000002</v>
      </c>
      <c r="Q1833">
        <v>0.15454279999999901</v>
      </c>
      <c r="R1833">
        <v>2.4018649999999999E-2</v>
      </c>
      <c r="S1833">
        <v>-3.0603639999999999</v>
      </c>
      <c r="T1833">
        <v>-0.12792439999999999</v>
      </c>
      <c r="U1833">
        <v>-0.1092529</v>
      </c>
      <c r="V1833">
        <v>2.8863920000000001E-2</v>
      </c>
      <c r="W1833">
        <v>0.16874239999999999</v>
      </c>
      <c r="X1833">
        <v>0.98523749999999999</v>
      </c>
      <c r="Y1833">
        <v>-3.0695150000000001E-2</v>
      </c>
      <c r="Z1833">
        <v>-4.3380989999999999E-4</v>
      </c>
      <c r="AA1833">
        <v>0.99952870000000005</v>
      </c>
      <c r="AB1833">
        <v>45</v>
      </c>
      <c r="AC1833">
        <v>-26.101299999999998</v>
      </c>
      <c r="AD1833">
        <v>-1.110200094031</v>
      </c>
      <c r="AE1833">
        <v>-0.94580000000001896</v>
      </c>
      <c r="AF1833">
        <v>-0.81480842084088201</v>
      </c>
      <c r="AG1833">
        <v>-1.110200094031</v>
      </c>
      <c r="AH1833">
        <v>26.0585890421576</v>
      </c>
      <c r="AI1833">
        <v>92.438363744980407</v>
      </c>
      <c r="AJ1833">
        <v>91.790959505688505</v>
      </c>
      <c r="AK1833">
        <v>26.094951999946598</v>
      </c>
      <c r="AL1833">
        <v>80.2852926802002</v>
      </c>
      <c r="AM1833">
        <v>88.321919431305403</v>
      </c>
      <c r="AN1833">
        <v>1.00000002742088</v>
      </c>
    </row>
    <row r="1834" spans="1:40" x14ac:dyDescent="0.25">
      <c r="A1834" t="str">
        <f>"20190312164258512"</f>
        <v>20190312164258512</v>
      </c>
      <c r="B1834" t="str">
        <f>"1552380178505865"</f>
        <v>1552380178505865</v>
      </c>
      <c r="C1834" t="s">
        <v>40</v>
      </c>
      <c r="D1834">
        <v>4.344303</v>
      </c>
      <c r="E1834">
        <v>0.46706760000000003</v>
      </c>
      <c r="F1834" t="s">
        <v>47</v>
      </c>
      <c r="G1834">
        <v>-420.46839999999997</v>
      </c>
      <c r="H1834" s="1">
        <v>3.9928040000000002E-6</v>
      </c>
      <c r="I1834">
        <v>283.34339999999997</v>
      </c>
      <c r="J1834">
        <v>-400.73390000000001</v>
      </c>
      <c r="K1834">
        <v>1.110188</v>
      </c>
      <c r="L1834">
        <v>284.72460000000001</v>
      </c>
      <c r="M1834">
        <v>-0.99988180000000004</v>
      </c>
      <c r="N1834">
        <v>0</v>
      </c>
      <c r="O1834">
        <v>-5.0275850000000002E-3</v>
      </c>
      <c r="P1834">
        <v>-0.98760930000000002</v>
      </c>
      <c r="Q1834">
        <v>0.1551621</v>
      </c>
      <c r="R1834">
        <v>2.3510980000000001E-2</v>
      </c>
      <c r="S1834">
        <v>-3.0688780000000002</v>
      </c>
      <c r="T1834">
        <v>-0.16875019999999999</v>
      </c>
      <c r="U1834">
        <v>-0.2102966</v>
      </c>
      <c r="V1834">
        <v>2.8430009999999999E-2</v>
      </c>
      <c r="W1834">
        <v>0.1695014</v>
      </c>
      <c r="X1834">
        <v>0.98511979999999999</v>
      </c>
      <c r="Y1834">
        <v>-6.3260479999999994E-2</v>
      </c>
      <c r="Z1834">
        <v>-1.459987E-3</v>
      </c>
      <c r="AA1834">
        <v>0.99799599999999999</v>
      </c>
      <c r="AB1834">
        <v>45</v>
      </c>
      <c r="AC1834">
        <v>-19.734499999999901</v>
      </c>
      <c r="AD1834">
        <v>-1.1101840071960001</v>
      </c>
      <c r="AE1834">
        <v>-1.38120000000003</v>
      </c>
      <c r="AF1834">
        <v>-1.2779305892069801</v>
      </c>
      <c r="AG1834">
        <v>-1.1101840071960001</v>
      </c>
      <c r="AH1834">
        <v>19.679219394855402</v>
      </c>
      <c r="AI1834">
        <v>93.222090990417101</v>
      </c>
      <c r="AJ1834">
        <v>93.715460741473706</v>
      </c>
      <c r="AK1834">
        <v>19.751893355107001</v>
      </c>
      <c r="AL1834">
        <v>80.241169377975197</v>
      </c>
      <c r="AM1834">
        <v>88.346934468655306</v>
      </c>
      <c r="AN1834">
        <v>1.0000000052112901</v>
      </c>
    </row>
    <row r="1835" spans="1:40" x14ac:dyDescent="0.25">
      <c r="A1835" t="str">
        <f>"20190312164258535"</f>
        <v>20190312164258535</v>
      </c>
      <c r="B1835" t="str">
        <f>"1552380178526361"</f>
        <v>1552380178526361</v>
      </c>
      <c r="C1835" t="s">
        <v>40</v>
      </c>
      <c r="D1835">
        <v>4.3431790000000001</v>
      </c>
      <c r="E1835">
        <v>0.46483999999999998</v>
      </c>
      <c r="F1835" t="s">
        <v>47</v>
      </c>
      <c r="G1835">
        <v>-420.35059999999999</v>
      </c>
      <c r="H1835" s="1">
        <v>4.0241519999999999E-6</v>
      </c>
      <c r="I1835">
        <v>283.22370000000001</v>
      </c>
      <c r="J1835">
        <v>-401.18729999999999</v>
      </c>
      <c r="K1835">
        <v>1.110177</v>
      </c>
      <c r="L1835">
        <v>284.72230000000002</v>
      </c>
      <c r="M1835">
        <v>-0.99987969999999904</v>
      </c>
      <c r="N1835">
        <v>0</v>
      </c>
      <c r="O1835">
        <v>-5.0751019999999997E-3</v>
      </c>
      <c r="P1835">
        <v>-0.98759640000000004</v>
      </c>
      <c r="Q1835">
        <v>0.15529770000000001</v>
      </c>
      <c r="R1835">
        <v>2.3159929999999999E-2</v>
      </c>
      <c r="S1835">
        <v>-3.0705260000000001</v>
      </c>
      <c r="T1835">
        <v>-0.17377310000000001</v>
      </c>
      <c r="U1835">
        <v>-0.2349243</v>
      </c>
      <c r="V1835">
        <v>2.8135009999999998E-2</v>
      </c>
      <c r="W1835">
        <v>0.16976169999999999</v>
      </c>
      <c r="X1835">
        <v>0.9850835</v>
      </c>
      <c r="Y1835">
        <v>-7.111961E-2</v>
      </c>
      <c r="Z1835">
        <v>-1.7213440000000001E-3</v>
      </c>
      <c r="AA1835">
        <v>0.99746630000000003</v>
      </c>
      <c r="AB1835">
        <v>45</v>
      </c>
      <c r="AC1835">
        <v>-19.1632999999999</v>
      </c>
      <c r="AD1835">
        <v>-1.1101729758479999</v>
      </c>
      <c r="AE1835">
        <v>-1.4986000000000099</v>
      </c>
      <c r="AF1835">
        <v>-1.3966556583154</v>
      </c>
      <c r="AG1835">
        <v>-1.1101729758479999</v>
      </c>
      <c r="AH1835">
        <v>19.106923689572699</v>
      </c>
      <c r="AI1835">
        <v>93.316499483718403</v>
      </c>
      <c r="AJ1835">
        <v>94.180704710683202</v>
      </c>
      <c r="AK1835">
        <v>19.190040748871802</v>
      </c>
      <c r="AL1835">
        <v>80.226036485220106</v>
      </c>
      <c r="AM1835">
        <v>88.364017650588394</v>
      </c>
      <c r="AN1835">
        <v>1.0000000577734101</v>
      </c>
    </row>
    <row r="1836" spans="1:40" x14ac:dyDescent="0.25">
      <c r="A1836" t="str">
        <f>"20190312164258555"</f>
        <v>20190312164258555</v>
      </c>
      <c r="B1836" t="str">
        <f>"1552380178545882"</f>
        <v>1552380178545882</v>
      </c>
      <c r="C1836" t="s">
        <v>40</v>
      </c>
      <c r="D1836">
        <v>4.5418949999999896</v>
      </c>
      <c r="E1836">
        <v>0.46375549999999999</v>
      </c>
      <c r="F1836" t="s">
        <v>47</v>
      </c>
      <c r="G1836">
        <v>-419.76220000000001</v>
      </c>
      <c r="H1836" s="1">
        <v>4.0626739999999998E-6</v>
      </c>
      <c r="I1836">
        <v>283.18340000000001</v>
      </c>
      <c r="J1836">
        <v>-401.60739999999998</v>
      </c>
      <c r="K1836">
        <v>1.1101669999999999</v>
      </c>
      <c r="L1836">
        <v>284.7201</v>
      </c>
      <c r="M1836">
        <v>-0.99987800000000004</v>
      </c>
      <c r="N1836">
        <v>0</v>
      </c>
      <c r="O1836">
        <v>-5.1022239999999998E-3</v>
      </c>
      <c r="P1836">
        <v>-0.98750170000000004</v>
      </c>
      <c r="Q1836">
        <v>0.1559451</v>
      </c>
      <c r="R1836">
        <v>2.284212E-2</v>
      </c>
      <c r="S1836">
        <v>-3.07254</v>
      </c>
      <c r="T1836">
        <v>-0.18363769999999999</v>
      </c>
      <c r="U1836">
        <v>-0.25454710000000003</v>
      </c>
      <c r="V1836">
        <v>2.7851580000000001E-2</v>
      </c>
      <c r="W1836">
        <v>0.17051069999999999</v>
      </c>
      <c r="X1836">
        <v>0.98496209999999995</v>
      </c>
      <c r="Y1836">
        <v>-7.7348490000000006E-2</v>
      </c>
      <c r="Z1836">
        <v>-2.0012889999999998E-3</v>
      </c>
      <c r="AA1836">
        <v>0.9970021</v>
      </c>
      <c r="AB1836">
        <v>45</v>
      </c>
      <c r="AC1836">
        <v>-18.154800000000002</v>
      </c>
      <c r="AD1836">
        <v>-1.11016293732599</v>
      </c>
      <c r="AE1836">
        <v>-1.53669999999999</v>
      </c>
      <c r="AF1836">
        <v>-1.4386985825151799</v>
      </c>
      <c r="AG1836">
        <v>-1.11016293732599</v>
      </c>
      <c r="AH1836">
        <v>18.0952229185446</v>
      </c>
      <c r="AI1836">
        <v>93.499745617958496</v>
      </c>
      <c r="AJ1836">
        <v>94.545858302765893</v>
      </c>
      <c r="AK1836">
        <v>18.186242268004801</v>
      </c>
      <c r="AL1836">
        <v>80.182486189059205</v>
      </c>
      <c r="AM1836">
        <v>88.380290089769403</v>
      </c>
      <c r="AN1836">
        <v>0.99999997387969697</v>
      </c>
    </row>
    <row r="1837" spans="1:40" x14ac:dyDescent="0.25">
      <c r="A1837" t="str">
        <f>"20190312164258578"</f>
        <v>20190312164258578</v>
      </c>
      <c r="B1837" t="str">
        <f>"1552380178576138"</f>
        <v>1552380178576138</v>
      </c>
      <c r="C1837" t="s">
        <v>40</v>
      </c>
      <c r="D1837">
        <v>4.3521219999999996</v>
      </c>
      <c r="E1837">
        <v>0.46245930000000002</v>
      </c>
      <c r="F1837" t="s">
        <v>47</v>
      </c>
      <c r="G1837">
        <v>-419.8236</v>
      </c>
      <c r="H1837" s="1">
        <v>4.0766939999999997E-6</v>
      </c>
      <c r="I1837">
        <v>283.14769999999999</v>
      </c>
      <c r="J1837">
        <v>-402.05450000000002</v>
      </c>
      <c r="K1837">
        <v>1.110158</v>
      </c>
      <c r="L1837">
        <v>284.71780000000001</v>
      </c>
      <c r="M1837">
        <v>-0.99987649999999995</v>
      </c>
      <c r="N1837">
        <v>0</v>
      </c>
      <c r="O1837">
        <v>-5.1070669999999999E-3</v>
      </c>
      <c r="P1837">
        <v>-0.98741259999999997</v>
      </c>
      <c r="Q1837">
        <v>0.1565406</v>
      </c>
      <c r="R1837">
        <v>2.261755E-2</v>
      </c>
      <c r="S1837">
        <v>-3.0737299999999999</v>
      </c>
      <c r="T1837">
        <v>-0.1873244</v>
      </c>
      <c r="U1837">
        <v>-0.26531979999999999</v>
      </c>
      <c r="V1837">
        <v>2.764086E-2</v>
      </c>
      <c r="W1837">
        <v>0.1712013</v>
      </c>
      <c r="X1837">
        <v>0.98484830000000001</v>
      </c>
      <c r="Y1837">
        <v>-8.0769579999999994E-2</v>
      </c>
      <c r="Z1837">
        <v>-2.1439699999999998E-3</v>
      </c>
      <c r="AA1837">
        <v>0.99673049999999996</v>
      </c>
      <c r="AB1837">
        <v>45</v>
      </c>
      <c r="AC1837">
        <v>-17.769099999999899</v>
      </c>
      <c r="AD1837">
        <v>-1.110153923306</v>
      </c>
      <c r="AE1837">
        <v>-1.57010000000002</v>
      </c>
      <c r="AF1837">
        <v>-1.47361406702244</v>
      </c>
      <c r="AG1837">
        <v>-1.110153923306</v>
      </c>
      <c r="AH1837">
        <v>17.708301822093901</v>
      </c>
      <c r="AI1837">
        <v>93.574919677044505</v>
      </c>
      <c r="AJ1837">
        <v>94.756965357215606</v>
      </c>
      <c r="AK1837">
        <v>17.804154952547801</v>
      </c>
      <c r="AL1837">
        <v>80.142327864532206</v>
      </c>
      <c r="AM1837">
        <v>88.392352421114495</v>
      </c>
      <c r="AN1837">
        <v>1.0000000381380501</v>
      </c>
    </row>
    <row r="1838" spans="1:40" x14ac:dyDescent="0.25">
      <c r="A1838" t="str">
        <f>"20190312164258601"</f>
        <v>20190312164258601</v>
      </c>
      <c r="B1838" t="str">
        <f>"1552380178595658"</f>
        <v>1552380178595658</v>
      </c>
      <c r="C1838" t="s">
        <v>40</v>
      </c>
      <c r="D1838">
        <v>4.6312419999999896</v>
      </c>
      <c r="E1838">
        <v>0.46184419999999998</v>
      </c>
      <c r="F1838" t="s">
        <v>47</v>
      </c>
      <c r="G1838">
        <v>-420.11669999999998</v>
      </c>
      <c r="H1838" s="1">
        <v>4.0772879999999996E-6</v>
      </c>
      <c r="I1838">
        <v>283.09050000000002</v>
      </c>
      <c r="J1838">
        <v>-402.51049999999998</v>
      </c>
      <c r="K1838">
        <v>1.1101399999999999</v>
      </c>
      <c r="L1838">
        <v>284.71550000000002</v>
      </c>
      <c r="M1838">
        <v>-0.99987539999999997</v>
      </c>
      <c r="N1838">
        <v>0</v>
      </c>
      <c r="O1838">
        <v>-5.0784910000000001E-3</v>
      </c>
      <c r="P1838">
        <v>-0.98740039999999996</v>
      </c>
      <c r="Q1838">
        <v>0.15662999999999999</v>
      </c>
      <c r="R1838">
        <v>2.253428E-2</v>
      </c>
      <c r="S1838">
        <v>-3.074554</v>
      </c>
      <c r="T1838">
        <v>-0.18897059999999999</v>
      </c>
      <c r="U1838">
        <v>-0.27700809999999998</v>
      </c>
      <c r="V1838">
        <v>2.7541090000000001E-2</v>
      </c>
      <c r="W1838">
        <v>0.1713761</v>
      </c>
      <c r="X1838">
        <v>0.98482069999999999</v>
      </c>
      <c r="Y1838">
        <v>-8.4525089999999997E-2</v>
      </c>
      <c r="Z1838">
        <v>-2.2786619999999999E-3</v>
      </c>
      <c r="AA1838">
        <v>0.99641880000000005</v>
      </c>
      <c r="AB1838">
        <v>45</v>
      </c>
      <c r="AC1838">
        <v>-17.606200000000001</v>
      </c>
      <c r="AD1838">
        <v>-1.110135922712</v>
      </c>
      <c r="AE1838">
        <v>-1.625</v>
      </c>
      <c r="AF1838">
        <v>-1.5295264456272899</v>
      </c>
      <c r="AG1838">
        <v>-1.110135922712</v>
      </c>
      <c r="AH1838">
        <v>17.545060489884801</v>
      </c>
      <c r="AI1838">
        <v>93.606829925135898</v>
      </c>
      <c r="AJ1838">
        <v>94.982280452727593</v>
      </c>
      <c r="AK1838">
        <v>17.646557752391399</v>
      </c>
      <c r="AL1838">
        <v>80.132162395489999</v>
      </c>
      <c r="AM1838">
        <v>88.398107345630805</v>
      </c>
      <c r="AN1838">
        <v>1.0000000452190401</v>
      </c>
    </row>
    <row r="1839" spans="1:40" x14ac:dyDescent="0.25">
      <c r="A1839" t="str">
        <f>"20190312164258622"</f>
        <v>20190312164258622</v>
      </c>
      <c r="B1839" t="str">
        <f>"1552380178616153"</f>
        <v>1552380178616153</v>
      </c>
      <c r="C1839" t="s">
        <v>40</v>
      </c>
      <c r="D1839">
        <v>4.4540449999999998</v>
      </c>
      <c r="E1839">
        <v>0.46138410000000002</v>
      </c>
      <c r="F1839" t="s">
        <v>47</v>
      </c>
      <c r="G1839">
        <v>-420.42899999999997</v>
      </c>
      <c r="H1839" s="1">
        <v>4.0238969999999998E-6</v>
      </c>
      <c r="I1839">
        <v>283.0677</v>
      </c>
      <c r="J1839">
        <v>-402.94979999999998</v>
      </c>
      <c r="K1839">
        <v>1.110112</v>
      </c>
      <c r="L1839">
        <v>284.7133</v>
      </c>
      <c r="M1839">
        <v>-0.99987459999999995</v>
      </c>
      <c r="N1839">
        <v>0</v>
      </c>
      <c r="O1839">
        <v>-5.0143100000000001E-3</v>
      </c>
      <c r="P1839">
        <v>-0.98734789999999995</v>
      </c>
      <c r="Q1839">
        <v>0.15690009999999999</v>
      </c>
      <c r="R1839">
        <v>2.2946939999999999E-2</v>
      </c>
      <c r="S1839">
        <v>-3.0749209999999998</v>
      </c>
      <c r="T1839">
        <v>-0.1905065</v>
      </c>
      <c r="U1839">
        <v>-0.28277590000000002</v>
      </c>
      <c r="V1839">
        <v>2.7903689999999998E-2</v>
      </c>
      <c r="W1839">
        <v>0.17171529999999999</v>
      </c>
      <c r="X1839">
        <v>0.9847513</v>
      </c>
      <c r="Y1839">
        <v>-8.6425879999999997E-2</v>
      </c>
      <c r="Z1839">
        <v>-2.359346E-3</v>
      </c>
      <c r="AA1839">
        <v>0.99625549999999996</v>
      </c>
      <c r="AB1839">
        <v>45</v>
      </c>
      <c r="AC1839">
        <v>-17.479199999999999</v>
      </c>
      <c r="AD1839">
        <v>-1.1101079761029999</v>
      </c>
      <c r="AE1839">
        <v>-1.6456</v>
      </c>
      <c r="AF1839">
        <v>-1.5517193426150699</v>
      </c>
      <c r="AG1839">
        <v>-1.1101079761029999</v>
      </c>
      <c r="AH1839">
        <v>17.417595193853799</v>
      </c>
      <c r="AI1839">
        <v>93.632457879339697</v>
      </c>
      <c r="AJ1839">
        <v>95.090993757552695</v>
      </c>
      <c r="AK1839">
        <v>17.5217805879943</v>
      </c>
      <c r="AL1839">
        <v>80.112434199960106</v>
      </c>
      <c r="AM1839">
        <v>88.376914064653306</v>
      </c>
      <c r="AN1839">
        <v>0.99999994151069604</v>
      </c>
    </row>
    <row r="1840" spans="1:40" x14ac:dyDescent="0.25">
      <c r="A1840" t="str">
        <f>"20190312164258645"</f>
        <v>20190312164258645</v>
      </c>
      <c r="B1840" t="str">
        <f>"1552380178635674"</f>
        <v>1552380178635674</v>
      </c>
      <c r="C1840" t="s">
        <v>40</v>
      </c>
      <c r="D1840">
        <v>4.4007149999999999</v>
      </c>
      <c r="E1840">
        <v>0.46089530000000001</v>
      </c>
      <c r="F1840" t="s">
        <v>47</v>
      </c>
      <c r="G1840">
        <v>-420.88440000000003</v>
      </c>
      <c r="H1840" s="1">
        <v>3.9447499999999998E-6</v>
      </c>
      <c r="I1840">
        <v>283.04899999999998</v>
      </c>
      <c r="J1840">
        <v>-403.39089999999999</v>
      </c>
      <c r="K1840">
        <v>1.1100810000000001</v>
      </c>
      <c r="L1840">
        <v>284.71120000000002</v>
      </c>
      <c r="M1840">
        <v>-0.99987409999999999</v>
      </c>
      <c r="N1840">
        <v>0</v>
      </c>
      <c r="O1840">
        <v>-4.9167580000000002E-3</v>
      </c>
      <c r="P1840">
        <v>-0.98737560000000002</v>
      </c>
      <c r="Q1840">
        <v>0.15671160000000001</v>
      </c>
      <c r="R1840">
        <v>2.3045570000000001E-2</v>
      </c>
      <c r="S1840">
        <v>-3.075348</v>
      </c>
      <c r="T1840">
        <v>-0.1903571</v>
      </c>
      <c r="U1840">
        <v>-0.2854004</v>
      </c>
      <c r="V1840">
        <v>2.7920810000000001E-2</v>
      </c>
      <c r="W1840">
        <v>0.17158799999999999</v>
      </c>
      <c r="X1840">
        <v>0.98477309999999996</v>
      </c>
      <c r="Y1840">
        <v>-8.7351780000000004E-2</v>
      </c>
      <c r="Z1840">
        <v>-2.3916689999999999E-3</v>
      </c>
      <c r="AA1840">
        <v>0.99617460000000002</v>
      </c>
      <c r="AB1840">
        <v>45</v>
      </c>
      <c r="AC1840">
        <v>-17.493500000000001</v>
      </c>
      <c r="AD1840">
        <v>-1.1100770552500001</v>
      </c>
      <c r="AE1840">
        <v>-1.6621999999999799</v>
      </c>
      <c r="AF1840">
        <v>-1.56989382740121</v>
      </c>
      <c r="AG1840">
        <v>-1.1100770552500001</v>
      </c>
      <c r="AH1840">
        <v>17.431896543351399</v>
      </c>
      <c r="AI1840">
        <v>93.629073080793404</v>
      </c>
      <c r="AJ1840">
        <v>95.146100407998205</v>
      </c>
      <c r="AK1840">
        <v>17.5376125740082</v>
      </c>
      <c r="AL1840">
        <v>80.119838782350399</v>
      </c>
      <c r="AM1840">
        <v>88.375954704574596</v>
      </c>
      <c r="AN1840">
        <v>1.00000003592933</v>
      </c>
    </row>
    <row r="1841" spans="1:40" x14ac:dyDescent="0.25">
      <c r="A1841" t="str">
        <f>"20190312164258667"</f>
        <v>20190312164258667</v>
      </c>
      <c r="B1841" t="str">
        <f>"1552380178656169"</f>
        <v>1552380178656169</v>
      </c>
      <c r="C1841" t="s">
        <v>40</v>
      </c>
      <c r="D1841">
        <v>4.2932689999999996</v>
      </c>
      <c r="E1841">
        <v>0.46065889999999998</v>
      </c>
      <c r="F1841" t="s">
        <v>47</v>
      </c>
      <c r="G1841">
        <v>-421.28629999999998</v>
      </c>
      <c r="H1841" s="1">
        <v>3.8752359999999999E-6</v>
      </c>
      <c r="I1841">
        <v>283.02859999999998</v>
      </c>
      <c r="J1841">
        <v>-403.83159999999998</v>
      </c>
      <c r="K1841">
        <v>1.1100429999999999</v>
      </c>
      <c r="L1841">
        <v>284.70909999999998</v>
      </c>
      <c r="M1841">
        <v>-0.99987389999999998</v>
      </c>
      <c r="N1841">
        <v>0</v>
      </c>
      <c r="O1841">
        <v>-4.7928160000000001E-3</v>
      </c>
      <c r="P1841">
        <v>-0.98743950000000003</v>
      </c>
      <c r="Q1841">
        <v>0.15620429999999999</v>
      </c>
      <c r="R1841">
        <v>2.3750380000000001E-2</v>
      </c>
      <c r="S1841">
        <v>-3.0754090000000001</v>
      </c>
      <c r="T1841">
        <v>-0.1907721</v>
      </c>
      <c r="U1841">
        <v>-0.28915410000000002</v>
      </c>
      <c r="V1841">
        <v>2.8517830000000001E-2</v>
      </c>
      <c r="W1841">
        <v>0.1711337</v>
      </c>
      <c r="X1841">
        <v>0.98483500000000002</v>
      </c>
      <c r="Y1841">
        <v>-8.8675279999999995E-2</v>
      </c>
      <c r="Z1841">
        <v>-2.4452739999999999E-3</v>
      </c>
      <c r="AA1841">
        <v>0.99605759999999999</v>
      </c>
      <c r="AB1841">
        <v>45</v>
      </c>
      <c r="AC1841">
        <v>-17.454699999999999</v>
      </c>
      <c r="AD1841">
        <v>-1.110039124764</v>
      </c>
      <c r="AE1841">
        <v>-1.6804999999999899</v>
      </c>
      <c r="AF1841">
        <v>-1.5904406716364501</v>
      </c>
      <c r="AG1841">
        <v>-1.110039124764</v>
      </c>
      <c r="AH1841">
        <v>17.392857480144301</v>
      </c>
      <c r="AI1841">
        <v>93.636621247310799</v>
      </c>
      <c r="AJ1841">
        <v>95.224720411514198</v>
      </c>
      <c r="AK1841">
        <v>17.5006622649863</v>
      </c>
      <c r="AL1841">
        <v>80.146258632518794</v>
      </c>
      <c r="AM1841">
        <v>88.341351762455204</v>
      </c>
      <c r="AN1841">
        <v>0.99999999356429903</v>
      </c>
    </row>
    <row r="1842" spans="1:40" x14ac:dyDescent="0.25">
      <c r="A1842" t="str">
        <f>"20190312164258690"</f>
        <v>20190312164258690</v>
      </c>
      <c r="B1842" t="str">
        <f>"1552380178686426"</f>
        <v>1552380178686426</v>
      </c>
      <c r="C1842" t="s">
        <v>40</v>
      </c>
      <c r="D1842">
        <v>4.2618530000000003</v>
      </c>
      <c r="E1842">
        <v>0.46017170000000002</v>
      </c>
      <c r="F1842" t="s">
        <v>47</v>
      </c>
      <c r="G1842">
        <v>-421.48820000000001</v>
      </c>
      <c r="H1842" s="1">
        <v>3.837549E-6</v>
      </c>
      <c r="I1842">
        <v>283.05009999999999</v>
      </c>
      <c r="J1842">
        <v>-404.28149999999999</v>
      </c>
      <c r="K1842">
        <v>1.1100110000000001</v>
      </c>
      <c r="L1842">
        <v>284.70710000000003</v>
      </c>
      <c r="M1842">
        <v>-0.99987389999999998</v>
      </c>
      <c r="N1842">
        <v>0</v>
      </c>
      <c r="O1842">
        <v>-4.6414500000000001E-3</v>
      </c>
      <c r="P1842">
        <v>-0.98741979999999996</v>
      </c>
      <c r="Q1842">
        <v>0.15628829999999999</v>
      </c>
      <c r="R1842">
        <v>2.4007790000000001E-2</v>
      </c>
      <c r="S1842">
        <v>-3.0757140000000001</v>
      </c>
      <c r="T1842">
        <v>-0.1933646</v>
      </c>
      <c r="U1842">
        <v>-0.28900150000000002</v>
      </c>
      <c r="V1842">
        <v>2.8638770000000001E-2</v>
      </c>
      <c r="W1842">
        <v>0.171262</v>
      </c>
      <c r="X1842">
        <v>0.98480919999999905</v>
      </c>
      <c r="Y1842">
        <v>-8.8763099999999998E-2</v>
      </c>
      <c r="Z1842">
        <v>-2.4904390000000001E-3</v>
      </c>
      <c r="AA1842">
        <v>0.99604959999999998</v>
      </c>
      <c r="AB1842">
        <v>44</v>
      </c>
      <c r="AC1842">
        <v>-17.206700000000001</v>
      </c>
      <c r="AD1842">
        <v>-1.110007162451</v>
      </c>
      <c r="AE1842">
        <v>-1.65700000000003</v>
      </c>
      <c r="AF1842">
        <v>-1.5706326707092</v>
      </c>
      <c r="AG1842">
        <v>-1.110007162451</v>
      </c>
      <c r="AH1842">
        <v>17.143518103892699</v>
      </c>
      <c r="AI1842">
        <v>93.689203863963698</v>
      </c>
      <c r="AJ1842">
        <v>95.234637413753504</v>
      </c>
      <c r="AK1842">
        <v>17.251064195158701</v>
      </c>
      <c r="AL1842">
        <v>80.138797556616396</v>
      </c>
      <c r="AM1842">
        <v>88.334278016168298</v>
      </c>
      <c r="AN1842">
        <v>1.00000000609787</v>
      </c>
    </row>
    <row r="1843" spans="1:40" x14ac:dyDescent="0.25">
      <c r="A1843" t="str">
        <f>"20190312164258713"</f>
        <v>20190312164258713</v>
      </c>
      <c r="B1843" t="str">
        <f>"1552380178705947"</f>
        <v>1552380178705947</v>
      </c>
      <c r="C1843" t="s">
        <v>40</v>
      </c>
      <c r="D1843">
        <v>4.261711</v>
      </c>
      <c r="E1843">
        <v>0.45984170000000002</v>
      </c>
      <c r="F1843" t="s">
        <v>47</v>
      </c>
      <c r="G1843">
        <v>-421.78809999999999</v>
      </c>
      <c r="H1843" s="1">
        <v>3.7847840000000002E-6</v>
      </c>
      <c r="I1843">
        <v>283.04500000000002</v>
      </c>
      <c r="J1843">
        <v>-404.74200000000002</v>
      </c>
      <c r="K1843">
        <v>1.1099889999999999</v>
      </c>
      <c r="L1843">
        <v>284.70510000000002</v>
      </c>
      <c r="M1843">
        <v>-0.99987409999999999</v>
      </c>
      <c r="N1843">
        <v>0</v>
      </c>
      <c r="O1843">
        <v>-4.4629170000000003E-3</v>
      </c>
      <c r="P1843">
        <v>-0.98739279999999996</v>
      </c>
      <c r="Q1843">
        <v>0.1563756</v>
      </c>
      <c r="R1843">
        <v>2.4546160000000001E-2</v>
      </c>
      <c r="S1843">
        <v>-3.0761409999999998</v>
      </c>
      <c r="T1843">
        <v>-0.19504279999999999</v>
      </c>
      <c r="U1843">
        <v>-0.29205320000000001</v>
      </c>
      <c r="V1843">
        <v>2.9012639999999999E-2</v>
      </c>
      <c r="W1843">
        <v>0.17138879999999901</v>
      </c>
      <c r="X1843">
        <v>0.98477619999999999</v>
      </c>
      <c r="Y1843">
        <v>-8.9901990000000001E-2</v>
      </c>
      <c r="Z1843">
        <v>-2.5588210000000002E-3</v>
      </c>
      <c r="AA1843">
        <v>0.99594729999999998</v>
      </c>
      <c r="AB1843">
        <v>44</v>
      </c>
      <c r="AC1843">
        <v>-17.046099999999999</v>
      </c>
      <c r="AD1843">
        <v>-1.1099852152159999</v>
      </c>
      <c r="AE1843">
        <v>-1.6600999999999999</v>
      </c>
      <c r="AF1843">
        <v>-1.57737380367083</v>
      </c>
      <c r="AG1843">
        <v>-1.1099852152159999</v>
      </c>
      <c r="AH1843">
        <v>16.9820097032921</v>
      </c>
      <c r="AI1843">
        <v>93.7236877424304</v>
      </c>
      <c r="AJ1843">
        <v>95.306691493558503</v>
      </c>
      <c r="AK1843">
        <v>17.091191557560101</v>
      </c>
      <c r="AL1843">
        <v>80.131423451108603</v>
      </c>
      <c r="AM1843">
        <v>88.312488524796905</v>
      </c>
      <c r="AN1843">
        <v>1.0000000090658201</v>
      </c>
    </row>
    <row r="1844" spans="1:40" x14ac:dyDescent="0.25">
      <c r="A1844" t="str">
        <f>"20190312164258735"</f>
        <v>20190312164258735</v>
      </c>
      <c r="B1844" t="str">
        <f>"1552380178726443"</f>
        <v>1552380178726443</v>
      </c>
      <c r="C1844" t="s">
        <v>40</v>
      </c>
      <c r="D1844">
        <v>4.213031</v>
      </c>
      <c r="E1844">
        <v>0.45957569999999998</v>
      </c>
      <c r="F1844" t="s">
        <v>47</v>
      </c>
      <c r="G1844">
        <v>-422.13350000000003</v>
      </c>
      <c r="H1844" s="1">
        <v>3.7235399999999998E-6</v>
      </c>
      <c r="I1844">
        <v>283.04489999999998</v>
      </c>
      <c r="J1844">
        <v>-405.17309999999998</v>
      </c>
      <c r="K1844">
        <v>1.1099650000000001</v>
      </c>
      <c r="L1844">
        <v>284.70330000000001</v>
      </c>
      <c r="M1844">
        <v>-0.99987440000000005</v>
      </c>
      <c r="N1844">
        <v>0</v>
      </c>
      <c r="O1844">
        <v>-4.278685E-3</v>
      </c>
      <c r="P1844">
        <v>-0.98736979999999996</v>
      </c>
      <c r="Q1844">
        <v>0.15652349999999901</v>
      </c>
      <c r="R1844">
        <v>2.4524560000000001E-2</v>
      </c>
      <c r="S1844">
        <v>-3.0766909999999998</v>
      </c>
      <c r="T1844">
        <v>-0.19636519999999999</v>
      </c>
      <c r="U1844">
        <v>-0.2937012</v>
      </c>
      <c r="V1844">
        <v>2.8818920000000001E-2</v>
      </c>
      <c r="W1844">
        <v>0.17156679999999999</v>
      </c>
      <c r="X1844">
        <v>0.98475089999999998</v>
      </c>
      <c r="Y1844">
        <v>-9.0593400000000004E-2</v>
      </c>
      <c r="Z1844">
        <v>-2.6093230000000002E-3</v>
      </c>
      <c r="AA1844">
        <v>0.99588449999999995</v>
      </c>
      <c r="AB1844">
        <v>44</v>
      </c>
      <c r="AC1844">
        <v>-16.9604</v>
      </c>
      <c r="AD1844">
        <v>-1.10996127646</v>
      </c>
      <c r="AE1844">
        <v>-1.6584000000000201</v>
      </c>
      <c r="AF1844">
        <v>-1.57910895531683</v>
      </c>
      <c r="AG1844">
        <v>-1.10996127646</v>
      </c>
      <c r="AH1844">
        <v>16.895663271756899</v>
      </c>
      <c r="AI1844">
        <v>93.742384425157496</v>
      </c>
      <c r="AJ1844">
        <v>95.339488953623302</v>
      </c>
      <c r="AK1844">
        <v>17.005558988771799</v>
      </c>
      <c r="AL1844">
        <v>80.121071538211595</v>
      </c>
      <c r="AM1844">
        <v>88.323706699072204</v>
      </c>
      <c r="AN1844">
        <v>1.0000000160314999</v>
      </c>
    </row>
    <row r="1845" spans="1:40" x14ac:dyDescent="0.25">
      <c r="A1845" t="str">
        <f>"20190312164258756"</f>
        <v>20190312164258756</v>
      </c>
      <c r="B1845" t="str">
        <f>"1552380178745962"</f>
        <v>1552380178745962</v>
      </c>
      <c r="C1845" t="s">
        <v>40</v>
      </c>
      <c r="D1845">
        <v>4.3186419999999996</v>
      </c>
      <c r="E1845">
        <v>0.45937159999999999</v>
      </c>
      <c r="F1845" t="s">
        <v>47</v>
      </c>
      <c r="G1845">
        <v>-422.45089999999999</v>
      </c>
      <c r="H1845" s="1">
        <v>3.6671769999999998E-6</v>
      </c>
      <c r="I1845">
        <v>283.04559999999998</v>
      </c>
      <c r="J1845">
        <v>-405.60160000000002</v>
      </c>
      <c r="K1845">
        <v>1.10995</v>
      </c>
      <c r="L1845">
        <v>284.70159999999998</v>
      </c>
      <c r="M1845">
        <v>-0.99987479999999995</v>
      </c>
      <c r="N1845">
        <v>0</v>
      </c>
      <c r="O1845">
        <v>-4.08136E-3</v>
      </c>
      <c r="P1845">
        <v>-0.98742339999999995</v>
      </c>
      <c r="Q1845">
        <v>0.1562103</v>
      </c>
      <c r="R1845">
        <v>2.4360980000000001E-2</v>
      </c>
      <c r="S1845">
        <v>-3.077026</v>
      </c>
      <c r="T1845">
        <v>-0.19767509999999999</v>
      </c>
      <c r="U1845">
        <v>-0.29522710000000002</v>
      </c>
      <c r="V1845">
        <v>2.8469390000000001E-2</v>
      </c>
      <c r="W1845">
        <v>0.17128170000000001</v>
      </c>
      <c r="X1845">
        <v>0.98481070000000004</v>
      </c>
      <c r="Y1845">
        <v>-9.1264940000000003E-2</v>
      </c>
      <c r="Z1845">
        <v>-2.6604810000000001E-3</v>
      </c>
      <c r="AA1845">
        <v>0.99582309999999996</v>
      </c>
      <c r="AB1845">
        <v>44</v>
      </c>
      <c r="AC1845">
        <v>-16.8492999999999</v>
      </c>
      <c r="AD1845">
        <v>-1.1099463328229999</v>
      </c>
      <c r="AE1845">
        <v>-1.6559999999999999</v>
      </c>
      <c r="AF1845">
        <v>-1.5804174907361199</v>
      </c>
      <c r="AG1845">
        <v>-1.1099463328229999</v>
      </c>
      <c r="AH1845">
        <v>16.783782645629</v>
      </c>
      <c r="AI1845">
        <v>93.766964109731902</v>
      </c>
      <c r="AJ1845">
        <v>95.3793019957008</v>
      </c>
      <c r="AK1845">
        <v>16.894527522321798</v>
      </c>
      <c r="AL1845">
        <v>80.137652048571098</v>
      </c>
      <c r="AM1845">
        <v>88.344126715557394</v>
      </c>
      <c r="AN1845">
        <v>1.0000000208781701</v>
      </c>
    </row>
    <row r="1846" spans="1:40" x14ac:dyDescent="0.25">
      <c r="A1846" t="str">
        <f>"20190312164258780"</f>
        <v>20190312164258780</v>
      </c>
      <c r="B1846" t="str">
        <f>"1552380178776219"</f>
        <v>1552380178776219</v>
      </c>
      <c r="C1846" t="s">
        <v>40</v>
      </c>
      <c r="D1846">
        <v>4.2074569999999998</v>
      </c>
      <c r="E1846">
        <v>0.45905449999999998</v>
      </c>
      <c r="F1846" t="s">
        <v>47</v>
      </c>
      <c r="G1846">
        <v>-422.8227</v>
      </c>
      <c r="H1846" s="1">
        <v>3.601947E-6</v>
      </c>
      <c r="I1846">
        <v>283.03739999999999</v>
      </c>
      <c r="J1846">
        <v>-406.05059999999997</v>
      </c>
      <c r="K1846">
        <v>1.109928</v>
      </c>
      <c r="L1846">
        <v>284.7</v>
      </c>
      <c r="M1846">
        <v>-0.99987519999999996</v>
      </c>
      <c r="N1846">
        <v>0</v>
      </c>
      <c r="O1846">
        <v>-3.8628080000000001E-3</v>
      </c>
      <c r="P1846">
        <v>-0.98750689999999997</v>
      </c>
      <c r="Q1846">
        <v>0.15567590000000001</v>
      </c>
      <c r="R1846">
        <v>2.4397430000000001E-2</v>
      </c>
      <c r="S1846">
        <v>-3.0769350000000002</v>
      </c>
      <c r="T1846">
        <v>-0.1983174</v>
      </c>
      <c r="U1846">
        <v>-0.2973633</v>
      </c>
      <c r="V1846">
        <v>2.8298130000000001E-2</v>
      </c>
      <c r="W1846">
        <v>0.1707719</v>
      </c>
      <c r="X1846">
        <v>0.98490409999999995</v>
      </c>
      <c r="Y1846">
        <v>-9.2166949999999997E-2</v>
      </c>
      <c r="Z1846">
        <v>-2.7121089999999999E-3</v>
      </c>
      <c r="AA1846">
        <v>0.99573990000000001</v>
      </c>
      <c r="AB1846">
        <v>44</v>
      </c>
      <c r="AC1846">
        <v>-16.772099999999998</v>
      </c>
      <c r="AD1846">
        <v>-1.109924398053</v>
      </c>
      <c r="AE1846">
        <v>-1.6625999999999901</v>
      </c>
      <c r="AF1846">
        <v>-1.59089326980334</v>
      </c>
      <c r="AG1846">
        <v>-1.109924398053</v>
      </c>
      <c r="AH1846">
        <v>16.705948252939901</v>
      </c>
      <c r="AI1846">
        <v>93.784011822473502</v>
      </c>
      <c r="AJ1846">
        <v>95.439824173415701</v>
      </c>
      <c r="AK1846">
        <v>16.818191953810199</v>
      </c>
      <c r="AL1846">
        <v>80.167297589057199</v>
      </c>
      <c r="AM1846">
        <v>88.354238263391807</v>
      </c>
      <c r="AN1846">
        <v>0.99999995609395698</v>
      </c>
    </row>
    <row r="1847" spans="1:40" x14ac:dyDescent="0.25">
      <c r="A1847" t="str">
        <f>"20190312164258802"</f>
        <v>20190312164258802</v>
      </c>
      <c r="B1847" t="str">
        <f>"1552380178795738"</f>
        <v>1552380178795738</v>
      </c>
      <c r="C1847" t="s">
        <v>40</v>
      </c>
      <c r="D1847">
        <v>4.5282780000000002</v>
      </c>
      <c r="E1847">
        <v>0.45883309999999999</v>
      </c>
      <c r="F1847" t="s">
        <v>47</v>
      </c>
      <c r="G1847">
        <v>-423.17689999999999</v>
      </c>
      <c r="H1847" s="1">
        <v>3.5399479999999998E-6</v>
      </c>
      <c r="I1847">
        <v>283.02780000000001</v>
      </c>
      <c r="J1847">
        <v>-406.50240000000002</v>
      </c>
      <c r="K1847">
        <v>1.1099190000000001</v>
      </c>
      <c r="L1847">
        <v>284.69839999999999</v>
      </c>
      <c r="M1847">
        <v>-0.99987579999999998</v>
      </c>
      <c r="N1847">
        <v>0</v>
      </c>
      <c r="O1847">
        <v>-3.6292109999999998E-3</v>
      </c>
      <c r="P1847">
        <v>-0.9875467</v>
      </c>
      <c r="Q1847">
        <v>0.15550530000000001</v>
      </c>
      <c r="R1847">
        <v>2.387297E-2</v>
      </c>
      <c r="S1847">
        <v>-3.076813</v>
      </c>
      <c r="T1847">
        <v>-0.1994023</v>
      </c>
      <c r="U1847">
        <v>-0.30041499999999999</v>
      </c>
      <c r="V1847">
        <v>2.7551349999999999E-2</v>
      </c>
      <c r="W1847">
        <v>0.17062160000000001</v>
      </c>
      <c r="X1847">
        <v>0.98495140000000003</v>
      </c>
      <c r="Y1847">
        <v>-9.3376710000000002E-2</v>
      </c>
      <c r="Z1847">
        <v>-2.7810479999999999E-3</v>
      </c>
      <c r="AA1847">
        <v>0.99562700000000004</v>
      </c>
      <c r="AB1847">
        <v>44</v>
      </c>
      <c r="AC1847">
        <v>-16.674499999999899</v>
      </c>
      <c r="AD1847">
        <v>-1.109915460052</v>
      </c>
      <c r="AE1847">
        <v>-1.6705999999999701</v>
      </c>
      <c r="AF1847">
        <v>-1.6030345893870199</v>
      </c>
      <c r="AG1847">
        <v>-1.109915460052</v>
      </c>
      <c r="AH1847">
        <v>16.607601506225201</v>
      </c>
      <c r="AI1847">
        <v>93.805856825574693</v>
      </c>
      <c r="AJ1847">
        <v>95.513346196417004</v>
      </c>
      <c r="AK1847">
        <v>16.721664391226302</v>
      </c>
      <c r="AL1847">
        <v>80.176038185311199</v>
      </c>
      <c r="AM1847">
        <v>88.397723431300605</v>
      </c>
      <c r="AN1847">
        <v>1.00000003381767</v>
      </c>
    </row>
    <row r="1848" spans="1:40" x14ac:dyDescent="0.25">
      <c r="A1848" t="str">
        <f>"20190312164258824"</f>
        <v>20190312164258824</v>
      </c>
      <c r="B1848" t="str">
        <f>"1552380178816234"</f>
        <v>1552380178816234</v>
      </c>
      <c r="C1848" t="s">
        <v>40</v>
      </c>
      <c r="D1848">
        <v>4.1825109999999999</v>
      </c>
      <c r="E1848">
        <v>0.4587328</v>
      </c>
      <c r="F1848" t="s">
        <v>47</v>
      </c>
      <c r="G1848">
        <v>-423.63159999999999</v>
      </c>
      <c r="H1848" s="1">
        <v>3.4611159999999998E-6</v>
      </c>
      <c r="I1848">
        <v>283.00689999999997</v>
      </c>
      <c r="J1848">
        <v>-406.93130000000002</v>
      </c>
      <c r="K1848">
        <v>1.109904</v>
      </c>
      <c r="L1848">
        <v>284.69709999999998</v>
      </c>
      <c r="M1848">
        <v>-0.99987630000000005</v>
      </c>
      <c r="N1848">
        <v>0</v>
      </c>
      <c r="O1848">
        <v>-3.3935570000000002E-3</v>
      </c>
      <c r="P1848">
        <v>-0.98756279999999996</v>
      </c>
      <c r="Q1848">
        <v>0.155465299999999</v>
      </c>
      <c r="R1848">
        <v>2.3461829999999999E-2</v>
      </c>
      <c r="S1848">
        <v>-3.0765690000000001</v>
      </c>
      <c r="T1848">
        <v>-0.1993518</v>
      </c>
      <c r="U1848">
        <v>-0.30380249999999998</v>
      </c>
      <c r="V1848">
        <v>2.6915560000000002E-2</v>
      </c>
      <c r="W1848">
        <v>0.17059669999999999</v>
      </c>
      <c r="X1848">
        <v>0.98497330000000005</v>
      </c>
      <c r="Y1848">
        <v>-9.4701519999999997E-2</v>
      </c>
      <c r="Z1848">
        <v>-2.838405E-3</v>
      </c>
      <c r="AA1848">
        <v>0.99550159999999999</v>
      </c>
      <c r="AB1848">
        <v>44</v>
      </c>
      <c r="AC1848">
        <v>-16.700299999999899</v>
      </c>
      <c r="AD1848">
        <v>-1.109900538884</v>
      </c>
      <c r="AE1848">
        <v>-1.6901999999999999</v>
      </c>
      <c r="AF1848">
        <v>-1.62639932039754</v>
      </c>
      <c r="AG1848">
        <v>-1.109900538884</v>
      </c>
      <c r="AH1848">
        <v>16.6332175817098</v>
      </c>
      <c r="AI1848">
        <v>93.7995038528896</v>
      </c>
      <c r="AJ1848">
        <v>95.584639672826697</v>
      </c>
      <c r="AK1848">
        <v>16.749357631745301</v>
      </c>
      <c r="AL1848">
        <v>80.177486154912401</v>
      </c>
      <c r="AM1848">
        <v>88.434714614013402</v>
      </c>
      <c r="AN1848">
        <v>1.0000000415669399</v>
      </c>
    </row>
    <row r="1849" spans="1:40" x14ac:dyDescent="0.25">
      <c r="A1849" t="str">
        <f>"20190312164258846"</f>
        <v>20190312164258846</v>
      </c>
      <c r="B1849" t="str">
        <f>"1552380178835754"</f>
        <v>1552380178835754</v>
      </c>
      <c r="C1849" t="s">
        <v>40</v>
      </c>
      <c r="D1849">
        <v>4.1455849999999996</v>
      </c>
      <c r="E1849">
        <v>0.4585996</v>
      </c>
      <c r="F1849" t="s">
        <v>47</v>
      </c>
      <c r="G1849">
        <v>-424.0668</v>
      </c>
      <c r="H1849" s="1">
        <v>3.3845660000000001E-6</v>
      </c>
      <c r="I1849">
        <v>282.99939999999998</v>
      </c>
      <c r="J1849">
        <v>-407.35980000000001</v>
      </c>
      <c r="K1849">
        <v>1.109883</v>
      </c>
      <c r="L1849">
        <v>284.69580000000002</v>
      </c>
      <c r="M1849">
        <v>-0.99987700000000002</v>
      </c>
      <c r="N1849">
        <v>0</v>
      </c>
      <c r="O1849">
        <v>-3.1461979999999998E-3</v>
      </c>
      <c r="P1849">
        <v>-0.98761259999999995</v>
      </c>
      <c r="Q1849">
        <v>0.1552036</v>
      </c>
      <c r="R1849">
        <v>2.3099499999999999E-2</v>
      </c>
      <c r="S1849">
        <v>-3.0763850000000001</v>
      </c>
      <c r="T1849">
        <v>-0.199263</v>
      </c>
      <c r="U1849">
        <v>-0.30477910000000002</v>
      </c>
      <c r="V1849">
        <v>2.6317150000000001E-2</v>
      </c>
      <c r="W1849">
        <v>0.17034859999999999</v>
      </c>
      <c r="X1849">
        <v>0.98503240000000003</v>
      </c>
      <c r="Y1849">
        <v>-9.5265000000000002E-2</v>
      </c>
      <c r="Z1849">
        <v>-2.8714190000000001E-3</v>
      </c>
      <c r="AA1849">
        <v>0.99544779999999999</v>
      </c>
      <c r="AB1849">
        <v>44</v>
      </c>
      <c r="AC1849">
        <v>-16.706999999999901</v>
      </c>
      <c r="AD1849">
        <v>-1.109879615434</v>
      </c>
      <c r="AE1849">
        <v>-1.6964000000000301</v>
      </c>
      <c r="AF1849">
        <v>-1.6366725919965599</v>
      </c>
      <c r="AG1849">
        <v>-1.109879615434</v>
      </c>
      <c r="AH1849">
        <v>16.639570557710702</v>
      </c>
      <c r="AI1849">
        <v>93.7977726947436</v>
      </c>
      <c r="AJ1849">
        <v>95.617558493601095</v>
      </c>
      <c r="AK1849">
        <v>16.7566654880732</v>
      </c>
      <c r="AL1849">
        <v>80.191912322646402</v>
      </c>
      <c r="AM1849">
        <v>88.469590435062301</v>
      </c>
      <c r="AN1849">
        <v>1.00000003347792</v>
      </c>
    </row>
    <row r="1850" spans="1:40" x14ac:dyDescent="0.25">
      <c r="A1850" t="str">
        <f>"20190312164258868"</f>
        <v>20190312164258868</v>
      </c>
      <c r="B1850" t="str">
        <f>"1552380178866010"</f>
        <v>1552380178866010</v>
      </c>
      <c r="C1850" t="s">
        <v>40</v>
      </c>
      <c r="D1850">
        <v>4.1407030000000002</v>
      </c>
      <c r="E1850">
        <v>0.45832699999999998</v>
      </c>
      <c r="F1850" t="s">
        <v>47</v>
      </c>
      <c r="G1850">
        <v>-424.39550000000003</v>
      </c>
      <c r="H1850" s="1">
        <v>3.3268160000000001E-6</v>
      </c>
      <c r="I1850">
        <v>282.99310000000003</v>
      </c>
      <c r="J1850">
        <v>-407.80369999999999</v>
      </c>
      <c r="K1850">
        <v>1.109866</v>
      </c>
      <c r="L1850">
        <v>284.69459999999998</v>
      </c>
      <c r="M1850">
        <v>-0.99987760000000003</v>
      </c>
      <c r="N1850">
        <v>0</v>
      </c>
      <c r="O1850">
        <v>-2.8731730000000001E-3</v>
      </c>
      <c r="P1850">
        <v>-0.98763579999999995</v>
      </c>
      <c r="Q1850">
        <v>0.15510090000000001</v>
      </c>
      <c r="R1850">
        <v>2.2790729999999999E-2</v>
      </c>
      <c r="S1850">
        <v>-3.0763240000000001</v>
      </c>
      <c r="T1850">
        <v>-0.20042360000000001</v>
      </c>
      <c r="U1850">
        <v>-0.30746459999999998</v>
      </c>
      <c r="V1850">
        <v>2.574719E-2</v>
      </c>
      <c r="W1850">
        <v>0.17025650000000001</v>
      </c>
      <c r="X1850">
        <v>0.98506340000000003</v>
      </c>
      <c r="Y1850">
        <v>-9.6394019999999997E-2</v>
      </c>
      <c r="Z1850">
        <v>-2.9424149999999999E-3</v>
      </c>
      <c r="AA1850">
        <v>0.99533890000000003</v>
      </c>
      <c r="AB1850">
        <v>44</v>
      </c>
      <c r="AC1850">
        <v>-16.591799999999999</v>
      </c>
      <c r="AD1850">
        <v>-1.109862673184</v>
      </c>
      <c r="AE1850">
        <v>-1.7014999999999501</v>
      </c>
      <c r="AF1850">
        <v>-1.6465254034316199</v>
      </c>
      <c r="AG1850">
        <v>-1.109862673184</v>
      </c>
      <c r="AH1850">
        <v>16.523454856196501</v>
      </c>
      <c r="AI1850">
        <v>93.823842467764194</v>
      </c>
      <c r="AJ1850">
        <v>95.690610875619896</v>
      </c>
      <c r="AK1850">
        <v>16.642337619524401</v>
      </c>
      <c r="AL1850">
        <v>80.197267634850903</v>
      </c>
      <c r="AM1850">
        <v>88.502766909892799</v>
      </c>
      <c r="AN1850">
        <v>1.0000000478023501</v>
      </c>
    </row>
    <row r="1851" spans="1:40" x14ac:dyDescent="0.25">
      <c r="A1851" t="str">
        <f>"20190312164258891"</f>
        <v>20190312164258891</v>
      </c>
      <c r="B1851" t="str">
        <f>"1552380178886506"</f>
        <v>1552380178886506</v>
      </c>
      <c r="C1851" t="s">
        <v>40</v>
      </c>
      <c r="D1851">
        <v>4.1335629999999997</v>
      </c>
      <c r="E1851">
        <v>0.45815250000000002</v>
      </c>
      <c r="F1851" t="s">
        <v>47</v>
      </c>
      <c r="G1851">
        <v>-424.74860000000001</v>
      </c>
      <c r="H1851" s="1">
        <v>3.2650469999999999E-6</v>
      </c>
      <c r="I1851">
        <v>282.98320000000001</v>
      </c>
      <c r="J1851">
        <v>-408.24900000000002</v>
      </c>
      <c r="K1851">
        <v>1.1098429999999999</v>
      </c>
      <c r="L1851">
        <v>284.6936</v>
      </c>
      <c r="M1851">
        <v>-0.9998783</v>
      </c>
      <c r="N1851">
        <v>0</v>
      </c>
      <c r="O1851">
        <v>-2.5779309999999999E-3</v>
      </c>
      <c r="P1851">
        <v>-0.9876914</v>
      </c>
      <c r="Q1851">
        <v>0.15475439999999999</v>
      </c>
      <c r="R1851">
        <v>2.2732100000000002E-2</v>
      </c>
      <c r="S1851">
        <v>-3.0763850000000001</v>
      </c>
      <c r="T1851">
        <v>-0.20149800000000001</v>
      </c>
      <c r="U1851">
        <v>-0.31069950000000002</v>
      </c>
      <c r="V1851">
        <v>2.5406129999999999E-2</v>
      </c>
      <c r="W1851">
        <v>0.16991909999999999</v>
      </c>
      <c r="X1851">
        <v>0.98513050000000002</v>
      </c>
      <c r="Y1851">
        <v>-9.7716499999999998E-2</v>
      </c>
      <c r="Z1851">
        <v>-3.020366E-3</v>
      </c>
      <c r="AA1851">
        <v>0.99520969999999997</v>
      </c>
      <c r="AB1851">
        <v>44</v>
      </c>
      <c r="AC1851">
        <v>-16.499599999999901</v>
      </c>
      <c r="AD1851">
        <v>-1.109839734953</v>
      </c>
      <c r="AE1851">
        <v>-1.7103999999999899</v>
      </c>
      <c r="AF1851">
        <v>-1.66042169008023</v>
      </c>
      <c r="AG1851">
        <v>-1.109839734953</v>
      </c>
      <c r="AH1851">
        <v>16.430405439991301</v>
      </c>
      <c r="AI1851">
        <v>93.844816731936305</v>
      </c>
      <c r="AJ1851">
        <v>95.770597903153202</v>
      </c>
      <c r="AK1851">
        <v>16.5513433699101</v>
      </c>
      <c r="AL1851">
        <v>80.216884970858402</v>
      </c>
      <c r="AM1851">
        <v>88.522691735892394</v>
      </c>
      <c r="AN1851">
        <v>1.00000003700831</v>
      </c>
    </row>
    <row r="1852" spans="1:40" x14ac:dyDescent="0.25">
      <c r="A1852" t="str">
        <f>"20190312164258925"</f>
        <v>20190312164258925</v>
      </c>
      <c r="B1852" t="str">
        <f>"1552380178915786"</f>
        <v>1552380178915786</v>
      </c>
      <c r="C1852" t="s">
        <v>40</v>
      </c>
      <c r="D1852">
        <v>4.1621259999999998</v>
      </c>
      <c r="E1852">
        <v>0.45791690000000002</v>
      </c>
      <c r="F1852" t="s">
        <v>47</v>
      </c>
      <c r="G1852">
        <v>-424.98849999999999</v>
      </c>
      <c r="H1852" s="1">
        <v>3.2213380000000002E-6</v>
      </c>
      <c r="I1852">
        <v>282.99639999999999</v>
      </c>
      <c r="J1852">
        <v>-408.90640000000002</v>
      </c>
      <c r="K1852">
        <v>1.10981</v>
      </c>
      <c r="L1852">
        <v>284.69229999999999</v>
      </c>
      <c r="M1852">
        <v>-0.99987919999999997</v>
      </c>
      <c r="N1852">
        <v>0</v>
      </c>
      <c r="O1852">
        <v>-2.0957760000000001E-3</v>
      </c>
      <c r="P1852">
        <v>-0.98774810000000002</v>
      </c>
      <c r="Q1852">
        <v>0.15433910000000001</v>
      </c>
      <c r="R1852">
        <v>2.309483E-2</v>
      </c>
      <c r="S1852">
        <v>-3.0765690000000001</v>
      </c>
      <c r="T1852">
        <v>-0.2039782</v>
      </c>
      <c r="U1852">
        <v>-0.31192019999999998</v>
      </c>
      <c r="V1852">
        <v>2.5307820000000002E-2</v>
      </c>
      <c r="W1852">
        <v>0.1695122</v>
      </c>
      <c r="X1852">
        <v>0.9852031</v>
      </c>
      <c r="Y1852">
        <v>-9.8573450000000007E-2</v>
      </c>
      <c r="Z1852">
        <v>-3.1173780000000001E-3</v>
      </c>
      <c r="AA1852">
        <v>0.99512489999999998</v>
      </c>
      <c r="AB1852">
        <v>44</v>
      </c>
      <c r="AC1852">
        <v>-16.082099999999901</v>
      </c>
      <c r="AD1852">
        <v>-1.1098067786620001</v>
      </c>
      <c r="AE1852">
        <v>-1.69589999999999</v>
      </c>
      <c r="AF1852">
        <v>-1.65439585303785</v>
      </c>
      <c r="AG1852">
        <v>-1.1098067786620001</v>
      </c>
      <c r="AH1852">
        <v>16.010213730438799</v>
      </c>
      <c r="AI1852">
        <v>93.944388232079504</v>
      </c>
      <c r="AJ1852">
        <v>95.899650190026094</v>
      </c>
      <c r="AK1852">
        <v>16.1336803122798</v>
      </c>
      <c r="AL1852">
        <v>80.240541544466595</v>
      </c>
      <c r="AM1852">
        <v>88.528514113304496</v>
      </c>
      <c r="AN1852">
        <v>1.0000000099758</v>
      </c>
    </row>
    <row r="1853" spans="1:40" x14ac:dyDescent="0.25">
      <c r="A1853" t="str">
        <f>"20190312164258947"</f>
        <v>20190312164258947</v>
      </c>
      <c r="B1853" t="str">
        <f>"1552380178936282"</f>
        <v>1552380178936282</v>
      </c>
      <c r="C1853" t="s">
        <v>40</v>
      </c>
      <c r="D1853">
        <v>4.4502600000000001</v>
      </c>
      <c r="E1853">
        <v>0.45779619999999999</v>
      </c>
      <c r="F1853" t="s">
        <v>47</v>
      </c>
      <c r="G1853">
        <v>-425.45870000000002</v>
      </c>
      <c r="H1853" s="1">
        <v>3.1367610000000002E-6</v>
      </c>
      <c r="I1853">
        <v>283.00979999999998</v>
      </c>
      <c r="J1853">
        <v>-409.34249999999997</v>
      </c>
      <c r="K1853">
        <v>1.109793</v>
      </c>
      <c r="L1853">
        <v>284.69170000000003</v>
      </c>
      <c r="M1853">
        <v>-0.99987990000000004</v>
      </c>
      <c r="N1853">
        <v>0</v>
      </c>
      <c r="O1853">
        <v>-1.743706E-3</v>
      </c>
      <c r="P1853">
        <v>-0.9877338</v>
      </c>
      <c r="Q1853">
        <v>0.15438869999999999</v>
      </c>
      <c r="R1853">
        <v>2.3372670000000002E-2</v>
      </c>
      <c r="S1853">
        <v>-3.076721</v>
      </c>
      <c r="T1853">
        <v>-0.20628879999999999</v>
      </c>
      <c r="U1853">
        <v>-0.31274410000000002</v>
      </c>
      <c r="V1853">
        <v>2.5248400000000001E-2</v>
      </c>
      <c r="W1853">
        <v>0.16956479999999999</v>
      </c>
      <c r="X1853">
        <v>0.98519559999999995</v>
      </c>
      <c r="Y1853">
        <v>-9.9175780000000005E-2</v>
      </c>
      <c r="Z1853">
        <v>-3.1960550000000002E-3</v>
      </c>
      <c r="AA1853">
        <v>0.99506479999999997</v>
      </c>
      <c r="AB1853">
        <v>44</v>
      </c>
      <c r="AC1853">
        <v>-16.116199999999999</v>
      </c>
      <c r="AD1853">
        <v>-1.109789863239</v>
      </c>
      <c r="AE1853">
        <v>-1.6819000000000399</v>
      </c>
      <c r="AF1853">
        <v>-1.64607071973167</v>
      </c>
      <c r="AG1853">
        <v>-1.109789863239</v>
      </c>
      <c r="AH1853">
        <v>16.043849245660901</v>
      </c>
      <c r="AI1853">
        <v>93.936379195884101</v>
      </c>
      <c r="AJ1853">
        <v>95.8579492345783</v>
      </c>
      <c r="AK1853">
        <v>16.166207996076199</v>
      </c>
      <c r="AL1853">
        <v>80.237483780418501</v>
      </c>
      <c r="AM1853">
        <v>88.5319563171699</v>
      </c>
      <c r="AN1853">
        <v>1.00000003668047</v>
      </c>
    </row>
    <row r="1854" spans="1:40" x14ac:dyDescent="0.25">
      <c r="A1854" t="str">
        <f>"20190312164258969"</f>
        <v>20190312164258969</v>
      </c>
      <c r="B1854" t="str">
        <f>"1552380178966538"</f>
        <v>1552380178966538</v>
      </c>
      <c r="C1854" t="s">
        <v>40</v>
      </c>
      <c r="D1854">
        <v>4.1685889999999999</v>
      </c>
      <c r="E1854">
        <v>0.457623</v>
      </c>
      <c r="F1854" t="s">
        <v>47</v>
      </c>
      <c r="G1854">
        <v>-425.91449999999998</v>
      </c>
      <c r="H1854" s="1">
        <v>3.056343E-6</v>
      </c>
      <c r="I1854">
        <v>283.005</v>
      </c>
      <c r="J1854">
        <v>-409.77789999999999</v>
      </c>
      <c r="K1854">
        <v>1.1097790000000001</v>
      </c>
      <c r="L1854">
        <v>284.69130000000001</v>
      </c>
      <c r="M1854">
        <v>-0.9998804</v>
      </c>
      <c r="N1854">
        <v>0</v>
      </c>
      <c r="O1854">
        <v>-1.371735E-3</v>
      </c>
      <c r="P1854">
        <v>-0.98766379999999998</v>
      </c>
      <c r="Q1854">
        <v>0.15480639999999901</v>
      </c>
      <c r="R1854">
        <v>2.3568189999999999E-2</v>
      </c>
      <c r="S1854">
        <v>-3.0768740000000001</v>
      </c>
      <c r="T1854">
        <v>-0.2060516</v>
      </c>
      <c r="U1854">
        <v>-0.31317139999999999</v>
      </c>
      <c r="V1854">
        <v>2.508732E-2</v>
      </c>
      <c r="W1854">
        <v>0.16998350000000001</v>
      </c>
      <c r="X1854">
        <v>0.98512750000000004</v>
      </c>
      <c r="Y1854">
        <v>-9.9676299999999995E-2</v>
      </c>
      <c r="Z1854">
        <v>-3.2337249999999998E-3</v>
      </c>
      <c r="AA1854">
        <v>0.99501470000000003</v>
      </c>
      <c r="AB1854">
        <v>44</v>
      </c>
      <c r="AC1854">
        <v>-16.136599999999898</v>
      </c>
      <c r="AD1854">
        <v>-1.1097759436570001</v>
      </c>
      <c r="AE1854">
        <v>-1.6863000000000099</v>
      </c>
      <c r="AF1854">
        <v>-1.65641072150653</v>
      </c>
      <c r="AG1854">
        <v>-1.1097759436570001</v>
      </c>
      <c r="AH1854">
        <v>16.0637400793103</v>
      </c>
      <c r="AI1854">
        <v>93.931265056772304</v>
      </c>
      <c r="AJ1854">
        <v>95.887240872749402</v>
      </c>
      <c r="AK1854">
        <v>16.187002330854298</v>
      </c>
      <c r="AL1854">
        <v>80.213140064807703</v>
      </c>
      <c r="AM1854">
        <v>88.541217305450203</v>
      </c>
      <c r="AN1854">
        <v>0.99999997757664105</v>
      </c>
    </row>
    <row r="1855" spans="1:40" x14ac:dyDescent="0.25">
      <c r="A1855" t="str">
        <f>"20190312164258992"</f>
        <v>20190312164258992</v>
      </c>
      <c r="B1855" t="str">
        <f>"1552380178986058"</f>
        <v>1552380178986058</v>
      </c>
      <c r="C1855" t="s">
        <v>40</v>
      </c>
      <c r="D1855">
        <v>4.1798650000000004</v>
      </c>
      <c r="E1855">
        <v>0.45755560000000001</v>
      </c>
      <c r="F1855" t="s">
        <v>47</v>
      </c>
      <c r="G1855">
        <v>-426.3408</v>
      </c>
      <c r="H1855" s="1">
        <v>2.9808809999999998E-6</v>
      </c>
      <c r="I1855">
        <v>283.00319999999999</v>
      </c>
      <c r="J1855">
        <v>-410.23899999999998</v>
      </c>
      <c r="K1855">
        <v>1.109761</v>
      </c>
      <c r="L1855">
        <v>284.69099999999997</v>
      </c>
      <c r="M1855">
        <v>-0.99988089999999996</v>
      </c>
      <c r="N1855">
        <v>0</v>
      </c>
      <c r="O1855">
        <v>-9.5469640000000002E-4</v>
      </c>
      <c r="P1855">
        <v>-0.98754569999999997</v>
      </c>
      <c r="Q1855">
        <v>0.15546789999999999</v>
      </c>
      <c r="R1855">
        <v>2.4156070000000002E-2</v>
      </c>
      <c r="S1855">
        <v>-3.0772400000000002</v>
      </c>
      <c r="T1855">
        <v>-0.20618719999999999</v>
      </c>
      <c r="U1855">
        <v>-0.3136292</v>
      </c>
      <c r="V1855">
        <v>2.5274209999999998E-2</v>
      </c>
      <c r="W1855">
        <v>0.17064409999999999</v>
      </c>
      <c r="X1855">
        <v>0.98500849999999995</v>
      </c>
      <c r="Y1855">
        <v>-0.10022349999999999</v>
      </c>
      <c r="Z1855">
        <v>-3.2815510000000002E-3</v>
      </c>
      <c r="AA1855">
        <v>0.9949595</v>
      </c>
      <c r="AB1855">
        <v>44</v>
      </c>
      <c r="AC1855">
        <v>-16.101799999999901</v>
      </c>
      <c r="AD1855">
        <v>-1.109758019119</v>
      </c>
      <c r="AE1855">
        <v>-1.68779999999998</v>
      </c>
      <c r="AF1855">
        <v>-1.6646038847990301</v>
      </c>
      <c r="AG1855">
        <v>-1.109758019119</v>
      </c>
      <c r="AH1855">
        <v>16.028095699495601</v>
      </c>
      <c r="AI1855">
        <v>93.939618970102302</v>
      </c>
      <c r="AJ1855">
        <v>95.929218225850505</v>
      </c>
      <c r="AK1855">
        <v>16.152471040261201</v>
      </c>
      <c r="AL1855">
        <v>80.174729207968497</v>
      </c>
      <c r="AM1855">
        <v>88.530177263657805</v>
      </c>
      <c r="AN1855">
        <v>0.99999996981409101</v>
      </c>
    </row>
    <row r="1856" spans="1:40" x14ac:dyDescent="0.25">
      <c r="A1856" t="str">
        <f>"20190312164259014"</f>
        <v>20190312164259014</v>
      </c>
      <c r="B1856" t="str">
        <f>"1552380179006558"</f>
        <v>1552380179006558</v>
      </c>
      <c r="C1856" t="s">
        <v>40</v>
      </c>
      <c r="D1856">
        <v>4.2191559999999999</v>
      </c>
      <c r="E1856">
        <v>0.45745029999999998</v>
      </c>
      <c r="F1856" t="s">
        <v>47</v>
      </c>
      <c r="G1856">
        <v>-426.93299999999999</v>
      </c>
      <c r="H1856" s="1">
        <v>2.8763080000000001E-6</v>
      </c>
      <c r="I1856">
        <v>282.99770000000001</v>
      </c>
      <c r="J1856">
        <v>-410.6515</v>
      </c>
      <c r="K1856">
        <v>1.109739</v>
      </c>
      <c r="L1856">
        <v>284.6909</v>
      </c>
      <c r="M1856">
        <v>-0.99988109999999997</v>
      </c>
      <c r="N1856">
        <v>0</v>
      </c>
      <c r="O1856">
        <v>-5.6095020000000002E-4</v>
      </c>
      <c r="P1856">
        <v>-0.98747410000000002</v>
      </c>
      <c r="Q1856">
        <v>0.15593860000000001</v>
      </c>
      <c r="R1856">
        <v>2.405061E-2</v>
      </c>
      <c r="S1856">
        <v>-3.0776979999999998</v>
      </c>
      <c r="T1856">
        <v>-0.20459540000000001</v>
      </c>
      <c r="U1856">
        <v>-0.31216430000000001</v>
      </c>
      <c r="V1856">
        <v>2.478955E-2</v>
      </c>
      <c r="W1856">
        <v>0.1711135</v>
      </c>
      <c r="X1856">
        <v>0.98493940000000002</v>
      </c>
      <c r="Y1856">
        <v>-0.1001344</v>
      </c>
      <c r="Z1856">
        <v>-3.2790010000000001E-3</v>
      </c>
      <c r="AA1856">
        <v>0.99496850000000003</v>
      </c>
      <c r="AB1856">
        <v>44</v>
      </c>
      <c r="AC1856">
        <v>-16.281500000000001</v>
      </c>
      <c r="AD1856">
        <v>-1.109736123692</v>
      </c>
      <c r="AE1856">
        <v>-1.69319999999999</v>
      </c>
      <c r="AF1856">
        <v>-1.67636100243165</v>
      </c>
      <c r="AG1856">
        <v>-1.109736123692</v>
      </c>
      <c r="AH1856">
        <v>16.2079557738769</v>
      </c>
      <c r="AI1856">
        <v>93.896129781337294</v>
      </c>
      <c r="AJ1856">
        <v>95.905007614107902</v>
      </c>
      <c r="AK1856">
        <v>16.332162466821401</v>
      </c>
      <c r="AL1856">
        <v>80.147433266049902</v>
      </c>
      <c r="AM1856">
        <v>88.558249576773804</v>
      </c>
      <c r="AN1856">
        <v>0.99999998667190604</v>
      </c>
    </row>
    <row r="1857" spans="1:40" x14ac:dyDescent="0.25">
      <c r="A1857" t="str">
        <f>"20190312164259035"</f>
        <v>20190312164259035</v>
      </c>
      <c r="B1857" t="str">
        <f>"1552380179026075"</f>
        <v>1552380179026075</v>
      </c>
      <c r="C1857" t="s">
        <v>40</v>
      </c>
      <c r="D1857">
        <v>4.2159000000000004</v>
      </c>
      <c r="E1857">
        <v>0.45743220000000001</v>
      </c>
      <c r="F1857" t="s">
        <v>47</v>
      </c>
      <c r="G1857">
        <v>-427.3578</v>
      </c>
      <c r="H1857" s="1">
        <v>2.8015109999999999E-6</v>
      </c>
      <c r="I1857">
        <v>282.9914</v>
      </c>
      <c r="J1857">
        <v>-411.07990000000001</v>
      </c>
      <c r="K1857">
        <v>1.109715</v>
      </c>
      <c r="L1857">
        <v>284.69099999999997</v>
      </c>
      <c r="M1857">
        <v>-0.99988120000000003</v>
      </c>
      <c r="N1857">
        <v>0</v>
      </c>
      <c r="O1857">
        <v>-1.298676E-4</v>
      </c>
      <c r="P1857">
        <v>-0.98743219999999998</v>
      </c>
      <c r="Q1857">
        <v>0.15619420000000001</v>
      </c>
      <c r="R1857">
        <v>2.41005E-2</v>
      </c>
      <c r="S1857">
        <v>-3.0779719999999999</v>
      </c>
      <c r="T1857">
        <v>-0.20445840000000001</v>
      </c>
      <c r="U1857">
        <v>-0.31311040000000001</v>
      </c>
      <c r="V1857">
        <v>2.4423540000000001E-2</v>
      </c>
      <c r="W1857">
        <v>0.1713681</v>
      </c>
      <c r="X1857">
        <v>0.98490429999999995</v>
      </c>
      <c r="Y1857">
        <v>-0.100855</v>
      </c>
      <c r="Z1857">
        <v>-3.328845E-3</v>
      </c>
      <c r="AA1857">
        <v>0.99489559999999999</v>
      </c>
      <c r="AB1857">
        <v>44</v>
      </c>
      <c r="AC1857">
        <v>-16.277899999999899</v>
      </c>
      <c r="AD1857">
        <v>-1.1097121984889999</v>
      </c>
      <c r="AE1857">
        <v>-1.69959999999997</v>
      </c>
      <c r="AF1857">
        <v>-1.68971740719509</v>
      </c>
      <c r="AG1857">
        <v>-1.1097121984889999</v>
      </c>
      <c r="AH1857">
        <v>16.203625596534501</v>
      </c>
      <c r="AI1857">
        <v>93.896743941189797</v>
      </c>
      <c r="AJ1857">
        <v>95.953298445832203</v>
      </c>
      <c r="AK1857">
        <v>16.3292402931772</v>
      </c>
      <c r="AL1857">
        <v>80.1326272693193</v>
      </c>
      <c r="AM1857">
        <v>88.579477184808397</v>
      </c>
      <c r="AN1857">
        <v>1.00000000758111</v>
      </c>
    </row>
    <row r="1858" spans="1:40" x14ac:dyDescent="0.25">
      <c r="A1858" t="str">
        <f>"20190312164259058"</f>
        <v>20190312164259058</v>
      </c>
      <c r="B1858" t="str">
        <f>"1552380179056330"</f>
        <v>1552380179056330</v>
      </c>
      <c r="C1858" t="s">
        <v>40</v>
      </c>
      <c r="D1858">
        <v>4.4364089999999896</v>
      </c>
      <c r="E1858">
        <v>0.4573644</v>
      </c>
      <c r="F1858" t="s">
        <v>47</v>
      </c>
      <c r="G1858">
        <v>-427.90350000000001</v>
      </c>
      <c r="H1858" s="1">
        <v>2.7055900000000001E-6</v>
      </c>
      <c r="I1858">
        <v>282.9812</v>
      </c>
      <c r="J1858">
        <v>-411.50920000000002</v>
      </c>
      <c r="K1858">
        <v>1.109694</v>
      </c>
      <c r="L1858">
        <v>284.69130000000001</v>
      </c>
      <c r="M1858">
        <v>-0.99988120000000003</v>
      </c>
      <c r="N1858">
        <v>0</v>
      </c>
      <c r="O1858">
        <v>3.2639380000000002E-4</v>
      </c>
      <c r="P1858">
        <v>-0.98746800000000001</v>
      </c>
      <c r="Q1858">
        <v>0.15597739999999999</v>
      </c>
      <c r="R1858">
        <v>2.4046020000000001E-2</v>
      </c>
      <c r="S1858">
        <v>-3.0779109999999998</v>
      </c>
      <c r="T1858">
        <v>-0.20302339999999999</v>
      </c>
      <c r="U1858">
        <v>-0.31280520000000001</v>
      </c>
      <c r="V1858">
        <v>2.3928709999999999E-2</v>
      </c>
      <c r="W1858">
        <v>0.1711511</v>
      </c>
      <c r="X1858">
        <v>0.9849542</v>
      </c>
      <c r="Y1858">
        <v>-0.1012146</v>
      </c>
      <c r="Z1858">
        <v>-3.3474210000000002E-3</v>
      </c>
      <c r="AA1858">
        <v>0.99485900000000005</v>
      </c>
      <c r="AB1858">
        <v>44</v>
      </c>
      <c r="AC1858">
        <v>-16.394299999999902</v>
      </c>
      <c r="AD1858">
        <v>-1.1096912944099999</v>
      </c>
      <c r="AE1858">
        <v>-1.7101000000000099</v>
      </c>
      <c r="AF1858">
        <v>-1.7077116798263201</v>
      </c>
      <c r="AG1858">
        <v>-1.1096912944099999</v>
      </c>
      <c r="AH1858">
        <v>16.319774771559999</v>
      </c>
      <c r="AI1858">
        <v>93.868878707294101</v>
      </c>
      <c r="AJ1858">
        <v>95.9737269164862</v>
      </c>
      <c r="AK1858">
        <v>16.4463595529452</v>
      </c>
      <c r="AL1858">
        <v>80.145247111188894</v>
      </c>
      <c r="AM1858">
        <v>88.608316550183503</v>
      </c>
      <c r="AN1858">
        <v>1.00000002914555</v>
      </c>
    </row>
    <row r="1859" spans="1:40" x14ac:dyDescent="0.25">
      <c r="A1859" t="str">
        <f>"20190312164259081"</f>
        <v>20190312164259081</v>
      </c>
      <c r="B1859" t="str">
        <f>"1552380179075850"</f>
        <v>1552380179075850</v>
      </c>
      <c r="C1859" t="s">
        <v>40</v>
      </c>
      <c r="D1859">
        <v>4.504505</v>
      </c>
      <c r="E1859">
        <v>0.4575301</v>
      </c>
      <c r="F1859" t="s">
        <v>47</v>
      </c>
      <c r="G1859">
        <v>-428.31830000000002</v>
      </c>
      <c r="H1859" s="1">
        <v>2.6322130000000001E-6</v>
      </c>
      <c r="I1859">
        <v>282.97890000000001</v>
      </c>
      <c r="J1859">
        <v>-411.95940000000002</v>
      </c>
      <c r="K1859">
        <v>1.109669</v>
      </c>
      <c r="L1859">
        <v>284.69189999999998</v>
      </c>
      <c r="M1859">
        <v>-0.99988089999999996</v>
      </c>
      <c r="N1859">
        <v>0</v>
      </c>
      <c r="O1859">
        <v>8.3416619999999997E-4</v>
      </c>
      <c r="P1859">
        <v>-0.98753849999999999</v>
      </c>
      <c r="Q1859">
        <v>0.15553819999999999</v>
      </c>
      <c r="R1859">
        <v>2.399422E-2</v>
      </c>
      <c r="S1859">
        <v>-3.077728</v>
      </c>
      <c r="T1859">
        <v>-0.20318330000000001</v>
      </c>
      <c r="U1859">
        <v>-0.31353760000000003</v>
      </c>
      <c r="V1859">
        <v>2.3386850000000001E-2</v>
      </c>
      <c r="W1859">
        <v>0.17071129999999901</v>
      </c>
      <c r="X1859">
        <v>0.98504349999999996</v>
      </c>
      <c r="Y1859">
        <v>-0.10195700000000001</v>
      </c>
      <c r="Z1859">
        <v>-3.4080289999999999E-3</v>
      </c>
      <c r="AA1859">
        <v>0.99478299999999997</v>
      </c>
      <c r="AB1859">
        <v>44</v>
      </c>
      <c r="AC1859">
        <v>-16.358899999999998</v>
      </c>
      <c r="AD1859">
        <v>-1.109666367787</v>
      </c>
      <c r="AE1859">
        <v>-1.7129999999999601</v>
      </c>
      <c r="AF1859">
        <v>-1.7188240902276</v>
      </c>
      <c r="AG1859">
        <v>-1.109666367787</v>
      </c>
      <c r="AH1859">
        <v>16.2833539132723</v>
      </c>
      <c r="AI1859">
        <v>93.877050742353504</v>
      </c>
      <c r="AJ1859">
        <v>96.025664168945795</v>
      </c>
      <c r="AK1859">
        <v>16.411378076378099</v>
      </c>
      <c r="AL1859">
        <v>80.170821842703404</v>
      </c>
      <c r="AM1859">
        <v>88.639942180018707</v>
      </c>
      <c r="AN1859">
        <v>0.99999999479643098</v>
      </c>
    </row>
    <row r="1860" spans="1:40" x14ac:dyDescent="0.25">
      <c r="A1860" t="str">
        <f>"20190312164259103"</f>
        <v>20190312164259103</v>
      </c>
      <c r="B1860" t="str">
        <f>"1552380179095957"</f>
        <v>1552380179095957</v>
      </c>
      <c r="C1860" t="s">
        <v>40</v>
      </c>
      <c r="D1860">
        <v>4.5497290000000001</v>
      </c>
      <c r="E1860">
        <v>0.45777069999999997</v>
      </c>
      <c r="F1860" t="s">
        <v>47</v>
      </c>
      <c r="G1860">
        <v>-428.60509999999999</v>
      </c>
      <c r="H1860" s="1">
        <v>2.5789450000000002E-6</v>
      </c>
      <c r="I1860">
        <v>283.00639999999999</v>
      </c>
      <c r="J1860">
        <v>-412.38619999999997</v>
      </c>
      <c r="K1860">
        <v>1.1096349999999999</v>
      </c>
      <c r="L1860">
        <v>284.6927</v>
      </c>
      <c r="M1860">
        <v>-0.9998804</v>
      </c>
      <c r="N1860">
        <v>0</v>
      </c>
      <c r="O1860">
        <v>1.350097E-3</v>
      </c>
      <c r="P1860">
        <v>-0.98763380000000001</v>
      </c>
      <c r="Q1860">
        <v>0.15495220000000001</v>
      </c>
      <c r="R1860">
        <v>2.386313E-2</v>
      </c>
      <c r="S1860">
        <v>-3.0776979999999998</v>
      </c>
      <c r="T1860">
        <v>-0.2051713</v>
      </c>
      <c r="U1860">
        <v>-0.31164550000000002</v>
      </c>
      <c r="V1860">
        <v>2.2758549999999999E-2</v>
      </c>
      <c r="W1860">
        <v>0.17012449999999901</v>
      </c>
      <c r="X1860">
        <v>0.98515980000000003</v>
      </c>
      <c r="Y1860">
        <v>-0.1018606</v>
      </c>
      <c r="Z1860">
        <v>-3.4725160000000001E-3</v>
      </c>
      <c r="AA1860">
        <v>0.99479260000000003</v>
      </c>
      <c r="AB1860">
        <v>43</v>
      </c>
      <c r="AC1860">
        <v>-16.218900000000001</v>
      </c>
      <c r="AD1860">
        <v>-1.1096324210549999</v>
      </c>
      <c r="AE1860">
        <v>-1.6863000000000099</v>
      </c>
      <c r="AF1860">
        <v>-1.7003244705229199</v>
      </c>
      <c r="AG1860">
        <v>-1.1096324210549999</v>
      </c>
      <c r="AH1860">
        <v>16.141860285174602</v>
      </c>
      <c r="AI1860">
        <v>93.910901038409406</v>
      </c>
      <c r="AJ1860">
        <v>96.013152956076496</v>
      </c>
      <c r="AK1860">
        <v>16.2690516281992</v>
      </c>
      <c r="AL1860">
        <v>80.204942810105706</v>
      </c>
      <c r="AM1860">
        <v>88.676623860972398</v>
      </c>
      <c r="AN1860">
        <v>1.00000006431719</v>
      </c>
    </row>
    <row r="1861" spans="1:40" x14ac:dyDescent="0.25">
      <c r="A1861" t="str">
        <f>"20190312164259126"</f>
        <v>20190312164259126</v>
      </c>
      <c r="B1861" t="str">
        <f>"1552380179116453"</f>
        <v>1552380179116453</v>
      </c>
      <c r="C1861" t="s">
        <v>40</v>
      </c>
      <c r="D1861">
        <v>4.4595079999999996</v>
      </c>
      <c r="E1861">
        <v>0.45800879999999999</v>
      </c>
      <c r="F1861" t="s">
        <v>47</v>
      </c>
      <c r="G1861">
        <v>-428.8381</v>
      </c>
      <c r="H1861" s="1">
        <v>2.5350720000000002E-6</v>
      </c>
      <c r="I1861">
        <v>283.03539999999998</v>
      </c>
      <c r="J1861">
        <v>-412.82319999999999</v>
      </c>
      <c r="K1861">
        <v>1.109602</v>
      </c>
      <c r="L1861">
        <v>284.69380000000001</v>
      </c>
      <c r="M1861">
        <v>-0.99987939999999997</v>
      </c>
      <c r="N1861">
        <v>0</v>
      </c>
      <c r="O1861">
        <v>1.9075439999999999E-3</v>
      </c>
      <c r="P1861">
        <v>-0.98769680000000004</v>
      </c>
      <c r="Q1861">
        <v>0.15455079999999999</v>
      </c>
      <c r="R1861">
        <v>2.3852109999999999E-2</v>
      </c>
      <c r="S1861">
        <v>-3.0776059999999998</v>
      </c>
      <c r="T1861">
        <v>-0.2075748</v>
      </c>
      <c r="U1861">
        <v>-0.31002809999999997</v>
      </c>
      <c r="V1861">
        <v>2.2210110000000002E-2</v>
      </c>
      <c r="W1861">
        <v>0.16972079999999901</v>
      </c>
      <c r="X1861">
        <v>0.9852419</v>
      </c>
      <c r="Y1861">
        <v>-0.101894</v>
      </c>
      <c r="Z1861">
        <v>-3.551888E-3</v>
      </c>
      <c r="AA1861">
        <v>0.99478889999999998</v>
      </c>
      <c r="AB1861">
        <v>43</v>
      </c>
      <c r="AC1861">
        <v>-16.014900000000001</v>
      </c>
      <c r="AD1861">
        <v>-1.1095994649280001</v>
      </c>
      <c r="AE1861">
        <v>-1.6584000000000201</v>
      </c>
      <c r="AF1861">
        <v>-1.6809659195233599</v>
      </c>
      <c r="AG1861">
        <v>-1.1095994649280001</v>
      </c>
      <c r="AH1861">
        <v>15.936018223725</v>
      </c>
      <c r="AI1861">
        <v>93.961080182320998</v>
      </c>
      <c r="AJ1861">
        <v>96.021417110178007</v>
      </c>
      <c r="AK1861">
        <v>16.062799700614502</v>
      </c>
      <c r="AL1861">
        <v>80.228414018537805</v>
      </c>
      <c r="AM1861">
        <v>88.708611487768593</v>
      </c>
      <c r="AN1861">
        <v>1.0000000202272299</v>
      </c>
    </row>
    <row r="1862" spans="1:40" x14ac:dyDescent="0.25">
      <c r="A1862" t="str">
        <f>"20190312164259148"</f>
        <v>20190312164259148</v>
      </c>
      <c r="B1862" t="str">
        <f>"1552380179135973"</f>
        <v>1552380179135973</v>
      </c>
      <c r="C1862" t="s">
        <v>40</v>
      </c>
      <c r="D1862">
        <v>4.4412209999999996</v>
      </c>
      <c r="E1862">
        <v>0.45823760000000002</v>
      </c>
      <c r="F1862" t="s">
        <v>47</v>
      </c>
      <c r="G1862">
        <v>-429.13220000000001</v>
      </c>
      <c r="H1862" s="1">
        <v>2.4806629999999999E-6</v>
      </c>
      <c r="I1862">
        <v>283.06099999999998</v>
      </c>
      <c r="J1862">
        <v>-413.24979999999999</v>
      </c>
      <c r="K1862">
        <v>1.1095710000000001</v>
      </c>
      <c r="L1862">
        <v>284.69499999999999</v>
      </c>
      <c r="M1862">
        <v>-0.99987820000000005</v>
      </c>
      <c r="N1862">
        <v>0</v>
      </c>
      <c r="O1862">
        <v>2.4840600000000002E-3</v>
      </c>
      <c r="P1862">
        <v>-0.98771819999999999</v>
      </c>
      <c r="Q1862">
        <v>0.1544412</v>
      </c>
      <c r="R1862">
        <v>2.368468E-2</v>
      </c>
      <c r="S1862">
        <v>-3.0775760000000001</v>
      </c>
      <c r="T1862">
        <v>-0.20938519999999999</v>
      </c>
      <c r="U1862">
        <v>-0.30810549999999998</v>
      </c>
      <c r="V1862">
        <v>2.148713E-2</v>
      </c>
      <c r="W1862">
        <v>0.16960899999999901</v>
      </c>
      <c r="X1862">
        <v>0.98527719999999996</v>
      </c>
      <c r="Y1862">
        <v>-0.10184799999999999</v>
      </c>
      <c r="Z1862">
        <v>-3.6204689999999999E-3</v>
      </c>
      <c r="AA1862">
        <v>0.99479340000000005</v>
      </c>
      <c r="AB1862">
        <v>43</v>
      </c>
      <c r="AC1862">
        <v>-15.882400000000001</v>
      </c>
      <c r="AD1862">
        <v>-1.109568519337</v>
      </c>
      <c r="AE1862">
        <v>-1.6340000000000101</v>
      </c>
      <c r="AF1862">
        <v>-1.66540935991023</v>
      </c>
      <c r="AG1862">
        <v>-1.109568519337</v>
      </c>
      <c r="AH1862">
        <v>15.801975702644199</v>
      </c>
      <c r="AI1862">
        <v>93.994498491911401</v>
      </c>
      <c r="AJ1862">
        <v>96.016334095229695</v>
      </c>
      <c r="AK1862">
        <v>15.928187804710801</v>
      </c>
      <c r="AL1862">
        <v>80.234914071419297</v>
      </c>
      <c r="AM1862">
        <v>88.750679762486399</v>
      </c>
      <c r="AN1862">
        <v>1.0000000352382299</v>
      </c>
    </row>
    <row r="1863" spans="1:40" x14ac:dyDescent="0.25">
      <c r="A1863" t="str">
        <f>"20190312164259172"</f>
        <v>20190312164259172</v>
      </c>
      <c r="B1863" t="str">
        <f>"1552380179166230"</f>
        <v>1552380179166230</v>
      </c>
      <c r="C1863" t="s">
        <v>40</v>
      </c>
      <c r="D1863">
        <v>4.366161</v>
      </c>
      <c r="E1863">
        <v>0.45840130000000001</v>
      </c>
      <c r="F1863" t="s">
        <v>47</v>
      </c>
      <c r="G1863">
        <v>-429.4708</v>
      </c>
      <c r="H1863" s="1">
        <v>2.419244E-6</v>
      </c>
      <c r="I1863">
        <v>283.07659999999998</v>
      </c>
      <c r="J1863">
        <v>-413.69740000000002</v>
      </c>
      <c r="K1863">
        <v>1.109532</v>
      </c>
      <c r="L1863">
        <v>284.69670000000002</v>
      </c>
      <c r="M1863">
        <v>-0.9998764</v>
      </c>
      <c r="N1863">
        <v>0</v>
      </c>
      <c r="O1863">
        <v>3.1285829999999999E-3</v>
      </c>
      <c r="P1863">
        <v>-0.98783410000000005</v>
      </c>
      <c r="Q1863">
        <v>0.1537568</v>
      </c>
      <c r="R1863">
        <v>2.3295150000000001E-2</v>
      </c>
      <c r="S1863">
        <v>-3.0775760000000001</v>
      </c>
      <c r="T1863">
        <v>-0.21051510000000001</v>
      </c>
      <c r="U1863">
        <v>-0.3070679</v>
      </c>
      <c r="V1863">
        <v>2.0474909999999999E-2</v>
      </c>
      <c r="W1863">
        <v>0.16892380000000001</v>
      </c>
      <c r="X1863">
        <v>0.98541639999999997</v>
      </c>
      <c r="Y1863">
        <v>-0.1021523</v>
      </c>
      <c r="Z1863">
        <v>-3.6943290000000001E-3</v>
      </c>
      <c r="AA1863">
        <v>0.99476189999999998</v>
      </c>
      <c r="AB1863">
        <v>43</v>
      </c>
      <c r="AC1863">
        <v>-15.773399999999899</v>
      </c>
      <c r="AD1863">
        <v>-1.1095295807559999</v>
      </c>
      <c r="AE1863">
        <v>-1.6201000000000301</v>
      </c>
      <c r="AF1863">
        <v>-1.6613120086634801</v>
      </c>
      <c r="AG1863">
        <v>-1.1095295807559999</v>
      </c>
      <c r="AH1863">
        <v>15.691423382982199</v>
      </c>
      <c r="AI1863">
        <v>94.022206931283705</v>
      </c>
      <c r="AJ1863">
        <v>96.043612558305796</v>
      </c>
      <c r="AK1863">
        <v>15.8180839947417</v>
      </c>
      <c r="AL1863">
        <v>80.274747354006706</v>
      </c>
      <c r="AM1863">
        <v>88.8096837528728</v>
      </c>
      <c r="AN1863">
        <v>0.999999976767453</v>
      </c>
    </row>
    <row r="1864" spans="1:40" x14ac:dyDescent="0.25">
      <c r="A1864" t="str">
        <f>"20190312164259193"</f>
        <v>20190312164259193</v>
      </c>
      <c r="B1864" t="str">
        <f>"1552380179186295"</f>
        <v>1552380179186295</v>
      </c>
      <c r="C1864" t="s">
        <v>40</v>
      </c>
      <c r="D1864">
        <v>4.3678980000000003</v>
      </c>
      <c r="E1864">
        <v>0.45857910000000002</v>
      </c>
      <c r="F1864" t="s">
        <v>47</v>
      </c>
      <c r="G1864">
        <v>-429.60300000000001</v>
      </c>
      <c r="H1864" s="1">
        <v>2.392884E-6</v>
      </c>
      <c r="I1864">
        <v>283.10989999999998</v>
      </c>
      <c r="J1864">
        <v>-414.12099999999998</v>
      </c>
      <c r="K1864">
        <v>1.1094949999999999</v>
      </c>
      <c r="L1864">
        <v>284.6986</v>
      </c>
      <c r="M1864">
        <v>-0.99987420000000005</v>
      </c>
      <c r="N1864">
        <v>0</v>
      </c>
      <c r="O1864">
        <v>3.7803329999999999E-3</v>
      </c>
      <c r="P1864">
        <v>-0.9878806</v>
      </c>
      <c r="Q1864">
        <v>0.15342329999999901</v>
      </c>
      <c r="R1864">
        <v>2.3521319999999998E-2</v>
      </c>
      <c r="S1864">
        <v>-3.0776370000000002</v>
      </c>
      <c r="T1864">
        <v>-0.21468660000000001</v>
      </c>
      <c r="U1864">
        <v>-0.30703740000000002</v>
      </c>
      <c r="V1864">
        <v>2.007227E-2</v>
      </c>
      <c r="W1864">
        <v>0.16858719999999999</v>
      </c>
      <c r="X1864">
        <v>0.98548230000000003</v>
      </c>
      <c r="Y1864">
        <v>-0.1027762</v>
      </c>
      <c r="Z1864">
        <v>-3.8342739999999999E-3</v>
      </c>
      <c r="AA1864">
        <v>0.9946971</v>
      </c>
      <c r="AB1864">
        <v>43</v>
      </c>
      <c r="AC1864">
        <v>-15.481999999999999</v>
      </c>
      <c r="AD1864">
        <v>-1.1094926071160001</v>
      </c>
      <c r="AE1864">
        <v>-1.58870000000001</v>
      </c>
      <c r="AF1864">
        <v>-1.63889364118595</v>
      </c>
      <c r="AG1864">
        <v>-1.1094926071160001</v>
      </c>
      <c r="AH1864">
        <v>15.3976301149082</v>
      </c>
      <c r="AI1864">
        <v>94.098315209378001</v>
      </c>
      <c r="AJ1864">
        <v>96.075576125393297</v>
      </c>
      <c r="AK1864">
        <v>15.524302218389399</v>
      </c>
      <c r="AL1864">
        <v>80.294313491640594</v>
      </c>
      <c r="AM1864">
        <v>88.833162847626895</v>
      </c>
      <c r="AN1864">
        <v>0.99999995182003998</v>
      </c>
    </row>
    <row r="1865" spans="1:40" x14ac:dyDescent="0.25">
      <c r="A1865" t="str">
        <f>"20190312164259214"</f>
        <v>20190312164259214</v>
      </c>
      <c r="B1865" t="str">
        <f>"1552380179205815"</f>
        <v>1552380179205815</v>
      </c>
      <c r="C1865" t="s">
        <v>40</v>
      </c>
      <c r="D1865">
        <v>4.54657</v>
      </c>
      <c r="E1865">
        <v>0.45872859999999999</v>
      </c>
      <c r="F1865" t="s">
        <v>47</v>
      </c>
      <c r="G1865">
        <v>-429.90629999999999</v>
      </c>
      <c r="H1865" s="1">
        <v>2.336762E-6</v>
      </c>
      <c r="I1865">
        <v>283.13639999999998</v>
      </c>
      <c r="J1865">
        <v>-414.52760000000001</v>
      </c>
      <c r="K1865">
        <v>1.1094599999999999</v>
      </c>
      <c r="L1865">
        <v>284.70069999999998</v>
      </c>
      <c r="M1865">
        <v>-0.99987159999999997</v>
      </c>
      <c r="N1865">
        <v>0</v>
      </c>
      <c r="O1865">
        <v>4.4448509999999997E-3</v>
      </c>
      <c r="P1865">
        <v>-0.98790750000000005</v>
      </c>
      <c r="Q1865">
        <v>0.15320510000000001</v>
      </c>
      <c r="R1865">
        <v>2.38155E-2</v>
      </c>
      <c r="S1865">
        <v>-3.0776370000000002</v>
      </c>
      <c r="T1865">
        <v>-0.2163166</v>
      </c>
      <c r="U1865">
        <v>-0.30456539999999999</v>
      </c>
      <c r="V1865">
        <v>1.9725590000000001E-2</v>
      </c>
      <c r="W1865">
        <v>0.16836590000000001</v>
      </c>
      <c r="X1865">
        <v>0.98552720000000005</v>
      </c>
      <c r="Y1865">
        <v>-0.10264089999999999</v>
      </c>
      <c r="Z1865">
        <v>-3.9052739999999998E-3</v>
      </c>
      <c r="AA1865">
        <v>0.99471080000000001</v>
      </c>
      <c r="AB1865">
        <v>43</v>
      </c>
      <c r="AC1865">
        <v>-15.378699999999901</v>
      </c>
      <c r="AD1865">
        <v>-1.109457663238</v>
      </c>
      <c r="AE1865">
        <v>-1.5643</v>
      </c>
      <c r="AF1865">
        <v>-1.6242816114384999</v>
      </c>
      <c r="AG1865">
        <v>-1.109457663238</v>
      </c>
      <c r="AH1865">
        <v>15.2928171678314</v>
      </c>
      <c r="AI1865">
        <v>94.126275477467601</v>
      </c>
      <c r="AJ1865">
        <v>96.06277288954</v>
      </c>
      <c r="AK1865">
        <v>15.4188016391837</v>
      </c>
      <c r="AL1865">
        <v>80.307177575691995</v>
      </c>
      <c r="AM1865">
        <v>88.853362779723199</v>
      </c>
      <c r="AN1865">
        <v>1.0000000185617399</v>
      </c>
    </row>
    <row r="1866" spans="1:40" x14ac:dyDescent="0.25">
      <c r="A1866" t="str">
        <f>"20190312164259237"</f>
        <v>20190312164259237</v>
      </c>
      <c r="B1866" t="str">
        <f>"1552380179226312"</f>
        <v>1552380179226312</v>
      </c>
      <c r="C1866" t="s">
        <v>40</v>
      </c>
      <c r="D1866">
        <v>4.5198150000000004</v>
      </c>
      <c r="E1866">
        <v>0.4588872</v>
      </c>
      <c r="F1866" t="s">
        <v>47</v>
      </c>
      <c r="G1866">
        <v>-430.2561</v>
      </c>
      <c r="H1866" s="1">
        <v>2.4583019999999999E-6</v>
      </c>
      <c r="I1866">
        <v>283.1551</v>
      </c>
      <c r="J1866">
        <v>-414.96460000000002</v>
      </c>
      <c r="K1866">
        <v>1.109429</v>
      </c>
      <c r="L1866">
        <v>284.70319999999998</v>
      </c>
      <c r="M1866">
        <v>-0.99986810000000004</v>
      </c>
      <c r="N1866">
        <v>0</v>
      </c>
      <c r="O1866">
        <v>5.1977500000000001E-3</v>
      </c>
      <c r="P1866">
        <v>-0.9878226</v>
      </c>
      <c r="Q1866">
        <v>0.15364369999999999</v>
      </c>
      <c r="R1866">
        <v>2.4506279999999998E-2</v>
      </c>
      <c r="S1866">
        <v>-3.0776059999999998</v>
      </c>
      <c r="T1866">
        <v>-0.2170887</v>
      </c>
      <c r="U1866">
        <v>-0.30242920000000001</v>
      </c>
      <c r="V1866">
        <v>1.9691480000000001E-2</v>
      </c>
      <c r="W1866">
        <v>0.168797799999999</v>
      </c>
      <c r="X1866">
        <v>0.98545400000000005</v>
      </c>
      <c r="Y1866">
        <v>-0.10270319999999999</v>
      </c>
      <c r="Z1866">
        <v>-3.9744669999999998E-3</v>
      </c>
      <c r="AA1866">
        <v>0.99470409999999998</v>
      </c>
      <c r="AB1866">
        <v>43</v>
      </c>
      <c r="AC1866">
        <v>-15.2914999999999</v>
      </c>
      <c r="AD1866">
        <v>-1.109426541698</v>
      </c>
      <c r="AE1866">
        <v>-1.5480999999999701</v>
      </c>
      <c r="AF1866">
        <v>-1.6191336071286599</v>
      </c>
      <c r="AG1866">
        <v>-1.109426541698</v>
      </c>
      <c r="AH1866">
        <v>15.204027233356699</v>
      </c>
      <c r="AI1866">
        <v>94.150050019213296</v>
      </c>
      <c r="AJ1866">
        <v>96.078731037629098</v>
      </c>
      <c r="AK1866">
        <v>15.3301945519882</v>
      </c>
      <c r="AL1866">
        <v>80.282072215486593</v>
      </c>
      <c r="AM1866">
        <v>88.855260043540497</v>
      </c>
      <c r="AN1866">
        <v>1.0000000188927101</v>
      </c>
    </row>
    <row r="1867" spans="1:40" x14ac:dyDescent="0.25">
      <c r="A1867" t="str">
        <f>"20190312164259259"</f>
        <v>20190312164259259</v>
      </c>
      <c r="B1867" t="str">
        <f>"1552380179256567"</f>
        <v>1552380179256567</v>
      </c>
      <c r="C1867" t="s">
        <v>40</v>
      </c>
      <c r="D1867">
        <v>4.3842809999999997</v>
      </c>
      <c r="E1867">
        <v>0.45911600000000002</v>
      </c>
      <c r="F1867" t="s">
        <v>47</v>
      </c>
      <c r="G1867">
        <v>-430.78059999999999</v>
      </c>
      <c r="H1867" s="1">
        <v>2.690081E-6</v>
      </c>
      <c r="I1867">
        <v>283.1644</v>
      </c>
      <c r="J1867">
        <v>-415.39699999999999</v>
      </c>
      <c r="K1867">
        <v>1.109394</v>
      </c>
      <c r="L1867">
        <v>284.70609999999999</v>
      </c>
      <c r="M1867">
        <v>-0.99986379999999997</v>
      </c>
      <c r="N1867">
        <v>0</v>
      </c>
      <c r="O1867">
        <v>5.9754369999999897E-3</v>
      </c>
      <c r="P1867">
        <v>-0.98778089999999996</v>
      </c>
      <c r="Q1867">
        <v>0.15378310000000001</v>
      </c>
      <c r="R1867">
        <v>2.5296809999999999E-2</v>
      </c>
      <c r="S1867">
        <v>-3.0779719999999999</v>
      </c>
      <c r="T1867">
        <v>-0.2159065</v>
      </c>
      <c r="U1867">
        <v>-0.29946899999999999</v>
      </c>
      <c r="V1867">
        <v>1.9730230000000001E-2</v>
      </c>
      <c r="W1867">
        <v>0.1689322</v>
      </c>
      <c r="X1867">
        <v>0.98543020000000003</v>
      </c>
      <c r="Y1867">
        <v>-0.1025192</v>
      </c>
      <c r="Z1867">
        <v>-4.0005320000000002E-3</v>
      </c>
      <c r="AA1867">
        <v>0.99472300000000002</v>
      </c>
      <c r="AB1867">
        <v>43</v>
      </c>
      <c r="AC1867">
        <v>-15.383599999999999</v>
      </c>
      <c r="AD1867">
        <v>-1.109391309919</v>
      </c>
      <c r="AE1867">
        <v>-1.5416999999999901</v>
      </c>
      <c r="AF1867">
        <v>-1.62523890790919</v>
      </c>
      <c r="AG1867">
        <v>-1.109391309919</v>
      </c>
      <c r="AH1867">
        <v>15.2953577753484</v>
      </c>
      <c r="AI1867">
        <v>94.125327159099598</v>
      </c>
      <c r="AJ1867">
        <v>96.065319322827804</v>
      </c>
      <c r="AK1867">
        <v>15.4214175762871</v>
      </c>
      <c r="AL1867">
        <v>80.274259521706597</v>
      </c>
      <c r="AM1867">
        <v>88.852980266561303</v>
      </c>
      <c r="AN1867">
        <v>1.0000000246223599</v>
      </c>
    </row>
    <row r="1868" spans="1:40" x14ac:dyDescent="0.25">
      <c r="A1868" t="str">
        <f>"20190312164259283"</f>
        <v>20190312164259283</v>
      </c>
      <c r="B1868" t="str">
        <f>"1552380179276087"</f>
        <v>1552380179276087</v>
      </c>
      <c r="C1868" t="s">
        <v>40</v>
      </c>
      <c r="D1868">
        <v>4.5428160000000002</v>
      </c>
      <c r="E1868">
        <v>0.45923389999999997</v>
      </c>
      <c r="F1868" t="s">
        <v>47</v>
      </c>
      <c r="G1868">
        <v>-431.2312</v>
      </c>
      <c r="H1868" s="1">
        <v>2.8877980000000001E-6</v>
      </c>
      <c r="I1868">
        <v>283.1884</v>
      </c>
      <c r="J1868">
        <v>-415.86320000000001</v>
      </c>
      <c r="K1868">
        <v>1.109364</v>
      </c>
      <c r="L1868">
        <v>284.7097</v>
      </c>
      <c r="M1868">
        <v>-0.99985820000000003</v>
      </c>
      <c r="N1868">
        <v>0</v>
      </c>
      <c r="O1868">
        <v>6.8430549999999998E-3</v>
      </c>
      <c r="P1868">
        <v>-0.98765429999999999</v>
      </c>
      <c r="Q1868">
        <v>0.15440279999999901</v>
      </c>
      <c r="R1868">
        <v>2.6433700000000001E-2</v>
      </c>
      <c r="S1868">
        <v>-3.0782780000000001</v>
      </c>
      <c r="T1868">
        <v>-0.21567310000000001</v>
      </c>
      <c r="U1868">
        <v>-0.29504390000000003</v>
      </c>
      <c r="V1868">
        <v>2.0026519999999999E-2</v>
      </c>
      <c r="W1868">
        <v>0.1695441</v>
      </c>
      <c r="X1868">
        <v>0.9853191</v>
      </c>
      <c r="Y1868">
        <v>-0.1019559</v>
      </c>
      <c r="Z1868">
        <v>-4.037026E-3</v>
      </c>
      <c r="AA1868">
        <v>0.99478069999999996</v>
      </c>
      <c r="AB1868">
        <v>43</v>
      </c>
      <c r="AC1868">
        <v>-15.367999999999901</v>
      </c>
      <c r="AD1868">
        <v>-1.109361112202</v>
      </c>
      <c r="AE1868">
        <v>-1.5212999999999901</v>
      </c>
      <c r="AF1868">
        <v>-1.6180910348594799</v>
      </c>
      <c r="AG1868">
        <v>-1.109361112202</v>
      </c>
      <c r="AH1868">
        <v>15.278387245030199</v>
      </c>
      <c r="AI1868">
        <v>94.129932535810397</v>
      </c>
      <c r="AJ1868">
        <v>96.045499343694203</v>
      </c>
      <c r="AK1868">
        <v>15.403831259899601</v>
      </c>
      <c r="AL1868">
        <v>80.238686827812202</v>
      </c>
      <c r="AM1868">
        <v>88.835628872965501</v>
      </c>
      <c r="AN1868">
        <v>0.99999999608646495</v>
      </c>
    </row>
    <row r="1869" spans="1:40" x14ac:dyDescent="0.25">
      <c r="A1869" t="str">
        <f>"20190312164259304"</f>
        <v>20190312164259304</v>
      </c>
      <c r="B1869" t="str">
        <f>"1552380179296162"</f>
        <v>1552380179296162</v>
      </c>
      <c r="C1869" t="s">
        <v>40</v>
      </c>
      <c r="D1869">
        <v>4.3851129999999996</v>
      </c>
      <c r="E1869">
        <v>0.45932840000000003</v>
      </c>
      <c r="F1869" t="s">
        <v>47</v>
      </c>
      <c r="G1869">
        <v>-431.84339999999997</v>
      </c>
      <c r="H1869" s="1">
        <v>3.1583069999999999E-6</v>
      </c>
      <c r="I1869">
        <v>283.19959999999998</v>
      </c>
      <c r="J1869">
        <v>-416.26330000000002</v>
      </c>
      <c r="K1869">
        <v>1.109337</v>
      </c>
      <c r="L1869">
        <v>284.71300000000002</v>
      </c>
      <c r="M1869">
        <v>-0.99985259999999998</v>
      </c>
      <c r="N1869">
        <v>0</v>
      </c>
      <c r="O1869">
        <v>7.605344E-3</v>
      </c>
      <c r="P1869">
        <v>-0.98756969999999999</v>
      </c>
      <c r="Q1869">
        <v>0.15477479999999999</v>
      </c>
      <c r="R1869">
        <v>2.739755E-2</v>
      </c>
      <c r="S1869">
        <v>-3.0787049999999998</v>
      </c>
      <c r="T1869">
        <v>-0.21372659999999999</v>
      </c>
      <c r="U1869">
        <v>-0.29092410000000002</v>
      </c>
      <c r="V1869">
        <v>2.0248289999999999E-2</v>
      </c>
      <c r="W1869">
        <v>0.16991020000000001</v>
      </c>
      <c r="X1869">
        <v>0.98525149999999995</v>
      </c>
      <c r="Y1869">
        <v>-0.1013863</v>
      </c>
      <c r="Z1869">
        <v>-4.033427E-3</v>
      </c>
      <c r="AA1869">
        <v>0.99483900000000003</v>
      </c>
      <c r="AB1869">
        <v>43</v>
      </c>
      <c r="AC1869">
        <v>-15.5800999999999</v>
      </c>
      <c r="AD1869">
        <v>-1.1093338416930001</v>
      </c>
      <c r="AE1869">
        <v>-1.5133999999999801</v>
      </c>
      <c r="AF1869">
        <v>-1.6237074820156501</v>
      </c>
      <c r="AG1869">
        <v>-1.1093338416930001</v>
      </c>
      <c r="AH1869">
        <v>15.490340371364001</v>
      </c>
      <c r="AI1869">
        <v>94.073974440441305</v>
      </c>
      <c r="AJ1869">
        <v>95.983928583552199</v>
      </c>
      <c r="AK1869">
        <v>15.6146627366776</v>
      </c>
      <c r="AL1869">
        <v>80.217402000707494</v>
      </c>
      <c r="AM1869">
        <v>88.822657698689</v>
      </c>
      <c r="AN1869">
        <v>0.99999999378210702</v>
      </c>
    </row>
    <row r="1870" spans="1:40" x14ac:dyDescent="0.25">
      <c r="A1870" t="str">
        <f>"20190312164259327"</f>
        <v>20190312164259327</v>
      </c>
      <c r="B1870" t="str">
        <f>"1552380179315683"</f>
        <v>1552380179315683</v>
      </c>
      <c r="C1870" t="s">
        <v>40</v>
      </c>
      <c r="D1870">
        <v>4.4642949999999999</v>
      </c>
      <c r="E1870">
        <v>0.4594222</v>
      </c>
      <c r="F1870" t="s">
        <v>47</v>
      </c>
      <c r="G1870">
        <v>-432.34059999999999</v>
      </c>
      <c r="H1870" s="1">
        <v>3.3773240000000001E-6</v>
      </c>
      <c r="I1870">
        <v>283.21640000000002</v>
      </c>
      <c r="J1870">
        <v>-416.69209999999998</v>
      </c>
      <c r="K1870">
        <v>1.1093189999999999</v>
      </c>
      <c r="L1870">
        <v>284.71699999999998</v>
      </c>
      <c r="M1870">
        <v>-0.99984620000000002</v>
      </c>
      <c r="N1870">
        <v>0</v>
      </c>
      <c r="O1870">
        <v>8.4339099999999993E-3</v>
      </c>
      <c r="P1870">
        <v>-0.98760769999999998</v>
      </c>
      <c r="Q1870">
        <v>0.15439530000000001</v>
      </c>
      <c r="R1870">
        <v>2.8166650000000001E-2</v>
      </c>
      <c r="S1870">
        <v>-3.0790099999999998</v>
      </c>
      <c r="T1870">
        <v>-0.2124521</v>
      </c>
      <c r="U1870">
        <v>-0.28662110000000002</v>
      </c>
      <c r="V1870">
        <v>2.0205890000000001E-2</v>
      </c>
      <c r="W1870">
        <v>0.16952719999999999</v>
      </c>
      <c r="X1870">
        <v>0.98531840000000004</v>
      </c>
      <c r="Y1870">
        <v>-0.1008257</v>
      </c>
      <c r="Z1870">
        <v>-4.0470150000000002E-3</v>
      </c>
      <c r="AA1870">
        <v>0.99489590000000006</v>
      </c>
      <c r="AB1870">
        <v>43</v>
      </c>
      <c r="AC1870">
        <v>-15.6485</v>
      </c>
      <c r="AD1870">
        <v>-1.1093156226759999</v>
      </c>
      <c r="AE1870">
        <v>-1.50059999999996</v>
      </c>
      <c r="AF1870">
        <v>-1.6244512392155299</v>
      </c>
      <c r="AG1870">
        <v>-1.1093156226759999</v>
      </c>
      <c r="AH1870">
        <v>15.557815090022901</v>
      </c>
      <c r="AI1870">
        <v>94.0564683965694</v>
      </c>
      <c r="AJ1870">
        <v>95.960872753933401</v>
      </c>
      <c r="AK1870">
        <v>15.681678269708399</v>
      </c>
      <c r="AL1870">
        <v>80.239669875406307</v>
      </c>
      <c r="AM1870">
        <v>88.825202114529901</v>
      </c>
      <c r="AN1870">
        <v>1.00000004945454</v>
      </c>
    </row>
    <row r="1871" spans="1:40" x14ac:dyDescent="0.25">
      <c r="A1871" t="str">
        <f>"20190312164259349"</f>
        <v>20190312164259349</v>
      </c>
      <c r="B1871" t="str">
        <f>"1552380179345939"</f>
        <v>1552380179345939</v>
      </c>
      <c r="C1871" t="s">
        <v>40</v>
      </c>
      <c r="D1871">
        <v>4.3779899999999996</v>
      </c>
      <c r="E1871">
        <v>0.4595069</v>
      </c>
      <c r="F1871" t="s">
        <v>47</v>
      </c>
      <c r="G1871">
        <v>-432.66410000000002</v>
      </c>
      <c r="H1871" s="1">
        <v>3.5180909999999998E-6</v>
      </c>
      <c r="I1871">
        <v>283.2473</v>
      </c>
      <c r="J1871">
        <v>-417.13470000000001</v>
      </c>
      <c r="K1871">
        <v>1.1092930000000001</v>
      </c>
      <c r="L1871">
        <v>284.72149999999999</v>
      </c>
      <c r="M1871">
        <v>-0.99983849999999996</v>
      </c>
      <c r="N1871">
        <v>0</v>
      </c>
      <c r="O1871">
        <v>9.2971660000000008E-3</v>
      </c>
      <c r="P1871">
        <v>-0.98764750000000001</v>
      </c>
      <c r="Q1871">
        <v>0.1540369</v>
      </c>
      <c r="R1871">
        <v>2.8724929999999999E-2</v>
      </c>
      <c r="S1871">
        <v>-3.0791629999999999</v>
      </c>
      <c r="T1871">
        <v>-0.2138602</v>
      </c>
      <c r="U1871">
        <v>-0.28335569999999999</v>
      </c>
      <c r="V1871">
        <v>1.9917020000000001E-2</v>
      </c>
      <c r="W1871">
        <v>0.16916489999999901</v>
      </c>
      <c r="X1871">
        <v>0.98538650000000005</v>
      </c>
      <c r="Y1871">
        <v>-0.100629</v>
      </c>
      <c r="Z1871">
        <v>-4.1267379999999996E-3</v>
      </c>
      <c r="AA1871">
        <v>0.99491549999999995</v>
      </c>
      <c r="AB1871">
        <v>43</v>
      </c>
      <c r="AC1871">
        <v>-15.529400000000001</v>
      </c>
      <c r="AD1871">
        <v>-1.109289481909</v>
      </c>
      <c r="AE1871">
        <v>-1.47419999999999</v>
      </c>
      <c r="AF1871">
        <v>-1.6103891836733699</v>
      </c>
      <c r="AG1871">
        <v>-1.109289481909</v>
      </c>
      <c r="AH1871">
        <v>15.436958028802101</v>
      </c>
      <c r="AI1871">
        <v>94.088062826709503</v>
      </c>
      <c r="AJ1871">
        <v>95.955574975051704</v>
      </c>
      <c r="AK1871">
        <v>15.5603197158851</v>
      </c>
      <c r="AL1871">
        <v>80.260731888507195</v>
      </c>
      <c r="AM1871">
        <v>88.842072810109698</v>
      </c>
      <c r="AN1871">
        <v>1.00000000272997</v>
      </c>
    </row>
    <row r="1872" spans="1:40" x14ac:dyDescent="0.25">
      <c r="A1872" t="str">
        <f>"20190312164259394"</f>
        <v>20190312164259394</v>
      </c>
      <c r="B1872" t="str">
        <f>"1552380179386517"</f>
        <v>1552380179386517</v>
      </c>
      <c r="C1872" t="s">
        <v>40</v>
      </c>
      <c r="D1872">
        <v>4.3615950000000003</v>
      </c>
      <c r="E1872">
        <v>0.45957680000000001</v>
      </c>
      <c r="F1872" t="s">
        <v>47</v>
      </c>
      <c r="G1872">
        <v>-433.0206</v>
      </c>
      <c r="H1872" s="1">
        <v>3.674179E-6</v>
      </c>
      <c r="I1872">
        <v>283.2704</v>
      </c>
      <c r="J1872">
        <v>-417.976</v>
      </c>
      <c r="K1872">
        <v>1.1092770000000001</v>
      </c>
      <c r="L1872">
        <v>284.73110000000003</v>
      </c>
      <c r="M1872">
        <v>-0.99982210000000005</v>
      </c>
      <c r="N1872">
        <v>0</v>
      </c>
      <c r="O1872">
        <v>1.0944789999999999E-2</v>
      </c>
      <c r="P1872">
        <v>-0.98756109999999997</v>
      </c>
      <c r="Q1872">
        <v>0.15426110000000001</v>
      </c>
      <c r="R1872">
        <v>3.0442130000000001E-2</v>
      </c>
      <c r="S1872">
        <v>-3.079224</v>
      </c>
      <c r="T1872">
        <v>-0.2150176</v>
      </c>
      <c r="U1872">
        <v>-0.28128049999999999</v>
      </c>
      <c r="V1872">
        <v>2.0017070000000001E-2</v>
      </c>
      <c r="W1872">
        <v>0.16937920000000001</v>
      </c>
      <c r="X1872">
        <v>0.98534770000000005</v>
      </c>
      <c r="Y1872">
        <v>-0.1015925</v>
      </c>
      <c r="Z1872">
        <v>-4.2973020000000002E-3</v>
      </c>
      <c r="AA1872">
        <v>0.99481679999999995</v>
      </c>
      <c r="AB1872">
        <v>43</v>
      </c>
      <c r="AC1872">
        <v>-15.044600000000001</v>
      </c>
      <c r="AD1872">
        <v>-1.1092733258209999</v>
      </c>
      <c r="AE1872">
        <v>-1.4607000000000301</v>
      </c>
      <c r="AF1872">
        <v>-1.6165854862940101</v>
      </c>
      <c r="AG1872">
        <v>-1.1092733258209999</v>
      </c>
      <c r="AH1872">
        <v>14.9472087574688</v>
      </c>
      <c r="AI1872">
        <v>94.219778257357206</v>
      </c>
      <c r="AJ1872">
        <v>96.172717551282304</v>
      </c>
      <c r="AK1872">
        <v>15.075240813507</v>
      </c>
      <c r="AL1872">
        <v>80.248274020678295</v>
      </c>
      <c r="AM1872">
        <v>88.836211929588003</v>
      </c>
      <c r="AN1872">
        <v>1.0000000431896501</v>
      </c>
    </row>
    <row r="1873" spans="1:40" x14ac:dyDescent="0.25">
      <c r="A1873" t="str">
        <f>"20190312164259415"</f>
        <v>20190312164259415</v>
      </c>
      <c r="B1873" t="str">
        <f>"1552380179406034"</f>
        <v>1552380179406034</v>
      </c>
      <c r="C1873" t="s">
        <v>40</v>
      </c>
      <c r="D1873">
        <v>4.3400619999999996</v>
      </c>
      <c r="E1873">
        <v>0.45951769999999997</v>
      </c>
      <c r="F1873" t="s">
        <v>47</v>
      </c>
      <c r="G1873">
        <v>-433.94709999999998</v>
      </c>
      <c r="H1873" s="1">
        <v>4.0826429999999998E-6</v>
      </c>
      <c r="I1873">
        <v>283.29790000000003</v>
      </c>
      <c r="J1873">
        <v>-418.38959999999997</v>
      </c>
      <c r="K1873">
        <v>1.1092770000000001</v>
      </c>
      <c r="L1873">
        <v>284.73630000000003</v>
      </c>
      <c r="M1873">
        <v>-0.9998129</v>
      </c>
      <c r="N1873">
        <v>0</v>
      </c>
      <c r="O1873">
        <v>1.1753E-2</v>
      </c>
      <c r="P1873">
        <v>-0.98750389999999999</v>
      </c>
      <c r="Q1873">
        <v>0.15449199999999999</v>
      </c>
      <c r="R1873">
        <v>3.1121019999999999E-2</v>
      </c>
      <c r="S1873">
        <v>-3.0797119999999998</v>
      </c>
      <c r="T1873">
        <v>-0.21390149999999999</v>
      </c>
      <c r="U1873">
        <v>-0.27636719999999998</v>
      </c>
      <c r="V1873">
        <v>1.9901619999999998E-2</v>
      </c>
      <c r="W1873">
        <v>0.16960520000000001</v>
      </c>
      <c r="X1873">
        <v>0.9853111</v>
      </c>
      <c r="Y1873">
        <v>-0.10081089999999999</v>
      </c>
      <c r="Z1873">
        <v>-4.303599E-3</v>
      </c>
      <c r="AA1873">
        <v>0.99489629999999996</v>
      </c>
      <c r="AB1873">
        <v>43</v>
      </c>
      <c r="AC1873">
        <v>-15.557499999999999</v>
      </c>
      <c r="AD1873">
        <v>-1.109272917357</v>
      </c>
      <c r="AE1873">
        <v>-1.4383999999999999</v>
      </c>
      <c r="AF1873">
        <v>-1.6130384843571599</v>
      </c>
      <c r="AG1873">
        <v>-1.109272917357</v>
      </c>
      <c r="AH1873">
        <v>15.461578784755099</v>
      </c>
      <c r="AI1873">
        <v>94.081512145580604</v>
      </c>
      <c r="AJ1873">
        <v>95.955871370057494</v>
      </c>
      <c r="AK1873">
        <v>15.5850183854363</v>
      </c>
      <c r="AL1873">
        <v>80.235134462002407</v>
      </c>
      <c r="AM1873">
        <v>88.8428793685259</v>
      </c>
      <c r="AN1873">
        <v>0.99999998106443699</v>
      </c>
    </row>
    <row r="1874" spans="1:40" x14ac:dyDescent="0.25">
      <c r="A1874" t="str">
        <f>"20190312164259438"</f>
        <v>20190312164259438</v>
      </c>
      <c r="B1874" t="str">
        <f>"1552380179426530"</f>
        <v>1552380179426530</v>
      </c>
      <c r="C1874" t="s">
        <v>40</v>
      </c>
      <c r="D1874">
        <v>4.3961009999999998</v>
      </c>
      <c r="E1874">
        <v>0.4595378</v>
      </c>
      <c r="F1874" t="s">
        <v>47</v>
      </c>
      <c r="G1874">
        <v>-434.35680000000002</v>
      </c>
      <c r="H1874" s="1">
        <v>4.2630989999999997E-6</v>
      </c>
      <c r="I1874">
        <v>283.31200000000001</v>
      </c>
      <c r="J1874">
        <v>-418.81990000000002</v>
      </c>
      <c r="K1874">
        <v>1.1092799999999901</v>
      </c>
      <c r="L1874">
        <v>284.74209999999999</v>
      </c>
      <c r="M1874">
        <v>-0.99980290000000005</v>
      </c>
      <c r="N1874">
        <v>0</v>
      </c>
      <c r="O1874">
        <v>1.2585580000000001E-2</v>
      </c>
      <c r="P1874">
        <v>-0.98744319999999997</v>
      </c>
      <c r="Q1874">
        <v>0.15467429999999999</v>
      </c>
      <c r="R1874">
        <v>3.212959E-2</v>
      </c>
      <c r="S1874">
        <v>-3.0801090000000002</v>
      </c>
      <c r="T1874">
        <v>-0.21398120000000001</v>
      </c>
      <c r="U1874">
        <v>-0.27474979999999999</v>
      </c>
      <c r="V1874">
        <v>2.0089880000000001E-2</v>
      </c>
      <c r="W1874">
        <v>0.16978190000000001</v>
      </c>
      <c r="X1874">
        <v>0.98527690000000001</v>
      </c>
      <c r="Y1874">
        <v>-0.1011069</v>
      </c>
      <c r="Z1874">
        <v>-4.3726700000000004E-3</v>
      </c>
      <c r="AA1874">
        <v>0.99486600000000003</v>
      </c>
      <c r="AB1874">
        <v>43</v>
      </c>
      <c r="AC1874">
        <v>-15.536899999999999</v>
      </c>
      <c r="AD1874">
        <v>-1.10927573690099</v>
      </c>
      <c r="AE1874">
        <v>-1.4300999999999799</v>
      </c>
      <c r="AF1874">
        <v>-1.6173754832737599</v>
      </c>
      <c r="AG1874">
        <v>-1.10927573690099</v>
      </c>
      <c r="AH1874">
        <v>15.439627353236901</v>
      </c>
      <c r="AI1874">
        <v>94.087124971793898</v>
      </c>
      <c r="AJ1874">
        <v>95.980198367684395</v>
      </c>
      <c r="AK1874">
        <v>15.563691365521001</v>
      </c>
      <c r="AL1874">
        <v>80.224861819935697</v>
      </c>
      <c r="AM1874">
        <v>88.831896034409596</v>
      </c>
      <c r="AN1874">
        <v>1.00000003325981</v>
      </c>
    </row>
    <row r="1875" spans="1:40" x14ac:dyDescent="0.25">
      <c r="A1875" t="str">
        <f>"20190312164259460"</f>
        <v>20190312164259460</v>
      </c>
      <c r="B1875" t="str">
        <f>"1552380179455809"</f>
        <v>1552380179455809</v>
      </c>
      <c r="C1875" t="s">
        <v>40</v>
      </c>
      <c r="D1875">
        <v>4.3031240000000004</v>
      </c>
      <c r="E1875">
        <v>0.45955200000000002</v>
      </c>
      <c r="F1875" t="s">
        <v>47</v>
      </c>
      <c r="G1875">
        <v>-434.82139999999998</v>
      </c>
      <c r="H1875" s="1">
        <v>4.4674739999999997E-6</v>
      </c>
      <c r="I1875">
        <v>283.3304</v>
      </c>
      <c r="J1875">
        <v>-419.24579999999997</v>
      </c>
      <c r="K1875">
        <v>1.1092869999999999</v>
      </c>
      <c r="L1875">
        <v>284.74810000000002</v>
      </c>
      <c r="M1875">
        <v>-0.99979249999999997</v>
      </c>
      <c r="N1875">
        <v>0</v>
      </c>
      <c r="O1875">
        <v>1.339481E-2</v>
      </c>
      <c r="P1875">
        <v>-0.98746699999999998</v>
      </c>
      <c r="Q1875">
        <v>0.1542905</v>
      </c>
      <c r="R1875">
        <v>3.3219789999999999E-2</v>
      </c>
      <c r="S1875">
        <v>-3.0804140000000002</v>
      </c>
      <c r="T1875">
        <v>-0.2135456</v>
      </c>
      <c r="U1875">
        <v>-0.27175899999999997</v>
      </c>
      <c r="V1875">
        <v>2.0377240000000001E-2</v>
      </c>
      <c r="W1875">
        <v>0.16939419999999999</v>
      </c>
      <c r="X1875">
        <v>0.98533769999999998</v>
      </c>
      <c r="Y1875">
        <v>-0.1009446</v>
      </c>
      <c r="Z1875">
        <v>-4.4138800000000002E-3</v>
      </c>
      <c r="AA1875">
        <v>0.9948823</v>
      </c>
      <c r="AB1875">
        <v>43</v>
      </c>
      <c r="AC1875">
        <v>-15.5756</v>
      </c>
      <c r="AD1875">
        <v>-1.1092825325260001</v>
      </c>
      <c r="AE1875">
        <v>-1.4177000000000199</v>
      </c>
      <c r="AF1875">
        <v>-1.61808975045781</v>
      </c>
      <c r="AG1875">
        <v>-1.1092825325260001</v>
      </c>
      <c r="AH1875">
        <v>15.477351362008401</v>
      </c>
      <c r="AI1875">
        <v>94.077309660629297</v>
      </c>
      <c r="AJ1875">
        <v>95.968343246006299</v>
      </c>
      <c r="AK1875">
        <v>15.601189934122599</v>
      </c>
      <c r="AL1875">
        <v>80.247401606427204</v>
      </c>
      <c r="AM1875">
        <v>88.815265619937193</v>
      </c>
      <c r="AN1875">
        <v>1.00000000497247</v>
      </c>
    </row>
    <row r="1876" spans="1:40" x14ac:dyDescent="0.25">
      <c r="A1876" t="str">
        <f>"20190312164259484"</f>
        <v>20190312164259484</v>
      </c>
      <c r="B1876" t="str">
        <f>"1552380179476309"</f>
        <v>1552380179476309</v>
      </c>
      <c r="C1876" t="s">
        <v>40</v>
      </c>
      <c r="D1876">
        <v>4.3230629999999897</v>
      </c>
      <c r="E1876">
        <v>0.45950590000000002</v>
      </c>
      <c r="F1876" t="s">
        <v>47</v>
      </c>
      <c r="G1876">
        <v>-435.1748</v>
      </c>
      <c r="H1876" s="1">
        <v>4.6218320000000004E-6</v>
      </c>
      <c r="I1876">
        <v>283.35789999999997</v>
      </c>
      <c r="J1876">
        <v>-419.69200000000001</v>
      </c>
      <c r="K1876">
        <v>1.1093</v>
      </c>
      <c r="L1876">
        <v>284.75479999999999</v>
      </c>
      <c r="M1876">
        <v>-0.99978100000000003</v>
      </c>
      <c r="N1876">
        <v>0</v>
      </c>
      <c r="O1876">
        <v>1.4221620000000001E-2</v>
      </c>
      <c r="P1876">
        <v>-0.98754470000000005</v>
      </c>
      <c r="Q1876">
        <v>0.1536061</v>
      </c>
      <c r="R1876">
        <v>3.40699E-2</v>
      </c>
      <c r="S1876">
        <v>-3.0806580000000001</v>
      </c>
      <c r="T1876">
        <v>-0.21453330000000001</v>
      </c>
      <c r="U1876">
        <v>-0.26885989999999999</v>
      </c>
      <c r="V1876">
        <v>2.0402759999999999E-2</v>
      </c>
      <c r="W1876">
        <v>0.16870760000000001</v>
      </c>
      <c r="X1876">
        <v>0.98545499999999997</v>
      </c>
      <c r="Y1876">
        <v>-0.1008271</v>
      </c>
      <c r="Z1876">
        <v>-4.4874190000000003E-3</v>
      </c>
      <c r="AA1876">
        <v>0.99489380000000005</v>
      </c>
      <c r="AB1876">
        <v>43</v>
      </c>
      <c r="AC1876">
        <v>-15.482799999999999</v>
      </c>
      <c r="AD1876">
        <v>-1.1092953781679999</v>
      </c>
      <c r="AE1876">
        <v>-1.39690000000001</v>
      </c>
      <c r="AF1876">
        <v>-1.6087834835135799</v>
      </c>
      <c r="AG1876">
        <v>-1.1092953781679999</v>
      </c>
      <c r="AH1876">
        <v>15.3830373770216</v>
      </c>
      <c r="AI1876">
        <v>94.102254834445603</v>
      </c>
      <c r="AJ1876">
        <v>95.970383808893899</v>
      </c>
      <c r="AK1876">
        <v>15.506661777303799</v>
      </c>
      <c r="AL1876">
        <v>80.287315717855506</v>
      </c>
      <c r="AM1876">
        <v>88.813923465466303</v>
      </c>
      <c r="AN1876">
        <v>1.0000000419691799</v>
      </c>
    </row>
    <row r="1877" spans="1:40" x14ac:dyDescent="0.25">
      <c r="A1877" t="str">
        <f>"20190312164259505"</f>
        <v>20190312164259505</v>
      </c>
      <c r="B1877" t="str">
        <f>"1552380179495711"</f>
        <v>1552380179495711</v>
      </c>
      <c r="C1877" t="s">
        <v>40</v>
      </c>
      <c r="D1877">
        <v>4.5609039999999998</v>
      </c>
      <c r="E1877">
        <v>0.45951799999999998</v>
      </c>
      <c r="F1877" t="s">
        <v>47</v>
      </c>
      <c r="G1877">
        <v>-435.42500000000001</v>
      </c>
      <c r="H1877" s="1">
        <v>4.729768E-6</v>
      </c>
      <c r="I1877">
        <v>283.39240000000001</v>
      </c>
      <c r="J1877">
        <v>-420.09249999999997</v>
      </c>
      <c r="K1877">
        <v>1.109308</v>
      </c>
      <c r="L1877">
        <v>284.7611</v>
      </c>
      <c r="M1877">
        <v>-0.99977050000000001</v>
      </c>
      <c r="N1877">
        <v>0</v>
      </c>
      <c r="O1877">
        <v>1.49482E-2</v>
      </c>
      <c r="P1877">
        <v>-0.9875796</v>
      </c>
      <c r="Q1877">
        <v>0.15318689999999999</v>
      </c>
      <c r="R1877">
        <v>3.4934340000000001E-2</v>
      </c>
      <c r="S1877">
        <v>-3.0808409999999999</v>
      </c>
      <c r="T1877">
        <v>-0.21722130000000001</v>
      </c>
      <c r="U1877">
        <v>-0.26678469999999999</v>
      </c>
      <c r="V1877">
        <v>2.054193E-2</v>
      </c>
      <c r="W1877">
        <v>0.1682855</v>
      </c>
      <c r="X1877">
        <v>0.98552419999999996</v>
      </c>
      <c r="Y1877">
        <v>-0.100871</v>
      </c>
      <c r="Z1877">
        <v>-4.5959979999999996E-3</v>
      </c>
      <c r="AA1877">
        <v>0.99488889999999996</v>
      </c>
      <c r="AB1877">
        <v>42</v>
      </c>
      <c r="AC1877">
        <v>-15.3325</v>
      </c>
      <c r="AD1877">
        <v>-1.109303270232</v>
      </c>
      <c r="AE1877">
        <v>-1.36869999999998</v>
      </c>
      <c r="AF1877">
        <v>-1.5895127912814599</v>
      </c>
      <c r="AG1877">
        <v>-1.109303270232</v>
      </c>
      <c r="AH1877">
        <v>15.231227030437299</v>
      </c>
      <c r="AI1877">
        <v>94.143124974385501</v>
      </c>
      <c r="AJ1877">
        <v>95.957753903675695</v>
      </c>
      <c r="AK1877">
        <v>15.3540672628368</v>
      </c>
      <c r="AL1877">
        <v>80.311850309111193</v>
      </c>
      <c r="AM1877">
        <v>88.805919236672594</v>
      </c>
      <c r="AN1877">
        <v>0.99999996459200602</v>
      </c>
    </row>
    <row r="1878" spans="1:40" x14ac:dyDescent="0.25">
      <c r="A1878" t="str">
        <f>"20190312164259526"</f>
        <v>20190312164259526</v>
      </c>
      <c r="B1878" t="str">
        <f>"1552380179516208"</f>
        <v>1552380179516208</v>
      </c>
      <c r="C1878" t="s">
        <v>40</v>
      </c>
      <c r="D1878">
        <v>4.4827070000000004</v>
      </c>
      <c r="E1878">
        <v>0.45952670000000001</v>
      </c>
      <c r="F1878" t="s">
        <v>47</v>
      </c>
      <c r="G1878">
        <v>-435.71190000000001</v>
      </c>
      <c r="H1878" s="1">
        <v>4.8541779999999999E-6</v>
      </c>
      <c r="I1878">
        <v>283.42430000000002</v>
      </c>
      <c r="J1878">
        <v>-420.51389999999998</v>
      </c>
      <c r="K1878">
        <v>1.109329</v>
      </c>
      <c r="L1878">
        <v>284.7681</v>
      </c>
      <c r="M1878">
        <v>-0.99975919999999896</v>
      </c>
      <c r="N1878">
        <v>0</v>
      </c>
      <c r="O1878">
        <v>1.5697539999999999E-2</v>
      </c>
      <c r="P1878">
        <v>-0.98749819999999999</v>
      </c>
      <c r="Q1878">
        <v>0.1535869</v>
      </c>
      <c r="R1878">
        <v>3.547939E-2</v>
      </c>
      <c r="S1878">
        <v>-3.080994</v>
      </c>
      <c r="T1878">
        <v>-0.2188156</v>
      </c>
      <c r="U1878">
        <v>-0.2637024</v>
      </c>
      <c r="V1878">
        <v>2.034242E-2</v>
      </c>
      <c r="W1878">
        <v>0.16868079999999999</v>
      </c>
      <c r="X1878">
        <v>0.98546080000000003</v>
      </c>
      <c r="Y1878">
        <v>-0.100619</v>
      </c>
      <c r="Z1878">
        <v>-4.6737659999999898E-3</v>
      </c>
      <c r="AA1878">
        <v>0.99491410000000002</v>
      </c>
      <c r="AB1878">
        <v>42</v>
      </c>
      <c r="AC1878">
        <v>-15.198</v>
      </c>
      <c r="AD1878">
        <v>-1.109324145822</v>
      </c>
      <c r="AE1878">
        <v>-1.3437999999999799</v>
      </c>
      <c r="AF1878">
        <v>-1.57391327969215</v>
      </c>
      <c r="AG1878">
        <v>-1.109324145822</v>
      </c>
      <c r="AH1878">
        <v>15.0952303416029</v>
      </c>
      <c r="AI1878">
        <v>94.180438138817493</v>
      </c>
      <c r="AJ1878">
        <v>95.952470729062</v>
      </c>
      <c r="AK1878">
        <v>15.2175484930571</v>
      </c>
      <c r="AL1878">
        <v>80.288873231591396</v>
      </c>
      <c r="AM1878">
        <v>88.817437179757405</v>
      </c>
      <c r="AN1878">
        <v>1.0000000073383599</v>
      </c>
    </row>
    <row r="1879" spans="1:40" x14ac:dyDescent="0.25">
      <c r="A1879" t="str">
        <f>"20190312164259550"</f>
        <v>20190312164259550</v>
      </c>
      <c r="B1879" t="str">
        <f>"1552380179546464"</f>
        <v>1552380179546464</v>
      </c>
      <c r="C1879" t="s">
        <v>40</v>
      </c>
      <c r="D1879">
        <v>4.2896010000000002</v>
      </c>
      <c r="E1879">
        <v>0.45949859999999998</v>
      </c>
      <c r="F1879" t="s">
        <v>47</v>
      </c>
      <c r="G1879">
        <v>-436.1977</v>
      </c>
      <c r="H1879" s="1">
        <v>5.0684090000000001E-6</v>
      </c>
      <c r="I1879">
        <v>283.43810000000002</v>
      </c>
      <c r="J1879">
        <v>-420.9479</v>
      </c>
      <c r="K1879">
        <v>1.109348</v>
      </c>
      <c r="L1879">
        <v>284.7756</v>
      </c>
      <c r="M1879">
        <v>-0.99974700000000005</v>
      </c>
      <c r="N1879">
        <v>0</v>
      </c>
      <c r="O1879">
        <v>1.6455830000000001E-2</v>
      </c>
      <c r="P1879">
        <v>-0.9873672</v>
      </c>
      <c r="Q1879">
        <v>0.15434819999999999</v>
      </c>
      <c r="R1879">
        <v>3.581633E-2</v>
      </c>
      <c r="S1879">
        <v>-3.0812680000000001</v>
      </c>
      <c r="T1879">
        <v>-0.2179393</v>
      </c>
      <c r="U1879">
        <v>-0.26129150000000001</v>
      </c>
      <c r="V1879">
        <v>1.9928109999999999E-2</v>
      </c>
      <c r="W1879">
        <v>0.16943739999999999</v>
      </c>
      <c r="X1879">
        <v>0.98533950000000003</v>
      </c>
      <c r="Y1879">
        <v>-0.1005938</v>
      </c>
      <c r="Z1879">
        <v>-4.7074380000000004E-3</v>
      </c>
      <c r="AA1879">
        <v>0.99491640000000003</v>
      </c>
      <c r="AB1879">
        <v>42</v>
      </c>
      <c r="AC1879">
        <v>-15.249799999999899</v>
      </c>
      <c r="AD1879">
        <v>-1.1093429315909999</v>
      </c>
      <c r="AE1879">
        <v>-1.3374999999999699</v>
      </c>
      <c r="AF1879">
        <v>-1.5799992636237801</v>
      </c>
      <c r="AG1879">
        <v>-1.1093429315909999</v>
      </c>
      <c r="AH1879">
        <v>15.146183613722799</v>
      </c>
      <c r="AI1879">
        <v>94.166472773948897</v>
      </c>
      <c r="AJ1879">
        <v>95.955364572758498</v>
      </c>
      <c r="AK1879">
        <v>15.268723505045401</v>
      </c>
      <c r="AL1879">
        <v>80.244890530302001</v>
      </c>
      <c r="AM1879">
        <v>88.841372992128001</v>
      </c>
      <c r="AN1879">
        <v>1.0000000461735901</v>
      </c>
    </row>
    <row r="1880" spans="1:40" x14ac:dyDescent="0.25">
      <c r="A1880" t="str">
        <f>"20190312164259572"</f>
        <v>20190312164259572</v>
      </c>
      <c r="B1880" t="str">
        <f>"1552380179565983"</f>
        <v>1552380179565983</v>
      </c>
      <c r="C1880" t="s">
        <v>40</v>
      </c>
      <c r="D1880">
        <v>4.316611</v>
      </c>
      <c r="E1880">
        <v>0.4594626</v>
      </c>
      <c r="F1880" t="s">
        <v>47</v>
      </c>
      <c r="G1880">
        <v>-436.76740000000001</v>
      </c>
      <c r="H1880" s="1">
        <v>5.3209109999999901E-6</v>
      </c>
      <c r="I1880">
        <v>283.43979999999999</v>
      </c>
      <c r="J1880">
        <v>-421.375</v>
      </c>
      <c r="K1880">
        <v>1.1093630000000001</v>
      </c>
      <c r="L1880">
        <v>284.78320000000002</v>
      </c>
      <c r="M1880">
        <v>-0.99973480000000003</v>
      </c>
      <c r="N1880">
        <v>0</v>
      </c>
      <c r="O1880">
        <v>1.7188950000000001E-2</v>
      </c>
      <c r="P1880">
        <v>-0.98719979999999996</v>
      </c>
      <c r="Q1880">
        <v>0.15535589999999999</v>
      </c>
      <c r="R1880">
        <v>3.6077289999999998E-2</v>
      </c>
      <c r="S1880">
        <v>-3.0815730000000001</v>
      </c>
      <c r="T1880">
        <v>-0.2160947</v>
      </c>
      <c r="U1880">
        <v>-0.2601929</v>
      </c>
      <c r="V1880">
        <v>1.9464789999999999E-2</v>
      </c>
      <c r="W1880">
        <v>0.17043929999999999</v>
      </c>
      <c r="X1880">
        <v>0.98517589999999999</v>
      </c>
      <c r="Y1880">
        <v>-0.1009651</v>
      </c>
      <c r="Z1880">
        <v>-4.731557E-3</v>
      </c>
      <c r="AA1880">
        <v>0.9948787</v>
      </c>
      <c r="AB1880">
        <v>42</v>
      </c>
      <c r="AC1880">
        <v>-15.3924</v>
      </c>
      <c r="AD1880">
        <v>-1.1093576790889901</v>
      </c>
      <c r="AE1880">
        <v>-1.3434000000000299</v>
      </c>
      <c r="AF1880">
        <v>-1.5995658678831901</v>
      </c>
      <c r="AG1880">
        <v>-1.1093576790889901</v>
      </c>
      <c r="AH1880">
        <v>15.288219128018699</v>
      </c>
      <c r="AI1880">
        <v>94.127821109197697</v>
      </c>
      <c r="AJ1880">
        <v>95.972973744306898</v>
      </c>
      <c r="AK1880">
        <v>15.4116491503073</v>
      </c>
      <c r="AL1880">
        <v>80.186638074599102</v>
      </c>
      <c r="AM1880">
        <v>88.868115600960493</v>
      </c>
      <c r="AN1880">
        <v>0.999999993487522</v>
      </c>
    </row>
    <row r="1881" spans="1:40" x14ac:dyDescent="0.25">
      <c r="A1881" t="str">
        <f>"20190312164259594"</f>
        <v>20190312164259594</v>
      </c>
      <c r="B1881" t="str">
        <f>"1552380179586479"</f>
        <v>1552380179586479</v>
      </c>
      <c r="C1881" t="s">
        <v>40</v>
      </c>
      <c r="D1881">
        <v>4.3167099999999996</v>
      </c>
      <c r="E1881">
        <v>0.45941609999999999</v>
      </c>
      <c r="F1881" t="s">
        <v>47</v>
      </c>
      <c r="G1881">
        <v>-437.43</v>
      </c>
      <c r="H1881" s="1">
        <v>5.6157309999999899E-6</v>
      </c>
      <c r="I1881">
        <v>283.42840000000001</v>
      </c>
      <c r="J1881">
        <v>-421.78919999999999</v>
      </c>
      <c r="K1881">
        <v>1.109375</v>
      </c>
      <c r="L1881">
        <v>284.791</v>
      </c>
      <c r="M1881">
        <v>-0.99972260000000002</v>
      </c>
      <c r="N1881">
        <v>0</v>
      </c>
      <c r="O1881">
        <v>1.7889599999999999E-2</v>
      </c>
      <c r="P1881">
        <v>-0.98727299999999996</v>
      </c>
      <c r="Q1881">
        <v>0.15483739999999999</v>
      </c>
      <c r="R1881">
        <v>3.6298009999999999E-2</v>
      </c>
      <c r="S1881">
        <v>-3.081909</v>
      </c>
      <c r="T1881">
        <v>-0.21295169999999999</v>
      </c>
      <c r="U1881">
        <v>-0.26007079999999999</v>
      </c>
      <c r="V1881">
        <v>1.898646E-2</v>
      </c>
      <c r="W1881">
        <v>0.16991909999999999</v>
      </c>
      <c r="X1881">
        <v>0.98527509999999996</v>
      </c>
      <c r="Y1881">
        <v>-0.10161920000000001</v>
      </c>
      <c r="Z1881">
        <v>-4.7332260000000001E-3</v>
      </c>
      <c r="AA1881">
        <v>0.99481209999999998</v>
      </c>
      <c r="AB1881">
        <v>42</v>
      </c>
      <c r="AC1881">
        <v>-15.6408</v>
      </c>
      <c r="AD1881">
        <v>-1.109369384269</v>
      </c>
      <c r="AE1881">
        <v>-1.36259999999998</v>
      </c>
      <c r="AF1881">
        <v>-1.63406370751914</v>
      </c>
      <c r="AG1881">
        <v>-1.109369384269</v>
      </c>
      <c r="AH1881">
        <v>15.5363461142808</v>
      </c>
      <c r="AI1881">
        <v>94.061931105809705</v>
      </c>
      <c r="AJ1881">
        <v>96.004114162569905</v>
      </c>
      <c r="AK1881">
        <v>15.6613829278807</v>
      </c>
      <c r="AL1881">
        <v>80.216884649146195</v>
      </c>
      <c r="AM1881">
        <v>88.896034820968694</v>
      </c>
      <c r="AN1881">
        <v>1.00000000444407</v>
      </c>
    </row>
    <row r="1882" spans="1:40" x14ac:dyDescent="0.25">
      <c r="A1882" t="str">
        <f>"20190312164259616"</f>
        <v>20190312164259616</v>
      </c>
      <c r="B1882" t="str">
        <f>"1552380179606000"</f>
        <v>1552380179606000</v>
      </c>
      <c r="C1882" t="s">
        <v>40</v>
      </c>
      <c r="D1882">
        <v>4.3313040000000003</v>
      </c>
      <c r="E1882">
        <v>0.45583390000000001</v>
      </c>
      <c r="F1882" t="s">
        <v>47</v>
      </c>
      <c r="G1882">
        <v>-437.75229999999999</v>
      </c>
      <c r="H1882" s="1">
        <v>5.7577589999999997E-6</v>
      </c>
      <c r="I1882">
        <v>283.43869999999998</v>
      </c>
      <c r="J1882">
        <v>-422.20769999999999</v>
      </c>
      <c r="K1882">
        <v>1.1093770000000001</v>
      </c>
      <c r="L1882">
        <v>284.79899999999998</v>
      </c>
      <c r="M1882">
        <v>-0.99970990000000004</v>
      </c>
      <c r="N1882">
        <v>0</v>
      </c>
      <c r="O1882">
        <v>1.8588460000000001E-2</v>
      </c>
      <c r="P1882">
        <v>-0.98738219999999999</v>
      </c>
      <c r="Q1882">
        <v>0.15395519999999999</v>
      </c>
      <c r="R1882">
        <v>3.7072590000000002E-2</v>
      </c>
      <c r="S1882">
        <v>-3.0818479999999999</v>
      </c>
      <c r="T1882">
        <v>-0.2141757</v>
      </c>
      <c r="U1882">
        <v>-0.26107789999999997</v>
      </c>
      <c r="V1882">
        <v>1.906213E-2</v>
      </c>
      <c r="W1882">
        <v>0.1690352</v>
      </c>
      <c r="X1882">
        <v>0.98542569999999996</v>
      </c>
      <c r="Y1882">
        <v>-0.10263170000000001</v>
      </c>
      <c r="Z1882">
        <v>-4.8439149999999999E-3</v>
      </c>
      <c r="AA1882">
        <v>0.99470760000000003</v>
      </c>
      <c r="AB1882">
        <v>42</v>
      </c>
      <c r="AC1882">
        <v>-15.544600000000001</v>
      </c>
      <c r="AD1882">
        <v>-1.109371242241</v>
      </c>
      <c r="AE1882">
        <v>-1.36030000000005</v>
      </c>
      <c r="AF1882">
        <v>-1.6407557202671901</v>
      </c>
      <c r="AG1882">
        <v>-1.109371242241</v>
      </c>
      <c r="AH1882">
        <v>15.4385897595612</v>
      </c>
      <c r="AI1882">
        <v>94.087102694058501</v>
      </c>
      <c r="AJ1882">
        <v>96.066410749982893</v>
      </c>
      <c r="AK1882">
        <v>15.5651160500245</v>
      </c>
      <c r="AL1882">
        <v>80.268272069285601</v>
      </c>
      <c r="AM1882">
        <v>88.891805440396297</v>
      </c>
      <c r="AN1882">
        <v>1.0000000369298301</v>
      </c>
    </row>
    <row r="1883" spans="1:40" x14ac:dyDescent="0.25">
      <c r="A1883" t="str">
        <f>"20190312164259639"</f>
        <v>20190312164259639</v>
      </c>
      <c r="B1883" t="str">
        <f>"1552380179636254"</f>
        <v>1552380179636254</v>
      </c>
      <c r="C1883" t="s">
        <v>40</v>
      </c>
      <c r="D1883">
        <v>4.416944</v>
      </c>
      <c r="E1883">
        <v>0.45654790000000001</v>
      </c>
      <c r="F1883" t="s">
        <v>47</v>
      </c>
      <c r="G1883">
        <v>-435.19060000000002</v>
      </c>
      <c r="H1883" s="1">
        <v>4.6091950000000003E-6</v>
      </c>
      <c r="I1883">
        <v>283.58260000000001</v>
      </c>
      <c r="J1883">
        <v>-422.62329999999997</v>
      </c>
      <c r="K1883">
        <v>1.109394</v>
      </c>
      <c r="L1883">
        <v>284.8073</v>
      </c>
      <c r="M1883">
        <v>-0.99969699999999995</v>
      </c>
      <c r="N1883">
        <v>0</v>
      </c>
      <c r="O1883">
        <v>1.927558E-2</v>
      </c>
      <c r="P1883">
        <v>-0.98739920000000003</v>
      </c>
      <c r="Q1883">
        <v>0.153698</v>
      </c>
      <c r="R1883">
        <v>3.7682779999999999E-2</v>
      </c>
      <c r="S1883">
        <v>-3.0904240000000001</v>
      </c>
      <c r="T1883">
        <v>-0.26407190000000003</v>
      </c>
      <c r="U1883">
        <v>-0.2895508</v>
      </c>
      <c r="V1883">
        <v>1.8987919999999998E-2</v>
      </c>
      <c r="W1883">
        <v>0.16877429999999999</v>
      </c>
      <c r="X1883">
        <v>0.98547180000000001</v>
      </c>
      <c r="Y1883">
        <v>-0.1119864</v>
      </c>
      <c r="Z1883">
        <v>-6.4064380000000004E-3</v>
      </c>
      <c r="AA1883">
        <v>0.99368909999999999</v>
      </c>
      <c r="AB1883">
        <v>42</v>
      </c>
      <c r="AC1883">
        <v>-12.567299999999999</v>
      </c>
      <c r="AD1883">
        <v>-1.1093893908050001</v>
      </c>
      <c r="AE1883">
        <v>-1.2246999999999799</v>
      </c>
      <c r="AF1883">
        <v>-1.45550726721194</v>
      </c>
      <c r="AG1883">
        <v>-1.1093893908050001</v>
      </c>
      <c r="AH1883">
        <v>12.445285827699299</v>
      </c>
      <c r="AI1883">
        <v>95.059653897419693</v>
      </c>
      <c r="AJ1883">
        <v>96.670581534260194</v>
      </c>
      <c r="AK1883">
        <v>12.5791249917659</v>
      </c>
      <c r="AL1883">
        <v>80.283437952701505</v>
      </c>
      <c r="AM1883">
        <v>88.896170264144303</v>
      </c>
      <c r="AN1883">
        <v>0.99999998702082804</v>
      </c>
    </row>
    <row r="1884" spans="1:40" x14ac:dyDescent="0.25">
      <c r="A1884" t="str">
        <f>"20190312164259661"</f>
        <v>20190312164259661</v>
      </c>
      <c r="B1884" t="str">
        <f>"1552380179655775"</f>
        <v>1552380179655775</v>
      </c>
      <c r="C1884" t="s">
        <v>40</v>
      </c>
      <c r="D1884">
        <v>4.3393139999999999</v>
      </c>
      <c r="E1884">
        <v>0.45662340000000001</v>
      </c>
      <c r="F1884" t="s">
        <v>47</v>
      </c>
      <c r="G1884">
        <v>-436.3639</v>
      </c>
      <c r="H1884" s="1">
        <v>5.1313980000000001E-6</v>
      </c>
      <c r="I1884">
        <v>283.5607</v>
      </c>
      <c r="J1884">
        <v>-423.05</v>
      </c>
      <c r="K1884">
        <v>1.109407</v>
      </c>
      <c r="L1884">
        <v>284.81619999999998</v>
      </c>
      <c r="M1884">
        <v>-0.99968310000000005</v>
      </c>
      <c r="N1884">
        <v>0</v>
      </c>
      <c r="O1884">
        <v>1.997442E-2</v>
      </c>
      <c r="P1884">
        <v>-0.98733170000000003</v>
      </c>
      <c r="Q1884">
        <v>0.153924799999999</v>
      </c>
      <c r="R1884">
        <v>3.8509080000000001E-2</v>
      </c>
      <c r="S1884">
        <v>-3.0877690000000002</v>
      </c>
      <c r="T1884">
        <v>-0.24929989999999999</v>
      </c>
      <c r="U1884">
        <v>-0.28015139999999999</v>
      </c>
      <c r="V1884">
        <v>1.9120069999999999E-2</v>
      </c>
      <c r="W1884">
        <v>0.16899620000000001</v>
      </c>
      <c r="X1884">
        <v>0.98543130000000001</v>
      </c>
      <c r="Y1884">
        <v>-0.1098162</v>
      </c>
      <c r="Z1884">
        <v>-6.0241940000000001E-3</v>
      </c>
      <c r="AA1884">
        <v>0.99393370000000003</v>
      </c>
      <c r="AB1884">
        <v>42</v>
      </c>
      <c r="AC1884">
        <v>-13.313899999999901</v>
      </c>
      <c r="AD1884">
        <v>-1.109401868602</v>
      </c>
      <c r="AE1884">
        <v>-1.2554999999999801</v>
      </c>
      <c r="AF1884">
        <v>-1.51082045516583</v>
      </c>
      <c r="AG1884">
        <v>-1.109401868602</v>
      </c>
      <c r="AH1884">
        <v>13.1953503095322</v>
      </c>
      <c r="AI1884">
        <v>94.774802507342002</v>
      </c>
      <c r="AJ1884">
        <v>96.531718727436399</v>
      </c>
      <c r="AK1884">
        <v>13.327813802161099</v>
      </c>
      <c r="AL1884">
        <v>80.270539544767999</v>
      </c>
      <c r="AM1884">
        <v>88.888444203939002</v>
      </c>
      <c r="AN1884">
        <v>1.0000000698554601</v>
      </c>
    </row>
    <row r="1885" spans="1:40" x14ac:dyDescent="0.25">
      <c r="A1885" t="str">
        <f>"20190312164259684"</f>
        <v>20190312164259684</v>
      </c>
      <c r="B1885" t="str">
        <f>"1552380179676271"</f>
        <v>1552380179676271</v>
      </c>
      <c r="C1885" t="s">
        <v>40</v>
      </c>
      <c r="D1885">
        <v>4.4691919999999996</v>
      </c>
      <c r="E1885">
        <v>0.45675329999999897</v>
      </c>
      <c r="F1885" t="s">
        <v>47</v>
      </c>
      <c r="G1885">
        <v>-437.06049999999999</v>
      </c>
      <c r="H1885" s="1">
        <v>5.4403299999999998E-6</v>
      </c>
      <c r="I1885">
        <v>283.56020000000001</v>
      </c>
      <c r="J1885">
        <v>-423.46710000000002</v>
      </c>
      <c r="K1885">
        <v>1.109421</v>
      </c>
      <c r="L1885">
        <v>284.82510000000002</v>
      </c>
      <c r="M1885">
        <v>-0.99966980000000005</v>
      </c>
      <c r="N1885">
        <v>0</v>
      </c>
      <c r="O1885">
        <v>2.064498E-2</v>
      </c>
      <c r="P1885">
        <v>-0.98728939999999998</v>
      </c>
      <c r="Q1885">
        <v>0.1541582</v>
      </c>
      <c r="R1885">
        <v>3.8666909999999999E-2</v>
      </c>
      <c r="S1885">
        <v>-3.0873719999999998</v>
      </c>
      <c r="T1885">
        <v>-0.24447079999999999</v>
      </c>
      <c r="U1885">
        <v>-0.27676390000000001</v>
      </c>
      <c r="V1885">
        <v>1.8610970000000001E-2</v>
      </c>
      <c r="W1885">
        <v>0.16922599999999999</v>
      </c>
      <c r="X1885">
        <v>0.98540159999999999</v>
      </c>
      <c r="Y1885">
        <v>-0.1094276</v>
      </c>
      <c r="Z1885">
        <v>-5.946509E-3</v>
      </c>
      <c r="AA1885">
        <v>0.993977</v>
      </c>
      <c r="AB1885">
        <v>42</v>
      </c>
      <c r="AC1885">
        <v>-13.5933999999999</v>
      </c>
      <c r="AD1885">
        <v>-1.1094155596699999</v>
      </c>
      <c r="AE1885">
        <v>-1.2649000000000099</v>
      </c>
      <c r="AF1885">
        <v>-1.53516091159386</v>
      </c>
      <c r="AG1885">
        <v>-1.1094155596699999</v>
      </c>
      <c r="AH1885">
        <v>13.4753976356238</v>
      </c>
      <c r="AI1885">
        <v>94.676374948698296</v>
      </c>
      <c r="AJ1885">
        <v>96.499300230163598</v>
      </c>
      <c r="AK1885">
        <v>13.6078603515284</v>
      </c>
      <c r="AL1885">
        <v>80.2571804719217</v>
      </c>
      <c r="AM1885">
        <v>88.918001278173904</v>
      </c>
      <c r="AN1885">
        <v>1.0000000602814401</v>
      </c>
    </row>
    <row r="1886" spans="1:40" x14ac:dyDescent="0.25">
      <c r="A1886" t="str">
        <f>"20190312164259705"</f>
        <v>20190312164259705</v>
      </c>
      <c r="B1886" t="str">
        <f>"1552380179695792"</f>
        <v>1552380179695792</v>
      </c>
      <c r="C1886" t="s">
        <v>40</v>
      </c>
      <c r="D1886">
        <v>4.5456459999999996</v>
      </c>
      <c r="E1886">
        <v>0.45684439999999998</v>
      </c>
      <c r="F1886" t="s">
        <v>47</v>
      </c>
      <c r="G1886">
        <v>-437.5428</v>
      </c>
      <c r="H1886" s="1">
        <v>5.6533319999999998E-6</v>
      </c>
      <c r="I1886">
        <v>283.57060000000001</v>
      </c>
      <c r="J1886">
        <v>-423.87889999999999</v>
      </c>
      <c r="K1886">
        <v>1.109432</v>
      </c>
      <c r="L1886">
        <v>284.83420000000001</v>
      </c>
      <c r="M1886">
        <v>-0.99965619999999999</v>
      </c>
      <c r="N1886">
        <v>0</v>
      </c>
      <c r="O1886">
        <v>2.1296800000000001E-2</v>
      </c>
      <c r="P1886">
        <v>-0.9873229</v>
      </c>
      <c r="Q1886">
        <v>0.1539092</v>
      </c>
      <c r="R1886">
        <v>3.880281E-2</v>
      </c>
      <c r="S1886">
        <v>-3.087402</v>
      </c>
      <c r="T1886">
        <v>-0.24334220000000001</v>
      </c>
      <c r="U1886">
        <v>-0.275177</v>
      </c>
      <c r="V1886">
        <v>1.809521E-2</v>
      </c>
      <c r="W1886">
        <v>0.1689745</v>
      </c>
      <c r="X1886">
        <v>0.98545430000000001</v>
      </c>
      <c r="Y1886">
        <v>-0.10956929999999999</v>
      </c>
      <c r="Z1886">
        <v>-5.9759940000000001E-3</v>
      </c>
      <c r="AA1886">
        <v>0.99396119999999999</v>
      </c>
      <c r="AB1886">
        <v>42</v>
      </c>
      <c r="AC1886">
        <v>-13.6639</v>
      </c>
      <c r="AD1886">
        <v>-1.1094263466680001</v>
      </c>
      <c r="AE1886">
        <v>-1.2635999999999901</v>
      </c>
      <c r="AF1886">
        <v>-1.5442506451228499</v>
      </c>
      <c r="AG1886">
        <v>-1.1094263466680001</v>
      </c>
      <c r="AH1886">
        <v>13.5453465053044</v>
      </c>
      <c r="AI1886">
        <v>94.652334099158097</v>
      </c>
      <c r="AJ1886">
        <v>96.503980894223204</v>
      </c>
      <c r="AK1886">
        <v>13.6781558999159</v>
      </c>
      <c r="AL1886">
        <v>80.271800297229206</v>
      </c>
      <c r="AM1886">
        <v>88.948035783166304</v>
      </c>
      <c r="AN1886">
        <v>0.99999999783184201</v>
      </c>
    </row>
    <row r="1887" spans="1:40" x14ac:dyDescent="0.25">
      <c r="A1887" t="str">
        <f>"20190312164259728"</f>
        <v>20190312164259728</v>
      </c>
      <c r="B1887" t="str">
        <f>"1552380179716287"</f>
        <v>1552380179716287</v>
      </c>
      <c r="C1887" t="s">
        <v>40</v>
      </c>
      <c r="D1887">
        <v>4.318873</v>
      </c>
      <c r="E1887">
        <v>0.45690120000000001</v>
      </c>
      <c r="F1887" t="s">
        <v>47</v>
      </c>
      <c r="G1887">
        <v>-438.5437</v>
      </c>
      <c r="H1887" s="1">
        <v>6.1001850000000003E-6</v>
      </c>
      <c r="I1887">
        <v>283.53609999999998</v>
      </c>
      <c r="J1887">
        <v>-424.30119999999999</v>
      </c>
      <c r="K1887">
        <v>1.109448</v>
      </c>
      <c r="L1887">
        <v>284.84379999999999</v>
      </c>
      <c r="M1887">
        <v>-0.99964209999999998</v>
      </c>
      <c r="N1887">
        <v>0</v>
      </c>
      <c r="O1887">
        <v>2.1946779999999999E-2</v>
      </c>
      <c r="P1887">
        <v>-0.98732779999999998</v>
      </c>
      <c r="Q1887">
        <v>0.15389449999999999</v>
      </c>
      <c r="R1887">
        <v>3.8736909999999999E-2</v>
      </c>
      <c r="S1887">
        <v>-3.0856319999999999</v>
      </c>
      <c r="T1887">
        <v>-0.2334358</v>
      </c>
      <c r="U1887">
        <v>-0.27313229999999999</v>
      </c>
      <c r="V1887">
        <v>1.7379160000000001E-2</v>
      </c>
      <c r="W1887">
        <v>0.16895760000000001</v>
      </c>
      <c r="X1887">
        <v>0.98547010000000002</v>
      </c>
      <c r="Y1887">
        <v>-0.109642</v>
      </c>
      <c r="Z1887">
        <v>-5.7886150000000004E-3</v>
      </c>
      <c r="AA1887">
        <v>0.99395429999999996</v>
      </c>
      <c r="AB1887">
        <v>42</v>
      </c>
      <c r="AC1887">
        <v>-14.2425</v>
      </c>
      <c r="AD1887">
        <v>-1.109441899815</v>
      </c>
      <c r="AE1887">
        <v>-1.3077000000000101</v>
      </c>
      <c r="AF1887">
        <v>-1.6103090780143301</v>
      </c>
      <c r="AG1887">
        <v>-1.109441899815</v>
      </c>
      <c r="AH1887">
        <v>14.1253711263206</v>
      </c>
      <c r="AI1887">
        <v>94.462149713351806</v>
      </c>
      <c r="AJ1887">
        <v>96.503709215745303</v>
      </c>
      <c r="AK1887">
        <v>14.2600864693063</v>
      </c>
      <c r="AL1887">
        <v>80.2727828594698</v>
      </c>
      <c r="AM1887">
        <v>88.989670706441899</v>
      </c>
      <c r="AN1887">
        <v>1.00000001189703</v>
      </c>
    </row>
    <row r="1888" spans="1:40" x14ac:dyDescent="0.25">
      <c r="A1888" t="str">
        <f>"20190312164259752"</f>
        <v>20190312164259752</v>
      </c>
      <c r="B1888" t="str">
        <f>"1552380179746543"</f>
        <v>1552380179746543</v>
      </c>
      <c r="C1888" t="s">
        <v>40</v>
      </c>
      <c r="D1888">
        <v>4.3484889999999998</v>
      </c>
      <c r="E1888">
        <v>0.45680890000000002</v>
      </c>
      <c r="F1888" t="s">
        <v>47</v>
      </c>
      <c r="G1888">
        <v>-439.39659999999998</v>
      </c>
      <c r="H1888" s="1">
        <v>6.4804520000000004E-6</v>
      </c>
      <c r="I1888">
        <v>283.51310000000001</v>
      </c>
      <c r="J1888">
        <v>-424.73750000000001</v>
      </c>
      <c r="K1888">
        <v>1.1094790000000001</v>
      </c>
      <c r="L1888">
        <v>284.85399999999998</v>
      </c>
      <c r="M1888">
        <v>-0.99962810000000002</v>
      </c>
      <c r="N1888">
        <v>0</v>
      </c>
      <c r="O1888">
        <v>2.2585299999999999E-2</v>
      </c>
      <c r="P1888">
        <v>-0.98741950000000001</v>
      </c>
      <c r="Q1888">
        <v>0.15333939999999999</v>
      </c>
      <c r="R1888">
        <v>3.8598420000000001E-2</v>
      </c>
      <c r="S1888">
        <v>-3.084473</v>
      </c>
      <c r="T1888">
        <v>-0.2266946</v>
      </c>
      <c r="U1888">
        <v>-0.27191159999999998</v>
      </c>
      <c r="V1888">
        <v>1.659538E-2</v>
      </c>
      <c r="W1888">
        <v>0.16840160000000001</v>
      </c>
      <c r="X1888">
        <v>0.98557879999999998</v>
      </c>
      <c r="Y1888">
        <v>-0.1099378</v>
      </c>
      <c r="Z1888">
        <v>-5.6817279999999996E-3</v>
      </c>
      <c r="AA1888">
        <v>0.99392219999999998</v>
      </c>
      <c r="AB1888">
        <v>42</v>
      </c>
      <c r="AC1888">
        <v>-14.659099999999899</v>
      </c>
      <c r="AD1888">
        <v>-1.109472519548</v>
      </c>
      <c r="AE1888">
        <v>-1.34090000000003</v>
      </c>
      <c r="AF1888">
        <v>-1.6622341168080901</v>
      </c>
      <c r="AG1888">
        <v>-1.109472519548</v>
      </c>
      <c r="AH1888">
        <v>14.542460746713701</v>
      </c>
      <c r="AI1888">
        <v>94.334639295262804</v>
      </c>
      <c r="AJ1888">
        <v>96.520729700318299</v>
      </c>
      <c r="AK1888">
        <v>14.6791388064975</v>
      </c>
      <c r="AL1888">
        <v>80.305102680153695</v>
      </c>
      <c r="AM1888">
        <v>89.035332957819506</v>
      </c>
      <c r="AN1888">
        <v>1.0000000382646701</v>
      </c>
    </row>
    <row r="1889" spans="1:40" x14ac:dyDescent="0.25">
      <c r="A1889" t="str">
        <f>"20190312164259773"</f>
        <v>20190312164259773</v>
      </c>
      <c r="B1889" t="str">
        <f>"1552380179766064"</f>
        <v>1552380179766064</v>
      </c>
      <c r="C1889" t="s">
        <v>40</v>
      </c>
      <c r="D1889">
        <v>4.357094</v>
      </c>
      <c r="E1889">
        <v>0.45668700000000001</v>
      </c>
      <c r="F1889" t="s">
        <v>47</v>
      </c>
      <c r="G1889">
        <v>-439.75729999999999</v>
      </c>
      <c r="H1889" s="1">
        <v>6.6391919999999997E-6</v>
      </c>
      <c r="I1889">
        <v>283.52679999999998</v>
      </c>
      <c r="J1889">
        <v>-425.1542</v>
      </c>
      <c r="K1889">
        <v>1.1095170000000001</v>
      </c>
      <c r="L1889">
        <v>284.8639</v>
      </c>
      <c r="M1889">
        <v>-0.99961509999999998</v>
      </c>
      <c r="N1889">
        <v>0</v>
      </c>
      <c r="O1889">
        <v>2.3150839999999999E-2</v>
      </c>
      <c r="P1889">
        <v>-0.98750190000000004</v>
      </c>
      <c r="Q1889">
        <v>0.1527318</v>
      </c>
      <c r="R1889">
        <v>3.8899980000000001E-2</v>
      </c>
      <c r="S1889">
        <v>-3.0842589999999999</v>
      </c>
      <c r="T1889">
        <v>-0.22782530000000001</v>
      </c>
      <c r="U1889">
        <v>-0.27252199999999999</v>
      </c>
      <c r="V1889">
        <v>1.6320459999999998E-2</v>
      </c>
      <c r="W1889">
        <v>0.16779240000000001</v>
      </c>
      <c r="X1889">
        <v>0.98568730000000004</v>
      </c>
      <c r="Y1889">
        <v>-0.1106941</v>
      </c>
      <c r="Z1889">
        <v>-5.7798320000000004E-3</v>
      </c>
      <c r="AA1889">
        <v>0.99383770000000005</v>
      </c>
      <c r="AB1889">
        <v>42</v>
      </c>
      <c r="AC1889">
        <v>-14.6030999999999</v>
      </c>
      <c r="AD1889">
        <v>-1.1095103608079999</v>
      </c>
      <c r="AE1889">
        <v>-1.3371000000000199</v>
      </c>
      <c r="AF1889">
        <v>-1.66532175544915</v>
      </c>
      <c r="AG1889">
        <v>-1.1095103608079999</v>
      </c>
      <c r="AH1889">
        <v>14.4853037256034</v>
      </c>
      <c r="AI1889">
        <v>94.351499698422799</v>
      </c>
      <c r="AJ1889">
        <v>96.558290656654506</v>
      </c>
      <c r="AK1889">
        <v>14.6228702316916</v>
      </c>
      <c r="AL1889">
        <v>80.340511229885806</v>
      </c>
      <c r="AM1889">
        <v>89.051415149452794</v>
      </c>
      <c r="AN1889">
        <v>1.00000005014682</v>
      </c>
    </row>
    <row r="1890" spans="1:40" x14ac:dyDescent="0.25">
      <c r="A1890" t="str">
        <f>"20190312164259796"</f>
        <v>20190312164259796</v>
      </c>
      <c r="B1890" t="str">
        <f>"1552380179786560"</f>
        <v>1552380179786560</v>
      </c>
      <c r="C1890" t="s">
        <v>40</v>
      </c>
      <c r="D1890">
        <v>4.4999129999999896</v>
      </c>
      <c r="E1890">
        <v>0.45679069999999999</v>
      </c>
      <c r="F1890" t="s">
        <v>47</v>
      </c>
      <c r="G1890">
        <v>-439.76690000000002</v>
      </c>
      <c r="H1890" s="1">
        <v>6.6395779999999997E-6</v>
      </c>
      <c r="I1890">
        <v>283.5711</v>
      </c>
      <c r="J1890">
        <v>-425.55959999999999</v>
      </c>
      <c r="K1890">
        <v>1.1095729999999999</v>
      </c>
      <c r="L1890">
        <v>284.87369999999999</v>
      </c>
      <c r="M1890">
        <v>-0.99960369999999998</v>
      </c>
      <c r="N1890">
        <v>0</v>
      </c>
      <c r="O1890">
        <v>2.3647729999999999E-2</v>
      </c>
      <c r="P1890">
        <v>-0.98759620000000004</v>
      </c>
      <c r="Q1890">
        <v>0.15214269999999999</v>
      </c>
      <c r="R1890">
        <v>3.8814950000000001E-2</v>
      </c>
      <c r="S1890">
        <v>-3.0849299999999999</v>
      </c>
      <c r="T1890">
        <v>-0.23423189999999999</v>
      </c>
      <c r="U1890">
        <v>-0.27291870000000001</v>
      </c>
      <c r="V1890">
        <v>1.5722360000000001E-2</v>
      </c>
      <c r="W1890">
        <v>0.16720289999999999</v>
      </c>
      <c r="X1890">
        <v>0.98579720000000004</v>
      </c>
      <c r="Y1890">
        <v>-0.11127239999999999</v>
      </c>
      <c r="Z1890">
        <v>-6.0000870000000003E-3</v>
      </c>
      <c r="AA1890">
        <v>0.99377190000000004</v>
      </c>
      <c r="AB1890">
        <v>42</v>
      </c>
      <c r="AC1890">
        <v>-14.2073</v>
      </c>
      <c r="AD1890">
        <v>-1.1095663604220001</v>
      </c>
      <c r="AE1890">
        <v>-1.30259999999998</v>
      </c>
      <c r="AF1890">
        <v>-1.62839586873553</v>
      </c>
      <c r="AG1890">
        <v>-1.1095663604220001</v>
      </c>
      <c r="AH1890">
        <v>14.087311764091</v>
      </c>
      <c r="AI1890">
        <v>94.473852265316907</v>
      </c>
      <c r="AJ1890">
        <v>96.593732041065195</v>
      </c>
      <c r="AK1890">
        <v>14.2244565222082</v>
      </c>
      <c r="AL1890">
        <v>80.374771202822501</v>
      </c>
      <c r="AM1890">
        <v>89.086274029099997</v>
      </c>
      <c r="AN1890">
        <v>1.0000000609501001</v>
      </c>
    </row>
    <row r="1891" spans="1:40" x14ac:dyDescent="0.25">
      <c r="A1891" t="str">
        <f>"20190312164259817"</f>
        <v>20190312164259817</v>
      </c>
      <c r="B1891" t="str">
        <f>"1552380179806079"</f>
        <v>1552380179806079</v>
      </c>
      <c r="C1891" t="s">
        <v>40</v>
      </c>
      <c r="D1891">
        <v>4.4678339999999999</v>
      </c>
      <c r="E1891">
        <v>0.45700619999999997</v>
      </c>
      <c r="F1891" t="s">
        <v>46</v>
      </c>
      <c r="G1891">
        <v>-439.97609999999997</v>
      </c>
      <c r="H1891" s="1">
        <v>-1.505094E-6</v>
      </c>
      <c r="I1891">
        <v>283.60070000000002</v>
      </c>
      <c r="J1891">
        <v>-425.96809999999999</v>
      </c>
      <c r="K1891">
        <v>1.109631</v>
      </c>
      <c r="L1891">
        <v>284.88380000000001</v>
      </c>
      <c r="M1891">
        <v>-0.99959319999999896</v>
      </c>
      <c r="N1891">
        <v>0</v>
      </c>
      <c r="O1891">
        <v>2.4088849999999998E-2</v>
      </c>
      <c r="P1891">
        <v>-0.98756239999999995</v>
      </c>
      <c r="Q1891">
        <v>0.15237490000000001</v>
      </c>
      <c r="R1891">
        <v>3.8764029999999998E-2</v>
      </c>
      <c r="S1891">
        <v>-3.0849000000000002</v>
      </c>
      <c r="T1891">
        <v>-0.23743059999999999</v>
      </c>
      <c r="U1891">
        <v>-0.27239989999999997</v>
      </c>
      <c r="V1891">
        <v>1.521425E-2</v>
      </c>
      <c r="W1891">
        <v>0.16743229999999901</v>
      </c>
      <c r="X1891">
        <v>0.98576620000000004</v>
      </c>
      <c r="Y1891">
        <v>-0.1115333</v>
      </c>
      <c r="Z1891">
        <v>-6.1257439999999998E-3</v>
      </c>
      <c r="AA1891">
        <v>0.99374180000000001</v>
      </c>
      <c r="AB1891">
        <v>42</v>
      </c>
      <c r="AC1891">
        <v>-14.0079999999999</v>
      </c>
      <c r="AD1891">
        <v>-1.1096325050939999</v>
      </c>
      <c r="AE1891">
        <v>-1.2830999999999899</v>
      </c>
      <c r="AF1891">
        <v>-1.61018388204035</v>
      </c>
      <c r="AG1891">
        <v>-1.1096325050939999</v>
      </c>
      <c r="AH1891">
        <v>13.886610288739099</v>
      </c>
      <c r="AI1891">
        <v>94.538328074506396</v>
      </c>
      <c r="AJ1891">
        <v>96.614039043969299</v>
      </c>
      <c r="AK1891">
        <v>14.023620136814101</v>
      </c>
      <c r="AL1891">
        <v>80.361439265065698</v>
      </c>
      <c r="AM1891">
        <v>89.115770953032893</v>
      </c>
      <c r="AN1891">
        <v>1.0000000247743901</v>
      </c>
    </row>
    <row r="1892" spans="1:40" x14ac:dyDescent="0.25">
      <c r="A1892" t="str">
        <f>"20190312164259840"</f>
        <v>20190312164259840</v>
      </c>
      <c r="B1892" t="str">
        <f>"1552380179836335"</f>
        <v>1552380179836335</v>
      </c>
      <c r="C1892" t="s">
        <v>40</v>
      </c>
      <c r="D1892">
        <v>4.622293</v>
      </c>
      <c r="E1892">
        <v>0.45675399999999999</v>
      </c>
      <c r="F1892" t="s">
        <v>46</v>
      </c>
      <c r="G1892">
        <v>-440.0018</v>
      </c>
      <c r="H1892" s="1">
        <v>-1.4937410000000001E-6</v>
      </c>
      <c r="I1892">
        <v>283.6533</v>
      </c>
      <c r="J1892">
        <v>-426.39150000000001</v>
      </c>
      <c r="K1892">
        <v>1.109699</v>
      </c>
      <c r="L1892">
        <v>284.89429999999999</v>
      </c>
      <c r="M1892">
        <v>-0.99958349999999996</v>
      </c>
      <c r="N1892">
        <v>0</v>
      </c>
      <c r="O1892">
        <v>2.4483850000000001E-2</v>
      </c>
      <c r="P1892">
        <v>-0.98737140000000001</v>
      </c>
      <c r="Q1892">
        <v>0.15356029999999901</v>
      </c>
      <c r="R1892">
        <v>3.894483E-2</v>
      </c>
      <c r="S1892">
        <v>-3.0860599999999998</v>
      </c>
      <c r="T1892">
        <v>-0.2440128</v>
      </c>
      <c r="U1892">
        <v>-0.27059939999999999</v>
      </c>
      <c r="V1892">
        <v>1.4985729999999999E-2</v>
      </c>
      <c r="W1892">
        <v>0.1686126</v>
      </c>
      <c r="X1892">
        <v>0.98556849999999996</v>
      </c>
      <c r="Y1892">
        <v>-0.1112954</v>
      </c>
      <c r="Z1892">
        <v>-6.3146219999999998E-3</v>
      </c>
      <c r="AA1892">
        <v>0.99376730000000002</v>
      </c>
      <c r="AB1892">
        <v>42</v>
      </c>
      <c r="AC1892">
        <v>-13.610299999999899</v>
      </c>
      <c r="AD1892">
        <v>-1.109700493741</v>
      </c>
      <c r="AE1892">
        <v>-1.2409999999999799</v>
      </c>
      <c r="AF1892">
        <v>-1.5635906373441499</v>
      </c>
      <c r="AG1892">
        <v>-1.109700493741</v>
      </c>
      <c r="AH1892">
        <v>13.4869123629357</v>
      </c>
      <c r="AI1892">
        <v>94.672533715302507</v>
      </c>
      <c r="AJ1892">
        <v>96.613002111138599</v>
      </c>
      <c r="AK1892">
        <v>13.6225201762562</v>
      </c>
      <c r="AL1892">
        <v>80.292837755970794</v>
      </c>
      <c r="AM1892">
        <v>89.128875444933001</v>
      </c>
      <c r="AN1892">
        <v>1.00000002458732</v>
      </c>
    </row>
    <row r="1893" spans="1:40" x14ac:dyDescent="0.25">
      <c r="A1893" t="str">
        <f>"20190312164259862"</f>
        <v>20190312164259862</v>
      </c>
      <c r="B1893" t="str">
        <f>"1552380179855855"</f>
        <v>1552380179855855</v>
      </c>
      <c r="C1893" t="s">
        <v>40</v>
      </c>
      <c r="D1893">
        <v>4.4095599999999999</v>
      </c>
      <c r="E1893">
        <v>0.45670070000000001</v>
      </c>
      <c r="F1893" t="s">
        <v>46</v>
      </c>
      <c r="G1893">
        <v>-440.48739999999998</v>
      </c>
      <c r="H1893" s="1">
        <v>-1.2354230000000001E-6</v>
      </c>
      <c r="I1893">
        <v>283.65499999999997</v>
      </c>
      <c r="J1893">
        <v>-426.8064</v>
      </c>
      <c r="K1893">
        <v>1.109756</v>
      </c>
      <c r="L1893">
        <v>284.90480000000002</v>
      </c>
      <c r="M1893">
        <v>-0.99957549999999995</v>
      </c>
      <c r="N1893">
        <v>0</v>
      </c>
      <c r="O1893">
        <v>2.481119E-2</v>
      </c>
      <c r="P1893">
        <v>-0.9872611</v>
      </c>
      <c r="Q1893">
        <v>0.15435750000000001</v>
      </c>
      <c r="R1893">
        <v>3.8595930000000001E-2</v>
      </c>
      <c r="S1893">
        <v>-3.0868530000000001</v>
      </c>
      <c r="T1893">
        <v>-0.24301410000000001</v>
      </c>
      <c r="U1893">
        <v>-0.27139279999999999</v>
      </c>
      <c r="V1893">
        <v>1.429383E-2</v>
      </c>
      <c r="W1893">
        <v>0.169406</v>
      </c>
      <c r="X1893">
        <v>0.9854427</v>
      </c>
      <c r="Y1893">
        <v>-0.11185299999999999</v>
      </c>
      <c r="Z1893">
        <v>-6.3347450000000001E-3</v>
      </c>
      <c r="AA1893">
        <v>0.99370460000000005</v>
      </c>
      <c r="AB1893">
        <v>42</v>
      </c>
      <c r="AC1893">
        <v>-13.6809999999999</v>
      </c>
      <c r="AD1893">
        <v>-1.1097572354230001</v>
      </c>
      <c r="AE1893">
        <v>-1.24980000000005</v>
      </c>
      <c r="AF1893">
        <v>-1.5785955873112001</v>
      </c>
      <c r="AG1893">
        <v>-1.1097572354230001</v>
      </c>
      <c r="AH1893">
        <v>13.5573071145757</v>
      </c>
      <c r="AI1893">
        <v>94.648347529760301</v>
      </c>
      <c r="AJ1893">
        <v>96.641540123384999</v>
      </c>
      <c r="AK1893">
        <v>13.693943966176301</v>
      </c>
      <c r="AL1893">
        <v>80.246715658040102</v>
      </c>
      <c r="AM1893">
        <v>89.168983946717006</v>
      </c>
      <c r="AN1893">
        <v>1.0000000106976701</v>
      </c>
    </row>
    <row r="1894" spans="1:40" x14ac:dyDescent="0.25">
      <c r="A1894" t="str">
        <f>"20190312164259884"</f>
        <v>20190312164259884</v>
      </c>
      <c r="B1894" t="str">
        <f>"1552380179876351"</f>
        <v>1552380179876351</v>
      </c>
      <c r="C1894" t="s">
        <v>40</v>
      </c>
      <c r="D1894">
        <v>4.379842</v>
      </c>
      <c r="E1894">
        <v>0.45648080000000002</v>
      </c>
      <c r="F1894" t="s">
        <v>46</v>
      </c>
      <c r="G1894">
        <v>-441.1105</v>
      </c>
      <c r="H1894" s="1">
        <v>-9.0330830000000003E-7</v>
      </c>
      <c r="I1894">
        <v>283.64319999999998</v>
      </c>
      <c r="J1894">
        <v>-427.21440000000001</v>
      </c>
      <c r="K1894">
        <v>1.1098110000000001</v>
      </c>
      <c r="L1894">
        <v>284.91520000000003</v>
      </c>
      <c r="M1894">
        <v>-0.99956880000000004</v>
      </c>
      <c r="N1894">
        <v>0</v>
      </c>
      <c r="O1894">
        <v>2.508968E-2</v>
      </c>
      <c r="P1894">
        <v>-0.98717619999999895</v>
      </c>
      <c r="Q1894">
        <v>0.155086</v>
      </c>
      <c r="R1894">
        <v>3.7837030000000001E-2</v>
      </c>
      <c r="S1894">
        <v>-3.086792</v>
      </c>
      <c r="T1894">
        <v>-0.23948259999999999</v>
      </c>
      <c r="U1894">
        <v>-0.27224730000000003</v>
      </c>
      <c r="V1894">
        <v>1.324256E-2</v>
      </c>
      <c r="W1894">
        <v>0.17013059999999999</v>
      </c>
      <c r="X1894">
        <v>0.98533249999999994</v>
      </c>
      <c r="Y1894">
        <v>-0.1124141</v>
      </c>
      <c r="Z1894">
        <v>-6.2862450000000002E-3</v>
      </c>
      <c r="AA1894">
        <v>0.99364160000000001</v>
      </c>
      <c r="AB1894">
        <v>42</v>
      </c>
      <c r="AC1894">
        <v>-13.896099999999899</v>
      </c>
      <c r="AD1894">
        <v>-1.1098119033083</v>
      </c>
      <c r="AE1894">
        <v>-1.27200000000004</v>
      </c>
      <c r="AF1894">
        <v>-1.61010418549949</v>
      </c>
      <c r="AG1894">
        <v>-1.1098119033083</v>
      </c>
      <c r="AH1894">
        <v>13.772688769389299</v>
      </c>
      <c r="AI1894">
        <v>94.575945956696003</v>
      </c>
      <c r="AJ1894">
        <v>96.667929652011395</v>
      </c>
      <c r="AK1894">
        <v>13.910825780209899</v>
      </c>
      <c r="AL1894">
        <v>80.204587113472599</v>
      </c>
      <c r="AM1894">
        <v>89.230009037339997</v>
      </c>
      <c r="AN1894">
        <v>0.99999996100398003</v>
      </c>
    </row>
    <row r="1895" spans="1:40" x14ac:dyDescent="0.25">
      <c r="A1895" t="str">
        <f>"20190312164259907"</f>
        <v>20190312164259907</v>
      </c>
      <c r="B1895" t="str">
        <f>"1552380179895872"</f>
        <v>1552380179895872</v>
      </c>
      <c r="C1895" t="s">
        <v>40</v>
      </c>
      <c r="D1895">
        <v>4.3569079999999998</v>
      </c>
      <c r="E1895">
        <v>0.45621030000000001</v>
      </c>
      <c r="F1895" t="s">
        <v>46</v>
      </c>
      <c r="G1895">
        <v>-441.57659999999998</v>
      </c>
      <c r="H1895" s="1">
        <v>-6.5471450000000004E-7</v>
      </c>
      <c r="I1895">
        <v>283.63080000000002</v>
      </c>
      <c r="J1895">
        <v>-427.63369999999998</v>
      </c>
      <c r="K1895">
        <v>1.1098589999999999</v>
      </c>
      <c r="L1895">
        <v>284.92590000000001</v>
      </c>
      <c r="M1895">
        <v>-0.99956239999999996</v>
      </c>
      <c r="N1895">
        <v>0</v>
      </c>
      <c r="O1895">
        <v>2.5343149999999998E-2</v>
      </c>
      <c r="P1895">
        <v>-0.98720370000000002</v>
      </c>
      <c r="Q1895">
        <v>0.1552085</v>
      </c>
      <c r="R1895">
        <v>3.6599850000000003E-2</v>
      </c>
      <c r="S1895">
        <v>-3.0870359999999999</v>
      </c>
      <c r="T1895">
        <v>-0.2385437</v>
      </c>
      <c r="U1895">
        <v>-0.27606199999999997</v>
      </c>
      <c r="V1895">
        <v>1.1738149999999999E-2</v>
      </c>
      <c r="W1895">
        <v>0.17025079999999901</v>
      </c>
      <c r="X1895">
        <v>0.98533079999999995</v>
      </c>
      <c r="Y1895">
        <v>-0.11387559999999999</v>
      </c>
      <c r="Z1895">
        <v>-6.3366480000000003E-3</v>
      </c>
      <c r="AA1895">
        <v>0.99347479999999999</v>
      </c>
      <c r="AB1895">
        <v>42</v>
      </c>
      <c r="AC1895">
        <v>-13.9429</v>
      </c>
      <c r="AD1895">
        <v>-1.1098596547145001</v>
      </c>
      <c r="AE1895">
        <v>-1.2950999999999899</v>
      </c>
      <c r="AF1895">
        <v>-1.6377934205056199</v>
      </c>
      <c r="AG1895">
        <v>-1.1098596547145001</v>
      </c>
      <c r="AH1895">
        <v>13.818785099913301</v>
      </c>
      <c r="AI1895">
        <v>94.560090674850599</v>
      </c>
      <c r="AJ1895">
        <v>96.759128077474301</v>
      </c>
      <c r="AK1895">
        <v>13.9596911634534</v>
      </c>
      <c r="AL1895">
        <v>80.197598113572298</v>
      </c>
      <c r="AM1895">
        <v>89.317473236718598</v>
      </c>
      <c r="AN1895">
        <v>0.99999995224735005</v>
      </c>
    </row>
    <row r="1896" spans="1:40" x14ac:dyDescent="0.25">
      <c r="A1896" t="str">
        <f>"20190312164259930"</f>
        <v>20190312164259930</v>
      </c>
      <c r="B1896" t="str">
        <f>"1552380179926127"</f>
        <v>1552380179926127</v>
      </c>
      <c r="C1896" t="s">
        <v>40</v>
      </c>
      <c r="D1896">
        <v>4.4971899999999998</v>
      </c>
      <c r="E1896">
        <v>0.4558122</v>
      </c>
      <c r="F1896" t="s">
        <v>46</v>
      </c>
      <c r="G1896">
        <v>-441.94889999999998</v>
      </c>
      <c r="H1896" s="1">
        <v>-4.5613409999999999E-7</v>
      </c>
      <c r="I1896">
        <v>283.62079999999997</v>
      </c>
      <c r="J1896">
        <v>-428.04140000000001</v>
      </c>
      <c r="K1896">
        <v>1.1098939999999999</v>
      </c>
      <c r="L1896">
        <v>284.93650000000002</v>
      </c>
      <c r="M1896">
        <v>-0.99955680000000002</v>
      </c>
      <c r="N1896">
        <v>0</v>
      </c>
      <c r="O1896">
        <v>2.5568170000000001E-2</v>
      </c>
      <c r="P1896">
        <v>-0.98718059999999996</v>
      </c>
      <c r="Q1896">
        <v>0.15553719999999999</v>
      </c>
      <c r="R1896">
        <v>3.5816220000000003E-2</v>
      </c>
      <c r="S1896">
        <v>-3.0869450000000001</v>
      </c>
      <c r="T1896">
        <v>-0.23932970000000001</v>
      </c>
      <c r="U1896">
        <v>-0.28143309999999999</v>
      </c>
      <c r="V1896">
        <v>1.072002E-2</v>
      </c>
      <c r="W1896">
        <v>0.17057549999999999</v>
      </c>
      <c r="X1896">
        <v>0.98528629999999995</v>
      </c>
      <c r="Y1896">
        <v>-0.1158071</v>
      </c>
      <c r="Z1896">
        <v>-6.4491669999999996E-3</v>
      </c>
      <c r="AA1896">
        <v>0.99325079999999999</v>
      </c>
      <c r="AB1896">
        <v>42</v>
      </c>
      <c r="AC1896">
        <v>-13.907499999999899</v>
      </c>
      <c r="AD1896">
        <v>-1.1098944561341</v>
      </c>
      <c r="AE1896">
        <v>-1.3157000000000401</v>
      </c>
      <c r="AF1896">
        <v>-1.6604191788556799</v>
      </c>
      <c r="AG1896">
        <v>-1.1098944561341</v>
      </c>
      <c r="AH1896">
        <v>13.7823086899909</v>
      </c>
      <c r="AI1896">
        <v>94.571202411114996</v>
      </c>
      <c r="AJ1896">
        <v>96.869582780450799</v>
      </c>
      <c r="AK1896">
        <v>13.9262662038131</v>
      </c>
      <c r="AL1896">
        <v>80.178718546088405</v>
      </c>
      <c r="AM1896">
        <v>89.3766404060556</v>
      </c>
      <c r="AN1896">
        <v>1.0000000064983701</v>
      </c>
    </row>
    <row r="1897" spans="1:40" x14ac:dyDescent="0.25">
      <c r="A1897" t="str">
        <f>"20190312164259952"</f>
        <v>20190312164259952</v>
      </c>
      <c r="B1897" t="str">
        <f>"1552380179945647"</f>
        <v>1552380179945647</v>
      </c>
      <c r="C1897" t="s">
        <v>40</v>
      </c>
      <c r="D1897">
        <v>4.2958600000000002</v>
      </c>
      <c r="E1897">
        <v>0.45575080000000001</v>
      </c>
      <c r="F1897" t="s">
        <v>46</v>
      </c>
      <c r="G1897">
        <v>-442.36610000000002</v>
      </c>
      <c r="H1897" s="1">
        <v>-2.3341719999999999E-7</v>
      </c>
      <c r="I1897">
        <v>283.60410000000002</v>
      </c>
      <c r="J1897">
        <v>-428.47390000000001</v>
      </c>
      <c r="K1897">
        <v>1.10992</v>
      </c>
      <c r="L1897">
        <v>284.9477</v>
      </c>
      <c r="M1897">
        <v>-0.99955099999999997</v>
      </c>
      <c r="N1897">
        <v>0</v>
      </c>
      <c r="O1897">
        <v>2.5793219999999999E-2</v>
      </c>
      <c r="P1897">
        <v>-0.98725209999999997</v>
      </c>
      <c r="Q1897">
        <v>0.155357299999999</v>
      </c>
      <c r="R1897">
        <v>3.4600829999999999E-2</v>
      </c>
      <c r="S1897">
        <v>-3.0870359999999999</v>
      </c>
      <c r="T1897">
        <v>-0.23918710000000001</v>
      </c>
      <c r="U1897">
        <v>-0.2871399</v>
      </c>
      <c r="V1897">
        <v>9.2695169999999997E-3</v>
      </c>
      <c r="W1897">
        <v>0.17039370000000001</v>
      </c>
      <c r="X1897">
        <v>0.98533249999999994</v>
      </c>
      <c r="Y1897">
        <v>-0.1178424</v>
      </c>
      <c r="Z1897">
        <v>-6.54056E-3</v>
      </c>
      <c r="AA1897">
        <v>0.99301079999999997</v>
      </c>
      <c r="AB1897">
        <v>41</v>
      </c>
      <c r="AC1897">
        <v>-13.892200000000001</v>
      </c>
      <c r="AD1897">
        <v>-1.1099202334172</v>
      </c>
      <c r="AE1897">
        <v>-1.3435999999999799</v>
      </c>
      <c r="AF1897">
        <v>-1.6908261794144901</v>
      </c>
      <c r="AG1897">
        <v>-1.1099202334172</v>
      </c>
      <c r="AH1897">
        <v>13.7658606567091</v>
      </c>
      <c r="AI1897">
        <v>94.575461727314504</v>
      </c>
      <c r="AJ1897">
        <v>97.002423388140301</v>
      </c>
      <c r="AK1897">
        <v>13.9136528529885</v>
      </c>
      <c r="AL1897">
        <v>80.189289971274903</v>
      </c>
      <c r="AM1897">
        <v>89.461005766793804</v>
      </c>
      <c r="AN1897">
        <v>1.00000003625067</v>
      </c>
    </row>
    <row r="1898" spans="1:40" x14ac:dyDescent="0.25">
      <c r="A1898" t="str">
        <f>"20190312164259974"</f>
        <v>20190312164259974</v>
      </c>
      <c r="B1898" t="str">
        <f>"1552380179966143"</f>
        <v>1552380179966143</v>
      </c>
      <c r="C1898" t="s">
        <v>40</v>
      </c>
      <c r="D1898">
        <v>4.4348020000000004</v>
      </c>
      <c r="E1898">
        <v>0.45606659999999999</v>
      </c>
      <c r="F1898" t="s">
        <v>46</v>
      </c>
      <c r="G1898">
        <v>-442.75830000000002</v>
      </c>
      <c r="H1898" s="1">
        <v>-2.4568390000000001E-8</v>
      </c>
      <c r="I1898">
        <v>283.60079999999999</v>
      </c>
      <c r="J1898">
        <v>-428.87540000000001</v>
      </c>
      <c r="K1898">
        <v>1.109936</v>
      </c>
      <c r="L1898">
        <v>284.95830000000001</v>
      </c>
      <c r="M1898">
        <v>-0.99954589999999999</v>
      </c>
      <c r="N1898">
        <v>0</v>
      </c>
      <c r="O1898">
        <v>2.5996189999999999E-2</v>
      </c>
      <c r="P1898">
        <v>-0.98729750000000005</v>
      </c>
      <c r="Q1898">
        <v>0.15527289999999999</v>
      </c>
      <c r="R1898">
        <v>3.3679300000000002E-2</v>
      </c>
      <c r="S1898">
        <v>-3.0867</v>
      </c>
      <c r="T1898">
        <v>-0.2398409</v>
      </c>
      <c r="U1898">
        <v>-0.29104609999999997</v>
      </c>
      <c r="V1898">
        <v>8.1381000000000005E-3</v>
      </c>
      <c r="W1898">
        <v>0.17030580000000001</v>
      </c>
      <c r="X1898">
        <v>0.98535759999999994</v>
      </c>
      <c r="Y1898">
        <v>-0.1192923</v>
      </c>
      <c r="Z1898">
        <v>-6.6305560000000001E-3</v>
      </c>
      <c r="AA1898">
        <v>0.99283699999999997</v>
      </c>
      <c r="AB1898">
        <v>41</v>
      </c>
      <c r="AC1898">
        <v>-13.882899999999999</v>
      </c>
      <c r="AD1898">
        <v>-1.10993602456839</v>
      </c>
      <c r="AE1898">
        <v>-1.3575000000000099</v>
      </c>
      <c r="AF1898">
        <v>-1.70717663444934</v>
      </c>
      <c r="AG1898">
        <v>-1.10993602456839</v>
      </c>
      <c r="AH1898">
        <v>13.7558189458142</v>
      </c>
      <c r="AI1898">
        <v>94.578143743951401</v>
      </c>
      <c r="AJ1898">
        <v>97.074563986583399</v>
      </c>
      <c r="AK1898">
        <v>13.905716986544199</v>
      </c>
      <c r="AL1898">
        <v>80.194400090761604</v>
      </c>
      <c r="AM1898">
        <v>89.526803079598906</v>
      </c>
      <c r="AN1898">
        <v>0.99999994703150297</v>
      </c>
    </row>
    <row r="1899" spans="1:40" x14ac:dyDescent="0.25">
      <c r="A1899" t="str">
        <f>"20190312164259998"</f>
        <v>20190312164259998</v>
      </c>
      <c r="B1899" t="str">
        <f>"1552380179986639"</f>
        <v>1552380179986639</v>
      </c>
      <c r="C1899" t="s">
        <v>40</v>
      </c>
      <c r="D1899">
        <v>4.259614</v>
      </c>
      <c r="E1899">
        <v>0.4885755</v>
      </c>
      <c r="F1899" t="s">
        <v>46</v>
      </c>
      <c r="G1899">
        <v>-443.24970000000002</v>
      </c>
      <c r="H1899" s="1">
        <v>2.368728E-7</v>
      </c>
      <c r="I1899">
        <v>283.60239999999999</v>
      </c>
      <c r="J1899">
        <v>-429.31599999999997</v>
      </c>
      <c r="K1899">
        <v>1.109955</v>
      </c>
      <c r="L1899">
        <v>284.9699</v>
      </c>
      <c r="M1899">
        <v>-0.99954019999999999</v>
      </c>
      <c r="N1899">
        <v>0</v>
      </c>
      <c r="O1899">
        <v>2.6217959999999998E-2</v>
      </c>
      <c r="P1899">
        <v>-0.98741579999999995</v>
      </c>
      <c r="Q1899">
        <v>0.15480179999999999</v>
      </c>
      <c r="R1899">
        <v>3.2349849999999999E-2</v>
      </c>
      <c r="S1899">
        <v>-3.0859679999999998</v>
      </c>
      <c r="T1899">
        <v>-0.238288</v>
      </c>
      <c r="U1899">
        <v>-0.29107670000000002</v>
      </c>
      <c r="V1899">
        <v>6.5782999999999996E-3</v>
      </c>
      <c r="W1899">
        <v>0.1698327</v>
      </c>
      <c r="X1899">
        <v>0.98545099999999997</v>
      </c>
      <c r="Y1899">
        <v>-0.1195484</v>
      </c>
      <c r="Z1899">
        <v>-6.6162209999999898E-3</v>
      </c>
      <c r="AA1899">
        <v>0.99280630000000003</v>
      </c>
      <c r="AB1899">
        <v>41</v>
      </c>
      <c r="AC1899">
        <v>-13.9337</v>
      </c>
      <c r="AD1899">
        <v>-1.1099547631272</v>
      </c>
      <c r="AE1899">
        <v>-1.3674999999999999</v>
      </c>
      <c r="AF1899">
        <v>-1.7215651211263601</v>
      </c>
      <c r="AG1899">
        <v>-1.1099547631272</v>
      </c>
      <c r="AH1899">
        <v>13.8062776668292</v>
      </c>
      <c r="AI1899">
        <v>94.561231610246097</v>
      </c>
      <c r="AJ1899">
        <v>97.107773900350196</v>
      </c>
      <c r="AK1899">
        <v>13.957402661528899</v>
      </c>
      <c r="AL1899">
        <v>80.221908434143998</v>
      </c>
      <c r="AM1899">
        <v>89.617532248673697</v>
      </c>
      <c r="AN1899">
        <v>1.0000000467105801</v>
      </c>
    </row>
    <row r="1900" spans="1:40" x14ac:dyDescent="0.25">
      <c r="A1900" t="str">
        <f>"20190312164300042"</f>
        <v>20190312164300042</v>
      </c>
      <c r="B1900" t="str">
        <f>"1552380180036416"</f>
        <v>1552380180036416</v>
      </c>
      <c r="C1900" t="s">
        <v>40</v>
      </c>
      <c r="D1900">
        <v>4.4875290000000003</v>
      </c>
      <c r="E1900">
        <v>0.49455060000000001</v>
      </c>
      <c r="F1900" t="s">
        <v>46</v>
      </c>
      <c r="G1900">
        <v>-445.60719999999998</v>
      </c>
      <c r="H1900" s="1">
        <v>1.439255E-6</v>
      </c>
      <c r="I1900">
        <v>284.79570000000001</v>
      </c>
      <c r="J1900">
        <v>-430.11410000000001</v>
      </c>
      <c r="K1900">
        <v>1.109982</v>
      </c>
      <c r="L1900">
        <v>284.99130000000002</v>
      </c>
      <c r="M1900">
        <v>-0.99952980000000002</v>
      </c>
      <c r="N1900">
        <v>0</v>
      </c>
      <c r="O1900">
        <v>2.6618880000000001E-2</v>
      </c>
      <c r="P1900">
        <v>-0.98768129999999998</v>
      </c>
      <c r="Q1900">
        <v>0.15357199999999999</v>
      </c>
      <c r="R1900">
        <v>3.0029400000000001E-2</v>
      </c>
      <c r="S1900">
        <v>-3.0721440000000002</v>
      </c>
      <c r="T1900">
        <v>-0.20931140000000001</v>
      </c>
      <c r="U1900">
        <v>-3.2867430000000003E-2</v>
      </c>
      <c r="V1900">
        <v>3.8427579999999999E-3</v>
      </c>
      <c r="W1900">
        <v>0.168599</v>
      </c>
      <c r="X1900">
        <v>0.98567720000000003</v>
      </c>
      <c r="Y1900">
        <v>-3.7166709999999999E-2</v>
      </c>
      <c r="Z1900">
        <v>-3.07618E-3</v>
      </c>
      <c r="AA1900">
        <v>0.99930439999999998</v>
      </c>
      <c r="AB1900">
        <v>41</v>
      </c>
      <c r="AC1900">
        <v>-15.493099999999901</v>
      </c>
      <c r="AD1900">
        <v>-1.109980560745</v>
      </c>
      <c r="AE1900">
        <v>-0.19560000000001301</v>
      </c>
      <c r="AF1900">
        <v>-0.604883164154006</v>
      </c>
      <c r="AG1900">
        <v>-1.109980560745</v>
      </c>
      <c r="AH1900">
        <v>15.403351886491199</v>
      </c>
      <c r="AI1900">
        <v>94.118501890261498</v>
      </c>
      <c r="AJ1900">
        <v>92.248825719420594</v>
      </c>
      <c r="AK1900">
        <v>15.455134739839099</v>
      </c>
      <c r="AL1900">
        <v>80.293627723030596</v>
      </c>
      <c r="AM1900">
        <v>89.776627987720303</v>
      </c>
      <c r="AN1900">
        <v>0.99999996609494202</v>
      </c>
    </row>
    <row r="1901" spans="1:40" x14ac:dyDescent="0.25">
      <c r="A1901" t="str">
        <f>"20190312164300063"</f>
        <v>20190312164300063</v>
      </c>
      <c r="B1901" t="str">
        <f>"1552380180055936"</f>
        <v>1552380180055936</v>
      </c>
      <c r="C1901" t="s">
        <v>40</v>
      </c>
      <c r="D1901">
        <v>4.1295840000000004</v>
      </c>
      <c r="E1901">
        <v>0.49395139999999998</v>
      </c>
      <c r="F1901" t="s">
        <v>46</v>
      </c>
      <c r="G1901">
        <v>-448.08679999999998</v>
      </c>
      <c r="H1901" s="1">
        <v>2.7474129999999999E-6</v>
      </c>
      <c r="I1901">
        <v>285.05540000000002</v>
      </c>
      <c r="J1901">
        <v>-430.5274</v>
      </c>
      <c r="K1901">
        <v>1.1099889999999999</v>
      </c>
      <c r="L1901">
        <v>285.0025</v>
      </c>
      <c r="M1901">
        <v>-0.99952430000000003</v>
      </c>
      <c r="N1901">
        <v>0</v>
      </c>
      <c r="O1901">
        <v>2.6822780000000001E-2</v>
      </c>
      <c r="P1901">
        <v>-0.98777910000000002</v>
      </c>
      <c r="Q1901">
        <v>0.153201799999999</v>
      </c>
      <c r="R1901">
        <v>2.8661740000000002E-2</v>
      </c>
      <c r="S1901">
        <v>-3.0664980000000002</v>
      </c>
      <c r="T1901">
        <v>-0.1893841</v>
      </c>
      <c r="U1901">
        <v>1.0925290000000001E-2</v>
      </c>
      <c r="V1901">
        <v>2.2660309999999999E-3</v>
      </c>
      <c r="W1901">
        <v>0.1682263</v>
      </c>
      <c r="X1901">
        <v>0.98574580000000001</v>
      </c>
      <c r="Y1901">
        <v>-2.316899E-2</v>
      </c>
      <c r="Z1901">
        <v>-2.3697560000000002E-3</v>
      </c>
      <c r="AA1901">
        <v>0.99972870000000003</v>
      </c>
      <c r="AB1901">
        <v>41</v>
      </c>
      <c r="AC1901">
        <v>-17.559399999999901</v>
      </c>
      <c r="AD1901">
        <v>-1.1099862525869999</v>
      </c>
      <c r="AE1901">
        <v>5.2900000000022297E-2</v>
      </c>
      <c r="AF1901">
        <v>-0.41650125048206299</v>
      </c>
      <c r="AG1901">
        <v>-1.1099862525869999</v>
      </c>
      <c r="AH1901">
        <v>17.484633419243899</v>
      </c>
      <c r="AI1901">
        <v>93.631436370711199</v>
      </c>
      <c r="AJ1901">
        <v>91.364584033949697</v>
      </c>
      <c r="AK1901">
        <v>17.524780985162799</v>
      </c>
      <c r="AL1901">
        <v>80.315291647323505</v>
      </c>
      <c r="AM1901">
        <v>89.868288778055103</v>
      </c>
      <c r="AN1901">
        <v>1.0000000025629101</v>
      </c>
    </row>
    <row r="1902" spans="1:40" x14ac:dyDescent="0.25">
      <c r="A1902" t="str">
        <f>"20190312164300086"</f>
        <v>20190312164300086</v>
      </c>
      <c r="B1902" t="str">
        <f>"1552380180076432"</f>
        <v>1552380180076432</v>
      </c>
      <c r="C1902" t="s">
        <v>40</v>
      </c>
      <c r="D1902">
        <v>4.1202930000000002</v>
      </c>
      <c r="E1902">
        <v>0.49351790000000001</v>
      </c>
      <c r="F1902" t="s">
        <v>46</v>
      </c>
      <c r="G1902">
        <v>-448.17180000000002</v>
      </c>
      <c r="H1902" s="1">
        <v>2.7943419999999898E-6</v>
      </c>
      <c r="I1902">
        <v>285.01650000000001</v>
      </c>
      <c r="J1902">
        <v>-430.9239</v>
      </c>
      <c r="K1902">
        <v>1.109998</v>
      </c>
      <c r="L1902">
        <v>285.01330000000002</v>
      </c>
      <c r="M1902">
        <v>-0.9995193</v>
      </c>
      <c r="N1902">
        <v>0</v>
      </c>
      <c r="O1902">
        <v>2.7013519999999999E-2</v>
      </c>
      <c r="P1902">
        <v>-0.9878979</v>
      </c>
      <c r="Q1902">
        <v>0.15262020000000001</v>
      </c>
      <c r="R1902">
        <v>2.765778E-2</v>
      </c>
      <c r="S1902">
        <v>-3.0669249999999999</v>
      </c>
      <c r="T1902">
        <v>-0.19293589999999999</v>
      </c>
      <c r="U1902">
        <v>2.4414060000000001E-3</v>
      </c>
      <c r="V1902">
        <v>1.0656470000000001E-3</v>
      </c>
      <c r="W1902">
        <v>0.1676415</v>
      </c>
      <c r="X1902">
        <v>0.98584749999999999</v>
      </c>
      <c r="Y1902">
        <v>-2.6115860000000001E-2</v>
      </c>
      <c r="Z1902">
        <v>-2.5183860000000001E-3</v>
      </c>
      <c r="AA1902">
        <v>0.99965570000000004</v>
      </c>
      <c r="AB1902">
        <v>41</v>
      </c>
      <c r="AC1902">
        <v>-17.247900000000001</v>
      </c>
      <c r="AD1902">
        <v>-1.109995205658</v>
      </c>
      <c r="AE1902">
        <v>3.19999999999254E-3</v>
      </c>
      <c r="AF1902">
        <v>-0.46087282784035599</v>
      </c>
      <c r="AG1902">
        <v>-1.109995205658</v>
      </c>
      <c r="AH1902">
        <v>17.170576769365699</v>
      </c>
      <c r="AI1902">
        <v>93.697422016063697</v>
      </c>
      <c r="AJ1902">
        <v>91.537498115007196</v>
      </c>
      <c r="AK1902">
        <v>17.2125884082757</v>
      </c>
      <c r="AL1902">
        <v>80.349281395521501</v>
      </c>
      <c r="AM1902">
        <v>89.938066433428801</v>
      </c>
      <c r="AN1902">
        <v>1.0000000506910101</v>
      </c>
    </row>
    <row r="1903" spans="1:40" x14ac:dyDescent="0.25">
      <c r="A1903" t="str">
        <f>"20190312164300108"</f>
        <v>20190312164300108</v>
      </c>
      <c r="B1903" t="str">
        <f>"1552380180095952"</f>
        <v>1552380180095952</v>
      </c>
      <c r="C1903" t="s">
        <v>40</v>
      </c>
      <c r="D1903">
        <v>4.0965350000000003</v>
      </c>
      <c r="E1903">
        <v>0.49326690000000001</v>
      </c>
      <c r="F1903" t="s">
        <v>46</v>
      </c>
      <c r="G1903">
        <v>-448.23689999999999</v>
      </c>
      <c r="H1903" s="1">
        <v>2.8301140000000002E-6</v>
      </c>
      <c r="I1903">
        <v>284.99059999999997</v>
      </c>
      <c r="J1903">
        <v>-431.33769999999998</v>
      </c>
      <c r="K1903">
        <v>1.1100129999999999</v>
      </c>
      <c r="L1903">
        <v>285.0247</v>
      </c>
      <c r="M1903">
        <v>-0.99951460000000003</v>
      </c>
      <c r="N1903">
        <v>0</v>
      </c>
      <c r="O1903">
        <v>2.719181E-2</v>
      </c>
      <c r="P1903">
        <v>-0.9879945</v>
      </c>
      <c r="Q1903">
        <v>0.1521489</v>
      </c>
      <c r="R1903">
        <v>2.6790129999999999E-2</v>
      </c>
      <c r="S1903">
        <v>-3.0672299999999999</v>
      </c>
      <c r="T1903">
        <v>-0.19665099999999999</v>
      </c>
      <c r="U1903">
        <v>-4.0283200000000002E-3</v>
      </c>
      <c r="V1903" s="1">
        <v>1.1958649999999999E-5</v>
      </c>
      <c r="W1903">
        <v>0.1671676</v>
      </c>
      <c r="X1903">
        <v>0.98592849999999999</v>
      </c>
      <c r="Y1903">
        <v>-2.8393660000000001E-2</v>
      </c>
      <c r="Z1903">
        <v>-2.6508970000000001E-3</v>
      </c>
      <c r="AA1903">
        <v>0.99959330000000002</v>
      </c>
      <c r="AB1903">
        <v>41</v>
      </c>
      <c r="AC1903">
        <v>-16.8992</v>
      </c>
      <c r="AD1903">
        <v>-1.1100101698860001</v>
      </c>
      <c r="AE1903">
        <v>-3.41000000000235E-2</v>
      </c>
      <c r="AF1903">
        <v>-0.49153965043131198</v>
      </c>
      <c r="AG1903">
        <v>-1.1100101698860001</v>
      </c>
      <c r="AH1903">
        <v>16.8194566918649</v>
      </c>
      <c r="AI1903">
        <v>93.774187386645494</v>
      </c>
      <c r="AJ1903">
        <v>91.673962143588895</v>
      </c>
      <c r="AK1903">
        <v>16.8632101693217</v>
      </c>
      <c r="AL1903">
        <v>80.376822090983794</v>
      </c>
      <c r="AM1903">
        <v>89.999305040706602</v>
      </c>
      <c r="AN1903">
        <v>1.0000000068724999</v>
      </c>
    </row>
    <row r="1904" spans="1:40" x14ac:dyDescent="0.25">
      <c r="A1904" t="str">
        <f>"20190312164300131"</f>
        <v>20190312164300131</v>
      </c>
      <c r="B1904" t="str">
        <f>"1552380180126207"</f>
        <v>1552380180126207</v>
      </c>
      <c r="C1904" t="s">
        <v>40</v>
      </c>
      <c r="D1904">
        <v>4.0728280000000003</v>
      </c>
      <c r="E1904">
        <v>0.49302679999999999</v>
      </c>
      <c r="F1904" t="s">
        <v>46</v>
      </c>
      <c r="G1904">
        <v>-448.4307</v>
      </c>
      <c r="H1904" s="1">
        <v>2.9338219999999999E-6</v>
      </c>
      <c r="I1904">
        <v>284.97710000000001</v>
      </c>
      <c r="J1904">
        <v>-431.74639999999999</v>
      </c>
      <c r="K1904">
        <v>1.110047</v>
      </c>
      <c r="L1904">
        <v>285.03590000000003</v>
      </c>
      <c r="M1904">
        <v>-0.99951069999999997</v>
      </c>
      <c r="N1904">
        <v>0</v>
      </c>
      <c r="O1904">
        <v>2.7334839999999999E-2</v>
      </c>
      <c r="P1904">
        <v>-0.98798330000000001</v>
      </c>
      <c r="Q1904">
        <v>0.15242020000000001</v>
      </c>
      <c r="R1904">
        <v>2.5636570000000001E-2</v>
      </c>
      <c r="S1904">
        <v>-3.0673219999999999</v>
      </c>
      <c r="T1904">
        <v>-0.19919039999999999</v>
      </c>
      <c r="U1904">
        <v>-8.5449219999999999E-3</v>
      </c>
      <c r="V1904">
        <v>-1.2930890000000001E-3</v>
      </c>
      <c r="W1904">
        <v>0.16743369999999999</v>
      </c>
      <c r="X1904">
        <v>0.98588249999999999</v>
      </c>
      <c r="Y1904">
        <v>-3.000187E-2</v>
      </c>
      <c r="Z1904">
        <v>-2.746423E-3</v>
      </c>
      <c r="AA1904">
        <v>0.99954609999999999</v>
      </c>
      <c r="AB1904">
        <v>41</v>
      </c>
      <c r="AC1904">
        <v>-16.6843</v>
      </c>
      <c r="AD1904">
        <v>-1.110044066178</v>
      </c>
      <c r="AE1904">
        <v>-5.8800000000019198E-2</v>
      </c>
      <c r="AF1904">
        <v>-0.51262429272675503</v>
      </c>
      <c r="AG1904">
        <v>-1.110044066178</v>
      </c>
      <c r="AH1904">
        <v>16.602963936684901</v>
      </c>
      <c r="AI1904">
        <v>93.823182973925398</v>
      </c>
      <c r="AJ1904">
        <v>91.768472229296094</v>
      </c>
      <c r="AK1904">
        <v>16.647924584680499</v>
      </c>
      <c r="AL1904">
        <v>80.361357757588294</v>
      </c>
      <c r="AM1904">
        <v>90.075149421710705</v>
      </c>
      <c r="AN1904">
        <v>1.0000000098905499</v>
      </c>
    </row>
    <row r="1905" spans="1:40" x14ac:dyDescent="0.25">
      <c r="A1905" t="str">
        <f>"20190312164300153"</f>
        <v>20190312164300153</v>
      </c>
      <c r="B1905" t="str">
        <f>"1552380180145727"</f>
        <v>1552380180145727</v>
      </c>
      <c r="C1905" t="s">
        <v>40</v>
      </c>
      <c r="D1905">
        <v>4.049169</v>
      </c>
      <c r="E1905">
        <v>0.49297819999999998</v>
      </c>
      <c r="F1905" t="s">
        <v>46</v>
      </c>
      <c r="G1905">
        <v>-448.8689</v>
      </c>
      <c r="H1905" s="1">
        <v>3.1678739999999999E-6</v>
      </c>
      <c r="I1905">
        <v>284.95760000000001</v>
      </c>
      <c r="J1905">
        <v>-432.16430000000003</v>
      </c>
      <c r="K1905">
        <v>1.1100829999999999</v>
      </c>
      <c r="L1905">
        <v>285.04750000000001</v>
      </c>
      <c r="M1905">
        <v>-0.99950779999999995</v>
      </c>
      <c r="N1905">
        <v>0</v>
      </c>
      <c r="O1905">
        <v>2.744334E-2</v>
      </c>
      <c r="P1905">
        <v>-0.98804060000000005</v>
      </c>
      <c r="Q1905">
        <v>0.152173</v>
      </c>
      <c r="R1905">
        <v>2.4882189999999998E-2</v>
      </c>
      <c r="S1905">
        <v>-3.0675659999999998</v>
      </c>
      <c r="T1905">
        <v>-0.19886860000000001</v>
      </c>
      <c r="U1905">
        <v>-1.403809E-2</v>
      </c>
      <c r="V1905">
        <v>-2.1699279999999998E-3</v>
      </c>
      <c r="W1905">
        <v>0.16718269999999999</v>
      </c>
      <c r="X1905">
        <v>0.98592349999999995</v>
      </c>
      <c r="Y1905">
        <v>-3.1896180000000003E-2</v>
      </c>
      <c r="Z1905">
        <v>-2.8101440000000001E-3</v>
      </c>
      <c r="AA1905">
        <v>0.99948720000000002</v>
      </c>
      <c r="AB1905">
        <v>41</v>
      </c>
      <c r="AC1905">
        <v>-16.7045999999999</v>
      </c>
      <c r="AD1905">
        <v>-1.1100798321259999</v>
      </c>
      <c r="AE1905">
        <v>-8.9899999999999994E-2</v>
      </c>
      <c r="AF1905">
        <v>-0.54593827869994904</v>
      </c>
      <c r="AG1905">
        <v>-1.1100798321259999</v>
      </c>
      <c r="AH1905">
        <v>16.622435727424801</v>
      </c>
      <c r="AI1905">
        <v>93.818601890621196</v>
      </c>
      <c r="AJ1905">
        <v>91.881115371738204</v>
      </c>
      <c r="AK1905">
        <v>16.668404103279101</v>
      </c>
      <c r="AL1905">
        <v>80.375944079525098</v>
      </c>
      <c r="AM1905">
        <v>90.126102598730995</v>
      </c>
      <c r="AN1905">
        <v>0.99999995580953105</v>
      </c>
    </row>
    <row r="1906" spans="1:40" x14ac:dyDescent="0.25">
      <c r="A1906" t="str">
        <f>"20190312164300175"</f>
        <v>20190312164300175</v>
      </c>
      <c r="B1906" t="str">
        <f>"1552380180166223"</f>
        <v>1552380180166223</v>
      </c>
      <c r="C1906" t="s">
        <v>40</v>
      </c>
      <c r="D1906">
        <v>4.2222249999999999</v>
      </c>
      <c r="E1906">
        <v>0.49343169999999997</v>
      </c>
      <c r="F1906" t="s">
        <v>46</v>
      </c>
      <c r="G1906">
        <v>-449.18939999999998</v>
      </c>
      <c r="H1906" s="1">
        <v>3.3384140000000001E-6</v>
      </c>
      <c r="I1906">
        <v>284.95769999999999</v>
      </c>
      <c r="J1906">
        <v>-432.57080000000002</v>
      </c>
      <c r="K1906">
        <v>1.110115</v>
      </c>
      <c r="L1906">
        <v>285.05869999999999</v>
      </c>
      <c r="M1906">
        <v>-0.99950600000000001</v>
      </c>
      <c r="N1906">
        <v>0</v>
      </c>
      <c r="O1906">
        <v>2.751323E-2</v>
      </c>
      <c r="P1906">
        <v>-0.98815949999999997</v>
      </c>
      <c r="Q1906">
        <v>0.1515736</v>
      </c>
      <c r="R1906">
        <v>2.3795690000000001E-2</v>
      </c>
      <c r="S1906">
        <v>-3.0675349999999999</v>
      </c>
      <c r="T1906">
        <v>-0.20001179999999999</v>
      </c>
      <c r="U1906">
        <v>-1.6174319999999999E-2</v>
      </c>
      <c r="V1906">
        <v>-3.343234E-3</v>
      </c>
      <c r="W1906">
        <v>0.16658000000000001</v>
      </c>
      <c r="X1906">
        <v>0.98602230000000002</v>
      </c>
      <c r="Y1906">
        <v>-3.2658930000000003E-2</v>
      </c>
      <c r="Z1906">
        <v>-2.8556829999999999E-3</v>
      </c>
      <c r="AA1906">
        <v>0.99946250000000003</v>
      </c>
      <c r="AB1906">
        <v>41</v>
      </c>
      <c r="AC1906">
        <v>-16.618599999999901</v>
      </c>
      <c r="AD1906">
        <v>-1.1101116615860001</v>
      </c>
      <c r="AE1906">
        <v>-0.10099999999999899</v>
      </c>
      <c r="AF1906">
        <v>-0.55576606762193104</v>
      </c>
      <c r="AG1906">
        <v>-1.1101116615860001</v>
      </c>
      <c r="AH1906">
        <v>16.535745940376799</v>
      </c>
      <c r="AI1906">
        <v>93.838573848688796</v>
      </c>
      <c r="AJ1906">
        <v>91.9249853022081</v>
      </c>
      <c r="AK1906">
        <v>16.582283245313299</v>
      </c>
      <c r="AL1906">
        <v>80.410968048596402</v>
      </c>
      <c r="AM1906">
        <v>90.194267882253101</v>
      </c>
      <c r="AN1906">
        <v>1.0000000248554299</v>
      </c>
    </row>
    <row r="1907" spans="1:40" x14ac:dyDescent="0.25">
      <c r="A1907" t="str">
        <f>"20190312164300198"</f>
        <v>20190312164300198</v>
      </c>
      <c r="B1907" t="str">
        <f>"1552380180186719"</f>
        <v>1552380180186719</v>
      </c>
      <c r="C1907" t="s">
        <v>40</v>
      </c>
      <c r="D1907">
        <v>4.0581610000000001</v>
      </c>
      <c r="E1907">
        <v>0.49393399999999998</v>
      </c>
      <c r="F1907" t="s">
        <v>46</v>
      </c>
      <c r="G1907">
        <v>-449.59309999999999</v>
      </c>
      <c r="H1907" s="1">
        <v>3.5526020000000001E-6</v>
      </c>
      <c r="I1907">
        <v>284.97269999999997</v>
      </c>
      <c r="J1907">
        <v>-432.988</v>
      </c>
      <c r="K1907">
        <v>1.110152</v>
      </c>
      <c r="L1907">
        <v>285.07029999999997</v>
      </c>
      <c r="M1907">
        <v>-0.99950530000000004</v>
      </c>
      <c r="N1907">
        <v>0</v>
      </c>
      <c r="O1907">
        <v>2.7537909999999999E-2</v>
      </c>
      <c r="P1907">
        <v>-0.98831749999999996</v>
      </c>
      <c r="Q1907">
        <v>0.15060399999999999</v>
      </c>
      <c r="R1907">
        <v>2.3390069999999999E-2</v>
      </c>
      <c r="S1907">
        <v>-3.0669559999999998</v>
      </c>
      <c r="T1907">
        <v>-0.200012</v>
      </c>
      <c r="U1907">
        <v>-1.550293E-2</v>
      </c>
      <c r="V1907">
        <v>-3.7942879999999998E-3</v>
      </c>
      <c r="W1907">
        <v>0.16560759999999999</v>
      </c>
      <c r="X1907">
        <v>0.98618439999999996</v>
      </c>
      <c r="Y1907">
        <v>-3.2466130000000003E-2</v>
      </c>
      <c r="Z1907">
        <v>-2.8515519999999998E-3</v>
      </c>
      <c r="AA1907">
        <v>0.99946869999999999</v>
      </c>
      <c r="AB1907">
        <v>41</v>
      </c>
      <c r="AC1907">
        <v>-16.605099999999901</v>
      </c>
      <c r="AD1907">
        <v>-1.1101484473979999</v>
      </c>
      <c r="AE1907">
        <v>-9.7599999999999895E-2</v>
      </c>
      <c r="AF1907">
        <v>-0.55241645454687205</v>
      </c>
      <c r="AG1907">
        <v>-1.1101484473979999</v>
      </c>
      <c r="AH1907">
        <v>16.522266066610701</v>
      </c>
      <c r="AI1907">
        <v>93.841845623891402</v>
      </c>
      <c r="AJ1907">
        <v>91.914951928066699</v>
      </c>
      <c r="AK1907">
        <v>16.5687316801978</v>
      </c>
      <c r="AL1907">
        <v>80.4674667361285</v>
      </c>
      <c r="AM1907">
        <v>90.220441142622306</v>
      </c>
      <c r="AN1907">
        <v>0.99999997230127302</v>
      </c>
    </row>
    <row r="1908" spans="1:40" x14ac:dyDescent="0.25">
      <c r="A1908" t="str">
        <f>"20190312164300220"</f>
        <v>20190312164300220</v>
      </c>
      <c r="B1908" t="str">
        <f>"1552380180216001"</f>
        <v>1552380180216001</v>
      </c>
      <c r="C1908" t="s">
        <v>40</v>
      </c>
      <c r="D1908">
        <v>4.0786769999999999</v>
      </c>
      <c r="E1908">
        <v>0.49410730000000003</v>
      </c>
      <c r="F1908" t="s">
        <v>46</v>
      </c>
      <c r="G1908">
        <v>-449.98390000000001</v>
      </c>
      <c r="H1908" s="1">
        <v>-1.5621339999999999E-6</v>
      </c>
      <c r="I1908">
        <v>285.00049999999999</v>
      </c>
      <c r="J1908">
        <v>-433.38830000000002</v>
      </c>
      <c r="K1908">
        <v>1.110196</v>
      </c>
      <c r="L1908">
        <v>285.08120000000002</v>
      </c>
      <c r="M1908">
        <v>-0.99950629999999996</v>
      </c>
      <c r="N1908">
        <v>0</v>
      </c>
      <c r="O1908">
        <v>2.750321E-2</v>
      </c>
      <c r="P1908">
        <v>-0.98833170000000004</v>
      </c>
      <c r="Q1908">
        <v>0.15066959999999999</v>
      </c>
      <c r="R1908">
        <v>2.234268E-2</v>
      </c>
      <c r="S1908">
        <v>-3.0662539999999998</v>
      </c>
      <c r="T1908">
        <v>-0.20028399999999999</v>
      </c>
      <c r="U1908">
        <v>-1.2573239999999999E-2</v>
      </c>
      <c r="V1908">
        <v>-4.825495E-3</v>
      </c>
      <c r="W1908">
        <v>0.16566819999999999</v>
      </c>
      <c r="X1908">
        <v>0.98616979999999999</v>
      </c>
      <c r="Y1908">
        <v>-3.1479399999999998E-2</v>
      </c>
      <c r="Z1908">
        <v>-2.821619E-3</v>
      </c>
      <c r="AA1908">
        <v>0.99950039999999996</v>
      </c>
      <c r="AB1908">
        <v>41</v>
      </c>
      <c r="AC1908">
        <v>-16.595599999999902</v>
      </c>
      <c r="AD1908">
        <v>-1.1101975621339999</v>
      </c>
      <c r="AE1908">
        <v>-8.0700000000035702E-2</v>
      </c>
      <c r="AF1908">
        <v>-0.53476128351876595</v>
      </c>
      <c r="AG1908">
        <v>-1.1101975621339999</v>
      </c>
      <c r="AH1908">
        <v>16.513202416327001</v>
      </c>
      <c r="AI1908">
        <v>93.844249935886893</v>
      </c>
      <c r="AJ1908">
        <v>91.854810462290303</v>
      </c>
      <c r="AK1908">
        <v>16.559117195669199</v>
      </c>
      <c r="AL1908">
        <v>80.463946785463406</v>
      </c>
      <c r="AM1908">
        <v>90.280355665924105</v>
      </c>
      <c r="AN1908">
        <v>1.0000000561626301</v>
      </c>
    </row>
    <row r="1909" spans="1:40" x14ac:dyDescent="0.25">
      <c r="A1909" t="str">
        <f>"20190312164300243"</f>
        <v>20190312164300243</v>
      </c>
      <c r="B1909" t="str">
        <f>"1552380180236495"</f>
        <v>1552380180236495</v>
      </c>
      <c r="C1909" t="s">
        <v>40</v>
      </c>
      <c r="D1909">
        <v>4.1211900000000004</v>
      </c>
      <c r="E1909">
        <v>0.4941989</v>
      </c>
      <c r="F1909" t="s">
        <v>46</v>
      </c>
      <c r="G1909">
        <v>-450.40379999999999</v>
      </c>
      <c r="H1909" s="1">
        <v>-1.338737E-6</v>
      </c>
      <c r="I1909">
        <v>285.00110000000001</v>
      </c>
      <c r="J1909">
        <v>-433.79259999999999</v>
      </c>
      <c r="K1909">
        <v>1.110255</v>
      </c>
      <c r="L1909">
        <v>285.09219999999999</v>
      </c>
      <c r="M1909">
        <v>-0.99950930000000004</v>
      </c>
      <c r="N1909">
        <v>0</v>
      </c>
      <c r="O1909">
        <v>2.740238E-2</v>
      </c>
      <c r="P1909">
        <v>-0.98839189999999999</v>
      </c>
      <c r="Q1909">
        <v>0.15037829999999999</v>
      </c>
      <c r="R1909">
        <v>2.162824E-2</v>
      </c>
      <c r="S1909">
        <v>-3.0662539999999998</v>
      </c>
      <c r="T1909">
        <v>-0.20006160000000001</v>
      </c>
      <c r="U1909">
        <v>-1.4434809999999999E-2</v>
      </c>
      <c r="V1909">
        <v>-5.4629459999999998E-3</v>
      </c>
      <c r="W1909">
        <v>0.1653724</v>
      </c>
      <c r="X1909">
        <v>0.98621610000000004</v>
      </c>
      <c r="Y1909">
        <v>-3.1984770000000003E-2</v>
      </c>
      <c r="Z1909">
        <v>-2.8283890000000002E-3</v>
      </c>
      <c r="AA1909">
        <v>0.99948440000000005</v>
      </c>
      <c r="AB1909">
        <v>41</v>
      </c>
      <c r="AC1909">
        <v>-16.611199999999901</v>
      </c>
      <c r="AD1909">
        <v>-1.1102563387369999</v>
      </c>
      <c r="AE1909">
        <v>-9.1099999999983E-2</v>
      </c>
      <c r="AF1909">
        <v>-0.54387503748913102</v>
      </c>
      <c r="AG1909">
        <v>-1.1102563387369999</v>
      </c>
      <c r="AH1909">
        <v>16.528628136023698</v>
      </c>
      <c r="AI1909">
        <v>93.840810590187104</v>
      </c>
      <c r="AJ1909">
        <v>91.884639461562301</v>
      </c>
      <c r="AK1909">
        <v>16.574800670085398</v>
      </c>
      <c r="AL1909">
        <v>80.481131719722697</v>
      </c>
      <c r="AM1909">
        <v>90.317375216427394</v>
      </c>
      <c r="AN1909">
        <v>1.00000003517998</v>
      </c>
    </row>
    <row r="1910" spans="1:40" x14ac:dyDescent="0.25">
      <c r="A1910" t="str">
        <f>"20190312164300264"</f>
        <v>20190312164300264</v>
      </c>
      <c r="B1910" t="str">
        <f>"1552380180256015"</f>
        <v>1552380180256015</v>
      </c>
      <c r="C1910" t="s">
        <v>40</v>
      </c>
      <c r="D1910">
        <v>4.0537280000000004</v>
      </c>
      <c r="E1910">
        <v>0.49414789999999997</v>
      </c>
      <c r="F1910" t="s">
        <v>46</v>
      </c>
      <c r="G1910">
        <v>-450.71820000000002</v>
      </c>
      <c r="H1910" s="1">
        <v>-1.171619E-6</v>
      </c>
      <c r="I1910">
        <v>285.00549999999998</v>
      </c>
      <c r="J1910">
        <v>-434.18740000000003</v>
      </c>
      <c r="K1910">
        <v>1.1103099999999999</v>
      </c>
      <c r="L1910">
        <v>285.10289999999998</v>
      </c>
      <c r="M1910">
        <v>-0.9995136</v>
      </c>
      <c r="N1910">
        <v>0</v>
      </c>
      <c r="O1910">
        <v>2.7243610000000001E-2</v>
      </c>
      <c r="P1910">
        <v>-0.98842070000000004</v>
      </c>
      <c r="Q1910">
        <v>0.15029120000000001</v>
      </c>
      <c r="R1910">
        <v>2.0913709999999999E-2</v>
      </c>
      <c r="S1910">
        <v>-3.0661930000000002</v>
      </c>
      <c r="T1910">
        <v>-0.20113059999999999</v>
      </c>
      <c r="U1910">
        <v>-1.5716549999999999E-2</v>
      </c>
      <c r="V1910">
        <v>-6.0438169999999999E-3</v>
      </c>
      <c r="W1910">
        <v>0.16528029999999999</v>
      </c>
      <c r="X1910">
        <v>0.98622810000000005</v>
      </c>
      <c r="Y1910">
        <v>-3.2242340000000001E-2</v>
      </c>
      <c r="Z1910">
        <v>-2.841564E-3</v>
      </c>
      <c r="AA1910">
        <v>0.99947600000000003</v>
      </c>
      <c r="AB1910">
        <v>41</v>
      </c>
      <c r="AC1910">
        <v>-16.530799999999999</v>
      </c>
      <c r="AD1910">
        <v>-1.1103111716189999</v>
      </c>
      <c r="AE1910">
        <v>-9.73999999999932E-2</v>
      </c>
      <c r="AF1910">
        <v>-0.54531439489325395</v>
      </c>
      <c r="AG1910">
        <v>-1.1103111716189999</v>
      </c>
      <c r="AH1910">
        <v>16.447810490000801</v>
      </c>
      <c r="AI1910">
        <v>93.859784225061006</v>
      </c>
      <c r="AJ1910">
        <v>91.898901558461503</v>
      </c>
      <c r="AK1910">
        <v>16.494260474543299</v>
      </c>
      <c r="AL1910">
        <v>80.486481811164694</v>
      </c>
      <c r="AM1910">
        <v>90.351116411540502</v>
      </c>
      <c r="AN1910">
        <v>0.99999998526081402</v>
      </c>
    </row>
    <row r="1911" spans="1:40" x14ac:dyDescent="0.25">
      <c r="A1911" t="str">
        <f>"20190312164300287"</f>
        <v>20190312164300287</v>
      </c>
      <c r="B1911" t="str">
        <f>"1552380180276512"</f>
        <v>1552380180276512</v>
      </c>
      <c r="C1911" t="s">
        <v>40</v>
      </c>
      <c r="D1911">
        <v>4.0633860000000004</v>
      </c>
      <c r="E1911">
        <v>0.4940949</v>
      </c>
      <c r="F1911" t="s">
        <v>46</v>
      </c>
      <c r="G1911">
        <v>-451.05790000000002</v>
      </c>
      <c r="H1911" s="1">
        <v>-9.9079420000000004E-7</v>
      </c>
      <c r="I1911">
        <v>285.00439999999998</v>
      </c>
      <c r="J1911">
        <v>-434.59730000000002</v>
      </c>
      <c r="K1911">
        <v>1.1103689999999999</v>
      </c>
      <c r="L1911">
        <v>285.1139</v>
      </c>
      <c r="M1911">
        <v>-0.99951959999999995</v>
      </c>
      <c r="N1911">
        <v>0</v>
      </c>
      <c r="O1911">
        <v>2.7028090000000001E-2</v>
      </c>
      <c r="P1911">
        <v>-0.98858670000000004</v>
      </c>
      <c r="Q1911">
        <v>0.14932139999999999</v>
      </c>
      <c r="R1911">
        <v>1.9987419999999999E-2</v>
      </c>
      <c r="S1911">
        <v>-3.0661930000000002</v>
      </c>
      <c r="T1911">
        <v>-0.20179749999999999</v>
      </c>
      <c r="U1911">
        <v>-1.791382E-2</v>
      </c>
      <c r="V1911">
        <v>-6.7832559999999997E-3</v>
      </c>
      <c r="W1911">
        <v>0.1643067</v>
      </c>
      <c r="X1911">
        <v>0.98638599999999999</v>
      </c>
      <c r="Y1911">
        <v>-3.2741579999999999E-2</v>
      </c>
      <c r="Z1911">
        <v>-2.8532079999999999E-3</v>
      </c>
      <c r="AA1911">
        <v>0.99945980000000001</v>
      </c>
      <c r="AB1911">
        <v>41</v>
      </c>
      <c r="AC1911">
        <v>-16.460599999999999</v>
      </c>
      <c r="AD1911">
        <v>-1.1103699907942</v>
      </c>
      <c r="AE1911">
        <v>-0.10950000000002499</v>
      </c>
      <c r="AF1911">
        <v>-0.55189853318695103</v>
      </c>
      <c r="AG1911">
        <v>-1.1103699907942</v>
      </c>
      <c r="AH1911">
        <v>16.3771070693445</v>
      </c>
      <c r="AI1911">
        <v>93.876531410432307</v>
      </c>
      <c r="AJ1911">
        <v>91.930102453120398</v>
      </c>
      <c r="AK1911">
        <v>16.423980926321299</v>
      </c>
      <c r="AL1911">
        <v>80.543038575953503</v>
      </c>
      <c r="AM1911">
        <v>90.394009863981097</v>
      </c>
      <c r="AN1911">
        <v>1.0000000226114201</v>
      </c>
    </row>
    <row r="1912" spans="1:40" x14ac:dyDescent="0.25">
      <c r="A1912" t="str">
        <f>"20190312164300309"</f>
        <v>20190312164300309</v>
      </c>
      <c r="B1912" t="str">
        <f>"1552380180305792"</f>
        <v>1552380180305792</v>
      </c>
      <c r="C1912" t="s">
        <v>40</v>
      </c>
      <c r="D1912">
        <v>4.0822789999999998</v>
      </c>
      <c r="E1912">
        <v>0.49414039999999998</v>
      </c>
      <c r="F1912" t="s">
        <v>46</v>
      </c>
      <c r="G1912">
        <v>-451.17880000000002</v>
      </c>
      <c r="H1912" s="1">
        <v>-9.2624320000000003E-7</v>
      </c>
      <c r="I1912">
        <v>284.99990000000003</v>
      </c>
      <c r="J1912">
        <v>-435.00420000000003</v>
      </c>
      <c r="K1912">
        <v>1.1104210000000001</v>
      </c>
      <c r="L1912">
        <v>285.12459999999999</v>
      </c>
      <c r="M1912">
        <v>-0.99952660000000004</v>
      </c>
      <c r="N1912">
        <v>0</v>
      </c>
      <c r="O1912">
        <v>2.6770599999999999E-2</v>
      </c>
      <c r="P1912">
        <v>-0.98868750000000005</v>
      </c>
      <c r="Q1912">
        <v>0.1488101</v>
      </c>
      <c r="R1912">
        <v>1.8785389999999999E-2</v>
      </c>
      <c r="S1912">
        <v>-3.066071</v>
      </c>
      <c r="T1912">
        <v>-0.20531749999999999</v>
      </c>
      <c r="U1912">
        <v>-2.1087649999999999E-2</v>
      </c>
      <c r="V1912">
        <v>-7.7528400000000004E-3</v>
      </c>
      <c r="W1912">
        <v>0.16379160000000001</v>
      </c>
      <c r="X1912">
        <v>0.98646449999999997</v>
      </c>
      <c r="Y1912">
        <v>-3.3513170000000002E-2</v>
      </c>
      <c r="Z1912">
        <v>-2.9115629999999998E-3</v>
      </c>
      <c r="AA1912">
        <v>0.99943409999999999</v>
      </c>
      <c r="AB1912">
        <v>41</v>
      </c>
      <c r="AC1912">
        <v>-16.174599999999899</v>
      </c>
      <c r="AD1912">
        <v>-1.11042192624319</v>
      </c>
      <c r="AE1912">
        <v>-0.12469999999996099</v>
      </c>
      <c r="AF1912">
        <v>-0.55509276303736599</v>
      </c>
      <c r="AG1912">
        <v>-1.11042192624319</v>
      </c>
      <c r="AH1912">
        <v>16.089635110666901</v>
      </c>
      <c r="AI1912">
        <v>93.945652881213405</v>
      </c>
      <c r="AJ1912">
        <v>91.975921946331596</v>
      </c>
      <c r="AK1912">
        <v>16.137457136248599</v>
      </c>
      <c r="AL1912">
        <v>80.572956767353702</v>
      </c>
      <c r="AM1912">
        <v>90.450290776602202</v>
      </c>
      <c r="AN1912">
        <v>1.00000000225943</v>
      </c>
    </row>
    <row r="1913" spans="1:40" x14ac:dyDescent="0.25">
      <c r="A1913" t="str">
        <f>"20190312164300334"</f>
        <v>20190312164300334</v>
      </c>
      <c r="B1913" t="str">
        <f>"1552380180326287"</f>
        <v>1552380180326287</v>
      </c>
      <c r="C1913" t="s">
        <v>40</v>
      </c>
      <c r="D1913">
        <v>4.3011650000000001</v>
      </c>
      <c r="E1913">
        <v>0.50270309999999996</v>
      </c>
      <c r="F1913" t="s">
        <v>46</v>
      </c>
      <c r="G1913">
        <v>-451.35640000000001</v>
      </c>
      <c r="H1913" s="1">
        <v>-8.3151630000000005E-7</v>
      </c>
      <c r="I1913">
        <v>284.99520000000001</v>
      </c>
      <c r="J1913">
        <v>-435.44170000000003</v>
      </c>
      <c r="K1913">
        <v>1.1104590000000001</v>
      </c>
      <c r="L1913">
        <v>285.1361</v>
      </c>
      <c r="M1913">
        <v>-0.99953499999999995</v>
      </c>
      <c r="N1913">
        <v>0</v>
      </c>
      <c r="O1913">
        <v>2.6456830000000001E-2</v>
      </c>
      <c r="P1913">
        <v>-0.98883239999999994</v>
      </c>
      <c r="Q1913">
        <v>0.14797689999999999</v>
      </c>
      <c r="R1913">
        <v>1.7706880000000001E-2</v>
      </c>
      <c r="S1913">
        <v>-3.0661320000000001</v>
      </c>
      <c r="T1913">
        <v>-0.2082099</v>
      </c>
      <c r="U1913">
        <v>-2.426147E-2</v>
      </c>
      <c r="V1913">
        <v>-8.5414569999999902E-3</v>
      </c>
      <c r="W1913">
        <v>0.16295379999999901</v>
      </c>
      <c r="X1913">
        <v>0.98659669999999999</v>
      </c>
      <c r="Y1913">
        <v>-3.4229000000000002E-2</v>
      </c>
      <c r="Z1913">
        <v>-2.9554170000000001E-3</v>
      </c>
      <c r="AA1913">
        <v>0.99940969999999996</v>
      </c>
      <c r="AB1913">
        <v>41</v>
      </c>
      <c r="AC1913">
        <v>-15.9146999999999</v>
      </c>
      <c r="AD1913">
        <v>-1.1104598315162999</v>
      </c>
      <c r="AE1913">
        <v>-0.14089999999998701</v>
      </c>
      <c r="AF1913">
        <v>-0.55922909261953102</v>
      </c>
      <c r="AG1913">
        <v>-1.1104598315162999</v>
      </c>
      <c r="AH1913">
        <v>15.8283430262519</v>
      </c>
      <c r="AI1913">
        <v>94.010596969356797</v>
      </c>
      <c r="AJ1913">
        <v>92.023467938187295</v>
      </c>
      <c r="AK1913">
        <v>15.877099898033601</v>
      </c>
      <c r="AL1913">
        <v>80.621612618554295</v>
      </c>
      <c r="AM1913">
        <v>90.4960255903936</v>
      </c>
      <c r="AN1913">
        <v>0.999999972936506</v>
      </c>
    </row>
    <row r="1914" spans="1:40" x14ac:dyDescent="0.25">
      <c r="A1914" t="str">
        <f>"20190312164300354"</f>
        <v>20190312164300354</v>
      </c>
      <c r="B1914" t="str">
        <f>"1552380180345808"</f>
        <v>1552380180345808</v>
      </c>
      <c r="C1914" t="s">
        <v>40</v>
      </c>
      <c r="D1914">
        <v>4.1138079999999997</v>
      </c>
      <c r="E1914">
        <v>0.52655439999999998</v>
      </c>
      <c r="F1914" t="s">
        <v>46</v>
      </c>
      <c r="G1914">
        <v>-451.697</v>
      </c>
      <c r="H1914" s="1">
        <v>-6.6593450000000005E-7</v>
      </c>
      <c r="I1914">
        <v>285.35309999999998</v>
      </c>
      <c r="J1914">
        <v>-435.81869999999998</v>
      </c>
      <c r="K1914">
        <v>1.1104889999999901</v>
      </c>
      <c r="L1914">
        <v>285.14580000000001</v>
      </c>
      <c r="M1914">
        <v>-0.99954279999999995</v>
      </c>
      <c r="N1914">
        <v>0</v>
      </c>
      <c r="O1914">
        <v>2.6163329999999999E-2</v>
      </c>
      <c r="P1914">
        <v>-0.98893710000000001</v>
      </c>
      <c r="Q1914">
        <v>0.147361299999999</v>
      </c>
      <c r="R1914">
        <v>1.6972999999999999E-2</v>
      </c>
      <c r="S1914">
        <v>-3.0644840000000002</v>
      </c>
      <c r="T1914">
        <v>-0.20934559999999999</v>
      </c>
      <c r="U1914">
        <v>4.0893550000000001E-2</v>
      </c>
      <c r="V1914">
        <v>-8.9996629999999998E-3</v>
      </c>
      <c r="W1914">
        <v>0.16233420000000001</v>
      </c>
      <c r="X1914">
        <v>0.98669479999999998</v>
      </c>
      <c r="Y1914">
        <v>-1.2734779999999999E-2</v>
      </c>
      <c r="Z1914">
        <v>-2.2195769999999999E-3</v>
      </c>
      <c r="AA1914">
        <v>0.99991640000000004</v>
      </c>
      <c r="AB1914">
        <v>41</v>
      </c>
      <c r="AC1914">
        <v>-15.8782999999999</v>
      </c>
      <c r="AD1914">
        <v>-1.1104896659344901</v>
      </c>
      <c r="AE1914">
        <v>0.207299999999975</v>
      </c>
      <c r="AF1914">
        <v>-0.20723443052750501</v>
      </c>
      <c r="AG1914">
        <v>-1.1104896659344901</v>
      </c>
      <c r="AH1914">
        <v>15.8010138492959</v>
      </c>
      <c r="AI1914">
        <v>94.019772487518296</v>
      </c>
      <c r="AJ1914">
        <v>90.751406056990106</v>
      </c>
      <c r="AK1914">
        <v>15.8413437584374</v>
      </c>
      <c r="AL1914">
        <v>80.657592484024903</v>
      </c>
      <c r="AM1914">
        <v>90.522581459195706</v>
      </c>
      <c r="AN1914">
        <v>1.0000000073853901</v>
      </c>
    </row>
    <row r="1915" spans="1:40" x14ac:dyDescent="0.25">
      <c r="A1915" t="str">
        <f>"20190312164300378"</f>
        <v>20190312164300378</v>
      </c>
      <c r="B1915" t="str">
        <f>"1552380180366304"</f>
        <v>1552380180366304</v>
      </c>
      <c r="C1915" t="s">
        <v>40</v>
      </c>
      <c r="D1915">
        <v>4.0219110000000002</v>
      </c>
      <c r="E1915">
        <v>0.53064339999999999</v>
      </c>
      <c r="F1915" t="s">
        <v>46</v>
      </c>
      <c r="G1915">
        <v>-456.37049999999999</v>
      </c>
      <c r="H1915" s="1">
        <v>1.7620489999999999E-6</v>
      </c>
      <c r="I1915">
        <v>286.70260000000002</v>
      </c>
      <c r="J1915">
        <v>-436.25209999999998</v>
      </c>
      <c r="K1915">
        <v>1.110514</v>
      </c>
      <c r="L1915">
        <v>285.15690000000001</v>
      </c>
      <c r="M1915">
        <v>-0.99955210000000005</v>
      </c>
      <c r="N1915">
        <v>0</v>
      </c>
      <c r="O1915">
        <v>2.5809820000000001E-2</v>
      </c>
      <c r="P1915">
        <v>-0.98901950000000005</v>
      </c>
      <c r="Q1915">
        <v>0.14700550000000001</v>
      </c>
      <c r="R1915">
        <v>1.517692E-2</v>
      </c>
      <c r="S1915">
        <v>-3.0541689999999999</v>
      </c>
      <c r="T1915">
        <v>-0.16502800000000001</v>
      </c>
      <c r="U1915">
        <v>0.2313538</v>
      </c>
      <c r="V1915">
        <v>-1.045834E-2</v>
      </c>
      <c r="W1915">
        <v>0.161972799999999</v>
      </c>
      <c r="X1915">
        <v>0.98673979999999994</v>
      </c>
      <c r="Y1915">
        <v>4.9734849999999997E-2</v>
      </c>
      <c r="Z1915" s="1">
        <v>-5.0515629999999997E-5</v>
      </c>
      <c r="AA1915">
        <v>0.99876240000000005</v>
      </c>
      <c r="AB1915">
        <v>40</v>
      </c>
      <c r="AC1915">
        <v>-20.118400000000001</v>
      </c>
      <c r="AD1915">
        <v>-1.110512237951</v>
      </c>
      <c r="AE1915">
        <v>1.5457000000000101</v>
      </c>
      <c r="AF1915">
        <v>1.02277508183872</v>
      </c>
      <c r="AG1915">
        <v>-1.110512237951</v>
      </c>
      <c r="AH1915">
        <v>20.0907397767247</v>
      </c>
      <c r="AI1915">
        <v>93.159711604300497</v>
      </c>
      <c r="AJ1915">
        <v>87.085714535000704</v>
      </c>
      <c r="AK1915">
        <v>20.147385216815</v>
      </c>
      <c r="AL1915">
        <v>80.678576815766803</v>
      </c>
      <c r="AM1915">
        <v>90.607248543348604</v>
      </c>
      <c r="AN1915">
        <v>0.99999999885971702</v>
      </c>
    </row>
    <row r="1916" spans="1:40" x14ac:dyDescent="0.25">
      <c r="A1916" t="str">
        <f>"20190312164300399"</f>
        <v>20190312164300399</v>
      </c>
      <c r="B1916" t="str">
        <f>"1552380180385823"</f>
        <v>1552380180385823</v>
      </c>
      <c r="C1916" t="s">
        <v>40</v>
      </c>
      <c r="D1916">
        <v>4.0449590000000004</v>
      </c>
      <c r="E1916">
        <v>0.53150120000000001</v>
      </c>
      <c r="F1916" t="s">
        <v>46</v>
      </c>
      <c r="G1916">
        <v>-458.21260000000001</v>
      </c>
      <c r="H1916" s="1">
        <v>2.7284060000000002E-6</v>
      </c>
      <c r="I1916">
        <v>287.02170000000001</v>
      </c>
      <c r="J1916">
        <v>-436.61939999999998</v>
      </c>
      <c r="K1916">
        <v>1.1105339999999999</v>
      </c>
      <c r="L1916">
        <v>285.16609999999997</v>
      </c>
      <c r="M1916">
        <v>-0.99956</v>
      </c>
      <c r="N1916">
        <v>0</v>
      </c>
      <c r="O1916">
        <v>2.55026E-2</v>
      </c>
      <c r="P1916">
        <v>-0.98914270000000004</v>
      </c>
      <c r="Q1916">
        <v>0.14634900000000001</v>
      </c>
      <c r="R1916">
        <v>1.3383809999999999E-2</v>
      </c>
      <c r="S1916">
        <v>-3.0523069999999999</v>
      </c>
      <c r="T1916">
        <v>-0.15435109999999999</v>
      </c>
      <c r="U1916">
        <v>0.25918580000000002</v>
      </c>
      <c r="V1916">
        <v>-1.195681E-2</v>
      </c>
      <c r="W1916">
        <v>0.16131210000000001</v>
      </c>
      <c r="X1916">
        <v>0.98683100000000001</v>
      </c>
      <c r="Y1916">
        <v>5.9125990000000003E-2</v>
      </c>
      <c r="Z1916">
        <v>2.0513399999999999E-4</v>
      </c>
      <c r="AA1916">
        <v>0.99825050000000004</v>
      </c>
      <c r="AB1916">
        <v>40</v>
      </c>
      <c r="AC1916">
        <v>-21.5932</v>
      </c>
      <c r="AD1916">
        <v>-1.1105312715939999</v>
      </c>
      <c r="AE1916">
        <v>1.8556000000000299</v>
      </c>
      <c r="AF1916">
        <v>1.30083491450439</v>
      </c>
      <c r="AG1916">
        <v>-1.1105312715939999</v>
      </c>
      <c r="AH1916">
        <v>21.576850724718</v>
      </c>
      <c r="AI1916">
        <v>92.941005754145394</v>
      </c>
      <c r="AJ1916">
        <v>86.549902162823699</v>
      </c>
      <c r="AK1916">
        <v>21.644535993565398</v>
      </c>
      <c r="AL1916">
        <v>80.716936516491103</v>
      </c>
      <c r="AM1916">
        <v>90.694182922843098</v>
      </c>
      <c r="AN1916">
        <v>0.99999999073639301</v>
      </c>
    </row>
    <row r="1917" spans="1:40" x14ac:dyDescent="0.25">
      <c r="A1917" t="str">
        <f>"20190312164300420"</f>
        <v>20190312164300420</v>
      </c>
      <c r="B1917" t="str">
        <f>"1552380180416080"</f>
        <v>1552380180416080</v>
      </c>
      <c r="C1917" t="s">
        <v>40</v>
      </c>
      <c r="D1917">
        <v>4.0453489999999999</v>
      </c>
      <c r="E1917">
        <v>0.53234230000000005</v>
      </c>
      <c r="F1917" t="s">
        <v>46</v>
      </c>
      <c r="G1917">
        <v>-456.98820000000001</v>
      </c>
      <c r="H1917" s="1">
        <v>2.0822350000000001E-6</v>
      </c>
      <c r="I1917">
        <v>286.89819999999997</v>
      </c>
      <c r="J1917">
        <v>-437.02210000000002</v>
      </c>
      <c r="K1917">
        <v>1.1105480000000001</v>
      </c>
      <c r="L1917">
        <v>285.17610000000002</v>
      </c>
      <c r="M1917">
        <v>-0.99956869999999998</v>
      </c>
      <c r="N1917">
        <v>0</v>
      </c>
      <c r="O1917">
        <v>2.516264E-2</v>
      </c>
      <c r="P1917">
        <v>-0.98932759999999997</v>
      </c>
      <c r="Q1917">
        <v>0.14520620000000001</v>
      </c>
      <c r="R1917">
        <v>1.209299E-2</v>
      </c>
      <c r="S1917">
        <v>-3.0539860000000001</v>
      </c>
      <c r="T1917">
        <v>-0.1665075</v>
      </c>
      <c r="U1917">
        <v>0.25970460000000001</v>
      </c>
      <c r="V1917">
        <v>-1.292154E-2</v>
      </c>
      <c r="W1917">
        <v>0.16016610000000001</v>
      </c>
      <c r="X1917">
        <v>0.98700549999999998</v>
      </c>
      <c r="Y1917">
        <v>5.9579529999999999E-2</v>
      </c>
      <c r="Z1917">
        <v>2.5195289999999998E-4</v>
      </c>
      <c r="AA1917">
        <v>0.99822350000000004</v>
      </c>
      <c r="AB1917">
        <v>40</v>
      </c>
      <c r="AC1917">
        <v>-19.966099999999901</v>
      </c>
      <c r="AD1917">
        <v>-1.1105459177649999</v>
      </c>
      <c r="AE1917">
        <v>1.72209999999995</v>
      </c>
      <c r="AF1917">
        <v>1.2153649407237199</v>
      </c>
      <c r="AG1917">
        <v>-1.1105459177649999</v>
      </c>
      <c r="AH1917">
        <v>19.941874461868299</v>
      </c>
      <c r="AI1917">
        <v>93.181569489314299</v>
      </c>
      <c r="AJ1917">
        <v>86.5124012234741</v>
      </c>
      <c r="AK1917">
        <v>20.009717170103102</v>
      </c>
      <c r="AL1917">
        <v>80.783462625932899</v>
      </c>
      <c r="AM1917">
        <v>90.750053991185595</v>
      </c>
      <c r="AN1917">
        <v>1.0000000014077099</v>
      </c>
    </row>
    <row r="1918" spans="1:40" x14ac:dyDescent="0.25">
      <c r="A1918" t="str">
        <f>"20190312164300444"</f>
        <v>20190312164300444</v>
      </c>
      <c r="B1918" t="str">
        <f>"1552380180436576"</f>
        <v>1552380180436576</v>
      </c>
      <c r="C1918" t="s">
        <v>40</v>
      </c>
      <c r="D1918">
        <v>4.0900869999999996</v>
      </c>
      <c r="E1918">
        <v>0.53255129999999995</v>
      </c>
      <c r="F1918" t="s">
        <v>46</v>
      </c>
      <c r="G1918">
        <v>-456.20280000000002</v>
      </c>
      <c r="H1918" s="1">
        <v>1.667511E-6</v>
      </c>
      <c r="I1918">
        <v>286.82400000000001</v>
      </c>
      <c r="J1918">
        <v>-437.42899999999997</v>
      </c>
      <c r="K1918">
        <v>1.1105590000000001</v>
      </c>
      <c r="L1918">
        <v>285.18599999999998</v>
      </c>
      <c r="M1918">
        <v>-0.9995773</v>
      </c>
      <c r="N1918">
        <v>0</v>
      </c>
      <c r="O1918">
        <v>2.4817869999999999E-2</v>
      </c>
      <c r="P1918">
        <v>-0.98946800000000001</v>
      </c>
      <c r="Q1918">
        <v>0.14435429999999999</v>
      </c>
      <c r="R1918">
        <v>1.0730379999999999E-2</v>
      </c>
      <c r="S1918">
        <v>-3.0551149999999998</v>
      </c>
      <c r="T1918">
        <v>-0.17688889999999999</v>
      </c>
      <c r="U1918">
        <v>0.26248169999999998</v>
      </c>
      <c r="V1918">
        <v>-1.395043E-2</v>
      </c>
      <c r="W1918">
        <v>0.1593099</v>
      </c>
      <c r="X1918">
        <v>0.98712999999999995</v>
      </c>
      <c r="Y1918">
        <v>6.0784400000000002E-2</v>
      </c>
      <c r="Z1918">
        <v>3.222155E-4</v>
      </c>
      <c r="AA1918">
        <v>0.99815089999999995</v>
      </c>
      <c r="AB1918">
        <v>40</v>
      </c>
      <c r="AC1918">
        <v>-18.773799999999898</v>
      </c>
      <c r="AD1918">
        <v>-1.1105573324889999</v>
      </c>
      <c r="AE1918">
        <v>1.6380000000000301</v>
      </c>
      <c r="AF1918">
        <v>1.1674618069531799</v>
      </c>
      <c r="AG1918">
        <v>-1.1105573324889999</v>
      </c>
      <c r="AH1918">
        <v>18.743579126774101</v>
      </c>
      <c r="AI1918">
        <v>93.384268518230101</v>
      </c>
      <c r="AJ1918">
        <v>86.435881696962397</v>
      </c>
      <c r="AK1918">
        <v>18.812710148755301</v>
      </c>
      <c r="AL1918">
        <v>80.833156886665094</v>
      </c>
      <c r="AM1918">
        <v>90.809667981976403</v>
      </c>
      <c r="AN1918">
        <v>0.99999994781759605</v>
      </c>
    </row>
    <row r="1919" spans="1:40" x14ac:dyDescent="0.25">
      <c r="A1919" t="str">
        <f>"20190312164300465"</f>
        <v>20190312164300465</v>
      </c>
      <c r="B1919" t="str">
        <f>"1552380180456096"</f>
        <v>1552380180456096</v>
      </c>
      <c r="C1919" t="s">
        <v>40</v>
      </c>
      <c r="D1919">
        <v>4.1331610000000003</v>
      </c>
      <c r="E1919">
        <v>0.5328427</v>
      </c>
      <c r="F1919" t="s">
        <v>41</v>
      </c>
      <c r="G1919">
        <v>-438.47620000000001</v>
      </c>
      <c r="H1919">
        <v>1.048794</v>
      </c>
      <c r="I1919">
        <v>285.2756</v>
      </c>
      <c r="J1919">
        <v>-437.82049999999998</v>
      </c>
      <c r="K1919">
        <v>1.1105670000000001</v>
      </c>
      <c r="L1919">
        <v>285.19540000000001</v>
      </c>
      <c r="M1919">
        <v>-0.99958559999999996</v>
      </c>
      <c r="N1919">
        <v>0</v>
      </c>
      <c r="O1919">
        <v>2.4486730000000002E-2</v>
      </c>
      <c r="P1919">
        <v>-0.98961840000000001</v>
      </c>
      <c r="Q1919">
        <v>0.143429</v>
      </c>
      <c r="R1919">
        <v>9.1534189999999994E-3</v>
      </c>
      <c r="S1919">
        <v>-3.0553889999999999</v>
      </c>
      <c r="T1919">
        <v>-0.18028449999999999</v>
      </c>
      <c r="U1919">
        <v>0.26065060000000001</v>
      </c>
      <c r="V1919">
        <v>-1.520667E-2</v>
      </c>
      <c r="W1919">
        <v>0.15838060000000001</v>
      </c>
      <c r="X1919">
        <v>0.9872611</v>
      </c>
      <c r="Y1919">
        <v>6.0511179999999998E-2</v>
      </c>
      <c r="Z1919">
        <v>3.398012E-4</v>
      </c>
      <c r="AA1919">
        <v>0.99816749999999999</v>
      </c>
      <c r="AB1919">
        <v>40</v>
      </c>
      <c r="AC1919">
        <v>-0.65570000000002404</v>
      </c>
      <c r="AD1919">
        <v>-6.1773000000000002E-2</v>
      </c>
      <c r="AE1919">
        <v>8.0199999999990695E-2</v>
      </c>
      <c r="AF1919">
        <v>6.3562334430445303E-2</v>
      </c>
      <c r="AG1919">
        <v>-6.1773000000000002E-2</v>
      </c>
      <c r="AH1919">
        <v>0.65176798267511804</v>
      </c>
      <c r="AI1919">
        <v>95.388769822803198</v>
      </c>
      <c r="AJ1919">
        <v>84.429960539483304</v>
      </c>
      <c r="AK1919">
        <v>0.65776711465961901</v>
      </c>
      <c r="AL1919">
        <v>80.887087686672899</v>
      </c>
      <c r="AM1919">
        <v>90.882450567542193</v>
      </c>
      <c r="AN1919">
        <v>1.00000006842102</v>
      </c>
    </row>
    <row r="1920" spans="1:40" x14ac:dyDescent="0.25">
      <c r="A1920" t="str">
        <f>"20190312164300488"</f>
        <v>20190312164300488</v>
      </c>
      <c r="B1920" t="str">
        <f>"1552380180476592"</f>
        <v>1552380180476592</v>
      </c>
      <c r="C1920" t="s">
        <v>40</v>
      </c>
      <c r="D1920">
        <v>4.0903390000000002</v>
      </c>
      <c r="E1920">
        <v>0.53315389999999996</v>
      </c>
      <c r="F1920" t="s">
        <v>41</v>
      </c>
      <c r="G1920">
        <v>-438.83679999999998</v>
      </c>
      <c r="H1920">
        <v>1.0502260000000001</v>
      </c>
      <c r="I1920">
        <v>285.2817</v>
      </c>
      <c r="J1920">
        <v>-438.21949999999998</v>
      </c>
      <c r="K1920">
        <v>1.1105750000000001</v>
      </c>
      <c r="L1920">
        <v>285.20490000000001</v>
      </c>
      <c r="M1920">
        <v>-0.99959390000000004</v>
      </c>
      <c r="N1920">
        <v>0</v>
      </c>
      <c r="O1920">
        <v>2.4149259999999999E-2</v>
      </c>
      <c r="P1920">
        <v>-0.98962559999999999</v>
      </c>
      <c r="Q1920">
        <v>0.14348379999999999</v>
      </c>
      <c r="R1920">
        <v>7.3240830000000003E-3</v>
      </c>
      <c r="S1920">
        <v>-3.0554199999999998</v>
      </c>
      <c r="T1920">
        <v>-0.1815513</v>
      </c>
      <c r="U1920">
        <v>0.25854490000000002</v>
      </c>
      <c r="V1920">
        <v>-1.6704489999999999E-2</v>
      </c>
      <c r="W1920">
        <v>0.1584286</v>
      </c>
      <c r="X1920">
        <v>0.98722909999999997</v>
      </c>
      <c r="Y1920">
        <v>6.016349E-2</v>
      </c>
      <c r="Z1920">
        <v>3.5187279999999998E-4</v>
      </c>
      <c r="AA1920">
        <v>0.99818850000000003</v>
      </c>
      <c r="AB1920">
        <v>40</v>
      </c>
      <c r="AC1920">
        <v>-0.61729999999999996</v>
      </c>
      <c r="AD1920">
        <v>-6.0348999999999903E-2</v>
      </c>
      <c r="AE1920">
        <v>7.67999999999915E-2</v>
      </c>
      <c r="AF1920">
        <v>6.1291682396875401E-2</v>
      </c>
      <c r="AG1920">
        <v>-6.0348999999999903E-2</v>
      </c>
      <c r="AH1920">
        <v>0.61320340422713304</v>
      </c>
      <c r="AI1920">
        <v>95.593027208619901</v>
      </c>
      <c r="AJ1920">
        <v>84.292058077697902</v>
      </c>
      <c r="AK1920">
        <v>0.61920682093124901</v>
      </c>
      <c r="AL1920">
        <v>80.884301496343099</v>
      </c>
      <c r="AM1920">
        <v>90.969385374414301</v>
      </c>
      <c r="AN1920">
        <v>0.99999997858546397</v>
      </c>
    </row>
    <row r="1921" spans="1:40" x14ac:dyDescent="0.25">
      <c r="A1921" t="str">
        <f>"20190312164300510"</f>
        <v>20190312164300510</v>
      </c>
      <c r="B1921" t="str">
        <f>"1552380180505871"</f>
        <v>1552380180505871</v>
      </c>
      <c r="C1921" t="s">
        <v>40</v>
      </c>
      <c r="D1921">
        <v>4.1856289999999996</v>
      </c>
      <c r="E1921">
        <v>0.53369250000000001</v>
      </c>
      <c r="F1921" t="s">
        <v>41</v>
      </c>
      <c r="G1921">
        <v>-439.20159999999998</v>
      </c>
      <c r="H1921">
        <v>1.0524480000000001</v>
      </c>
      <c r="I1921">
        <v>285.28769999999997</v>
      </c>
      <c r="J1921">
        <v>-438.62060000000002</v>
      </c>
      <c r="K1921">
        <v>1.110582</v>
      </c>
      <c r="L1921">
        <v>285.21429999999998</v>
      </c>
      <c r="M1921">
        <v>-0.99960199999999999</v>
      </c>
      <c r="N1921">
        <v>0</v>
      </c>
      <c r="O1921">
        <v>2.3810100000000001E-2</v>
      </c>
      <c r="P1921">
        <v>-0.98968860000000003</v>
      </c>
      <c r="Q1921">
        <v>0.14311470000000001</v>
      </c>
      <c r="R1921">
        <v>5.889175E-3</v>
      </c>
      <c r="S1921">
        <v>-3.0557859999999999</v>
      </c>
      <c r="T1921">
        <v>-0.18100369999999999</v>
      </c>
      <c r="U1921">
        <v>0.2568665</v>
      </c>
      <c r="V1921">
        <v>-1.7807099999999999E-2</v>
      </c>
      <c r="W1921">
        <v>0.15805469999999999</v>
      </c>
      <c r="X1921">
        <v>0.98726979999999998</v>
      </c>
      <c r="Y1921">
        <v>5.9947880000000002E-2</v>
      </c>
      <c r="Z1921">
        <v>3.6443320000000001E-4</v>
      </c>
      <c r="AA1921">
        <v>0.99820140000000002</v>
      </c>
      <c r="AB1921">
        <v>40</v>
      </c>
      <c r="AC1921">
        <v>-0.58099999999995999</v>
      </c>
      <c r="AD1921">
        <v>-5.8133999999999901E-2</v>
      </c>
      <c r="AE1921">
        <v>7.3399999999992305E-2</v>
      </c>
      <c r="AF1921">
        <v>5.8962888955829802E-2</v>
      </c>
      <c r="AG1921">
        <v>-5.8133999999999901E-2</v>
      </c>
      <c r="AH1921">
        <v>0.57689810884894299</v>
      </c>
      <c r="AI1921">
        <v>95.724645374810805</v>
      </c>
      <c r="AJ1921">
        <v>84.164247999070795</v>
      </c>
      <c r="AK1921">
        <v>0.58281009962380104</v>
      </c>
      <c r="AL1921">
        <v>80.905998127938801</v>
      </c>
      <c r="AM1921">
        <v>91.033315369008207</v>
      </c>
      <c r="AN1921">
        <v>1.00000001949726</v>
      </c>
    </row>
    <row r="1922" spans="1:40" x14ac:dyDescent="0.25">
      <c r="A1922" t="str">
        <f>"20190312164300534"</f>
        <v>20190312164300534</v>
      </c>
      <c r="B1922" t="str">
        <f>"1552380180526367"</f>
        <v>1552380180526367</v>
      </c>
      <c r="C1922" t="s">
        <v>40</v>
      </c>
      <c r="D1922">
        <v>4.0826359999999999</v>
      </c>
      <c r="E1922">
        <v>0.5341899</v>
      </c>
      <c r="F1922" t="s">
        <v>46</v>
      </c>
      <c r="G1922">
        <v>-457.68110000000001</v>
      </c>
      <c r="H1922" s="1">
        <v>2.4541879999999998E-6</v>
      </c>
      <c r="I1922">
        <v>286.82459999999998</v>
      </c>
      <c r="J1922">
        <v>-439.04430000000002</v>
      </c>
      <c r="K1922">
        <v>1.110589</v>
      </c>
      <c r="L1922">
        <v>285.22399999999999</v>
      </c>
      <c r="M1922">
        <v>-0.99961060000000002</v>
      </c>
      <c r="N1922">
        <v>0</v>
      </c>
      <c r="O1922">
        <v>2.3451240000000002E-2</v>
      </c>
      <c r="P1922">
        <v>-0.98989780000000005</v>
      </c>
      <c r="Q1922">
        <v>0.14170659999999999</v>
      </c>
      <c r="R1922">
        <v>4.6494780000000003E-3</v>
      </c>
      <c r="S1922">
        <v>-3.0555110000000001</v>
      </c>
      <c r="T1922">
        <v>-0.17803279999999999</v>
      </c>
      <c r="U1922">
        <v>0.25814819999999999</v>
      </c>
      <c r="V1922">
        <v>-1.8696870000000001E-2</v>
      </c>
      <c r="W1922">
        <v>0.15664349999999999</v>
      </c>
      <c r="X1922">
        <v>0.98747830000000003</v>
      </c>
      <c r="Y1922">
        <v>6.0729600000000002E-2</v>
      </c>
      <c r="Z1922">
        <v>4.0204539999999999E-4</v>
      </c>
      <c r="AA1922">
        <v>0.99815419999999999</v>
      </c>
      <c r="AB1922">
        <v>40</v>
      </c>
      <c r="AC1922">
        <v>-18.636799999999901</v>
      </c>
      <c r="AD1922">
        <v>-1.1105865458119999</v>
      </c>
      <c r="AE1922">
        <v>1.60059999999998</v>
      </c>
      <c r="AF1922">
        <v>1.15896818237669</v>
      </c>
      <c r="AG1922">
        <v>-1.1105865458119999</v>
      </c>
      <c r="AH1922">
        <v>18.603634186272199</v>
      </c>
      <c r="AI1922">
        <v>93.409753625706202</v>
      </c>
      <c r="AJ1922">
        <v>86.435197613015205</v>
      </c>
      <c r="AK1922">
        <v>18.6727559471048</v>
      </c>
      <c r="AL1922">
        <v>80.987874373796203</v>
      </c>
      <c r="AM1922">
        <v>91.084706120585395</v>
      </c>
      <c r="AN1922">
        <v>1.0000000760054599</v>
      </c>
    </row>
    <row r="1923" spans="1:40" x14ac:dyDescent="0.25">
      <c r="A1923" t="str">
        <f>"20190312164300554"</f>
        <v>20190312164300554</v>
      </c>
      <c r="B1923" t="str">
        <f>"1552380180545888"</f>
        <v>1552380180545888</v>
      </c>
      <c r="C1923" t="s">
        <v>40</v>
      </c>
      <c r="D1923">
        <v>4.0576759999999998</v>
      </c>
      <c r="E1923">
        <v>0.53464669999999903</v>
      </c>
      <c r="F1923" t="s">
        <v>46</v>
      </c>
      <c r="G1923">
        <v>-458.15370000000001</v>
      </c>
      <c r="H1923" s="1">
        <v>2.7048849999999999E-6</v>
      </c>
      <c r="I1923">
        <v>286.84249999999997</v>
      </c>
      <c r="J1923">
        <v>-439.4212</v>
      </c>
      <c r="K1923">
        <v>1.1105940000000001</v>
      </c>
      <c r="L1923">
        <v>285.23259999999999</v>
      </c>
      <c r="M1923">
        <v>-0.99961820000000001</v>
      </c>
      <c r="N1923">
        <v>0</v>
      </c>
      <c r="O1923">
        <v>2.313204E-2</v>
      </c>
      <c r="P1923">
        <v>-0.99008390000000002</v>
      </c>
      <c r="Q1923">
        <v>0.14044379999999901</v>
      </c>
      <c r="R1923">
        <v>3.093644E-3</v>
      </c>
      <c r="S1923">
        <v>-3.0548099999999998</v>
      </c>
      <c r="T1923">
        <v>-0.17753720000000001</v>
      </c>
      <c r="U1923">
        <v>0.25872800000000001</v>
      </c>
      <c r="V1923">
        <v>-1.9940679999999999E-2</v>
      </c>
      <c r="W1923">
        <v>0.1553774</v>
      </c>
      <c r="X1923">
        <v>0.98765389999999997</v>
      </c>
      <c r="Y1923">
        <v>6.1254580000000003E-2</v>
      </c>
      <c r="Z1923">
        <v>4.347245E-4</v>
      </c>
      <c r="AA1923">
        <v>0.99812210000000001</v>
      </c>
      <c r="AB1923">
        <v>40</v>
      </c>
      <c r="AC1923">
        <v>-18.732500000000002</v>
      </c>
      <c r="AD1923">
        <v>-1.1105912951150001</v>
      </c>
      <c r="AE1923">
        <v>1.6098999999999799</v>
      </c>
      <c r="AF1923">
        <v>1.1720093664573801</v>
      </c>
      <c r="AG1923">
        <v>-1.1105912951150001</v>
      </c>
      <c r="AH1923">
        <v>18.6994853722504</v>
      </c>
      <c r="AI1923">
        <v>93.392251412324299</v>
      </c>
      <c r="AJ1923">
        <v>86.413619629828204</v>
      </c>
      <c r="AK1923">
        <v>18.769064232583801</v>
      </c>
      <c r="AL1923">
        <v>81.0613151057332</v>
      </c>
      <c r="AM1923">
        <v>91.156641612709194</v>
      </c>
      <c r="AN1923">
        <v>0.99999999666741601</v>
      </c>
    </row>
    <row r="1924" spans="1:40" x14ac:dyDescent="0.25">
      <c r="A1924" t="str">
        <f>"20190312164300578"</f>
        <v>20190312164300578</v>
      </c>
      <c r="B1924" t="str">
        <f>"1552380180566384"</f>
        <v>1552380180566384</v>
      </c>
      <c r="C1924" t="s">
        <v>40</v>
      </c>
      <c r="D1924">
        <v>4.0034340000000004</v>
      </c>
      <c r="E1924">
        <v>0.53507700000000002</v>
      </c>
      <c r="F1924" t="s">
        <v>46</v>
      </c>
      <c r="G1924">
        <v>-458.68380000000002</v>
      </c>
      <c r="H1924" s="1">
        <v>2.986312E-6</v>
      </c>
      <c r="I1924">
        <v>286.858</v>
      </c>
      <c r="J1924">
        <v>-439.8306</v>
      </c>
      <c r="K1924">
        <v>1.110595</v>
      </c>
      <c r="L1924">
        <v>285.24180000000001</v>
      </c>
      <c r="M1924">
        <v>-0.99962620000000002</v>
      </c>
      <c r="N1924">
        <v>0</v>
      </c>
      <c r="O1924">
        <v>2.2784789999999999E-2</v>
      </c>
      <c r="P1924">
        <v>-0.99019639999999998</v>
      </c>
      <c r="Q1924">
        <v>0.139681</v>
      </c>
      <c r="R1924">
        <v>9.5122679999999995E-4</v>
      </c>
      <c r="S1924">
        <v>-3.05423</v>
      </c>
      <c r="T1924">
        <v>-0.1760929</v>
      </c>
      <c r="U1924">
        <v>0.25772089999999998</v>
      </c>
      <c r="V1924">
        <v>-2.1741859999999998E-2</v>
      </c>
      <c r="W1924">
        <v>0.1546101</v>
      </c>
      <c r="X1924">
        <v>0.98773630000000001</v>
      </c>
      <c r="Y1924">
        <v>6.1290850000000001E-2</v>
      </c>
      <c r="Z1924">
        <v>4.5228050000000001E-4</v>
      </c>
      <c r="AA1924">
        <v>0.9981198</v>
      </c>
      <c r="AB1924">
        <v>40</v>
      </c>
      <c r="AC1924">
        <v>-18.853200000000001</v>
      </c>
      <c r="AD1924">
        <v>-1.1105920136880001</v>
      </c>
      <c r="AE1924">
        <v>1.6161999999999901</v>
      </c>
      <c r="AF1924">
        <v>1.1820930506163201</v>
      </c>
      <c r="AG1924">
        <v>-1.1105920136880001</v>
      </c>
      <c r="AH1924">
        <v>18.820302006571499</v>
      </c>
      <c r="AI1924">
        <v>93.370499405945097</v>
      </c>
      <c r="AJ1924">
        <v>86.406004070068207</v>
      </c>
      <c r="AK1924">
        <v>18.890064219576999</v>
      </c>
      <c r="AL1924">
        <v>81.105815915428593</v>
      </c>
      <c r="AM1924">
        <v>91.260979963805397</v>
      </c>
      <c r="AN1924">
        <v>0.99999999491797897</v>
      </c>
    </row>
    <row r="1925" spans="1:40" x14ac:dyDescent="0.25">
      <c r="A1925" t="str">
        <f>"20190312164300622"</f>
        <v>20190312164300622</v>
      </c>
      <c r="B1925" t="str">
        <f>"1552380180616160"</f>
        <v>1552380180616160</v>
      </c>
      <c r="C1925" t="s">
        <v>40</v>
      </c>
      <c r="D1925">
        <v>4.1034059999999997</v>
      </c>
      <c r="E1925">
        <v>0.48345149999999998</v>
      </c>
      <c r="F1925" t="s">
        <v>46</v>
      </c>
      <c r="G1925">
        <v>-459.20569999999998</v>
      </c>
      <c r="H1925" s="1">
        <v>3.2640750000000002E-6</v>
      </c>
      <c r="I1925">
        <v>286.85789999999997</v>
      </c>
      <c r="J1925">
        <v>-440.62720000000002</v>
      </c>
      <c r="K1925">
        <v>1.1106069999999999</v>
      </c>
      <c r="L1925">
        <v>285.25909999999999</v>
      </c>
      <c r="M1925">
        <v>-0.99964149999999996</v>
      </c>
      <c r="N1925">
        <v>0</v>
      </c>
      <c r="O1925">
        <v>2.2107789999999999E-2</v>
      </c>
      <c r="P1925">
        <v>-0.98981359999999996</v>
      </c>
      <c r="Q1925">
        <v>0.14234379999999999</v>
      </c>
      <c r="R1925">
        <v>-2.745403E-3</v>
      </c>
      <c r="S1925">
        <v>-3.0541689999999999</v>
      </c>
      <c r="T1925">
        <v>-0.17506640000000001</v>
      </c>
      <c r="U1925">
        <v>0.25476070000000001</v>
      </c>
      <c r="V1925">
        <v>-2.4761620000000002E-2</v>
      </c>
      <c r="W1925">
        <v>0.15725520000000001</v>
      </c>
      <c r="X1925">
        <v>0.98724749999999994</v>
      </c>
      <c r="Y1925">
        <v>6.100792E-2</v>
      </c>
      <c r="Z1925">
        <v>4.802699E-4</v>
      </c>
      <c r="AA1925">
        <v>0.99813719999999995</v>
      </c>
      <c r="AB1925">
        <v>40</v>
      </c>
      <c r="AC1925">
        <v>-18.578499999999899</v>
      </c>
      <c r="AD1925">
        <v>-1.1106037359249901</v>
      </c>
      <c r="AE1925">
        <v>1.59879999999998</v>
      </c>
      <c r="AF1925">
        <v>1.1834347747360501</v>
      </c>
      <c r="AG1925">
        <v>-1.1106037359249901</v>
      </c>
      <c r="AH1925">
        <v>18.543529563973099</v>
      </c>
      <c r="AI1925">
        <v>93.420506103726495</v>
      </c>
      <c r="AJ1925">
        <v>86.348376584167497</v>
      </c>
      <c r="AK1925">
        <v>18.614415038196899</v>
      </c>
      <c r="AL1925">
        <v>80.952385870256805</v>
      </c>
      <c r="AM1925">
        <v>91.436761230085907</v>
      </c>
      <c r="AN1925">
        <v>0.99999998100415599</v>
      </c>
    </row>
    <row r="1926" spans="1:40" x14ac:dyDescent="0.25">
      <c r="A1926" t="str">
        <f>"20190312164300643"</f>
        <v>20190312164300643</v>
      </c>
      <c r="B1926" t="str">
        <f>"1552380180635680"</f>
        <v>1552380180635680</v>
      </c>
      <c r="C1926" t="s">
        <v>40</v>
      </c>
      <c r="D1926">
        <v>4.2662170000000001</v>
      </c>
      <c r="E1926">
        <v>0.47557569999999999</v>
      </c>
      <c r="F1926" t="s">
        <v>46</v>
      </c>
      <c r="G1926">
        <v>-464.21409999999997</v>
      </c>
      <c r="H1926" s="1">
        <v>7.3387089999999998E-7</v>
      </c>
      <c r="I1926">
        <v>283.97239999999999</v>
      </c>
      <c r="J1926">
        <v>-441.00900000000001</v>
      </c>
      <c r="K1926">
        <v>1.1106</v>
      </c>
      <c r="L1926">
        <v>285.26729999999998</v>
      </c>
      <c r="M1926">
        <v>-0.99964869999999995</v>
      </c>
      <c r="N1926">
        <v>0</v>
      </c>
      <c r="O1926">
        <v>2.1782860000000001E-2</v>
      </c>
      <c r="P1926">
        <v>-0.98973429999999996</v>
      </c>
      <c r="Q1926">
        <v>0.14285499999999901</v>
      </c>
      <c r="R1926">
        <v>-4.3071009999999998E-3</v>
      </c>
      <c r="S1926">
        <v>-3.0510860000000002</v>
      </c>
      <c r="T1926">
        <v>-0.14366279999999901</v>
      </c>
      <c r="U1926">
        <v>-0.16644289999999901</v>
      </c>
      <c r="V1926">
        <v>-2.60004E-2</v>
      </c>
      <c r="W1926">
        <v>0.1577595</v>
      </c>
      <c r="X1926">
        <v>0.98713519999999999</v>
      </c>
      <c r="Y1926">
        <v>-7.6102929999999999E-2</v>
      </c>
      <c r="Z1926">
        <v>-2.8139060000000001E-3</v>
      </c>
      <c r="AA1926">
        <v>0.99709599999999998</v>
      </c>
      <c r="AB1926">
        <v>40</v>
      </c>
      <c r="AC1926">
        <v>-23.205099999999899</v>
      </c>
      <c r="AD1926">
        <v>-1.1105992661291</v>
      </c>
      <c r="AE1926">
        <v>-1.29489999999998</v>
      </c>
      <c r="AF1926">
        <v>-1.7960225717431699</v>
      </c>
      <c r="AG1926">
        <v>-1.1105992661291</v>
      </c>
      <c r="AH1926">
        <v>23.118592028506601</v>
      </c>
      <c r="AI1926">
        <v>92.7420809279336</v>
      </c>
      <c r="AJ1926">
        <v>94.442235876162599</v>
      </c>
      <c r="AK1926">
        <v>23.2148320086247</v>
      </c>
      <c r="AL1926">
        <v>80.923126484808805</v>
      </c>
      <c r="AM1926">
        <v>91.508778969489697</v>
      </c>
      <c r="AN1926">
        <v>0.99999999185972499</v>
      </c>
    </row>
    <row r="1927" spans="1:40" x14ac:dyDescent="0.25">
      <c r="A1927" t="str">
        <f>"20190312164300666"</f>
        <v>20190312164300666</v>
      </c>
      <c r="B1927" t="str">
        <f>"1552380180656177"</f>
        <v>1552380180656177</v>
      </c>
      <c r="C1927" t="s">
        <v>40</v>
      </c>
      <c r="D1927">
        <v>4.3481139999999998</v>
      </c>
      <c r="E1927">
        <v>0.47199839999999998</v>
      </c>
      <c r="F1927" t="s">
        <v>46</v>
      </c>
      <c r="G1927">
        <v>-462.44130000000001</v>
      </c>
      <c r="H1927" s="1">
        <v>-1.9408970000000001E-7</v>
      </c>
      <c r="I1927">
        <v>283.62040000000002</v>
      </c>
      <c r="J1927">
        <v>-441.4085</v>
      </c>
      <c r="K1927">
        <v>1.110592</v>
      </c>
      <c r="L1927">
        <v>285.2756</v>
      </c>
      <c r="M1927">
        <v>-0.99965619999999999</v>
      </c>
      <c r="N1927">
        <v>0</v>
      </c>
      <c r="O1927">
        <v>2.144209E-2</v>
      </c>
      <c r="P1927">
        <v>-0.98988659999999995</v>
      </c>
      <c r="Q1927">
        <v>0.14173359999999999</v>
      </c>
      <c r="R1927">
        <v>-6.0285119999999998E-3</v>
      </c>
      <c r="S1927">
        <v>-3.0528870000000001</v>
      </c>
      <c r="T1927">
        <v>-0.15819720000000001</v>
      </c>
      <c r="U1927">
        <v>-0.23458860000000001</v>
      </c>
      <c r="V1927">
        <v>-2.7386850000000001E-2</v>
      </c>
      <c r="W1927">
        <v>0.156635</v>
      </c>
      <c r="X1927">
        <v>0.98727679999999995</v>
      </c>
      <c r="Y1927">
        <v>-9.7820439999999995E-2</v>
      </c>
      <c r="Z1927">
        <v>-3.638072E-3</v>
      </c>
      <c r="AA1927">
        <v>0.99519740000000001</v>
      </c>
      <c r="AB1927">
        <v>40</v>
      </c>
      <c r="AC1927">
        <v>-21.032800000000002</v>
      </c>
      <c r="AD1927">
        <v>-1.1105921940896999</v>
      </c>
      <c r="AE1927">
        <v>-1.65519999999997</v>
      </c>
      <c r="AF1927">
        <v>-2.1000387481218801</v>
      </c>
      <c r="AG1927">
        <v>-1.1105921940896999</v>
      </c>
      <c r="AH1927">
        <v>20.934459287370601</v>
      </c>
      <c r="AI1927">
        <v>93.021609733581698</v>
      </c>
      <c r="AJ1927">
        <v>95.7284578953184</v>
      </c>
      <c r="AK1927">
        <v>21.068819696882901</v>
      </c>
      <c r="AL1927">
        <v>80.988366977671106</v>
      </c>
      <c r="AM1927">
        <v>91.588965343683299</v>
      </c>
      <c r="AN1927">
        <v>1.00000002129808</v>
      </c>
    </row>
    <row r="1928" spans="1:40" x14ac:dyDescent="0.25">
      <c r="A1928" t="str">
        <f>"20190312164300689"</f>
        <v>20190312164300689</v>
      </c>
      <c r="B1928" t="str">
        <f>"1552380180686435"</f>
        <v>1552380180686435</v>
      </c>
      <c r="C1928" t="s">
        <v>40</v>
      </c>
      <c r="D1928">
        <v>4.289212</v>
      </c>
      <c r="E1928">
        <v>0.47004620000000003</v>
      </c>
      <c r="F1928" t="s">
        <v>46</v>
      </c>
      <c r="G1928">
        <v>-461.52330000000001</v>
      </c>
      <c r="H1928" s="1">
        <v>-6.7751899999999997E-7</v>
      </c>
      <c r="I1928">
        <v>283.50409999999999</v>
      </c>
      <c r="J1928">
        <v>-441.80860000000001</v>
      </c>
      <c r="K1928">
        <v>1.110587</v>
      </c>
      <c r="L1928">
        <v>285.28390000000002</v>
      </c>
      <c r="M1928">
        <v>-0.99966339999999998</v>
      </c>
      <c r="N1928">
        <v>0</v>
      </c>
      <c r="O1928">
        <v>2.1101089999999999E-2</v>
      </c>
      <c r="P1928">
        <v>-0.99007730000000005</v>
      </c>
      <c r="Q1928">
        <v>0.14030529999999999</v>
      </c>
      <c r="R1928">
        <v>-7.8427340000000005E-3</v>
      </c>
      <c r="S1928">
        <v>-3.0531619999999999</v>
      </c>
      <c r="T1928">
        <v>-0.168573</v>
      </c>
      <c r="U1928">
        <v>-0.26889039999999997</v>
      </c>
      <c r="V1928">
        <v>-2.886646E-2</v>
      </c>
      <c r="W1928">
        <v>0.1552036</v>
      </c>
      <c r="X1928">
        <v>0.98746069999999997</v>
      </c>
      <c r="Y1928">
        <v>-0.10853649999999999</v>
      </c>
      <c r="Z1928">
        <v>-4.1504949999999997E-3</v>
      </c>
      <c r="AA1928">
        <v>0.99408379999999996</v>
      </c>
      <c r="AB1928">
        <v>40</v>
      </c>
      <c r="AC1928">
        <v>-19.714700000000001</v>
      </c>
      <c r="AD1928">
        <v>-1.110587677519</v>
      </c>
      <c r="AE1928">
        <v>-1.77980000000002</v>
      </c>
      <c r="AF1928">
        <v>-2.1885636382330702</v>
      </c>
      <c r="AG1928">
        <v>-1.110587677519</v>
      </c>
      <c r="AH1928">
        <v>19.6110188927052</v>
      </c>
      <c r="AI1928">
        <v>93.221289000136906</v>
      </c>
      <c r="AJ1928">
        <v>96.367784698224597</v>
      </c>
      <c r="AK1928">
        <v>19.7639894201068</v>
      </c>
      <c r="AL1928">
        <v>81.071395715913098</v>
      </c>
      <c r="AM1928">
        <v>91.674451891817299</v>
      </c>
      <c r="AN1928">
        <v>1.0000000320051901</v>
      </c>
    </row>
    <row r="1929" spans="1:40" x14ac:dyDescent="0.25">
      <c r="A1929" t="str">
        <f>"20190312164300711"</f>
        <v>20190312164300711</v>
      </c>
      <c r="B1929" t="str">
        <f>"1552380180705952"</f>
        <v>1552380180705952</v>
      </c>
      <c r="C1929" t="s">
        <v>40</v>
      </c>
      <c r="D1929">
        <v>4.1064230000000004</v>
      </c>
      <c r="E1929">
        <v>0.46937329999999999</v>
      </c>
      <c r="F1929" t="s">
        <v>46</v>
      </c>
      <c r="G1929">
        <v>-460.94310000000002</v>
      </c>
      <c r="H1929" s="1">
        <v>-9.8466879999999998E-7</v>
      </c>
      <c r="I1929">
        <v>283.46719999999999</v>
      </c>
      <c r="J1929">
        <v>-442.20679999999999</v>
      </c>
      <c r="K1929">
        <v>1.1105959999999999</v>
      </c>
      <c r="L1929">
        <v>285.2919</v>
      </c>
      <c r="M1929">
        <v>-0.99967070000000002</v>
      </c>
      <c r="N1929">
        <v>0</v>
      </c>
      <c r="O1929">
        <v>2.0761160000000001E-2</v>
      </c>
      <c r="P1929">
        <v>-0.99020419999999998</v>
      </c>
      <c r="Q1929">
        <v>0.13926549999999999</v>
      </c>
      <c r="R1929">
        <v>-1.004765E-2</v>
      </c>
      <c r="S1929">
        <v>-3.0528870000000001</v>
      </c>
      <c r="T1929">
        <v>-0.17719270000000001</v>
      </c>
      <c r="U1929">
        <v>-0.289856</v>
      </c>
      <c r="V1929">
        <v>-3.0735620000000002E-2</v>
      </c>
      <c r="W1929">
        <v>0.1541592</v>
      </c>
      <c r="X1929">
        <v>0.9875678</v>
      </c>
      <c r="Y1929">
        <v>-0.1149435</v>
      </c>
      <c r="Z1929">
        <v>-4.527115E-3</v>
      </c>
      <c r="AA1929">
        <v>0.99336170000000001</v>
      </c>
      <c r="AB1929">
        <v>40</v>
      </c>
      <c r="AC1929">
        <v>-18.7363</v>
      </c>
      <c r="AD1929">
        <v>-1.1105969846688</v>
      </c>
      <c r="AE1929">
        <v>-1.8247</v>
      </c>
      <c r="AF1929">
        <v>-2.2056613168825101</v>
      </c>
      <c r="AG1929">
        <v>-1.1105969846688</v>
      </c>
      <c r="AH1929">
        <v>18.629532845329098</v>
      </c>
      <c r="AI1929">
        <v>93.388034371873999</v>
      </c>
      <c r="AJ1929">
        <v>96.752155882675893</v>
      </c>
      <c r="AK1929">
        <v>18.792494819537499</v>
      </c>
      <c r="AL1929">
        <v>81.131963662320302</v>
      </c>
      <c r="AM1929">
        <v>91.782614879156498</v>
      </c>
      <c r="AN1929">
        <v>0.99999994843912998</v>
      </c>
    </row>
    <row r="1930" spans="1:40" x14ac:dyDescent="0.25">
      <c r="A1930" t="str">
        <f>"20190312164300733"</f>
        <v>20190312164300733</v>
      </c>
      <c r="B1930" t="str">
        <f>"1552380180726448"</f>
        <v>1552380180726448</v>
      </c>
      <c r="C1930" t="s">
        <v>40</v>
      </c>
      <c r="D1930">
        <v>4.2680110000000004</v>
      </c>
      <c r="E1930">
        <v>0.4688369</v>
      </c>
      <c r="F1930" t="s">
        <v>46</v>
      </c>
      <c r="G1930">
        <v>-460.83390000000003</v>
      </c>
      <c r="H1930" s="1">
        <v>-1.041941E-6</v>
      </c>
      <c r="I1930">
        <v>283.44720000000001</v>
      </c>
      <c r="J1930">
        <v>-442.60250000000002</v>
      </c>
      <c r="K1930">
        <v>1.1106049999999901</v>
      </c>
      <c r="L1930">
        <v>285.29989999999998</v>
      </c>
      <c r="M1930">
        <v>-0.99967779999999995</v>
      </c>
      <c r="N1930">
        <v>0</v>
      </c>
      <c r="O1930">
        <v>2.0423199999999999E-2</v>
      </c>
      <c r="P1930">
        <v>-0.99018110000000004</v>
      </c>
      <c r="Q1930">
        <v>0.13936660000000001</v>
      </c>
      <c r="R1930">
        <v>-1.089978E-2</v>
      </c>
      <c r="S1930">
        <v>-3.052216</v>
      </c>
      <c r="T1930">
        <v>-0.1819817</v>
      </c>
      <c r="U1930">
        <v>-0.30227659999999901</v>
      </c>
      <c r="V1930">
        <v>-3.1252210000000002E-2</v>
      </c>
      <c r="W1930">
        <v>0.15425529999999901</v>
      </c>
      <c r="X1930">
        <v>0.98753659999999999</v>
      </c>
      <c r="Y1930">
        <v>-0.11861389999999999</v>
      </c>
      <c r="Z1930">
        <v>-4.7383410000000001E-3</v>
      </c>
      <c r="AA1930">
        <v>0.99292919999999996</v>
      </c>
      <c r="AB1930">
        <v>40</v>
      </c>
      <c r="AC1930">
        <v>-18.231400000000001</v>
      </c>
      <c r="AD1930">
        <v>-1.11060604194099</v>
      </c>
      <c r="AE1930">
        <v>-1.85269999999997</v>
      </c>
      <c r="AF1930">
        <v>-2.2165579521496399</v>
      </c>
      <c r="AG1930">
        <v>-1.11060604194099</v>
      </c>
      <c r="AH1930">
        <v>18.123188117119401</v>
      </c>
      <c r="AI1930">
        <v>93.480880726722404</v>
      </c>
      <c r="AJ1930">
        <v>96.972934158048005</v>
      </c>
      <c r="AK1930">
        <v>18.291979730584998</v>
      </c>
      <c r="AL1930">
        <v>81.126391047378803</v>
      </c>
      <c r="AM1930">
        <v>91.812613647119093</v>
      </c>
      <c r="AN1930">
        <v>0.99999996727376605</v>
      </c>
    </row>
    <row r="1931" spans="1:40" x14ac:dyDescent="0.25">
      <c r="A1931" t="str">
        <f>"20190312164300755"</f>
        <v>20190312164300755</v>
      </c>
      <c r="B1931" t="str">
        <f>"1552380180745969"</f>
        <v>1552380180745969</v>
      </c>
      <c r="C1931" t="s">
        <v>40</v>
      </c>
      <c r="D1931">
        <v>4.3700239999999999</v>
      </c>
      <c r="E1931">
        <v>0.46855249999999998</v>
      </c>
      <c r="F1931" t="s">
        <v>46</v>
      </c>
      <c r="G1931">
        <v>-461.01870000000002</v>
      </c>
      <c r="H1931" s="1">
        <v>-9.4276790000000002E-7</v>
      </c>
      <c r="I1931">
        <v>283.42829999999998</v>
      </c>
      <c r="J1931">
        <v>-442.98489999999998</v>
      </c>
      <c r="K1931">
        <v>1.110606</v>
      </c>
      <c r="L1931">
        <v>285.30739999999997</v>
      </c>
      <c r="M1931">
        <v>-0.99968440000000003</v>
      </c>
      <c r="N1931">
        <v>0</v>
      </c>
      <c r="O1931">
        <v>2.009704E-2</v>
      </c>
      <c r="P1931">
        <v>-0.99001980000000001</v>
      </c>
      <c r="Q1931">
        <v>0.1403837</v>
      </c>
      <c r="R1931">
        <v>-1.23897E-2</v>
      </c>
      <c r="S1931">
        <v>-3.052216</v>
      </c>
      <c r="T1931">
        <v>-0.18406690000000001</v>
      </c>
      <c r="U1931">
        <v>-0.31018069999999998</v>
      </c>
      <c r="V1931">
        <v>-3.2416689999999998E-2</v>
      </c>
      <c r="W1931">
        <v>0.1552644</v>
      </c>
      <c r="X1931">
        <v>0.98734089999999997</v>
      </c>
      <c r="Y1931">
        <v>-0.1208264</v>
      </c>
      <c r="Z1931">
        <v>-4.8388009999999898E-3</v>
      </c>
      <c r="AA1931">
        <v>0.99266180000000004</v>
      </c>
      <c r="AB1931">
        <v>40</v>
      </c>
      <c r="AC1931">
        <v>-18.033799999999999</v>
      </c>
      <c r="AD1931">
        <v>-1.1106069427679</v>
      </c>
      <c r="AE1931">
        <v>-1.87909999999999</v>
      </c>
      <c r="AF1931">
        <v>-2.2328102003885602</v>
      </c>
      <c r="AG1931">
        <v>-1.1106069427679</v>
      </c>
      <c r="AH1931">
        <v>17.925134215657899</v>
      </c>
      <c r="AI1931">
        <v>93.518283925308694</v>
      </c>
      <c r="AJ1931">
        <v>97.100367345824097</v>
      </c>
      <c r="AK1931">
        <v>18.097771294323401</v>
      </c>
      <c r="AL1931">
        <v>81.067868775394601</v>
      </c>
      <c r="AM1931">
        <v>91.880477729822104</v>
      </c>
      <c r="AN1931">
        <v>0.99999996425536197</v>
      </c>
    </row>
    <row r="1932" spans="1:40" x14ac:dyDescent="0.25">
      <c r="A1932" t="str">
        <f>"20190312164300779"</f>
        <v>20190312164300779</v>
      </c>
      <c r="B1932" t="str">
        <f>"1552380180766464"</f>
        <v>1552380180766464</v>
      </c>
      <c r="C1932" t="s">
        <v>40</v>
      </c>
      <c r="D1932">
        <v>4.4377040000000001</v>
      </c>
      <c r="E1932">
        <v>0.46844239999999998</v>
      </c>
      <c r="F1932" t="s">
        <v>46</v>
      </c>
      <c r="G1932">
        <v>-461.61</v>
      </c>
      <c r="H1932" s="1">
        <v>-6.2559339999999998E-7</v>
      </c>
      <c r="I1932">
        <v>283.37060000000002</v>
      </c>
      <c r="J1932">
        <v>-443.39229999999998</v>
      </c>
      <c r="K1932">
        <v>1.1106049999999901</v>
      </c>
      <c r="L1932">
        <v>285.3152</v>
      </c>
      <c r="M1932">
        <v>-0.9996912</v>
      </c>
      <c r="N1932">
        <v>0</v>
      </c>
      <c r="O1932">
        <v>1.974913E-2</v>
      </c>
      <c r="P1932">
        <v>-0.98992690000000005</v>
      </c>
      <c r="Q1932">
        <v>0.14091219999999999</v>
      </c>
      <c r="R1932">
        <v>-1.372904E-2</v>
      </c>
      <c r="S1932">
        <v>-3.0520939999999999</v>
      </c>
      <c r="T1932">
        <v>-0.18199560000000001</v>
      </c>
      <c r="U1932">
        <v>-0.31738280000000002</v>
      </c>
      <c r="V1932">
        <v>-3.3409639999999997E-2</v>
      </c>
      <c r="W1932">
        <v>0.15578629999999999</v>
      </c>
      <c r="X1932">
        <v>0.98722569999999998</v>
      </c>
      <c r="Y1932">
        <v>-0.1228055</v>
      </c>
      <c r="Z1932">
        <v>-4.8221840000000002E-3</v>
      </c>
      <c r="AA1932">
        <v>0.9924191</v>
      </c>
      <c r="AB1932">
        <v>40</v>
      </c>
      <c r="AC1932">
        <v>-18.217700000000001</v>
      </c>
      <c r="AD1932">
        <v>-1.11060562559339</v>
      </c>
      <c r="AE1932">
        <v>-1.9445999999999799</v>
      </c>
      <c r="AF1932">
        <v>-2.29560981491238</v>
      </c>
      <c r="AG1932">
        <v>-1.11060562559339</v>
      </c>
      <c r="AH1932">
        <v>18.109193226659801</v>
      </c>
      <c r="AI1932">
        <v>93.481662834129807</v>
      </c>
      <c r="AJ1932">
        <v>97.224559445073695</v>
      </c>
      <c r="AK1932">
        <v>18.287868891656601</v>
      </c>
      <c r="AL1932">
        <v>81.037598803069699</v>
      </c>
      <c r="AM1932">
        <v>91.938261021268303</v>
      </c>
      <c r="AN1932">
        <v>1.00000007902655</v>
      </c>
    </row>
    <row r="1933" spans="1:40" x14ac:dyDescent="0.25">
      <c r="A1933" t="str">
        <f>"20190312164300801"</f>
        <v>20190312164300801</v>
      </c>
      <c r="B1933" t="str">
        <f>"1552380180795743"</f>
        <v>1552380180795743</v>
      </c>
      <c r="C1933" t="s">
        <v>40</v>
      </c>
      <c r="D1933">
        <v>4.5438049999999999</v>
      </c>
      <c r="E1933">
        <v>0.46822039999999998</v>
      </c>
      <c r="F1933" t="s">
        <v>46</v>
      </c>
      <c r="G1933">
        <v>-462.173</v>
      </c>
      <c r="H1933" s="1">
        <v>-3.2421649999999998E-7</v>
      </c>
      <c r="I1933">
        <v>283.33069999999998</v>
      </c>
      <c r="J1933">
        <v>-443.78550000000001</v>
      </c>
      <c r="K1933">
        <v>1.110603</v>
      </c>
      <c r="L1933">
        <v>285.3227</v>
      </c>
      <c r="M1933">
        <v>-0.99969810000000003</v>
      </c>
      <c r="N1933">
        <v>0</v>
      </c>
      <c r="O1933">
        <v>1.941238E-2</v>
      </c>
      <c r="P1933">
        <v>-0.98997329999999994</v>
      </c>
      <c r="Q1933">
        <v>0.14049389999999901</v>
      </c>
      <c r="R1933">
        <v>-1.4666449999999999E-2</v>
      </c>
      <c r="S1933">
        <v>-3.051758</v>
      </c>
      <c r="T1933">
        <v>-0.1804665</v>
      </c>
      <c r="U1933">
        <v>-0.32247920000000002</v>
      </c>
      <c r="V1933">
        <v>-3.4013540000000002E-2</v>
      </c>
      <c r="W1933">
        <v>0.1553638</v>
      </c>
      <c r="X1933">
        <v>0.98727160000000003</v>
      </c>
      <c r="Y1933">
        <v>-0.1241241</v>
      </c>
      <c r="Z1933">
        <v>-4.8008479999999999E-3</v>
      </c>
      <c r="AA1933">
        <v>0.99225509999999995</v>
      </c>
      <c r="AB1933">
        <v>40</v>
      </c>
      <c r="AC1933">
        <v>-18.3874999999999</v>
      </c>
      <c r="AD1933">
        <v>-1.1106033242165001</v>
      </c>
      <c r="AE1933">
        <v>-1.99200000000001</v>
      </c>
      <c r="AF1933">
        <v>-2.3401719188517101</v>
      </c>
      <c r="AG1933">
        <v>-1.1106033242165001</v>
      </c>
      <c r="AH1933">
        <v>18.279447885884</v>
      </c>
      <c r="AI1933">
        <v>93.448763947361499</v>
      </c>
      <c r="AJ1933">
        <v>97.295437854878003</v>
      </c>
      <c r="AK1933">
        <v>18.4620708309305</v>
      </c>
      <c r="AL1933">
        <v>81.062104133007395</v>
      </c>
      <c r="AM1933">
        <v>91.973177173422101</v>
      </c>
      <c r="AN1933">
        <v>1.0000000217101599</v>
      </c>
    </row>
    <row r="1934" spans="1:40" x14ac:dyDescent="0.25">
      <c r="A1934" t="str">
        <f>"20190312164300824"</f>
        <v>20190312164300824</v>
      </c>
      <c r="B1934" t="str">
        <f>"1552380180816240"</f>
        <v>1552380180816240</v>
      </c>
      <c r="C1934" t="s">
        <v>40</v>
      </c>
      <c r="D1934">
        <v>4.4490749999999997</v>
      </c>
      <c r="E1934">
        <v>0.46814460000000002</v>
      </c>
      <c r="F1934" t="s">
        <v>46</v>
      </c>
      <c r="G1934">
        <v>-462.18419999999998</v>
      </c>
      <c r="H1934" s="1">
        <v>-3.1915040000000002E-7</v>
      </c>
      <c r="I1934">
        <v>283.35120000000001</v>
      </c>
      <c r="J1934">
        <v>-444.1832</v>
      </c>
      <c r="K1934">
        <v>1.1106039999999999</v>
      </c>
      <c r="L1934">
        <v>285.33010000000002</v>
      </c>
      <c r="M1934">
        <v>-0.9997047</v>
      </c>
      <c r="N1934">
        <v>0</v>
      </c>
      <c r="O1934">
        <v>1.907234E-2</v>
      </c>
      <c r="P1934">
        <v>-0.99003419999999998</v>
      </c>
      <c r="Q1934">
        <v>0.13991629999999899</v>
      </c>
      <c r="R1934">
        <v>-1.6005809999999999E-2</v>
      </c>
      <c r="S1934">
        <v>-3.0516969999999999</v>
      </c>
      <c r="T1934">
        <v>-0.18420929999999999</v>
      </c>
      <c r="U1934">
        <v>-0.3269958</v>
      </c>
      <c r="V1934">
        <v>-3.5017140000000002E-2</v>
      </c>
      <c r="W1934">
        <v>0.154782</v>
      </c>
      <c r="X1934">
        <v>0.98732790000000004</v>
      </c>
      <c r="Y1934">
        <v>-0.12522900000000001</v>
      </c>
      <c r="Z1934">
        <v>-4.9127210000000001E-3</v>
      </c>
      <c r="AA1934">
        <v>0.99211570000000004</v>
      </c>
      <c r="AB1934">
        <v>40</v>
      </c>
      <c r="AC1934">
        <v>-18.000999999999902</v>
      </c>
      <c r="AD1934">
        <v>-1.1106043191504</v>
      </c>
      <c r="AE1934">
        <v>-1.9789000000000101</v>
      </c>
      <c r="AF1934">
        <v>-2.3132000472566698</v>
      </c>
      <c r="AG1934">
        <v>-1.1106043191504</v>
      </c>
      <c r="AH1934">
        <v>17.8926832942186</v>
      </c>
      <c r="AI1934">
        <v>93.522568792342895</v>
      </c>
      <c r="AJ1934">
        <v>97.366447958596694</v>
      </c>
      <c r="AK1934">
        <v>18.075742083786</v>
      </c>
      <c r="AL1934">
        <v>81.095847032164002</v>
      </c>
      <c r="AM1934">
        <v>92.031233722530203</v>
      </c>
      <c r="AN1934">
        <v>1.00000002486809</v>
      </c>
    </row>
    <row r="1935" spans="1:40" x14ac:dyDescent="0.25">
      <c r="A1935" t="str">
        <f>"20190312164300845"</f>
        <v>20190312164300845</v>
      </c>
      <c r="B1935" t="str">
        <f>"1552380180835760"</f>
        <v>1552380180835760</v>
      </c>
      <c r="C1935" t="s">
        <v>40</v>
      </c>
      <c r="D1935">
        <v>4.2230990000000004</v>
      </c>
      <c r="E1935">
        <v>0.46812110000000001</v>
      </c>
      <c r="F1935" t="s">
        <v>46</v>
      </c>
      <c r="G1935">
        <v>-462.29509999999999</v>
      </c>
      <c r="H1935" s="1">
        <v>-2.6047380000000002E-7</v>
      </c>
      <c r="I1935">
        <v>283.35879999999997</v>
      </c>
      <c r="J1935">
        <v>-444.56740000000002</v>
      </c>
      <c r="K1935">
        <v>1.1106</v>
      </c>
      <c r="L1935">
        <v>285.33699999999999</v>
      </c>
      <c r="M1935">
        <v>-0.99971089999999996</v>
      </c>
      <c r="N1935">
        <v>0</v>
      </c>
      <c r="O1935">
        <v>1.8743269999999999E-2</v>
      </c>
      <c r="P1935">
        <v>-0.99008289999999999</v>
      </c>
      <c r="Q1935">
        <v>0.1394753</v>
      </c>
      <c r="R1935">
        <v>-1.682587E-2</v>
      </c>
      <c r="S1935">
        <v>-3.0512700000000001</v>
      </c>
      <c r="T1935">
        <v>-0.18710060000000001</v>
      </c>
      <c r="U1935">
        <v>-0.33209229999999901</v>
      </c>
      <c r="V1935">
        <v>-3.5511149999999998E-2</v>
      </c>
      <c r="W1935">
        <v>0.1543368</v>
      </c>
      <c r="X1935">
        <v>0.98737989999999998</v>
      </c>
      <c r="Y1935">
        <v>-0.12654499999999999</v>
      </c>
      <c r="Z1935">
        <v>-5.0100220000000003E-3</v>
      </c>
      <c r="AA1935">
        <v>0.99194819999999995</v>
      </c>
      <c r="AB1935">
        <v>39</v>
      </c>
      <c r="AC1935">
        <v>-17.727699999999899</v>
      </c>
      <c r="AD1935">
        <v>-1.1106002604737999</v>
      </c>
      <c r="AE1935">
        <v>-1.97820000000001</v>
      </c>
      <c r="AF1935">
        <v>-2.3012444611327298</v>
      </c>
      <c r="AG1935">
        <v>-1.1106002604737999</v>
      </c>
      <c r="AH1935">
        <v>17.619202618060299</v>
      </c>
      <c r="AI1935">
        <v>93.576485791197797</v>
      </c>
      <c r="AJ1935">
        <v>97.441280325900493</v>
      </c>
      <c r="AK1935">
        <v>17.803523805829101</v>
      </c>
      <c r="AL1935">
        <v>81.121664941673998</v>
      </c>
      <c r="AM1935">
        <v>92.059756780031094</v>
      </c>
      <c r="AN1935">
        <v>0.99999997826628595</v>
      </c>
    </row>
    <row r="1936" spans="1:40" x14ac:dyDescent="0.25">
      <c r="A1936" t="str">
        <f>"20190312164300867"</f>
        <v>20190312164300867</v>
      </c>
      <c r="B1936" t="str">
        <f>"1552380180856257"</f>
        <v>1552380180856257</v>
      </c>
      <c r="C1936" t="s">
        <v>40</v>
      </c>
      <c r="D1936">
        <v>4.300573</v>
      </c>
      <c r="E1936">
        <v>0.46787689999999998</v>
      </c>
      <c r="F1936" t="s">
        <v>46</v>
      </c>
      <c r="G1936">
        <v>-462.4332</v>
      </c>
      <c r="H1936" s="1">
        <v>-1.876184E-7</v>
      </c>
      <c r="I1936">
        <v>283.37299999999999</v>
      </c>
      <c r="J1936">
        <v>-444.95830000000001</v>
      </c>
      <c r="K1936">
        <v>1.1106020000000001</v>
      </c>
      <c r="L1936">
        <v>285.34410000000003</v>
      </c>
      <c r="M1936">
        <v>-0.99971719999999997</v>
      </c>
      <c r="N1936">
        <v>0</v>
      </c>
      <c r="O1936">
        <v>1.840866E-2</v>
      </c>
      <c r="P1936">
        <v>-0.99005069999999995</v>
      </c>
      <c r="Q1936">
        <v>0.13962079999999999</v>
      </c>
      <c r="R1936">
        <v>-1.7488009999999998E-2</v>
      </c>
      <c r="S1936">
        <v>-3.0510250000000001</v>
      </c>
      <c r="T1936">
        <v>-0.1896629</v>
      </c>
      <c r="U1936">
        <v>-0.33541870000000001</v>
      </c>
      <c r="V1936">
        <v>-3.5841810000000002E-2</v>
      </c>
      <c r="W1936">
        <v>0.15447720000000001</v>
      </c>
      <c r="X1936">
        <v>0.98734599999999995</v>
      </c>
      <c r="Y1936">
        <v>-0.12728200000000001</v>
      </c>
      <c r="Z1936">
        <v>-5.0806979999999998E-3</v>
      </c>
      <c r="AA1936">
        <v>0.99185350000000005</v>
      </c>
      <c r="AB1936">
        <v>39</v>
      </c>
      <c r="AC1936">
        <v>-17.474899999999899</v>
      </c>
      <c r="AD1936">
        <v>-1.11060218761839</v>
      </c>
      <c r="AE1936">
        <v>-1.9711000000000301</v>
      </c>
      <c r="AF1936">
        <v>-2.28338485061728</v>
      </c>
      <c r="AG1936">
        <v>-1.11060218761839</v>
      </c>
      <c r="AH1936">
        <v>17.366384902386098</v>
      </c>
      <c r="AI1936">
        <v>93.628013031512197</v>
      </c>
      <c r="AJ1936">
        <v>97.490455256348298</v>
      </c>
      <c r="AK1936">
        <v>17.551028692728998</v>
      </c>
      <c r="AL1936">
        <v>81.113523005191198</v>
      </c>
      <c r="AM1936">
        <v>92.078990649551002</v>
      </c>
      <c r="AN1936">
        <v>0.999999982189957</v>
      </c>
    </row>
    <row r="1937" spans="1:40" x14ac:dyDescent="0.25">
      <c r="A1937" t="str">
        <f>"20190312164300890"</f>
        <v>20190312164300890</v>
      </c>
      <c r="B1937" t="str">
        <f>"1552380180886512"</f>
        <v>1552380180886512</v>
      </c>
      <c r="C1937" t="s">
        <v>40</v>
      </c>
      <c r="D1937">
        <v>4.3078900000000004</v>
      </c>
      <c r="E1937">
        <v>0.45011879999999999</v>
      </c>
      <c r="F1937" t="s">
        <v>46</v>
      </c>
      <c r="G1937">
        <v>-462.74009999999998</v>
      </c>
      <c r="H1937" s="1">
        <v>-2.3891479999999999E-8</v>
      </c>
      <c r="I1937">
        <v>283.36419999999998</v>
      </c>
      <c r="J1937">
        <v>-445.35090000000002</v>
      </c>
      <c r="K1937">
        <v>1.1106039999999999</v>
      </c>
      <c r="L1937">
        <v>285.351</v>
      </c>
      <c r="M1937">
        <v>-0.99972340000000004</v>
      </c>
      <c r="N1937">
        <v>0</v>
      </c>
      <c r="O1937">
        <v>1.8072499999999998E-2</v>
      </c>
      <c r="P1937">
        <v>-0.98991620000000002</v>
      </c>
      <c r="Q1937">
        <v>0.14049200000000001</v>
      </c>
      <c r="R1937">
        <v>-1.8119349999999999E-2</v>
      </c>
      <c r="S1937">
        <v>-3.051056</v>
      </c>
      <c r="T1937">
        <v>-0.1905599</v>
      </c>
      <c r="U1937">
        <v>-0.33972170000000002</v>
      </c>
      <c r="V1937">
        <v>-3.6138160000000003E-2</v>
      </c>
      <c r="W1937">
        <v>0.1553416</v>
      </c>
      <c r="X1937">
        <v>0.98719959999999995</v>
      </c>
      <c r="Y1937">
        <v>-0.1283253</v>
      </c>
      <c r="Z1937">
        <v>-5.1157670000000002E-3</v>
      </c>
      <c r="AA1937">
        <v>0.99171889999999996</v>
      </c>
      <c r="AB1937">
        <v>39</v>
      </c>
      <c r="AC1937">
        <v>-17.389199999999899</v>
      </c>
      <c r="AD1937">
        <v>-1.1106040238914801</v>
      </c>
      <c r="AE1937">
        <v>-1.9868000000000099</v>
      </c>
      <c r="AF1937">
        <v>-2.2915504506458402</v>
      </c>
      <c r="AG1937">
        <v>-1.1106040238914801</v>
      </c>
      <c r="AH1937">
        <v>17.280867586569499</v>
      </c>
      <c r="AI1937">
        <v>93.645394583570905</v>
      </c>
      <c r="AJ1937">
        <v>97.553706390445299</v>
      </c>
      <c r="AK1937">
        <v>17.467484916560998</v>
      </c>
      <c r="AL1937">
        <v>81.063391669400701</v>
      </c>
      <c r="AM1937">
        <v>92.096475628074003</v>
      </c>
      <c r="AN1937">
        <v>1.0000000147694501</v>
      </c>
    </row>
    <row r="1938" spans="1:40" x14ac:dyDescent="0.25">
      <c r="A1938" t="str">
        <f>"20190312164300912"</f>
        <v>20190312164300912</v>
      </c>
      <c r="B1938" t="str">
        <f>"1552380180906032"</f>
        <v>1552380180906032</v>
      </c>
      <c r="C1938" t="s">
        <v>40</v>
      </c>
      <c r="D1938">
        <v>4.2973299999999997</v>
      </c>
      <c r="E1938">
        <v>0.45026670000000002</v>
      </c>
      <c r="F1938" t="s">
        <v>46</v>
      </c>
      <c r="G1938">
        <v>-459.20139999999998</v>
      </c>
      <c r="H1938" s="1">
        <v>3.4239669999999999E-6</v>
      </c>
      <c r="I1938">
        <v>283.14729999999997</v>
      </c>
      <c r="J1938">
        <v>-445.7491</v>
      </c>
      <c r="K1938">
        <v>1.1106149999999999</v>
      </c>
      <c r="L1938">
        <v>285.3578</v>
      </c>
      <c r="M1938">
        <v>-0.99972969999999906</v>
      </c>
      <c r="N1938">
        <v>0</v>
      </c>
      <c r="O1938">
        <v>1.7730909999999999E-2</v>
      </c>
      <c r="P1938">
        <v>-0.98972210000000005</v>
      </c>
      <c r="Q1938">
        <v>0.14171039999999999</v>
      </c>
      <c r="R1938">
        <v>-1.91979E-2</v>
      </c>
      <c r="S1938">
        <v>-3.0564580000000001</v>
      </c>
      <c r="T1938">
        <v>-0.2450811</v>
      </c>
      <c r="U1938">
        <v>-0.4862976</v>
      </c>
      <c r="V1938">
        <v>-3.6876190000000003E-2</v>
      </c>
      <c r="W1938">
        <v>0.15655169999999999</v>
      </c>
      <c r="X1938">
        <v>0.98698109999999994</v>
      </c>
      <c r="Y1938">
        <v>-0.1740158</v>
      </c>
      <c r="Z1938">
        <v>-8.3334350000000001E-3</v>
      </c>
      <c r="AA1938">
        <v>0.98470760000000002</v>
      </c>
      <c r="AB1938">
        <v>39</v>
      </c>
      <c r="AC1938">
        <v>-13.4522999999999</v>
      </c>
      <c r="AD1938">
        <v>-1.110611576033</v>
      </c>
      <c r="AE1938">
        <v>-2.2105000000000201</v>
      </c>
      <c r="AF1938">
        <v>-2.4325564685692398</v>
      </c>
      <c r="AG1938">
        <v>-1.110611576033</v>
      </c>
      <c r="AH1938">
        <v>13.322566630187</v>
      </c>
      <c r="AI1938">
        <v>94.688185736002495</v>
      </c>
      <c r="AJ1938">
        <v>100.347601803291</v>
      </c>
      <c r="AK1938">
        <v>13.5882879959681</v>
      </c>
      <c r="AL1938">
        <v>80.993199047362694</v>
      </c>
      <c r="AM1938">
        <v>92.139724579855994</v>
      </c>
      <c r="AN1938">
        <v>0.99999998995950801</v>
      </c>
    </row>
    <row r="1939" spans="1:40" x14ac:dyDescent="0.25">
      <c r="A1939" t="str">
        <f>"20190312164300934"</f>
        <v>20190312164300934</v>
      </c>
      <c r="B1939" t="str">
        <f>"1552380180926528"</f>
        <v>1552380180926528</v>
      </c>
      <c r="C1939" t="s">
        <v>40</v>
      </c>
      <c r="D1939">
        <v>4.3077319999999997</v>
      </c>
      <c r="E1939">
        <v>0.45034540000000001</v>
      </c>
      <c r="F1939" t="s">
        <v>46</v>
      </c>
      <c r="G1939">
        <v>-461.05360000000002</v>
      </c>
      <c r="H1939" s="1">
        <v>-9.0184029999999996E-7</v>
      </c>
      <c r="I1939">
        <v>282.91770000000002</v>
      </c>
      <c r="J1939">
        <v>-446.1318</v>
      </c>
      <c r="K1939">
        <v>1.110619</v>
      </c>
      <c r="L1939">
        <v>285.36430000000001</v>
      </c>
      <c r="M1939">
        <v>-0.9997355</v>
      </c>
      <c r="N1939">
        <v>0</v>
      </c>
      <c r="O1939">
        <v>1.740063E-2</v>
      </c>
      <c r="P1939">
        <v>-0.98972990000000005</v>
      </c>
      <c r="Q1939">
        <v>0.14143819999999999</v>
      </c>
      <c r="R1939">
        <v>-2.0746799999999999E-2</v>
      </c>
      <c r="S1939">
        <v>-3.053436</v>
      </c>
      <c r="T1939">
        <v>-0.22158030000000001</v>
      </c>
      <c r="U1939">
        <v>-0.48684690000000003</v>
      </c>
      <c r="V1939">
        <v>-3.8097730000000003E-2</v>
      </c>
      <c r="W1939">
        <v>0.1562742</v>
      </c>
      <c r="X1939">
        <v>0.98697869999999999</v>
      </c>
      <c r="Y1939">
        <v>-0.17412369999999999</v>
      </c>
      <c r="Z1939">
        <v>-7.5238240000000001E-3</v>
      </c>
      <c r="AA1939">
        <v>0.98469510000000005</v>
      </c>
      <c r="AB1939">
        <v>39</v>
      </c>
      <c r="AC1939">
        <v>-14.921799999999999</v>
      </c>
      <c r="AD1939">
        <v>-1.1106199018403</v>
      </c>
      <c r="AE1939">
        <v>-2.4465999999999801</v>
      </c>
      <c r="AF1939">
        <v>-2.6913883455838898</v>
      </c>
      <c r="AG1939">
        <v>-1.1106199018403</v>
      </c>
      <c r="AH1939">
        <v>14.797136970473399</v>
      </c>
      <c r="AI1939">
        <v>94.223333240972295</v>
      </c>
      <c r="AJ1939">
        <v>100.308593873932</v>
      </c>
      <c r="AK1939">
        <v>15.080859070890501</v>
      </c>
      <c r="AL1939">
        <v>81.0092969286016</v>
      </c>
      <c r="AM1939">
        <v>92.210540077337996</v>
      </c>
      <c r="AN1939">
        <v>1.0000000084352401</v>
      </c>
    </row>
    <row r="1940" spans="1:40" x14ac:dyDescent="0.25">
      <c r="A1940" t="str">
        <f>"20190312164300956"</f>
        <v>20190312164300956</v>
      </c>
      <c r="B1940" t="str">
        <f>"1552380180946048"</f>
        <v>1552380180946048</v>
      </c>
      <c r="C1940" t="s">
        <v>40</v>
      </c>
      <c r="D1940">
        <v>4.437068</v>
      </c>
      <c r="E1940">
        <v>0.45097789999999999</v>
      </c>
      <c r="F1940" t="s">
        <v>46</v>
      </c>
      <c r="G1940">
        <v>-461.46319999999997</v>
      </c>
      <c r="H1940" s="1">
        <v>-6.8327389999999996E-7</v>
      </c>
      <c r="I1940">
        <v>282.90289999999999</v>
      </c>
      <c r="J1940">
        <v>-446.52050000000003</v>
      </c>
      <c r="K1940">
        <v>1.1106210000000001</v>
      </c>
      <c r="L1940">
        <v>285.37079999999997</v>
      </c>
      <c r="M1940">
        <v>-0.9997414</v>
      </c>
      <c r="N1940">
        <v>0</v>
      </c>
      <c r="O1940">
        <v>1.7061739999999999E-2</v>
      </c>
      <c r="P1940">
        <v>-0.98980579999999996</v>
      </c>
      <c r="Q1940">
        <v>0.14069699999999999</v>
      </c>
      <c r="R1940">
        <v>-2.211453E-2</v>
      </c>
      <c r="S1940">
        <v>-3.0524900000000001</v>
      </c>
      <c r="T1940">
        <v>-0.22112619999999999</v>
      </c>
      <c r="U1940">
        <v>-0.49008180000000001</v>
      </c>
      <c r="V1940">
        <v>-3.9130690000000003E-2</v>
      </c>
      <c r="W1940">
        <v>0.15552859999999999</v>
      </c>
      <c r="X1940">
        <v>0.98705600000000004</v>
      </c>
      <c r="Y1940">
        <v>-0.1748556</v>
      </c>
      <c r="Z1940">
        <v>-7.5120500000000002E-3</v>
      </c>
      <c r="AA1940">
        <v>0.98456540000000003</v>
      </c>
      <c r="AB1940">
        <v>39</v>
      </c>
      <c r="AC1940">
        <v>-14.942699999999901</v>
      </c>
      <c r="AD1940">
        <v>-1.11062168327389</v>
      </c>
      <c r="AE1940">
        <v>-2.4678999999999802</v>
      </c>
      <c r="AF1940">
        <v>-2.70795572823463</v>
      </c>
      <c r="AG1940">
        <v>-1.11062168327389</v>
      </c>
      <c r="AH1940">
        <v>14.8187241726691</v>
      </c>
      <c r="AI1940">
        <v>94.216577421028404</v>
      </c>
      <c r="AJ1940">
        <v>100.355897257607</v>
      </c>
      <c r="AK1940">
        <v>15.10500217991</v>
      </c>
      <c r="AL1940">
        <v>81.052544967323698</v>
      </c>
      <c r="AM1940">
        <v>92.270235879231393</v>
      </c>
      <c r="AN1940">
        <v>0.99999995172691702</v>
      </c>
    </row>
    <row r="1941" spans="1:40" x14ac:dyDescent="0.25">
      <c r="A1941" t="str">
        <f>"20190312164300979"</f>
        <v>20190312164300979</v>
      </c>
      <c r="B1941" t="str">
        <f>"1552380180976305"</f>
        <v>1552380180976305</v>
      </c>
      <c r="C1941" t="s">
        <v>40</v>
      </c>
      <c r="D1941">
        <v>4.3344529999999999</v>
      </c>
      <c r="E1941">
        <v>0.45112669999999999</v>
      </c>
      <c r="F1941" t="s">
        <v>46</v>
      </c>
      <c r="G1941">
        <v>-461.27350000000001</v>
      </c>
      <c r="H1941" s="1">
        <v>-7.8865889999999995E-7</v>
      </c>
      <c r="I1941">
        <v>283.00470000000001</v>
      </c>
      <c r="J1941">
        <v>-446.91640000000001</v>
      </c>
      <c r="K1941">
        <v>1.1106259999999999</v>
      </c>
      <c r="L1941">
        <v>285.37720000000002</v>
      </c>
      <c r="M1941">
        <v>-0.99974730000000001</v>
      </c>
      <c r="N1941">
        <v>0</v>
      </c>
      <c r="O1941">
        <v>1.670814E-2</v>
      </c>
      <c r="P1941">
        <v>-0.98979760000000006</v>
      </c>
      <c r="Q1941">
        <v>0.14046410000000001</v>
      </c>
      <c r="R1941">
        <v>-2.3885110000000001E-2</v>
      </c>
      <c r="S1941">
        <v>-3.0526119999999999</v>
      </c>
      <c r="T1941">
        <v>-0.2298038</v>
      </c>
      <c r="U1941">
        <v>-0.48956300000000003</v>
      </c>
      <c r="V1941">
        <v>-4.0552659999999997E-2</v>
      </c>
      <c r="W1941">
        <v>0.15528929999999999</v>
      </c>
      <c r="X1941">
        <v>0.98703629999999998</v>
      </c>
      <c r="Y1941">
        <v>-0.1743014</v>
      </c>
      <c r="Z1941">
        <v>-7.7587059999999998E-3</v>
      </c>
      <c r="AA1941">
        <v>0.98466180000000003</v>
      </c>
      <c r="AB1941">
        <v>39</v>
      </c>
      <c r="AC1941">
        <v>-14.357100000000001</v>
      </c>
      <c r="AD1941">
        <v>-1.1106267886588901</v>
      </c>
      <c r="AE1941">
        <v>-2.3725000000000001</v>
      </c>
      <c r="AF1941">
        <v>-2.59694886037326</v>
      </c>
      <c r="AG1941">
        <v>-1.1106267886588901</v>
      </c>
      <c r="AH1941">
        <v>14.232545061812001</v>
      </c>
      <c r="AI1941">
        <v>94.389806481046094</v>
      </c>
      <c r="AJ1941">
        <v>100.34074573394599</v>
      </c>
      <c r="AK1941">
        <v>14.510099041136501</v>
      </c>
      <c r="AL1941">
        <v>81.066424656698302</v>
      </c>
      <c r="AM1941">
        <v>92.352689799373195</v>
      </c>
      <c r="AN1941">
        <v>0.99999997122262696</v>
      </c>
    </row>
    <row r="1942" spans="1:40" x14ac:dyDescent="0.25">
      <c r="A1942" t="str">
        <f>"20190312164301005"</f>
        <v>20190312164301005</v>
      </c>
      <c r="B1942" t="str">
        <f>"1552380180996026"</f>
        <v>1552380180996026</v>
      </c>
      <c r="C1942" t="s">
        <v>40</v>
      </c>
      <c r="D1942">
        <v>4.3548289999999996</v>
      </c>
      <c r="E1942">
        <v>0.45115159999999999</v>
      </c>
      <c r="F1942" t="s">
        <v>46</v>
      </c>
      <c r="G1942">
        <v>-461.23750000000001</v>
      </c>
      <c r="H1942" s="1">
        <v>-8.1032249999999998E-7</v>
      </c>
      <c r="I1942">
        <v>283.06270000000001</v>
      </c>
      <c r="J1942">
        <v>-447.37</v>
      </c>
      <c r="K1942">
        <v>1.1106370000000001</v>
      </c>
      <c r="L1942">
        <v>285.3843</v>
      </c>
      <c r="M1942">
        <v>-0.99975449999999999</v>
      </c>
      <c r="N1942">
        <v>0</v>
      </c>
      <c r="O1942">
        <v>1.6275270000000001E-2</v>
      </c>
      <c r="P1942">
        <v>-0.98975650000000004</v>
      </c>
      <c r="Q1942">
        <v>0.14052129999999999</v>
      </c>
      <c r="R1942">
        <v>-2.5213360000000001E-2</v>
      </c>
      <c r="S1942">
        <v>-3.0525820000000001</v>
      </c>
      <c r="T1942">
        <v>-0.2367322</v>
      </c>
      <c r="U1942">
        <v>-0.49334719999999999</v>
      </c>
      <c r="V1942">
        <v>-4.1457389999999997E-2</v>
      </c>
      <c r="W1942">
        <v>0.1553388</v>
      </c>
      <c r="X1942">
        <v>0.9869909</v>
      </c>
      <c r="Y1942">
        <v>-0.17503339999999901</v>
      </c>
      <c r="Z1942">
        <v>-7.9860859999999999E-3</v>
      </c>
      <c r="AA1942">
        <v>0.98453009999999996</v>
      </c>
      <c r="AB1942">
        <v>39</v>
      </c>
      <c r="AC1942">
        <v>-13.8675</v>
      </c>
      <c r="AD1942">
        <v>-1.1106378103225001</v>
      </c>
      <c r="AE1942">
        <v>-2.3215999999999801</v>
      </c>
      <c r="AF1942">
        <v>-2.5312219052171199</v>
      </c>
      <c r="AG1942">
        <v>-1.1106378103225001</v>
      </c>
      <c r="AH1942">
        <v>13.7421310012202</v>
      </c>
      <c r="AI1942">
        <v>94.544476811505007</v>
      </c>
      <c r="AJ1942">
        <v>100.436574971835</v>
      </c>
      <c r="AK1942">
        <v>14.017373688885799</v>
      </c>
      <c r="AL1942">
        <v>81.063553461311699</v>
      </c>
      <c r="AM1942">
        <v>92.405227852940499</v>
      </c>
      <c r="AN1942">
        <v>0.99999994732692898</v>
      </c>
    </row>
    <row r="1943" spans="1:40" x14ac:dyDescent="0.25">
      <c r="A1943" t="str">
        <f>"20190312164301028"</f>
        <v>20190312164301028</v>
      </c>
      <c r="B1943" t="str">
        <f>"1552380181016504"</f>
        <v>1552380181016504</v>
      </c>
      <c r="C1943" t="s">
        <v>40</v>
      </c>
      <c r="D1943">
        <v>6.2183349999999997</v>
      </c>
      <c r="E1943">
        <v>0.45133240000000002</v>
      </c>
      <c r="F1943" t="s">
        <v>46</v>
      </c>
      <c r="G1943">
        <v>-461.83150000000001</v>
      </c>
      <c r="H1943" s="1">
        <v>-4.9280699999999995E-7</v>
      </c>
      <c r="I1943">
        <v>283.02910000000003</v>
      </c>
      <c r="J1943">
        <v>-447.7704</v>
      </c>
      <c r="K1943">
        <v>1.1106640000000001</v>
      </c>
      <c r="L1943">
        <v>285.39049999999997</v>
      </c>
      <c r="M1943">
        <v>-0.99976129999999996</v>
      </c>
      <c r="N1943">
        <v>0</v>
      </c>
      <c r="O1943">
        <v>1.5855859999999999E-2</v>
      </c>
      <c r="P1943">
        <v>-0.98959430000000004</v>
      </c>
      <c r="Q1943">
        <v>0.14148939999999999</v>
      </c>
      <c r="R1943">
        <v>-2.6152600000000002E-2</v>
      </c>
      <c r="S1943">
        <v>-3.0516969999999999</v>
      </c>
      <c r="T1943">
        <v>-0.23436950000000001</v>
      </c>
      <c r="U1943">
        <v>-0.49700929999999999</v>
      </c>
      <c r="V1943">
        <v>-4.1988419999999999E-2</v>
      </c>
      <c r="W1943">
        <v>0.1562973</v>
      </c>
      <c r="X1943">
        <v>0.98681719999999895</v>
      </c>
      <c r="Y1943">
        <v>-0.17582629999999999</v>
      </c>
      <c r="Z1943">
        <v>-7.906349E-3</v>
      </c>
      <c r="AA1943">
        <v>0.98438939999999997</v>
      </c>
      <c r="AB1943">
        <v>39</v>
      </c>
      <c r="AC1943">
        <v>-14.0611</v>
      </c>
      <c r="AD1943">
        <v>-1.110664492807</v>
      </c>
      <c r="AE1943">
        <v>-2.3613999999999402</v>
      </c>
      <c r="AF1943">
        <v>-2.56849338875567</v>
      </c>
      <c r="AG1943">
        <v>-1.110664492807</v>
      </c>
      <c r="AH1943">
        <v>13.9373135674554</v>
      </c>
      <c r="AI1943">
        <v>94.481127450418498</v>
      </c>
      <c r="AJ1943">
        <v>100.44182317585501</v>
      </c>
      <c r="AK1943">
        <v>14.215464937216799</v>
      </c>
      <c r="AL1943">
        <v>81.007957123831503</v>
      </c>
      <c r="AM1943">
        <v>92.436427939064401</v>
      </c>
      <c r="AN1943">
        <v>1.00000002980861</v>
      </c>
    </row>
    <row r="1944" spans="1:40" x14ac:dyDescent="0.25">
      <c r="A1944" t="str">
        <f>"20190312164301047"</f>
        <v>20190312164301047</v>
      </c>
      <c r="B1944" t="str">
        <f>"1552380181036025"</f>
        <v>1552380181036025</v>
      </c>
      <c r="C1944" t="s">
        <v>40</v>
      </c>
      <c r="D1944">
        <v>4.4539049999999998</v>
      </c>
      <c r="E1944">
        <v>0.45141340000000002</v>
      </c>
      <c r="F1944" t="s">
        <v>46</v>
      </c>
      <c r="G1944">
        <v>-462.4402</v>
      </c>
      <c r="H1944" s="1">
        <v>-1.6727299999999999E-7</v>
      </c>
      <c r="I1944">
        <v>282.99290000000002</v>
      </c>
      <c r="J1944">
        <v>-448.10419999999999</v>
      </c>
      <c r="K1944">
        <v>1.1106830000000001</v>
      </c>
      <c r="L1944">
        <v>285.3954</v>
      </c>
      <c r="M1944">
        <v>-0.99976739999999997</v>
      </c>
      <c r="N1944">
        <v>0</v>
      </c>
      <c r="O1944">
        <v>1.5475910000000001E-2</v>
      </c>
      <c r="P1944">
        <v>-0.98940209999999995</v>
      </c>
      <c r="Q1944">
        <v>0.14254620000000001</v>
      </c>
      <c r="R1944">
        <v>-2.7643270000000001E-2</v>
      </c>
      <c r="S1944">
        <v>-3.0514220000000001</v>
      </c>
      <c r="T1944">
        <v>-0.2310257</v>
      </c>
      <c r="U1944">
        <v>-0.4987183</v>
      </c>
      <c r="V1944">
        <v>-4.3110929999999999E-2</v>
      </c>
      <c r="W1944">
        <v>0.1573437</v>
      </c>
      <c r="X1944">
        <v>0.98660239999999999</v>
      </c>
      <c r="Y1944">
        <v>-0.17601939999999999</v>
      </c>
      <c r="Z1944">
        <v>-7.7729030000000003E-3</v>
      </c>
      <c r="AA1944">
        <v>0.98435600000000001</v>
      </c>
      <c r="AB1944">
        <v>39</v>
      </c>
      <c r="AC1944">
        <v>-14.336</v>
      </c>
      <c r="AD1944">
        <v>-1.110683167273</v>
      </c>
      <c r="AE1944">
        <v>-2.4024999999999701</v>
      </c>
      <c r="AF1944">
        <v>-2.6088682214389798</v>
      </c>
      <c r="AG1944">
        <v>-1.110683167273</v>
      </c>
      <c r="AH1944">
        <v>14.214109708492099</v>
      </c>
      <c r="AI1944">
        <v>94.394866365172604</v>
      </c>
      <c r="AJ1944">
        <v>100.400354516522</v>
      </c>
      <c r="AK1944">
        <v>14.4941617660335</v>
      </c>
      <c r="AL1944">
        <v>80.947250934562604</v>
      </c>
      <c r="AM1944">
        <v>92.502025174376897</v>
      </c>
      <c r="AN1944">
        <v>0.99999994395045499</v>
      </c>
    </row>
    <row r="1945" spans="1:40" x14ac:dyDescent="0.25">
      <c r="A1945" t="str">
        <f>"20190312164301068"</f>
        <v>20190312164301068</v>
      </c>
      <c r="B1945" t="str">
        <f>"1552380181066280"</f>
        <v>1552380181066280</v>
      </c>
      <c r="C1945" t="s">
        <v>40</v>
      </c>
      <c r="D1945">
        <v>4.6221079999999999</v>
      </c>
      <c r="E1945">
        <v>0.4515593</v>
      </c>
      <c r="F1945" t="s">
        <v>46</v>
      </c>
      <c r="G1945">
        <v>-462.697</v>
      </c>
      <c r="H1945" s="1">
        <v>-3.0546960000000003E-8</v>
      </c>
      <c r="I1945">
        <v>282.99090000000001</v>
      </c>
      <c r="J1945">
        <v>-448.46570000000003</v>
      </c>
      <c r="K1945">
        <v>1.1107320000000001</v>
      </c>
      <c r="L1945">
        <v>285.4006</v>
      </c>
      <c r="M1945">
        <v>-0.99977450000000001</v>
      </c>
      <c r="N1945">
        <v>0</v>
      </c>
      <c r="O1945">
        <v>1.5014950000000001E-2</v>
      </c>
      <c r="P1945">
        <v>-0.98918309999999998</v>
      </c>
      <c r="Q1945">
        <v>0.14375760000000001</v>
      </c>
      <c r="R1945">
        <v>-2.9168079999999999E-2</v>
      </c>
      <c r="S1945">
        <v>-3.0515439999999998</v>
      </c>
      <c r="T1945">
        <v>-0.2322581</v>
      </c>
      <c r="U1945">
        <v>-0.50280760000000002</v>
      </c>
      <c r="V1945">
        <v>-4.4191880000000003E-2</v>
      </c>
      <c r="W1945">
        <v>0.1585425</v>
      </c>
      <c r="X1945">
        <v>0.98636270000000004</v>
      </c>
      <c r="Y1945">
        <v>-0.176837299999999</v>
      </c>
      <c r="Z1945">
        <v>-7.8091580000000001E-3</v>
      </c>
      <c r="AA1945">
        <v>0.98420909999999995</v>
      </c>
      <c r="AB1945">
        <v>39</v>
      </c>
      <c r="AC1945">
        <v>-14.2312999999999</v>
      </c>
      <c r="AD1945">
        <v>-1.1107320305469599</v>
      </c>
      <c r="AE1945">
        <v>-2.40969999999998</v>
      </c>
      <c r="AF1945">
        <v>-2.6076924352234099</v>
      </c>
      <c r="AG1945">
        <v>-1.1107320305469599</v>
      </c>
      <c r="AH1945">
        <v>14.1099535247596</v>
      </c>
      <c r="AI1945">
        <v>94.426374963230899</v>
      </c>
      <c r="AJ1945">
        <v>100.470817191413</v>
      </c>
      <c r="AK1945">
        <v>14.3918231628685</v>
      </c>
      <c r="AL1945">
        <v>80.877692271672004</v>
      </c>
      <c r="AM1945">
        <v>92.565299849568802</v>
      </c>
      <c r="AN1945">
        <v>1.0000000112577301</v>
      </c>
    </row>
    <row r="1946" spans="1:40" x14ac:dyDescent="0.25">
      <c r="A1946" t="str">
        <f>"20190312164301090"</f>
        <v>20190312164301090</v>
      </c>
      <c r="B1946" t="str">
        <f>"1552380181085800"</f>
        <v>1552380181085800</v>
      </c>
      <c r="C1946" t="s">
        <v>40</v>
      </c>
      <c r="D1946">
        <v>4.6892239999999896</v>
      </c>
      <c r="E1946">
        <v>0.45169039999999999</v>
      </c>
      <c r="F1946" t="s">
        <v>46</v>
      </c>
      <c r="G1946">
        <v>-462.7045</v>
      </c>
      <c r="H1946" s="1">
        <v>-2.8617840000000001E-8</v>
      </c>
      <c r="I1946">
        <v>283.03829999999999</v>
      </c>
      <c r="J1946">
        <v>-448.85750000000002</v>
      </c>
      <c r="K1946">
        <v>1.110797</v>
      </c>
      <c r="L1946">
        <v>285.40589999999997</v>
      </c>
      <c r="M1946">
        <v>-0.99978299999999998</v>
      </c>
      <c r="N1946">
        <v>0</v>
      </c>
      <c r="O1946">
        <v>1.4432230000000001E-2</v>
      </c>
      <c r="P1946">
        <v>-0.98896220000000001</v>
      </c>
      <c r="Q1946">
        <v>0.1450082</v>
      </c>
      <c r="R1946">
        <v>-3.0433479999999999E-2</v>
      </c>
      <c r="S1946">
        <v>-3.0525509999999998</v>
      </c>
      <c r="T1946">
        <v>-0.2381219</v>
      </c>
      <c r="U1946">
        <v>-0.50643919999999998</v>
      </c>
      <c r="V1946">
        <v>-4.4902419999999998E-2</v>
      </c>
      <c r="W1946">
        <v>0.15977829999999901</v>
      </c>
      <c r="X1946">
        <v>0.98613119999999999</v>
      </c>
      <c r="Y1946">
        <v>-0.1773245</v>
      </c>
      <c r="Z1946">
        <v>-7.9761099999999998E-3</v>
      </c>
      <c r="AA1946">
        <v>0.98412010000000005</v>
      </c>
      <c r="AB1946">
        <v>39</v>
      </c>
      <c r="AC1946">
        <v>-13.8469999999999</v>
      </c>
      <c r="AD1946">
        <v>-1.1107970286178399</v>
      </c>
      <c r="AE1946">
        <v>-2.3675999999999799</v>
      </c>
      <c r="AF1946">
        <v>-2.5512675768097899</v>
      </c>
      <c r="AG1946">
        <v>-1.1107970286178399</v>
      </c>
      <c r="AH1946">
        <v>13.7255668284772</v>
      </c>
      <c r="AI1946">
        <v>94.549223606730706</v>
      </c>
      <c r="AJ1946">
        <v>100.529797649117</v>
      </c>
      <c r="AK1946">
        <v>14.004785648136901</v>
      </c>
      <c r="AL1946">
        <v>80.805972153219699</v>
      </c>
      <c r="AM1946">
        <v>92.607100683750105</v>
      </c>
      <c r="AN1946">
        <v>1.00000003804309</v>
      </c>
    </row>
    <row r="1947" spans="1:40" x14ac:dyDescent="0.25">
      <c r="A1947" t="str">
        <f>"20190312164301113"</f>
        <v>20190312164301113</v>
      </c>
      <c r="B1947" t="str">
        <f>"1552380181106297"</f>
        <v>1552380181106297</v>
      </c>
      <c r="C1947" t="s">
        <v>40</v>
      </c>
      <c r="D1947">
        <v>4.4576539999999998</v>
      </c>
      <c r="E1947">
        <v>0.45145200000000002</v>
      </c>
      <c r="F1947" t="s">
        <v>46</v>
      </c>
      <c r="G1947">
        <v>-463.0754</v>
      </c>
      <c r="H1947" s="1">
        <v>1.6912009999999999E-7</v>
      </c>
      <c r="I1947">
        <v>283.03050000000002</v>
      </c>
      <c r="J1947">
        <v>-449.24770000000001</v>
      </c>
      <c r="K1947">
        <v>1.110881</v>
      </c>
      <c r="L1947">
        <v>285.41090000000003</v>
      </c>
      <c r="M1947">
        <v>-0.99979289999999998</v>
      </c>
      <c r="N1947">
        <v>0</v>
      </c>
      <c r="O1947">
        <v>1.3741720000000001E-2</v>
      </c>
      <c r="P1947">
        <v>-0.9885678</v>
      </c>
      <c r="Q1947">
        <v>0.147291899999999</v>
      </c>
      <c r="R1947">
        <v>-3.2235369999999999E-2</v>
      </c>
      <c r="S1947">
        <v>-3.052765</v>
      </c>
      <c r="T1947">
        <v>-0.23850099999999999</v>
      </c>
      <c r="U1947">
        <v>-0.5100403</v>
      </c>
      <c r="V1947">
        <v>-4.6050380000000002E-2</v>
      </c>
      <c r="W1947">
        <v>0.1620415</v>
      </c>
      <c r="X1947">
        <v>0.98570880000000005</v>
      </c>
      <c r="Y1947">
        <v>-0.17776249999999999</v>
      </c>
      <c r="Z1947">
        <v>-7.9508930000000005E-3</v>
      </c>
      <c r="AA1947">
        <v>0.98404130000000001</v>
      </c>
      <c r="AB1947">
        <v>39</v>
      </c>
      <c r="AC1947">
        <v>-13.827699999999901</v>
      </c>
      <c r="AD1947">
        <v>-1.1108808308798901</v>
      </c>
      <c r="AE1947">
        <v>-2.3803999999999998</v>
      </c>
      <c r="AF1947">
        <v>-2.5542023951661998</v>
      </c>
      <c r="AG1947">
        <v>-1.1108808308798901</v>
      </c>
      <c r="AH1947">
        <v>13.707754852825399</v>
      </c>
      <c r="AI1947">
        <v>94.555080491595803</v>
      </c>
      <c r="AJ1947">
        <v>100.555029386108</v>
      </c>
      <c r="AK1947">
        <v>13.987871503593601</v>
      </c>
      <c r="AL1947">
        <v>80.674587551881302</v>
      </c>
      <c r="AM1947">
        <v>92.674801482606995</v>
      </c>
      <c r="AN1947">
        <v>0.99999996180891604</v>
      </c>
    </row>
    <row r="1948" spans="1:40" x14ac:dyDescent="0.25">
      <c r="A1948" t="str">
        <f>"20190312164301135"</f>
        <v>20190312164301135</v>
      </c>
      <c r="B1948" t="str">
        <f>"1552380181125816"</f>
        <v>1552380181125816</v>
      </c>
      <c r="C1948" t="s">
        <v>40</v>
      </c>
      <c r="D1948">
        <v>4.5674720000000004</v>
      </c>
      <c r="E1948">
        <v>0.4516078</v>
      </c>
      <c r="F1948" t="s">
        <v>46</v>
      </c>
      <c r="G1948">
        <v>-463.60039999999998</v>
      </c>
      <c r="H1948" s="1">
        <v>4.510027E-7</v>
      </c>
      <c r="I1948">
        <v>282.97250000000003</v>
      </c>
      <c r="J1948">
        <v>-449.62560000000002</v>
      </c>
      <c r="K1948">
        <v>1.110994</v>
      </c>
      <c r="L1948">
        <v>285.41539999999998</v>
      </c>
      <c r="M1948">
        <v>-0.99980380000000002</v>
      </c>
      <c r="N1948">
        <v>0</v>
      </c>
      <c r="O1948">
        <v>1.2939579999999999E-2</v>
      </c>
      <c r="P1948">
        <v>-0.98817929999999998</v>
      </c>
      <c r="Q1948">
        <v>0.14937010000000001</v>
      </c>
      <c r="R1948">
        <v>-3.4505010000000003E-2</v>
      </c>
      <c r="S1948">
        <v>-3.0529480000000002</v>
      </c>
      <c r="T1948">
        <v>-0.2362939</v>
      </c>
      <c r="U1948">
        <v>-0.51867680000000005</v>
      </c>
      <c r="V1948">
        <v>-4.7566690000000002E-2</v>
      </c>
      <c r="W1948">
        <v>0.16409689999999999</v>
      </c>
      <c r="X1948">
        <v>0.98529670000000003</v>
      </c>
      <c r="Y1948">
        <v>-0.17967759999999999</v>
      </c>
      <c r="Z1948">
        <v>-7.8871310000000003E-3</v>
      </c>
      <c r="AA1948">
        <v>0.98369399999999996</v>
      </c>
      <c r="AB1948">
        <v>39</v>
      </c>
      <c r="AC1948">
        <v>-13.974799999999901</v>
      </c>
      <c r="AD1948">
        <v>-1.1109935489973</v>
      </c>
      <c r="AE1948">
        <v>-2.4428999999999501</v>
      </c>
      <c r="AF1948">
        <v>-2.60755219293201</v>
      </c>
      <c r="AG1948">
        <v>-1.1109935489973</v>
      </c>
      <c r="AH1948">
        <v>13.8570335463519</v>
      </c>
      <c r="AI1948">
        <v>94.505172263424996</v>
      </c>
      <c r="AJ1948">
        <v>100.657031464829</v>
      </c>
      <c r="AK1948">
        <v>14.1439391192659</v>
      </c>
      <c r="AL1948">
        <v>80.555224274133394</v>
      </c>
      <c r="AM1948">
        <v>92.763894640919702</v>
      </c>
      <c r="AN1948">
        <v>0.99999998480902796</v>
      </c>
    </row>
    <row r="1949" spans="1:40" x14ac:dyDescent="0.25">
      <c r="A1949" t="str">
        <f>"20190312164301158"</f>
        <v>20190312164301158</v>
      </c>
      <c r="B1949" t="str">
        <f>"1552380181146313"</f>
        <v>1552380181146313</v>
      </c>
      <c r="C1949" t="s">
        <v>40</v>
      </c>
      <c r="D1949">
        <v>4.4511120000000002</v>
      </c>
      <c r="E1949">
        <v>0.45175330000000002</v>
      </c>
      <c r="F1949" t="s">
        <v>46</v>
      </c>
      <c r="G1949">
        <v>-464.33319999999998</v>
      </c>
      <c r="H1949" s="1">
        <v>8.4455749999999897E-7</v>
      </c>
      <c r="I1949">
        <v>282.89100000000002</v>
      </c>
      <c r="J1949">
        <v>-450.01710000000003</v>
      </c>
      <c r="K1949">
        <v>1.11114</v>
      </c>
      <c r="L1949">
        <v>285.4196</v>
      </c>
      <c r="M1949">
        <v>-0.99981620000000004</v>
      </c>
      <c r="N1949">
        <v>0</v>
      </c>
      <c r="O1949">
        <v>1.194097E-2</v>
      </c>
      <c r="P1949">
        <v>-0.98784490000000003</v>
      </c>
      <c r="Q1949">
        <v>0.15115599999999901</v>
      </c>
      <c r="R1949">
        <v>-3.625664E-2</v>
      </c>
      <c r="S1949">
        <v>-3.05246</v>
      </c>
      <c r="T1949">
        <v>-0.2305789</v>
      </c>
      <c r="U1949">
        <v>-0.5239258</v>
      </c>
      <c r="V1949">
        <v>-4.8384740000000002E-2</v>
      </c>
      <c r="W1949">
        <v>0.16585820000000001</v>
      </c>
      <c r="X1949">
        <v>0.98496189999999995</v>
      </c>
      <c r="Y1949">
        <v>-0.18039230000000001</v>
      </c>
      <c r="Z1949">
        <v>-7.6489569999999996E-3</v>
      </c>
      <c r="AA1949">
        <v>0.98356500000000002</v>
      </c>
      <c r="AB1949">
        <v>39</v>
      </c>
      <c r="AC1949">
        <v>-14.316099999999899</v>
      </c>
      <c r="AD1949">
        <v>-1.1111391554424901</v>
      </c>
      <c r="AE1949">
        <v>-2.5286000000000399</v>
      </c>
      <c r="AF1949">
        <v>-2.6837093700650301</v>
      </c>
      <c r="AG1949">
        <v>-1.1111391554424901</v>
      </c>
      <c r="AH1949">
        <v>14.201917151479099</v>
      </c>
      <c r="AI1949">
        <v>94.396143237159706</v>
      </c>
      <c r="AJ1949">
        <v>100.700893056442</v>
      </c>
      <c r="AK1949">
        <v>14.495908974024699</v>
      </c>
      <c r="AL1949">
        <v>80.452907185405394</v>
      </c>
      <c r="AM1949">
        <v>92.8123064514226</v>
      </c>
      <c r="AN1949">
        <v>0.99999998501185805</v>
      </c>
    </row>
    <row r="1950" spans="1:40" x14ac:dyDescent="0.25">
      <c r="A1950" t="str">
        <f>"20190312164301180"</f>
        <v>20190312164301180</v>
      </c>
      <c r="B1950" t="str">
        <f>"1552380181176568"</f>
        <v>1552380181176568</v>
      </c>
      <c r="C1950" t="s">
        <v>40</v>
      </c>
      <c r="D1950">
        <v>4.6589140000000002</v>
      </c>
      <c r="E1950">
        <v>0.4518992</v>
      </c>
      <c r="F1950" t="s">
        <v>46</v>
      </c>
      <c r="G1950">
        <v>-465.14249999999998</v>
      </c>
      <c r="H1950" s="1">
        <v>1.2790280000000001E-6</v>
      </c>
      <c r="I1950">
        <v>282.80410000000001</v>
      </c>
      <c r="J1950">
        <v>-450.3974</v>
      </c>
      <c r="K1950">
        <v>1.111316</v>
      </c>
      <c r="L1950">
        <v>285.42309999999998</v>
      </c>
      <c r="M1950">
        <v>-0.99982939999999998</v>
      </c>
      <c r="N1950">
        <v>0</v>
      </c>
      <c r="O1950">
        <v>1.078103E-2</v>
      </c>
      <c r="P1950">
        <v>-0.98757779999999995</v>
      </c>
      <c r="Q1950">
        <v>0.15264529999999901</v>
      </c>
      <c r="R1950">
        <v>-3.7279369999999999E-2</v>
      </c>
      <c r="S1950">
        <v>-3.0518190000000001</v>
      </c>
      <c r="T1950">
        <v>-0.22419069999999999</v>
      </c>
      <c r="U1950">
        <v>-0.52771000000000001</v>
      </c>
      <c r="V1950">
        <v>-4.8326099999999997E-2</v>
      </c>
      <c r="W1950">
        <v>0.16732420000000001</v>
      </c>
      <c r="X1950">
        <v>0.98471679999999995</v>
      </c>
      <c r="Y1950">
        <v>-0.18050189999999999</v>
      </c>
      <c r="Z1950">
        <v>-7.3578430000000002E-3</v>
      </c>
      <c r="AA1950">
        <v>0.98354710000000001</v>
      </c>
      <c r="AB1950">
        <v>39</v>
      </c>
      <c r="AC1950">
        <v>-14.7450999999999</v>
      </c>
      <c r="AD1950">
        <v>-1.111314720972</v>
      </c>
      <c r="AE1950">
        <v>-2.61899999999997</v>
      </c>
      <c r="AF1950">
        <v>-2.7626201643895101</v>
      </c>
      <c r="AG1950">
        <v>-1.111314720972</v>
      </c>
      <c r="AH1950">
        <v>14.635411774077401</v>
      </c>
      <c r="AI1950">
        <v>94.267250303869801</v>
      </c>
      <c r="AJ1950">
        <v>100.689530778473</v>
      </c>
      <c r="AK1950">
        <v>14.935272624848301</v>
      </c>
      <c r="AL1950">
        <v>80.367721207267195</v>
      </c>
      <c r="AM1950">
        <v>92.8096015591765</v>
      </c>
      <c r="AN1950">
        <v>0.99999998802454404</v>
      </c>
    </row>
    <row r="1951" spans="1:40" x14ac:dyDescent="0.25">
      <c r="A1951" t="str">
        <f>"20190312164301203"</f>
        <v>20190312164301203</v>
      </c>
      <c r="B1951" t="str">
        <f>"1552380181196089"</f>
        <v>1552380181196089</v>
      </c>
      <c r="C1951" t="s">
        <v>40</v>
      </c>
      <c r="D1951">
        <v>4.4645210000000004</v>
      </c>
      <c r="E1951">
        <v>0.45165319999999998</v>
      </c>
      <c r="F1951" t="s">
        <v>46</v>
      </c>
      <c r="G1951">
        <v>-465.87139999999999</v>
      </c>
      <c r="H1951" s="1">
        <v>1.670034E-6</v>
      </c>
      <c r="I1951">
        <v>282.73180000000002</v>
      </c>
      <c r="J1951">
        <v>-450.79219999999998</v>
      </c>
      <c r="K1951">
        <v>1.1115029999999999</v>
      </c>
      <c r="L1951">
        <v>285.42610000000002</v>
      </c>
      <c r="M1951">
        <v>-0.99984390000000001</v>
      </c>
      <c r="N1951">
        <v>0</v>
      </c>
      <c r="O1951">
        <v>9.3476380000000001E-3</v>
      </c>
      <c r="P1951">
        <v>-0.98723519999999998</v>
      </c>
      <c r="Q1951">
        <v>0.1543668</v>
      </c>
      <c r="R1951">
        <v>-3.9217139999999998E-2</v>
      </c>
      <c r="S1951">
        <v>-3.0515439999999998</v>
      </c>
      <c r="T1951">
        <v>-0.2191564</v>
      </c>
      <c r="U1951">
        <v>-0.53073119999999996</v>
      </c>
      <c r="V1951">
        <v>-4.8924990000000002E-2</v>
      </c>
      <c r="W1951">
        <v>0.16901679999999999</v>
      </c>
      <c r="X1951">
        <v>0.98439810000000005</v>
      </c>
      <c r="Y1951">
        <v>-0.18007909999999999</v>
      </c>
      <c r="Z1951">
        <v>-7.0759209999999998E-3</v>
      </c>
      <c r="AA1951">
        <v>0.98362669999999996</v>
      </c>
      <c r="AB1951">
        <v>39</v>
      </c>
      <c r="AC1951">
        <v>-15.0792</v>
      </c>
      <c r="AD1951">
        <v>-1.1115013299659999</v>
      </c>
      <c r="AE1951">
        <v>-2.6942999999999899</v>
      </c>
      <c r="AF1951">
        <v>-2.82030353799454</v>
      </c>
      <c r="AG1951">
        <v>-1.1115013299659999</v>
      </c>
      <c r="AH1951">
        <v>14.9745090410469</v>
      </c>
      <c r="AI1951">
        <v>94.171981163054298</v>
      </c>
      <c r="AJ1951">
        <v>100.666158743824</v>
      </c>
      <c r="AK1951">
        <v>15.278267842701799</v>
      </c>
      <c r="AL1951">
        <v>80.269341106252597</v>
      </c>
      <c r="AM1951">
        <v>92.845282582281797</v>
      </c>
      <c r="AN1951">
        <v>0.99999997630617399</v>
      </c>
    </row>
    <row r="1952" spans="1:40" x14ac:dyDescent="0.25">
      <c r="A1952" t="str">
        <f>"20190312164301226"</f>
        <v>20190312164301226</v>
      </c>
      <c r="B1952" t="str">
        <f>"1552380181216585"</f>
        <v>1552380181216585</v>
      </c>
      <c r="C1952" t="s">
        <v>40</v>
      </c>
      <c r="D1952">
        <v>4.4194889999999996</v>
      </c>
      <c r="E1952">
        <v>0.45131300000000002</v>
      </c>
      <c r="F1952" t="s">
        <v>46</v>
      </c>
      <c r="G1952">
        <v>-466.61450000000002</v>
      </c>
      <c r="H1952" s="1">
        <v>2.0700239999999999E-6</v>
      </c>
      <c r="I1952">
        <v>282.62779999999998</v>
      </c>
      <c r="J1952">
        <v>-451.19310000000002</v>
      </c>
      <c r="K1952">
        <v>1.111704</v>
      </c>
      <c r="L1952">
        <v>285.4282</v>
      </c>
      <c r="M1952">
        <v>-0.99985820000000003</v>
      </c>
      <c r="N1952">
        <v>0</v>
      </c>
      <c r="O1952">
        <v>7.6589969999999999E-3</v>
      </c>
      <c r="P1952">
        <v>-0.98694119999999996</v>
      </c>
      <c r="Q1952">
        <v>0.15583830000000001</v>
      </c>
      <c r="R1952">
        <v>-4.0762809999999997E-2</v>
      </c>
      <c r="S1952">
        <v>-3.0509029999999999</v>
      </c>
      <c r="T1952">
        <v>-0.21432390000000001</v>
      </c>
      <c r="U1952">
        <v>-0.53958130000000004</v>
      </c>
      <c r="V1952">
        <v>-4.8885900000000003E-2</v>
      </c>
      <c r="W1952">
        <v>0.1704618</v>
      </c>
      <c r="X1952">
        <v>0.98415090000000005</v>
      </c>
      <c r="Y1952">
        <v>-0.18124280000000001</v>
      </c>
      <c r="Z1952">
        <v>-6.8428769999999998E-3</v>
      </c>
      <c r="AA1952">
        <v>0.98341460000000003</v>
      </c>
      <c r="AB1952">
        <v>39</v>
      </c>
      <c r="AC1952">
        <v>-15.4214</v>
      </c>
      <c r="AD1952">
        <v>-1.111701929976</v>
      </c>
      <c r="AE1952">
        <v>-2.8004000000000202</v>
      </c>
      <c r="AF1952">
        <v>-2.9038349056422601</v>
      </c>
      <c r="AG1952">
        <v>-1.111701929976</v>
      </c>
      <c r="AH1952">
        <v>15.3224125634092</v>
      </c>
      <c r="AI1952">
        <v>94.077439491375301</v>
      </c>
      <c r="AJ1952">
        <v>100.731172938231</v>
      </c>
      <c r="AK1952">
        <v>15.6347198600953</v>
      </c>
      <c r="AL1952">
        <v>80.185330088756004</v>
      </c>
      <c r="AM1952">
        <v>92.843725933488003</v>
      </c>
      <c r="AN1952">
        <v>1.0000000252244201</v>
      </c>
    </row>
    <row r="1953" spans="1:40" x14ac:dyDescent="0.25">
      <c r="A1953" t="str">
        <f>"20190312164301246"</f>
        <v>20190312164301246</v>
      </c>
      <c r="B1953" t="str">
        <f>"1552380181236105"</f>
        <v>1552380181236105</v>
      </c>
      <c r="C1953" t="s">
        <v>40</v>
      </c>
      <c r="D1953">
        <v>4.4012949999999904</v>
      </c>
      <c r="E1953">
        <v>0.4351043</v>
      </c>
      <c r="F1953" t="s">
        <v>46</v>
      </c>
      <c r="G1953">
        <v>-467.31950000000001</v>
      </c>
      <c r="H1953" s="1">
        <v>2.4493360000000001E-6</v>
      </c>
      <c r="I1953">
        <v>282.53399999999999</v>
      </c>
      <c r="J1953">
        <v>-451.55020000000002</v>
      </c>
      <c r="K1953">
        <v>1.1118680000000001</v>
      </c>
      <c r="L1953">
        <v>285.42950000000002</v>
      </c>
      <c r="M1953">
        <v>-0.99986949999999997</v>
      </c>
      <c r="N1953">
        <v>0</v>
      </c>
      <c r="O1953">
        <v>5.9936769999999898E-3</v>
      </c>
      <c r="P1953">
        <v>-0.9866625</v>
      </c>
      <c r="Q1953">
        <v>0.15710460000000001</v>
      </c>
      <c r="R1953">
        <v>-4.2605379999999998E-2</v>
      </c>
      <c r="S1953">
        <v>-3.050262</v>
      </c>
      <c r="T1953">
        <v>-0.21027419999999999</v>
      </c>
      <c r="U1953">
        <v>-0.54742429999999997</v>
      </c>
      <c r="V1953">
        <v>-4.915481E-2</v>
      </c>
      <c r="W1953">
        <v>0.17170489999999999</v>
      </c>
      <c r="X1953">
        <v>0.9839213</v>
      </c>
      <c r="Y1953">
        <v>-0.18210999999999999</v>
      </c>
      <c r="Z1953">
        <v>-6.6295879999999996E-3</v>
      </c>
      <c r="AA1953">
        <v>0.98325580000000001</v>
      </c>
      <c r="AB1953">
        <v>39</v>
      </c>
      <c r="AC1953">
        <v>-15.7692999999999</v>
      </c>
      <c r="AD1953">
        <v>-1.1118655506640001</v>
      </c>
      <c r="AE1953">
        <v>-2.8955000000000202</v>
      </c>
      <c r="AF1953">
        <v>-2.9756639432736098</v>
      </c>
      <c r="AG1953">
        <v>-1.1118655506640001</v>
      </c>
      <c r="AH1953">
        <v>15.676268670847501</v>
      </c>
      <c r="AI1953">
        <v>93.986064092830503</v>
      </c>
      <c r="AJ1953">
        <v>100.74799389058001</v>
      </c>
      <c r="AK1953">
        <v>15.9948810669741</v>
      </c>
      <c r="AL1953">
        <v>80.113039107715906</v>
      </c>
      <c r="AM1953">
        <v>92.860008847756802</v>
      </c>
      <c r="AN1953">
        <v>0.99999994631191602</v>
      </c>
    </row>
    <row r="1954" spans="1:40" x14ac:dyDescent="0.25">
      <c r="A1954" t="str">
        <f>"20190312164301269"</f>
        <v>20190312164301269</v>
      </c>
      <c r="B1954" t="str">
        <f>"1552380181266362"</f>
        <v>1552380181266362</v>
      </c>
      <c r="C1954" t="s">
        <v>40</v>
      </c>
      <c r="D1954">
        <v>4.4473560000000001</v>
      </c>
      <c r="E1954">
        <v>0.43609799999999899</v>
      </c>
      <c r="F1954" t="s">
        <v>46</v>
      </c>
      <c r="G1954">
        <v>-464.36090000000002</v>
      </c>
      <c r="H1954" s="1">
        <v>8.7413899999999898E-7</v>
      </c>
      <c r="I1954">
        <v>282.55070000000001</v>
      </c>
      <c r="J1954">
        <v>-451.93389999999999</v>
      </c>
      <c r="K1954">
        <v>1.112018</v>
      </c>
      <c r="L1954">
        <v>285.43</v>
      </c>
      <c r="M1954">
        <v>-0.99987939999999997</v>
      </c>
      <c r="N1954">
        <v>0</v>
      </c>
      <c r="O1954">
        <v>4.0402429999999998E-3</v>
      </c>
      <c r="P1954">
        <v>-0.98654679999999995</v>
      </c>
      <c r="Q1954">
        <v>0.15716769999999999</v>
      </c>
      <c r="R1954">
        <v>-4.4992619999999997E-2</v>
      </c>
      <c r="S1954">
        <v>-3.0531009999999998</v>
      </c>
      <c r="T1954">
        <v>-0.26498640000000001</v>
      </c>
      <c r="U1954">
        <v>-0.68609619999999905</v>
      </c>
      <c r="V1954">
        <v>-4.968086E-2</v>
      </c>
      <c r="W1954">
        <v>0.171745799999999</v>
      </c>
      <c r="X1954">
        <v>0.98388779999999998</v>
      </c>
      <c r="Y1954">
        <v>-0.22238330000000001</v>
      </c>
      <c r="Z1954">
        <v>-9.8603100000000006E-3</v>
      </c>
      <c r="AA1954">
        <v>0.97490949999999998</v>
      </c>
      <c r="AB1954">
        <v>38</v>
      </c>
      <c r="AC1954">
        <v>-12.427</v>
      </c>
      <c r="AD1954">
        <v>-1.1120171258610001</v>
      </c>
      <c r="AE1954">
        <v>-2.8793000000000002</v>
      </c>
      <c r="AF1954">
        <v>-2.9073957336853402</v>
      </c>
      <c r="AG1954">
        <v>-1.1120171258610001</v>
      </c>
      <c r="AH1954">
        <v>12.3216270149408</v>
      </c>
      <c r="AI1954">
        <v>95.019811632838397</v>
      </c>
      <c r="AJ1954">
        <v>103.276597632175</v>
      </c>
      <c r="AK1954">
        <v>12.708738109496901</v>
      </c>
      <c r="AL1954">
        <v>80.110660963289106</v>
      </c>
      <c r="AM1954">
        <v>92.890663003133298</v>
      </c>
      <c r="AN1954">
        <v>1.0000000053283999</v>
      </c>
    </row>
    <row r="1955" spans="1:40" x14ac:dyDescent="0.25">
      <c r="A1955" t="str">
        <f>"20190312164301292"</f>
        <v>20190312164301292</v>
      </c>
      <c r="B1955" t="str">
        <f>"1552380181285882"</f>
        <v>1552380181285882</v>
      </c>
      <c r="C1955" t="s">
        <v>40</v>
      </c>
      <c r="D1955">
        <v>4.4440350000000004</v>
      </c>
      <c r="E1955">
        <v>0.43686229999999998</v>
      </c>
      <c r="F1955" t="s">
        <v>46</v>
      </c>
      <c r="G1955">
        <v>-465.00740000000002</v>
      </c>
      <c r="H1955" s="1">
        <v>1.2207100000000001E-6</v>
      </c>
      <c r="I1955">
        <v>282.49250000000001</v>
      </c>
      <c r="J1955">
        <v>-452.32420000000002</v>
      </c>
      <c r="K1955">
        <v>1.112158</v>
      </c>
      <c r="L1955">
        <v>285.42959999999999</v>
      </c>
      <c r="M1955">
        <v>-0.99988560000000004</v>
      </c>
      <c r="N1955">
        <v>0</v>
      </c>
      <c r="O1955">
        <v>1.903556E-3</v>
      </c>
      <c r="P1955">
        <v>-0.98655519999999997</v>
      </c>
      <c r="Q1955">
        <v>0.15635370000000001</v>
      </c>
      <c r="R1955">
        <v>-4.7567060000000001E-2</v>
      </c>
      <c r="S1955">
        <v>-3.0509949999999999</v>
      </c>
      <c r="T1955">
        <v>-0.25951479999999999</v>
      </c>
      <c r="U1955">
        <v>-0.68551640000000003</v>
      </c>
      <c r="V1955">
        <v>-5.0203829999999998E-2</v>
      </c>
      <c r="W1955">
        <v>0.17091339999999999</v>
      </c>
      <c r="X1955">
        <v>0.98400620000000005</v>
      </c>
      <c r="Y1955">
        <v>-0.2203138</v>
      </c>
      <c r="Z1955">
        <v>-9.3980769999999995E-3</v>
      </c>
      <c r="AA1955">
        <v>0.97538380000000002</v>
      </c>
      <c r="AB1955">
        <v>38</v>
      </c>
      <c r="AC1955">
        <v>-12.683199999999999</v>
      </c>
      <c r="AD1955">
        <v>-1.11215677929</v>
      </c>
      <c r="AE1955">
        <v>-2.9370999999999801</v>
      </c>
      <c r="AF1955">
        <v>-2.9397868143552799</v>
      </c>
      <c r="AG1955">
        <v>-1.11215677929</v>
      </c>
      <c r="AH1955">
        <v>12.5857381643357</v>
      </c>
      <c r="AI1955">
        <v>94.9181956596248</v>
      </c>
      <c r="AJ1955">
        <v>103.147468376815</v>
      </c>
      <c r="AK1955">
        <v>12.972279844221401</v>
      </c>
      <c r="AL1955">
        <v>80.159069784040696</v>
      </c>
      <c r="AM1955">
        <v>92.920688536272806</v>
      </c>
      <c r="AN1955">
        <v>1.0000000082423299</v>
      </c>
    </row>
    <row r="1956" spans="1:40" x14ac:dyDescent="0.25">
      <c r="A1956" t="str">
        <f>"20190312164301316"</f>
        <v>20190312164301316</v>
      </c>
      <c r="B1956" t="str">
        <f>"1552380181306377"</f>
        <v>1552380181306377</v>
      </c>
      <c r="C1956" t="s">
        <v>40</v>
      </c>
      <c r="D1956">
        <v>4.4189509999999999</v>
      </c>
      <c r="E1956">
        <v>0.4361622</v>
      </c>
      <c r="F1956" t="s">
        <v>46</v>
      </c>
      <c r="G1956">
        <v>-465.61840000000001</v>
      </c>
      <c r="H1956" s="1">
        <v>1.5485019999999999E-6</v>
      </c>
      <c r="I1956">
        <v>282.43299999999999</v>
      </c>
      <c r="J1956">
        <v>-452.72359999999998</v>
      </c>
      <c r="K1956">
        <v>1.112276</v>
      </c>
      <c r="L1956">
        <v>285.4282</v>
      </c>
      <c r="M1956">
        <v>-0.99988750000000004</v>
      </c>
      <c r="N1956">
        <v>0</v>
      </c>
      <c r="O1956">
        <v>-4.0157300000000001E-4</v>
      </c>
      <c r="P1956">
        <v>-0.98641000000000001</v>
      </c>
      <c r="Q1956">
        <v>0.15619359999999999</v>
      </c>
      <c r="R1956">
        <v>-5.0980020000000001E-2</v>
      </c>
      <c r="S1956">
        <v>-3.0482179999999999</v>
      </c>
      <c r="T1956">
        <v>-0.25500499999999998</v>
      </c>
      <c r="U1956">
        <v>-0.68707280000000004</v>
      </c>
      <c r="V1956">
        <v>-5.1395360000000001E-2</v>
      </c>
      <c r="W1956">
        <v>0.17073050000000001</v>
      </c>
      <c r="X1956">
        <v>0.98397639999999997</v>
      </c>
      <c r="Y1956">
        <v>-0.21876719999999999</v>
      </c>
      <c r="Z1956">
        <v>-8.9890430000000004E-3</v>
      </c>
      <c r="AA1956">
        <v>0.97573569999999998</v>
      </c>
      <c r="AB1956">
        <v>38</v>
      </c>
      <c r="AC1956">
        <v>-12.8948</v>
      </c>
      <c r="AD1956">
        <v>-1.1122744514980001</v>
      </c>
      <c r="AE1956">
        <v>-2.9952000000000099</v>
      </c>
      <c r="AF1956">
        <v>-2.9690609273792599</v>
      </c>
      <c r="AG1956">
        <v>-1.1122744514980001</v>
      </c>
      <c r="AH1956">
        <v>12.805600920723601</v>
      </c>
      <c r="AI1956">
        <v>94.836498611655301</v>
      </c>
      <c r="AJ1956">
        <v>103.05374508076601</v>
      </c>
      <c r="AK1956">
        <v>13.1922663779497</v>
      </c>
      <c r="AL1956">
        <v>80.1697051391412</v>
      </c>
      <c r="AM1956">
        <v>92.989973775514201</v>
      </c>
      <c r="AN1956">
        <v>0.99999997120836903</v>
      </c>
    </row>
    <row r="1957" spans="1:40" x14ac:dyDescent="0.25">
      <c r="A1957" t="str">
        <f>"20190312164301336"</f>
        <v>20190312164301336</v>
      </c>
      <c r="B1957" t="str">
        <f>"1552380181325898"</f>
        <v>1552380181325898</v>
      </c>
      <c r="C1957" t="s">
        <v>40</v>
      </c>
      <c r="D1957">
        <v>4.4198579999999996</v>
      </c>
      <c r="E1957">
        <v>0.43558059999999998</v>
      </c>
      <c r="F1957" t="s">
        <v>46</v>
      </c>
      <c r="G1957">
        <v>-465.54649999999998</v>
      </c>
      <c r="H1957" s="1">
        <v>1.5087470000000001E-6</v>
      </c>
      <c r="I1957">
        <v>282.46699999999998</v>
      </c>
      <c r="J1957">
        <v>-453.08550000000002</v>
      </c>
      <c r="K1957">
        <v>1.1123749999999999</v>
      </c>
      <c r="L1957">
        <v>285.42610000000002</v>
      </c>
      <c r="M1957">
        <v>-0.9998842</v>
      </c>
      <c r="N1957">
        <v>0</v>
      </c>
      <c r="O1957">
        <v>-2.5611990000000001E-3</v>
      </c>
      <c r="P1957">
        <v>-0.98622569999999998</v>
      </c>
      <c r="Q1957">
        <v>0.15620680000000001</v>
      </c>
      <c r="R1957">
        <v>-5.4390069999999999E-2</v>
      </c>
      <c r="S1957">
        <v>-3.0468440000000001</v>
      </c>
      <c r="T1957">
        <v>-0.264287099999999</v>
      </c>
      <c r="U1957">
        <v>-0.7036133</v>
      </c>
      <c r="V1957">
        <v>-5.2714299999999999E-2</v>
      </c>
      <c r="W1957">
        <v>0.1707226</v>
      </c>
      <c r="X1957">
        <v>0.983908</v>
      </c>
      <c r="Y1957">
        <v>-0.22173209999999999</v>
      </c>
      <c r="Z1957">
        <v>-9.25576E-3</v>
      </c>
      <c r="AA1957">
        <v>0.97506369999999998</v>
      </c>
      <c r="AB1957">
        <v>38</v>
      </c>
      <c r="AC1957">
        <v>-12.460999999999901</v>
      </c>
      <c r="AD1957">
        <v>-1.1123734912529999</v>
      </c>
      <c r="AE1957">
        <v>-2.95910000000003</v>
      </c>
      <c r="AF1957">
        <v>-2.9052559189148002</v>
      </c>
      <c r="AG1957">
        <v>-1.1123734912529999</v>
      </c>
      <c r="AH1957">
        <v>12.3751870909073</v>
      </c>
      <c r="AI1957">
        <v>95.001114603158499</v>
      </c>
      <c r="AJ1957">
        <v>103.21176927189001</v>
      </c>
      <c r="AK1957">
        <v>12.7602171718741</v>
      </c>
      <c r="AL1957">
        <v>80.170164587858295</v>
      </c>
      <c r="AM1957">
        <v>93.066772514072298</v>
      </c>
      <c r="AN1957">
        <v>0.99999997801962404</v>
      </c>
    </row>
    <row r="1958" spans="1:40" x14ac:dyDescent="0.25">
      <c r="A1958" t="str">
        <f>"20190312164301360"</f>
        <v>20190312164301360</v>
      </c>
      <c r="B1958" t="str">
        <f>"1552380181356153"</f>
        <v>1552380181356153</v>
      </c>
      <c r="C1958" t="s">
        <v>40</v>
      </c>
      <c r="D1958">
        <v>4.3987949999999998</v>
      </c>
      <c r="E1958">
        <v>0.4346758</v>
      </c>
      <c r="F1958" t="s">
        <v>46</v>
      </c>
      <c r="G1958">
        <v>-465.58710000000002</v>
      </c>
      <c r="H1958" s="1">
        <v>1.5302369999999999E-6</v>
      </c>
      <c r="I1958">
        <v>282.46910000000003</v>
      </c>
      <c r="J1958">
        <v>-453.48129999999998</v>
      </c>
      <c r="K1958">
        <v>1.1124620000000001</v>
      </c>
      <c r="L1958">
        <v>285.423</v>
      </c>
      <c r="M1958">
        <v>-0.99987530000000002</v>
      </c>
      <c r="N1958">
        <v>0</v>
      </c>
      <c r="O1958">
        <v>-4.9717279999999999E-3</v>
      </c>
      <c r="P1958">
        <v>-0.98593620000000004</v>
      </c>
      <c r="Q1958">
        <v>0.15688849999999999</v>
      </c>
      <c r="R1958">
        <v>-5.7585020000000001E-2</v>
      </c>
      <c r="S1958">
        <v>-3.0450740000000001</v>
      </c>
      <c r="T1958">
        <v>-0.2709473</v>
      </c>
      <c r="U1958">
        <v>-0.72027589999999997</v>
      </c>
      <c r="V1958">
        <v>-5.3571290000000001E-2</v>
      </c>
      <c r="W1958">
        <v>0.1713846</v>
      </c>
      <c r="X1958">
        <v>0.98374660000000003</v>
      </c>
      <c r="Y1958">
        <v>-0.22452330000000001</v>
      </c>
      <c r="Z1958">
        <v>-9.3988049999999997E-3</v>
      </c>
      <c r="AA1958">
        <v>0.97442340000000005</v>
      </c>
      <c r="AB1958">
        <v>38</v>
      </c>
      <c r="AC1958">
        <v>-12.1058</v>
      </c>
      <c r="AD1958">
        <v>-1.1124604697630001</v>
      </c>
      <c r="AE1958">
        <v>-2.9538999999999702</v>
      </c>
      <c r="AF1958">
        <v>-2.87078943010372</v>
      </c>
      <c r="AG1958">
        <v>-1.1124604697630001</v>
      </c>
      <c r="AH1958">
        <v>12.024501223319</v>
      </c>
      <c r="AI1958">
        <v>95.142030643817506</v>
      </c>
      <c r="AJ1958">
        <v>103.427723447573</v>
      </c>
      <c r="AK1958">
        <v>12.412398233958699</v>
      </c>
      <c r="AL1958">
        <v>80.131667304314803</v>
      </c>
      <c r="AM1958">
        <v>93.117042638915095</v>
      </c>
      <c r="AN1958">
        <v>0.99999996862049101</v>
      </c>
    </row>
    <row r="1959" spans="1:40" x14ac:dyDescent="0.25">
      <c r="A1959" t="str">
        <f>"20190312164301382"</f>
        <v>20190312164301382</v>
      </c>
      <c r="B1959" t="str">
        <f>"1552380181376651"</f>
        <v>1552380181376651</v>
      </c>
      <c r="C1959" t="s">
        <v>40</v>
      </c>
      <c r="D1959">
        <v>4.5047100000000002</v>
      </c>
      <c r="E1959">
        <v>0.43481720000000001</v>
      </c>
      <c r="F1959" t="s">
        <v>46</v>
      </c>
      <c r="G1959">
        <v>-465.87509999999997</v>
      </c>
      <c r="H1959" s="1">
        <v>1.6858710000000001E-6</v>
      </c>
      <c r="I1959">
        <v>282.41469999999998</v>
      </c>
      <c r="J1959">
        <v>-453.85239999999999</v>
      </c>
      <c r="K1959">
        <v>1.1125350000000001</v>
      </c>
      <c r="L1959">
        <v>285.41910000000001</v>
      </c>
      <c r="M1959">
        <v>-0.99986140000000001</v>
      </c>
      <c r="N1959">
        <v>0</v>
      </c>
      <c r="O1959">
        <v>-7.2603490000000001E-3</v>
      </c>
      <c r="P1959">
        <v>-0.98566350000000003</v>
      </c>
      <c r="Q1959">
        <v>0.1571311</v>
      </c>
      <c r="R1959">
        <v>-6.1462429999999998E-2</v>
      </c>
      <c r="S1959">
        <v>-3.0431210000000002</v>
      </c>
      <c r="T1959">
        <v>-0.2731498</v>
      </c>
      <c r="U1959">
        <v>-0.73864750000000001</v>
      </c>
      <c r="V1959">
        <v>-5.5219299999999999E-2</v>
      </c>
      <c r="W1959">
        <v>0.17160529999999999</v>
      </c>
      <c r="X1959">
        <v>0.98361699999999996</v>
      </c>
      <c r="Y1959">
        <v>-0.22797770000000001</v>
      </c>
      <c r="Z1959">
        <v>-9.4247519999999998E-3</v>
      </c>
      <c r="AA1959">
        <v>0.97362079999999995</v>
      </c>
      <c r="AB1959">
        <v>38</v>
      </c>
      <c r="AC1959">
        <v>-12.022699999999899</v>
      </c>
      <c r="AD1959">
        <v>-1.1125333141289999</v>
      </c>
      <c r="AE1959">
        <v>-3.0044000000000302</v>
      </c>
      <c r="AF1959">
        <v>-2.8936998681236701</v>
      </c>
      <c r="AG1959">
        <v>-1.1125333141289999</v>
      </c>
      <c r="AH1959">
        <v>11.9479028915196</v>
      </c>
      <c r="AI1959">
        <v>95.171122023329303</v>
      </c>
      <c r="AJ1959">
        <v>103.61448685802399</v>
      </c>
      <c r="AK1959">
        <v>12.3435656439705</v>
      </c>
      <c r="AL1959">
        <v>80.118832047334905</v>
      </c>
      <c r="AM1959">
        <v>93.213156550767593</v>
      </c>
      <c r="AN1959">
        <v>0.99999997638478899</v>
      </c>
    </row>
    <row r="1960" spans="1:40" x14ac:dyDescent="0.25">
      <c r="A1960" t="str">
        <f>"20190312164301403"</f>
        <v>20190312164301403</v>
      </c>
      <c r="B1960" t="str">
        <f>"1552380181396169"</f>
        <v>1552380181396169</v>
      </c>
      <c r="C1960" t="s">
        <v>40</v>
      </c>
      <c r="D1960">
        <v>4.3842819999999998</v>
      </c>
      <c r="E1960">
        <v>0.43431570000000003</v>
      </c>
      <c r="F1960" t="s">
        <v>46</v>
      </c>
      <c r="G1960">
        <v>-466.26679999999999</v>
      </c>
      <c r="H1960" s="1">
        <v>1.8969880000000001E-6</v>
      </c>
      <c r="I1960">
        <v>282.35399999999998</v>
      </c>
      <c r="J1960">
        <v>-454.22910000000002</v>
      </c>
      <c r="K1960">
        <v>1.1125910000000001</v>
      </c>
      <c r="L1960">
        <v>285.41419999999999</v>
      </c>
      <c r="M1960">
        <v>-0.99984170000000006</v>
      </c>
      <c r="N1960">
        <v>0</v>
      </c>
      <c r="O1960">
        <v>-9.6014759999999994E-3</v>
      </c>
      <c r="P1960">
        <v>-0.98553930000000001</v>
      </c>
      <c r="Q1960">
        <v>0.1563957</v>
      </c>
      <c r="R1960">
        <v>-6.5214190000000005E-2</v>
      </c>
      <c r="S1960">
        <v>-3.0402830000000001</v>
      </c>
      <c r="T1960">
        <v>-0.27245829999999999</v>
      </c>
      <c r="U1960">
        <v>-0.75064090000000006</v>
      </c>
      <c r="V1960">
        <v>-5.667933E-2</v>
      </c>
      <c r="W1960">
        <v>0.170852799999999</v>
      </c>
      <c r="X1960">
        <v>0.98366500000000001</v>
      </c>
      <c r="Y1960">
        <v>-0.2295365</v>
      </c>
      <c r="Z1960">
        <v>-9.2676219999999997E-3</v>
      </c>
      <c r="AA1960">
        <v>0.97325589999999995</v>
      </c>
      <c r="AB1960">
        <v>38</v>
      </c>
      <c r="AC1960">
        <v>-12.0376999999999</v>
      </c>
      <c r="AD1960">
        <v>-1.1125891030120001</v>
      </c>
      <c r="AE1960">
        <v>-3.0601999999999498</v>
      </c>
      <c r="AF1960">
        <v>-2.9210282297806298</v>
      </c>
      <c r="AG1960">
        <v>-1.1125891030120001</v>
      </c>
      <c r="AH1960">
        <v>11.970480859473</v>
      </c>
      <c r="AI1960">
        <v>95.159527197481793</v>
      </c>
      <c r="AJ1960">
        <v>103.713279938133</v>
      </c>
      <c r="AK1960">
        <v>12.371850000639601</v>
      </c>
      <c r="AL1960">
        <v>80.1625939469847</v>
      </c>
      <c r="AM1960">
        <v>93.297768561980604</v>
      </c>
      <c r="AN1960">
        <v>1.00000002897104</v>
      </c>
    </row>
    <row r="1961" spans="1:40" x14ac:dyDescent="0.25">
      <c r="A1961" t="str">
        <f>"20190312164301426"</f>
        <v>20190312164301426</v>
      </c>
      <c r="B1961" t="str">
        <f>"1552380181416665"</f>
        <v>1552380181416665</v>
      </c>
      <c r="C1961" t="s">
        <v>40</v>
      </c>
      <c r="D1961">
        <v>4.3284560000000001</v>
      </c>
      <c r="E1961">
        <v>0.43420750000000002</v>
      </c>
      <c r="F1961" t="s">
        <v>46</v>
      </c>
      <c r="G1961">
        <v>-466.47250000000003</v>
      </c>
      <c r="H1961" s="1">
        <v>2.0078300000000001E-6</v>
      </c>
      <c r="I1961">
        <v>282.32190000000003</v>
      </c>
      <c r="J1961">
        <v>-454.60849999999999</v>
      </c>
      <c r="K1961">
        <v>1.1126370000000001</v>
      </c>
      <c r="L1961">
        <v>285.40839999999997</v>
      </c>
      <c r="M1961">
        <v>-0.99981609999999999</v>
      </c>
      <c r="N1961">
        <v>0</v>
      </c>
      <c r="O1961">
        <v>-1.1967780000000001E-2</v>
      </c>
      <c r="P1961">
        <v>-0.98531899999999994</v>
      </c>
      <c r="Q1961">
        <v>0.15585679999999999</v>
      </c>
      <c r="R1961">
        <v>-6.9678599999999993E-2</v>
      </c>
      <c r="S1961">
        <v>-3.0370789999999999</v>
      </c>
      <c r="T1961">
        <v>-0.27598850000000003</v>
      </c>
      <c r="U1961">
        <v>-0.7670593</v>
      </c>
      <c r="V1961">
        <v>-5.8825269999999999E-2</v>
      </c>
      <c r="W1961">
        <v>0.17029269999999999</v>
      </c>
      <c r="X1961">
        <v>0.98363610000000001</v>
      </c>
      <c r="Y1961">
        <v>-0.23239989999999999</v>
      </c>
      <c r="Z1961">
        <v>-9.3074609999999995E-3</v>
      </c>
      <c r="AA1961">
        <v>0.97257579999999999</v>
      </c>
      <c r="AB1961">
        <v>38</v>
      </c>
      <c r="AC1961">
        <v>-11.864000000000001</v>
      </c>
      <c r="AD1961">
        <v>-1.1126349921700001</v>
      </c>
      <c r="AE1961">
        <v>-3.0864999999999401</v>
      </c>
      <c r="AF1961">
        <v>-2.9202215641833398</v>
      </c>
      <c r="AG1961">
        <v>-1.1126349921700001</v>
      </c>
      <c r="AH1961">
        <v>11.8028654081588</v>
      </c>
      <c r="AI1961">
        <v>95.228515105985196</v>
      </c>
      <c r="AJ1961">
        <v>103.896833092542</v>
      </c>
      <c r="AK1961">
        <v>12.2095570129646</v>
      </c>
      <c r="AL1961">
        <v>80.195162283392406</v>
      </c>
      <c r="AM1961">
        <v>93.422434544481405</v>
      </c>
      <c r="AN1961">
        <v>0.999999996643536</v>
      </c>
    </row>
    <row r="1962" spans="1:40" x14ac:dyDescent="0.25">
      <c r="A1962" t="str">
        <f>"20190312164301448"</f>
        <v>20190312164301448</v>
      </c>
      <c r="B1962" t="str">
        <f>"1552380181436185"</f>
        <v>1552380181436185</v>
      </c>
      <c r="C1962" t="s">
        <v>40</v>
      </c>
      <c r="D1962">
        <v>4.3189440000000001</v>
      </c>
      <c r="E1962">
        <v>0.43385030000000002</v>
      </c>
      <c r="F1962" t="s">
        <v>46</v>
      </c>
      <c r="G1962">
        <v>-466.54820000000001</v>
      </c>
      <c r="H1962" s="1">
        <v>2.0477579999999998E-6</v>
      </c>
      <c r="I1962">
        <v>282.32990000000001</v>
      </c>
      <c r="J1962">
        <v>-454.98309999999998</v>
      </c>
      <c r="K1962">
        <v>1.1126860000000001</v>
      </c>
      <c r="L1962">
        <v>285.40170000000001</v>
      </c>
      <c r="M1962">
        <v>-0.99978529999999999</v>
      </c>
      <c r="N1962">
        <v>0</v>
      </c>
      <c r="O1962">
        <v>-1.4316819999999999E-2</v>
      </c>
      <c r="P1962">
        <v>-0.98461719999999997</v>
      </c>
      <c r="Q1962">
        <v>0.15792149999999999</v>
      </c>
      <c r="R1962">
        <v>-7.4764479999999994E-2</v>
      </c>
      <c r="S1962">
        <v>-3.0340880000000001</v>
      </c>
      <c r="T1962">
        <v>-0.28274009999999999</v>
      </c>
      <c r="U1962">
        <v>-0.78228759999999997</v>
      </c>
      <c r="V1962">
        <v>-6.1629749999999997E-2</v>
      </c>
      <c r="W1962">
        <v>0.17232639999999999</v>
      </c>
      <c r="X1962">
        <v>0.98311009999999999</v>
      </c>
      <c r="Y1962">
        <v>-0.2348817</v>
      </c>
      <c r="Z1962">
        <v>-9.4362950000000008E-3</v>
      </c>
      <c r="AA1962">
        <v>0.97197809999999996</v>
      </c>
      <c r="AB1962">
        <v>38</v>
      </c>
      <c r="AC1962">
        <v>-11.565099999999999</v>
      </c>
      <c r="AD1962">
        <v>-1.112683952242</v>
      </c>
      <c r="AE1962">
        <v>-3.0717999999999899</v>
      </c>
      <c r="AF1962">
        <v>-2.8809807655773998</v>
      </c>
      <c r="AG1962">
        <v>-1.112683952242</v>
      </c>
      <c r="AH1962">
        <v>11.508390865628</v>
      </c>
      <c r="AI1962">
        <v>95.358117947685599</v>
      </c>
      <c r="AJ1962">
        <v>104.05443701956899</v>
      </c>
      <c r="AK1962">
        <v>11.91558542688</v>
      </c>
      <c r="AL1962">
        <v>80.076891915549595</v>
      </c>
      <c r="AM1962">
        <v>93.587095526227998</v>
      </c>
      <c r="AN1962">
        <v>1.00000004147201</v>
      </c>
    </row>
    <row r="1963" spans="1:40" x14ac:dyDescent="0.25">
      <c r="A1963" t="str">
        <f>"20190312164301471"</f>
        <v>20190312164301471</v>
      </c>
      <c r="B1963" t="str">
        <f>"1552380181466441"</f>
        <v>1552380181466441</v>
      </c>
      <c r="C1963" t="s">
        <v>40</v>
      </c>
      <c r="D1963">
        <v>4.2712059999999896</v>
      </c>
      <c r="E1963">
        <v>0.43368010000000001</v>
      </c>
      <c r="F1963" t="s">
        <v>46</v>
      </c>
      <c r="G1963">
        <v>-467.09879999999998</v>
      </c>
      <c r="H1963" s="1">
        <v>2.346168E-6</v>
      </c>
      <c r="I1963">
        <v>282.2063</v>
      </c>
      <c r="J1963">
        <v>-455.36700000000002</v>
      </c>
      <c r="K1963">
        <v>1.1127400000000001</v>
      </c>
      <c r="L1963">
        <v>285.39389999999997</v>
      </c>
      <c r="M1963">
        <v>-0.99974759999999996</v>
      </c>
      <c r="N1963">
        <v>0</v>
      </c>
      <c r="O1963">
        <v>-1.6754910000000001E-2</v>
      </c>
      <c r="P1963">
        <v>-0.98355250000000005</v>
      </c>
      <c r="Q1963">
        <v>0.16179379999999999</v>
      </c>
      <c r="R1963">
        <v>-8.0298110000000006E-2</v>
      </c>
      <c r="S1963">
        <v>-3.0308229999999998</v>
      </c>
      <c r="T1963">
        <v>-0.27834510000000001</v>
      </c>
      <c r="U1963">
        <v>-0.79934689999999997</v>
      </c>
      <c r="V1963">
        <v>-6.4815629999999999E-2</v>
      </c>
      <c r="W1963">
        <v>0.17615829999999999</v>
      </c>
      <c r="X1963">
        <v>0.98222569999999998</v>
      </c>
      <c r="Y1963">
        <v>-0.23791119999999999</v>
      </c>
      <c r="Z1963">
        <v>-9.2104219999999994E-3</v>
      </c>
      <c r="AA1963">
        <v>0.97124330000000003</v>
      </c>
      <c r="AB1963">
        <v>38</v>
      </c>
      <c r="AC1963">
        <v>-11.7318</v>
      </c>
      <c r="AD1963">
        <v>-1.112737653832</v>
      </c>
      <c r="AE1963">
        <v>-3.18759999999997</v>
      </c>
      <c r="AF1963">
        <v>-2.9657193624756002</v>
      </c>
      <c r="AG1963">
        <v>-1.112737653832</v>
      </c>
      <c r="AH1963">
        <v>11.6856680935645</v>
      </c>
      <c r="AI1963">
        <v>95.273254557846002</v>
      </c>
      <c r="AJ1963">
        <v>104.24050083455499</v>
      </c>
      <c r="AK1963">
        <v>12.107374414635499</v>
      </c>
      <c r="AL1963">
        <v>79.853929656933104</v>
      </c>
      <c r="AM1963">
        <v>93.775390647945898</v>
      </c>
      <c r="AN1963">
        <v>1.00000006914583</v>
      </c>
    </row>
    <row r="1964" spans="1:40" x14ac:dyDescent="0.25">
      <c r="A1964" t="str">
        <f>"20190312164301492"</f>
        <v>20190312164301492</v>
      </c>
      <c r="B1964" t="str">
        <f>"1552380181485961"</f>
        <v>1552380181485961</v>
      </c>
      <c r="C1964" t="s">
        <v>40</v>
      </c>
      <c r="D1964">
        <v>4.2748530000000002</v>
      </c>
      <c r="E1964">
        <v>0.43339529999999898</v>
      </c>
      <c r="F1964" t="s">
        <v>46</v>
      </c>
      <c r="G1964">
        <v>-468.00319999999999</v>
      </c>
      <c r="H1964" s="1">
        <v>2.8370250000000002E-6</v>
      </c>
      <c r="I1964">
        <v>281.98790000000002</v>
      </c>
      <c r="J1964">
        <v>-455.7398</v>
      </c>
      <c r="K1964">
        <v>1.1128</v>
      </c>
      <c r="L1964">
        <v>285.3854</v>
      </c>
      <c r="M1964">
        <v>-0.99970389999999998</v>
      </c>
      <c r="N1964">
        <v>0</v>
      </c>
      <c r="O1964">
        <v>-1.918218E-2</v>
      </c>
      <c r="P1964">
        <v>-0.98291099999999998</v>
      </c>
      <c r="Q1964">
        <v>0.1627226</v>
      </c>
      <c r="R1964">
        <v>-8.6068519999999996E-2</v>
      </c>
      <c r="S1964">
        <v>-3.0274049999999999</v>
      </c>
      <c r="T1964">
        <v>-0.26659110000000003</v>
      </c>
      <c r="U1964">
        <v>-0.81600950000000005</v>
      </c>
      <c r="V1964">
        <v>-6.8234409999999995E-2</v>
      </c>
      <c r="W1964">
        <v>0.1770506</v>
      </c>
      <c r="X1964">
        <v>0.98183359999999997</v>
      </c>
      <c r="Y1964">
        <v>-0.24088270000000001</v>
      </c>
      <c r="Z1964">
        <v>-8.7453679999999999E-3</v>
      </c>
      <c r="AA1964">
        <v>0.97051480000000001</v>
      </c>
      <c r="AB1964">
        <v>38</v>
      </c>
      <c r="AC1964">
        <v>-12.263399999999899</v>
      </c>
      <c r="AD1964">
        <v>-1.112797162975</v>
      </c>
      <c r="AE1964">
        <v>-3.3974999999999702</v>
      </c>
      <c r="AF1964">
        <v>-3.1376161093333499</v>
      </c>
      <c r="AG1964">
        <v>-1.112797162975</v>
      </c>
      <c r="AH1964">
        <v>12.2327771757455</v>
      </c>
      <c r="AI1964">
        <v>95.035676493482001</v>
      </c>
      <c r="AJ1964">
        <v>104.385818255877</v>
      </c>
      <c r="AK1964">
        <v>12.6776886618545</v>
      </c>
      <c r="AL1964">
        <v>79.801987850560593</v>
      </c>
      <c r="AM1964">
        <v>93.975488060857899</v>
      </c>
      <c r="AN1964">
        <v>1.0000000338786801</v>
      </c>
    </row>
    <row r="1965" spans="1:40" x14ac:dyDescent="0.25">
      <c r="A1965" t="str">
        <f>"20190312164301515"</f>
        <v>20190312164301515</v>
      </c>
      <c r="B1965" t="str">
        <f>"1552380181506458"</f>
        <v>1552380181506458</v>
      </c>
      <c r="C1965" t="s">
        <v>40</v>
      </c>
      <c r="D1965">
        <v>4.2639849999999999</v>
      </c>
      <c r="E1965">
        <v>0.43318069999999997</v>
      </c>
      <c r="F1965" t="s">
        <v>46</v>
      </c>
      <c r="G1965">
        <v>-468.27519999999998</v>
      </c>
      <c r="H1965" s="1">
        <v>2.984571E-6</v>
      </c>
      <c r="I1965">
        <v>281.92340000000002</v>
      </c>
      <c r="J1965">
        <v>-456.11239999999998</v>
      </c>
      <c r="K1965">
        <v>1.112878</v>
      </c>
      <c r="L1965">
        <v>285.37599999999998</v>
      </c>
      <c r="M1965">
        <v>-0.99965210000000004</v>
      </c>
      <c r="N1965">
        <v>0</v>
      </c>
      <c r="O1965">
        <v>-2.171329E-2</v>
      </c>
      <c r="P1965">
        <v>-0.98273270000000001</v>
      </c>
      <c r="Q1965">
        <v>0.16095129999999999</v>
      </c>
      <c r="R1965">
        <v>-9.1275170000000003E-2</v>
      </c>
      <c r="S1965">
        <v>-3.0234380000000001</v>
      </c>
      <c r="T1965">
        <v>-0.26839859999999999</v>
      </c>
      <c r="U1965">
        <v>-0.83502199999999904</v>
      </c>
      <c r="V1965">
        <v>-7.0976559999999994E-2</v>
      </c>
      <c r="W1965">
        <v>0.17524909999999999</v>
      </c>
      <c r="X1965">
        <v>0.98196240000000001</v>
      </c>
      <c r="Y1965">
        <v>-0.24440899999999999</v>
      </c>
      <c r="Z1965">
        <v>-8.7419779999999992E-3</v>
      </c>
      <c r="AA1965">
        <v>0.96963279999999996</v>
      </c>
      <c r="AB1965">
        <v>38</v>
      </c>
      <c r="AC1965">
        <v>-12.162800000000001</v>
      </c>
      <c r="AD1965">
        <v>-1.1128750154289999</v>
      </c>
      <c r="AE1965">
        <v>-3.4525999999999599</v>
      </c>
      <c r="AF1965">
        <v>-3.16315485966979</v>
      </c>
      <c r="AG1965">
        <v>-1.1128750154289999</v>
      </c>
      <c r="AH1965">
        <v>12.140844778136501</v>
      </c>
      <c r="AI1965">
        <v>95.069016276278703</v>
      </c>
      <c r="AJ1965">
        <v>104.603100922656</v>
      </c>
      <c r="AK1965">
        <v>12.595401994101801</v>
      </c>
      <c r="AL1965">
        <v>79.906845868305695</v>
      </c>
      <c r="AM1965">
        <v>94.134167907207896</v>
      </c>
      <c r="AN1965">
        <v>1.0000000370669999</v>
      </c>
    </row>
    <row r="1966" spans="1:40" x14ac:dyDescent="0.25">
      <c r="A1966" t="str">
        <f>"20190312164301537"</f>
        <v>20190312164301537</v>
      </c>
      <c r="B1966" t="str">
        <f>"1552380181525977"</f>
        <v>1552380181525977</v>
      </c>
      <c r="C1966" t="s">
        <v>40</v>
      </c>
      <c r="D1966">
        <v>4.2472830000000004</v>
      </c>
      <c r="E1966">
        <v>0.43300830000000001</v>
      </c>
      <c r="F1966" t="s">
        <v>46</v>
      </c>
      <c r="G1966">
        <v>-468.29919999999998</v>
      </c>
      <c r="H1966" s="1">
        <v>2.9970420000000002E-6</v>
      </c>
      <c r="I1966">
        <v>281.9298</v>
      </c>
      <c r="J1966">
        <v>-456.48939999999999</v>
      </c>
      <c r="K1966">
        <v>1.1129800000000001</v>
      </c>
      <c r="L1966">
        <v>285.36529999999999</v>
      </c>
      <c r="M1966">
        <v>-0.99958939999999996</v>
      </c>
      <c r="N1966">
        <v>0</v>
      </c>
      <c r="O1966">
        <v>-2.4436340000000001E-2</v>
      </c>
      <c r="P1966">
        <v>-0.98261520000000002</v>
      </c>
      <c r="Q1966">
        <v>0.15903329999999999</v>
      </c>
      <c r="R1966">
        <v>-9.5792639999999998E-2</v>
      </c>
      <c r="S1966">
        <v>-3.0186160000000002</v>
      </c>
      <c r="T1966">
        <v>-0.27565499999999998</v>
      </c>
      <c r="U1966">
        <v>-0.85360720000000001</v>
      </c>
      <c r="V1966">
        <v>-7.2852860000000005E-2</v>
      </c>
      <c r="W1966">
        <v>0.17330090000000001</v>
      </c>
      <c r="X1966">
        <v>0.98217069999999995</v>
      </c>
      <c r="Y1966">
        <v>-0.2476537</v>
      </c>
      <c r="Z1966">
        <v>-8.8859619999999903E-3</v>
      </c>
      <c r="AA1966">
        <v>0.96880790000000006</v>
      </c>
      <c r="AB1966">
        <v>38</v>
      </c>
      <c r="AC1966">
        <v>-11.8097999999999</v>
      </c>
      <c r="AD1966">
        <v>-1.112977002958</v>
      </c>
      <c r="AE1966">
        <v>-3.43549999999999</v>
      </c>
      <c r="AF1966">
        <v>-3.12030247776601</v>
      </c>
      <c r="AG1966">
        <v>-1.112977002958</v>
      </c>
      <c r="AH1966">
        <v>11.7936599165081</v>
      </c>
      <c r="AI1966">
        <v>95.212760939462598</v>
      </c>
      <c r="AJ1966">
        <v>104.81944864799</v>
      </c>
      <c r="AK1966">
        <v>12.2501191662822</v>
      </c>
      <c r="AL1966">
        <v>80.020203995117797</v>
      </c>
      <c r="AM1966">
        <v>94.242166038717698</v>
      </c>
      <c r="AN1966">
        <v>1.0000000125447299</v>
      </c>
    </row>
    <row r="1967" spans="1:40" x14ac:dyDescent="0.25">
      <c r="A1967" t="str">
        <f>"20190312164301560"</f>
        <v>20190312164301560</v>
      </c>
      <c r="B1967" t="str">
        <f>"1552380181556233"</f>
        <v>1552380181556233</v>
      </c>
      <c r="C1967" t="s">
        <v>40</v>
      </c>
      <c r="D1967">
        <v>4.2778299999999998</v>
      </c>
      <c r="E1967">
        <v>0.43346240000000003</v>
      </c>
      <c r="F1967" t="s">
        <v>46</v>
      </c>
      <c r="G1967">
        <v>-468.46190000000001</v>
      </c>
      <c r="H1967" s="1">
        <v>3.084674E-6</v>
      </c>
      <c r="I1967">
        <v>281.90620000000001</v>
      </c>
      <c r="J1967">
        <v>-456.86540000000002</v>
      </c>
      <c r="K1967">
        <v>1.1131409999999999</v>
      </c>
      <c r="L1967">
        <v>285.3535</v>
      </c>
      <c r="M1967">
        <v>-0.9995134</v>
      </c>
      <c r="N1967">
        <v>0</v>
      </c>
      <c r="O1967">
        <v>-2.736717E-2</v>
      </c>
      <c r="P1967">
        <v>-0.98245510000000003</v>
      </c>
      <c r="Q1967">
        <v>0.15732969999999999</v>
      </c>
      <c r="R1967">
        <v>-0.1001484</v>
      </c>
      <c r="S1967">
        <v>-3.0135190000000001</v>
      </c>
      <c r="T1967">
        <v>-0.28014040000000001</v>
      </c>
      <c r="U1967">
        <v>-0.87066650000000001</v>
      </c>
      <c r="V1967">
        <v>-7.4382390000000007E-2</v>
      </c>
      <c r="W1967">
        <v>0.17156260000000001</v>
      </c>
      <c r="X1967">
        <v>0.98236120000000005</v>
      </c>
      <c r="Y1967">
        <v>-0.25028319999999998</v>
      </c>
      <c r="Z1967">
        <v>-8.8913869999999902E-3</v>
      </c>
      <c r="AA1967">
        <v>0.96813179999999999</v>
      </c>
      <c r="AB1967">
        <v>38</v>
      </c>
      <c r="AC1967">
        <v>-11.596499999999899</v>
      </c>
      <c r="AD1967">
        <v>-1.1131379153259999</v>
      </c>
      <c r="AE1967">
        <v>-3.4472999999999798</v>
      </c>
      <c r="AF1967">
        <v>-3.1023457701641801</v>
      </c>
      <c r="AG1967">
        <v>-1.1131379153259999</v>
      </c>
      <c r="AH1967">
        <v>11.588403945660399</v>
      </c>
      <c r="AI1967">
        <v>95.301219990992607</v>
      </c>
      <c r="AJ1967">
        <v>104.98727784230999</v>
      </c>
      <c r="AK1967">
        <v>12.048017733386301</v>
      </c>
      <c r="AL1967">
        <v>80.121315606971393</v>
      </c>
      <c r="AM1967">
        <v>94.330057342589498</v>
      </c>
      <c r="AN1967">
        <v>0.99999999646315596</v>
      </c>
    </row>
    <row r="1968" spans="1:40" x14ac:dyDescent="0.25">
      <c r="A1968" t="str">
        <f>"20190312164301582"</f>
        <v>20190312164301582</v>
      </c>
      <c r="B1968" t="str">
        <f>"1552380181575754"</f>
        <v>1552380181575754</v>
      </c>
      <c r="C1968" t="s">
        <v>40</v>
      </c>
      <c r="D1968">
        <v>4.2410809999999897</v>
      </c>
      <c r="E1968">
        <v>0.43387979999999998</v>
      </c>
      <c r="F1968" t="s">
        <v>46</v>
      </c>
      <c r="G1968">
        <v>-468.58629999999999</v>
      </c>
      <c r="H1968" s="1">
        <v>3.150225E-6</v>
      </c>
      <c r="I1968">
        <v>281.92079999999999</v>
      </c>
      <c r="J1968">
        <v>-457.24919999999997</v>
      </c>
      <c r="K1968">
        <v>1.1133409999999999</v>
      </c>
      <c r="L1968">
        <v>285.3399</v>
      </c>
      <c r="M1968">
        <v>-0.99941829999999998</v>
      </c>
      <c r="N1968">
        <v>0</v>
      </c>
      <c r="O1968">
        <v>-3.063801E-2</v>
      </c>
      <c r="P1968">
        <v>-0.98231489999999999</v>
      </c>
      <c r="Q1968">
        <v>0.15504039999999999</v>
      </c>
      <c r="R1968">
        <v>-0.1049756</v>
      </c>
      <c r="S1968">
        <v>-3.0094599999999998</v>
      </c>
      <c r="T1968">
        <v>-0.28581119999999999</v>
      </c>
      <c r="U1968">
        <v>-0.881378199999999</v>
      </c>
      <c r="V1968">
        <v>-7.6059420000000003E-2</v>
      </c>
      <c r="W1968">
        <v>0.16923250000000001</v>
      </c>
      <c r="X1968">
        <v>0.98263690000000004</v>
      </c>
      <c r="Y1968">
        <v>-0.25061539999999999</v>
      </c>
      <c r="Z1968">
        <v>-8.7904690000000004E-3</v>
      </c>
      <c r="AA1968">
        <v>0.96804679999999999</v>
      </c>
      <c r="AB1968">
        <v>38</v>
      </c>
      <c r="AC1968">
        <v>-11.3371</v>
      </c>
      <c r="AD1968">
        <v>-1.1133378497749999</v>
      </c>
      <c r="AE1968">
        <v>-3.41910000000001</v>
      </c>
      <c r="AF1968">
        <v>-3.0432079422585501</v>
      </c>
      <c r="AG1968">
        <v>-1.1133378497749999</v>
      </c>
      <c r="AH1968">
        <v>11.3363315300486</v>
      </c>
      <c r="AI1968">
        <v>95.418378597333898</v>
      </c>
      <c r="AJ1968">
        <v>105.026626017957</v>
      </c>
      <c r="AK1968">
        <v>11.790379481032</v>
      </c>
      <c r="AL1968">
        <v>80.256801768403093</v>
      </c>
      <c r="AM1968">
        <v>94.426061961148307</v>
      </c>
      <c r="AN1968">
        <v>0.99999997583429701</v>
      </c>
    </row>
    <row r="1969" spans="1:40" x14ac:dyDescent="0.25">
      <c r="A1969" t="str">
        <f>"20190312164301605"</f>
        <v>20190312164301605</v>
      </c>
      <c r="B1969" t="str">
        <f>"1552380181596249"</f>
        <v>1552380181596249</v>
      </c>
      <c r="C1969" t="s">
        <v>40</v>
      </c>
      <c r="D1969">
        <v>4.2452649999999998</v>
      </c>
      <c r="E1969">
        <v>0.43431219999999998</v>
      </c>
      <c r="F1969" t="s">
        <v>46</v>
      </c>
      <c r="G1969">
        <v>-468.69729999999998</v>
      </c>
      <c r="H1969" s="1">
        <v>3.2085829999999998E-6</v>
      </c>
      <c r="I1969">
        <v>281.93770000000001</v>
      </c>
      <c r="J1969">
        <v>-457.62360000000001</v>
      </c>
      <c r="K1969">
        <v>1.1135660000000001</v>
      </c>
      <c r="L1969">
        <v>285.32510000000002</v>
      </c>
      <c r="M1969">
        <v>-0.999305</v>
      </c>
      <c r="N1969">
        <v>0</v>
      </c>
      <c r="O1969">
        <v>-3.412929E-2</v>
      </c>
      <c r="P1969">
        <v>-0.98232260000000005</v>
      </c>
      <c r="Q1969">
        <v>0.15200329999999901</v>
      </c>
      <c r="R1969">
        <v>-0.1092577</v>
      </c>
      <c r="S1969">
        <v>-3.0047299999999999</v>
      </c>
      <c r="T1969">
        <v>-0.2922112</v>
      </c>
      <c r="U1969">
        <v>-0.89294430000000002</v>
      </c>
      <c r="V1969">
        <v>-7.6968430000000004E-2</v>
      </c>
      <c r="W1969">
        <v>0.16615959999999999</v>
      </c>
      <c r="X1969">
        <v>0.98309049999999998</v>
      </c>
      <c r="Y1969">
        <v>-0.25104349999999998</v>
      </c>
      <c r="Z1969">
        <v>-8.6848289999999998E-3</v>
      </c>
      <c r="AA1969">
        <v>0.96793680000000004</v>
      </c>
      <c r="AB1969">
        <v>38</v>
      </c>
      <c r="AC1969">
        <v>-11.073699999999899</v>
      </c>
      <c r="AD1969">
        <v>-1.1135627914170001</v>
      </c>
      <c r="AE1969">
        <v>-3.3874000000000102</v>
      </c>
      <c r="AF1969">
        <v>-2.9798913839163101</v>
      </c>
      <c r="AG1969">
        <v>-1.1135627914170001</v>
      </c>
      <c r="AH1969">
        <v>11.0804103463587</v>
      </c>
      <c r="AI1969">
        <v>95.543196760446193</v>
      </c>
      <c r="AJ1969">
        <v>105.052595471968</v>
      </c>
      <c r="AK1969">
        <v>11.5280210007642</v>
      </c>
      <c r="AL1969">
        <v>80.435395791647295</v>
      </c>
      <c r="AM1969">
        <v>94.476687161118207</v>
      </c>
      <c r="AN1969">
        <v>1.00000004153953</v>
      </c>
    </row>
    <row r="1970" spans="1:40" x14ac:dyDescent="0.25">
      <c r="A1970" t="str">
        <f>"20190312164301627"</f>
        <v>20190312164301627</v>
      </c>
      <c r="B1970" t="str">
        <f>"1552380181616747"</f>
        <v>1552380181616747</v>
      </c>
      <c r="C1970" t="s">
        <v>40</v>
      </c>
      <c r="D1970">
        <v>4.2903310000000001</v>
      </c>
      <c r="E1970">
        <v>0.43474740000000001</v>
      </c>
      <c r="F1970" t="s">
        <v>46</v>
      </c>
      <c r="G1970">
        <v>-468.66919999999999</v>
      </c>
      <c r="H1970" s="1">
        <v>3.19063E-6</v>
      </c>
      <c r="I1970">
        <v>282.00540000000001</v>
      </c>
      <c r="J1970">
        <v>-457.9973</v>
      </c>
      <c r="K1970">
        <v>1.1137809999999999</v>
      </c>
      <c r="L1970">
        <v>285.30889999999999</v>
      </c>
      <c r="M1970">
        <v>-0.99917020000000001</v>
      </c>
      <c r="N1970">
        <v>0</v>
      </c>
      <c r="O1970">
        <v>-3.7867209999999998E-2</v>
      </c>
      <c r="P1970">
        <v>-0.98213689999999998</v>
      </c>
      <c r="Q1970">
        <v>0.14945420000000001</v>
      </c>
      <c r="R1970">
        <v>-0.1143267</v>
      </c>
      <c r="S1970">
        <v>-3.0005190000000002</v>
      </c>
      <c r="T1970">
        <v>-0.30249860000000001</v>
      </c>
      <c r="U1970">
        <v>-0.9017944</v>
      </c>
      <c r="V1970">
        <v>-7.8422679999999995E-2</v>
      </c>
      <c r="W1970">
        <v>0.16356960000000001</v>
      </c>
      <c r="X1970">
        <v>0.9834098</v>
      </c>
      <c r="Y1970">
        <v>-0.25036710000000001</v>
      </c>
      <c r="Z1970">
        <v>-8.5975519999999996E-3</v>
      </c>
      <c r="AA1970">
        <v>0.9681128</v>
      </c>
      <c r="AB1970">
        <v>38</v>
      </c>
      <c r="AC1970">
        <v>-10.6718999999999</v>
      </c>
      <c r="AD1970">
        <v>-1.1137778093699999</v>
      </c>
      <c r="AE1970">
        <v>-3.3034999999999801</v>
      </c>
      <c r="AF1970">
        <v>-2.86845795008428</v>
      </c>
      <c r="AG1970">
        <v>-1.1137778093699999</v>
      </c>
      <c r="AH1970">
        <v>10.683165039838</v>
      </c>
      <c r="AI1970">
        <v>95.749679432849106</v>
      </c>
      <c r="AJ1970">
        <v>105.029581599446</v>
      </c>
      <c r="AK1970">
        <v>11.117489252905299</v>
      </c>
      <c r="AL1970">
        <v>80.585850135533093</v>
      </c>
      <c r="AM1970">
        <v>94.559441982760305</v>
      </c>
      <c r="AN1970">
        <v>0.99999998275929103</v>
      </c>
    </row>
    <row r="1971" spans="1:40" x14ac:dyDescent="0.25">
      <c r="A1971" t="str">
        <f>"20190312164301650"</f>
        <v>20190312164301650</v>
      </c>
      <c r="B1971" t="str">
        <f>"1552380181646026"</f>
        <v>1552380181646026</v>
      </c>
      <c r="C1971" t="s">
        <v>40</v>
      </c>
      <c r="D1971">
        <v>4.316897</v>
      </c>
      <c r="E1971">
        <v>0.43536039999999998</v>
      </c>
      <c r="F1971" t="s">
        <v>46</v>
      </c>
      <c r="G1971">
        <v>-468.67410000000001</v>
      </c>
      <c r="H1971" s="1">
        <v>3.1908520000000002E-6</v>
      </c>
      <c r="I1971">
        <v>282.06049999999999</v>
      </c>
      <c r="J1971">
        <v>-458.3809</v>
      </c>
      <c r="K1971">
        <v>1.1140000000000001</v>
      </c>
      <c r="L1971">
        <v>285.29050000000001</v>
      </c>
      <c r="M1971">
        <v>-0.99900639999999996</v>
      </c>
      <c r="N1971">
        <v>0</v>
      </c>
      <c r="O1971">
        <v>-4.1965009999999997E-2</v>
      </c>
      <c r="P1971">
        <v>-0.98167159999999998</v>
      </c>
      <c r="Q1971">
        <v>0.1483247</v>
      </c>
      <c r="R1971">
        <v>-0.1196705</v>
      </c>
      <c r="S1971">
        <v>-2.9960019999999998</v>
      </c>
      <c r="T1971">
        <v>-0.31253540000000002</v>
      </c>
      <c r="U1971">
        <v>-0.91152949999999999</v>
      </c>
      <c r="V1971">
        <v>-7.9814579999999996E-2</v>
      </c>
      <c r="W1971">
        <v>0.16239579999999901</v>
      </c>
      <c r="X1971">
        <v>0.98349240000000004</v>
      </c>
      <c r="Y1971">
        <v>-0.24963740000000001</v>
      </c>
      <c r="Z1971">
        <v>-8.4375119999999994E-3</v>
      </c>
      <c r="AA1971">
        <v>0.96830260000000001</v>
      </c>
      <c r="AB1971">
        <v>38</v>
      </c>
      <c r="AC1971">
        <v>-10.293200000000001</v>
      </c>
      <c r="AD1971">
        <v>-1.1139968091479999</v>
      </c>
      <c r="AE1971">
        <v>-3.2300000000000102</v>
      </c>
      <c r="AF1971">
        <v>-2.76566090991192</v>
      </c>
      <c r="AG1971">
        <v>-1.1139968091479999</v>
      </c>
      <c r="AH1971">
        <v>10.3097598983371</v>
      </c>
      <c r="AI1971">
        <v>95.957980641763399</v>
      </c>
      <c r="AJ1971">
        <v>105.016430857199</v>
      </c>
      <c r="AK1971">
        <v>10.7322419987981</v>
      </c>
      <c r="AL1971">
        <v>80.654015833166</v>
      </c>
      <c r="AM1971">
        <v>94.639627823064501</v>
      </c>
      <c r="AN1971">
        <v>1.00000003194798</v>
      </c>
    </row>
    <row r="1972" spans="1:40" x14ac:dyDescent="0.25">
      <c r="A1972" t="str">
        <f>"20190312164301672"</f>
        <v>20190312164301672</v>
      </c>
      <c r="B1972" t="str">
        <f>"1552380181666524"</f>
        <v>1552380181666524</v>
      </c>
      <c r="C1972" t="s">
        <v>40</v>
      </c>
      <c r="D1972">
        <v>4.2914110000000001</v>
      </c>
      <c r="E1972">
        <v>0.43576559999999998</v>
      </c>
      <c r="F1972" t="s">
        <v>46</v>
      </c>
      <c r="G1972">
        <v>-468.90879999999999</v>
      </c>
      <c r="H1972" s="1">
        <v>3.3160819999999998E-6</v>
      </c>
      <c r="I1972">
        <v>282.05259999999998</v>
      </c>
      <c r="J1972">
        <v>-458.74369999999999</v>
      </c>
      <c r="K1972">
        <v>1.114201</v>
      </c>
      <c r="L1972">
        <v>285.2715</v>
      </c>
      <c r="M1972">
        <v>-0.99882530000000003</v>
      </c>
      <c r="N1972">
        <v>0</v>
      </c>
      <c r="O1972">
        <v>-4.6072979999999999E-2</v>
      </c>
      <c r="P1972">
        <v>-0.98096930000000004</v>
      </c>
      <c r="Q1972">
        <v>0.14910199999999901</v>
      </c>
      <c r="R1972">
        <v>-0.1243715</v>
      </c>
      <c r="S1972">
        <v>-2.99173</v>
      </c>
      <c r="T1972">
        <v>-0.3165675</v>
      </c>
      <c r="U1972">
        <v>-0.92010499999999995</v>
      </c>
      <c r="V1972">
        <v>-8.0572329999999998E-2</v>
      </c>
      <c r="W1972">
        <v>0.163133</v>
      </c>
      <c r="X1972">
        <v>0.98330859999999998</v>
      </c>
      <c r="Y1972">
        <v>-0.2485771</v>
      </c>
      <c r="Z1972">
        <v>-8.0772199999999995E-3</v>
      </c>
      <c r="AA1972">
        <v>0.96857850000000001</v>
      </c>
      <c r="AB1972">
        <v>38</v>
      </c>
      <c r="AC1972">
        <v>-10.165099999999899</v>
      </c>
      <c r="AD1972">
        <v>-1.1141976839179999</v>
      </c>
      <c r="AE1972">
        <v>-3.2189000000000099</v>
      </c>
      <c r="AF1972">
        <v>-2.71741911470022</v>
      </c>
      <c r="AG1972">
        <v>-1.1141976839179999</v>
      </c>
      <c r="AH1972">
        <v>10.1913403854169</v>
      </c>
      <c r="AI1972">
        <v>96.030196930845193</v>
      </c>
      <c r="AJ1972">
        <v>104.929991317838</v>
      </c>
      <c r="AK1972">
        <v>10.606093624667601</v>
      </c>
      <c r="AL1972">
        <v>80.611206592090198</v>
      </c>
      <c r="AM1972">
        <v>94.684352394716299</v>
      </c>
      <c r="AN1972">
        <v>1.0000000394422901</v>
      </c>
    </row>
    <row r="1973" spans="1:40" x14ac:dyDescent="0.25">
      <c r="A1973" t="str">
        <f>"20190312164301693"</f>
        <v>20190312164301693</v>
      </c>
      <c r="B1973" t="str">
        <f>"1552380181686041"</f>
        <v>1552380181686041</v>
      </c>
      <c r="C1973" t="s">
        <v>40</v>
      </c>
      <c r="D1973">
        <v>4.3173599999999999</v>
      </c>
      <c r="E1973">
        <v>0.43612279999999998</v>
      </c>
      <c r="F1973" t="s">
        <v>46</v>
      </c>
      <c r="G1973">
        <v>-469.31560000000002</v>
      </c>
      <c r="H1973" s="1">
        <v>3.535522E-6</v>
      </c>
      <c r="I1973">
        <v>281.98469999999998</v>
      </c>
      <c r="J1973">
        <v>-459.10489999999999</v>
      </c>
      <c r="K1973">
        <v>1.1143879999999999</v>
      </c>
      <c r="L1973">
        <v>285.2509</v>
      </c>
      <c r="M1973">
        <v>-0.99861840000000002</v>
      </c>
      <c r="N1973">
        <v>0</v>
      </c>
      <c r="O1973">
        <v>-5.0358859999999998E-2</v>
      </c>
      <c r="P1973">
        <v>-0.98004210000000003</v>
      </c>
      <c r="Q1973">
        <v>0.150452</v>
      </c>
      <c r="R1973">
        <v>-0.129930399999999</v>
      </c>
      <c r="S1973">
        <v>-2.9883120000000001</v>
      </c>
      <c r="T1973">
        <v>-0.31494680000000003</v>
      </c>
      <c r="U1973">
        <v>-0.92904659999999994</v>
      </c>
      <c r="V1973">
        <v>-8.2025609999999999E-2</v>
      </c>
      <c r="W1973">
        <v>0.1644351</v>
      </c>
      <c r="X1973">
        <v>0.9829715</v>
      </c>
      <c r="Y1973">
        <v>-0.24741469999999999</v>
      </c>
      <c r="Z1973">
        <v>-7.543559E-3</v>
      </c>
      <c r="AA1973">
        <v>0.96888030000000003</v>
      </c>
      <c r="AB1973">
        <v>38</v>
      </c>
      <c r="AC1973">
        <v>-10.210699999999999</v>
      </c>
      <c r="AD1973">
        <v>-1.1143844644780001</v>
      </c>
      <c r="AE1973">
        <v>-3.26620000000002</v>
      </c>
      <c r="AF1973">
        <v>-2.7184234535350802</v>
      </c>
      <c r="AG1973">
        <v>-1.1143844644780001</v>
      </c>
      <c r="AH1973">
        <v>10.251468681171801</v>
      </c>
      <c r="AI1973">
        <v>95.998251285693399</v>
      </c>
      <c r="AJ1973">
        <v>104.851544553013</v>
      </c>
      <c r="AK1973">
        <v>10.664159082105201</v>
      </c>
      <c r="AL1973">
        <v>80.535580486670696</v>
      </c>
      <c r="AM1973">
        <v>94.770085442755502</v>
      </c>
      <c r="AN1973">
        <v>1.0000000363100601</v>
      </c>
    </row>
    <row r="1974" spans="1:40" x14ac:dyDescent="0.25">
      <c r="A1974" t="str">
        <f>"20190312164301716"</f>
        <v>20190312164301716</v>
      </c>
      <c r="B1974" t="str">
        <f>"1552380181706537"</f>
        <v>1552380181706537</v>
      </c>
      <c r="C1974" t="s">
        <v>40</v>
      </c>
      <c r="D1974">
        <v>4.3106839999999904</v>
      </c>
      <c r="E1974">
        <v>0.44624710000000001</v>
      </c>
      <c r="F1974" t="s">
        <v>46</v>
      </c>
      <c r="G1974">
        <v>-469.78359999999998</v>
      </c>
      <c r="H1974" s="1">
        <v>3.789113E-6</v>
      </c>
      <c r="I1974">
        <v>281.88069999999999</v>
      </c>
      <c r="J1974">
        <v>-459.47899999999998</v>
      </c>
      <c r="K1974">
        <v>1.1145579999999999</v>
      </c>
      <c r="L1974">
        <v>285.2278</v>
      </c>
      <c r="M1974">
        <v>-0.99837549999999997</v>
      </c>
      <c r="N1974">
        <v>0</v>
      </c>
      <c r="O1974">
        <v>-5.4960090000000003E-2</v>
      </c>
      <c r="P1974">
        <v>-0.97904500000000005</v>
      </c>
      <c r="Q1974">
        <v>0.1515986</v>
      </c>
      <c r="R1974">
        <v>-0.13597429999999999</v>
      </c>
      <c r="S1974">
        <v>-2.9840089999999999</v>
      </c>
      <c r="T1974">
        <v>-0.31139860000000003</v>
      </c>
      <c r="U1974">
        <v>-0.94174190000000002</v>
      </c>
      <c r="V1974">
        <v>-8.3652279999999996E-2</v>
      </c>
      <c r="W1974">
        <v>0.16553419999999999</v>
      </c>
      <c r="X1974">
        <v>0.98264989999999997</v>
      </c>
      <c r="Y1974">
        <v>-0.24714559999999999</v>
      </c>
      <c r="Z1974">
        <v>-6.9858089999999999E-3</v>
      </c>
      <c r="AA1974">
        <v>0.96895319999999996</v>
      </c>
      <c r="AB1974">
        <v>38</v>
      </c>
      <c r="AC1974">
        <v>-10.304599999999899</v>
      </c>
      <c r="AD1974">
        <v>-1.1145542108869999</v>
      </c>
      <c r="AE1974">
        <v>-3.34710000000001</v>
      </c>
      <c r="AF1974">
        <v>-2.7465692470982299</v>
      </c>
      <c r="AG1974">
        <v>-1.1145542108869999</v>
      </c>
      <c r="AH1974">
        <v>10.363331631096599</v>
      </c>
      <c r="AI1974">
        <v>95.935081111952201</v>
      </c>
      <c r="AJ1974">
        <v>104.84370638732899</v>
      </c>
      <c r="AK1974">
        <v>10.778892160802</v>
      </c>
      <c r="AL1974">
        <v>80.471731857171903</v>
      </c>
      <c r="AM1974">
        <v>94.865816992059393</v>
      </c>
      <c r="AN1974">
        <v>1.00000005064442</v>
      </c>
    </row>
    <row r="1975" spans="1:40" x14ac:dyDescent="0.25">
      <c r="A1975" t="str">
        <f>"20190312164301738"</f>
        <v>20190312164301738</v>
      </c>
      <c r="B1975" t="str">
        <f>"1552380181726058"</f>
        <v>1552380181726058</v>
      </c>
      <c r="C1975" t="s">
        <v>40</v>
      </c>
      <c r="D1975">
        <v>4.3464669999999996</v>
      </c>
      <c r="E1975">
        <v>0.44566230000000001</v>
      </c>
      <c r="F1975" t="s">
        <v>45</v>
      </c>
      <c r="G1975">
        <v>-471.73079999999999</v>
      </c>
      <c r="H1975" s="1">
        <v>5.5851839999999999E-6</v>
      </c>
      <c r="I1975">
        <v>281.62619999999998</v>
      </c>
      <c r="J1975">
        <v>-459.85210000000001</v>
      </c>
      <c r="K1975">
        <v>1.1146990000000001</v>
      </c>
      <c r="L1975">
        <v>285.20310000000001</v>
      </c>
      <c r="M1975">
        <v>-0.99810529999999997</v>
      </c>
      <c r="N1975">
        <v>0</v>
      </c>
      <c r="O1975">
        <v>-5.9666429999999999E-2</v>
      </c>
      <c r="P1975">
        <v>-0.97812350000000003</v>
      </c>
      <c r="Q1975">
        <v>0.15139320000000001</v>
      </c>
      <c r="R1975">
        <v>-0.14266879999999901</v>
      </c>
      <c r="S1975">
        <v>-2.9844059999999999</v>
      </c>
      <c r="T1975">
        <v>-0.27149299999999998</v>
      </c>
      <c r="U1975">
        <v>-0.87731930000000002</v>
      </c>
      <c r="V1975">
        <v>-8.5799E-2</v>
      </c>
      <c r="W1975">
        <v>0.16528029999999999</v>
      </c>
      <c r="X1975">
        <v>0.98250749999999998</v>
      </c>
      <c r="Y1975">
        <v>-0.22365989999999999</v>
      </c>
      <c r="Z1975">
        <v>-4.6511249999999999E-3</v>
      </c>
      <c r="AA1975">
        <v>0.97465619999999997</v>
      </c>
      <c r="AB1975">
        <v>37</v>
      </c>
      <c r="AC1975">
        <v>-11.878699999999901</v>
      </c>
      <c r="AD1975">
        <v>-1.1146934148159999</v>
      </c>
      <c r="AE1975">
        <v>-3.5769000000000202</v>
      </c>
      <c r="AF1975">
        <v>-2.8387665548629899</v>
      </c>
      <c r="AG1975">
        <v>-1.1146934148159999</v>
      </c>
      <c r="AH1975">
        <v>11.974298489652201</v>
      </c>
      <c r="AI1975">
        <v>95.175719669140506</v>
      </c>
      <c r="AJ1975">
        <v>103.33698334304199</v>
      </c>
      <c r="AK1975">
        <v>12.3565756292482</v>
      </c>
      <c r="AL1975">
        <v>80.486482113643106</v>
      </c>
      <c r="AM1975">
        <v>94.990782565473907</v>
      </c>
      <c r="AN1975">
        <v>1.0000000167626699</v>
      </c>
    </row>
    <row r="1976" spans="1:40" x14ac:dyDescent="0.25">
      <c r="A1976" t="str">
        <f>"20190312164301761"</f>
        <v>20190312164301761</v>
      </c>
      <c r="B1976" t="str">
        <f>"1552380181756313"</f>
        <v>1552380181756313</v>
      </c>
      <c r="C1976" t="s">
        <v>40</v>
      </c>
      <c r="D1976">
        <v>4.3715510000000002</v>
      </c>
      <c r="E1976">
        <v>0.44558500000000001</v>
      </c>
      <c r="F1976" t="s">
        <v>45</v>
      </c>
      <c r="G1976">
        <v>-471.54039999999998</v>
      </c>
      <c r="H1976" s="1">
        <v>5.672672E-6</v>
      </c>
      <c r="I1976">
        <v>281.66149999999999</v>
      </c>
      <c r="J1976">
        <v>-460.22609999999997</v>
      </c>
      <c r="K1976">
        <v>1.1148100000000001</v>
      </c>
      <c r="L1976">
        <v>285.1764</v>
      </c>
      <c r="M1976">
        <v>-0.99780650000000004</v>
      </c>
      <c r="N1976">
        <v>0</v>
      </c>
      <c r="O1976">
        <v>-6.4469910000000005E-2</v>
      </c>
      <c r="P1976">
        <v>-0.97717889999999996</v>
      </c>
      <c r="Q1976">
        <v>0.15058779999999999</v>
      </c>
      <c r="R1976">
        <v>-0.14981529999999901</v>
      </c>
      <c r="S1976">
        <v>-2.9793400000000001</v>
      </c>
      <c r="T1976">
        <v>-0.28413240000000001</v>
      </c>
      <c r="U1976">
        <v>-0.90274049999999995</v>
      </c>
      <c r="V1976">
        <v>-8.8287500000000005E-2</v>
      </c>
      <c r="W1976">
        <v>0.16442609999999999</v>
      </c>
      <c r="X1976">
        <v>0.98243029999999998</v>
      </c>
      <c r="Y1976">
        <v>-0.22699829999999999</v>
      </c>
      <c r="Z1976">
        <v>-4.5801369999999998E-3</v>
      </c>
      <c r="AA1976">
        <v>0.97388439999999998</v>
      </c>
      <c r="AB1976">
        <v>37</v>
      </c>
      <c r="AC1976">
        <v>-11.314299999999999</v>
      </c>
      <c r="AD1976">
        <v>-1.1148043273279999</v>
      </c>
      <c r="AE1976">
        <v>-3.5149000000000101</v>
      </c>
      <c r="AF1976">
        <v>-2.7536912348463698</v>
      </c>
      <c r="AG1976">
        <v>-1.1148043273279999</v>
      </c>
      <c r="AH1976">
        <v>11.4163101953368</v>
      </c>
      <c r="AI1976">
        <v>95.422707137383398</v>
      </c>
      <c r="AJ1976">
        <v>103.56109211552</v>
      </c>
      <c r="AK1976">
        <v>11.796514001231399</v>
      </c>
      <c r="AL1976">
        <v>80.536102532561998</v>
      </c>
      <c r="AM1976">
        <v>95.135172742366095</v>
      </c>
      <c r="AN1976">
        <v>0.999999959687774</v>
      </c>
    </row>
    <row r="1977" spans="1:40" x14ac:dyDescent="0.25">
      <c r="A1977" t="str">
        <f>"20190312164301783"</f>
        <v>20190312164301783</v>
      </c>
      <c r="B1977" t="str">
        <f>"1552380181775833"</f>
        <v>1552380181775833</v>
      </c>
      <c r="C1977" t="s">
        <v>40</v>
      </c>
      <c r="D1977">
        <v>4.3593729999999997</v>
      </c>
      <c r="E1977">
        <v>0.44592850000000001</v>
      </c>
      <c r="F1977" t="s">
        <v>45</v>
      </c>
      <c r="G1977">
        <v>-471.70650000000001</v>
      </c>
      <c r="H1977" s="1">
        <v>5.5942870000000002E-6</v>
      </c>
      <c r="I1977">
        <v>281.60719999999998</v>
      </c>
      <c r="J1977">
        <v>-460.59890000000001</v>
      </c>
      <c r="K1977">
        <v>1.1148880000000001</v>
      </c>
      <c r="L1977">
        <v>285.14780000000002</v>
      </c>
      <c r="M1977">
        <v>-0.99748150000000002</v>
      </c>
      <c r="N1977">
        <v>0</v>
      </c>
      <c r="O1977">
        <v>-6.9314580000000001E-2</v>
      </c>
      <c r="P1977">
        <v>-0.9761029</v>
      </c>
      <c r="Q1977">
        <v>0.14989140000000001</v>
      </c>
      <c r="R1977">
        <v>-0.1573396</v>
      </c>
      <c r="S1977">
        <v>-2.972839</v>
      </c>
      <c r="T1977">
        <v>-0.2886784</v>
      </c>
      <c r="U1977">
        <v>-0.92422490000000002</v>
      </c>
      <c r="V1977">
        <v>-9.1110750000000004E-2</v>
      </c>
      <c r="W1977">
        <v>0.1636802</v>
      </c>
      <c r="X1977">
        <v>0.98229710000000003</v>
      </c>
      <c r="Y1977">
        <v>-0.22927939999999999</v>
      </c>
      <c r="Z1977">
        <v>-4.310754E-3</v>
      </c>
      <c r="AA1977">
        <v>0.97335110000000002</v>
      </c>
      <c r="AB1977">
        <v>37</v>
      </c>
      <c r="AC1977">
        <v>-11.1075999999999</v>
      </c>
      <c r="AD1977">
        <v>-1.11488240571299</v>
      </c>
      <c r="AE1977">
        <v>-3.5406000000000399</v>
      </c>
      <c r="AF1977">
        <v>-2.7370459453972402</v>
      </c>
      <c r="AG1977">
        <v>-1.11488240571299</v>
      </c>
      <c r="AH1977">
        <v>11.2236789988788</v>
      </c>
      <c r="AI1977">
        <v>95.512256643285596</v>
      </c>
      <c r="AJ1977">
        <v>103.704856666938</v>
      </c>
      <c r="AK1977">
        <v>11.6062635484318</v>
      </c>
      <c r="AL1977">
        <v>80.579426668496893</v>
      </c>
      <c r="AM1977">
        <v>95.299178986827599</v>
      </c>
      <c r="AN1977">
        <v>0.99999998465300599</v>
      </c>
    </row>
    <row r="1978" spans="1:40" x14ac:dyDescent="0.25">
      <c r="A1978" t="str">
        <f>"20190312164301806"</f>
        <v>20190312164301806</v>
      </c>
      <c r="B1978" t="str">
        <f>"1552380181796329"</f>
        <v>1552380181796329</v>
      </c>
      <c r="C1978" t="s">
        <v>40</v>
      </c>
      <c r="D1978">
        <v>4.7127039999999996</v>
      </c>
      <c r="E1978">
        <v>0.44685059999999899</v>
      </c>
      <c r="F1978" t="s">
        <v>45</v>
      </c>
      <c r="G1978">
        <v>-471.99020000000002</v>
      </c>
      <c r="H1978" s="1">
        <v>5.4609030000000004E-6</v>
      </c>
      <c r="I1978">
        <v>281.52080000000001</v>
      </c>
      <c r="J1978">
        <v>-460.96460000000002</v>
      </c>
      <c r="K1978">
        <v>1.1149439999999999</v>
      </c>
      <c r="L1978">
        <v>285.11799999999999</v>
      </c>
      <c r="M1978">
        <v>-0.99713770000000002</v>
      </c>
      <c r="N1978">
        <v>0</v>
      </c>
      <c r="O1978">
        <v>-7.4097910000000003E-2</v>
      </c>
      <c r="P1978">
        <v>-0.97495589999999999</v>
      </c>
      <c r="Q1978">
        <v>0.149678799999999</v>
      </c>
      <c r="R1978">
        <v>-0.16449159999999999</v>
      </c>
      <c r="S1978">
        <v>-2.9657900000000001</v>
      </c>
      <c r="T1978">
        <v>-0.29026590000000002</v>
      </c>
      <c r="U1978">
        <v>-0.94430539999999996</v>
      </c>
      <c r="V1978">
        <v>-9.3627909999999995E-2</v>
      </c>
      <c r="W1978">
        <v>0.16342279999999901</v>
      </c>
      <c r="X1978">
        <v>0.98210319999999995</v>
      </c>
      <c r="Y1978">
        <v>-0.23126579999999999</v>
      </c>
      <c r="Z1978">
        <v>-3.9824190000000001E-3</v>
      </c>
      <c r="AA1978">
        <v>0.97288240000000004</v>
      </c>
      <c r="AB1978">
        <v>37</v>
      </c>
      <c r="AC1978">
        <v>-11.025599999999899</v>
      </c>
      <c r="AD1978">
        <v>-1.1149385390969999</v>
      </c>
      <c r="AE1978">
        <v>-3.59719999999998</v>
      </c>
      <c r="AF1978">
        <v>-2.7448745175589999</v>
      </c>
      <c r="AG1978">
        <v>-1.1149385390969999</v>
      </c>
      <c r="AH1978">
        <v>11.1587291980952</v>
      </c>
      <c r="AI1978">
        <v>95.541719387506205</v>
      </c>
      <c r="AJ1978">
        <v>103.819502576587</v>
      </c>
      <c r="AK1978">
        <v>11.545330717633499</v>
      </c>
      <c r="AL1978">
        <v>80.594375532517006</v>
      </c>
      <c r="AM1978">
        <v>95.445782356396904</v>
      </c>
      <c r="AN1978">
        <v>0.99999994627052202</v>
      </c>
    </row>
    <row r="1979" spans="1:40" x14ac:dyDescent="0.25">
      <c r="A1979" t="str">
        <f>"20190312164301828"</f>
        <v>20190312164301828</v>
      </c>
      <c r="B1979" t="str">
        <f>"1552380181816826"</f>
        <v>1552380181816826</v>
      </c>
      <c r="C1979" t="s">
        <v>40</v>
      </c>
      <c r="D1979">
        <v>4.3880019999999904</v>
      </c>
      <c r="E1979">
        <v>0.44759009999999999</v>
      </c>
      <c r="F1979" t="s">
        <v>45</v>
      </c>
      <c r="G1979">
        <v>-472.47410000000002</v>
      </c>
      <c r="H1979" s="1">
        <v>5.2350730000000004E-6</v>
      </c>
      <c r="I1979">
        <v>281.39179999999999</v>
      </c>
      <c r="J1979">
        <v>-461.3356</v>
      </c>
      <c r="K1979">
        <v>1.1149910000000001</v>
      </c>
      <c r="L1979">
        <v>285.08589999999998</v>
      </c>
      <c r="M1979">
        <v>-0.99676379999999998</v>
      </c>
      <c r="N1979">
        <v>0</v>
      </c>
      <c r="O1979">
        <v>-7.8969120000000004E-2</v>
      </c>
      <c r="P1979">
        <v>-0.97381510000000004</v>
      </c>
      <c r="Q1979">
        <v>0.1487976</v>
      </c>
      <c r="R1979">
        <v>-0.1718819</v>
      </c>
      <c r="S1979">
        <v>-2.9594420000000001</v>
      </c>
      <c r="T1979">
        <v>-0.28668529999999998</v>
      </c>
      <c r="U1979">
        <v>-0.95809940000000005</v>
      </c>
      <c r="V1979">
        <v>-9.6283240000000006E-2</v>
      </c>
      <c r="W1979">
        <v>0.1624979</v>
      </c>
      <c r="X1979">
        <v>0.98199999999999998</v>
      </c>
      <c r="Y1979">
        <v>-0.231262</v>
      </c>
      <c r="Z1979">
        <v>-3.483505E-3</v>
      </c>
      <c r="AA1979">
        <v>0.97288529999999995</v>
      </c>
      <c r="AB1979">
        <v>37</v>
      </c>
      <c r="AC1979">
        <v>-11.138500000000001</v>
      </c>
      <c r="AD1979">
        <v>-1.1149857649269901</v>
      </c>
      <c r="AE1979">
        <v>-3.6940999999999899</v>
      </c>
      <c r="AF1979">
        <v>-2.7777877382438301</v>
      </c>
      <c r="AG1979">
        <v>-1.1149857649269901</v>
      </c>
      <c r="AH1979">
        <v>11.293508475829</v>
      </c>
      <c r="AI1979">
        <v>95.476245079875596</v>
      </c>
      <c r="AJ1979">
        <v>103.81835255792799</v>
      </c>
      <c r="AK1979">
        <v>11.6834340700133</v>
      </c>
      <c r="AL1979">
        <v>80.648087024976306</v>
      </c>
      <c r="AM1979">
        <v>95.599843858856801</v>
      </c>
      <c r="AN1979">
        <v>1.00000001490465</v>
      </c>
    </row>
    <row r="1980" spans="1:40" x14ac:dyDescent="0.25">
      <c r="A1980" t="str">
        <f>"20190312164301850"</f>
        <v>20190312164301850</v>
      </c>
      <c r="B1980" t="str">
        <f>"1552380181846106"</f>
        <v>1552380181846106</v>
      </c>
      <c r="C1980" t="s">
        <v>40</v>
      </c>
      <c r="D1980">
        <v>4.3940539999999997</v>
      </c>
      <c r="E1980">
        <v>0.44828960000000001</v>
      </c>
      <c r="F1980" t="s">
        <v>45</v>
      </c>
      <c r="G1980">
        <v>-472.8503</v>
      </c>
      <c r="H1980" s="1">
        <v>5.0592050000000001E-6</v>
      </c>
      <c r="I1980">
        <v>281.28859999999997</v>
      </c>
      <c r="J1980">
        <v>-461.69959999999998</v>
      </c>
      <c r="K1980">
        <v>1.115027</v>
      </c>
      <c r="L1980">
        <v>285.05259999999998</v>
      </c>
      <c r="M1980">
        <v>-0.99637310000000001</v>
      </c>
      <c r="N1980">
        <v>0</v>
      </c>
      <c r="O1980">
        <v>-8.3755339999999998E-2</v>
      </c>
      <c r="P1980">
        <v>-0.9726456</v>
      </c>
      <c r="Q1980">
        <v>0.14765039999999999</v>
      </c>
      <c r="R1980">
        <v>-0.179333299999999</v>
      </c>
      <c r="S1980">
        <v>-2.9524840000000001</v>
      </c>
      <c r="T1980">
        <v>-0.2858945</v>
      </c>
      <c r="U1980">
        <v>-0.97366330000000001</v>
      </c>
      <c r="V1980">
        <v>-9.9080150000000006E-2</v>
      </c>
      <c r="W1980">
        <v>0.16130739999999999</v>
      </c>
      <c r="X1980">
        <v>0.98191799999999996</v>
      </c>
      <c r="Y1980">
        <v>-0.23191419999999999</v>
      </c>
      <c r="Z1980">
        <v>-3.0634909999999998E-3</v>
      </c>
      <c r="AA1980">
        <v>0.97273140000000002</v>
      </c>
      <c r="AB1980">
        <v>37</v>
      </c>
      <c r="AC1980">
        <v>-11.150700000000001</v>
      </c>
      <c r="AD1980">
        <v>-1.1150219407949999</v>
      </c>
      <c r="AE1980">
        <v>-3.7639999999999998</v>
      </c>
      <c r="AF1980">
        <v>-2.7916765372571501</v>
      </c>
      <c r="AG1980">
        <v>-1.1150219407949999</v>
      </c>
      <c r="AH1980">
        <v>11.325143910862399</v>
      </c>
      <c r="AI1980">
        <v>95.460536982757404</v>
      </c>
      <c r="AJ1980">
        <v>103.847485782117</v>
      </c>
      <c r="AK1980">
        <v>11.717321213437399</v>
      </c>
      <c r="AL1980">
        <v>80.717209055493299</v>
      </c>
      <c r="AM1980">
        <v>95.761911303538696</v>
      </c>
      <c r="AN1980">
        <v>0.99999995607139003</v>
      </c>
    </row>
    <row r="1981" spans="1:40" x14ac:dyDescent="0.25">
      <c r="A1981" t="str">
        <f>"20190312164301873"</f>
        <v>20190312164301873</v>
      </c>
      <c r="B1981" t="str">
        <f>"1552380181866604"</f>
        <v>1552380181866604</v>
      </c>
      <c r="C1981" t="s">
        <v>40</v>
      </c>
      <c r="D1981">
        <v>4.6500959999999996</v>
      </c>
      <c r="E1981">
        <v>0.44859900000000003</v>
      </c>
      <c r="F1981" t="s">
        <v>45</v>
      </c>
      <c r="G1981">
        <v>-473.08280000000002</v>
      </c>
      <c r="H1981" s="1">
        <v>4.9510709999999997E-6</v>
      </c>
      <c r="I1981">
        <v>281.23079999999999</v>
      </c>
      <c r="J1981">
        <v>-462.07139999999998</v>
      </c>
      <c r="K1981">
        <v>1.115049</v>
      </c>
      <c r="L1981">
        <v>285.01690000000002</v>
      </c>
      <c r="M1981">
        <v>-0.9959498</v>
      </c>
      <c r="N1981">
        <v>0</v>
      </c>
      <c r="O1981">
        <v>-8.8646440000000007E-2</v>
      </c>
      <c r="P1981">
        <v>-0.97140780000000004</v>
      </c>
      <c r="Q1981">
        <v>0.14666399999999999</v>
      </c>
      <c r="R1981">
        <v>-0.18669959999999999</v>
      </c>
      <c r="S1981">
        <v>-2.9458310000000001</v>
      </c>
      <c r="T1981">
        <v>-0.28855560000000002</v>
      </c>
      <c r="U1981">
        <v>-0.98904420000000004</v>
      </c>
      <c r="V1981">
        <v>-0.1016947</v>
      </c>
      <c r="W1981">
        <v>0.16028049999999999</v>
      </c>
      <c r="X1981">
        <v>0.98181890000000005</v>
      </c>
      <c r="Y1981">
        <v>-0.23236979999999999</v>
      </c>
      <c r="Z1981">
        <v>-2.6573410000000001E-3</v>
      </c>
      <c r="AA1981">
        <v>0.97262389999999999</v>
      </c>
      <c r="AB1981">
        <v>37</v>
      </c>
      <c r="AC1981">
        <v>-11.0114</v>
      </c>
      <c r="AD1981">
        <v>-1.1150440489290001</v>
      </c>
      <c r="AE1981">
        <v>-3.78610000000003</v>
      </c>
      <c r="AF1981">
        <v>-2.7695627244489298</v>
      </c>
      <c r="AG1981">
        <v>-1.1150440489290001</v>
      </c>
      <c r="AH1981">
        <v>11.200988773532901</v>
      </c>
      <c r="AI1981">
        <v>95.519832375449298</v>
      </c>
      <c r="AJ1981">
        <v>103.88842285289201</v>
      </c>
      <c r="AK1981">
        <v>11.592064113889201</v>
      </c>
      <c r="AL1981">
        <v>80.776822200985507</v>
      </c>
      <c r="AM1981">
        <v>95.913486993941802</v>
      </c>
      <c r="AN1981">
        <v>1.0000000015427699</v>
      </c>
    </row>
    <row r="1982" spans="1:40" x14ac:dyDescent="0.25">
      <c r="A1982" t="str">
        <f>"20190312164301894"</f>
        <v>20190312164301894</v>
      </c>
      <c r="B1982" t="str">
        <f>"1552380181886121"</f>
        <v>1552380181886121</v>
      </c>
      <c r="C1982" t="s">
        <v>40</v>
      </c>
      <c r="D1982">
        <v>4.6709610000000001</v>
      </c>
      <c r="E1982">
        <v>0.44942169999999998</v>
      </c>
      <c r="F1982" t="s">
        <v>45</v>
      </c>
      <c r="G1982">
        <v>-473.22980000000001</v>
      </c>
      <c r="H1982" s="1">
        <v>4.8823580000000002E-6</v>
      </c>
      <c r="I1982">
        <v>281.19080000000002</v>
      </c>
      <c r="J1982">
        <v>-462.43119999999999</v>
      </c>
      <c r="K1982">
        <v>1.1150709999999999</v>
      </c>
      <c r="L1982">
        <v>284.98050000000001</v>
      </c>
      <c r="M1982">
        <v>-0.99551690000000004</v>
      </c>
      <c r="N1982">
        <v>0</v>
      </c>
      <c r="O1982">
        <v>-9.3381980000000003E-2</v>
      </c>
      <c r="P1982">
        <v>-0.9700337</v>
      </c>
      <c r="Q1982">
        <v>0.145949</v>
      </c>
      <c r="R1982">
        <v>-0.19425139999999999</v>
      </c>
      <c r="S1982">
        <v>-2.9389340000000002</v>
      </c>
      <c r="T1982">
        <v>-0.29368290000000002</v>
      </c>
      <c r="U1982">
        <v>-1.0077210000000001</v>
      </c>
      <c r="V1982">
        <v>-0.1046614</v>
      </c>
      <c r="W1982">
        <v>0.15952079999999999</v>
      </c>
      <c r="X1982">
        <v>0.98163089999999997</v>
      </c>
      <c r="Y1982">
        <v>-0.23396549999999999</v>
      </c>
      <c r="Z1982">
        <v>-2.331414E-3</v>
      </c>
      <c r="AA1982">
        <v>0.9722421</v>
      </c>
      <c r="AB1982">
        <v>37</v>
      </c>
      <c r="AC1982">
        <v>-10.7986</v>
      </c>
      <c r="AD1982">
        <v>-1.115066117642</v>
      </c>
      <c r="AE1982">
        <v>-3.7896999999999799</v>
      </c>
      <c r="AF1982">
        <v>-2.7386289974755802</v>
      </c>
      <c r="AG1982">
        <v>-1.115066117642</v>
      </c>
      <c r="AH1982">
        <v>11.000896467104999</v>
      </c>
      <c r="AI1982">
        <v>95.6175055801545</v>
      </c>
      <c r="AJ1982">
        <v>103.97939111869501</v>
      </c>
      <c r="AK1982">
        <v>11.3913644622797</v>
      </c>
      <c r="AL1982">
        <v>80.820917703286597</v>
      </c>
      <c r="AM1982">
        <v>96.085879422412305</v>
      </c>
      <c r="AN1982">
        <v>1.0000000590586999</v>
      </c>
    </row>
    <row r="1983" spans="1:40" x14ac:dyDescent="0.25">
      <c r="A1983" t="str">
        <f>"20190312164301917"</f>
        <v>20190312164301917</v>
      </c>
      <c r="B1983" t="str">
        <f>"1552380181906617"</f>
        <v>1552380181906617</v>
      </c>
      <c r="C1983" t="s">
        <v>40</v>
      </c>
      <c r="D1983">
        <v>4.4866289999999998</v>
      </c>
      <c r="E1983">
        <v>0.44961089999999998</v>
      </c>
      <c r="F1983" t="s">
        <v>45</v>
      </c>
      <c r="G1983">
        <v>-473.4228</v>
      </c>
      <c r="H1983" s="1">
        <v>4.7931239999999997E-6</v>
      </c>
      <c r="I1983">
        <v>281.149</v>
      </c>
      <c r="J1983">
        <v>-462.79520000000002</v>
      </c>
      <c r="K1983">
        <v>1.1150910000000001</v>
      </c>
      <c r="L1983">
        <v>284.94200000000001</v>
      </c>
      <c r="M1983">
        <v>-0.99505509999999997</v>
      </c>
      <c r="N1983">
        <v>0</v>
      </c>
      <c r="O1983">
        <v>-9.8181309999999994E-2</v>
      </c>
      <c r="P1983">
        <v>-0.96856600000000004</v>
      </c>
      <c r="Q1983">
        <v>0.14482310000000001</v>
      </c>
      <c r="R1983">
        <v>-0.2022526</v>
      </c>
      <c r="S1983">
        <v>-2.932709</v>
      </c>
      <c r="T1983">
        <v>-0.297514099999999</v>
      </c>
      <c r="U1983">
        <v>-1.022308</v>
      </c>
      <c r="V1983">
        <v>-0.1080175</v>
      </c>
      <c r="W1983">
        <v>0.15834670000000001</v>
      </c>
      <c r="X1983">
        <v>0.98145740000000004</v>
      </c>
      <c r="Y1983">
        <v>-0.234233</v>
      </c>
      <c r="Z1983">
        <v>-1.911795E-3</v>
      </c>
      <c r="AA1983">
        <v>0.9721786</v>
      </c>
      <c r="AB1983">
        <v>37</v>
      </c>
      <c r="AC1983">
        <v>-10.6275999999999</v>
      </c>
      <c r="AD1983">
        <v>-1.1150862068759999</v>
      </c>
      <c r="AE1983">
        <v>-3.7930000000000001</v>
      </c>
      <c r="AF1983">
        <v>-2.7047088743601302</v>
      </c>
      <c r="AG1983">
        <v>-1.1150862068759999</v>
      </c>
      <c r="AH1983">
        <v>10.8428042455458</v>
      </c>
      <c r="AI1983">
        <v>95.698311700580405</v>
      </c>
      <c r="AJ1983">
        <v>104.00643814210299</v>
      </c>
      <c r="AK1983">
        <v>11.2305507990941</v>
      </c>
      <c r="AL1983">
        <v>80.889054602359295</v>
      </c>
      <c r="AM1983">
        <v>96.280596976188306</v>
      </c>
      <c r="AN1983">
        <v>1.0000000428609399</v>
      </c>
    </row>
    <row r="1984" spans="1:40" x14ac:dyDescent="0.25">
      <c r="A1984" t="str">
        <f>"20190312164301939"</f>
        <v>20190312164301939</v>
      </c>
      <c r="B1984" t="str">
        <f>"1552380181935898"</f>
        <v>1552380181935898</v>
      </c>
      <c r="C1984" t="s">
        <v>40</v>
      </c>
      <c r="D1984">
        <v>4.3914140000000002</v>
      </c>
      <c r="E1984">
        <v>0.45010420000000001</v>
      </c>
      <c r="F1984" t="s">
        <v>45</v>
      </c>
      <c r="G1984">
        <v>-473.48480000000001</v>
      </c>
      <c r="H1984" s="1">
        <v>4.7638640000000001E-6</v>
      </c>
      <c r="I1984">
        <v>281.12909999999999</v>
      </c>
      <c r="J1984">
        <v>-463.16419999999999</v>
      </c>
      <c r="K1984">
        <v>1.1151219999999999</v>
      </c>
      <c r="L1984">
        <v>284.90109999999999</v>
      </c>
      <c r="M1984">
        <v>-0.99456069999999996</v>
      </c>
      <c r="N1984">
        <v>0</v>
      </c>
      <c r="O1984">
        <v>-0.10306940000000001</v>
      </c>
      <c r="P1984">
        <v>-0.96695830000000005</v>
      </c>
      <c r="Q1984">
        <v>0.14392869999999999</v>
      </c>
      <c r="R1984">
        <v>-0.21041979999999999</v>
      </c>
      <c r="S1984">
        <v>-2.925049</v>
      </c>
      <c r="T1984">
        <v>-0.30512539999999999</v>
      </c>
      <c r="U1984">
        <v>-1.0433349999999999</v>
      </c>
      <c r="V1984">
        <v>-0.111469899999999</v>
      </c>
      <c r="W1984">
        <v>0.1574007</v>
      </c>
      <c r="X1984">
        <v>0.98122350000000003</v>
      </c>
      <c r="Y1984">
        <v>-0.23644100000000001</v>
      </c>
      <c r="Z1984">
        <v>-1.5880029999999999E-3</v>
      </c>
      <c r="AA1984">
        <v>0.97164459999999997</v>
      </c>
      <c r="AB1984">
        <v>37</v>
      </c>
      <c r="AC1984">
        <v>-10.320600000000001</v>
      </c>
      <c r="AD1984">
        <v>-1.115117236136</v>
      </c>
      <c r="AE1984">
        <v>-3.77199999999999</v>
      </c>
      <c r="AF1984">
        <v>-2.6606472400146299</v>
      </c>
      <c r="AG1984">
        <v>-1.115117236136</v>
      </c>
      <c r="AH1984">
        <v>10.545835649563401</v>
      </c>
      <c r="AI1984">
        <v>95.853929740103098</v>
      </c>
      <c r="AJ1984">
        <v>104.15986198990601</v>
      </c>
      <c r="AK1984">
        <v>10.933305983723599</v>
      </c>
      <c r="AL1984">
        <v>80.943944725277305</v>
      </c>
      <c r="AM1984">
        <v>96.481184542459502</v>
      </c>
      <c r="AN1984">
        <v>1.0000000379593701</v>
      </c>
    </row>
    <row r="1985" spans="1:40" x14ac:dyDescent="0.25">
      <c r="A1985" t="str">
        <f>"20190312164301962"</f>
        <v>20190312164301962</v>
      </c>
      <c r="B1985" t="str">
        <f>"1552380181956393"</f>
        <v>1552380181956393</v>
      </c>
      <c r="C1985" t="s">
        <v>40</v>
      </c>
      <c r="D1985">
        <v>4.6154960000000003</v>
      </c>
      <c r="E1985">
        <v>0.45065620000000001</v>
      </c>
      <c r="F1985" t="s">
        <v>45</v>
      </c>
      <c r="G1985">
        <v>-473.66019999999997</v>
      </c>
      <c r="H1985" s="1">
        <v>4.681532E-6</v>
      </c>
      <c r="I1985">
        <v>281.07670000000002</v>
      </c>
      <c r="J1985">
        <v>-463.52969999999999</v>
      </c>
      <c r="K1985">
        <v>1.1151519999999999</v>
      </c>
      <c r="L1985">
        <v>284.8587</v>
      </c>
      <c r="M1985">
        <v>-0.99404219999999999</v>
      </c>
      <c r="N1985">
        <v>0</v>
      </c>
      <c r="O1985">
        <v>-0.107955</v>
      </c>
      <c r="P1985">
        <v>-0.9652617</v>
      </c>
      <c r="Q1985">
        <v>0.14301420000000001</v>
      </c>
      <c r="R1985">
        <v>-0.21867059999999999</v>
      </c>
      <c r="S1985">
        <v>-2.9173279999999999</v>
      </c>
      <c r="T1985">
        <v>-0.30994460000000001</v>
      </c>
      <c r="U1985">
        <v>-1.0629879999999901</v>
      </c>
      <c r="V1985">
        <v>-0.1150229</v>
      </c>
      <c r="W1985">
        <v>0.1564315</v>
      </c>
      <c r="X1985">
        <v>0.98096839999999996</v>
      </c>
      <c r="Y1985">
        <v>-0.23826520000000001</v>
      </c>
      <c r="Z1985">
        <v>-1.2148110000000001E-3</v>
      </c>
      <c r="AA1985">
        <v>0.97119940000000005</v>
      </c>
      <c r="AB1985">
        <v>37</v>
      </c>
      <c r="AC1985">
        <v>-10.1304999999999</v>
      </c>
      <c r="AD1985">
        <v>-1.1151473184680001</v>
      </c>
      <c r="AE1985">
        <v>-3.78199999999998</v>
      </c>
      <c r="AF1985">
        <v>-2.6380746675484299</v>
      </c>
      <c r="AG1985">
        <v>-1.1151473184680001</v>
      </c>
      <c r="AH1985">
        <v>10.3693360195099</v>
      </c>
      <c r="AI1985">
        <v>95.950042370095005</v>
      </c>
      <c r="AJ1985">
        <v>104.27386849533799</v>
      </c>
      <c r="AK1985">
        <v>10.757607586213201</v>
      </c>
      <c r="AL1985">
        <v>81.000172380812302</v>
      </c>
      <c r="AM1985">
        <v>96.687647477808099</v>
      </c>
      <c r="AN1985">
        <v>1.0000000417576</v>
      </c>
    </row>
    <row r="1986" spans="1:40" x14ac:dyDescent="0.25">
      <c r="A1986" t="str">
        <f>"20190312164301984"</f>
        <v>20190312164301984</v>
      </c>
      <c r="B1986" t="str">
        <f>"1552380181975913"</f>
        <v>1552380181975913</v>
      </c>
      <c r="C1986" t="s">
        <v>40</v>
      </c>
      <c r="D1986">
        <v>4.7054580000000001</v>
      </c>
      <c r="E1986">
        <v>0.45113880000000001</v>
      </c>
      <c r="F1986" t="s">
        <v>45</v>
      </c>
      <c r="G1986">
        <v>-473.82069999999999</v>
      </c>
      <c r="H1986" s="1">
        <v>4.6062150000000002E-6</v>
      </c>
      <c r="I1986">
        <v>281.02940000000001</v>
      </c>
      <c r="J1986">
        <v>-463.89370000000002</v>
      </c>
      <c r="K1986">
        <v>1.115197</v>
      </c>
      <c r="L1986">
        <v>284.81439999999998</v>
      </c>
      <c r="M1986">
        <v>-0.99349370000000004</v>
      </c>
      <c r="N1986">
        <v>0</v>
      </c>
      <c r="O1986">
        <v>-0.1128919</v>
      </c>
      <c r="P1986">
        <v>-0.96358710000000003</v>
      </c>
      <c r="Q1986">
        <v>0.1418952</v>
      </c>
      <c r="R1986">
        <v>-0.22664039999999999</v>
      </c>
      <c r="S1986">
        <v>-2.909424</v>
      </c>
      <c r="T1986">
        <v>-0.31527040000000001</v>
      </c>
      <c r="U1986">
        <v>-1.082611</v>
      </c>
      <c r="V1986">
        <v>-0.1182491</v>
      </c>
      <c r="W1986">
        <v>0.15525829999999999</v>
      </c>
      <c r="X1986">
        <v>0.98077110000000001</v>
      </c>
      <c r="Y1986">
        <v>-0.24004829999999999</v>
      </c>
      <c r="Z1986">
        <v>-8.2272289999999902E-4</v>
      </c>
      <c r="AA1986">
        <v>0.97076059999999997</v>
      </c>
      <c r="AB1986">
        <v>37</v>
      </c>
      <c r="AC1986">
        <v>-9.9269999999999605</v>
      </c>
      <c r="AD1986">
        <v>-1.1151923937849999</v>
      </c>
      <c r="AE1986">
        <v>-3.7849999999999602</v>
      </c>
      <c r="AF1986">
        <v>-2.61122242098125</v>
      </c>
      <c r="AG1986">
        <v>-1.1151923937849999</v>
      </c>
      <c r="AH1986">
        <v>10.178716839621501</v>
      </c>
      <c r="AI1986">
        <v>96.057824619261297</v>
      </c>
      <c r="AJ1986">
        <v>104.388234354191</v>
      </c>
      <c r="AK1986">
        <v>10.5673276237744</v>
      </c>
      <c r="AL1986">
        <v>81.068222621548898</v>
      </c>
      <c r="AM1986">
        <v>96.874823909426496</v>
      </c>
      <c r="AN1986">
        <v>0.999999969982454</v>
      </c>
    </row>
    <row r="1987" spans="1:40" x14ac:dyDescent="0.25">
      <c r="A1987" t="str">
        <f>"20190312164302007"</f>
        <v>20190312164302007</v>
      </c>
      <c r="B1987" t="str">
        <f>"1552380181996410"</f>
        <v>1552380181996410</v>
      </c>
      <c r="C1987" t="s">
        <v>40</v>
      </c>
      <c r="D1987">
        <v>4.4911789999999998</v>
      </c>
      <c r="E1987">
        <v>0.45163229999999999</v>
      </c>
      <c r="F1987" t="s">
        <v>45</v>
      </c>
      <c r="G1987">
        <v>-474.04689999999999</v>
      </c>
      <c r="H1987" s="1">
        <v>4.4999400000000002E-6</v>
      </c>
      <c r="I1987">
        <v>280.96129999999999</v>
      </c>
      <c r="J1987">
        <v>-464.2577</v>
      </c>
      <c r="K1987">
        <v>1.1152420000000001</v>
      </c>
      <c r="L1987">
        <v>284.76830000000001</v>
      </c>
      <c r="M1987">
        <v>-0.99291240000000003</v>
      </c>
      <c r="N1987">
        <v>0</v>
      </c>
      <c r="O1987">
        <v>-0.11789429999999999</v>
      </c>
      <c r="P1987">
        <v>-0.96186470000000002</v>
      </c>
      <c r="Q1987">
        <v>0.14010899999999901</v>
      </c>
      <c r="R1987">
        <v>-0.23491679999999901</v>
      </c>
      <c r="S1987">
        <v>-2.9012760000000002</v>
      </c>
      <c r="T1987">
        <v>-0.31866689999999998</v>
      </c>
      <c r="U1987">
        <v>-1.1010439999999999</v>
      </c>
      <c r="V1987">
        <v>-0.12171700000000001</v>
      </c>
      <c r="W1987">
        <v>0.1534142</v>
      </c>
      <c r="X1987">
        <v>0.98063710000000004</v>
      </c>
      <c r="Y1987">
        <v>-0.241456</v>
      </c>
      <c r="Z1987">
        <v>-3.8701849999999999E-4</v>
      </c>
      <c r="AA1987">
        <v>0.97041169999999999</v>
      </c>
      <c r="AB1987">
        <v>37</v>
      </c>
      <c r="AC1987">
        <v>-9.7891999999999904</v>
      </c>
      <c r="AD1987">
        <v>-1.1152375000599899</v>
      </c>
      <c r="AE1987">
        <v>-3.8070000000000102</v>
      </c>
      <c r="AF1987">
        <v>-2.5969455917832298</v>
      </c>
      <c r="AG1987">
        <v>-1.1152375000599899</v>
      </c>
      <c r="AH1987">
        <v>10.0564154746691</v>
      </c>
      <c r="AI1987">
        <v>96.128688634189203</v>
      </c>
      <c r="AJ1987">
        <v>104.47959679422399</v>
      </c>
      <c r="AK1987">
        <v>10.446021888134601</v>
      </c>
      <c r="AL1987">
        <v>81.175163672268198</v>
      </c>
      <c r="AM1987">
        <v>97.075384988733703</v>
      </c>
      <c r="AN1987">
        <v>1.0000000333735199</v>
      </c>
    </row>
    <row r="1988" spans="1:40" x14ac:dyDescent="0.25">
      <c r="A1988" t="str">
        <f>"20190312164302029"</f>
        <v>20190312164302029</v>
      </c>
      <c r="B1988" t="str">
        <f>"1552380182026665"</f>
        <v>1552380182026665</v>
      </c>
      <c r="C1988" t="s">
        <v>40</v>
      </c>
      <c r="D1988">
        <v>4.6502949999999998</v>
      </c>
      <c r="E1988">
        <v>0.454098</v>
      </c>
      <c r="F1988" t="s">
        <v>45</v>
      </c>
      <c r="G1988">
        <v>-474.22550000000001</v>
      </c>
      <c r="H1988" s="1">
        <v>4.4157909999999997E-6</v>
      </c>
      <c r="I1988">
        <v>280.90480000000002</v>
      </c>
      <c r="J1988">
        <v>-464.6189</v>
      </c>
      <c r="K1988">
        <v>1.115302</v>
      </c>
      <c r="L1988">
        <v>284.72059999999999</v>
      </c>
      <c r="M1988">
        <v>-0.99229909999999999</v>
      </c>
      <c r="N1988">
        <v>0</v>
      </c>
      <c r="O1988">
        <v>-0.1229508</v>
      </c>
      <c r="P1988">
        <v>-0.96010949999999995</v>
      </c>
      <c r="Q1988">
        <v>0.13885790000000001</v>
      </c>
      <c r="R1988">
        <v>-0.2427117</v>
      </c>
      <c r="S1988">
        <v>-2.8922729999999999</v>
      </c>
      <c r="T1988">
        <v>-0.32359739999999998</v>
      </c>
      <c r="U1988">
        <v>-1.1210329999999999</v>
      </c>
      <c r="V1988">
        <v>-0.12466770000000001</v>
      </c>
      <c r="W1988">
        <v>0.15210799999999999</v>
      </c>
      <c r="X1988">
        <v>0.98046979999999995</v>
      </c>
      <c r="Y1988">
        <v>-0.24335419999999999</v>
      </c>
      <c r="Z1988" s="1">
        <v>3.8306229999999998E-5</v>
      </c>
      <c r="AA1988">
        <v>0.96993750000000001</v>
      </c>
      <c r="AB1988">
        <v>37</v>
      </c>
      <c r="AC1988">
        <v>-9.6066000000000091</v>
      </c>
      <c r="AD1988">
        <v>-1.115297584209</v>
      </c>
      <c r="AE1988">
        <v>-3.8157999999999599</v>
      </c>
      <c r="AF1988">
        <v>-2.5755853135367399</v>
      </c>
      <c r="AG1988">
        <v>-1.115297584209</v>
      </c>
      <c r="AH1988">
        <v>9.8877932121229009</v>
      </c>
      <c r="AI1988">
        <v>96.229351573482404</v>
      </c>
      <c r="AJ1988">
        <v>104.600043950604</v>
      </c>
      <c r="AK1988">
        <v>10.278423177431</v>
      </c>
      <c r="AL1988">
        <v>81.250891537063396</v>
      </c>
      <c r="AM1988">
        <v>97.246330329364795</v>
      </c>
      <c r="AN1988">
        <v>0.99999995389966301</v>
      </c>
    </row>
    <row r="1989" spans="1:40" x14ac:dyDescent="0.25">
      <c r="A1989" t="str">
        <f>"20190312164302064"</f>
        <v>20190312164302064</v>
      </c>
      <c r="B1989" t="str">
        <f>"1552380182055946"</f>
        <v>1552380182055946</v>
      </c>
      <c r="C1989" t="s">
        <v>40</v>
      </c>
      <c r="D1989">
        <v>4.4638650000000002</v>
      </c>
      <c r="E1989">
        <v>0.46140999999999999</v>
      </c>
      <c r="F1989" t="s">
        <v>45</v>
      </c>
      <c r="G1989">
        <v>-472.31310000000002</v>
      </c>
      <c r="H1989" s="1">
        <v>5.3352739999999899E-6</v>
      </c>
      <c r="I1989">
        <v>281.7217</v>
      </c>
      <c r="J1989">
        <v>-465.19209999999998</v>
      </c>
      <c r="K1989">
        <v>1.115426</v>
      </c>
      <c r="L1989">
        <v>284.64100000000002</v>
      </c>
      <c r="M1989">
        <v>-0.99124009999999996</v>
      </c>
      <c r="N1989">
        <v>0</v>
      </c>
      <c r="O1989">
        <v>-0.13121340000000001</v>
      </c>
      <c r="P1989">
        <v>-0.95727669999999998</v>
      </c>
      <c r="Q1989">
        <v>0.1388287</v>
      </c>
      <c r="R1989">
        <v>-0.25366870000000002</v>
      </c>
      <c r="S1989">
        <v>-2.899689</v>
      </c>
      <c r="T1989">
        <v>-0.42031550000000001</v>
      </c>
      <c r="U1989">
        <v>-1.130188</v>
      </c>
      <c r="V1989">
        <v>-0.1277577</v>
      </c>
      <c r="W1989">
        <v>0.152001</v>
      </c>
      <c r="X1989">
        <v>0.98008859999999998</v>
      </c>
      <c r="Y1989">
        <v>-0.23679130000000001</v>
      </c>
      <c r="Z1989">
        <v>1.6353889999999999E-3</v>
      </c>
      <c r="AA1989">
        <v>0.97155919999999896</v>
      </c>
      <c r="AB1989">
        <v>37</v>
      </c>
      <c r="AC1989">
        <v>-7.1210000000000298</v>
      </c>
      <c r="AD1989">
        <v>-1.1154206647259901</v>
      </c>
      <c r="AE1989">
        <v>-2.9192999999999598</v>
      </c>
      <c r="AF1989">
        <v>-1.9192634703402101</v>
      </c>
      <c r="AG1989">
        <v>-1.1154206647259901</v>
      </c>
      <c r="AH1989">
        <v>7.2893975850907102</v>
      </c>
      <c r="AI1989">
        <v>98.417336968044694</v>
      </c>
      <c r="AJ1989">
        <v>104.75092063184</v>
      </c>
      <c r="AK1989">
        <v>7.6199115927552903</v>
      </c>
      <c r="AL1989">
        <v>81.257094707273197</v>
      </c>
      <c r="AM1989">
        <v>97.426812624569607</v>
      </c>
      <c r="AN1989">
        <v>0.99999999888012403</v>
      </c>
    </row>
    <row r="1990" spans="1:40" x14ac:dyDescent="0.25">
      <c r="A1990" t="str">
        <f>"20190312164302080"</f>
        <v>20190312164302080</v>
      </c>
      <c r="B1990" t="str">
        <f>"1552380182076441"</f>
        <v>1552380182076441</v>
      </c>
      <c r="C1990" t="s">
        <v>40</v>
      </c>
      <c r="D1990">
        <v>4.497795</v>
      </c>
      <c r="E1990">
        <v>0.4621999</v>
      </c>
      <c r="F1990" t="s">
        <v>45</v>
      </c>
      <c r="G1990">
        <v>-474.58800000000002</v>
      </c>
      <c r="H1990" s="1">
        <v>4.268741E-6</v>
      </c>
      <c r="I1990">
        <v>281.0616</v>
      </c>
      <c r="J1990">
        <v>-465.45030000000003</v>
      </c>
      <c r="K1990">
        <v>1.1154999999999999</v>
      </c>
      <c r="L1990">
        <v>284.6035</v>
      </c>
      <c r="M1990">
        <v>-0.99072530000000003</v>
      </c>
      <c r="N1990">
        <v>0</v>
      </c>
      <c r="O1990">
        <v>-0.1350459</v>
      </c>
      <c r="P1990">
        <v>-0.95579080000000005</v>
      </c>
      <c r="Q1990">
        <v>0.1376145</v>
      </c>
      <c r="R1990">
        <v>-0.2598588</v>
      </c>
      <c r="S1990">
        <v>-2.891785</v>
      </c>
      <c r="T1990">
        <v>-0.34329369999999998</v>
      </c>
      <c r="U1990">
        <v>-1.1016239999999999</v>
      </c>
      <c r="V1990">
        <v>-0.13030269999999999</v>
      </c>
      <c r="W1990">
        <v>0.15073399999999901</v>
      </c>
      <c r="X1990">
        <v>0.97994919999999996</v>
      </c>
      <c r="Y1990">
        <v>-0.22596340000000001</v>
      </c>
      <c r="Z1990">
        <v>2.3942439999999998E-3</v>
      </c>
      <c r="AA1990">
        <v>0.97413280000000002</v>
      </c>
      <c r="AB1990">
        <v>37</v>
      </c>
      <c r="AC1990">
        <v>-9.1376999999999899</v>
      </c>
      <c r="AD1990">
        <v>-1.1154957312589999</v>
      </c>
      <c r="AE1990">
        <v>-3.5418999999999898</v>
      </c>
      <c r="AF1990">
        <v>-2.2461963453651701</v>
      </c>
      <c r="AG1990">
        <v>-1.1154957312589999</v>
      </c>
      <c r="AH1990">
        <v>9.4104250705835906</v>
      </c>
      <c r="AI1990">
        <v>96.577118254934703</v>
      </c>
      <c r="AJ1990">
        <v>103.424869235193</v>
      </c>
      <c r="AK1990">
        <v>9.7388823156179996</v>
      </c>
      <c r="AL1990">
        <v>81.330534538645296</v>
      </c>
      <c r="AM1990">
        <v>97.574122763146605</v>
      </c>
      <c r="AN1990">
        <v>0.99999998348196395</v>
      </c>
    </row>
    <row r="1991" spans="1:40" x14ac:dyDescent="0.25">
      <c r="A1991" t="str">
        <f>"20190312164302096"</f>
        <v>20190312164302096</v>
      </c>
      <c r="B1991" t="str">
        <f>"1552380182086201"</f>
        <v>1552380182086201</v>
      </c>
      <c r="C1991" t="s">
        <v>40</v>
      </c>
      <c r="D1991">
        <v>4.5287550000000003</v>
      </c>
      <c r="E1991">
        <v>0.46269480000000002</v>
      </c>
      <c r="F1991" t="s">
        <v>45</v>
      </c>
      <c r="G1991">
        <v>-475.17430000000002</v>
      </c>
      <c r="H1991" s="1">
        <v>3.9906390000000004E-6</v>
      </c>
      <c r="I1991">
        <v>280.8544</v>
      </c>
      <c r="J1991">
        <v>-465.7022</v>
      </c>
      <c r="K1991">
        <v>1.1155630000000001</v>
      </c>
      <c r="L1991">
        <v>284.56569999999999</v>
      </c>
      <c r="M1991">
        <v>-0.99019809999999997</v>
      </c>
      <c r="N1991">
        <v>0</v>
      </c>
      <c r="O1991">
        <v>-0.13885790000000001</v>
      </c>
      <c r="P1991">
        <v>-0.95438679999999998</v>
      </c>
      <c r="Q1991">
        <v>0.13629079999999999</v>
      </c>
      <c r="R1991">
        <v>-0.2656519</v>
      </c>
      <c r="S1991">
        <v>-2.8840940000000002</v>
      </c>
      <c r="T1991">
        <v>-0.3308508</v>
      </c>
      <c r="U1991">
        <v>-1.111969</v>
      </c>
      <c r="V1991">
        <v>-0.132462</v>
      </c>
      <c r="W1991">
        <v>0.1493641</v>
      </c>
      <c r="X1991">
        <v>0.97986949999999995</v>
      </c>
      <c r="Y1991">
        <v>-0.2261822</v>
      </c>
      <c r="Z1991">
        <v>2.7118559999999999E-3</v>
      </c>
      <c r="AA1991">
        <v>0.97408119999999998</v>
      </c>
      <c r="AB1991">
        <v>37</v>
      </c>
      <c r="AC1991">
        <v>-9.47210000000001</v>
      </c>
      <c r="AD1991">
        <v>-1.1155590093609999</v>
      </c>
      <c r="AE1991">
        <v>-3.7112999999999898</v>
      </c>
      <c r="AF1991">
        <v>-2.3318735377994502</v>
      </c>
      <c r="AG1991">
        <v>-1.1155590093609999</v>
      </c>
      <c r="AH1991">
        <v>9.7781404972353094</v>
      </c>
      <c r="AI1991">
        <v>96.332487471618094</v>
      </c>
      <c r="AJ1991">
        <v>103.413261978942</v>
      </c>
      <c r="AK1991">
        <v>10.1140564405845</v>
      </c>
      <c r="AL1991">
        <v>81.409923196903904</v>
      </c>
      <c r="AM1991">
        <v>97.698762282834295</v>
      </c>
      <c r="AN1991">
        <v>1.0000000264215201</v>
      </c>
    </row>
    <row r="1992" spans="1:40" x14ac:dyDescent="0.25">
      <c r="A1992" t="str">
        <f>"20190312164302118"</f>
        <v>20190312164302118</v>
      </c>
      <c r="B1992" t="str">
        <f>"1552380182106698"</f>
        <v>1552380182106698</v>
      </c>
      <c r="C1992" t="s">
        <v>40</v>
      </c>
      <c r="D1992">
        <v>4.4640440000000003</v>
      </c>
      <c r="E1992">
        <v>0.46328350000000001</v>
      </c>
      <c r="F1992" t="s">
        <v>45</v>
      </c>
      <c r="G1992">
        <v>-475.39400000000001</v>
      </c>
      <c r="H1992" s="1">
        <v>3.8866040000000003E-6</v>
      </c>
      <c r="I1992">
        <v>280.77859999999998</v>
      </c>
      <c r="J1992">
        <v>-466.05119999999999</v>
      </c>
      <c r="K1992">
        <v>1.1156619999999999</v>
      </c>
      <c r="L1992">
        <v>284.51170000000002</v>
      </c>
      <c r="M1992">
        <v>-0.98942759999999996</v>
      </c>
      <c r="N1992">
        <v>0</v>
      </c>
      <c r="O1992">
        <v>-0.1442454</v>
      </c>
      <c r="P1992">
        <v>-0.95268940000000002</v>
      </c>
      <c r="Q1992">
        <v>0.13427030000000001</v>
      </c>
      <c r="R1992">
        <v>-0.27268100000000001</v>
      </c>
      <c r="S1992">
        <v>-2.8776860000000002</v>
      </c>
      <c r="T1992">
        <v>-0.33123229999999998</v>
      </c>
      <c r="U1992">
        <v>-1.1244510000000001</v>
      </c>
      <c r="V1992">
        <v>-0.13432620000000001</v>
      </c>
      <c r="W1992">
        <v>0.14729200000000001</v>
      </c>
      <c r="X1992">
        <v>0.9799293</v>
      </c>
      <c r="Y1992">
        <v>-0.2253126</v>
      </c>
      <c r="Z1992">
        <v>3.3495040000000001E-3</v>
      </c>
      <c r="AA1992">
        <v>0.97428079999999995</v>
      </c>
      <c r="AB1992">
        <v>37</v>
      </c>
      <c r="AC1992">
        <v>-9.3428000000000093</v>
      </c>
      <c r="AD1992">
        <v>-1.115658113396</v>
      </c>
      <c r="AE1992">
        <v>-3.7331000000000301</v>
      </c>
      <c r="AF1992">
        <v>-2.31774178375256</v>
      </c>
      <c r="AG1992">
        <v>-1.115658113396</v>
      </c>
      <c r="AH1992">
        <v>9.66477153685552</v>
      </c>
      <c r="AI1992">
        <v>96.404800068340606</v>
      </c>
      <c r="AJ1992">
        <v>103.48562408847501</v>
      </c>
      <c r="AK1992">
        <v>10.0012213685005</v>
      </c>
      <c r="AL1992">
        <v>81.529973099012096</v>
      </c>
      <c r="AM1992">
        <v>97.805313505712704</v>
      </c>
      <c r="AN1992">
        <v>0.99999994713446305</v>
      </c>
    </row>
    <row r="1993" spans="1:40" x14ac:dyDescent="0.25">
      <c r="A1993" t="str">
        <f>"20190312164302140"</f>
        <v>20190312164302140</v>
      </c>
      <c r="B1993" t="str">
        <f>"1552380182135977"</f>
        <v>1552380182135977</v>
      </c>
      <c r="C1993" t="s">
        <v>40</v>
      </c>
      <c r="D1993">
        <v>4.6206199999999997</v>
      </c>
      <c r="E1993">
        <v>0.46383059999999998</v>
      </c>
      <c r="F1993" t="s">
        <v>45</v>
      </c>
      <c r="G1993">
        <v>-475.7226</v>
      </c>
      <c r="H1993" s="1">
        <v>3.7316009999999998E-6</v>
      </c>
      <c r="I1993">
        <v>280.67259999999999</v>
      </c>
      <c r="J1993">
        <v>-466.41609999999997</v>
      </c>
      <c r="K1993">
        <v>1.1157699999999999</v>
      </c>
      <c r="L1993">
        <v>284.45310000000001</v>
      </c>
      <c r="M1993">
        <v>-0.98856750000000004</v>
      </c>
      <c r="N1993">
        <v>0</v>
      </c>
      <c r="O1993">
        <v>-0.15002570000000001</v>
      </c>
      <c r="P1993">
        <v>-0.95062460000000004</v>
      </c>
      <c r="Q1993">
        <v>0.1331164</v>
      </c>
      <c r="R1993">
        <v>-0.28034409999999998</v>
      </c>
      <c r="S1993">
        <v>-2.8696290000000002</v>
      </c>
      <c r="T1993">
        <v>-0.33103009999999999</v>
      </c>
      <c r="U1993">
        <v>-1.1390990000000001</v>
      </c>
      <c r="V1993">
        <v>-0.13649449999999999</v>
      </c>
      <c r="W1993">
        <v>0.14607690000000001</v>
      </c>
      <c r="X1993">
        <v>0.9798116</v>
      </c>
      <c r="Y1993">
        <v>-0.2248839</v>
      </c>
      <c r="Z1993">
        <v>4.0018450000000004E-3</v>
      </c>
      <c r="AA1993">
        <v>0.9743773</v>
      </c>
      <c r="AB1993">
        <v>37</v>
      </c>
      <c r="AC1993">
        <v>-9.3065000000000193</v>
      </c>
      <c r="AD1993">
        <v>-1.1157662683989999</v>
      </c>
      <c r="AE1993">
        <v>-3.7805000000000102</v>
      </c>
      <c r="AF1993">
        <v>-2.3127954509285802</v>
      </c>
      <c r="AG1993">
        <v>-1.1157662683989999</v>
      </c>
      <c r="AH1993">
        <v>9.6493297251943098</v>
      </c>
      <c r="AI1993">
        <v>96.415766823078698</v>
      </c>
      <c r="AJ1993">
        <v>103.478643576271</v>
      </c>
      <c r="AK1993">
        <v>9.9851650616828298</v>
      </c>
      <c r="AL1993">
        <v>81.600354866888097</v>
      </c>
      <c r="AM1993">
        <v>97.930657424473793</v>
      </c>
      <c r="AN1993">
        <v>0.99999999036920995</v>
      </c>
    </row>
    <row r="1994" spans="1:40" x14ac:dyDescent="0.25">
      <c r="A1994" t="str">
        <f>"20190312164302163"</f>
        <v>20190312164302163</v>
      </c>
      <c r="B1994" t="str">
        <f>"1552380182156473"</f>
        <v>1552380182156473</v>
      </c>
      <c r="C1994" t="s">
        <v>40</v>
      </c>
      <c r="D1994">
        <v>4.5665690000000003</v>
      </c>
      <c r="E1994">
        <v>0.46411970000000002</v>
      </c>
      <c r="F1994" t="s">
        <v>45</v>
      </c>
      <c r="G1994">
        <v>-476.0829</v>
      </c>
      <c r="H1994" s="1">
        <v>3.560797E-6</v>
      </c>
      <c r="I1994">
        <v>280.54660000000001</v>
      </c>
      <c r="J1994">
        <v>-466.77050000000003</v>
      </c>
      <c r="K1994">
        <v>1.1158709999999901</v>
      </c>
      <c r="L1994">
        <v>284.3938</v>
      </c>
      <c r="M1994">
        <v>-0.98767720000000003</v>
      </c>
      <c r="N1994">
        <v>0</v>
      </c>
      <c r="O1994">
        <v>-0.1557789</v>
      </c>
      <c r="P1994">
        <v>-0.94856379999999996</v>
      </c>
      <c r="Q1994">
        <v>0.1328492</v>
      </c>
      <c r="R1994">
        <v>-0.28736400000000001</v>
      </c>
      <c r="S1994">
        <v>-2.8611149999999999</v>
      </c>
      <c r="T1994">
        <v>-0.330237</v>
      </c>
      <c r="U1994">
        <v>-1.1562190000000001</v>
      </c>
      <c r="V1994">
        <v>-0.1380642</v>
      </c>
      <c r="W1994">
        <v>0.1457581</v>
      </c>
      <c r="X1994">
        <v>0.97963920000000004</v>
      </c>
      <c r="Y1994">
        <v>-0.22525870000000001</v>
      </c>
      <c r="Z1994">
        <v>4.5985269999999998E-3</v>
      </c>
      <c r="AA1994">
        <v>0.97428809999999999</v>
      </c>
      <c r="AB1994">
        <v>37</v>
      </c>
      <c r="AC1994">
        <v>-9.3123999999999594</v>
      </c>
      <c r="AD1994">
        <v>-1.1158674392029999</v>
      </c>
      <c r="AE1994">
        <v>-3.84719999999998</v>
      </c>
      <c r="AF1994">
        <v>-2.32091664227789</v>
      </c>
      <c r="AG1994">
        <v>-1.1158674392029999</v>
      </c>
      <c r="AH1994">
        <v>9.6793514690466207</v>
      </c>
      <c r="AI1994">
        <v>96.396470313727207</v>
      </c>
      <c r="AJ1994">
        <v>103.4838239027</v>
      </c>
      <c r="AK1994">
        <v>10.016070040869799</v>
      </c>
      <c r="AL1994">
        <v>81.618818923309604</v>
      </c>
      <c r="AM1994">
        <v>98.022073648959903</v>
      </c>
      <c r="AN1994">
        <v>1.0000000546069401</v>
      </c>
    </row>
    <row r="1995" spans="1:40" x14ac:dyDescent="0.25">
      <c r="A1995" t="str">
        <f>"20190312164302184"</f>
        <v>20190312164302184</v>
      </c>
      <c r="B1995" t="str">
        <f>"1552380182175994"</f>
        <v>1552380182175994</v>
      </c>
      <c r="C1995" t="s">
        <v>40</v>
      </c>
      <c r="D1995">
        <v>4.4912599999999996</v>
      </c>
      <c r="E1995">
        <v>0.46450740000000001</v>
      </c>
      <c r="F1995" t="s">
        <v>45</v>
      </c>
      <c r="G1995">
        <v>-476.34699999999998</v>
      </c>
      <c r="H1995" s="1">
        <v>3.4355340000000001E-6</v>
      </c>
      <c r="I1995">
        <v>280.45339999999999</v>
      </c>
      <c r="J1995">
        <v>-467.12349999999998</v>
      </c>
      <c r="K1995">
        <v>1.1159589999999999</v>
      </c>
      <c r="L1995">
        <v>284.33260000000001</v>
      </c>
      <c r="M1995">
        <v>-0.98673869999999997</v>
      </c>
      <c r="N1995">
        <v>0</v>
      </c>
      <c r="O1995">
        <v>-0.1616165</v>
      </c>
      <c r="P1995">
        <v>-0.94646629999999998</v>
      </c>
      <c r="Q1995">
        <v>0.13281379999999901</v>
      </c>
      <c r="R1995">
        <v>-0.294214799999999</v>
      </c>
      <c r="S1995">
        <v>-2.8535460000000001</v>
      </c>
      <c r="T1995">
        <v>-0.33249869999999998</v>
      </c>
      <c r="U1995">
        <v>-1.1741330000000001</v>
      </c>
      <c r="V1995">
        <v>-0.13938780000000001</v>
      </c>
      <c r="W1995">
        <v>0.1456769</v>
      </c>
      <c r="X1995">
        <v>0.9794638</v>
      </c>
      <c r="Y1995">
        <v>-0.2256621</v>
      </c>
      <c r="Z1995">
        <v>5.2467290000000003E-3</v>
      </c>
      <c r="AA1995">
        <v>0.97419149999999999</v>
      </c>
      <c r="AB1995">
        <v>36</v>
      </c>
      <c r="AC1995">
        <v>-9.2234999999999996</v>
      </c>
      <c r="AD1995">
        <v>-1.115955564466</v>
      </c>
      <c r="AE1995">
        <v>-3.87920000000002</v>
      </c>
      <c r="AF1995">
        <v>-2.3086361308519701</v>
      </c>
      <c r="AG1995">
        <v>-1.115955564466</v>
      </c>
      <c r="AH1995">
        <v>9.6097004465036999</v>
      </c>
      <c r="AI1995">
        <v>96.442281092271799</v>
      </c>
      <c r="AJ1995">
        <v>103.508744198366</v>
      </c>
      <c r="AK1995">
        <v>9.9459288293286701</v>
      </c>
      <c r="AL1995">
        <v>81.623521299842906</v>
      </c>
      <c r="AM1995">
        <v>98.099395587092204</v>
      </c>
      <c r="AN1995">
        <v>1.00000002674644</v>
      </c>
    </row>
    <row r="1996" spans="1:40" x14ac:dyDescent="0.25">
      <c r="A1996" t="str">
        <f>"20190312164302208"</f>
        <v>20190312164302208</v>
      </c>
      <c r="B1996" t="str">
        <f>"1552380182196490"</f>
        <v>1552380182196490</v>
      </c>
      <c r="C1996" t="s">
        <v>40</v>
      </c>
      <c r="D1996">
        <v>4.4516289999999996</v>
      </c>
      <c r="E1996">
        <v>0.46477360000000001</v>
      </c>
      <c r="F1996" t="s">
        <v>45</v>
      </c>
      <c r="G1996">
        <v>-476.58510000000001</v>
      </c>
      <c r="H1996" s="1">
        <v>3.3232100000000001E-6</v>
      </c>
      <c r="I1996">
        <v>280.37639999999999</v>
      </c>
      <c r="J1996">
        <v>-467.4846</v>
      </c>
      <c r="K1996">
        <v>1.1160300000000001</v>
      </c>
      <c r="L1996">
        <v>284.26760000000002</v>
      </c>
      <c r="M1996">
        <v>-0.9857283</v>
      </c>
      <c r="N1996">
        <v>0</v>
      </c>
      <c r="O1996">
        <v>-0.16766829999999999</v>
      </c>
      <c r="P1996">
        <v>-0.94423860000000004</v>
      </c>
      <c r="Q1996">
        <v>0.1326512</v>
      </c>
      <c r="R1996">
        <v>-0.30135889999999999</v>
      </c>
      <c r="S1996">
        <v>-2.8467709999999999</v>
      </c>
      <c r="T1996">
        <v>-0.33576440000000002</v>
      </c>
      <c r="U1996">
        <v>-1.1903079999999999</v>
      </c>
      <c r="V1996">
        <v>-0.14080329999999999</v>
      </c>
      <c r="W1996">
        <v>0.14547079999999901</v>
      </c>
      <c r="X1996">
        <v>0.97929189999999999</v>
      </c>
      <c r="Y1996">
        <v>-0.22525049999999999</v>
      </c>
      <c r="Z1996">
        <v>5.990095E-3</v>
      </c>
      <c r="AA1996">
        <v>0.97428250000000005</v>
      </c>
      <c r="AB1996">
        <v>36</v>
      </c>
      <c r="AC1996">
        <v>-9.1005000000000091</v>
      </c>
      <c r="AD1996">
        <v>-1.11602667678999</v>
      </c>
      <c r="AE1996">
        <v>-3.89120000000002</v>
      </c>
      <c r="AF1996">
        <v>-2.2810604166481698</v>
      </c>
      <c r="AG1996">
        <v>-1.11602667678999</v>
      </c>
      <c r="AH1996">
        <v>9.5033144417717494</v>
      </c>
      <c r="AI1996">
        <v>96.514506371579003</v>
      </c>
      <c r="AJ1996">
        <v>103.497243667967</v>
      </c>
      <c r="AK1996">
        <v>9.8367544213980196</v>
      </c>
      <c r="AL1996">
        <v>81.635456664334598</v>
      </c>
      <c r="AM1996">
        <v>98.181954683253693</v>
      </c>
      <c r="AN1996">
        <v>0.99999997417456898</v>
      </c>
    </row>
    <row r="1997" spans="1:40" x14ac:dyDescent="0.25">
      <c r="A1997" t="str">
        <f>"20190312164302230"</f>
        <v>20190312164302230</v>
      </c>
      <c r="B1997" t="str">
        <f>"1552380182226745"</f>
        <v>1552380182226745</v>
      </c>
      <c r="C1997" t="s">
        <v>40</v>
      </c>
      <c r="D1997">
        <v>4.4369050000000003</v>
      </c>
      <c r="E1997">
        <v>0.46569840000000001</v>
      </c>
      <c r="F1997" t="s">
        <v>45</v>
      </c>
      <c r="G1997">
        <v>-476.78640000000001</v>
      </c>
      <c r="H1997" s="1">
        <v>3.227889E-6</v>
      </c>
      <c r="I1997">
        <v>280.30689999999998</v>
      </c>
      <c r="J1997">
        <v>-467.84109999999998</v>
      </c>
      <c r="K1997">
        <v>1.1160890000000001</v>
      </c>
      <c r="L1997">
        <v>284.20119999999997</v>
      </c>
      <c r="M1997">
        <v>-0.98468299999999997</v>
      </c>
      <c r="N1997">
        <v>0</v>
      </c>
      <c r="O1997">
        <v>-0.17370139999999901</v>
      </c>
      <c r="P1997">
        <v>-0.94209050000000005</v>
      </c>
      <c r="Q1997">
        <v>0.13251189999999999</v>
      </c>
      <c r="R1997">
        <v>-0.30806790000000001</v>
      </c>
      <c r="S1997">
        <v>-2.839172</v>
      </c>
      <c r="T1997">
        <v>-0.34064420000000001</v>
      </c>
      <c r="U1997">
        <v>-1.208923</v>
      </c>
      <c r="V1997">
        <v>-0.1417889</v>
      </c>
      <c r="W1997">
        <v>0.1452995</v>
      </c>
      <c r="X1997">
        <v>0.97917520000000002</v>
      </c>
      <c r="Y1997">
        <v>-0.22565550000000001</v>
      </c>
      <c r="Z1997">
        <v>6.7304369999999997E-3</v>
      </c>
      <c r="AA1997">
        <v>0.97418389999999999</v>
      </c>
      <c r="AB1997">
        <v>36</v>
      </c>
      <c r="AC1997">
        <v>-8.9453000000000298</v>
      </c>
      <c r="AD1997">
        <v>-1.11608577211099</v>
      </c>
      <c r="AE1997">
        <v>-3.8942999999999799</v>
      </c>
      <c r="AF1997">
        <v>-2.2516325149341601</v>
      </c>
      <c r="AG1997">
        <v>-1.11608577211099</v>
      </c>
      <c r="AH1997">
        <v>9.3632732250673705</v>
      </c>
      <c r="AI1997">
        <v>96.6107655350865</v>
      </c>
      <c r="AJ1997">
        <v>103.521460214055</v>
      </c>
      <c r="AK1997">
        <v>9.6946573905569693</v>
      </c>
      <c r="AL1997">
        <v>81.645377508630801</v>
      </c>
      <c r="AM1997">
        <v>98.239411945135203</v>
      </c>
      <c r="AN1997">
        <v>1.00000005457924</v>
      </c>
    </row>
    <row r="1998" spans="1:40" x14ac:dyDescent="0.25">
      <c r="A1998" t="str">
        <f>"20190312164302253"</f>
        <v>20190312164302253</v>
      </c>
      <c r="B1998" t="str">
        <f>"1552380182246265"</f>
        <v>1552380182246265</v>
      </c>
      <c r="C1998" t="s">
        <v>40</v>
      </c>
      <c r="D1998">
        <v>4.4222530000000004</v>
      </c>
      <c r="E1998">
        <v>0.46620129999999999</v>
      </c>
      <c r="F1998" t="s">
        <v>45</v>
      </c>
      <c r="G1998">
        <v>-477.12729999999999</v>
      </c>
      <c r="H1998" s="1">
        <v>3.066878E-6</v>
      </c>
      <c r="I1998">
        <v>280.19450000000001</v>
      </c>
      <c r="J1998">
        <v>-468.19889999999998</v>
      </c>
      <c r="K1998">
        <v>1.116128</v>
      </c>
      <c r="L1998">
        <v>284.13229999999999</v>
      </c>
      <c r="M1998">
        <v>-0.98358800000000002</v>
      </c>
      <c r="N1998">
        <v>0</v>
      </c>
      <c r="O1998">
        <v>-0.17979870000000001</v>
      </c>
      <c r="P1998">
        <v>-0.9398223</v>
      </c>
      <c r="Q1998">
        <v>0.13218299999999999</v>
      </c>
      <c r="R1998">
        <v>-0.31505860000000002</v>
      </c>
      <c r="S1998">
        <v>-2.832611</v>
      </c>
      <c r="T1998">
        <v>-0.34044400000000002</v>
      </c>
      <c r="U1998">
        <v>-1.2221679999999999</v>
      </c>
      <c r="V1998">
        <v>-0.14300060000000001</v>
      </c>
      <c r="W1998">
        <v>0.1449386</v>
      </c>
      <c r="X1998">
        <v>0.97905240000000004</v>
      </c>
      <c r="Y1998">
        <v>-0.22432340000000001</v>
      </c>
      <c r="Z1998">
        <v>7.4877769999999897E-3</v>
      </c>
      <c r="AA1998">
        <v>0.97448599999999996</v>
      </c>
      <c r="AB1998">
        <v>36</v>
      </c>
      <c r="AC1998">
        <v>-8.9283999999999999</v>
      </c>
      <c r="AD1998">
        <v>-1.116124933122</v>
      </c>
      <c r="AE1998">
        <v>-3.9377999999999802</v>
      </c>
      <c r="AF1998">
        <v>-2.2388265409746402</v>
      </c>
      <c r="AG1998">
        <v>-1.116124933122</v>
      </c>
      <c r="AH1998">
        <v>9.3683954708921409</v>
      </c>
      <c r="AI1998">
        <v>96.609637769606906</v>
      </c>
      <c r="AJ1998">
        <v>103.440273059804</v>
      </c>
      <c r="AK1998">
        <v>9.6966444116478492</v>
      </c>
      <c r="AL1998">
        <v>81.666276211560998</v>
      </c>
      <c r="AM1998">
        <v>98.309872982758804</v>
      </c>
      <c r="AN1998">
        <v>0.99999998565803905</v>
      </c>
    </row>
    <row r="1999" spans="1:40" x14ac:dyDescent="0.25">
      <c r="A1999" t="str">
        <f>"20190312164302274"</f>
        <v>20190312164302274</v>
      </c>
      <c r="B1999" t="str">
        <f>"1552380182266762"</f>
        <v>1552380182266762</v>
      </c>
      <c r="C1999" t="s">
        <v>40</v>
      </c>
      <c r="D1999">
        <v>4.4323839999999999</v>
      </c>
      <c r="E1999">
        <v>0.46667559999999902</v>
      </c>
      <c r="F1999" t="s">
        <v>45</v>
      </c>
      <c r="G1999">
        <v>-477.46030000000002</v>
      </c>
      <c r="H1999" s="1">
        <v>2.908225E-6</v>
      </c>
      <c r="I1999">
        <v>280.06889999999999</v>
      </c>
      <c r="J1999">
        <v>-468.53719999999998</v>
      </c>
      <c r="K1999">
        <v>1.116153</v>
      </c>
      <c r="L1999">
        <v>284.065</v>
      </c>
      <c r="M1999">
        <v>-0.98251239999999995</v>
      </c>
      <c r="N1999">
        <v>0</v>
      </c>
      <c r="O1999">
        <v>-0.18558720000000001</v>
      </c>
      <c r="P1999">
        <v>-0.93767509999999998</v>
      </c>
      <c r="Q1999">
        <v>0.13193540000000001</v>
      </c>
      <c r="R1999">
        <v>-0.32149499999999998</v>
      </c>
      <c r="S1999">
        <v>-2.824554</v>
      </c>
      <c r="T1999">
        <v>-0.34039770000000003</v>
      </c>
      <c r="U1999">
        <v>-1.239258</v>
      </c>
      <c r="V1999">
        <v>-0.1439503</v>
      </c>
      <c r="W1999">
        <v>0.14466589999999999</v>
      </c>
      <c r="X1999">
        <v>0.97895359999999998</v>
      </c>
      <c r="Y1999">
        <v>-0.22458339999999999</v>
      </c>
      <c r="Z1999">
        <v>8.1238360000000006E-3</v>
      </c>
      <c r="AA1999">
        <v>0.97442099999999998</v>
      </c>
      <c r="AB1999">
        <v>36</v>
      </c>
      <c r="AC1999">
        <v>-8.92310000000003</v>
      </c>
      <c r="AD1999">
        <v>-1.116150091775</v>
      </c>
      <c r="AE1999">
        <v>-3.99610000000001</v>
      </c>
      <c r="AF1999">
        <v>-2.24125281179604</v>
      </c>
      <c r="AG1999">
        <v>-1.116150091775</v>
      </c>
      <c r="AH1999">
        <v>9.3874175043035297</v>
      </c>
      <c r="AI1999">
        <v>96.596843577149798</v>
      </c>
      <c r="AJ1999">
        <v>103.428034736209</v>
      </c>
      <c r="AK1999">
        <v>9.7155860653826398</v>
      </c>
      <c r="AL1999">
        <v>81.682067579896398</v>
      </c>
      <c r="AM1999">
        <v>98.365114747908606</v>
      </c>
      <c r="AN1999">
        <v>1.00000003122292</v>
      </c>
    </row>
    <row r="2000" spans="1:40" x14ac:dyDescent="0.25">
      <c r="A2000" t="str">
        <f>"20190312164302297"</f>
        <v>20190312164302297</v>
      </c>
      <c r="B2000" t="str">
        <f>"1552380182286282"</f>
        <v>1552380182286282</v>
      </c>
      <c r="C2000" t="s">
        <v>40</v>
      </c>
      <c r="D2000">
        <v>4.4563189999999997</v>
      </c>
      <c r="E2000">
        <v>0.46693410000000002</v>
      </c>
      <c r="F2000" t="s">
        <v>45</v>
      </c>
      <c r="G2000">
        <v>-477.76170000000002</v>
      </c>
      <c r="H2000" s="1">
        <v>2.7645700000000002E-6</v>
      </c>
      <c r="I2000">
        <v>279.95479999999998</v>
      </c>
      <c r="J2000">
        <v>-468.89299999999997</v>
      </c>
      <c r="K2000">
        <v>1.1161779999999999</v>
      </c>
      <c r="L2000">
        <v>283.99200000000002</v>
      </c>
      <c r="M2000">
        <v>-0.9813402</v>
      </c>
      <c r="N2000">
        <v>0</v>
      </c>
      <c r="O2000">
        <v>-0.19168789999999999</v>
      </c>
      <c r="P2000">
        <v>-0.93530060000000004</v>
      </c>
      <c r="Q2000">
        <v>0.13222909999999999</v>
      </c>
      <c r="R2000">
        <v>-0.32821939999999999</v>
      </c>
      <c r="S2000">
        <v>-2.8170169999999999</v>
      </c>
      <c r="T2000">
        <v>-0.34085369999999998</v>
      </c>
      <c r="U2000">
        <v>-1.255188</v>
      </c>
      <c r="V2000">
        <v>-0.1449191</v>
      </c>
      <c r="W2000">
        <v>0.14493529999999999</v>
      </c>
      <c r="X2000">
        <v>0.97877080000000005</v>
      </c>
      <c r="Y2000">
        <v>-0.2241329</v>
      </c>
      <c r="Z2000">
        <v>8.8480250000000007E-3</v>
      </c>
      <c r="AA2000">
        <v>0.97451840000000001</v>
      </c>
      <c r="AB2000">
        <v>36</v>
      </c>
      <c r="AC2000">
        <v>-8.8686999999999898</v>
      </c>
      <c r="AD2000">
        <v>-1.1161752354300001</v>
      </c>
      <c r="AE2000">
        <v>-4.0372000000000403</v>
      </c>
      <c r="AF2000">
        <v>-2.23280516337074</v>
      </c>
      <c r="AG2000">
        <v>-1.1161752354300001</v>
      </c>
      <c r="AH2000">
        <v>9.3554211778474894</v>
      </c>
      <c r="AI2000">
        <v>96.619481295543494</v>
      </c>
      <c r="AJ2000">
        <v>103.42335012984699</v>
      </c>
      <c r="AK2000">
        <v>9.6827254153301094</v>
      </c>
      <c r="AL2000">
        <v>81.666467701336302</v>
      </c>
      <c r="AM2000">
        <v>98.422158393022002</v>
      </c>
      <c r="AN2000">
        <v>1.00000003283176</v>
      </c>
    </row>
    <row r="2001" spans="1:40" x14ac:dyDescent="0.25">
      <c r="A2001" t="str">
        <f>"20190312164302320"</f>
        <v>20190312164302320</v>
      </c>
      <c r="B2001" t="str">
        <f>"1552380182316105"</f>
        <v>1552380182316105</v>
      </c>
      <c r="C2001" t="s">
        <v>40</v>
      </c>
      <c r="D2001">
        <v>4.3954409999999999</v>
      </c>
      <c r="E2001">
        <v>0.46733829999999998</v>
      </c>
      <c r="F2001" t="s">
        <v>45</v>
      </c>
      <c r="G2001">
        <v>-478.0453</v>
      </c>
      <c r="H2001" s="1">
        <v>2.6291040000000001E-6</v>
      </c>
      <c r="I2001">
        <v>279.84359999999998</v>
      </c>
      <c r="J2001">
        <v>-469.24759999999998</v>
      </c>
      <c r="K2001">
        <v>1.116198</v>
      </c>
      <c r="L2001">
        <v>283.9169</v>
      </c>
      <c r="M2001">
        <v>-0.98013159999999999</v>
      </c>
      <c r="N2001">
        <v>0</v>
      </c>
      <c r="O2001">
        <v>-0.1977758</v>
      </c>
      <c r="P2001">
        <v>-0.93277750000000004</v>
      </c>
      <c r="Q2001">
        <v>0.13295360000000001</v>
      </c>
      <c r="R2001">
        <v>-0.33503719999999998</v>
      </c>
      <c r="S2001">
        <v>-2.8091430000000002</v>
      </c>
      <c r="T2001">
        <v>-0.34259099999999998</v>
      </c>
      <c r="U2001">
        <v>-1.273285</v>
      </c>
      <c r="V2001">
        <v>-0.14602490000000001</v>
      </c>
      <c r="W2001">
        <v>0.1456335</v>
      </c>
      <c r="X2001">
        <v>0.97850280000000001</v>
      </c>
      <c r="Y2001">
        <v>-0.22435160000000001</v>
      </c>
      <c r="Z2001">
        <v>9.5691130000000006E-3</v>
      </c>
      <c r="AA2001">
        <v>0.97446129999999997</v>
      </c>
      <c r="AB2001">
        <v>36</v>
      </c>
      <c r="AC2001">
        <v>-8.7977000000000096</v>
      </c>
      <c r="AD2001">
        <v>-1.116195370896</v>
      </c>
      <c r="AE2001">
        <v>-4.0733000000000104</v>
      </c>
      <c r="AF2001">
        <v>-2.22318414146104</v>
      </c>
      <c r="AG2001">
        <v>-1.116195370896</v>
      </c>
      <c r="AH2001">
        <v>9.3062156256207604</v>
      </c>
      <c r="AI2001">
        <v>96.653947187527294</v>
      </c>
      <c r="AJ2001">
        <v>103.435713415565</v>
      </c>
      <c r="AK2001">
        <v>9.6329688623705998</v>
      </c>
      <c r="AL2001">
        <v>81.626035010707298</v>
      </c>
      <c r="AM2001">
        <v>98.487781464135097</v>
      </c>
      <c r="AN2001">
        <v>1.0000000586750399</v>
      </c>
    </row>
    <row r="2002" spans="1:40" x14ac:dyDescent="0.25">
      <c r="A2002" t="str">
        <f>"20190312164302342"</f>
        <v>20190312164302342</v>
      </c>
      <c r="B2002" t="str">
        <f>"1552380182336601"</f>
        <v>1552380182336601</v>
      </c>
      <c r="C2002" t="s">
        <v>40</v>
      </c>
      <c r="D2002">
        <v>4.437767</v>
      </c>
      <c r="E2002">
        <v>0.46765390000000001</v>
      </c>
      <c r="F2002" t="s">
        <v>45</v>
      </c>
      <c r="G2002">
        <v>-478.33800000000002</v>
      </c>
      <c r="H2002" s="1">
        <v>2.4892950000000001E-6</v>
      </c>
      <c r="I2002">
        <v>279.72899999999998</v>
      </c>
      <c r="J2002">
        <v>-469.601</v>
      </c>
      <c r="K2002">
        <v>1.1162049999999999</v>
      </c>
      <c r="L2002">
        <v>283.83980000000003</v>
      </c>
      <c r="M2002">
        <v>-0.97888710000000001</v>
      </c>
      <c r="N2002">
        <v>0</v>
      </c>
      <c r="O2002">
        <v>-0.20384550000000001</v>
      </c>
      <c r="P2002">
        <v>-0.93018190000000001</v>
      </c>
      <c r="Q2002">
        <v>0.1328743</v>
      </c>
      <c r="R2002">
        <v>-0.34220810000000002</v>
      </c>
      <c r="S2002">
        <v>-2.8016359999999998</v>
      </c>
      <c r="T2002">
        <v>-0.34400920000000001</v>
      </c>
      <c r="U2002">
        <v>-1.29071</v>
      </c>
      <c r="V2002">
        <v>-0.14749880000000001</v>
      </c>
      <c r="W2002">
        <v>0.1455245</v>
      </c>
      <c r="X2002">
        <v>0.97829790000000005</v>
      </c>
      <c r="Y2002">
        <v>-0.2243406</v>
      </c>
      <c r="Z2002">
        <v>1.029828E-2</v>
      </c>
      <c r="AA2002">
        <v>0.9744564</v>
      </c>
      <c r="AB2002">
        <v>36</v>
      </c>
      <c r="AC2002">
        <v>-8.7370000000000196</v>
      </c>
      <c r="AD2002">
        <v>-1.116202510705</v>
      </c>
      <c r="AE2002">
        <v>-4.1107999999999798</v>
      </c>
      <c r="AF2002">
        <v>-2.2136836189043199</v>
      </c>
      <c r="AG2002">
        <v>-1.116202510705</v>
      </c>
      <c r="AH2002">
        <v>9.2677239510389704</v>
      </c>
      <c r="AI2002">
        <v>96.681425327178502</v>
      </c>
      <c r="AJ2002">
        <v>103.43392870177399</v>
      </c>
      <c r="AK2002">
        <v>9.5935921552967205</v>
      </c>
      <c r="AL2002">
        <v>81.6323472463135</v>
      </c>
      <c r="AM2002">
        <v>98.573954951533494</v>
      </c>
      <c r="AN2002">
        <v>1.0000000286230399</v>
      </c>
    </row>
    <row r="2003" spans="1:40" x14ac:dyDescent="0.25">
      <c r="A2003" t="str">
        <f>"20190312164302363"</f>
        <v>20190312164302363</v>
      </c>
      <c r="B2003" t="str">
        <f>"1552380182356125"</f>
        <v>1552380182356125</v>
      </c>
      <c r="C2003" t="s">
        <v>40</v>
      </c>
      <c r="D2003">
        <v>4.3845000000000001</v>
      </c>
      <c r="E2003">
        <v>0.46793059999999997</v>
      </c>
      <c r="F2003" t="s">
        <v>45</v>
      </c>
      <c r="G2003">
        <v>-478.59679999999997</v>
      </c>
      <c r="H2003" s="1">
        <v>2.365029E-6</v>
      </c>
      <c r="I2003">
        <v>279.62049999999999</v>
      </c>
      <c r="J2003">
        <v>-469.94459999999998</v>
      </c>
      <c r="K2003">
        <v>1.11622</v>
      </c>
      <c r="L2003">
        <v>283.76249999999999</v>
      </c>
      <c r="M2003">
        <v>-0.97763820000000001</v>
      </c>
      <c r="N2003">
        <v>0</v>
      </c>
      <c r="O2003">
        <v>-0.20975369999999999</v>
      </c>
      <c r="P2003">
        <v>-0.92764769999999996</v>
      </c>
      <c r="Q2003">
        <v>0.13190769999999999</v>
      </c>
      <c r="R2003">
        <v>-0.34938540000000001</v>
      </c>
      <c r="S2003">
        <v>-2.7927550000000001</v>
      </c>
      <c r="T2003">
        <v>-0.3465259</v>
      </c>
      <c r="U2003">
        <v>-1.3098749999999999</v>
      </c>
      <c r="V2003">
        <v>-0.14911269999999999</v>
      </c>
      <c r="W2003">
        <v>0.14452760000000001</v>
      </c>
      <c r="X2003">
        <v>0.97820099999999999</v>
      </c>
      <c r="Y2003">
        <v>-0.2251562</v>
      </c>
      <c r="Z2003">
        <v>1.1004079999999999E-2</v>
      </c>
      <c r="AA2003">
        <v>0.97426049999999997</v>
      </c>
      <c r="AB2003">
        <v>36</v>
      </c>
      <c r="AC2003">
        <v>-8.6521999999999899</v>
      </c>
      <c r="AD2003">
        <v>-1.116217634971</v>
      </c>
      <c r="AE2003">
        <v>-4.1419999999999897</v>
      </c>
      <c r="AF2003">
        <v>-2.2049442619050201</v>
      </c>
      <c r="AG2003">
        <v>-1.116217634971</v>
      </c>
      <c r="AH2003">
        <v>9.2039545359077106</v>
      </c>
      <c r="AI2003">
        <v>96.726321092522497</v>
      </c>
      <c r="AJ2003">
        <v>103.47215819320201</v>
      </c>
      <c r="AK2003">
        <v>9.5299790191681009</v>
      </c>
      <c r="AL2003">
        <v>81.690075572454404</v>
      </c>
      <c r="AM2003">
        <v>98.667197930821999</v>
      </c>
      <c r="AN2003">
        <v>1.0000000104320199</v>
      </c>
    </row>
    <row r="2004" spans="1:40" x14ac:dyDescent="0.25">
      <c r="A2004" t="str">
        <f>"20190312164302386"</f>
        <v>20190312164302386</v>
      </c>
      <c r="B2004" t="str">
        <f>"1552380182376617"</f>
        <v>1552380182376617</v>
      </c>
      <c r="C2004" t="s">
        <v>40</v>
      </c>
      <c r="D2004">
        <v>4.4040910000000002</v>
      </c>
      <c r="E2004">
        <v>0.4682249</v>
      </c>
      <c r="F2004" t="s">
        <v>45</v>
      </c>
      <c r="G2004">
        <v>-478.77</v>
      </c>
      <c r="H2004" s="1">
        <v>2.279134E-6</v>
      </c>
      <c r="I2004">
        <v>279.55009999999999</v>
      </c>
      <c r="J2004">
        <v>-470.28769999999997</v>
      </c>
      <c r="K2004">
        <v>1.1162240000000001</v>
      </c>
      <c r="L2004">
        <v>283.68299999999999</v>
      </c>
      <c r="M2004">
        <v>-0.97635190000000005</v>
      </c>
      <c r="N2004">
        <v>0</v>
      </c>
      <c r="O2004">
        <v>-0.21566170000000001</v>
      </c>
      <c r="P2004">
        <v>-0.92501259999999996</v>
      </c>
      <c r="Q2004">
        <v>0.13112860000000001</v>
      </c>
      <c r="R2004">
        <v>-0.3565912</v>
      </c>
      <c r="S2004">
        <v>-2.78363</v>
      </c>
      <c r="T2004">
        <v>-0.35206890000000002</v>
      </c>
      <c r="U2004">
        <v>-1.3286439999999999</v>
      </c>
      <c r="V2004">
        <v>-0.15077750000000001</v>
      </c>
      <c r="W2004">
        <v>0.1437184</v>
      </c>
      <c r="X2004">
        <v>0.97806499999999996</v>
      </c>
      <c r="Y2004">
        <v>-0.2258839</v>
      </c>
      <c r="Z2004">
        <v>1.182646E-2</v>
      </c>
      <c r="AA2004">
        <v>0.97408249999999996</v>
      </c>
      <c r="AB2004">
        <v>36</v>
      </c>
      <c r="AC2004">
        <v>-8.4823000000000093</v>
      </c>
      <c r="AD2004">
        <v>-1.1162217208659999</v>
      </c>
      <c r="AE2004">
        <v>-4.1329000000000002</v>
      </c>
      <c r="AF2004">
        <v>-2.1756602490697001</v>
      </c>
      <c r="AG2004">
        <v>-1.1162217208659999</v>
      </c>
      <c r="AH2004">
        <v>9.0474431256771908</v>
      </c>
      <c r="AI2004">
        <v>96.840215074356294</v>
      </c>
      <c r="AJ2004">
        <v>103.521322261797</v>
      </c>
      <c r="AK2004">
        <v>9.3720689050966008</v>
      </c>
      <c r="AL2004">
        <v>81.736928291101904</v>
      </c>
      <c r="AM2004">
        <v>98.763670479567594</v>
      </c>
      <c r="AN2004">
        <v>0.99999998861490402</v>
      </c>
    </row>
    <row r="2005" spans="1:40" x14ac:dyDescent="0.25">
      <c r="A2005" t="str">
        <f>"20190312164302409"</f>
        <v>20190312164302409</v>
      </c>
      <c r="B2005" t="str">
        <f>"1552380182405897"</f>
        <v>1552380182405897</v>
      </c>
      <c r="C2005" t="s">
        <v>40</v>
      </c>
      <c r="D2005">
        <v>4.4100890000000001</v>
      </c>
      <c r="E2005">
        <v>0.46858480000000002</v>
      </c>
      <c r="F2005" t="s">
        <v>45</v>
      </c>
      <c r="G2005">
        <v>-478.97269999999997</v>
      </c>
      <c r="H2005" s="1">
        <v>2.178093E-6</v>
      </c>
      <c r="I2005">
        <v>279.4658</v>
      </c>
      <c r="J2005">
        <v>-470.65010000000001</v>
      </c>
      <c r="K2005">
        <v>1.1162339999999999</v>
      </c>
      <c r="L2005">
        <v>283.59679999999997</v>
      </c>
      <c r="M2005">
        <v>-0.97495019999999999</v>
      </c>
      <c r="N2005">
        <v>0</v>
      </c>
      <c r="O2005">
        <v>-0.22191279999999999</v>
      </c>
      <c r="P2005">
        <v>-0.92224709999999999</v>
      </c>
      <c r="Q2005">
        <v>0.13076079999999901</v>
      </c>
      <c r="R2005">
        <v>-0.36381619999999998</v>
      </c>
      <c r="S2005">
        <v>-2.7744140000000002</v>
      </c>
      <c r="T2005">
        <v>-0.35657860000000002</v>
      </c>
      <c r="U2005">
        <v>-1.3471979999999999</v>
      </c>
      <c r="V2005">
        <v>-0.15215119999999999</v>
      </c>
      <c r="W2005">
        <v>0.14332339999999999</v>
      </c>
      <c r="X2005">
        <v>0.97791019999999895</v>
      </c>
      <c r="Y2005">
        <v>-0.22622020000000001</v>
      </c>
      <c r="Z2005">
        <v>1.269691E-2</v>
      </c>
      <c r="AA2005">
        <v>0.97399340000000001</v>
      </c>
      <c r="AB2005">
        <v>36</v>
      </c>
      <c r="AC2005">
        <v>-8.3225999999999605</v>
      </c>
      <c r="AD2005">
        <v>-1.116231821907</v>
      </c>
      <c r="AE2005">
        <v>-4.13099999999997</v>
      </c>
      <c r="AF2005">
        <v>-2.14984738463186</v>
      </c>
      <c r="AG2005">
        <v>-1.116231821907</v>
      </c>
      <c r="AH2005">
        <v>8.9033684072095394</v>
      </c>
      <c r="AI2005">
        <v>96.948337208289999</v>
      </c>
      <c r="AJ2005">
        <v>103.57504647550699</v>
      </c>
      <c r="AK2005">
        <v>9.2270139401619709</v>
      </c>
      <c r="AL2005">
        <v>81.759796738125502</v>
      </c>
      <c r="AM2005">
        <v>98.843635729058903</v>
      </c>
      <c r="AN2005">
        <v>0.99999997195651902</v>
      </c>
    </row>
    <row r="2006" spans="1:40" x14ac:dyDescent="0.25">
      <c r="A2006" t="str">
        <f>"20190312164302432"</f>
        <v>20190312164302432</v>
      </c>
      <c r="B2006" t="str">
        <f>"1552380182426394"</f>
        <v>1552380182426394</v>
      </c>
      <c r="C2006" t="s">
        <v>40</v>
      </c>
      <c r="D2006">
        <v>4.4010379999999998</v>
      </c>
      <c r="E2006">
        <v>0.46884199999999998</v>
      </c>
      <c r="F2006" t="s">
        <v>45</v>
      </c>
      <c r="G2006">
        <v>-479.20490000000001</v>
      </c>
      <c r="H2006" s="1">
        <v>2.0626299999999999E-6</v>
      </c>
      <c r="I2006">
        <v>279.37139999999999</v>
      </c>
      <c r="J2006">
        <v>-470.9873</v>
      </c>
      <c r="K2006">
        <v>1.116244</v>
      </c>
      <c r="L2006">
        <v>283.51440000000002</v>
      </c>
      <c r="M2006">
        <v>-0.97360170000000001</v>
      </c>
      <c r="N2006">
        <v>0</v>
      </c>
      <c r="O2006">
        <v>-0.22775629999999999</v>
      </c>
      <c r="P2006">
        <v>-0.91944170000000003</v>
      </c>
      <c r="Q2006">
        <v>0.13161619999999999</v>
      </c>
      <c r="R2006">
        <v>-0.3705463</v>
      </c>
      <c r="S2006">
        <v>-2.7652890000000001</v>
      </c>
      <c r="T2006">
        <v>-0.3608152</v>
      </c>
      <c r="U2006">
        <v>-1.365845</v>
      </c>
      <c r="V2006">
        <v>-0.15347820000000001</v>
      </c>
      <c r="W2006">
        <v>0.14414920000000001</v>
      </c>
      <c r="X2006">
        <v>0.97758140000000004</v>
      </c>
      <c r="Y2006">
        <v>-0.22696530000000001</v>
      </c>
      <c r="Z2006">
        <v>1.3501849999999999E-2</v>
      </c>
      <c r="AA2006">
        <v>0.97380919999999904</v>
      </c>
      <c r="AB2006">
        <v>36</v>
      </c>
      <c r="AC2006">
        <v>-8.2175999999999991</v>
      </c>
      <c r="AD2006">
        <v>-1.1162419373700001</v>
      </c>
      <c r="AE2006">
        <v>-4.1430000000000202</v>
      </c>
      <c r="AF2006">
        <v>-2.13091716385965</v>
      </c>
      <c r="AG2006">
        <v>-1.1162419373700001</v>
      </c>
      <c r="AH2006">
        <v>8.8155846171398693</v>
      </c>
      <c r="AI2006">
        <v>97.016496201697194</v>
      </c>
      <c r="AJ2006">
        <v>103.58896460613801</v>
      </c>
      <c r="AK2006">
        <v>9.1379065525933392</v>
      </c>
      <c r="AL2006">
        <v>81.711985406620599</v>
      </c>
      <c r="AM2006">
        <v>98.922483101147193</v>
      </c>
      <c r="AN2006">
        <v>0.99999997168091903</v>
      </c>
    </row>
    <row r="2007" spans="1:40" x14ac:dyDescent="0.25">
      <c r="A2007" t="str">
        <f>"20190312164302454"</f>
        <v>20190312164302454</v>
      </c>
      <c r="B2007" t="str">
        <f>"1552380182445913"</f>
        <v>1552380182445913</v>
      </c>
      <c r="C2007" t="s">
        <v>40</v>
      </c>
      <c r="D2007">
        <v>4.4223970000000001</v>
      </c>
      <c r="E2007">
        <v>0.46911560000000002</v>
      </c>
      <c r="F2007" t="s">
        <v>45</v>
      </c>
      <c r="G2007">
        <v>-479.53190000000001</v>
      </c>
      <c r="H2007" s="1">
        <v>1.8978470000000001E-6</v>
      </c>
      <c r="I2007">
        <v>279.22179999999997</v>
      </c>
      <c r="J2007">
        <v>-471.34300000000002</v>
      </c>
      <c r="K2007">
        <v>1.116269</v>
      </c>
      <c r="L2007">
        <v>283.42500000000001</v>
      </c>
      <c r="M2007">
        <v>-0.97212790000000004</v>
      </c>
      <c r="N2007">
        <v>0</v>
      </c>
      <c r="O2007">
        <v>-0.2339668</v>
      </c>
      <c r="P2007">
        <v>-0.91644020000000004</v>
      </c>
      <c r="Q2007">
        <v>0.1327179</v>
      </c>
      <c r="R2007">
        <v>-0.37752259999999999</v>
      </c>
      <c r="S2007">
        <v>-2.7563780000000002</v>
      </c>
      <c r="T2007">
        <v>-0.36008790000000002</v>
      </c>
      <c r="U2007">
        <v>-1.384735</v>
      </c>
      <c r="V2007">
        <v>-0.15473039999999999</v>
      </c>
      <c r="W2007">
        <v>0.1452184</v>
      </c>
      <c r="X2007">
        <v>0.97722569999999997</v>
      </c>
      <c r="Y2007">
        <v>-0.2273781</v>
      </c>
      <c r="Z2007">
        <v>1.4190670000000001E-2</v>
      </c>
      <c r="AA2007">
        <v>0.97370310000000004</v>
      </c>
      <c r="AB2007">
        <v>36</v>
      </c>
      <c r="AC2007">
        <v>-8.1888999999999896</v>
      </c>
      <c r="AD2007">
        <v>-1.116267102153</v>
      </c>
      <c r="AE2007">
        <v>-4.20320000000003</v>
      </c>
      <c r="AF2007">
        <v>-2.1389065331573098</v>
      </c>
      <c r="AG2007">
        <v>-1.116267102153</v>
      </c>
      <c r="AH2007">
        <v>8.8154334195995094</v>
      </c>
      <c r="AI2007">
        <v>97.015325268376898</v>
      </c>
      <c r="AJ2007">
        <v>103.63823900830801</v>
      </c>
      <c r="AK2007">
        <v>9.1396301772185495</v>
      </c>
      <c r="AL2007">
        <v>81.650073335801693</v>
      </c>
      <c r="AM2007">
        <v>98.9973148694705</v>
      </c>
      <c r="AN2007">
        <v>0.99999997456160405</v>
      </c>
    </row>
    <row r="2008" spans="1:40" x14ac:dyDescent="0.25">
      <c r="A2008" t="str">
        <f>"20190312164302475"</f>
        <v>20190312164302475</v>
      </c>
      <c r="B2008" t="str">
        <f>"1552380182466410"</f>
        <v>1552380182466410</v>
      </c>
      <c r="C2008" t="s">
        <v>40</v>
      </c>
      <c r="D2008">
        <v>4.3886629999999904</v>
      </c>
      <c r="E2008">
        <v>0.46907929999999998</v>
      </c>
      <c r="F2008" t="s">
        <v>45</v>
      </c>
      <c r="G2008">
        <v>-479.89260000000002</v>
      </c>
      <c r="H2008" s="1">
        <v>1.6933179999999901E-6</v>
      </c>
      <c r="I2008">
        <v>279.05099999999999</v>
      </c>
      <c r="J2008">
        <v>-471.6694</v>
      </c>
      <c r="K2008">
        <v>1.116309</v>
      </c>
      <c r="L2008">
        <v>283.34089999999998</v>
      </c>
      <c r="M2008">
        <v>-0.97072290000000006</v>
      </c>
      <c r="N2008">
        <v>0</v>
      </c>
      <c r="O2008">
        <v>-0.23972950000000001</v>
      </c>
      <c r="P2008">
        <v>-0.91369219999999896</v>
      </c>
      <c r="Q2008">
        <v>0.1329621</v>
      </c>
      <c r="R2008">
        <v>-0.38404129999999997</v>
      </c>
      <c r="S2008">
        <v>-2.7465820000000001</v>
      </c>
      <c r="T2008">
        <v>-0.35860340000000002</v>
      </c>
      <c r="U2008">
        <v>-1.4051819999999999</v>
      </c>
      <c r="V2008">
        <v>-0.15592159999999999</v>
      </c>
      <c r="W2008">
        <v>0.1454297</v>
      </c>
      <c r="X2008">
        <v>0.97700489999999995</v>
      </c>
      <c r="Y2008">
        <v>-0.22878280000000001</v>
      </c>
      <c r="Z2008">
        <v>1.4734199999999999E-2</v>
      </c>
      <c r="AA2008">
        <v>0.97336599999999995</v>
      </c>
      <c r="AB2008">
        <v>36</v>
      </c>
      <c r="AC2008">
        <v>-8.2232000000000198</v>
      </c>
      <c r="AD2008">
        <v>-1.116307306682</v>
      </c>
      <c r="AE2008">
        <v>-4.2898999999999798</v>
      </c>
      <c r="AF2008">
        <v>-2.16189225365869</v>
      </c>
      <c r="AG2008">
        <v>-1.116307306682</v>
      </c>
      <c r="AH2008">
        <v>8.8832046792463508</v>
      </c>
      <c r="AI2008">
        <v>96.9614150025713</v>
      </c>
      <c r="AJ2008">
        <v>103.67808305542</v>
      </c>
      <c r="AK2008">
        <v>9.2103879121764098</v>
      </c>
      <c r="AL2008">
        <v>81.637836703244105</v>
      </c>
      <c r="AM2008">
        <v>99.067449929995703</v>
      </c>
      <c r="AN2008">
        <v>0.99999995880632897</v>
      </c>
    </row>
    <row r="2009" spans="1:40" x14ac:dyDescent="0.25">
      <c r="A2009" t="str">
        <f>"20190312164302497"</f>
        <v>20190312164302497</v>
      </c>
      <c r="B2009" t="str">
        <f>"1552380182485929"</f>
        <v>1552380182485929</v>
      </c>
      <c r="C2009" t="s">
        <v>40</v>
      </c>
      <c r="D2009">
        <v>4.3103040000000004</v>
      </c>
      <c r="E2009">
        <v>0.45520959999999999</v>
      </c>
      <c r="F2009" t="s">
        <v>45</v>
      </c>
      <c r="G2009">
        <v>-480.20400000000001</v>
      </c>
      <c r="H2009" s="1">
        <v>1.6559469999999999E-6</v>
      </c>
      <c r="I2009">
        <v>278.89499999999998</v>
      </c>
      <c r="J2009">
        <v>-472.01170000000002</v>
      </c>
      <c r="K2009">
        <v>1.11636</v>
      </c>
      <c r="L2009">
        <v>283.25040000000001</v>
      </c>
      <c r="M2009">
        <v>-0.96918769999999999</v>
      </c>
      <c r="N2009">
        <v>0</v>
      </c>
      <c r="O2009">
        <v>-0.2458622</v>
      </c>
      <c r="P2009">
        <v>-0.91087799999999997</v>
      </c>
      <c r="Q2009">
        <v>0.13296160000000001</v>
      </c>
      <c r="R2009">
        <v>-0.3906693</v>
      </c>
      <c r="S2009">
        <v>-2.7363279999999999</v>
      </c>
      <c r="T2009">
        <v>-0.35790369999999999</v>
      </c>
      <c r="U2009">
        <v>-1.4254150000000001</v>
      </c>
      <c r="V2009">
        <v>-0.1568639</v>
      </c>
      <c r="W2009">
        <v>0.1453943</v>
      </c>
      <c r="X2009">
        <v>0.97685940000000004</v>
      </c>
      <c r="Y2009">
        <v>-0.22981560000000001</v>
      </c>
      <c r="Z2009">
        <v>1.5373990000000001E-2</v>
      </c>
      <c r="AA2009">
        <v>0.9731128</v>
      </c>
      <c r="AB2009">
        <v>36</v>
      </c>
      <c r="AC2009">
        <v>-8.1922999999999799</v>
      </c>
      <c r="AD2009">
        <v>-1.1163583440530001</v>
      </c>
      <c r="AE2009">
        <v>-4.3554000000000297</v>
      </c>
      <c r="AF2009">
        <v>-2.1757743287417899</v>
      </c>
      <c r="AG2009">
        <v>-1.1163583440530001</v>
      </c>
      <c r="AH2009">
        <v>8.8831235351551392</v>
      </c>
      <c r="AI2009">
        <v>96.959307813114094</v>
      </c>
      <c r="AJ2009">
        <v>103.762704939884</v>
      </c>
      <c r="AK2009">
        <v>9.2135841898132007</v>
      </c>
      <c r="AL2009">
        <v>81.639887417653696</v>
      </c>
      <c r="AM2009">
        <v>99.122665612817897</v>
      </c>
      <c r="AN2009">
        <v>1.0000000364820201</v>
      </c>
    </row>
    <row r="2010" spans="1:40" x14ac:dyDescent="0.25">
      <c r="A2010" t="str">
        <f>"20190312164302521"</f>
        <v>20190312164302521</v>
      </c>
      <c r="B2010" t="str">
        <f>"1552380182516186"</f>
        <v>1552380182516186</v>
      </c>
      <c r="C2010" t="s">
        <v>40</v>
      </c>
      <c r="D2010">
        <v>4.3974690000000001</v>
      </c>
      <c r="E2010">
        <v>0.4507852</v>
      </c>
      <c r="F2010" t="s">
        <v>45</v>
      </c>
      <c r="G2010">
        <v>-481.26729999999998</v>
      </c>
      <c r="H2010" s="1">
        <v>1.576552E-6</v>
      </c>
      <c r="I2010">
        <v>277.90870000000001</v>
      </c>
      <c r="J2010">
        <v>-472.3578</v>
      </c>
      <c r="K2010">
        <v>1.1164350000000001</v>
      </c>
      <c r="L2010">
        <v>283.15629999999999</v>
      </c>
      <c r="M2010">
        <v>-0.96756359999999997</v>
      </c>
      <c r="N2010">
        <v>0</v>
      </c>
      <c r="O2010">
        <v>-0.2521774</v>
      </c>
      <c r="P2010">
        <v>-0.90800429999999999</v>
      </c>
      <c r="Q2010">
        <v>0.13229489999999999</v>
      </c>
      <c r="R2010">
        <v>-0.39752520000000002</v>
      </c>
      <c r="S2010">
        <v>-2.677826</v>
      </c>
      <c r="T2010">
        <v>-0.32298389999999999</v>
      </c>
      <c r="U2010">
        <v>-1.5454410000000001</v>
      </c>
      <c r="V2010">
        <v>-0.15785150000000001</v>
      </c>
      <c r="W2010">
        <v>0.1446876</v>
      </c>
      <c r="X2010">
        <v>0.97680520000000004</v>
      </c>
      <c r="Y2010">
        <v>-0.26516630000000002</v>
      </c>
      <c r="Z2010">
        <v>1.2663860000000001E-2</v>
      </c>
      <c r="AA2010">
        <v>0.96411950000000002</v>
      </c>
      <c r="AB2010">
        <v>36</v>
      </c>
      <c r="AC2010">
        <v>-8.90949999999998</v>
      </c>
      <c r="AD2010">
        <v>-1.116433423448</v>
      </c>
      <c r="AE2010">
        <v>-5.2475999999999701</v>
      </c>
      <c r="AF2010">
        <v>-2.7983113887923499</v>
      </c>
      <c r="AG2010">
        <v>-1.116433423448</v>
      </c>
      <c r="AH2010">
        <v>9.8303624784105104</v>
      </c>
      <c r="AI2010">
        <v>96.233736184278698</v>
      </c>
      <c r="AJ2010">
        <v>105.889535379436</v>
      </c>
      <c r="AK2010">
        <v>10.2816825799369</v>
      </c>
      <c r="AL2010">
        <v>81.680810764745402</v>
      </c>
      <c r="AM2010">
        <v>99.179626939720293</v>
      </c>
      <c r="AN2010">
        <v>0.99999999819652496</v>
      </c>
    </row>
    <row r="2011" spans="1:40" x14ac:dyDescent="0.25">
      <c r="A2011" t="str">
        <f>"20190312164302543"</f>
        <v>20190312164302543</v>
      </c>
      <c r="B2011" t="str">
        <f>"1552380182536681"</f>
        <v>1552380182536681</v>
      </c>
      <c r="C2011" t="s">
        <v>40</v>
      </c>
      <c r="D2011">
        <v>4.6902679999999997</v>
      </c>
      <c r="E2011">
        <v>0.45064729999999997</v>
      </c>
      <c r="F2011" t="s">
        <v>45</v>
      </c>
      <c r="G2011">
        <v>-481.54669999999999</v>
      </c>
      <c r="H2011" s="1">
        <v>1.5501939999999901E-6</v>
      </c>
      <c r="I2011">
        <v>277.61829999999998</v>
      </c>
      <c r="J2011">
        <v>-472.69900000000001</v>
      </c>
      <c r="K2011">
        <v>1.1165240000000001</v>
      </c>
      <c r="L2011">
        <v>283.06099999999998</v>
      </c>
      <c r="M2011">
        <v>-0.96588280000000004</v>
      </c>
      <c r="N2011">
        <v>0</v>
      </c>
      <c r="O2011">
        <v>-0.25854070000000001</v>
      </c>
      <c r="P2011">
        <v>-0.90489989999999998</v>
      </c>
      <c r="Q2011">
        <v>0.1317914</v>
      </c>
      <c r="R2011">
        <v>-0.40470669999999997</v>
      </c>
      <c r="S2011">
        <v>-2.6513059999999999</v>
      </c>
      <c r="T2011">
        <v>-0.32212980000000002</v>
      </c>
      <c r="U2011">
        <v>-1.5979000000000001</v>
      </c>
      <c r="V2011">
        <v>-0.15916810000000001</v>
      </c>
      <c r="W2011">
        <v>0.1441337</v>
      </c>
      <c r="X2011">
        <v>0.97667340000000002</v>
      </c>
      <c r="Y2011">
        <v>-0.2770514</v>
      </c>
      <c r="Z2011">
        <v>1.266833E-2</v>
      </c>
      <c r="AA2011">
        <v>0.96077159999999995</v>
      </c>
      <c r="AB2011">
        <v>36</v>
      </c>
      <c r="AC2011">
        <v>-8.8476999999999695</v>
      </c>
      <c r="AD2011">
        <v>-1.116522449806</v>
      </c>
      <c r="AE2011">
        <v>-5.4427000000000003</v>
      </c>
      <c r="AF2011">
        <v>-2.9359381924857599</v>
      </c>
      <c r="AG2011">
        <v>-1.116522449806</v>
      </c>
      <c r="AH2011">
        <v>9.8404446701391404</v>
      </c>
      <c r="AI2011">
        <v>96.2051996594234</v>
      </c>
      <c r="AJ2011">
        <v>106.61269476831301</v>
      </c>
      <c r="AK2011">
        <v>10.329603417222099</v>
      </c>
      <c r="AL2011">
        <v>81.712882840079899</v>
      </c>
      <c r="AM2011">
        <v>99.256099704889706</v>
      </c>
      <c r="AN2011">
        <v>0.99999996890042897</v>
      </c>
    </row>
    <row r="2012" spans="1:40" x14ac:dyDescent="0.25">
      <c r="A2012" t="str">
        <f>"20190312164302564"</f>
        <v>20190312164302564</v>
      </c>
      <c r="B2012" t="str">
        <f>"1552380182556201"</f>
        <v>1552380182556201</v>
      </c>
      <c r="C2012" t="s">
        <v>40</v>
      </c>
      <c r="D2012">
        <v>4.328792</v>
      </c>
      <c r="E2012">
        <v>0.45042559999999898</v>
      </c>
      <c r="F2012" t="s">
        <v>45</v>
      </c>
      <c r="G2012">
        <v>-481.92259999999999</v>
      </c>
      <c r="H2012" s="1">
        <v>1.5452700000000001E-6</v>
      </c>
      <c r="I2012">
        <v>277.40109999999999</v>
      </c>
      <c r="J2012">
        <v>-473.03539999999998</v>
      </c>
      <c r="K2012">
        <v>1.116619</v>
      </c>
      <c r="L2012">
        <v>282.96440000000001</v>
      </c>
      <c r="M2012">
        <v>-0.96414239999999996</v>
      </c>
      <c r="N2012">
        <v>0</v>
      </c>
      <c r="O2012">
        <v>-0.26495659999999999</v>
      </c>
      <c r="P2012">
        <v>-0.90178700000000001</v>
      </c>
      <c r="Q2012">
        <v>0.13161789999999901</v>
      </c>
      <c r="R2012">
        <v>-0.41165190000000002</v>
      </c>
      <c r="S2012">
        <v>-2.637848</v>
      </c>
      <c r="T2012">
        <v>-0.31931189999999998</v>
      </c>
      <c r="U2012">
        <v>-1.6186830000000001</v>
      </c>
      <c r="V2012">
        <v>-0.16021079999999999</v>
      </c>
      <c r="W2012">
        <v>0.14391189999999901</v>
      </c>
      <c r="X2012">
        <v>0.97653559999999995</v>
      </c>
      <c r="Y2012">
        <v>-0.27837210000000001</v>
      </c>
      <c r="Z2012">
        <v>1.3176729999999999E-2</v>
      </c>
      <c r="AA2012">
        <v>0.96038290000000004</v>
      </c>
      <c r="AB2012">
        <v>36</v>
      </c>
      <c r="AC2012">
        <v>-8.8872</v>
      </c>
      <c r="AD2012">
        <v>-1.1166174547299901</v>
      </c>
      <c r="AE2012">
        <v>-5.5633000000000203</v>
      </c>
      <c r="AF2012">
        <v>-2.9756837327593</v>
      </c>
      <c r="AG2012">
        <v>-1.1166174547299901</v>
      </c>
      <c r="AH2012">
        <v>9.9310653737066605</v>
      </c>
      <c r="AI2012">
        <v>96.147389441259406</v>
      </c>
      <c r="AJ2012">
        <v>106.67999765684</v>
      </c>
      <c r="AK2012">
        <v>10.4272521631756</v>
      </c>
      <c r="AL2012">
        <v>81.725724829919699</v>
      </c>
      <c r="AM2012">
        <v>99.316967693274705</v>
      </c>
      <c r="AN2012">
        <v>0.99999995673280395</v>
      </c>
    </row>
    <row r="2013" spans="1:40" x14ac:dyDescent="0.25">
      <c r="A2013" t="str">
        <f>"20190312164302587"</f>
        <v>20190312164302587</v>
      </c>
      <c r="B2013" t="str">
        <f>"1552380182576697"</f>
        <v>1552380182576697</v>
      </c>
      <c r="C2013" t="s">
        <v>40</v>
      </c>
      <c r="D2013">
        <v>4.3505370000000001</v>
      </c>
      <c r="E2013">
        <v>0.4506696</v>
      </c>
      <c r="F2013" t="s">
        <v>45</v>
      </c>
      <c r="G2013">
        <v>-482.20499999999998</v>
      </c>
      <c r="H2013" s="1">
        <v>1.54177699999999E-6</v>
      </c>
      <c r="I2013">
        <v>277.23899999999998</v>
      </c>
      <c r="J2013">
        <v>-473.37450000000001</v>
      </c>
      <c r="K2013">
        <v>1.1167119999999999</v>
      </c>
      <c r="L2013">
        <v>282.8646</v>
      </c>
      <c r="M2013">
        <v>-0.96230760000000004</v>
      </c>
      <c r="N2013">
        <v>0</v>
      </c>
      <c r="O2013">
        <v>-0.27154529999999999</v>
      </c>
      <c r="P2013">
        <v>-0.89846380000000003</v>
      </c>
      <c r="Q2013">
        <v>0.13081950000000001</v>
      </c>
      <c r="R2013">
        <v>-0.41910560000000002</v>
      </c>
      <c r="S2013">
        <v>-2.6251530000000001</v>
      </c>
      <c r="T2013">
        <v>-0.31967449999999997</v>
      </c>
      <c r="U2013">
        <v>-1.63913</v>
      </c>
      <c r="V2013">
        <v>-0.16160959999999999</v>
      </c>
      <c r="W2013">
        <v>0.14306050000000001</v>
      </c>
      <c r="X2013">
        <v>0.97643020000000003</v>
      </c>
      <c r="Y2013">
        <v>-0.2792982</v>
      </c>
      <c r="Z2013">
        <v>1.384841E-2</v>
      </c>
      <c r="AA2013">
        <v>0.96010450000000003</v>
      </c>
      <c r="AB2013">
        <v>36</v>
      </c>
      <c r="AC2013">
        <v>-8.8304999999999705</v>
      </c>
      <c r="AD2013">
        <v>-1.1167104582230001</v>
      </c>
      <c r="AE2013">
        <v>-5.6255999999999604</v>
      </c>
      <c r="AF2013">
        <v>-2.9820966608837201</v>
      </c>
      <c r="AG2013">
        <v>-1.1167104582230001</v>
      </c>
      <c r="AH2013">
        <v>9.9136290753969707</v>
      </c>
      <c r="AI2013">
        <v>96.156652184919395</v>
      </c>
      <c r="AJ2013">
        <v>106.741695198624</v>
      </c>
      <c r="AK2013">
        <v>10.412491737663601</v>
      </c>
      <c r="AL2013">
        <v>81.775016479751102</v>
      </c>
      <c r="AM2013">
        <v>99.397865574419995</v>
      </c>
      <c r="AN2013">
        <v>0.99999995247222295</v>
      </c>
    </row>
    <row r="2014" spans="1:40" x14ac:dyDescent="0.25">
      <c r="A2014" t="str">
        <f>"20190312164302610"</f>
        <v>20190312164302610</v>
      </c>
      <c r="B2014" t="str">
        <f>"1552380182606532"</f>
        <v>1552380182606532</v>
      </c>
      <c r="C2014" t="s">
        <v>40</v>
      </c>
      <c r="D2014">
        <v>4.3250500000000001</v>
      </c>
      <c r="E2014">
        <v>0.45093240000000001</v>
      </c>
      <c r="F2014" t="s">
        <v>45</v>
      </c>
      <c r="G2014">
        <v>-482.47019999999998</v>
      </c>
      <c r="H2014" s="1">
        <v>1.539222E-6</v>
      </c>
      <c r="I2014">
        <v>277.09089999999998</v>
      </c>
      <c r="J2014">
        <v>-473.71530000000001</v>
      </c>
      <c r="K2014">
        <v>1.116803</v>
      </c>
      <c r="L2014">
        <v>282.76150000000001</v>
      </c>
      <c r="M2014">
        <v>-0.96037620000000001</v>
      </c>
      <c r="N2014">
        <v>0</v>
      </c>
      <c r="O2014">
        <v>-0.27829809999999999</v>
      </c>
      <c r="P2014">
        <v>-0.89493120000000004</v>
      </c>
      <c r="Q2014">
        <v>0.13016059999999999</v>
      </c>
      <c r="R2014">
        <v>-0.42679850000000003</v>
      </c>
      <c r="S2014">
        <v>-2.612244</v>
      </c>
      <c r="T2014">
        <v>-0.32071090000000002</v>
      </c>
      <c r="U2014">
        <v>-1.65814199999999</v>
      </c>
      <c r="V2014">
        <v>-0.1631252</v>
      </c>
      <c r="W2014">
        <v>0.14234649999999999</v>
      </c>
      <c r="X2014">
        <v>0.9762826</v>
      </c>
      <c r="Y2014">
        <v>-0.27970980000000001</v>
      </c>
      <c r="Z2014">
        <v>1.460122E-2</v>
      </c>
      <c r="AA2014">
        <v>0.95997359999999998</v>
      </c>
      <c r="AB2014">
        <v>36</v>
      </c>
      <c r="AC2014">
        <v>-8.7548999999999602</v>
      </c>
      <c r="AD2014">
        <v>-1.1168014607779999</v>
      </c>
      <c r="AE2014">
        <v>-5.6706000000000296</v>
      </c>
      <c r="AF2014">
        <v>-2.9756691670883102</v>
      </c>
      <c r="AG2014">
        <v>-1.1168014607779999</v>
      </c>
      <c r="AH2014">
        <v>9.8740633206591806</v>
      </c>
      <c r="AI2014">
        <v>96.180692660076403</v>
      </c>
      <c r="AJ2014">
        <v>106.77081983645</v>
      </c>
      <c r="AK2014">
        <v>10.372992767525799</v>
      </c>
      <c r="AL2014">
        <v>81.816349372656006</v>
      </c>
      <c r="AM2014">
        <v>99.485814080326506</v>
      </c>
      <c r="AN2014">
        <v>1.0000000360000201</v>
      </c>
    </row>
    <row r="2015" spans="1:40" x14ac:dyDescent="0.25">
      <c r="A2015" t="str">
        <f>"20190312164302632"</f>
        <v>20190312164302632</v>
      </c>
      <c r="B2015" t="str">
        <f>"1552380182626053"</f>
        <v>1552380182626053</v>
      </c>
      <c r="C2015" t="s">
        <v>40</v>
      </c>
      <c r="D2015">
        <v>4.4949440000000003</v>
      </c>
      <c r="E2015">
        <v>0.45139509999999999</v>
      </c>
      <c r="F2015" t="s">
        <v>45</v>
      </c>
      <c r="G2015">
        <v>-482.79320000000001</v>
      </c>
      <c r="H2015" s="1">
        <v>1.5340959999999999E-6</v>
      </c>
      <c r="I2015">
        <v>276.89920000000001</v>
      </c>
      <c r="J2015">
        <v>-474.05029999999999</v>
      </c>
      <c r="K2015">
        <v>1.116886</v>
      </c>
      <c r="L2015">
        <v>282.6576</v>
      </c>
      <c r="M2015">
        <v>-0.95838959999999995</v>
      </c>
      <c r="N2015">
        <v>0</v>
      </c>
      <c r="O2015">
        <v>-0.28506369999999998</v>
      </c>
      <c r="P2015">
        <v>-0.89125779999999999</v>
      </c>
      <c r="Q2015">
        <v>0.1290249</v>
      </c>
      <c r="R2015">
        <v>-0.43475560000000002</v>
      </c>
      <c r="S2015">
        <v>-2.5984500000000001</v>
      </c>
      <c r="T2015">
        <v>-0.3196696</v>
      </c>
      <c r="U2015">
        <v>-1.6780090000000001</v>
      </c>
      <c r="V2015">
        <v>-0.164908</v>
      </c>
      <c r="W2015">
        <v>0.14115179999999999</v>
      </c>
      <c r="X2015">
        <v>0.97615649999999998</v>
      </c>
      <c r="Y2015">
        <v>-0.28046860000000001</v>
      </c>
      <c r="Z2015">
        <v>1.5244819999999999E-2</v>
      </c>
      <c r="AA2015">
        <v>0.95974210000000004</v>
      </c>
      <c r="AB2015">
        <v>36</v>
      </c>
      <c r="AC2015">
        <v>-8.7429000000000094</v>
      </c>
      <c r="AD2015">
        <v>-1.116884465904</v>
      </c>
      <c r="AE2015">
        <v>-5.7583999999999902</v>
      </c>
      <c r="AF2015">
        <v>-2.99278870777687</v>
      </c>
      <c r="AG2015">
        <v>-1.116884465904</v>
      </c>
      <c r="AH2015">
        <v>9.9089748249810103</v>
      </c>
      <c r="AI2015">
        <v>96.158413210706001</v>
      </c>
      <c r="AJ2015">
        <v>106.805790885392</v>
      </c>
      <c r="AK2015">
        <v>10.411147738923001</v>
      </c>
      <c r="AL2015">
        <v>81.885498543350806</v>
      </c>
      <c r="AM2015">
        <v>99.588786001725893</v>
      </c>
      <c r="AN2015">
        <v>0.99999999579974397</v>
      </c>
    </row>
    <row r="2016" spans="1:40" x14ac:dyDescent="0.25">
      <c r="A2016" t="str">
        <f>"20190312164302654"</f>
        <v>20190312164302654</v>
      </c>
      <c r="B2016" t="str">
        <f>"1552380182646548"</f>
        <v>1552380182646548</v>
      </c>
      <c r="C2016" t="s">
        <v>40</v>
      </c>
      <c r="D2016">
        <v>4.3447360000000002</v>
      </c>
      <c r="E2016">
        <v>0.45166299999999998</v>
      </c>
      <c r="F2016" t="s">
        <v>45</v>
      </c>
      <c r="G2016">
        <v>-482.97730000000001</v>
      </c>
      <c r="H2016" s="1">
        <v>1.532832E-6</v>
      </c>
      <c r="I2016">
        <v>276.79930000000002</v>
      </c>
      <c r="J2016">
        <v>-474.38170000000002</v>
      </c>
      <c r="K2016">
        <v>1.1169739999999999</v>
      </c>
      <c r="L2016">
        <v>282.5521</v>
      </c>
      <c r="M2016">
        <v>-0.95633690000000005</v>
      </c>
      <c r="N2016">
        <v>0</v>
      </c>
      <c r="O2016">
        <v>-0.29187649999999998</v>
      </c>
      <c r="P2016">
        <v>-0.8874398</v>
      </c>
      <c r="Q2016">
        <v>0.12780069999999999</v>
      </c>
      <c r="R2016">
        <v>-0.44285210000000003</v>
      </c>
      <c r="S2016">
        <v>-2.5852659999999998</v>
      </c>
      <c r="T2016">
        <v>-0.32345269999999998</v>
      </c>
      <c r="U2016">
        <v>-1.696564</v>
      </c>
      <c r="V2016">
        <v>-0.1668114</v>
      </c>
      <c r="W2016">
        <v>0.139866299999999</v>
      </c>
      <c r="X2016">
        <v>0.9760181</v>
      </c>
      <c r="Y2016">
        <v>-0.28072799999999998</v>
      </c>
      <c r="Z2016">
        <v>1.6156090000000001E-2</v>
      </c>
      <c r="AA2016">
        <v>0.95965140000000004</v>
      </c>
      <c r="AB2016">
        <v>35</v>
      </c>
      <c r="AC2016">
        <v>-8.5955999999999904</v>
      </c>
      <c r="AD2016">
        <v>-1.1169724671679999</v>
      </c>
      <c r="AE2016">
        <v>-5.7527999999999704</v>
      </c>
      <c r="AF2016">
        <v>-2.9585980550900901</v>
      </c>
      <c r="AG2016">
        <v>-1.1169724671679999</v>
      </c>
      <c r="AH2016">
        <v>9.7863921635959201</v>
      </c>
      <c r="AI2016">
        <v>96.234940192441798</v>
      </c>
      <c r="AJ2016">
        <v>106.82098800824301</v>
      </c>
      <c r="AK2016">
        <v>10.284668274849</v>
      </c>
      <c r="AL2016">
        <v>81.959890143118002</v>
      </c>
      <c r="AM2016">
        <v>99.698720704147206</v>
      </c>
      <c r="AN2016">
        <v>0.99999997828662901</v>
      </c>
    </row>
    <row r="2017" spans="1:40" x14ac:dyDescent="0.25">
      <c r="A2017" t="str">
        <f>"20190312164302676"</f>
        <v>20190312164302676</v>
      </c>
      <c r="B2017" t="str">
        <f>"1552380182666069"</f>
        <v>1552380182666069</v>
      </c>
      <c r="C2017" t="s">
        <v>40</v>
      </c>
      <c r="D2017">
        <v>4.3541980000000002</v>
      </c>
      <c r="E2017">
        <v>0.45186920000000003</v>
      </c>
      <c r="F2017" t="s">
        <v>45</v>
      </c>
      <c r="G2017">
        <v>-483.1739</v>
      </c>
      <c r="H2017" s="1">
        <v>1.52882E-6</v>
      </c>
      <c r="I2017">
        <v>276.67750000000001</v>
      </c>
      <c r="J2017">
        <v>-474.71010000000001</v>
      </c>
      <c r="K2017">
        <v>1.1170500000000001</v>
      </c>
      <c r="L2017">
        <v>282.44499999999999</v>
      </c>
      <c r="M2017">
        <v>-0.95421560000000005</v>
      </c>
      <c r="N2017">
        <v>0</v>
      </c>
      <c r="O2017">
        <v>-0.2987378</v>
      </c>
      <c r="P2017">
        <v>-0.88374929999999996</v>
      </c>
      <c r="Q2017">
        <v>0.12696389999999999</v>
      </c>
      <c r="R2017">
        <v>-0.45040829999999998</v>
      </c>
      <c r="S2017">
        <v>-2.5704349999999998</v>
      </c>
      <c r="T2017">
        <v>-0.32655380000000001</v>
      </c>
      <c r="U2017">
        <v>-1.717468</v>
      </c>
      <c r="V2017">
        <v>-0.16811189999999901</v>
      </c>
      <c r="W2017">
        <v>0.13897809999999999</v>
      </c>
      <c r="X2017">
        <v>0.97592190000000001</v>
      </c>
      <c r="Y2017">
        <v>-0.28181489999999998</v>
      </c>
      <c r="Z2017">
        <v>1.70108E-2</v>
      </c>
      <c r="AA2017">
        <v>0.959318</v>
      </c>
      <c r="AB2017">
        <v>35</v>
      </c>
      <c r="AC2017">
        <v>-8.4637999999999902</v>
      </c>
      <c r="AD2017">
        <v>-1.1170484711799999</v>
      </c>
      <c r="AE2017">
        <v>-5.7674999999999796</v>
      </c>
      <c r="AF2017">
        <v>-2.9403454067115198</v>
      </c>
      <c r="AG2017">
        <v>-1.1170484711799999</v>
      </c>
      <c r="AH2017">
        <v>9.6851728542599709</v>
      </c>
      <c r="AI2017">
        <v>96.297794829355198</v>
      </c>
      <c r="AJ2017">
        <v>106.88789420399</v>
      </c>
      <c r="AK2017">
        <v>10.1831233722581</v>
      </c>
      <c r="AL2017">
        <v>82.011282690802503</v>
      </c>
      <c r="AM2017">
        <v>99.7738263177053</v>
      </c>
      <c r="AN2017">
        <v>1.00000003905041</v>
      </c>
    </row>
    <row r="2018" spans="1:40" x14ac:dyDescent="0.25">
      <c r="A2018" t="str">
        <f>"20190312164302699"</f>
        <v>20190312164302699</v>
      </c>
      <c r="B2018" t="str">
        <f>"1552380182696326"</f>
        <v>1552380182696326</v>
      </c>
      <c r="C2018" t="s">
        <v>40</v>
      </c>
      <c r="D2018">
        <v>4.3190460000000002</v>
      </c>
      <c r="E2018">
        <v>0.45239649999999998</v>
      </c>
      <c r="F2018" t="s">
        <v>45</v>
      </c>
      <c r="G2018">
        <v>-483.37329999999997</v>
      </c>
      <c r="H2018" s="1">
        <v>1.5250359999999999E-6</v>
      </c>
      <c r="I2018">
        <v>276.55560000000003</v>
      </c>
      <c r="J2018">
        <v>-475.0453</v>
      </c>
      <c r="K2018">
        <v>1.117132</v>
      </c>
      <c r="L2018">
        <v>282.3329</v>
      </c>
      <c r="M2018">
        <v>-0.95195859999999999</v>
      </c>
      <c r="N2018">
        <v>0</v>
      </c>
      <c r="O2018">
        <v>-0.30585319999999999</v>
      </c>
      <c r="P2018">
        <v>-0.87932440000000001</v>
      </c>
      <c r="Q2018">
        <v>0.12693109999999999</v>
      </c>
      <c r="R2018">
        <v>-0.45899659999999898</v>
      </c>
      <c r="S2018">
        <v>-2.5562740000000002</v>
      </c>
      <c r="T2018">
        <v>-0.32961119999999999</v>
      </c>
      <c r="U2018">
        <v>-1.7377929999999999</v>
      </c>
      <c r="V2018">
        <v>-0.17036589999999999</v>
      </c>
      <c r="W2018">
        <v>0.13887179999999999</v>
      </c>
      <c r="X2018">
        <v>0.97554609999999997</v>
      </c>
      <c r="Y2018">
        <v>-0.28237279999999998</v>
      </c>
      <c r="Z2018">
        <v>1.793196E-2</v>
      </c>
      <c r="AA2018">
        <v>0.95913709999999996</v>
      </c>
      <c r="AB2018">
        <v>35</v>
      </c>
      <c r="AC2018">
        <v>-8.3279999999999692</v>
      </c>
      <c r="AD2018">
        <v>-1.1171304749640001</v>
      </c>
      <c r="AE2018">
        <v>-5.7772999999999604</v>
      </c>
      <c r="AF2018">
        <v>-2.9175012617926499</v>
      </c>
      <c r="AG2018">
        <v>-1.1171304749640001</v>
      </c>
      <c r="AH2018">
        <v>9.5796534290176396</v>
      </c>
      <c r="AI2018">
        <v>96.365375670575304</v>
      </c>
      <c r="AJ2018">
        <v>106.93821164868901</v>
      </c>
      <c r="AK2018">
        <v>10.0761874700079</v>
      </c>
      <c r="AL2018">
        <v>82.017432998680206</v>
      </c>
      <c r="AM2018">
        <v>99.906032898870095</v>
      </c>
      <c r="AN2018">
        <v>1.0000000549716199</v>
      </c>
    </row>
    <row r="2019" spans="1:40" x14ac:dyDescent="0.25">
      <c r="A2019" t="str">
        <f>"20190312164302722"</f>
        <v>20190312164302722</v>
      </c>
      <c r="B2019" t="str">
        <f>"1552380182716821"</f>
        <v>1552380182716821</v>
      </c>
      <c r="C2019" t="s">
        <v>40</v>
      </c>
      <c r="D2019">
        <v>4.5393850000000002</v>
      </c>
      <c r="E2019">
        <v>0.45303120000000002</v>
      </c>
      <c r="F2019" t="s">
        <v>45</v>
      </c>
      <c r="G2019">
        <v>-483.7217</v>
      </c>
      <c r="H2019" s="1">
        <v>1.5155449999999999E-6</v>
      </c>
      <c r="I2019">
        <v>276.3263</v>
      </c>
      <c r="J2019">
        <v>-475.38200000000001</v>
      </c>
      <c r="K2019">
        <v>1.117221</v>
      </c>
      <c r="L2019">
        <v>282.21719999999999</v>
      </c>
      <c r="M2019">
        <v>-0.94959459999999996</v>
      </c>
      <c r="N2019">
        <v>0</v>
      </c>
      <c r="O2019">
        <v>-0.31311539999999999</v>
      </c>
      <c r="P2019">
        <v>-0.87482660000000001</v>
      </c>
      <c r="Q2019">
        <v>0.1266398</v>
      </c>
      <c r="R2019">
        <v>-0.46759089999999998</v>
      </c>
      <c r="S2019">
        <v>-2.5408019999999998</v>
      </c>
      <c r="T2019">
        <v>-0.32714029999999999</v>
      </c>
      <c r="U2019">
        <v>-1.758972</v>
      </c>
      <c r="V2019">
        <v>-0.1724908</v>
      </c>
      <c r="W2019">
        <v>0.1385101</v>
      </c>
      <c r="X2019">
        <v>0.97522399999999998</v>
      </c>
      <c r="Y2019">
        <v>-0.28321259999999998</v>
      </c>
      <c r="Z2019">
        <v>1.856025E-2</v>
      </c>
      <c r="AA2019">
        <v>0.9588776</v>
      </c>
      <c r="AB2019">
        <v>35</v>
      </c>
      <c r="AC2019">
        <v>-8.3397000000000503</v>
      </c>
      <c r="AD2019">
        <v>-1.1172194844550001</v>
      </c>
      <c r="AE2019">
        <v>-5.8908999999999798</v>
      </c>
      <c r="AF2019">
        <v>-2.94772780513104</v>
      </c>
      <c r="AG2019">
        <v>-1.1172194844550001</v>
      </c>
      <c r="AH2019">
        <v>9.6494542617922701</v>
      </c>
      <c r="AI2019">
        <v>96.318578317405795</v>
      </c>
      <c r="AJ2019">
        <v>106.986931835813</v>
      </c>
      <c r="AK2019">
        <v>10.1513174583405</v>
      </c>
      <c r="AL2019">
        <v>82.038358572722998</v>
      </c>
      <c r="AM2019">
        <v>100.03033872947999</v>
      </c>
      <c r="AN2019">
        <v>0.99999998703132398</v>
      </c>
    </row>
    <row r="2020" spans="1:40" x14ac:dyDescent="0.25">
      <c r="A2020" t="str">
        <f>"20190312164302743"</f>
        <v>20190312164302743</v>
      </c>
      <c r="B2020" t="str">
        <f>"1552380182736341"</f>
        <v>1552380182736341</v>
      </c>
      <c r="C2020" t="s">
        <v>40</v>
      </c>
      <c r="D2020">
        <v>4.4250170000000004</v>
      </c>
      <c r="E2020">
        <v>0.45350750000000001</v>
      </c>
      <c r="F2020" t="s">
        <v>45</v>
      </c>
      <c r="G2020">
        <v>-484.06110000000001</v>
      </c>
      <c r="H2020" s="1">
        <v>1.506825E-6</v>
      </c>
      <c r="I2020">
        <v>276.10579999999999</v>
      </c>
      <c r="J2020">
        <v>-475.70030000000003</v>
      </c>
      <c r="K2020">
        <v>1.117313</v>
      </c>
      <c r="L2020">
        <v>282.10500000000002</v>
      </c>
      <c r="M2020">
        <v>-0.94726600000000005</v>
      </c>
      <c r="N2020">
        <v>0</v>
      </c>
      <c r="O2020">
        <v>-0.32009100000000001</v>
      </c>
      <c r="P2020">
        <v>-0.87062379999999995</v>
      </c>
      <c r="Q2020">
        <v>0.1261641</v>
      </c>
      <c r="R2020">
        <v>-0.4754969</v>
      </c>
      <c r="S2020">
        <v>-2.5256959999999999</v>
      </c>
      <c r="T2020">
        <v>-0.32512180000000002</v>
      </c>
      <c r="U2020">
        <v>-1.778473</v>
      </c>
      <c r="V2020">
        <v>-0.17415510000000001</v>
      </c>
      <c r="W2020">
        <v>0.13797309999999999</v>
      </c>
      <c r="X2020">
        <v>0.97500430000000005</v>
      </c>
      <c r="Y2020">
        <v>-0.283835</v>
      </c>
      <c r="Z2020">
        <v>1.9187840000000001E-2</v>
      </c>
      <c r="AA2020">
        <v>0.95868120000000001</v>
      </c>
      <c r="AB2020">
        <v>35</v>
      </c>
      <c r="AC2020">
        <v>-8.3607999999999798</v>
      </c>
      <c r="AD2020">
        <v>-1.1173114931749999</v>
      </c>
      <c r="AE2020">
        <v>-5.9992000000000196</v>
      </c>
      <c r="AF2020">
        <v>-2.9719291903673701</v>
      </c>
      <c r="AG2020">
        <v>-1.1173114931749999</v>
      </c>
      <c r="AH2020">
        <v>9.7266495878695505</v>
      </c>
      <c r="AI2020">
        <v>96.269233338264499</v>
      </c>
      <c r="AJ2020">
        <v>106.99027037200101</v>
      </c>
      <c r="AK2020">
        <v>10.2317378919977</v>
      </c>
      <c r="AL2020">
        <v>82.069424631978706</v>
      </c>
      <c r="AM2020">
        <v>100.12735900029701</v>
      </c>
      <c r="AN2020">
        <v>0.999999980099054</v>
      </c>
    </row>
    <row r="2021" spans="1:40" x14ac:dyDescent="0.25">
      <c r="A2021" t="str">
        <f>"20190312164302765"</f>
        <v>20190312164302765</v>
      </c>
      <c r="B2021" t="str">
        <f>"1552380182755861"</f>
        <v>1552380182755861</v>
      </c>
      <c r="C2021" t="s">
        <v>40</v>
      </c>
      <c r="D2021">
        <v>4.3922549999999996</v>
      </c>
      <c r="E2021">
        <v>0.45417449999999998</v>
      </c>
      <c r="F2021" t="s">
        <v>45</v>
      </c>
      <c r="G2021">
        <v>-484.32979999999998</v>
      </c>
      <c r="H2021" s="1">
        <v>1.498847E-6</v>
      </c>
      <c r="I2021">
        <v>275.92520000000002</v>
      </c>
      <c r="J2021">
        <v>-476.03019999999998</v>
      </c>
      <c r="K2021">
        <v>1.117397</v>
      </c>
      <c r="L2021">
        <v>281.98579999999998</v>
      </c>
      <c r="M2021">
        <v>-0.94475880000000001</v>
      </c>
      <c r="N2021">
        <v>0</v>
      </c>
      <c r="O2021">
        <v>-0.32741619999999999</v>
      </c>
      <c r="P2021">
        <v>-0.86592809999999898</v>
      </c>
      <c r="Q2021">
        <v>0.12546789999999999</v>
      </c>
      <c r="R2021">
        <v>-0.48417640000000001</v>
      </c>
      <c r="S2021">
        <v>-2.5108640000000002</v>
      </c>
      <c r="T2021">
        <v>-0.325096</v>
      </c>
      <c r="U2021">
        <v>-1.7980959999999999</v>
      </c>
      <c r="V2021">
        <v>-0.1763392</v>
      </c>
      <c r="W2021">
        <v>0.1372071</v>
      </c>
      <c r="X2021">
        <v>0.97471980000000003</v>
      </c>
      <c r="Y2021">
        <v>-0.2840762</v>
      </c>
      <c r="Z2021">
        <v>1.9984789999999999E-2</v>
      </c>
      <c r="AA2021">
        <v>0.95859340000000004</v>
      </c>
      <c r="AB2021">
        <v>35</v>
      </c>
      <c r="AC2021">
        <v>-8.2995999999999892</v>
      </c>
      <c r="AD2021">
        <v>-1.1173955011529999</v>
      </c>
      <c r="AE2021">
        <v>-6.06059999999996</v>
      </c>
      <c r="AF2021">
        <v>-2.9735732552229499</v>
      </c>
      <c r="AG2021">
        <v>-1.1173955011529999</v>
      </c>
      <c r="AH2021">
        <v>9.7117734372365305</v>
      </c>
      <c r="AI2021">
        <v>96.278117746585806</v>
      </c>
      <c r="AJ2021">
        <v>107.023661635172</v>
      </c>
      <c r="AK2021">
        <v>10.218084649599801</v>
      </c>
      <c r="AL2021">
        <v>82.113734741436602</v>
      </c>
      <c r="AM2021">
        <v>100.25461888544901</v>
      </c>
      <c r="AN2021">
        <v>0.99999999512954496</v>
      </c>
    </row>
    <row r="2022" spans="1:40" x14ac:dyDescent="0.25">
      <c r="A2022" t="str">
        <f>"20190312164302788"</f>
        <v>20190312164302788</v>
      </c>
      <c r="B2022" t="str">
        <f>"1552380182776357"</f>
        <v>1552380182776357</v>
      </c>
      <c r="C2022" t="s">
        <v>40</v>
      </c>
      <c r="D2022">
        <v>4.3334440000000001</v>
      </c>
      <c r="E2022">
        <v>0.45426820000000001</v>
      </c>
      <c r="F2022" t="s">
        <v>45</v>
      </c>
      <c r="G2022">
        <v>-484.6121</v>
      </c>
      <c r="H2022" s="1">
        <v>1.4887E-6</v>
      </c>
      <c r="I2022">
        <v>275.72539999999998</v>
      </c>
      <c r="J2022">
        <v>-476.35410000000002</v>
      </c>
      <c r="K2022">
        <v>1.1174729999999999</v>
      </c>
      <c r="L2022">
        <v>281.86599999999999</v>
      </c>
      <c r="M2022">
        <v>-0.94220119999999896</v>
      </c>
      <c r="N2022">
        <v>0</v>
      </c>
      <c r="O2022">
        <v>-0.33470470000000002</v>
      </c>
      <c r="P2022">
        <v>-0.86069549999999995</v>
      </c>
      <c r="Q2022">
        <v>0.12515490000000001</v>
      </c>
      <c r="R2022">
        <v>-0.49349710000000002</v>
      </c>
      <c r="S2022">
        <v>-2.494202</v>
      </c>
      <c r="T2022">
        <v>-0.32475320000000002</v>
      </c>
      <c r="U2022">
        <v>-1.8194889999999999</v>
      </c>
      <c r="V2022">
        <v>-0.179343899999999</v>
      </c>
      <c r="W2022">
        <v>0.1368065</v>
      </c>
      <c r="X2022">
        <v>0.97422779999999998</v>
      </c>
      <c r="Y2022">
        <v>-0.28511209999999998</v>
      </c>
      <c r="Z2022">
        <v>2.07186E-2</v>
      </c>
      <c r="AA2022">
        <v>0.95827019999999996</v>
      </c>
      <c r="AB2022">
        <v>35</v>
      </c>
      <c r="AC2022">
        <v>-8.2579999999999796</v>
      </c>
      <c r="AD2022">
        <v>-1.1174715113</v>
      </c>
      <c r="AE2022">
        <v>-6.1406000000000001</v>
      </c>
      <c r="AF2022">
        <v>-2.98681713461507</v>
      </c>
      <c r="AG2022">
        <v>-1.1174715113</v>
      </c>
      <c r="AH2022">
        <v>9.7224719082597293</v>
      </c>
      <c r="AI2022">
        <v>96.269899725504402</v>
      </c>
      <c r="AJ2022">
        <v>107.077355005334</v>
      </c>
      <c r="AK2022">
        <v>10.232119974917</v>
      </c>
      <c r="AL2022">
        <v>82.136906205614096</v>
      </c>
      <c r="AM2022">
        <v>100.43069974281001</v>
      </c>
      <c r="AN2022">
        <v>1.00000002960114</v>
      </c>
    </row>
    <row r="2023" spans="1:40" x14ac:dyDescent="0.25">
      <c r="A2023" t="str">
        <f>"20190312164302811"</f>
        <v>20190312164302811</v>
      </c>
      <c r="B2023" t="str">
        <f>"1552380182806616"</f>
        <v>1552380182806616</v>
      </c>
      <c r="C2023" t="s">
        <v>40</v>
      </c>
      <c r="D2023">
        <v>4.3263499999999997</v>
      </c>
      <c r="E2023">
        <v>0.43431199999999998</v>
      </c>
      <c r="F2023" t="s">
        <v>45</v>
      </c>
      <c r="G2023">
        <v>-484.84949999999998</v>
      </c>
      <c r="H2023" s="1">
        <v>1.4764280000000001E-6</v>
      </c>
      <c r="I2023">
        <v>275.53620000000001</v>
      </c>
      <c r="J2023">
        <v>-476.68459999999999</v>
      </c>
      <c r="K2023">
        <v>1.1175580000000001</v>
      </c>
      <c r="L2023">
        <v>281.74059999999997</v>
      </c>
      <c r="M2023">
        <v>-0.93948960000000004</v>
      </c>
      <c r="N2023">
        <v>0</v>
      </c>
      <c r="O2023">
        <v>-0.3422423</v>
      </c>
      <c r="P2023">
        <v>-0.85518989999999995</v>
      </c>
      <c r="Q2023">
        <v>0.12547939999999999</v>
      </c>
      <c r="R2023">
        <v>-0.50289709999999999</v>
      </c>
      <c r="S2023">
        <v>-2.475403</v>
      </c>
      <c r="T2023">
        <v>-0.3256136</v>
      </c>
      <c r="U2023">
        <v>-1.8443909999999999</v>
      </c>
      <c r="V2023">
        <v>-0.18226609999999999</v>
      </c>
      <c r="W2023">
        <v>0.13704269999999999</v>
      </c>
      <c r="X2023">
        <v>0.97365210000000002</v>
      </c>
      <c r="Y2023">
        <v>-0.28714489999999998</v>
      </c>
      <c r="Z2023">
        <v>2.1502380000000001E-2</v>
      </c>
      <c r="AA2023">
        <v>0.95764579999999999</v>
      </c>
      <c r="AB2023">
        <v>35</v>
      </c>
      <c r="AC2023">
        <v>-8.1648999999999798</v>
      </c>
      <c r="AD2023">
        <v>-1.117556523572</v>
      </c>
      <c r="AE2023">
        <v>-6.2043999999999597</v>
      </c>
      <c r="AF2023">
        <v>-2.99932201270726</v>
      </c>
      <c r="AG2023">
        <v>-1.117556523572</v>
      </c>
      <c r="AH2023">
        <v>9.6804017527732</v>
      </c>
      <c r="AI2023">
        <v>96.292783917250901</v>
      </c>
      <c r="AJ2023">
        <v>107.214782413151</v>
      </c>
      <c r="AK2023">
        <v>10.1958346011684</v>
      </c>
      <c r="AL2023">
        <v>82.123244209920401</v>
      </c>
      <c r="AM2023">
        <v>100.602959970732</v>
      </c>
      <c r="AN2023">
        <v>1.00000002233345</v>
      </c>
    </row>
    <row r="2024" spans="1:40" x14ac:dyDescent="0.25">
      <c r="A2024" t="str">
        <f>"20190312164302833"</f>
        <v>20190312164302833</v>
      </c>
      <c r="B2024" t="str">
        <f>"1552380182826133"</f>
        <v>1552380182826133</v>
      </c>
      <c r="C2024" t="s">
        <v>40</v>
      </c>
      <c r="D2024">
        <v>4.2817379999999998</v>
      </c>
      <c r="E2024">
        <v>0.43389349999999999</v>
      </c>
      <c r="F2024" t="s">
        <v>45</v>
      </c>
      <c r="G2024">
        <v>-484.87419999999997</v>
      </c>
      <c r="H2024" s="1">
        <v>1.351473E-6</v>
      </c>
      <c r="I2024">
        <v>274.81420000000003</v>
      </c>
      <c r="J2024">
        <v>-477.02170000000001</v>
      </c>
      <c r="K2024">
        <v>1.1176429999999999</v>
      </c>
      <c r="L2024">
        <v>281.60950000000003</v>
      </c>
      <c r="M2024">
        <v>-0.936608</v>
      </c>
      <c r="N2024">
        <v>0</v>
      </c>
      <c r="O2024">
        <v>-0.35005059999999999</v>
      </c>
      <c r="P2024">
        <v>-0.84999530000000001</v>
      </c>
      <c r="Q2024">
        <v>0.12520780000000001</v>
      </c>
      <c r="R2024">
        <v>-0.51169399999999998</v>
      </c>
      <c r="S2024">
        <v>-2.3745729999999998</v>
      </c>
      <c r="T2024">
        <v>-0.32403459999999901</v>
      </c>
      <c r="U2024">
        <v>-2.0083009999999999</v>
      </c>
      <c r="V2024">
        <v>-0.1842221</v>
      </c>
      <c r="W2024">
        <v>0.13670019999999999</v>
      </c>
      <c r="X2024">
        <v>0.97333199999999997</v>
      </c>
      <c r="Y2024">
        <v>-0.33759080000000002</v>
      </c>
      <c r="Z2024">
        <v>1.9446399999999999E-2</v>
      </c>
      <c r="AA2024">
        <v>0.94109209999999999</v>
      </c>
      <c r="AB2024">
        <v>35</v>
      </c>
      <c r="AC2024">
        <v>-7.8524999999999601</v>
      </c>
      <c r="AD2024">
        <v>-1.117641648527</v>
      </c>
      <c r="AE2024">
        <v>-6.7952999999999903</v>
      </c>
      <c r="AF2024">
        <v>-3.5747681830571398</v>
      </c>
      <c r="AG2024">
        <v>-1.117641648527</v>
      </c>
      <c r="AH2024">
        <v>9.6230655872995996</v>
      </c>
      <c r="AI2024">
        <v>96.213468046095201</v>
      </c>
      <c r="AJ2024">
        <v>110.378981563968</v>
      </c>
      <c r="AK2024">
        <v>10.3262520652262</v>
      </c>
      <c r="AL2024">
        <v>82.143053915652899</v>
      </c>
      <c r="AM2024">
        <v>100.717567638874</v>
      </c>
      <c r="AN2024">
        <v>0.99999995451622303</v>
      </c>
    </row>
    <row r="2025" spans="1:40" x14ac:dyDescent="0.25">
      <c r="A2025" t="str">
        <f>"20190312164302856"</f>
        <v>20190312164302856</v>
      </c>
      <c r="B2025" t="str">
        <f>"1552380182845653"</f>
        <v>1552380182845653</v>
      </c>
      <c r="C2025" t="s">
        <v>40</v>
      </c>
      <c r="D2025">
        <v>4.3056299999999998</v>
      </c>
      <c r="E2025">
        <v>0.43407709999999999</v>
      </c>
      <c r="F2025" t="s">
        <v>45</v>
      </c>
      <c r="G2025">
        <v>-485.14870000000002</v>
      </c>
      <c r="H2025" s="1">
        <v>1.3245819999999999E-6</v>
      </c>
      <c r="I2025">
        <v>274.57</v>
      </c>
      <c r="J2025">
        <v>-477.3306</v>
      </c>
      <c r="K2025">
        <v>1.117731</v>
      </c>
      <c r="L2025">
        <v>281.48649999999998</v>
      </c>
      <c r="M2025">
        <v>-0.93385890000000005</v>
      </c>
      <c r="N2025">
        <v>0</v>
      </c>
      <c r="O2025">
        <v>-0.35731970000000002</v>
      </c>
      <c r="P2025">
        <v>-0.845054999999999</v>
      </c>
      <c r="Q2025">
        <v>0.12416530000000001</v>
      </c>
      <c r="R2025">
        <v>-0.52006220000000003</v>
      </c>
      <c r="S2025">
        <v>-2.351105</v>
      </c>
      <c r="T2025">
        <v>-0.32332689999999997</v>
      </c>
      <c r="U2025">
        <v>-2.0364990000000001</v>
      </c>
      <c r="V2025">
        <v>-0.1862277</v>
      </c>
      <c r="W2025">
        <v>0.13558629999999999</v>
      </c>
      <c r="X2025">
        <v>0.97310609999999997</v>
      </c>
      <c r="Y2025">
        <v>-0.341387</v>
      </c>
      <c r="Z2025">
        <v>2.0002450000000001E-2</v>
      </c>
      <c r="AA2025">
        <v>0.93971000000000005</v>
      </c>
      <c r="AB2025">
        <v>35</v>
      </c>
      <c r="AC2025">
        <v>-7.81810000000001</v>
      </c>
      <c r="AD2025">
        <v>-1.1177296754179999</v>
      </c>
      <c r="AE2025">
        <v>-6.9164999999999797</v>
      </c>
      <c r="AF2025">
        <v>-3.6243399729840302</v>
      </c>
      <c r="AG2025">
        <v>-1.1177296754179999</v>
      </c>
      <c r="AH2025">
        <v>9.6627380169994996</v>
      </c>
      <c r="AI2025">
        <v>96.181390709841395</v>
      </c>
      <c r="AJ2025">
        <v>110.56027262368499</v>
      </c>
      <c r="AK2025">
        <v>10.3804463224009</v>
      </c>
      <c r="AL2025">
        <v>82.207475407359595</v>
      </c>
      <c r="AM2025">
        <v>100.833957388439</v>
      </c>
      <c r="AN2025">
        <v>0.99999994142609305</v>
      </c>
    </row>
    <row r="2026" spans="1:40" x14ac:dyDescent="0.25">
      <c r="A2026" t="str">
        <f>"20190312164302877"</f>
        <v>20190312164302877</v>
      </c>
      <c r="B2026" t="str">
        <f>"1552380182866149"</f>
        <v>1552380182866149</v>
      </c>
      <c r="C2026" t="s">
        <v>40</v>
      </c>
      <c r="D2026">
        <v>4.2742069999999996</v>
      </c>
      <c r="E2026">
        <v>0.43438189999999999</v>
      </c>
      <c r="F2026" t="s">
        <v>45</v>
      </c>
      <c r="G2026">
        <v>-485.22750000000002</v>
      </c>
      <c r="H2026" s="1">
        <v>1.3119610000000001E-6</v>
      </c>
      <c r="I2026">
        <v>274.5145</v>
      </c>
      <c r="J2026">
        <v>-477.64960000000002</v>
      </c>
      <c r="K2026">
        <v>1.1178250000000001</v>
      </c>
      <c r="L2026">
        <v>281.35629999999998</v>
      </c>
      <c r="M2026">
        <v>-0.93090269999999997</v>
      </c>
      <c r="N2026">
        <v>0</v>
      </c>
      <c r="O2026">
        <v>-0.36495139999999998</v>
      </c>
      <c r="P2026">
        <v>-0.83965140000000005</v>
      </c>
      <c r="Q2026">
        <v>0.1233052</v>
      </c>
      <c r="R2026">
        <v>-0.52894399999999997</v>
      </c>
      <c r="S2026">
        <v>-2.331696</v>
      </c>
      <c r="T2026">
        <v>-0.33003070000000001</v>
      </c>
      <c r="U2026">
        <v>-2.0585939999999998</v>
      </c>
      <c r="V2026">
        <v>-0.1884989</v>
      </c>
      <c r="W2026">
        <v>0.13464279999999901</v>
      </c>
      <c r="X2026">
        <v>0.97279979999999999</v>
      </c>
      <c r="Y2026">
        <v>-0.34260940000000001</v>
      </c>
      <c r="Z2026">
        <v>2.1211000000000001E-2</v>
      </c>
      <c r="AA2026">
        <v>0.93923849999999998</v>
      </c>
      <c r="AB2026">
        <v>35</v>
      </c>
      <c r="AC2026">
        <v>-7.5778999999999996</v>
      </c>
      <c r="AD2026">
        <v>-1.117823688039</v>
      </c>
      <c r="AE2026">
        <v>-6.8417999999999699</v>
      </c>
      <c r="AF2026">
        <v>-3.5612099789454299</v>
      </c>
      <c r="AG2026">
        <v>-1.117823688039</v>
      </c>
      <c r="AH2026">
        <v>9.43916037919597</v>
      </c>
      <c r="AI2026">
        <v>96.322617819906199</v>
      </c>
      <c r="AJ2026">
        <v>110.67050692055599</v>
      </c>
      <c r="AK2026">
        <v>10.150344574243</v>
      </c>
      <c r="AL2026">
        <v>82.2620346248288</v>
      </c>
      <c r="AM2026">
        <v>100.96627177418</v>
      </c>
      <c r="AN2026">
        <v>0.99999998488654396</v>
      </c>
    </row>
    <row r="2027" spans="1:40" x14ac:dyDescent="0.25">
      <c r="A2027" t="str">
        <f>"20190312164302901"</f>
        <v>20190312164302901</v>
      </c>
      <c r="B2027" t="str">
        <f>"1552380182896405"</f>
        <v>1552380182896405</v>
      </c>
      <c r="C2027" t="s">
        <v>40</v>
      </c>
      <c r="D2027">
        <v>4.3465590000000001</v>
      </c>
      <c r="E2027">
        <v>0.4355562</v>
      </c>
      <c r="F2027" t="s">
        <v>45</v>
      </c>
      <c r="G2027">
        <v>-485.49990000000003</v>
      </c>
      <c r="H2027" s="1">
        <v>1.2571819999999999E-6</v>
      </c>
      <c r="I2027">
        <v>274.2912</v>
      </c>
      <c r="J2027">
        <v>-477.97559999999999</v>
      </c>
      <c r="K2027">
        <v>1.117945</v>
      </c>
      <c r="L2027">
        <v>281.2201</v>
      </c>
      <c r="M2027">
        <v>-0.92774699999999999</v>
      </c>
      <c r="N2027">
        <v>0</v>
      </c>
      <c r="O2027">
        <v>-0.37290040000000002</v>
      </c>
      <c r="P2027">
        <v>-0.83407189999999998</v>
      </c>
      <c r="Q2027">
        <v>0.12261560000000001</v>
      </c>
      <c r="R2027">
        <v>-0.53785689999999997</v>
      </c>
      <c r="S2027">
        <v>-2.3110050000000002</v>
      </c>
      <c r="T2027">
        <v>-0.32907059999999999</v>
      </c>
      <c r="U2027">
        <v>-2.0798649999999999</v>
      </c>
      <c r="V2027">
        <v>-0.19053039999999999</v>
      </c>
      <c r="W2027">
        <v>0.1338693</v>
      </c>
      <c r="X2027">
        <v>0.97251080000000001</v>
      </c>
      <c r="Y2027">
        <v>-0.34356029999999999</v>
      </c>
      <c r="Z2027">
        <v>2.2004490000000002E-2</v>
      </c>
      <c r="AA2027">
        <v>0.93887279999999995</v>
      </c>
      <c r="AB2027">
        <v>35</v>
      </c>
      <c r="AC2027">
        <v>-7.5243000000000304</v>
      </c>
      <c r="AD2027">
        <v>-1.1179437428179999</v>
      </c>
      <c r="AE2027">
        <v>-6.9288999999999898</v>
      </c>
      <c r="AF2027">
        <v>-3.5801035635761398</v>
      </c>
      <c r="AG2027">
        <v>-1.1179437428179999</v>
      </c>
      <c r="AH2027">
        <v>9.4526236252177096</v>
      </c>
      <c r="AI2027">
        <v>96.311331243306299</v>
      </c>
      <c r="AJ2027">
        <v>110.74377074240699</v>
      </c>
      <c r="AK2027">
        <v>10.169514891973</v>
      </c>
      <c r="AL2027">
        <v>82.306758228035406</v>
      </c>
      <c r="AM2027">
        <v>101.08475919801501</v>
      </c>
      <c r="AN2027">
        <v>1.00000003946164</v>
      </c>
    </row>
    <row r="2028" spans="1:40" x14ac:dyDescent="0.25">
      <c r="A2028" t="str">
        <f>"20190312164302923"</f>
        <v>20190312164302923</v>
      </c>
      <c r="B2028" t="str">
        <f>"1552380182915925"</f>
        <v>1552380182915925</v>
      </c>
      <c r="C2028" t="s">
        <v>40</v>
      </c>
      <c r="D2028">
        <v>4.6002869999999998</v>
      </c>
      <c r="E2028">
        <v>0.43652740000000001</v>
      </c>
      <c r="F2028" t="s">
        <v>45</v>
      </c>
      <c r="G2028">
        <v>-485.62150000000003</v>
      </c>
      <c r="H2028" s="1">
        <v>1.249128E-6</v>
      </c>
      <c r="I2028">
        <v>274.23790000000002</v>
      </c>
      <c r="J2028">
        <v>-478.29590000000002</v>
      </c>
      <c r="K2028">
        <v>1.1180760000000001</v>
      </c>
      <c r="L2028">
        <v>281.08269999999999</v>
      </c>
      <c r="M2028">
        <v>-0.92449519999999996</v>
      </c>
      <c r="N2028">
        <v>0</v>
      </c>
      <c r="O2028">
        <v>-0.3808899</v>
      </c>
      <c r="P2028">
        <v>-0.82909169999999999</v>
      </c>
      <c r="Q2028">
        <v>0.122837</v>
      </c>
      <c r="R2028">
        <v>-0.54545250000000001</v>
      </c>
      <c r="S2028">
        <v>-2.2947690000000001</v>
      </c>
      <c r="T2028">
        <v>-0.33553359999999999</v>
      </c>
      <c r="U2028">
        <v>-2.0955810000000001</v>
      </c>
      <c r="V2028">
        <v>-0.19108349999999999</v>
      </c>
      <c r="W2028">
        <v>0.13403280000000001</v>
      </c>
      <c r="X2028">
        <v>0.97237969999999896</v>
      </c>
      <c r="Y2028">
        <v>-0.3423176</v>
      </c>
      <c r="Z2028">
        <v>2.343373E-2</v>
      </c>
      <c r="AA2028">
        <v>0.93929209999999996</v>
      </c>
      <c r="AB2028">
        <v>35</v>
      </c>
      <c r="AC2028">
        <v>-7.3255999999999997</v>
      </c>
      <c r="AD2028">
        <v>-1.1180747508719999</v>
      </c>
      <c r="AE2028">
        <v>-6.8447999999999602</v>
      </c>
      <c r="AF2028">
        <v>-3.49468466814294</v>
      </c>
      <c r="AG2028">
        <v>-1.1180747508719999</v>
      </c>
      <c r="AH2028">
        <v>9.2654508202645793</v>
      </c>
      <c r="AI2028">
        <v>96.441827267029495</v>
      </c>
      <c r="AJ2028">
        <v>110.665157853425</v>
      </c>
      <c r="AK2028">
        <v>9.9655150885959003</v>
      </c>
      <c r="AL2028">
        <v>82.297304779907606</v>
      </c>
      <c r="AM2028">
        <v>101.11759875488499</v>
      </c>
      <c r="AN2028">
        <v>0.99999998821008895</v>
      </c>
    </row>
    <row r="2029" spans="1:40" x14ac:dyDescent="0.25">
      <c r="A2029" t="str">
        <f>"20190312164302944"</f>
        <v>20190312164302944</v>
      </c>
      <c r="B2029" t="str">
        <f>"1552380182936429"</f>
        <v>1552380182936429</v>
      </c>
      <c r="C2029" t="s">
        <v>40</v>
      </c>
      <c r="D2029">
        <v>4.385561</v>
      </c>
      <c r="E2029">
        <v>0.43718580000000001</v>
      </c>
      <c r="F2029" t="s">
        <v>45</v>
      </c>
      <c r="G2029">
        <v>-485.86169999999998</v>
      </c>
      <c r="H2029" s="1">
        <v>1.214916E-6</v>
      </c>
      <c r="I2029">
        <v>274.08089999999999</v>
      </c>
      <c r="J2029">
        <v>-478.59309999999999</v>
      </c>
      <c r="K2029">
        <v>1.118201</v>
      </c>
      <c r="L2029">
        <v>280.952</v>
      </c>
      <c r="M2029">
        <v>-0.92133589999999999</v>
      </c>
      <c r="N2029">
        <v>0</v>
      </c>
      <c r="O2029">
        <v>-0.38846950000000002</v>
      </c>
      <c r="P2029">
        <v>-0.82356759999999996</v>
      </c>
      <c r="Q2029">
        <v>0.1226236</v>
      </c>
      <c r="R2029">
        <v>-0.55380490000000004</v>
      </c>
      <c r="S2029">
        <v>-2.2801209999999998</v>
      </c>
      <c r="T2029">
        <v>-0.33695459999999999</v>
      </c>
      <c r="U2029">
        <v>-2.1101380000000001</v>
      </c>
      <c r="V2029">
        <v>-0.1929554</v>
      </c>
      <c r="W2029">
        <v>0.1337332</v>
      </c>
      <c r="X2029">
        <v>0.97205129999999995</v>
      </c>
      <c r="Y2029">
        <v>-0.34088269999999998</v>
      </c>
      <c r="Z2029">
        <v>2.4496919999999998E-2</v>
      </c>
      <c r="AA2029">
        <v>0.93978660000000003</v>
      </c>
      <c r="AB2029">
        <v>35</v>
      </c>
      <c r="AC2029">
        <v>-7.2685999999999904</v>
      </c>
      <c r="AD2029">
        <v>-1.118199785084</v>
      </c>
      <c r="AE2029">
        <v>-6.87110000000001</v>
      </c>
      <c r="AF2029">
        <v>-3.4640734151395498</v>
      </c>
      <c r="AG2029">
        <v>-1.118199785084</v>
      </c>
      <c r="AH2029">
        <v>9.2514932698221006</v>
      </c>
      <c r="AI2029">
        <v>96.457954000744195</v>
      </c>
      <c r="AJ2029">
        <v>110.527607493332</v>
      </c>
      <c r="AK2029">
        <v>9.9418460612907396</v>
      </c>
      <c r="AL2029">
        <v>82.314626960791003</v>
      </c>
      <c r="AM2029">
        <v>101.22745297202</v>
      </c>
      <c r="AN2029">
        <v>1.0000000425015401</v>
      </c>
    </row>
    <row r="2030" spans="1:40" x14ac:dyDescent="0.25">
      <c r="A2030" t="str">
        <f>"20190312164302967"</f>
        <v>20190312164302967</v>
      </c>
      <c r="B2030" t="str">
        <f>"1552380182955942"</f>
        <v>1552380182955942</v>
      </c>
      <c r="C2030" t="s">
        <v>40</v>
      </c>
      <c r="D2030">
        <v>4.3415780000000002</v>
      </c>
      <c r="E2030">
        <v>0.43801839999999997</v>
      </c>
      <c r="F2030" t="s">
        <v>45</v>
      </c>
      <c r="G2030">
        <v>-486.03609999999998</v>
      </c>
      <c r="H2030" s="1">
        <v>1.182687E-6</v>
      </c>
      <c r="I2030">
        <v>273.94600000000003</v>
      </c>
      <c r="J2030">
        <v>-478.91059999999999</v>
      </c>
      <c r="K2030">
        <v>1.1183459999999901</v>
      </c>
      <c r="L2030">
        <v>280.80889999999999</v>
      </c>
      <c r="M2030">
        <v>-0.91780989999999996</v>
      </c>
      <c r="N2030">
        <v>0</v>
      </c>
      <c r="O2030">
        <v>-0.3967273</v>
      </c>
      <c r="P2030">
        <v>-0.81738480000000002</v>
      </c>
      <c r="Q2030">
        <v>0.1232094</v>
      </c>
      <c r="R2030">
        <v>-0.56276250000000005</v>
      </c>
      <c r="S2030">
        <v>-2.2616879999999999</v>
      </c>
      <c r="T2030">
        <v>-0.33978530000000001</v>
      </c>
      <c r="U2030">
        <v>-2.1289060000000002</v>
      </c>
      <c r="V2030">
        <v>-0.19493269999999999</v>
      </c>
      <c r="W2030">
        <v>0.13422609999999999</v>
      </c>
      <c r="X2030">
        <v>0.97158869999999997</v>
      </c>
      <c r="Y2030">
        <v>-0.34044259999999998</v>
      </c>
      <c r="Z2030">
        <v>2.5698080000000002E-2</v>
      </c>
      <c r="AA2030">
        <v>0.93991400000000003</v>
      </c>
      <c r="AB2030">
        <v>35</v>
      </c>
      <c r="AC2030">
        <v>-7.1254999999999802</v>
      </c>
      <c r="AD2030">
        <v>-1.118344817313</v>
      </c>
      <c r="AE2030">
        <v>-6.8629000000000202</v>
      </c>
      <c r="AF2030">
        <v>-3.42854780648765</v>
      </c>
      <c r="AG2030">
        <v>-1.118344817313</v>
      </c>
      <c r="AH2030">
        <v>9.1467458496805794</v>
      </c>
      <c r="AI2030">
        <v>96.531254617759899</v>
      </c>
      <c r="AJ2030">
        <v>110.547906587908</v>
      </c>
      <c r="AK2030">
        <v>9.8320188583236092</v>
      </c>
      <c r="AL2030">
        <v>82.286128627346599</v>
      </c>
      <c r="AM2030">
        <v>101.344798367053</v>
      </c>
      <c r="AN2030">
        <v>1.0000000027090901</v>
      </c>
    </row>
    <row r="2031" spans="1:40" x14ac:dyDescent="0.25">
      <c r="A2031" t="str">
        <f>"20190312164302990"</f>
        <v>20190312164302990</v>
      </c>
      <c r="B2031" t="str">
        <f>"1552380182986197"</f>
        <v>1552380182986197</v>
      </c>
      <c r="C2031" t="s">
        <v>40</v>
      </c>
      <c r="D2031">
        <v>4.3435230000000002</v>
      </c>
      <c r="E2031">
        <v>0.44822260000000003</v>
      </c>
      <c r="F2031" t="s">
        <v>45</v>
      </c>
      <c r="G2031">
        <v>-486.27969999999999</v>
      </c>
      <c r="H2031" s="1">
        <v>1.134695E-6</v>
      </c>
      <c r="I2031">
        <v>273.7491</v>
      </c>
      <c r="J2031">
        <v>-479.22840000000002</v>
      </c>
      <c r="K2031">
        <v>1.118487</v>
      </c>
      <c r="L2031">
        <v>280.66210000000001</v>
      </c>
      <c r="M2031">
        <v>-0.91411290000000001</v>
      </c>
      <c r="N2031">
        <v>0</v>
      </c>
      <c r="O2031">
        <v>-0.4051728</v>
      </c>
      <c r="P2031">
        <v>-0.81098959999999998</v>
      </c>
      <c r="Q2031">
        <v>0.1241583</v>
      </c>
      <c r="R2031">
        <v>-0.5717354</v>
      </c>
      <c r="S2031">
        <v>-2.242432</v>
      </c>
      <c r="T2031">
        <v>-0.34031149999999999</v>
      </c>
      <c r="U2031">
        <v>-2.1483150000000002</v>
      </c>
      <c r="V2031">
        <v>-0.19680639999999999</v>
      </c>
      <c r="W2031">
        <v>0.13508220000000001</v>
      </c>
      <c r="X2031">
        <v>0.97109219999999896</v>
      </c>
      <c r="Y2031">
        <v>-0.340089799999999</v>
      </c>
      <c r="Z2031">
        <v>2.6754440000000001E-2</v>
      </c>
      <c r="AA2031">
        <v>0.94001230000000002</v>
      </c>
      <c r="AB2031">
        <v>35</v>
      </c>
      <c r="AC2031">
        <v>-7.0512999999999604</v>
      </c>
      <c r="AD2031">
        <v>-1.118485865305</v>
      </c>
      <c r="AE2031">
        <v>-6.91300000000001</v>
      </c>
      <c r="AF2031">
        <v>-3.4188086208767898</v>
      </c>
      <c r="AG2031">
        <v>-1.118485865305</v>
      </c>
      <c r="AH2031">
        <v>9.1305786214506508</v>
      </c>
      <c r="AI2031">
        <v>96.544395903959199</v>
      </c>
      <c r="AJ2031">
        <v>110.527661198969</v>
      </c>
      <c r="AK2031">
        <v>9.8135991858013192</v>
      </c>
      <c r="AL2031">
        <v>82.236626939526204</v>
      </c>
      <c r="AM2031">
        <v>101.456677340818</v>
      </c>
      <c r="AN2031">
        <v>1.0000000103693101</v>
      </c>
    </row>
    <row r="2032" spans="1:40" x14ac:dyDescent="0.25">
      <c r="A2032" t="str">
        <f>"20190312164303002"</f>
        <v>20190312164303002</v>
      </c>
      <c r="B2032" t="str">
        <f>"1552380182995957"</f>
        <v>1552380182995957</v>
      </c>
      <c r="C2032" t="s">
        <v>40</v>
      </c>
      <c r="D2032">
        <v>4.3542709999999998</v>
      </c>
      <c r="E2032">
        <v>0.44741740000000002</v>
      </c>
      <c r="F2032" t="s">
        <v>45</v>
      </c>
      <c r="G2032">
        <v>-486.3494</v>
      </c>
      <c r="H2032" s="1">
        <v>1.2439770000000001E-6</v>
      </c>
      <c r="I2032">
        <v>274.04070000000002</v>
      </c>
      <c r="J2032">
        <v>-479.4074</v>
      </c>
      <c r="K2032">
        <v>1.118565</v>
      </c>
      <c r="L2032">
        <v>280.57810000000001</v>
      </c>
      <c r="M2032">
        <v>-0.91195899999999996</v>
      </c>
      <c r="N2032">
        <v>0</v>
      </c>
      <c r="O2032">
        <v>-0.40999740000000001</v>
      </c>
      <c r="P2032">
        <v>-0.80721339999999997</v>
      </c>
      <c r="Q2032">
        <v>0.12512899999999999</v>
      </c>
      <c r="R2032">
        <v>-0.57684460000000004</v>
      </c>
      <c r="S2032">
        <v>-2.2673649999999999</v>
      </c>
      <c r="T2032">
        <v>-0.3561337</v>
      </c>
      <c r="U2032">
        <v>-2.1083069999999999</v>
      </c>
      <c r="V2032">
        <v>-0.1979157</v>
      </c>
      <c r="W2032">
        <v>0.1359969</v>
      </c>
      <c r="X2032">
        <v>0.97073900000000002</v>
      </c>
      <c r="Y2032">
        <v>-0.32120169999999998</v>
      </c>
      <c r="Z2032">
        <v>2.9744320000000001E-2</v>
      </c>
      <c r="AA2032">
        <v>0.94654360000000004</v>
      </c>
      <c r="AB2032">
        <v>35</v>
      </c>
      <c r="AC2032">
        <v>-6.9420000000000002</v>
      </c>
      <c r="AD2032">
        <v>-1.118563756023</v>
      </c>
      <c r="AE2032">
        <v>-6.5373999999999901</v>
      </c>
      <c r="AF2032">
        <v>-3.0737074240812299</v>
      </c>
      <c r="AG2032">
        <v>-1.118563756023</v>
      </c>
      <c r="AH2032">
        <v>8.8898612549345497</v>
      </c>
      <c r="AI2032">
        <v>96.781608156159507</v>
      </c>
      <c r="AJ2032">
        <v>109.07304476837299</v>
      </c>
      <c r="AK2032">
        <v>9.4725126200563494</v>
      </c>
      <c r="AL2032">
        <v>82.183730223817093</v>
      </c>
      <c r="AM2032">
        <v>101.52361062499099</v>
      </c>
      <c r="AN2032">
        <v>0.99999999361854996</v>
      </c>
    </row>
    <row r="2033" spans="1:40" x14ac:dyDescent="0.25">
      <c r="A2033" t="str">
        <f>"20190312164303023"</f>
        <v>20190312164303023</v>
      </c>
      <c r="B2033" t="str">
        <f>"1552380183016453"</f>
        <v>1552380183016453</v>
      </c>
      <c r="C2033" t="s">
        <v>40</v>
      </c>
      <c r="D2033">
        <v>4.3188959999999996</v>
      </c>
      <c r="E2033">
        <v>0.4469419</v>
      </c>
      <c r="F2033" t="s">
        <v>45</v>
      </c>
      <c r="G2033">
        <v>-486.59070000000003</v>
      </c>
      <c r="H2033" s="1">
        <v>1.1754640000000001E-6</v>
      </c>
      <c r="I2033">
        <v>273.78640000000001</v>
      </c>
      <c r="J2033">
        <v>-479.68819999999999</v>
      </c>
      <c r="K2033">
        <v>1.118703</v>
      </c>
      <c r="L2033">
        <v>280.4434</v>
      </c>
      <c r="M2033">
        <v>-0.90844349999999996</v>
      </c>
      <c r="N2033">
        <v>0</v>
      </c>
      <c r="O2033">
        <v>-0.4177283</v>
      </c>
      <c r="P2033">
        <v>-0.80108219999999997</v>
      </c>
      <c r="Q2033">
        <v>0.126420899999999</v>
      </c>
      <c r="R2033">
        <v>-0.58505169999999995</v>
      </c>
      <c r="S2033">
        <v>-2.2503359999999999</v>
      </c>
      <c r="T2033">
        <v>-0.3504176</v>
      </c>
      <c r="U2033">
        <v>-2.1276860000000002</v>
      </c>
      <c r="V2033">
        <v>-0.19973589999999999</v>
      </c>
      <c r="W2033">
        <v>0.13719529999999999</v>
      </c>
      <c r="X2033">
        <v>0.97019739999999999</v>
      </c>
      <c r="Y2033">
        <v>-0.32106760000000001</v>
      </c>
      <c r="Z2033">
        <v>3.0206340000000002E-2</v>
      </c>
      <c r="AA2033">
        <v>0.94657440000000004</v>
      </c>
      <c r="AB2033">
        <v>35</v>
      </c>
      <c r="AC2033">
        <v>-6.9025000000000301</v>
      </c>
      <c r="AD2033">
        <v>-1.1187018245360001</v>
      </c>
      <c r="AE2033">
        <v>-6.6569999999999796</v>
      </c>
      <c r="AF2033">
        <v>-3.1220203790035401</v>
      </c>
      <c r="AG2033">
        <v>-1.1187018245360001</v>
      </c>
      <c r="AH2033">
        <v>8.9308644541169997</v>
      </c>
      <c r="AI2033">
        <v>96.743660232941295</v>
      </c>
      <c r="AJ2033">
        <v>109.268426885639</v>
      </c>
      <c r="AK2033">
        <v>9.5267436680611901</v>
      </c>
      <c r="AL2033">
        <v>82.114417226011497</v>
      </c>
      <c r="AM2033">
        <v>101.63303212841301</v>
      </c>
      <c r="AN2033">
        <v>0.99999998752882902</v>
      </c>
    </row>
    <row r="2034" spans="1:40" x14ac:dyDescent="0.25">
      <c r="A2034" t="str">
        <f>"20190312164303046"</f>
        <v>20190312164303046</v>
      </c>
      <c r="B2034" t="str">
        <f>"1552380183035973"</f>
        <v>1552380183035973</v>
      </c>
      <c r="C2034" t="s">
        <v>40</v>
      </c>
      <c r="D2034">
        <v>4.3218629999999996</v>
      </c>
      <c r="E2034">
        <v>0.44791510000000001</v>
      </c>
      <c r="F2034" t="s">
        <v>45</v>
      </c>
      <c r="G2034">
        <v>-486.88510000000002</v>
      </c>
      <c r="H2034" s="1">
        <v>1.094122E-6</v>
      </c>
      <c r="I2034">
        <v>273.48239999999998</v>
      </c>
      <c r="J2034">
        <v>-480.00310000000002</v>
      </c>
      <c r="K2034">
        <v>1.1188720000000001</v>
      </c>
      <c r="L2034">
        <v>280.28840000000002</v>
      </c>
      <c r="M2034">
        <v>-0.90430149999999998</v>
      </c>
      <c r="N2034">
        <v>0</v>
      </c>
      <c r="O2034">
        <v>-0.4266199</v>
      </c>
      <c r="P2034">
        <v>-0.79434729999999998</v>
      </c>
      <c r="Q2034">
        <v>0.12762860000000001</v>
      </c>
      <c r="R2034">
        <v>-0.59390529999999997</v>
      </c>
      <c r="S2034">
        <v>-2.2266849999999998</v>
      </c>
      <c r="T2034">
        <v>-0.346118599999999</v>
      </c>
      <c r="U2034">
        <v>-2.1536870000000001</v>
      </c>
      <c r="V2034">
        <v>-0.20115040000000001</v>
      </c>
      <c r="W2034">
        <v>0.13830889999999901</v>
      </c>
      <c r="X2034">
        <v>0.96974689999999997</v>
      </c>
      <c r="Y2034">
        <v>-0.32254129999999998</v>
      </c>
      <c r="Z2034">
        <v>3.081474E-2</v>
      </c>
      <c r="AA2034">
        <v>0.9460537</v>
      </c>
      <c r="AB2034">
        <v>35</v>
      </c>
      <c r="AC2034">
        <v>-6.8819999999999997</v>
      </c>
      <c r="AD2034">
        <v>-1.118870905878</v>
      </c>
      <c r="AE2034">
        <v>-6.80600000000004</v>
      </c>
      <c r="AF2034">
        <v>-3.1766066518317602</v>
      </c>
      <c r="AG2034">
        <v>-1.118870905878</v>
      </c>
      <c r="AH2034">
        <v>9.0076796103176893</v>
      </c>
      <c r="AI2034">
        <v>96.681301589430404</v>
      </c>
      <c r="AJ2034">
        <v>109.425472293178</v>
      </c>
      <c r="AK2034">
        <v>9.6167038992897709</v>
      </c>
      <c r="AL2034">
        <v>82.049998162085302</v>
      </c>
      <c r="AM2034">
        <v>101.718437886749</v>
      </c>
      <c r="AN2034">
        <v>0.99999994264948799</v>
      </c>
    </row>
    <row r="2035" spans="1:40" x14ac:dyDescent="0.25">
      <c r="A2035" t="str">
        <f>"20190312164303068"</f>
        <v>20190312164303068</v>
      </c>
      <c r="B2035" t="str">
        <f>"1552380183056470"</f>
        <v>1552380183056470</v>
      </c>
      <c r="C2035" t="s">
        <v>40</v>
      </c>
      <c r="D2035">
        <v>4.3228689999999999</v>
      </c>
      <c r="E2035">
        <v>0.44835130000000001</v>
      </c>
      <c r="F2035" t="s">
        <v>45</v>
      </c>
      <c r="G2035">
        <v>-487.21940000000001</v>
      </c>
      <c r="H2035" s="1">
        <v>1.019846E-6</v>
      </c>
      <c r="I2035">
        <v>273.1884</v>
      </c>
      <c r="J2035">
        <v>-480.29930000000002</v>
      </c>
      <c r="K2035">
        <v>1.119035</v>
      </c>
      <c r="L2035">
        <v>280.13889999999998</v>
      </c>
      <c r="M2035">
        <v>-0.90021549999999995</v>
      </c>
      <c r="N2035">
        <v>0</v>
      </c>
      <c r="O2035">
        <v>-0.43517470000000003</v>
      </c>
      <c r="P2035">
        <v>-0.78725789999999995</v>
      </c>
      <c r="Q2035">
        <v>0.1282075</v>
      </c>
      <c r="R2035">
        <v>-0.60314840000000003</v>
      </c>
      <c r="S2035">
        <v>-2.207703</v>
      </c>
      <c r="T2035">
        <v>-0.34229870000000001</v>
      </c>
      <c r="U2035">
        <v>-2.1721189999999999</v>
      </c>
      <c r="V2035">
        <v>-0.20340179999999999</v>
      </c>
      <c r="W2035">
        <v>0.13877600000000001</v>
      </c>
      <c r="X2035">
        <v>0.96921040000000003</v>
      </c>
      <c r="Y2035">
        <v>-0.321681099999999</v>
      </c>
      <c r="Z2035">
        <v>3.1546299999999999E-2</v>
      </c>
      <c r="AA2035">
        <v>0.94632240000000001</v>
      </c>
      <c r="AB2035">
        <v>35</v>
      </c>
      <c r="AC2035">
        <v>-6.9200999999999899</v>
      </c>
      <c r="AD2035">
        <v>-1.1190339801539999</v>
      </c>
      <c r="AE2035">
        <v>-6.9504999999999697</v>
      </c>
      <c r="AF2035">
        <v>-3.2041669640299899</v>
      </c>
      <c r="AG2035">
        <v>-1.1190339801539999</v>
      </c>
      <c r="AH2035">
        <v>9.1364184245449795</v>
      </c>
      <c r="AI2035">
        <v>96.592934748517806</v>
      </c>
      <c r="AJ2035">
        <v>109.325908259051</v>
      </c>
      <c r="AK2035">
        <v>9.7464385603401595</v>
      </c>
      <c r="AL2035">
        <v>82.022974638925803</v>
      </c>
      <c r="AM2035">
        <v>101.852283460601</v>
      </c>
      <c r="AN2035">
        <v>0.99999993494369699</v>
      </c>
    </row>
    <row r="2036" spans="1:40" x14ac:dyDescent="0.25">
      <c r="A2036" t="str">
        <f>"20190312164303092"</f>
        <v>20190312164303092</v>
      </c>
      <c r="B2036" t="str">
        <f>"1552380183086726"</f>
        <v>1552380183086726</v>
      </c>
      <c r="C2036" t="s">
        <v>40</v>
      </c>
      <c r="D2036">
        <v>4.5481530000000001</v>
      </c>
      <c r="E2036">
        <v>0.44893830000000001</v>
      </c>
      <c r="F2036" t="s">
        <v>45</v>
      </c>
      <c r="G2036">
        <v>-487.47160000000002</v>
      </c>
      <c r="H2036" s="1">
        <v>9.5097769999999998E-7</v>
      </c>
      <c r="I2036">
        <v>272.93029999999999</v>
      </c>
      <c r="J2036">
        <v>-480.62090000000001</v>
      </c>
      <c r="K2036">
        <v>1.1192200000000001</v>
      </c>
      <c r="L2036">
        <v>279.97250000000003</v>
      </c>
      <c r="M2036">
        <v>-0.89555260000000003</v>
      </c>
      <c r="N2036">
        <v>0</v>
      </c>
      <c r="O2036">
        <v>-0.44469059999999999</v>
      </c>
      <c r="P2036">
        <v>-0.77962109999999996</v>
      </c>
      <c r="Q2036">
        <v>0.12893850000000001</v>
      </c>
      <c r="R2036">
        <v>-0.61283449999999995</v>
      </c>
      <c r="S2036">
        <v>-2.1842649999999999</v>
      </c>
      <c r="T2036">
        <v>-0.34079409999999999</v>
      </c>
      <c r="U2036">
        <v>-2.1953429999999998</v>
      </c>
      <c r="V2036">
        <v>-0.20524680000000001</v>
      </c>
      <c r="W2036">
        <v>0.13939649999999901</v>
      </c>
      <c r="X2036">
        <v>0.96873240000000005</v>
      </c>
      <c r="Y2036">
        <v>-0.32176909999999997</v>
      </c>
      <c r="Z2036">
        <v>3.2533439999999997E-2</v>
      </c>
      <c r="AA2036">
        <v>0.94625910000000002</v>
      </c>
      <c r="AB2036">
        <v>35</v>
      </c>
      <c r="AC2036">
        <v>-6.8507000000000096</v>
      </c>
      <c r="AD2036">
        <v>-1.1192190490223</v>
      </c>
      <c r="AE2036">
        <v>-7.0422000000000304</v>
      </c>
      <c r="AF2036">
        <v>-3.2188306386203198</v>
      </c>
      <c r="AG2036">
        <v>-1.1192190490223</v>
      </c>
      <c r="AH2036">
        <v>9.1491221786887298</v>
      </c>
      <c r="AI2036">
        <v>96.582663223132002</v>
      </c>
      <c r="AJ2036">
        <v>109.38281635158</v>
      </c>
      <c r="AK2036">
        <v>9.7631940777795201</v>
      </c>
      <c r="AL2036">
        <v>81.987074568537693</v>
      </c>
      <c r="AM2036">
        <v>101.96244110354699</v>
      </c>
      <c r="AN2036">
        <v>1.00000004796612</v>
      </c>
    </row>
    <row r="2037" spans="1:40" x14ac:dyDescent="0.25">
      <c r="A2037" t="str">
        <f>"20190312164303113"</f>
        <v>20190312164303113</v>
      </c>
      <c r="B2037" t="str">
        <f>"1552380183106245"</f>
        <v>1552380183106245</v>
      </c>
      <c r="C2037" t="s">
        <v>40</v>
      </c>
      <c r="D2037">
        <v>4.3496980000000001</v>
      </c>
      <c r="E2037">
        <v>0.44909100000000002</v>
      </c>
      <c r="F2037" t="s">
        <v>45</v>
      </c>
      <c r="G2037">
        <v>-487.80930000000001</v>
      </c>
      <c r="H2037" s="1">
        <v>8.6020709999999996E-7</v>
      </c>
      <c r="I2037">
        <v>272.58879999999999</v>
      </c>
      <c r="J2037">
        <v>-480.90800000000002</v>
      </c>
      <c r="K2037">
        <v>1.1193879999999901</v>
      </c>
      <c r="L2037">
        <v>279.82</v>
      </c>
      <c r="M2037">
        <v>-0.89118019999999998</v>
      </c>
      <c r="N2037">
        <v>0</v>
      </c>
      <c r="O2037">
        <v>-0.45338850000000003</v>
      </c>
      <c r="P2037">
        <v>-0.77220509999999998</v>
      </c>
      <c r="Q2037">
        <v>0.1301862</v>
      </c>
      <c r="R2037">
        <v>-0.62189289999999997</v>
      </c>
      <c r="S2037">
        <v>-2.1597900000000001</v>
      </c>
      <c r="T2037">
        <v>-0.33627679999999999</v>
      </c>
      <c r="U2037">
        <v>-2.2184750000000002</v>
      </c>
      <c r="V2037">
        <v>-0.2073062</v>
      </c>
      <c r="W2037">
        <v>0.1405305</v>
      </c>
      <c r="X2037">
        <v>0.96812980000000004</v>
      </c>
      <c r="Y2037">
        <v>-0.32286140000000002</v>
      </c>
      <c r="Z2037">
        <v>3.307388E-2</v>
      </c>
      <c r="AA2037">
        <v>0.94586820000000005</v>
      </c>
      <c r="AB2037">
        <v>34</v>
      </c>
      <c r="AC2037">
        <v>-6.9012999999999902</v>
      </c>
      <c r="AD2037">
        <v>-1.1193871397928901</v>
      </c>
      <c r="AE2037">
        <v>-7.2312000000000003</v>
      </c>
      <c r="AF2037">
        <v>-3.27465870790164</v>
      </c>
      <c r="AG2037">
        <v>-1.1193871397928901</v>
      </c>
      <c r="AH2037">
        <v>9.3131689122829897</v>
      </c>
      <c r="AI2037">
        <v>96.469073945501407</v>
      </c>
      <c r="AJ2037">
        <v>109.372487430338</v>
      </c>
      <c r="AK2037">
        <v>9.9353677541741803</v>
      </c>
      <c r="AL2037">
        <v>81.921454816782799</v>
      </c>
      <c r="AM2037">
        <v>102.086258745297</v>
      </c>
      <c r="AN2037">
        <v>0.99999999581836496</v>
      </c>
    </row>
    <row r="2038" spans="1:40" x14ac:dyDescent="0.25">
      <c r="A2038" t="str">
        <f>"20190312164303134"</f>
        <v>20190312164303134</v>
      </c>
      <c r="B2038" t="str">
        <f>"1552380183126742"</f>
        <v>1552380183126742</v>
      </c>
      <c r="C2038" t="s">
        <v>40</v>
      </c>
      <c r="D2038">
        <v>4.3365999999999998</v>
      </c>
      <c r="E2038">
        <v>0.44950289999999998</v>
      </c>
      <c r="F2038" t="s">
        <v>45</v>
      </c>
      <c r="G2038">
        <v>-487.928</v>
      </c>
      <c r="H2038" s="1">
        <v>8.2063079999999995E-7</v>
      </c>
      <c r="I2038">
        <v>272.44709999999998</v>
      </c>
      <c r="J2038">
        <v>-481.1893</v>
      </c>
      <c r="K2038">
        <v>1.1195649999999999</v>
      </c>
      <c r="L2038">
        <v>279.66699999999997</v>
      </c>
      <c r="M2038">
        <v>-0.88668950000000002</v>
      </c>
      <c r="N2038">
        <v>0</v>
      </c>
      <c r="O2038">
        <v>-0.46210869999999998</v>
      </c>
      <c r="P2038">
        <v>-0.76474730000000002</v>
      </c>
      <c r="Q2038">
        <v>0.1309313</v>
      </c>
      <c r="R2038">
        <v>-0.63088759999999999</v>
      </c>
      <c r="S2038">
        <v>-2.135834</v>
      </c>
      <c r="T2038">
        <v>-0.34057280000000001</v>
      </c>
      <c r="U2038">
        <v>-2.2432249999999998</v>
      </c>
      <c r="V2038">
        <v>-0.2092763</v>
      </c>
      <c r="W2038">
        <v>0.14116409999999999</v>
      </c>
      <c r="X2038">
        <v>0.96761359999999996</v>
      </c>
      <c r="Y2038">
        <v>-0.32413920000000002</v>
      </c>
      <c r="Z2038">
        <v>3.4449029999999999E-2</v>
      </c>
      <c r="AA2038">
        <v>0.9453819</v>
      </c>
      <c r="AB2038">
        <v>34</v>
      </c>
      <c r="AC2038">
        <v>-6.7387000000000503</v>
      </c>
      <c r="AD2038">
        <v>-1.1195641793691999</v>
      </c>
      <c r="AE2038">
        <v>-7.2199000000000497</v>
      </c>
      <c r="AF2038">
        <v>-3.24646820951271</v>
      </c>
      <c r="AG2038">
        <v>-1.1195641793691999</v>
      </c>
      <c r="AH2038">
        <v>9.1944623224492705</v>
      </c>
      <c r="AI2038">
        <v>96.549899961602193</v>
      </c>
      <c r="AJ2038">
        <v>109.447592020594</v>
      </c>
      <c r="AK2038">
        <v>9.8148416791124298</v>
      </c>
      <c r="AL2038">
        <v>81.884786514728702</v>
      </c>
      <c r="AM2038">
        <v>102.20400698995</v>
      </c>
      <c r="AN2038">
        <v>0.99999997588772904</v>
      </c>
    </row>
    <row r="2039" spans="1:40" x14ac:dyDescent="0.25">
      <c r="A2039" t="str">
        <f>"20190312164303156"</f>
        <v>20190312164303156</v>
      </c>
      <c r="B2039" t="str">
        <f>"1552380183146262"</f>
        <v>1552380183146262</v>
      </c>
      <c r="C2039" t="s">
        <v>40</v>
      </c>
      <c r="D2039">
        <v>4.3676250000000003</v>
      </c>
      <c r="E2039">
        <v>0.45006610000000002</v>
      </c>
      <c r="F2039" t="s">
        <v>45</v>
      </c>
      <c r="G2039">
        <v>-488.16899999999998</v>
      </c>
      <c r="H2039" s="1">
        <v>7.4723159999999998E-7</v>
      </c>
      <c r="I2039">
        <v>272.17899999999997</v>
      </c>
      <c r="J2039">
        <v>-481.48790000000002</v>
      </c>
      <c r="K2039">
        <v>1.119745</v>
      </c>
      <c r="L2039">
        <v>279.50029999999998</v>
      </c>
      <c r="M2039">
        <v>-0.88168780000000002</v>
      </c>
      <c r="N2039">
        <v>0</v>
      </c>
      <c r="O2039">
        <v>-0.47158070000000002</v>
      </c>
      <c r="P2039">
        <v>-0.75656020000000002</v>
      </c>
      <c r="Q2039">
        <v>0.1313513</v>
      </c>
      <c r="R2039">
        <v>-0.64059630000000001</v>
      </c>
      <c r="S2039">
        <v>-2.111847</v>
      </c>
      <c r="T2039">
        <v>-0.33874290000000001</v>
      </c>
      <c r="U2039">
        <v>-2.265625</v>
      </c>
      <c r="V2039">
        <v>-0.21137110000000001</v>
      </c>
      <c r="W2039">
        <v>0.1414638</v>
      </c>
      <c r="X2039">
        <v>0.96711440000000004</v>
      </c>
      <c r="Y2039">
        <v>-0.32406000000000001</v>
      </c>
      <c r="Z2039">
        <v>3.5392979999999997E-2</v>
      </c>
      <c r="AA2039">
        <v>0.9453743</v>
      </c>
      <c r="AB2039">
        <v>34</v>
      </c>
      <c r="AC2039">
        <v>-6.6811000000000096</v>
      </c>
      <c r="AD2039">
        <v>-1.1197442527683901</v>
      </c>
      <c r="AE2039">
        <v>-7.3212999999999502</v>
      </c>
      <c r="AF2039">
        <v>-3.2631686976363299</v>
      </c>
      <c r="AG2039">
        <v>-1.1197442527683901</v>
      </c>
      <c r="AH2039">
        <v>9.2265817373416503</v>
      </c>
      <c r="AI2039">
        <v>96.527155573153493</v>
      </c>
      <c r="AJ2039">
        <v>109.477178794222</v>
      </c>
      <c r="AK2039">
        <v>9.8504775364795396</v>
      </c>
      <c r="AL2039">
        <v>81.867441146714697</v>
      </c>
      <c r="AM2039">
        <v>102.32861732548299</v>
      </c>
      <c r="AN2039">
        <v>1.0000000056564999</v>
      </c>
    </row>
    <row r="2040" spans="1:40" x14ac:dyDescent="0.25">
      <c r="A2040" t="str">
        <f>"20190312164303179"</f>
        <v>20190312164303179</v>
      </c>
      <c r="B2040" t="str">
        <f>"1552380183176518"</f>
        <v>1552380183176518</v>
      </c>
      <c r="C2040" t="s">
        <v>40</v>
      </c>
      <c r="D2040">
        <v>4.3164569999999998</v>
      </c>
      <c r="E2040">
        <v>0.45018059999999899</v>
      </c>
      <c r="F2040" t="s">
        <v>45</v>
      </c>
      <c r="G2040">
        <v>-488.43849999999998</v>
      </c>
      <c r="H2040" s="1">
        <v>6.6118E-7</v>
      </c>
      <c r="I2040">
        <v>271.86790000000002</v>
      </c>
      <c r="J2040">
        <v>-481.78480000000002</v>
      </c>
      <c r="K2040">
        <v>1.1199239999999999</v>
      </c>
      <c r="L2040">
        <v>279.33030000000002</v>
      </c>
      <c r="M2040">
        <v>-0.87646689999999905</v>
      </c>
      <c r="N2040">
        <v>0</v>
      </c>
      <c r="O2040">
        <v>-0.48121360000000002</v>
      </c>
      <c r="P2040">
        <v>-0.7484866</v>
      </c>
      <c r="Q2040">
        <v>0.131656</v>
      </c>
      <c r="R2040">
        <v>-0.64994969999999996</v>
      </c>
      <c r="S2040">
        <v>-2.0850219999999999</v>
      </c>
      <c r="T2040">
        <v>-0.33589849999999999</v>
      </c>
      <c r="U2040">
        <v>-2.2895509999999999</v>
      </c>
      <c r="V2040">
        <v>-0.212893</v>
      </c>
      <c r="W2040">
        <v>0.1416644</v>
      </c>
      <c r="X2040">
        <v>0.96675120000000003</v>
      </c>
      <c r="Y2040">
        <v>-0.3246946</v>
      </c>
      <c r="Z2040">
        <v>3.6205899999999999E-2</v>
      </c>
      <c r="AA2040">
        <v>0.94512569999999996</v>
      </c>
      <c r="AB2040">
        <v>34</v>
      </c>
      <c r="AC2040">
        <v>-6.65369999999995</v>
      </c>
      <c r="AD2040">
        <v>-1.1199233388199901</v>
      </c>
      <c r="AE2040">
        <v>-7.4623999999999997</v>
      </c>
      <c r="AF2040">
        <v>-3.2977173067588601</v>
      </c>
      <c r="AG2040">
        <v>-1.1199233388199901</v>
      </c>
      <c r="AH2040">
        <v>9.3071035101626904</v>
      </c>
      <c r="AI2040">
        <v>96.470875628433305</v>
      </c>
      <c r="AJ2040">
        <v>109.51038772706499</v>
      </c>
      <c r="AK2040">
        <v>9.9373710542081106</v>
      </c>
      <c r="AL2040">
        <v>81.855831108031694</v>
      </c>
      <c r="AM2040">
        <v>102.41916136559399</v>
      </c>
      <c r="AN2040">
        <v>1.0000000571888901</v>
      </c>
    </row>
    <row r="2041" spans="1:40" x14ac:dyDescent="0.25">
      <c r="A2041" t="str">
        <f>"20190312164303203"</f>
        <v>20190312164303203</v>
      </c>
      <c r="B2041" t="str">
        <f>"1552380183196041"</f>
        <v>1552380183196041</v>
      </c>
      <c r="C2041" t="s">
        <v>40</v>
      </c>
      <c r="D2041">
        <v>4.2679099999999996</v>
      </c>
      <c r="E2041">
        <v>0.43338159999999998</v>
      </c>
      <c r="F2041" t="s">
        <v>45</v>
      </c>
      <c r="G2041">
        <v>-488.74279999999999</v>
      </c>
      <c r="H2041" s="1">
        <v>5.582021E-7</v>
      </c>
      <c r="I2041">
        <v>271.50020000000001</v>
      </c>
      <c r="J2041">
        <v>-482.09710000000001</v>
      </c>
      <c r="K2041">
        <v>1.1201110000000001</v>
      </c>
      <c r="L2041">
        <v>279.14620000000002</v>
      </c>
      <c r="M2041">
        <v>-0.87068780000000001</v>
      </c>
      <c r="N2041">
        <v>0</v>
      </c>
      <c r="O2041">
        <v>-0.49159160000000002</v>
      </c>
      <c r="P2041">
        <v>-0.73980310000000005</v>
      </c>
      <c r="Q2041">
        <v>0.13220109999999999</v>
      </c>
      <c r="R2041">
        <v>-0.65970790000000001</v>
      </c>
      <c r="S2041">
        <v>-2.0566409999999999</v>
      </c>
      <c r="T2041">
        <v>-0.33102680000000001</v>
      </c>
      <c r="U2041">
        <v>-2.3143919999999998</v>
      </c>
      <c r="V2041">
        <v>-0.2142126</v>
      </c>
      <c r="W2041">
        <v>0.14210809999999999</v>
      </c>
      <c r="X2041">
        <v>0.96639450000000005</v>
      </c>
      <c r="Y2041">
        <v>-0.32499509999999998</v>
      </c>
      <c r="Z2041">
        <v>3.6882520000000002E-2</v>
      </c>
      <c r="AA2041">
        <v>0.94499619999999995</v>
      </c>
      <c r="AB2041">
        <v>34</v>
      </c>
      <c r="AC2041">
        <v>-6.6456999999999704</v>
      </c>
      <c r="AD2041">
        <v>-1.1201104417979</v>
      </c>
      <c r="AE2041">
        <v>-7.6460000000000097</v>
      </c>
      <c r="AF2041">
        <v>-3.3497642375777401</v>
      </c>
      <c r="AG2041">
        <v>-1.1201104417979</v>
      </c>
      <c r="AH2041">
        <v>9.4308910501025007</v>
      </c>
      <c r="AI2041">
        <v>96.385972660026198</v>
      </c>
      <c r="AJ2041">
        <v>109.55456217334699</v>
      </c>
      <c r="AK2041">
        <v>10.070614372921</v>
      </c>
      <c r="AL2041">
        <v>81.830149004153498</v>
      </c>
      <c r="AM2041">
        <v>102.49819714375001</v>
      </c>
      <c r="AN2041">
        <v>1.0000000398572999</v>
      </c>
    </row>
    <row r="2042" spans="1:40" x14ac:dyDescent="0.25">
      <c r="A2042" t="str">
        <f>"20190312164303224"</f>
        <v>20190312164303224</v>
      </c>
      <c r="B2042" t="str">
        <f>"1552380183216535"</f>
        <v>1552380183216535</v>
      </c>
      <c r="C2042" t="s">
        <v>40</v>
      </c>
      <c r="D2042">
        <v>4.2651289999999999</v>
      </c>
      <c r="E2042">
        <v>0.43095859999999903</v>
      </c>
      <c r="F2042" t="s">
        <v>42</v>
      </c>
      <c r="G2042">
        <v>-490.46170000000001</v>
      </c>
      <c r="H2042" s="1">
        <v>-3.983128E-6</v>
      </c>
      <c r="I2042">
        <v>268.58749999999998</v>
      </c>
      <c r="J2042">
        <v>-482.36160000000001</v>
      </c>
      <c r="K2042">
        <v>1.1202639999999999</v>
      </c>
      <c r="L2042">
        <v>278.9862</v>
      </c>
      <c r="M2042">
        <v>-0.86556270000000002</v>
      </c>
      <c r="N2042">
        <v>0</v>
      </c>
      <c r="O2042">
        <v>-0.50056</v>
      </c>
      <c r="P2042">
        <v>-0.7320913</v>
      </c>
      <c r="Q2042">
        <v>0.13262199999999999</v>
      </c>
      <c r="R2042">
        <v>-0.66817260000000001</v>
      </c>
      <c r="S2042">
        <v>-1.929443</v>
      </c>
      <c r="T2042">
        <v>-0.25837389999999999</v>
      </c>
      <c r="U2042">
        <v>-2.4355470000000001</v>
      </c>
      <c r="V2042">
        <v>-0.21544759999999999</v>
      </c>
      <c r="W2042">
        <v>0.14244179999999901</v>
      </c>
      <c r="X2042">
        <v>0.96607069999999995</v>
      </c>
      <c r="Y2042">
        <v>-0.36796050000000002</v>
      </c>
      <c r="Z2042">
        <v>2.784298E-2</v>
      </c>
      <c r="AA2042">
        <v>0.92942449999999999</v>
      </c>
      <c r="AB2042">
        <v>34</v>
      </c>
      <c r="AC2042">
        <v>-8.1000999999999905</v>
      </c>
      <c r="AD2042">
        <v>-1.120267983128</v>
      </c>
      <c r="AE2042">
        <v>-10.3987</v>
      </c>
      <c r="AF2042">
        <v>-4.91126139641477</v>
      </c>
      <c r="AG2042">
        <v>-1.120267983128</v>
      </c>
      <c r="AH2042">
        <v>12.130170174077801</v>
      </c>
      <c r="AI2042">
        <v>94.892796844794006</v>
      </c>
      <c r="AJ2042">
        <v>112.04203283703499</v>
      </c>
      <c r="AK2042">
        <v>13.134554324758099</v>
      </c>
      <c r="AL2042">
        <v>81.810832295485795</v>
      </c>
      <c r="AM2042">
        <v>102.57204858324</v>
      </c>
      <c r="AN2042">
        <v>0.99999996606574404</v>
      </c>
    </row>
    <row r="2043" spans="1:40" x14ac:dyDescent="0.25">
      <c r="A2043" t="str">
        <f>"20190312164303246"</f>
        <v>20190312164303246</v>
      </c>
      <c r="B2043" t="str">
        <f>"1552380183236053"</f>
        <v>1552380183236053</v>
      </c>
      <c r="C2043" t="s">
        <v>40</v>
      </c>
      <c r="D2043">
        <v>4.2569720000000002</v>
      </c>
      <c r="E2043">
        <v>0.43066520000000003</v>
      </c>
      <c r="F2043" t="s">
        <v>42</v>
      </c>
      <c r="G2043">
        <v>-490.28149999999999</v>
      </c>
      <c r="H2043" s="1">
        <v>-3.9499080000000003E-6</v>
      </c>
      <c r="I2043">
        <v>268.62189999999998</v>
      </c>
      <c r="J2043">
        <v>-482.65010000000001</v>
      </c>
      <c r="K2043">
        <v>1.1204190000000001</v>
      </c>
      <c r="L2043">
        <v>278.80709999999999</v>
      </c>
      <c r="M2043">
        <v>-0.85973290000000002</v>
      </c>
      <c r="N2043">
        <v>0</v>
      </c>
      <c r="O2043">
        <v>-0.51050709999999999</v>
      </c>
      <c r="P2043">
        <v>-0.72380549999999999</v>
      </c>
      <c r="Q2043">
        <v>0.13281229999999999</v>
      </c>
      <c r="R2043">
        <v>-0.67710190000000003</v>
      </c>
      <c r="S2043">
        <v>-1.8894960000000001</v>
      </c>
      <c r="T2043">
        <v>-0.26727060000000002</v>
      </c>
      <c r="U2043">
        <v>-2.4726870000000001</v>
      </c>
      <c r="V2043">
        <v>-0.21623519999999999</v>
      </c>
      <c r="W2043">
        <v>0.142560299999999</v>
      </c>
      <c r="X2043">
        <v>0.96587730000000005</v>
      </c>
      <c r="Y2043">
        <v>-0.373502</v>
      </c>
      <c r="Z2043">
        <v>2.9472499999999999E-2</v>
      </c>
      <c r="AA2043">
        <v>0.92716100000000001</v>
      </c>
      <c r="AB2043">
        <v>34</v>
      </c>
      <c r="AC2043">
        <v>-7.6313999999999798</v>
      </c>
      <c r="AD2043">
        <v>-1.1204229499079901</v>
      </c>
      <c r="AE2043">
        <v>-10.1852</v>
      </c>
      <c r="AF2043">
        <v>-4.82386965270641</v>
      </c>
      <c r="AG2043">
        <v>-1.1204229499079901</v>
      </c>
      <c r="AH2043">
        <v>11.671548320361399</v>
      </c>
      <c r="AI2043">
        <v>95.069858945699394</v>
      </c>
      <c r="AJ2043">
        <v>112.455386338914</v>
      </c>
      <c r="AK2043">
        <v>12.6787265215207</v>
      </c>
      <c r="AL2043">
        <v>81.803973266817906</v>
      </c>
      <c r="AM2043">
        <v>102.618984120272</v>
      </c>
      <c r="AN2043">
        <v>1.0000000297552001</v>
      </c>
    </row>
    <row r="2044" spans="1:40" x14ac:dyDescent="0.25">
      <c r="A2044" t="str">
        <f>"20190312164303269"</f>
        <v>20190312164303269</v>
      </c>
      <c r="B2044" t="str">
        <f>"1552380183266312"</f>
        <v>1552380183266312</v>
      </c>
      <c r="C2044" t="s">
        <v>40</v>
      </c>
      <c r="D2044">
        <v>4.2896089999999996</v>
      </c>
      <c r="E2044">
        <v>0.43075859999999999</v>
      </c>
      <c r="F2044" t="s">
        <v>42</v>
      </c>
      <c r="G2044">
        <v>-490.22280000000001</v>
      </c>
      <c r="H2044" s="1">
        <v>-3.9369530000000004E-6</v>
      </c>
      <c r="I2044">
        <v>268.62810000000002</v>
      </c>
      <c r="J2044">
        <v>-482.93619999999999</v>
      </c>
      <c r="K2044">
        <v>1.1205560000000001</v>
      </c>
      <c r="L2044">
        <v>278.62470000000002</v>
      </c>
      <c r="M2044">
        <v>-0.85370509999999999</v>
      </c>
      <c r="N2044">
        <v>0</v>
      </c>
      <c r="O2044">
        <v>-0.52052349999999903</v>
      </c>
      <c r="P2044">
        <v>-0.71563080000000001</v>
      </c>
      <c r="Q2044">
        <v>0.13251679999999999</v>
      </c>
      <c r="R2044">
        <v>-0.68579319999999999</v>
      </c>
      <c r="S2044">
        <v>-1.858398</v>
      </c>
      <c r="T2044">
        <v>-0.27496159999999997</v>
      </c>
      <c r="U2044">
        <v>-2.4980159999999998</v>
      </c>
      <c r="V2044">
        <v>-0.21662020000000001</v>
      </c>
      <c r="W2044">
        <v>0.1422091</v>
      </c>
      <c r="X2044">
        <v>0.9658428</v>
      </c>
      <c r="Y2044">
        <v>-0.37463600000000002</v>
      </c>
      <c r="Z2044">
        <v>3.123888E-2</v>
      </c>
      <c r="AA2044">
        <v>0.92664559999999996</v>
      </c>
      <c r="AB2044">
        <v>34</v>
      </c>
      <c r="AC2044">
        <v>-7.2866000000000204</v>
      </c>
      <c r="AD2044">
        <v>-1.1205599369529999</v>
      </c>
      <c r="AE2044">
        <v>-9.9966000000000008</v>
      </c>
      <c r="AF2044">
        <v>-4.7032851168521299</v>
      </c>
      <c r="AG2044">
        <v>-1.1205599369529999</v>
      </c>
      <c r="AH2044">
        <v>11.332472195026901</v>
      </c>
      <c r="AI2044">
        <v>95.218194730821097</v>
      </c>
      <c r="AJ2044">
        <v>112.539783440542</v>
      </c>
      <c r="AK2044">
        <v>12.3207739819285</v>
      </c>
      <c r="AL2044">
        <v>81.824302647562703</v>
      </c>
      <c r="AM2044">
        <v>102.641167451692</v>
      </c>
      <c r="AN2044">
        <v>1.00000002674134</v>
      </c>
    </row>
    <row r="2045" spans="1:40" x14ac:dyDescent="0.25">
      <c r="A2045" t="str">
        <f>"20190312164303292"</f>
        <v>20190312164303292</v>
      </c>
      <c r="B2045" t="str">
        <f>"1552380183286806"</f>
        <v>1552380183286806</v>
      </c>
      <c r="C2045" t="s">
        <v>40</v>
      </c>
      <c r="D2045">
        <v>4.2644929999999999</v>
      </c>
      <c r="E2045">
        <v>0.4312762</v>
      </c>
      <c r="F2045" t="s">
        <v>42</v>
      </c>
      <c r="G2045">
        <v>-490.15719999999999</v>
      </c>
      <c r="H2045" s="1">
        <v>-3.9395040000000003E-6</v>
      </c>
      <c r="I2045">
        <v>268.67469999999997</v>
      </c>
      <c r="J2045">
        <v>-483.2269</v>
      </c>
      <c r="K2045">
        <v>1.120681</v>
      </c>
      <c r="L2045">
        <v>278.43450000000001</v>
      </c>
      <c r="M2045">
        <v>-0.84731919999999905</v>
      </c>
      <c r="N2045">
        <v>0</v>
      </c>
      <c r="O2045">
        <v>-0.5308543</v>
      </c>
      <c r="P2045">
        <v>-0.70744719999999905</v>
      </c>
      <c r="Q2045">
        <v>0.1328049</v>
      </c>
      <c r="R2045">
        <v>-0.69417659999999903</v>
      </c>
      <c r="S2045">
        <v>-1.8292539999999999</v>
      </c>
      <c r="T2045">
        <v>-0.2838638</v>
      </c>
      <c r="U2045">
        <v>-2.5205690000000001</v>
      </c>
      <c r="V2045">
        <v>-0.21634880000000001</v>
      </c>
      <c r="W2045">
        <v>0.14246259999999999</v>
      </c>
      <c r="X2045">
        <v>0.96586629999999996</v>
      </c>
      <c r="Y2045">
        <v>-0.37438909999999997</v>
      </c>
      <c r="Z2045">
        <v>3.3297399999999998E-2</v>
      </c>
      <c r="AA2045">
        <v>0.92667370000000004</v>
      </c>
      <c r="AB2045">
        <v>34</v>
      </c>
      <c r="AC2045">
        <v>-6.9302999999999804</v>
      </c>
      <c r="AD2045">
        <v>-1.1206849395039999</v>
      </c>
      <c r="AE2045">
        <v>-9.7598000000000393</v>
      </c>
      <c r="AF2045">
        <v>-4.5513517281112099</v>
      </c>
      <c r="AG2045">
        <v>-1.1206849395039999</v>
      </c>
      <c r="AH2045">
        <v>10.958500204204199</v>
      </c>
      <c r="AI2045">
        <v>95.395268878763702</v>
      </c>
      <c r="AJ2045">
        <v>112.55438982170899</v>
      </c>
      <c r="AK2045">
        <v>11.918870081184499</v>
      </c>
      <c r="AL2045">
        <v>81.809628977487407</v>
      </c>
      <c r="AM2045">
        <v>102.62554025743</v>
      </c>
      <c r="AN2045">
        <v>1.00000005256794</v>
      </c>
    </row>
    <row r="2046" spans="1:40" x14ac:dyDescent="0.25">
      <c r="A2046" t="str">
        <f>"20190312164303315"</f>
        <v>20190312164303315</v>
      </c>
      <c r="B2046" t="str">
        <f>"1552380183306326"</f>
        <v>1552380183306326</v>
      </c>
      <c r="C2046" t="s">
        <v>40</v>
      </c>
      <c r="D2046">
        <v>4.2800919999999998</v>
      </c>
      <c r="E2046">
        <v>0.4318652</v>
      </c>
      <c r="F2046" t="s">
        <v>42</v>
      </c>
      <c r="G2046">
        <v>-490.22370000000001</v>
      </c>
      <c r="H2046" s="1">
        <v>-3.9154389999999998E-6</v>
      </c>
      <c r="I2046">
        <v>268.57740000000001</v>
      </c>
      <c r="J2046">
        <v>-483.49979999999999</v>
      </c>
      <c r="K2046">
        <v>1.120795</v>
      </c>
      <c r="L2046">
        <v>278.25119999999998</v>
      </c>
      <c r="M2046">
        <v>-0.84108109999999903</v>
      </c>
      <c r="N2046">
        <v>0</v>
      </c>
      <c r="O2046">
        <v>-0.54068309999999997</v>
      </c>
      <c r="P2046">
        <v>-0.6998432</v>
      </c>
      <c r="Q2046">
        <v>0.1329581</v>
      </c>
      <c r="R2046">
        <v>-0.70181359999999904</v>
      </c>
      <c r="S2046">
        <v>-1.8027340000000001</v>
      </c>
      <c r="T2046">
        <v>-0.28874640000000001</v>
      </c>
      <c r="U2046">
        <v>-2.5397029999999998</v>
      </c>
      <c r="V2046">
        <v>-0.2156448</v>
      </c>
      <c r="W2046">
        <v>0.142599</v>
      </c>
      <c r="X2046">
        <v>0.96600350000000001</v>
      </c>
      <c r="Y2046">
        <v>-0.37336839999999999</v>
      </c>
      <c r="Z2046">
        <v>3.493044E-2</v>
      </c>
      <c r="AA2046">
        <v>0.92702530000000005</v>
      </c>
      <c r="AB2046">
        <v>34</v>
      </c>
      <c r="AC2046">
        <v>-6.7239000000000102</v>
      </c>
      <c r="AD2046">
        <v>-1.1207989154389999</v>
      </c>
      <c r="AE2046">
        <v>-9.6737999999999698</v>
      </c>
      <c r="AF2046">
        <v>-4.4611245375038999</v>
      </c>
      <c r="AG2046">
        <v>-1.1207989154389999</v>
      </c>
      <c r="AH2046">
        <v>10.7894822246302</v>
      </c>
      <c r="AI2046">
        <v>95.483406570592905</v>
      </c>
      <c r="AJ2046">
        <v>112.46361437529001</v>
      </c>
      <c r="AK2046">
        <v>11.7290557601019</v>
      </c>
      <c r="AL2046">
        <v>81.801732442565395</v>
      </c>
      <c r="AM2046">
        <v>102.584036996333</v>
      </c>
      <c r="AN2046">
        <v>0.99999995829014399</v>
      </c>
    </row>
    <row r="2047" spans="1:40" x14ac:dyDescent="0.25">
      <c r="A2047" t="str">
        <f>"20190312164303336"</f>
        <v>20190312164303336</v>
      </c>
      <c r="B2047" t="str">
        <f>"1552380183326822"</f>
        <v>1552380183326822</v>
      </c>
      <c r="C2047" t="s">
        <v>40</v>
      </c>
      <c r="D2047">
        <v>4.2814550000000002</v>
      </c>
      <c r="E2047">
        <v>0.43207410000000002</v>
      </c>
      <c r="F2047" t="s">
        <v>42</v>
      </c>
      <c r="G2047">
        <v>-490.29309999999998</v>
      </c>
      <c r="H2047" s="1">
        <v>-3.8951899999999997E-6</v>
      </c>
      <c r="I2047">
        <v>268.48719999999997</v>
      </c>
      <c r="J2047">
        <v>-483.76549999999997</v>
      </c>
      <c r="K2047">
        <v>1.120897</v>
      </c>
      <c r="L2047">
        <v>278.06799999999998</v>
      </c>
      <c r="M2047">
        <v>-0.83477309999999905</v>
      </c>
      <c r="N2047">
        <v>0</v>
      </c>
      <c r="O2047">
        <v>-0.55037150000000001</v>
      </c>
      <c r="P2047">
        <v>-0.69211099999999903</v>
      </c>
      <c r="Q2047">
        <v>0.13321150000000001</v>
      </c>
      <c r="R2047">
        <v>-0.70939240000000003</v>
      </c>
      <c r="S2047">
        <v>-1.7787170000000001</v>
      </c>
      <c r="T2047">
        <v>-0.29346280000000002</v>
      </c>
      <c r="U2047">
        <v>-2.556549</v>
      </c>
      <c r="V2047">
        <v>-0.2150639</v>
      </c>
      <c r="W2047">
        <v>0.1428364</v>
      </c>
      <c r="X2047">
        <v>0.96609800000000001</v>
      </c>
      <c r="Y2047">
        <v>-0.37142219999999998</v>
      </c>
      <c r="Z2047">
        <v>3.6607479999999998E-2</v>
      </c>
      <c r="AA2047">
        <v>0.92774210000000001</v>
      </c>
      <c r="AB2047">
        <v>34</v>
      </c>
      <c r="AC2047">
        <v>-6.5275999999999996</v>
      </c>
      <c r="AD2047">
        <v>-1.1209008951899999</v>
      </c>
      <c r="AE2047">
        <v>-9.5808</v>
      </c>
      <c r="AF2047">
        <v>-4.36492456242238</v>
      </c>
      <c r="AG2047">
        <v>-1.1209008951899999</v>
      </c>
      <c r="AH2047">
        <v>10.624061757080399</v>
      </c>
      <c r="AI2047">
        <v>95.573860647051802</v>
      </c>
      <c r="AJ2047">
        <v>112.33544240174101</v>
      </c>
      <c r="AK2047">
        <v>11.5403497984565</v>
      </c>
      <c r="AL2047">
        <v>81.787990354767302</v>
      </c>
      <c r="AM2047">
        <v>102.55002501893399</v>
      </c>
      <c r="AN2047">
        <v>1.00000003192608</v>
      </c>
    </row>
    <row r="2048" spans="1:40" x14ac:dyDescent="0.25">
      <c r="A2048" t="str">
        <f>"20190312164303359"</f>
        <v>20190312164303359</v>
      </c>
      <c r="B2048" t="str">
        <f>"1552380183346342"</f>
        <v>1552380183346342</v>
      </c>
      <c r="C2048" t="s">
        <v>40</v>
      </c>
      <c r="D2048">
        <v>4.3771420000000001</v>
      </c>
      <c r="E2048">
        <v>0.45402239999999999</v>
      </c>
      <c r="F2048" t="s">
        <v>42</v>
      </c>
      <c r="G2048">
        <v>-490.47500000000002</v>
      </c>
      <c r="H2048" s="1">
        <v>-3.8233390000000003E-6</v>
      </c>
      <c r="I2048">
        <v>268.20679999999999</v>
      </c>
      <c r="J2048">
        <v>-484.03879999999998</v>
      </c>
      <c r="K2048">
        <v>1.120997</v>
      </c>
      <c r="L2048">
        <v>277.87479999999999</v>
      </c>
      <c r="M2048">
        <v>-0.82804719999999998</v>
      </c>
      <c r="N2048">
        <v>0</v>
      </c>
      <c r="O2048">
        <v>-0.56043900000000002</v>
      </c>
      <c r="P2048">
        <v>-0.68398210000000004</v>
      </c>
      <c r="Q2048">
        <v>0.133327</v>
      </c>
      <c r="R2048">
        <v>-0.71721179999999995</v>
      </c>
      <c r="S2048">
        <v>-1.75186199999999</v>
      </c>
      <c r="T2048">
        <v>-0.29266700000000001</v>
      </c>
      <c r="U2048">
        <v>-2.5747680000000002</v>
      </c>
      <c r="V2048">
        <v>-0.214394</v>
      </c>
      <c r="W2048">
        <v>0.14294109999999999</v>
      </c>
      <c r="X2048">
        <v>0.96623130000000002</v>
      </c>
      <c r="Y2048">
        <v>-0.36987809999999999</v>
      </c>
      <c r="Z2048">
        <v>3.764195E-2</v>
      </c>
      <c r="AA2048">
        <v>0.92831750000000002</v>
      </c>
      <c r="AB2048">
        <v>34</v>
      </c>
      <c r="AC2048">
        <v>-6.4362000000000403</v>
      </c>
      <c r="AD2048">
        <v>-1.1210008233390001</v>
      </c>
      <c r="AE2048">
        <v>-9.6679999999999993</v>
      </c>
      <c r="AF2048">
        <v>-4.3584022170470602</v>
      </c>
      <c r="AG2048">
        <v>-1.1210008233390001</v>
      </c>
      <c r="AH2048">
        <v>10.6499120775515</v>
      </c>
      <c r="AI2048">
        <v>95.564032138984402</v>
      </c>
      <c r="AJ2048">
        <v>112.256489284846</v>
      </c>
      <c r="AK2048">
        <v>11.561701431496299</v>
      </c>
      <c r="AL2048">
        <v>81.781928492431206</v>
      </c>
      <c r="AM2048">
        <v>102.51049414738701</v>
      </c>
      <c r="AN2048">
        <v>0.99999993520244701</v>
      </c>
    </row>
    <row r="2049" spans="1:40" x14ac:dyDescent="0.25">
      <c r="A2049" t="str">
        <f>"20190312164303381"</f>
        <v>20190312164303381</v>
      </c>
      <c r="B2049" t="str">
        <f>"1552380183376597"</f>
        <v>1552380183376597</v>
      </c>
      <c r="C2049" t="s">
        <v>40</v>
      </c>
      <c r="D2049">
        <v>4.2247760000000003</v>
      </c>
      <c r="E2049">
        <v>0.45654050000000002</v>
      </c>
      <c r="F2049" t="s">
        <v>42</v>
      </c>
      <c r="G2049">
        <v>-490.59629999999999</v>
      </c>
      <c r="H2049" s="1">
        <v>-4.228842E-6</v>
      </c>
      <c r="I2049">
        <v>269.10270000000003</v>
      </c>
      <c r="J2049">
        <v>-484.31299999999999</v>
      </c>
      <c r="K2049">
        <v>1.1210830000000001</v>
      </c>
      <c r="L2049">
        <v>277.67599999999999</v>
      </c>
      <c r="M2049">
        <v>-0.82105649999999997</v>
      </c>
      <c r="N2049">
        <v>0</v>
      </c>
      <c r="O2049">
        <v>-0.57063069999999905</v>
      </c>
      <c r="P2049">
        <v>-0.67575399999999997</v>
      </c>
      <c r="Q2049">
        <v>0.1337846</v>
      </c>
      <c r="R2049">
        <v>-0.72488490000000005</v>
      </c>
      <c r="S2049">
        <v>-1.851105</v>
      </c>
      <c r="T2049">
        <v>-0.31645050000000002</v>
      </c>
      <c r="U2049">
        <v>-2.476318</v>
      </c>
      <c r="V2049">
        <v>-0.21344940000000001</v>
      </c>
      <c r="W2049">
        <v>0.14340029999999901</v>
      </c>
      <c r="X2049">
        <v>0.96637240000000002</v>
      </c>
      <c r="Y2049">
        <v>-0.31686910000000001</v>
      </c>
      <c r="Z2049">
        <v>4.4587670000000003E-2</v>
      </c>
      <c r="AA2049">
        <v>0.9474207</v>
      </c>
      <c r="AB2049">
        <v>34</v>
      </c>
      <c r="AC2049">
        <v>-6.2832999999999402</v>
      </c>
      <c r="AD2049">
        <v>-1.121087228842</v>
      </c>
      <c r="AE2049">
        <v>-8.57329999999995</v>
      </c>
      <c r="AF2049">
        <v>-3.4161439701399399</v>
      </c>
      <c r="AG2049">
        <v>-1.121087228842</v>
      </c>
      <c r="AH2049">
        <v>9.9417779917021303</v>
      </c>
      <c r="AI2049">
        <v>96.087302144836997</v>
      </c>
      <c r="AJ2049">
        <v>108.96348961038601</v>
      </c>
      <c r="AK2049">
        <v>10.5719357657757</v>
      </c>
      <c r="AL2049">
        <v>81.755344554991694</v>
      </c>
      <c r="AM2049">
        <v>102.455336280526</v>
      </c>
      <c r="AN2049">
        <v>0.99999995394110397</v>
      </c>
    </row>
    <row r="2050" spans="1:40" x14ac:dyDescent="0.25">
      <c r="A2050" t="str">
        <f>"20190312164303394"</f>
        <v>20190312164303394</v>
      </c>
      <c r="B2050" t="str">
        <f>"1552380183386359"</f>
        <v>1552380183386359</v>
      </c>
      <c r="C2050" t="s">
        <v>40</v>
      </c>
      <c r="D2050">
        <v>4.4220949999999997</v>
      </c>
      <c r="E2050">
        <v>0.45739590000000002</v>
      </c>
      <c r="F2050" t="s">
        <v>42</v>
      </c>
      <c r="G2050">
        <v>-490.9973</v>
      </c>
      <c r="H2050" s="1">
        <v>-4.1436109999999997E-6</v>
      </c>
      <c r="I2050">
        <v>268.64319999999998</v>
      </c>
      <c r="J2050">
        <v>-484.47160000000002</v>
      </c>
      <c r="K2050">
        <v>1.121124</v>
      </c>
      <c r="L2050">
        <v>277.55790000000002</v>
      </c>
      <c r="M2050">
        <v>-0.81688950000000005</v>
      </c>
      <c r="N2050">
        <v>0</v>
      </c>
      <c r="O2050">
        <v>-0.57658030000000005</v>
      </c>
      <c r="P2050">
        <v>-0.67103139999999994</v>
      </c>
      <c r="Q2050">
        <v>0.13368289999999999</v>
      </c>
      <c r="R2050">
        <v>-0.72927759999999997</v>
      </c>
      <c r="S2050">
        <v>-1.837189</v>
      </c>
      <c r="T2050">
        <v>-0.30813299999999999</v>
      </c>
      <c r="U2050">
        <v>-2.4826969999999999</v>
      </c>
      <c r="V2050">
        <v>-0.21273239999999999</v>
      </c>
      <c r="W2050">
        <v>0.14330879999999999</v>
      </c>
      <c r="X2050">
        <v>0.96654410000000002</v>
      </c>
      <c r="Y2050">
        <v>-0.31455329999999998</v>
      </c>
      <c r="Z2050">
        <v>4.4228080000000003E-2</v>
      </c>
      <c r="AA2050">
        <v>0.94820890000000002</v>
      </c>
      <c r="AB2050">
        <v>34</v>
      </c>
      <c r="AC2050">
        <v>-6.5256999999999703</v>
      </c>
      <c r="AD2050">
        <v>-1.1211281436110001</v>
      </c>
      <c r="AE2050">
        <v>-8.91470000000003</v>
      </c>
      <c r="AF2050">
        <v>-3.4842881188083901</v>
      </c>
      <c r="AG2050">
        <v>-1.1211281436110001</v>
      </c>
      <c r="AH2050">
        <v>10.3653664222616</v>
      </c>
      <c r="AI2050">
        <v>95.853719287422194</v>
      </c>
      <c r="AJ2050">
        <v>108.57992266572499</v>
      </c>
      <c r="AK2050">
        <v>10.9926344921049</v>
      </c>
      <c r="AL2050">
        <v>81.760642145866598</v>
      </c>
      <c r="AM2050">
        <v>102.412659785767</v>
      </c>
      <c r="AN2050">
        <v>0.99999999170600495</v>
      </c>
    </row>
    <row r="2051" spans="1:40" x14ac:dyDescent="0.25">
      <c r="A2051" t="str">
        <f>"20190312164303406"</f>
        <v>20190312164303406</v>
      </c>
      <c r="B2051" t="str">
        <f>"1552380183396118"</f>
        <v>1552380183396118</v>
      </c>
      <c r="C2051" t="s">
        <v>40</v>
      </c>
      <c r="D2051">
        <v>4.1849220000000003</v>
      </c>
      <c r="E2051">
        <v>0.45800869999999999</v>
      </c>
      <c r="F2051" t="s">
        <v>42</v>
      </c>
      <c r="G2051">
        <v>-491.17559999999997</v>
      </c>
      <c r="H2051" s="1">
        <v>-4.0981580000000001E-6</v>
      </c>
      <c r="I2051">
        <v>268.41660000000002</v>
      </c>
      <c r="J2051">
        <v>-484.61950000000002</v>
      </c>
      <c r="K2051">
        <v>1.1211500000000001</v>
      </c>
      <c r="L2051">
        <v>277.44650000000001</v>
      </c>
      <c r="M2051">
        <v>-0.81293609999999905</v>
      </c>
      <c r="N2051">
        <v>0</v>
      </c>
      <c r="O2051">
        <v>-0.58214069999999996</v>
      </c>
      <c r="P2051">
        <v>-0.66637809999999997</v>
      </c>
      <c r="Q2051">
        <v>0.13365669999999999</v>
      </c>
      <c r="R2051">
        <v>-0.73353679999999999</v>
      </c>
      <c r="S2051">
        <v>-1.8258669999999999</v>
      </c>
      <c r="T2051">
        <v>-0.30534230000000001</v>
      </c>
      <c r="U2051">
        <v>-2.489655</v>
      </c>
      <c r="V2051">
        <v>-0.21230170000000001</v>
      </c>
      <c r="W2051">
        <v>0.14328569999999999</v>
      </c>
      <c r="X2051">
        <v>0.96664229999999995</v>
      </c>
      <c r="Y2051">
        <v>-0.3121526</v>
      </c>
      <c r="Z2051">
        <v>4.4560049999999997E-2</v>
      </c>
      <c r="AA2051">
        <v>0.94898640000000001</v>
      </c>
      <c r="AB2051">
        <v>34</v>
      </c>
      <c r="AC2051">
        <v>-6.5560999999999501</v>
      </c>
      <c r="AD2051">
        <v>-1.1211540981579999</v>
      </c>
      <c r="AE2051">
        <v>-9.0298999999999907</v>
      </c>
      <c r="AF2051">
        <v>-3.4893709792482901</v>
      </c>
      <c r="AG2051">
        <v>-1.1211540981579999</v>
      </c>
      <c r="AH2051">
        <v>10.4818614031145</v>
      </c>
      <c r="AI2051">
        <v>95.794865292623896</v>
      </c>
      <c r="AJ2051">
        <v>108.412400375513</v>
      </c>
      <c r="AK2051">
        <v>11.1041485408265</v>
      </c>
      <c r="AL2051">
        <v>81.761980128707705</v>
      </c>
      <c r="AM2051">
        <v>102.387086034004</v>
      </c>
      <c r="AN2051">
        <v>1.00000006989833</v>
      </c>
    </row>
    <row r="2052" spans="1:40" x14ac:dyDescent="0.25">
      <c r="A2052" t="str">
        <f>"20190312164303425"</f>
        <v>20190312164303425</v>
      </c>
      <c r="B2052" t="str">
        <f>"1552380183416613"</f>
        <v>1552380183416613</v>
      </c>
      <c r="C2052" t="s">
        <v>40</v>
      </c>
      <c r="D2052">
        <v>4.3882199999999996</v>
      </c>
      <c r="E2052">
        <v>0.45872960000000002</v>
      </c>
      <c r="F2052" t="s">
        <v>42</v>
      </c>
      <c r="G2052">
        <v>-491.28250000000003</v>
      </c>
      <c r="H2052" s="1">
        <v>-4.0646229999999996E-6</v>
      </c>
      <c r="I2052">
        <v>268.26839999999999</v>
      </c>
      <c r="J2052">
        <v>-484.8372</v>
      </c>
      <c r="K2052">
        <v>1.1211899999999999</v>
      </c>
      <c r="L2052">
        <v>277.27980000000002</v>
      </c>
      <c r="M2052">
        <v>-0.80699350000000003</v>
      </c>
      <c r="N2052">
        <v>0</v>
      </c>
      <c r="O2052">
        <v>-0.59035059999999995</v>
      </c>
      <c r="P2052">
        <v>-0.66027279999999999</v>
      </c>
      <c r="Q2052">
        <v>0.13341539999999999</v>
      </c>
      <c r="R2052">
        <v>-0.73908079999999998</v>
      </c>
      <c r="S2052">
        <v>-1.8134459999999999</v>
      </c>
      <c r="T2052">
        <v>-0.30514140000000001</v>
      </c>
      <c r="U2052">
        <v>-2.497986</v>
      </c>
      <c r="V2052">
        <v>-0.21056050000000001</v>
      </c>
      <c r="W2052">
        <v>0.14308560000000001</v>
      </c>
      <c r="X2052">
        <v>0.96705260000000004</v>
      </c>
      <c r="Y2052">
        <v>-0.30715360000000003</v>
      </c>
      <c r="Z2052">
        <v>4.5655179999999997E-2</v>
      </c>
      <c r="AA2052">
        <v>0.95056419999999997</v>
      </c>
      <c r="AB2052">
        <v>34</v>
      </c>
      <c r="AC2052">
        <v>-6.4453000000000298</v>
      </c>
      <c r="AD2052">
        <v>-1.1211940646230001</v>
      </c>
      <c r="AE2052">
        <v>-9.0114000000000303</v>
      </c>
      <c r="AF2052">
        <v>-3.4324317770339401</v>
      </c>
      <c r="AG2052">
        <v>-1.1211940646230001</v>
      </c>
      <c r="AH2052">
        <v>10.4158332838773</v>
      </c>
      <c r="AI2052">
        <v>95.837358660783096</v>
      </c>
      <c r="AJ2052">
        <v>108.239109395394</v>
      </c>
      <c r="AK2052">
        <v>11.0239850794558</v>
      </c>
      <c r="AL2052">
        <v>81.773563569399897</v>
      </c>
      <c r="AM2052">
        <v>102.28353657861599</v>
      </c>
      <c r="AN2052">
        <v>0.99999997212718394</v>
      </c>
    </row>
    <row r="2053" spans="1:40" x14ac:dyDescent="0.25">
      <c r="A2053" t="str">
        <f>"20190312164303448"</f>
        <v>20190312164303448</v>
      </c>
      <c r="B2053" t="str">
        <f>"1552380183436134"</f>
        <v>1552380183436134</v>
      </c>
      <c r="C2053" t="s">
        <v>40</v>
      </c>
      <c r="D2053">
        <v>4.1461480000000002</v>
      </c>
      <c r="E2053">
        <v>0.45941749999999998</v>
      </c>
      <c r="F2053" t="s">
        <v>42</v>
      </c>
      <c r="G2053">
        <v>-491.40989999999999</v>
      </c>
      <c r="H2053" s="1">
        <v>-4.0257409999999999E-6</v>
      </c>
      <c r="I2053">
        <v>268.09879999999998</v>
      </c>
      <c r="J2053">
        <v>-485.10169999999999</v>
      </c>
      <c r="K2053">
        <v>1.1212340000000001</v>
      </c>
      <c r="L2053">
        <v>277.07220000000001</v>
      </c>
      <c r="M2053">
        <v>-0.79956190000000005</v>
      </c>
      <c r="N2053">
        <v>0</v>
      </c>
      <c r="O2053">
        <v>-0.6003773</v>
      </c>
      <c r="P2053">
        <v>-0.65279799999999999</v>
      </c>
      <c r="Q2053">
        <v>0.13292119999999999</v>
      </c>
      <c r="R2053">
        <v>-0.74577919999999998</v>
      </c>
      <c r="S2053">
        <v>-1.7965390000000001</v>
      </c>
      <c r="T2053">
        <v>-0.3064597</v>
      </c>
      <c r="U2053">
        <v>-2.5094910000000001</v>
      </c>
      <c r="V2053">
        <v>-0.20829329999999999</v>
      </c>
      <c r="W2053">
        <v>0.14265229999999901</v>
      </c>
      <c r="X2053">
        <v>0.96760740000000001</v>
      </c>
      <c r="Y2053">
        <v>-0.30162220000000001</v>
      </c>
      <c r="Z2053">
        <v>4.7201180000000002E-2</v>
      </c>
      <c r="AA2053">
        <v>0.95225850000000001</v>
      </c>
      <c r="AB2053">
        <v>34</v>
      </c>
      <c r="AC2053">
        <v>-6.3081999999999896</v>
      </c>
      <c r="AD2053">
        <v>-1.121238025741</v>
      </c>
      <c r="AE2053">
        <v>-8.9734000000000194</v>
      </c>
      <c r="AF2053">
        <v>-3.3528743789876998</v>
      </c>
      <c r="AG2053">
        <v>-1.121238025741</v>
      </c>
      <c r="AH2053">
        <v>10.3246329465277</v>
      </c>
      <c r="AI2053">
        <v>95.897081079581895</v>
      </c>
      <c r="AJ2053">
        <v>107.990953279827</v>
      </c>
      <c r="AK2053">
        <v>10.913156591571701</v>
      </c>
      <c r="AL2053">
        <v>81.7986467926995</v>
      </c>
      <c r="AM2053">
        <v>102.14846509444899</v>
      </c>
      <c r="AN2053">
        <v>0.99999992902746704</v>
      </c>
    </row>
    <row r="2054" spans="1:40" x14ac:dyDescent="0.25">
      <c r="A2054" t="str">
        <f>"20190312164303482"</f>
        <v>20190312164303482</v>
      </c>
      <c r="B2054" t="str">
        <f>"1552380183476153"</f>
        <v>1552380183476153</v>
      </c>
      <c r="C2054" t="s">
        <v>40</v>
      </c>
      <c r="D2054">
        <v>4.1587489999999896</v>
      </c>
      <c r="E2054">
        <v>0.46049570000000001</v>
      </c>
      <c r="F2054" t="s">
        <v>42</v>
      </c>
      <c r="G2054">
        <v>-491.53899999999999</v>
      </c>
      <c r="H2054" s="1">
        <v>-3.9751460000000003E-6</v>
      </c>
      <c r="I2054">
        <v>267.9008</v>
      </c>
      <c r="J2054">
        <v>-485.49360000000001</v>
      </c>
      <c r="K2054">
        <v>1.1212759999999999</v>
      </c>
      <c r="L2054">
        <v>276.75510000000003</v>
      </c>
      <c r="M2054">
        <v>-0.78814580000000001</v>
      </c>
      <c r="N2054">
        <v>0</v>
      </c>
      <c r="O2054">
        <v>-0.61528660000000002</v>
      </c>
      <c r="P2054">
        <v>-0.64034009999999997</v>
      </c>
      <c r="Q2054">
        <v>0.13321749999999999</v>
      </c>
      <c r="R2054">
        <v>-0.75645069999999903</v>
      </c>
      <c r="S2054">
        <v>-1.772858</v>
      </c>
      <c r="T2054">
        <v>-0.30879719999999999</v>
      </c>
      <c r="U2054">
        <v>-2.5258790000000002</v>
      </c>
      <c r="V2054">
        <v>-0.20614589999999999</v>
      </c>
      <c r="W2054">
        <v>0.14300669999999999</v>
      </c>
      <c r="X2054">
        <v>0.96801499999999996</v>
      </c>
      <c r="Y2054">
        <v>-0.29267739999999998</v>
      </c>
      <c r="Z2054">
        <v>4.9600650000000003E-2</v>
      </c>
      <c r="AA2054">
        <v>0.95492390000000005</v>
      </c>
      <c r="AB2054">
        <v>34</v>
      </c>
      <c r="AC2054">
        <v>-6.0453999999999697</v>
      </c>
      <c r="AD2054">
        <v>-1.1212799751460001</v>
      </c>
      <c r="AE2054">
        <v>-8.8543000000000198</v>
      </c>
      <c r="AF2054">
        <v>-3.2239672750116899</v>
      </c>
      <c r="AG2054">
        <v>-1.1212799751460001</v>
      </c>
      <c r="AH2054">
        <v>10.1033484249221</v>
      </c>
      <c r="AI2054">
        <v>96.035381952917206</v>
      </c>
      <c r="AJ2054">
        <v>107.69782542122201</v>
      </c>
      <c r="AK2054">
        <v>10.6643744855658</v>
      </c>
      <c r="AL2054">
        <v>81.778131777072801</v>
      </c>
      <c r="AM2054">
        <v>102.021968520832</v>
      </c>
      <c r="AN2054">
        <v>1.0000000442783401</v>
      </c>
    </row>
    <row r="2055" spans="1:40" x14ac:dyDescent="0.25">
      <c r="A2055" t="str">
        <f>"20190312164303503"</f>
        <v>20190312164303503</v>
      </c>
      <c r="B2055" t="str">
        <f>"1552380183496662"</f>
        <v>1552380183496662</v>
      </c>
      <c r="C2055" t="s">
        <v>40</v>
      </c>
      <c r="D2055">
        <v>4.1493070000000003</v>
      </c>
      <c r="E2055">
        <v>0.46091520000000002</v>
      </c>
      <c r="F2055" t="s">
        <v>42</v>
      </c>
      <c r="G2055">
        <v>-491.70139999999998</v>
      </c>
      <c r="H2055" s="1">
        <v>-3.9036189999999997E-6</v>
      </c>
      <c r="I2055">
        <v>267.63330000000002</v>
      </c>
      <c r="J2055">
        <v>-485.73599999999999</v>
      </c>
      <c r="K2055">
        <v>1.121289</v>
      </c>
      <c r="L2055">
        <v>276.55220000000003</v>
      </c>
      <c r="M2055">
        <v>-0.78082410000000002</v>
      </c>
      <c r="N2055">
        <v>0</v>
      </c>
      <c r="O2055">
        <v>-0.62455190000000005</v>
      </c>
      <c r="P2055">
        <v>-0.63223999999999902</v>
      </c>
      <c r="Q2055">
        <v>0.13393749999999999</v>
      </c>
      <c r="R2055">
        <v>-0.76310800000000001</v>
      </c>
      <c r="S2055">
        <v>-1.7362979999999999</v>
      </c>
      <c r="T2055">
        <v>-0.3136196</v>
      </c>
      <c r="U2055">
        <v>-2.5513309999999998</v>
      </c>
      <c r="V2055">
        <v>-0.20495630000000001</v>
      </c>
      <c r="W2055">
        <v>0.14376040000000001</v>
      </c>
      <c r="X2055">
        <v>0.96815589999999996</v>
      </c>
      <c r="Y2055">
        <v>-0.29522090000000001</v>
      </c>
      <c r="Z2055">
        <v>5.1307199999999997E-2</v>
      </c>
      <c r="AA2055">
        <v>0.95405039999999997</v>
      </c>
      <c r="AB2055">
        <v>34</v>
      </c>
      <c r="AC2055">
        <v>-5.9653999999999803</v>
      </c>
      <c r="AD2055">
        <v>-1.121292903619</v>
      </c>
      <c r="AE2055">
        <v>-8.9189000000000007</v>
      </c>
      <c r="AF2055">
        <v>-3.2038059543022399</v>
      </c>
      <c r="AG2055">
        <v>-1.121292903619</v>
      </c>
      <c r="AH2055">
        <v>10.119012066005199</v>
      </c>
      <c r="AI2055">
        <v>96.030472480342993</v>
      </c>
      <c r="AJ2055">
        <v>107.568439332403</v>
      </c>
      <c r="AK2055">
        <v>10.6731474064817</v>
      </c>
      <c r="AL2055">
        <v>81.734496645894893</v>
      </c>
      <c r="AM2055">
        <v>101.952905437128</v>
      </c>
      <c r="AN2055">
        <v>0.99999999211132995</v>
      </c>
    </row>
    <row r="2056" spans="1:40" x14ac:dyDescent="0.25">
      <c r="A2056" t="str">
        <f>"20190312164303525"</f>
        <v>20190312164303525</v>
      </c>
      <c r="B2056" t="str">
        <f>"1552380183516166"</f>
        <v>1552380183516166</v>
      </c>
      <c r="C2056" t="s">
        <v>40</v>
      </c>
      <c r="D2056">
        <v>4.1469079999999998</v>
      </c>
      <c r="E2056">
        <v>0.46134849999999999</v>
      </c>
      <c r="F2056" t="s">
        <v>42</v>
      </c>
      <c r="G2056">
        <v>-491.89490000000001</v>
      </c>
      <c r="H2056" s="1">
        <v>-3.8125599999999999E-6</v>
      </c>
      <c r="I2056">
        <v>267.30099999999999</v>
      </c>
      <c r="J2056">
        <v>-485.98410000000001</v>
      </c>
      <c r="K2056">
        <v>1.121294</v>
      </c>
      <c r="L2056">
        <v>276.33940000000001</v>
      </c>
      <c r="M2056">
        <v>-0.77312619999999999</v>
      </c>
      <c r="N2056">
        <v>0</v>
      </c>
      <c r="O2056">
        <v>-0.63405630000000002</v>
      </c>
      <c r="P2056">
        <v>-0.62359629999999999</v>
      </c>
      <c r="Q2056">
        <v>0.13454820000000001</v>
      </c>
      <c r="R2056">
        <v>-0.77008140000000003</v>
      </c>
      <c r="S2056">
        <v>-1.7102660000000001</v>
      </c>
      <c r="T2056">
        <v>-0.31136799999999998</v>
      </c>
      <c r="U2056">
        <v>-2.5689389999999999</v>
      </c>
      <c r="V2056">
        <v>-0.2039647</v>
      </c>
      <c r="W2056">
        <v>0.14440120000000001</v>
      </c>
      <c r="X2056">
        <v>0.96826990000000002</v>
      </c>
      <c r="Y2056">
        <v>-0.29326930000000001</v>
      </c>
      <c r="Z2056">
        <v>5.2092149999999997E-2</v>
      </c>
      <c r="AA2056">
        <v>0.95460959999999995</v>
      </c>
      <c r="AB2056">
        <v>33</v>
      </c>
      <c r="AC2056">
        <v>-5.9107999999999903</v>
      </c>
      <c r="AD2056">
        <v>-1.1212978125599999</v>
      </c>
      <c r="AE2056">
        <v>-9.0384000000000206</v>
      </c>
      <c r="AF2056">
        <v>-3.2058860868435</v>
      </c>
      <c r="AG2056">
        <v>-1.1212978125599999</v>
      </c>
      <c r="AH2056">
        <v>10.1920554270156</v>
      </c>
      <c r="AI2056">
        <v>95.991118771120796</v>
      </c>
      <c r="AJ2056">
        <v>107.460840971663</v>
      </c>
      <c r="AK2056">
        <v>10.743044643564801</v>
      </c>
      <c r="AL2056">
        <v>81.697394049009006</v>
      </c>
      <c r="AM2056">
        <v>101.895366955594</v>
      </c>
      <c r="AN2056">
        <v>0.99999995232676797</v>
      </c>
    </row>
    <row r="2057" spans="1:40" x14ac:dyDescent="0.25">
      <c r="A2057" t="str">
        <f>"20190312164303548"</f>
        <v>20190312164303548</v>
      </c>
      <c r="B2057" t="str">
        <f>"1552380183536661"</f>
        <v>1552380183536661</v>
      </c>
      <c r="C2057" t="s">
        <v>40</v>
      </c>
      <c r="D2057">
        <v>4.125356</v>
      </c>
      <c r="E2057">
        <v>0.46175480000000002</v>
      </c>
      <c r="F2057" t="s">
        <v>42</v>
      </c>
      <c r="G2057">
        <v>-492.10430000000002</v>
      </c>
      <c r="H2057" s="1">
        <v>-3.71072E-6</v>
      </c>
      <c r="I2057">
        <v>266.93369999999999</v>
      </c>
      <c r="J2057">
        <v>-486.23169999999999</v>
      </c>
      <c r="K2057">
        <v>1.121289</v>
      </c>
      <c r="L2057">
        <v>276.12180000000001</v>
      </c>
      <c r="M2057">
        <v>-0.76524409999999998</v>
      </c>
      <c r="N2057">
        <v>0</v>
      </c>
      <c r="O2057">
        <v>-0.64354669999999903</v>
      </c>
      <c r="P2057">
        <v>-0.61525419999999997</v>
      </c>
      <c r="Q2057">
        <v>0.13423599999999999</v>
      </c>
      <c r="R2057">
        <v>-0.77681630000000002</v>
      </c>
      <c r="S2057">
        <v>-1.6831050000000001</v>
      </c>
      <c r="T2057">
        <v>-0.30836780000000003</v>
      </c>
      <c r="U2057">
        <v>-2.5866389999999999</v>
      </c>
      <c r="V2057">
        <v>-0.20249159999999999</v>
      </c>
      <c r="W2057">
        <v>0.14413790000000001</v>
      </c>
      <c r="X2057">
        <v>0.96861830000000004</v>
      </c>
      <c r="Y2057">
        <v>-0.29151480000000002</v>
      </c>
      <c r="Z2057">
        <v>5.2728740000000003E-2</v>
      </c>
      <c r="AA2057">
        <v>0.95511190000000001</v>
      </c>
      <c r="AB2057">
        <v>33</v>
      </c>
      <c r="AC2057">
        <v>-5.8726000000000296</v>
      </c>
      <c r="AD2057">
        <v>-1.1212927107199999</v>
      </c>
      <c r="AE2057">
        <v>-9.1881000000000199</v>
      </c>
      <c r="AF2057">
        <v>-3.2182237258851099</v>
      </c>
      <c r="AG2057">
        <v>-1.1212927107199999</v>
      </c>
      <c r="AH2057">
        <v>10.2993388837808</v>
      </c>
      <c r="AI2057">
        <v>95.932626089733503</v>
      </c>
      <c r="AJ2057">
        <v>107.352404469031</v>
      </c>
      <c r="AK2057">
        <v>10.8485318239807</v>
      </c>
      <c r="AL2057">
        <v>81.712639890405399</v>
      </c>
      <c r="AM2057">
        <v>101.807747400232</v>
      </c>
      <c r="AN2057">
        <v>0.99999999669092998</v>
      </c>
    </row>
    <row r="2058" spans="1:40" x14ac:dyDescent="0.25">
      <c r="A2058" t="str">
        <f>"20190312164303570"</f>
        <v>20190312164303570</v>
      </c>
      <c r="B2058" t="str">
        <f>"1552380183565941"</f>
        <v>1552380183565941</v>
      </c>
      <c r="C2058" t="s">
        <v>40</v>
      </c>
      <c r="D2058">
        <v>4.134836</v>
      </c>
      <c r="E2058">
        <v>0.46921069999999998</v>
      </c>
      <c r="F2058" t="s">
        <v>42</v>
      </c>
      <c r="G2058">
        <v>-492.24489999999997</v>
      </c>
      <c r="H2058" s="1">
        <v>-3.6367900000000002E-6</v>
      </c>
      <c r="I2058">
        <v>266.67419999999998</v>
      </c>
      <c r="J2058">
        <v>-486.47620000000001</v>
      </c>
      <c r="K2058">
        <v>1.1212660000000001</v>
      </c>
      <c r="L2058">
        <v>275.9015</v>
      </c>
      <c r="M2058">
        <v>-0.75725790000000004</v>
      </c>
      <c r="N2058">
        <v>0</v>
      </c>
      <c r="O2058">
        <v>-0.65292530000000004</v>
      </c>
      <c r="P2058">
        <v>-0.60658970000000001</v>
      </c>
      <c r="Q2058">
        <v>0.1326068</v>
      </c>
      <c r="R2058">
        <v>-0.78387810000000002</v>
      </c>
      <c r="S2058">
        <v>-1.65683</v>
      </c>
      <c r="T2058">
        <v>-0.30894759999999999</v>
      </c>
      <c r="U2058">
        <v>-2.6030880000000001</v>
      </c>
      <c r="V2058">
        <v>-0.2014756</v>
      </c>
      <c r="W2058">
        <v>0.14254849999999999</v>
      </c>
      <c r="X2058">
        <v>0.96906530000000002</v>
      </c>
      <c r="Y2058">
        <v>-0.2893616</v>
      </c>
      <c r="Z2058">
        <v>5.3973300000000002E-2</v>
      </c>
      <c r="AA2058">
        <v>0.95569700000000002</v>
      </c>
      <c r="AB2058">
        <v>33</v>
      </c>
      <c r="AC2058">
        <v>-5.76869999999996</v>
      </c>
      <c r="AD2058">
        <v>-1.1212696367899999</v>
      </c>
      <c r="AE2058">
        <v>-9.2273000000000103</v>
      </c>
      <c r="AF2058">
        <v>-3.1874761302360501</v>
      </c>
      <c r="AG2058">
        <v>-1.1212696367899999</v>
      </c>
      <c r="AH2058">
        <v>10.2852298889045</v>
      </c>
      <c r="AI2058">
        <v>95.9448715537917</v>
      </c>
      <c r="AJ2058">
        <v>107.218632625457</v>
      </c>
      <c r="AK2058">
        <v>10.8260428387674</v>
      </c>
      <c r="AL2058">
        <v>81.804656285319297</v>
      </c>
      <c r="AM2058">
        <v>101.744883914624</v>
      </c>
      <c r="AN2058">
        <v>1.00000002395584</v>
      </c>
    </row>
    <row r="2059" spans="1:40" x14ac:dyDescent="0.25">
      <c r="A2059" t="str">
        <f>"20190312164303593"</f>
        <v>20190312164303593</v>
      </c>
      <c r="B2059" t="str">
        <f>"1552380183586443"</f>
        <v>1552380183586443</v>
      </c>
      <c r="C2059" t="s">
        <v>40</v>
      </c>
      <c r="D2059">
        <v>4.1180830000000004</v>
      </c>
      <c r="E2059">
        <v>0.46918569999999998</v>
      </c>
      <c r="F2059" t="s">
        <v>42</v>
      </c>
      <c r="G2059">
        <v>-492.72160000000002</v>
      </c>
      <c r="H2059" s="1">
        <v>-3.5855490000000001E-6</v>
      </c>
      <c r="I2059">
        <v>266.25909999999999</v>
      </c>
      <c r="J2059">
        <v>-486.71890000000002</v>
      </c>
      <c r="K2059">
        <v>1.121238</v>
      </c>
      <c r="L2059">
        <v>275.6773</v>
      </c>
      <c r="M2059">
        <v>-0.74913450000000004</v>
      </c>
      <c r="N2059">
        <v>0</v>
      </c>
      <c r="O2059">
        <v>-0.66222969999999903</v>
      </c>
      <c r="P2059">
        <v>-0.59778399999999998</v>
      </c>
      <c r="Q2059">
        <v>0.1309101</v>
      </c>
      <c r="R2059">
        <v>-0.79089609999999899</v>
      </c>
      <c r="S2059">
        <v>-1.673157</v>
      </c>
      <c r="T2059">
        <v>-0.30038730000000002</v>
      </c>
      <c r="U2059">
        <v>-2.5831909999999998</v>
      </c>
      <c r="V2059">
        <v>-0.20050090000000001</v>
      </c>
      <c r="W2059">
        <v>0.14089360000000001</v>
      </c>
      <c r="X2059">
        <v>0.96950939999999997</v>
      </c>
      <c r="Y2059">
        <v>-0.26990540000000002</v>
      </c>
      <c r="Z2059">
        <v>5.4396149999999997E-2</v>
      </c>
      <c r="AA2059">
        <v>0.96134909999999996</v>
      </c>
      <c r="AB2059">
        <v>33</v>
      </c>
      <c r="AC2059">
        <v>-6.0026999999999999</v>
      </c>
      <c r="AD2059">
        <v>-1.1212415855490001</v>
      </c>
      <c r="AE2059">
        <v>-9.4182000000000095</v>
      </c>
      <c r="AF2059">
        <v>-3.0499761895507498</v>
      </c>
      <c r="AG2059">
        <v>-1.1212415855490001</v>
      </c>
      <c r="AH2059">
        <v>10.628061287467</v>
      </c>
      <c r="AI2059">
        <v>95.790300237913996</v>
      </c>
      <c r="AJ2059">
        <v>106.01209738565601</v>
      </c>
      <c r="AK2059">
        <v>11.1137403325859</v>
      </c>
      <c r="AL2059">
        <v>81.900442067647901</v>
      </c>
      <c r="AM2059">
        <v>101.68442437485599</v>
      </c>
      <c r="AN2059">
        <v>1.0000000470550601</v>
      </c>
    </row>
    <row r="2060" spans="1:40" x14ac:dyDescent="0.25">
      <c r="A2060" t="str">
        <f>"20190312164303614"</f>
        <v>20190312164303614</v>
      </c>
      <c r="B2060" t="str">
        <f>"1552380183605957"</f>
        <v>1552380183605957</v>
      </c>
      <c r="C2060" t="s">
        <v>40</v>
      </c>
      <c r="D2060">
        <v>4.1538139999999997</v>
      </c>
      <c r="E2060">
        <v>0.4693618</v>
      </c>
      <c r="F2060" t="s">
        <v>42</v>
      </c>
      <c r="G2060">
        <v>-492.55130000000003</v>
      </c>
      <c r="H2060" s="1">
        <v>-3.617319E-6</v>
      </c>
      <c r="I2060">
        <v>266.43880000000001</v>
      </c>
      <c r="J2060">
        <v>-486.9504</v>
      </c>
      <c r="K2060">
        <v>1.1211949999999999</v>
      </c>
      <c r="L2060">
        <v>275.45830000000001</v>
      </c>
      <c r="M2060">
        <v>-0.74121369999999998</v>
      </c>
      <c r="N2060">
        <v>0</v>
      </c>
      <c r="O2060">
        <v>-0.67108369999999995</v>
      </c>
      <c r="P2060">
        <v>-0.58926420000000002</v>
      </c>
      <c r="Q2060">
        <v>0.12919939999999999</v>
      </c>
      <c r="R2060">
        <v>-0.79754349999999996</v>
      </c>
      <c r="S2060">
        <v>-1.64349399999999</v>
      </c>
      <c r="T2060">
        <v>-0.31595390000000001</v>
      </c>
      <c r="U2060">
        <v>-2.6033019999999998</v>
      </c>
      <c r="V2060">
        <v>-0.1995316</v>
      </c>
      <c r="W2060">
        <v>0.13922789999999999</v>
      </c>
      <c r="X2060">
        <v>0.96994979999999997</v>
      </c>
      <c r="Y2060">
        <v>-0.2697967</v>
      </c>
      <c r="Z2060">
        <v>5.8195129999999998E-2</v>
      </c>
      <c r="AA2060">
        <v>0.96115709999999999</v>
      </c>
      <c r="AB2060">
        <v>33</v>
      </c>
      <c r="AC2060">
        <v>-5.6009000000000198</v>
      </c>
      <c r="AD2060">
        <v>-1.1211986173190001</v>
      </c>
      <c r="AE2060">
        <v>-9.0194999999999901</v>
      </c>
      <c r="AF2060">
        <v>-2.8947855207172699</v>
      </c>
      <c r="AG2060">
        <v>-1.1211986173190001</v>
      </c>
      <c r="AH2060">
        <v>10.0930147147255</v>
      </c>
      <c r="AI2060">
        <v>96.095029902579199</v>
      </c>
      <c r="AJ2060">
        <v>106.003462599446</v>
      </c>
      <c r="AK2060">
        <v>10.5596314131743</v>
      </c>
      <c r="AL2060">
        <v>81.996828902749598</v>
      </c>
      <c r="AM2060">
        <v>101.624343002647</v>
      </c>
      <c r="AN2060">
        <v>0.99999994102850298</v>
      </c>
    </row>
    <row r="2061" spans="1:40" x14ac:dyDescent="0.25">
      <c r="A2061" t="str">
        <f>"20190312164303638"</f>
        <v>20190312164303638</v>
      </c>
      <c r="B2061" t="str">
        <f>"1552380183626454"</f>
        <v>1552380183626454</v>
      </c>
      <c r="C2061" t="s">
        <v>40</v>
      </c>
      <c r="D2061">
        <v>4.1292629999999999</v>
      </c>
      <c r="E2061">
        <v>0.4699043</v>
      </c>
      <c r="F2061" t="s">
        <v>42</v>
      </c>
      <c r="G2061">
        <v>-492.49770000000001</v>
      </c>
      <c r="H2061" s="1">
        <v>-3.613262E-6</v>
      </c>
      <c r="I2061">
        <v>266.46260000000001</v>
      </c>
      <c r="J2061">
        <v>-487.1866</v>
      </c>
      <c r="K2061">
        <v>1.1211469999999999</v>
      </c>
      <c r="L2061">
        <v>275.22949999999997</v>
      </c>
      <c r="M2061">
        <v>-0.73295840000000001</v>
      </c>
      <c r="N2061">
        <v>0</v>
      </c>
      <c r="O2061">
        <v>-0.68009049999999904</v>
      </c>
      <c r="P2061">
        <v>-0.58039469999999904</v>
      </c>
      <c r="Q2061">
        <v>0.12792300000000001</v>
      </c>
      <c r="R2061">
        <v>-0.80422530000000003</v>
      </c>
      <c r="S2061">
        <v>-1.6159669999999999</v>
      </c>
      <c r="T2061">
        <v>-0.32661269999999998</v>
      </c>
      <c r="U2061">
        <v>-2.620514</v>
      </c>
      <c r="V2061">
        <v>-0.19851969999999999</v>
      </c>
      <c r="W2061">
        <v>0.1380015</v>
      </c>
      <c r="X2061">
        <v>0.97033270000000005</v>
      </c>
      <c r="Y2061">
        <v>-0.26828269999999999</v>
      </c>
      <c r="Z2061">
        <v>6.1273059999999997E-2</v>
      </c>
      <c r="AA2061">
        <v>0.96138959999999996</v>
      </c>
      <c r="AB2061">
        <v>33</v>
      </c>
      <c r="AC2061">
        <v>-5.3110999999999997</v>
      </c>
      <c r="AD2061">
        <v>-1.1211506132619999</v>
      </c>
      <c r="AE2061">
        <v>-8.7668999999999606</v>
      </c>
      <c r="AF2061">
        <v>-2.7808256930967099</v>
      </c>
      <c r="AG2061">
        <v>-1.1211506132619999</v>
      </c>
      <c r="AH2061">
        <v>9.7398036473607696</v>
      </c>
      <c r="AI2061">
        <v>96.316194478150393</v>
      </c>
      <c r="AJ2061">
        <v>105.934652055744</v>
      </c>
      <c r="AK2061">
        <v>10.190865778830901</v>
      </c>
      <c r="AL2061">
        <v>82.067782010176799</v>
      </c>
      <c r="AM2061">
        <v>101.56254273605001</v>
      </c>
      <c r="AN2061">
        <v>1.00000001698981</v>
      </c>
    </row>
    <row r="2062" spans="1:40" x14ac:dyDescent="0.25">
      <c r="A2062" t="str">
        <f>"20190312164303662"</f>
        <v>20190312164303662</v>
      </c>
      <c r="B2062" t="str">
        <f>"1552380183656709"</f>
        <v>1552380183656709</v>
      </c>
      <c r="C2062" t="s">
        <v>40</v>
      </c>
      <c r="D2062">
        <v>4.4225789999999998</v>
      </c>
      <c r="E2062">
        <v>0.47604960000000002</v>
      </c>
      <c r="F2062" t="s">
        <v>42</v>
      </c>
      <c r="G2062">
        <v>-492.52170000000001</v>
      </c>
      <c r="H2062" s="1">
        <v>-3.5811950000000002E-6</v>
      </c>
      <c r="I2062">
        <v>266.37290000000002</v>
      </c>
      <c r="J2062">
        <v>-487.43549999999999</v>
      </c>
      <c r="K2062">
        <v>1.121076</v>
      </c>
      <c r="L2062">
        <v>274.98239999999998</v>
      </c>
      <c r="M2062">
        <v>-0.72408300000000003</v>
      </c>
      <c r="N2062">
        <v>0</v>
      </c>
      <c r="O2062">
        <v>-0.68953249999999999</v>
      </c>
      <c r="P2062">
        <v>-0.57118719999999901</v>
      </c>
      <c r="Q2062">
        <v>0.12571640000000001</v>
      </c>
      <c r="R2062">
        <v>-0.8111353</v>
      </c>
      <c r="S2062">
        <v>-1.5885009999999999</v>
      </c>
      <c r="T2062">
        <v>-0.33381680000000002</v>
      </c>
      <c r="U2062">
        <v>-2.6369929999999999</v>
      </c>
      <c r="V2062">
        <v>-0.19717370000000001</v>
      </c>
      <c r="W2062">
        <v>0.13586219999999999</v>
      </c>
      <c r="X2062">
        <v>0.97090889999999996</v>
      </c>
      <c r="Y2062">
        <v>-0.26589600000000002</v>
      </c>
      <c r="Z2062">
        <v>6.3863840000000005E-2</v>
      </c>
      <c r="AA2062">
        <v>0.96188399999999996</v>
      </c>
      <c r="AB2062">
        <v>33</v>
      </c>
      <c r="AC2062">
        <v>-5.0862000000000096</v>
      </c>
      <c r="AD2062">
        <v>-1.1210795811950001</v>
      </c>
      <c r="AE2062">
        <v>-8.6094999999999597</v>
      </c>
      <c r="AF2062">
        <v>-2.6933782963833299</v>
      </c>
      <c r="AG2062">
        <v>-1.1210795811950001</v>
      </c>
      <c r="AH2062">
        <v>9.5011370092740002</v>
      </c>
      <c r="AI2062">
        <v>96.476552030027193</v>
      </c>
      <c r="AJ2062">
        <v>105.826950099992</v>
      </c>
      <c r="AK2062">
        <v>9.9389491669792402</v>
      </c>
      <c r="AL2062">
        <v>82.191520701650603</v>
      </c>
      <c r="AM2062">
        <v>101.479601367622</v>
      </c>
      <c r="AN2062">
        <v>1.0000000487298599</v>
      </c>
    </row>
    <row r="2063" spans="1:40" x14ac:dyDescent="0.25">
      <c r="A2063" t="str">
        <f>"20190312164303694"</f>
        <v>20190312164303694</v>
      </c>
      <c r="B2063" t="str">
        <f>"1552380183685993"</f>
        <v>1552380183685993</v>
      </c>
      <c r="C2063" t="s">
        <v>40</v>
      </c>
      <c r="D2063">
        <v>4.2425889999999997</v>
      </c>
      <c r="E2063">
        <v>0.47635300000000003</v>
      </c>
      <c r="F2063" t="s">
        <v>42</v>
      </c>
      <c r="G2063">
        <v>-492.90100000000001</v>
      </c>
      <c r="H2063" s="1">
        <v>-3.5190600000000001E-6</v>
      </c>
      <c r="I2063">
        <v>265.99290000000002</v>
      </c>
      <c r="J2063">
        <v>-487.76839999999999</v>
      </c>
      <c r="K2063">
        <v>1.1209480000000001</v>
      </c>
      <c r="L2063">
        <v>274.64089999999999</v>
      </c>
      <c r="M2063">
        <v>-0.71191979999999999</v>
      </c>
      <c r="N2063">
        <v>0</v>
      </c>
      <c r="O2063">
        <v>-0.70208419999999905</v>
      </c>
      <c r="P2063">
        <v>-0.55897619999999903</v>
      </c>
      <c r="Q2063">
        <v>0.121124499999999</v>
      </c>
      <c r="R2063">
        <v>-0.8202895</v>
      </c>
      <c r="S2063">
        <v>-1.5961299999999901</v>
      </c>
      <c r="T2063">
        <v>-0.32739649999999998</v>
      </c>
      <c r="U2063">
        <v>-2.6252749999999998</v>
      </c>
      <c r="V2063">
        <v>-0.19507089999999999</v>
      </c>
      <c r="W2063">
        <v>0.13137570000000001</v>
      </c>
      <c r="X2063">
        <v>0.97195050000000005</v>
      </c>
      <c r="Y2063">
        <v>-0.2450928</v>
      </c>
      <c r="Z2063">
        <v>6.5099080000000004E-2</v>
      </c>
      <c r="AA2063">
        <v>0.96731160000000005</v>
      </c>
      <c r="AB2063">
        <v>33</v>
      </c>
      <c r="AC2063">
        <v>-5.1326000000000196</v>
      </c>
      <c r="AD2063">
        <v>-1.1209515190599999</v>
      </c>
      <c r="AE2063">
        <v>-8.6479999999999606</v>
      </c>
      <c r="AF2063">
        <v>-2.5221446951845001</v>
      </c>
      <c r="AG2063">
        <v>-1.1209515190599999</v>
      </c>
      <c r="AH2063">
        <v>9.6074596281553593</v>
      </c>
      <c r="AI2063">
        <v>96.438659698096302</v>
      </c>
      <c r="AJ2063">
        <v>104.70934466030801</v>
      </c>
      <c r="AK2063">
        <v>9.9960505540020801</v>
      </c>
      <c r="AL2063">
        <v>82.450904034120398</v>
      </c>
      <c r="AM2063">
        <v>101.348516374692</v>
      </c>
      <c r="AN2063">
        <v>1.0000000025137701</v>
      </c>
    </row>
    <row r="2064" spans="1:40" x14ac:dyDescent="0.25">
      <c r="A2064" t="str">
        <f>"20190312164303715"</f>
        <v>20190312164303715</v>
      </c>
      <c r="B2064" t="str">
        <f>"1552380183706486"</f>
        <v>1552380183706486</v>
      </c>
      <c r="C2064" t="s">
        <v>40</v>
      </c>
      <c r="D2064">
        <v>4.169022</v>
      </c>
      <c r="E2064">
        <v>0.47711730000000002</v>
      </c>
      <c r="F2064" t="s">
        <v>42</v>
      </c>
      <c r="G2064">
        <v>-492.79349999999999</v>
      </c>
      <c r="H2064" s="1">
        <v>-3.5329469999999999E-6</v>
      </c>
      <c r="I2064">
        <v>266.09190000000001</v>
      </c>
      <c r="J2064">
        <v>-487.98329999999999</v>
      </c>
      <c r="K2064">
        <v>1.120862</v>
      </c>
      <c r="L2064">
        <v>274.41430000000003</v>
      </c>
      <c r="M2064">
        <v>-0.70389219999999997</v>
      </c>
      <c r="N2064">
        <v>0</v>
      </c>
      <c r="O2064">
        <v>-0.71013269999999995</v>
      </c>
      <c r="P2064">
        <v>-0.55134510000000003</v>
      </c>
      <c r="Q2064">
        <v>0.1188901</v>
      </c>
      <c r="R2064">
        <v>-0.82576260000000001</v>
      </c>
      <c r="S2064">
        <v>-1.556427</v>
      </c>
      <c r="T2064">
        <v>-0.34718909999999997</v>
      </c>
      <c r="U2064">
        <v>-2.6478579999999998</v>
      </c>
      <c r="V2064">
        <v>-0.19317619999999999</v>
      </c>
      <c r="W2064">
        <v>0.1292237</v>
      </c>
      <c r="X2064">
        <v>0.97261719999999896</v>
      </c>
      <c r="Y2064">
        <v>-0.24864729999999999</v>
      </c>
      <c r="Z2064">
        <v>6.9887229999999995E-2</v>
      </c>
      <c r="AA2064">
        <v>0.96606950000000003</v>
      </c>
      <c r="AB2064">
        <v>33</v>
      </c>
      <c r="AC2064">
        <v>-4.8102</v>
      </c>
      <c r="AD2064">
        <v>-1.1208655329469901</v>
      </c>
      <c r="AE2064">
        <v>-8.3224000000000107</v>
      </c>
      <c r="AF2064">
        <v>-2.4097298280016699</v>
      </c>
      <c r="AG2064">
        <v>-1.1208655329469901</v>
      </c>
      <c r="AH2064">
        <v>9.1723073194612308</v>
      </c>
      <c r="AI2064">
        <v>96.740535682278306</v>
      </c>
      <c r="AJ2064">
        <v>104.719986189924</v>
      </c>
      <c r="AK2064">
        <v>9.5495737574800508</v>
      </c>
      <c r="AL2064">
        <v>82.575264876003203</v>
      </c>
      <c r="AM2064">
        <v>101.233600277162</v>
      </c>
      <c r="AN2064">
        <v>1.00000001331198</v>
      </c>
    </row>
    <row r="2065" spans="1:40" x14ac:dyDescent="0.25">
      <c r="A2065" t="str">
        <f>"20190312164303737"</f>
        <v>20190312164303737</v>
      </c>
      <c r="B2065" t="str">
        <f>"1552380183726014"</f>
        <v>1552380183726014</v>
      </c>
      <c r="C2065" t="s">
        <v>40</v>
      </c>
      <c r="D2065">
        <v>4.1725279999999998</v>
      </c>
      <c r="E2065">
        <v>0.47713299999999997</v>
      </c>
      <c r="F2065" t="s">
        <v>42</v>
      </c>
      <c r="G2065">
        <v>-492.84280000000001</v>
      </c>
      <c r="H2065" s="1">
        <v>-3.5044100000000001E-6</v>
      </c>
      <c r="I2065">
        <v>265.9948</v>
      </c>
      <c r="J2065">
        <v>-488.20319999999998</v>
      </c>
      <c r="K2065">
        <v>1.120773</v>
      </c>
      <c r="L2065">
        <v>274.1773</v>
      </c>
      <c r="M2065">
        <v>-0.69553859999999901</v>
      </c>
      <c r="N2065">
        <v>0</v>
      </c>
      <c r="O2065">
        <v>-0.71831690000000004</v>
      </c>
      <c r="P2065">
        <v>-0.54328390000000004</v>
      </c>
      <c r="Q2065">
        <v>0.1171558</v>
      </c>
      <c r="R2065">
        <v>-0.83133480000000004</v>
      </c>
      <c r="S2065">
        <v>-1.5347900000000001</v>
      </c>
      <c r="T2065">
        <v>-0.35401149999999998</v>
      </c>
      <c r="U2065">
        <v>-2.6591800000000001</v>
      </c>
      <c r="V2065">
        <v>-0.19136210000000001</v>
      </c>
      <c r="W2065">
        <v>0.12756899999999999</v>
      </c>
      <c r="X2065">
        <v>0.97319409999999895</v>
      </c>
      <c r="Y2065">
        <v>-0.2450966</v>
      </c>
      <c r="Z2065">
        <v>7.2477819999999998E-2</v>
      </c>
      <c r="AA2065">
        <v>0.96678569999999997</v>
      </c>
      <c r="AB2065">
        <v>33</v>
      </c>
      <c r="AC2065">
        <v>-4.6396000000000299</v>
      </c>
      <c r="AD2065">
        <v>-1.12077650441</v>
      </c>
      <c r="AE2065">
        <v>-8.1824999999999992</v>
      </c>
      <c r="AF2065">
        <v>-2.3258131147705399</v>
      </c>
      <c r="AG2065">
        <v>-1.12077650441</v>
      </c>
      <c r="AH2065">
        <v>8.9783079173409899</v>
      </c>
      <c r="AI2065">
        <v>96.890371801456496</v>
      </c>
      <c r="AJ2065">
        <v>104.52311500984599</v>
      </c>
      <c r="AK2065">
        <v>9.3421389240507509</v>
      </c>
      <c r="AL2065">
        <v>82.6708636092755</v>
      </c>
      <c r="AM2065">
        <v>101.12431924198199</v>
      </c>
      <c r="AN2065">
        <v>1.0000000296761</v>
      </c>
    </row>
    <row r="2066" spans="1:40" x14ac:dyDescent="0.25">
      <c r="A2066" t="str">
        <f>"20190312164303762"</f>
        <v>20190312164303762</v>
      </c>
      <c r="B2066" t="str">
        <f>"1552380183756265"</f>
        <v>1552380183756265</v>
      </c>
      <c r="C2066" t="s">
        <v>40</v>
      </c>
      <c r="D2066">
        <v>4.1465189999999996</v>
      </c>
      <c r="E2066">
        <v>0.47757810000000001</v>
      </c>
      <c r="F2066" t="s">
        <v>42</v>
      </c>
      <c r="G2066">
        <v>-492.85059999999999</v>
      </c>
      <c r="H2066" s="1">
        <v>-3.4775179999999998E-6</v>
      </c>
      <c r="I2066">
        <v>265.92720000000003</v>
      </c>
      <c r="J2066">
        <v>-488.4298</v>
      </c>
      <c r="K2066">
        <v>1.1206849999999999</v>
      </c>
      <c r="L2066">
        <v>273.92720000000003</v>
      </c>
      <c r="M2066">
        <v>-0.68677180000000004</v>
      </c>
      <c r="N2066">
        <v>0</v>
      </c>
      <c r="O2066">
        <v>-0.7267034</v>
      </c>
      <c r="P2066">
        <v>-0.53444009999999997</v>
      </c>
      <c r="Q2066">
        <v>0.1164288</v>
      </c>
      <c r="R2066">
        <v>-0.83714920000000004</v>
      </c>
      <c r="S2066">
        <v>-1.5069269999999999</v>
      </c>
      <c r="T2066">
        <v>-0.36340860000000003</v>
      </c>
      <c r="U2066">
        <v>-2.675049</v>
      </c>
      <c r="V2066">
        <v>-0.18989259999999999</v>
      </c>
      <c r="W2066">
        <v>0.1269093</v>
      </c>
      <c r="X2066">
        <v>0.97356810000000005</v>
      </c>
      <c r="Y2066">
        <v>-0.2435563</v>
      </c>
      <c r="Z2066">
        <v>7.5559420000000002E-2</v>
      </c>
      <c r="AA2066">
        <v>0.96693899999999999</v>
      </c>
      <c r="AB2066">
        <v>33</v>
      </c>
      <c r="AC2066">
        <v>-4.4207999999999803</v>
      </c>
      <c r="AD2066">
        <v>-1.1206884775179999</v>
      </c>
      <c r="AE2066">
        <v>-8</v>
      </c>
      <c r="AF2066">
        <v>-2.24804961517331</v>
      </c>
      <c r="AG2066">
        <v>-1.1206884775179999</v>
      </c>
      <c r="AH2066">
        <v>8.7197126721709104</v>
      </c>
      <c r="AI2066">
        <v>97.094214004305499</v>
      </c>
      <c r="AJ2066">
        <v>104.456747340319</v>
      </c>
      <c r="AK2066">
        <v>9.0743076221351693</v>
      </c>
      <c r="AL2066">
        <v>82.708971210455999</v>
      </c>
      <c r="AM2066">
        <v>101.036863490277</v>
      </c>
      <c r="AN2066">
        <v>1.00000000764943</v>
      </c>
    </row>
    <row r="2067" spans="1:40" x14ac:dyDescent="0.25">
      <c r="A2067" t="str">
        <f>"20190312164303783"</f>
        <v>20190312164303783</v>
      </c>
      <c r="B2067" t="str">
        <f>"1552380183776761"</f>
        <v>1552380183776761</v>
      </c>
      <c r="C2067" t="s">
        <v>40</v>
      </c>
      <c r="D2067">
        <v>4.1419050000000004</v>
      </c>
      <c r="E2067">
        <v>0.477437</v>
      </c>
      <c r="F2067" t="s">
        <v>42</v>
      </c>
      <c r="G2067">
        <v>-492.93799999999999</v>
      </c>
      <c r="H2067" s="1">
        <v>-3.4193410000000001E-6</v>
      </c>
      <c r="I2067">
        <v>265.73750000000001</v>
      </c>
      <c r="J2067">
        <v>-488.6456</v>
      </c>
      <c r="K2067">
        <v>1.120608</v>
      </c>
      <c r="L2067">
        <v>273.68279999999999</v>
      </c>
      <c r="M2067">
        <v>-0.67826209999999998</v>
      </c>
      <c r="N2067">
        <v>0</v>
      </c>
      <c r="O2067">
        <v>-0.73465239999999998</v>
      </c>
      <c r="P2067">
        <v>-0.52602640000000001</v>
      </c>
      <c r="Q2067">
        <v>0.1155332</v>
      </c>
      <c r="R2067">
        <v>-0.84258469999999996</v>
      </c>
      <c r="S2067">
        <v>-1.4805299999999999</v>
      </c>
      <c r="T2067">
        <v>-0.36805060000000001</v>
      </c>
      <c r="U2067">
        <v>-2.6896059999999999</v>
      </c>
      <c r="V2067">
        <v>-0.1883415</v>
      </c>
      <c r="W2067">
        <v>0.1260801</v>
      </c>
      <c r="X2067">
        <v>0.97397699999999998</v>
      </c>
      <c r="Y2067">
        <v>-0.2418352</v>
      </c>
      <c r="Z2067">
        <v>7.7659660000000005E-2</v>
      </c>
      <c r="AA2067">
        <v>0.96720459999999997</v>
      </c>
      <c r="AB2067">
        <v>33</v>
      </c>
      <c r="AC2067">
        <v>-4.2924000000000397</v>
      </c>
      <c r="AD2067">
        <v>-1.1206114193409999</v>
      </c>
      <c r="AE2067">
        <v>-7.9452999999999703</v>
      </c>
      <c r="AF2067">
        <v>-2.20194315883389</v>
      </c>
      <c r="AG2067">
        <v>-1.1206114193409999</v>
      </c>
      <c r="AH2067">
        <v>8.6167997507821603</v>
      </c>
      <c r="AI2067">
        <v>97.181461647970593</v>
      </c>
      <c r="AJ2067">
        <v>104.33463717761801</v>
      </c>
      <c r="AK2067">
        <v>8.9640148132950106</v>
      </c>
      <c r="AL2067">
        <v>82.756865206050193</v>
      </c>
      <c r="AM2067">
        <v>100.944412844859</v>
      </c>
      <c r="AN2067">
        <v>0.99999995438362899</v>
      </c>
    </row>
    <row r="2068" spans="1:40" x14ac:dyDescent="0.25">
      <c r="A2068" t="str">
        <f>"20190312164303805"</f>
        <v>20190312164303805</v>
      </c>
      <c r="B2068" t="str">
        <f>"1552380183796277"</f>
        <v>1552380183796277</v>
      </c>
      <c r="C2068" t="s">
        <v>40</v>
      </c>
      <c r="D2068">
        <v>4.130458</v>
      </c>
      <c r="E2068">
        <v>0.4753233</v>
      </c>
      <c r="F2068" t="s">
        <v>42</v>
      </c>
      <c r="G2068">
        <v>-493.0351</v>
      </c>
      <c r="H2068" s="1">
        <v>-3.3453859999999998E-6</v>
      </c>
      <c r="I2068">
        <v>265.50479999999999</v>
      </c>
      <c r="J2068">
        <v>-488.84809999999999</v>
      </c>
      <c r="K2068">
        <v>1.120544</v>
      </c>
      <c r="L2068">
        <v>273.44819999999999</v>
      </c>
      <c r="M2068">
        <v>-0.67012349999999998</v>
      </c>
      <c r="N2068">
        <v>0</v>
      </c>
      <c r="O2068">
        <v>-0.74208409999999903</v>
      </c>
      <c r="P2068">
        <v>-0.51859500000000003</v>
      </c>
      <c r="Q2068">
        <v>0.1151235</v>
      </c>
      <c r="R2068">
        <v>-0.84723440000000005</v>
      </c>
      <c r="S2068">
        <v>-1.4518740000000001</v>
      </c>
      <c r="T2068">
        <v>-0.37065209999999998</v>
      </c>
      <c r="U2068">
        <v>-2.7049259999999999</v>
      </c>
      <c r="V2068">
        <v>-0.18617449999999999</v>
      </c>
      <c r="W2068">
        <v>0.1257499</v>
      </c>
      <c r="X2068">
        <v>0.97443630000000003</v>
      </c>
      <c r="Y2068">
        <v>-0.2414318</v>
      </c>
      <c r="Z2068">
        <v>7.9233970000000001E-2</v>
      </c>
      <c r="AA2068">
        <v>0.96717770000000003</v>
      </c>
      <c r="AB2068">
        <v>33</v>
      </c>
      <c r="AC2068">
        <v>-4.18700000000001</v>
      </c>
      <c r="AD2068">
        <v>-1.120547345386</v>
      </c>
      <c r="AE2068">
        <v>-7.9433999999999898</v>
      </c>
      <c r="AF2068">
        <v>-2.1822411680910401</v>
      </c>
      <c r="AG2068">
        <v>-1.120547345386</v>
      </c>
      <c r="AH2068">
        <v>8.5681158992806701</v>
      </c>
      <c r="AI2068">
        <v>97.222878946602705</v>
      </c>
      <c r="AJ2068">
        <v>104.289047491199</v>
      </c>
      <c r="AK2068">
        <v>8.9123741467955195</v>
      </c>
      <c r="AL2068">
        <v>82.7759366960248</v>
      </c>
      <c r="AM2068">
        <v>100.81649939582501</v>
      </c>
      <c r="AN2068">
        <v>1.0000000422789701</v>
      </c>
    </row>
    <row r="2069" spans="1:40" x14ac:dyDescent="0.25">
      <c r="A2069" t="str">
        <f>"20190312164303828"</f>
        <v>20190312164303828</v>
      </c>
      <c r="B2069" t="str">
        <f>"1552380183816774"</f>
        <v>1552380183816774</v>
      </c>
      <c r="C2069" t="s">
        <v>40</v>
      </c>
      <c r="D2069">
        <v>4.1171430000000004</v>
      </c>
      <c r="E2069">
        <v>0.44373479999999998</v>
      </c>
      <c r="F2069" t="s">
        <v>42</v>
      </c>
      <c r="G2069">
        <v>-493.14109999999999</v>
      </c>
      <c r="H2069" s="1">
        <v>-3.224646E-6</v>
      </c>
      <c r="I2069">
        <v>265.1576</v>
      </c>
      <c r="J2069">
        <v>-489.05840000000001</v>
      </c>
      <c r="K2069">
        <v>1.1204780000000001</v>
      </c>
      <c r="L2069">
        <v>273.19900000000001</v>
      </c>
      <c r="M2069">
        <v>-0.66150089999999995</v>
      </c>
      <c r="N2069">
        <v>0</v>
      </c>
      <c r="O2069">
        <v>-0.74978100000000003</v>
      </c>
      <c r="P2069">
        <v>-0.51037739999999998</v>
      </c>
      <c r="Q2069">
        <v>0.1146721</v>
      </c>
      <c r="R2069">
        <v>-0.85227090000000005</v>
      </c>
      <c r="S2069">
        <v>-1.4119870000000001</v>
      </c>
      <c r="T2069">
        <v>-0.3685465</v>
      </c>
      <c r="U2069">
        <v>-2.7267760000000001</v>
      </c>
      <c r="V2069">
        <v>-0.1843389</v>
      </c>
      <c r="W2069">
        <v>0.1253667</v>
      </c>
      <c r="X2069">
        <v>0.97483450000000005</v>
      </c>
      <c r="Y2069">
        <v>-0.24453430000000001</v>
      </c>
      <c r="Z2069">
        <v>7.9683630000000005E-2</v>
      </c>
      <c r="AA2069">
        <v>0.96636089999999997</v>
      </c>
      <c r="AB2069">
        <v>33</v>
      </c>
      <c r="AC2069">
        <v>-4.0826999999999796</v>
      </c>
      <c r="AD2069">
        <v>-1.1204812246459901</v>
      </c>
      <c r="AE2069">
        <v>-8.0414000000000101</v>
      </c>
      <c r="AF2069">
        <v>-2.2242055230458</v>
      </c>
      <c r="AG2069">
        <v>-1.1204812246459901</v>
      </c>
      <c r="AH2069">
        <v>8.5983412792917093</v>
      </c>
      <c r="AI2069">
        <v>97.190503415133506</v>
      </c>
      <c r="AJ2069">
        <v>104.50326822663899</v>
      </c>
      <c r="AK2069">
        <v>8.9517619013635201</v>
      </c>
      <c r="AL2069">
        <v>82.798067059961497</v>
      </c>
      <c r="AM2069">
        <v>100.708058624316</v>
      </c>
      <c r="AN2069">
        <v>0.99999997095617399</v>
      </c>
    </row>
    <row r="2070" spans="1:40" x14ac:dyDescent="0.25">
      <c r="A2070" t="str">
        <f>"20190312164303850"</f>
        <v>20190312164303850</v>
      </c>
      <c r="B2070" t="str">
        <f>"1552380183846054"</f>
        <v>1552380183846054</v>
      </c>
      <c r="C2070" t="s">
        <v>40</v>
      </c>
      <c r="D2070">
        <v>4.1185109999999998</v>
      </c>
      <c r="E2070">
        <v>0.44560859999999902</v>
      </c>
      <c r="F2070" t="s">
        <v>42</v>
      </c>
      <c r="G2070">
        <v>-493.50290000000001</v>
      </c>
      <c r="H2070" s="1">
        <v>-2.0896100000000001E-6</v>
      </c>
      <c r="I2070">
        <v>262.28750000000002</v>
      </c>
      <c r="J2070">
        <v>-489.26769999999999</v>
      </c>
      <c r="K2070">
        <v>1.120422</v>
      </c>
      <c r="L2070">
        <v>272.94510000000002</v>
      </c>
      <c r="M2070">
        <v>-0.65272719999999995</v>
      </c>
      <c r="N2070">
        <v>0</v>
      </c>
      <c r="O2070">
        <v>-0.75743110000000002</v>
      </c>
      <c r="P2070">
        <v>-0.5019749</v>
      </c>
      <c r="Q2070">
        <v>0.1149435</v>
      </c>
      <c r="R2070">
        <v>-0.85721029999999998</v>
      </c>
      <c r="S2070">
        <v>-1.1655879999999901</v>
      </c>
      <c r="T2070">
        <v>-0.29385050000000001</v>
      </c>
      <c r="U2070">
        <v>-2.8616030000000001</v>
      </c>
      <c r="V2070">
        <v>-0.18253469999999999</v>
      </c>
      <c r="W2070">
        <v>0.1257016</v>
      </c>
      <c r="X2070">
        <v>0.97513090000000002</v>
      </c>
      <c r="Y2070">
        <v>-0.3196679</v>
      </c>
      <c r="Z2070">
        <v>6.1624959999999999E-2</v>
      </c>
      <c r="AA2070">
        <v>0.94552360000000002</v>
      </c>
      <c r="AB2070">
        <v>33</v>
      </c>
      <c r="AC2070">
        <v>-4.2352000000000203</v>
      </c>
      <c r="AD2070">
        <v>-1.12042408961</v>
      </c>
      <c r="AE2070">
        <v>-10.6576</v>
      </c>
      <c r="AF2070">
        <v>-3.71364696346446</v>
      </c>
      <c r="AG2070">
        <v>-1.12042408961</v>
      </c>
      <c r="AH2070">
        <v>10.735687077238399</v>
      </c>
      <c r="AI2070">
        <v>95.632875908740004</v>
      </c>
      <c r="AJ2070">
        <v>109.081326615526</v>
      </c>
      <c r="AK2070">
        <v>11.414968284240199</v>
      </c>
      <c r="AL2070">
        <v>82.778726204184295</v>
      </c>
      <c r="AM2070">
        <v>100.60249283036001</v>
      </c>
      <c r="AN2070">
        <v>1.0000000405407199</v>
      </c>
    </row>
    <row r="2071" spans="1:40" x14ac:dyDescent="0.25">
      <c r="A2071" t="str">
        <f>"20190312164303873"</f>
        <v>20190312164303873</v>
      </c>
      <c r="B2071" t="str">
        <f>"1552380183866550"</f>
        <v>1552380183866550</v>
      </c>
      <c r="C2071" t="s">
        <v>40</v>
      </c>
      <c r="D2071">
        <v>4.1235549999999996</v>
      </c>
      <c r="E2071">
        <v>0.4465556</v>
      </c>
      <c r="F2071" t="s">
        <v>42</v>
      </c>
      <c r="G2071">
        <v>-493.61059999999998</v>
      </c>
      <c r="H2071" s="1">
        <v>-2.0472550000000001E-6</v>
      </c>
      <c r="I2071">
        <v>262.12189999999998</v>
      </c>
      <c r="J2071">
        <v>-489.47570000000002</v>
      </c>
      <c r="K2071">
        <v>1.1203700000000001</v>
      </c>
      <c r="L2071">
        <v>272.68680000000001</v>
      </c>
      <c r="M2071">
        <v>-0.64381299999999997</v>
      </c>
      <c r="N2071">
        <v>0</v>
      </c>
      <c r="O2071">
        <v>-0.76502289999999995</v>
      </c>
      <c r="P2071">
        <v>-0.49309239999999999</v>
      </c>
      <c r="Q2071">
        <v>0.11452420000000001</v>
      </c>
      <c r="R2071">
        <v>-0.86240620000000001</v>
      </c>
      <c r="S2071">
        <v>-1.1500239999999999</v>
      </c>
      <c r="T2071">
        <v>-0.29669810000000002</v>
      </c>
      <c r="U2071">
        <v>-2.8660580000000002</v>
      </c>
      <c r="V2071">
        <v>-0.18119550000000001</v>
      </c>
      <c r="W2071">
        <v>0.12533269999999999</v>
      </c>
      <c r="X2071">
        <v>0.97542799999999996</v>
      </c>
      <c r="Y2071">
        <v>-0.31353609999999998</v>
      </c>
      <c r="Z2071">
        <v>6.3321370000000002E-2</v>
      </c>
      <c r="AA2071">
        <v>0.94746269999999999</v>
      </c>
      <c r="AB2071">
        <v>33</v>
      </c>
      <c r="AC2071">
        <v>-4.1348999999999503</v>
      </c>
      <c r="AD2071">
        <v>-1.1203720472550001</v>
      </c>
      <c r="AE2071">
        <v>-10.5649</v>
      </c>
      <c r="AF2071">
        <v>-3.6038273878300502</v>
      </c>
      <c r="AG2071">
        <v>-1.1203720472550001</v>
      </c>
      <c r="AH2071">
        <v>10.6420262530907</v>
      </c>
      <c r="AI2071">
        <v>95.694461162419202</v>
      </c>
      <c r="AJ2071">
        <v>108.70821255804999</v>
      </c>
      <c r="AK2071">
        <v>11.2913917714787</v>
      </c>
      <c r="AL2071">
        <v>82.800030372772795</v>
      </c>
      <c r="AM2071">
        <v>100.523315903853</v>
      </c>
      <c r="AN2071">
        <v>0.99999993904676798</v>
      </c>
    </row>
    <row r="2072" spans="1:40" x14ac:dyDescent="0.25">
      <c r="A2072" t="str">
        <f>"20190312164303895"</f>
        <v>20190312164303895</v>
      </c>
      <c r="B2072" t="str">
        <f>"1552380183886070"</f>
        <v>1552380183886070</v>
      </c>
      <c r="C2072" t="s">
        <v>40</v>
      </c>
      <c r="D2072">
        <v>4.099653</v>
      </c>
      <c r="E2072">
        <v>0.44729069999999999</v>
      </c>
      <c r="F2072" t="s">
        <v>42</v>
      </c>
      <c r="G2072">
        <v>-493.68119999999999</v>
      </c>
      <c r="H2072" s="1">
        <v>-1.996727E-6</v>
      </c>
      <c r="I2072">
        <v>261.96039999999999</v>
      </c>
      <c r="J2072">
        <v>-489.6748</v>
      </c>
      <c r="K2072">
        <v>1.120325</v>
      </c>
      <c r="L2072">
        <v>272.43360000000001</v>
      </c>
      <c r="M2072">
        <v>-0.63507789999999997</v>
      </c>
      <c r="N2072">
        <v>0</v>
      </c>
      <c r="O2072">
        <v>-0.77229019999999904</v>
      </c>
      <c r="P2072">
        <v>-0.48468929999999999</v>
      </c>
      <c r="Q2072">
        <v>0.1136795</v>
      </c>
      <c r="R2072">
        <v>-0.86726800000000004</v>
      </c>
      <c r="S2072">
        <v>-1.126892</v>
      </c>
      <c r="T2072">
        <v>-0.300210799999999</v>
      </c>
      <c r="U2072">
        <v>-2.8742070000000002</v>
      </c>
      <c r="V2072">
        <v>-0.17962069999999999</v>
      </c>
      <c r="W2072">
        <v>0.124543</v>
      </c>
      <c r="X2072">
        <v>0.97582040000000003</v>
      </c>
      <c r="Y2072">
        <v>-0.31030429999999998</v>
      </c>
      <c r="Z2072">
        <v>6.5030710000000005E-2</v>
      </c>
      <c r="AA2072">
        <v>0.94841039999999999</v>
      </c>
      <c r="AB2072">
        <v>33</v>
      </c>
      <c r="AC2072">
        <v>-4.0063999999999798</v>
      </c>
      <c r="AD2072">
        <v>-1.120326996727</v>
      </c>
      <c r="AE2072">
        <v>-10.4732</v>
      </c>
      <c r="AF2072">
        <v>-3.5224669133321802</v>
      </c>
      <c r="AG2072">
        <v>-1.120326996727</v>
      </c>
      <c r="AH2072">
        <v>10.5289226956685</v>
      </c>
      <c r="AI2072">
        <v>95.762066013433198</v>
      </c>
      <c r="AJ2072">
        <v>108.497742235003</v>
      </c>
      <c r="AK2072">
        <v>11.158903121117101</v>
      </c>
      <c r="AL2072">
        <v>82.845634645664305</v>
      </c>
      <c r="AM2072">
        <v>100.42976956342</v>
      </c>
      <c r="AN2072">
        <v>1.00000000388682</v>
      </c>
    </row>
    <row r="2073" spans="1:40" x14ac:dyDescent="0.25">
      <c r="A2073" t="str">
        <f>"20190312164303929"</f>
        <v>20190312164303929</v>
      </c>
      <c r="B2073" t="str">
        <f>"1552380183926086"</f>
        <v>1552380183926086</v>
      </c>
      <c r="C2073" t="s">
        <v>40</v>
      </c>
      <c r="D2073">
        <v>4.2568449999999904</v>
      </c>
      <c r="E2073">
        <v>0.44919700000000001</v>
      </c>
      <c r="F2073" t="s">
        <v>42</v>
      </c>
      <c r="G2073">
        <v>-493.7312</v>
      </c>
      <c r="H2073" s="1">
        <v>-1.9571829999999998E-6</v>
      </c>
      <c r="I2073">
        <v>261.8372</v>
      </c>
      <c r="J2073">
        <v>-489.95690000000002</v>
      </c>
      <c r="K2073">
        <v>1.120261</v>
      </c>
      <c r="L2073">
        <v>272.06400000000002</v>
      </c>
      <c r="M2073">
        <v>-0.62232940000000003</v>
      </c>
      <c r="N2073">
        <v>0</v>
      </c>
      <c r="O2073">
        <v>-0.78259959999999995</v>
      </c>
      <c r="P2073">
        <v>-0.47272769999999997</v>
      </c>
      <c r="Q2073">
        <v>0.1123199</v>
      </c>
      <c r="R2073">
        <v>-0.874021099999999</v>
      </c>
      <c r="S2073">
        <v>-1.103424</v>
      </c>
      <c r="T2073">
        <v>-0.30474889999999999</v>
      </c>
      <c r="U2073">
        <v>-2.8824160000000001</v>
      </c>
      <c r="V2073">
        <v>-0.1770796</v>
      </c>
      <c r="W2073">
        <v>0.1232683</v>
      </c>
      <c r="X2073">
        <v>0.9764465</v>
      </c>
      <c r="Y2073">
        <v>-0.3024018</v>
      </c>
      <c r="Z2073">
        <v>6.7494670000000007E-2</v>
      </c>
      <c r="AA2073">
        <v>0.95078790000000002</v>
      </c>
      <c r="AB2073">
        <v>33</v>
      </c>
      <c r="AC2073">
        <v>-3.7742999999999798</v>
      </c>
      <c r="AD2073">
        <v>-1.1202629571829901</v>
      </c>
      <c r="AE2073">
        <v>-10.226800000000001</v>
      </c>
      <c r="AF2073">
        <v>-3.3754408678162902</v>
      </c>
      <c r="AG2073">
        <v>-1.1202629571829901</v>
      </c>
      <c r="AH2073">
        <v>10.245409147058201</v>
      </c>
      <c r="AI2073">
        <v>95.929020215784703</v>
      </c>
      <c r="AJ2073">
        <v>108.23492551815001</v>
      </c>
      <c r="AK2073">
        <v>10.845137100838601</v>
      </c>
      <c r="AL2073">
        <v>82.919236822825297</v>
      </c>
      <c r="AM2073">
        <v>100.278936239592</v>
      </c>
      <c r="AN2073">
        <v>1.00000001294165</v>
      </c>
    </row>
    <row r="2074" spans="1:40" x14ac:dyDescent="0.25">
      <c r="A2074" t="str">
        <f>"20190312164303951"</f>
        <v>20190312164303951</v>
      </c>
      <c r="B2074" t="str">
        <f>"1552380183946582"</f>
        <v>1552380183946582</v>
      </c>
      <c r="C2074" t="s">
        <v>40</v>
      </c>
      <c r="D2074">
        <v>4.1096250000000003</v>
      </c>
      <c r="E2074">
        <v>0.44992729999999997</v>
      </c>
      <c r="F2074" t="s">
        <v>42</v>
      </c>
      <c r="G2074">
        <v>-493.8614</v>
      </c>
      <c r="H2074" s="1">
        <v>-1.874775E-6</v>
      </c>
      <c r="I2074">
        <v>261.5643</v>
      </c>
      <c r="J2074">
        <v>-490.15140000000002</v>
      </c>
      <c r="K2074">
        <v>1.120223</v>
      </c>
      <c r="L2074">
        <v>271.80169999999998</v>
      </c>
      <c r="M2074">
        <v>-0.61327980000000004</v>
      </c>
      <c r="N2074">
        <v>0</v>
      </c>
      <c r="O2074">
        <v>-0.78971159999999996</v>
      </c>
      <c r="P2074">
        <v>-0.46369300000000002</v>
      </c>
      <c r="Q2074">
        <v>0.11202819999999999</v>
      </c>
      <c r="R2074">
        <v>-0.87888500000000003</v>
      </c>
      <c r="S2074">
        <v>-1.074951</v>
      </c>
      <c r="T2074">
        <v>-0.30842229999999998</v>
      </c>
      <c r="U2074">
        <v>-2.8906860000000001</v>
      </c>
      <c r="V2074">
        <v>-0.17590600000000001</v>
      </c>
      <c r="W2074">
        <v>0.1230175</v>
      </c>
      <c r="X2074">
        <v>0.97669019999999995</v>
      </c>
      <c r="Y2074">
        <v>-0.3005796</v>
      </c>
      <c r="Z2074">
        <v>6.9258120000000006E-2</v>
      </c>
      <c r="AA2074">
        <v>0.95123880000000005</v>
      </c>
      <c r="AB2074">
        <v>33</v>
      </c>
      <c r="AC2074">
        <v>-3.70999999999998</v>
      </c>
      <c r="AD2074">
        <v>-1.1202248747750001</v>
      </c>
      <c r="AE2074">
        <v>-10.2373999999999</v>
      </c>
      <c r="AF2074">
        <v>-3.3138947407366302</v>
      </c>
      <c r="AG2074">
        <v>-1.1202248747750001</v>
      </c>
      <c r="AH2074">
        <v>10.252611513632999</v>
      </c>
      <c r="AI2074">
        <v>95.935510831571904</v>
      </c>
      <c r="AJ2074">
        <v>107.912101071786</v>
      </c>
      <c r="AK2074">
        <v>10.8329518125128</v>
      </c>
      <c r="AL2074">
        <v>82.933716624027198</v>
      </c>
      <c r="AM2074">
        <v>100.20975606786099</v>
      </c>
      <c r="AN2074">
        <v>0.99999998645914401</v>
      </c>
    </row>
    <row r="2075" spans="1:40" x14ac:dyDescent="0.25">
      <c r="A2075" t="str">
        <f>"20190312164303972"</f>
        <v>20190312164303972</v>
      </c>
      <c r="B2075" t="str">
        <f>"1552380183966105"</f>
        <v>1552380183966105</v>
      </c>
      <c r="C2075" t="s">
        <v>40</v>
      </c>
      <c r="D2075">
        <v>4.1141909999999999</v>
      </c>
      <c r="E2075">
        <v>0.45073099999999999</v>
      </c>
      <c r="F2075" t="s">
        <v>42</v>
      </c>
      <c r="G2075">
        <v>-493.95299999999997</v>
      </c>
      <c r="H2075" s="1">
        <v>-1.787767E-6</v>
      </c>
      <c r="I2075">
        <v>261.30470000000003</v>
      </c>
      <c r="J2075">
        <v>-490.33760000000001</v>
      </c>
      <c r="K2075">
        <v>1.120193</v>
      </c>
      <c r="L2075">
        <v>271.5446</v>
      </c>
      <c r="M2075">
        <v>-0.60439900000000002</v>
      </c>
      <c r="N2075">
        <v>0</v>
      </c>
      <c r="O2075">
        <v>-0.79652919999999905</v>
      </c>
      <c r="P2075">
        <v>-0.45487349999999999</v>
      </c>
      <c r="Q2075">
        <v>0.1118426</v>
      </c>
      <c r="R2075">
        <v>-0.88350529999999905</v>
      </c>
      <c r="S2075">
        <v>-1.049866</v>
      </c>
      <c r="T2075">
        <v>-0.3093687</v>
      </c>
      <c r="U2075">
        <v>-2.8989259999999999</v>
      </c>
      <c r="V2075">
        <v>-0.17474110000000001</v>
      </c>
      <c r="W2075">
        <v>0.1228713</v>
      </c>
      <c r="X2075">
        <v>0.9769177</v>
      </c>
      <c r="Y2075">
        <v>-0.29806349999999998</v>
      </c>
      <c r="Z2075">
        <v>7.0386599999999994E-2</v>
      </c>
      <c r="AA2075">
        <v>0.95194749999999995</v>
      </c>
      <c r="AB2075">
        <v>33</v>
      </c>
      <c r="AC2075">
        <v>-3.6154000000000202</v>
      </c>
      <c r="AD2075">
        <v>-1.120194787767</v>
      </c>
      <c r="AE2075">
        <v>-10.239899999999899</v>
      </c>
      <c r="AF2075">
        <v>-3.2747696972826801</v>
      </c>
      <c r="AG2075">
        <v>-1.120194787767</v>
      </c>
      <c r="AH2075">
        <v>10.233883743405601</v>
      </c>
      <c r="AI2075">
        <v>95.951699378942195</v>
      </c>
      <c r="AJ2075">
        <v>107.744300376449</v>
      </c>
      <c r="AK2075">
        <v>10.803301782618201</v>
      </c>
      <c r="AL2075">
        <v>82.942157401291396</v>
      </c>
      <c r="AM2075">
        <v>100.14123943386301</v>
      </c>
      <c r="AN2075">
        <v>1.00000000048309</v>
      </c>
    </row>
    <row r="2076" spans="1:40" x14ac:dyDescent="0.25">
      <c r="A2076" t="str">
        <f>"20190312164303995"</f>
        <v>20190312164303995</v>
      </c>
      <c r="B2076" t="str">
        <f>"1552380183986598"</f>
        <v>1552380183986598</v>
      </c>
      <c r="C2076" t="s">
        <v>40</v>
      </c>
      <c r="D2076">
        <v>4.0686330000000002</v>
      </c>
      <c r="E2076">
        <v>0.4515229</v>
      </c>
      <c r="F2076" t="s">
        <v>42</v>
      </c>
      <c r="G2076">
        <v>-494.0471</v>
      </c>
      <c r="H2076" s="1">
        <v>-1.7041280000000001E-6</v>
      </c>
      <c r="I2076">
        <v>261.0514</v>
      </c>
      <c r="J2076">
        <v>-490.51900000000001</v>
      </c>
      <c r="K2076">
        <v>1.120152</v>
      </c>
      <c r="L2076">
        <v>271.28820000000002</v>
      </c>
      <c r="M2076">
        <v>-0.59553429999999996</v>
      </c>
      <c r="N2076">
        <v>0</v>
      </c>
      <c r="O2076">
        <v>-0.80317869999999902</v>
      </c>
      <c r="P2076">
        <v>-0.44590459999999899</v>
      </c>
      <c r="Q2076">
        <v>0.11237030000000001</v>
      </c>
      <c r="R2076">
        <v>-0.88799919999999999</v>
      </c>
      <c r="S2076">
        <v>-1.0272829999999999</v>
      </c>
      <c r="T2076">
        <v>-0.31022070000000002</v>
      </c>
      <c r="U2076">
        <v>-2.905945</v>
      </c>
      <c r="V2076">
        <v>-0.17376639999999999</v>
      </c>
      <c r="W2076">
        <v>0.1234321</v>
      </c>
      <c r="X2076">
        <v>0.97702089999999997</v>
      </c>
      <c r="Y2076">
        <v>-0.29480309999999998</v>
      </c>
      <c r="Z2076">
        <v>7.1505830000000006E-2</v>
      </c>
      <c r="AA2076">
        <v>0.95287880000000003</v>
      </c>
      <c r="AB2076">
        <v>32</v>
      </c>
      <c r="AC2076">
        <v>-3.52809999999999</v>
      </c>
      <c r="AD2076">
        <v>-1.1201537041280001</v>
      </c>
      <c r="AE2076">
        <v>-10.236800000000001</v>
      </c>
      <c r="AF2076">
        <v>-3.2285141912922901</v>
      </c>
      <c r="AG2076">
        <v>-1.1201537041280001</v>
      </c>
      <c r="AH2076">
        <v>10.215012988358801</v>
      </c>
      <c r="AI2076">
        <v>95.969132608040198</v>
      </c>
      <c r="AJ2076">
        <v>107.539443419796</v>
      </c>
      <c r="AK2076">
        <v>10.771468727921301</v>
      </c>
      <c r="AL2076">
        <v>82.909779758497393</v>
      </c>
      <c r="AM2076">
        <v>100.084792967776</v>
      </c>
      <c r="AN2076">
        <v>1.0000000420580799</v>
      </c>
    </row>
    <row r="2077" spans="1:40" x14ac:dyDescent="0.25">
      <c r="A2077" t="str">
        <f>"20190312164304018"</f>
        <v>20190312164304018</v>
      </c>
      <c r="B2077" t="str">
        <f>"1552380184006121"</f>
        <v>1552380184006121</v>
      </c>
      <c r="C2077" t="s">
        <v>40</v>
      </c>
      <c r="D2077">
        <v>4.273828</v>
      </c>
      <c r="E2077">
        <v>0.46169179999999999</v>
      </c>
      <c r="F2077" t="s">
        <v>42</v>
      </c>
      <c r="G2077">
        <v>-494.14359999999999</v>
      </c>
      <c r="H2077" s="1">
        <v>-1.6008490000000001E-6</v>
      </c>
      <c r="I2077">
        <v>260.75069999999999</v>
      </c>
      <c r="J2077">
        <v>-490.70299999999997</v>
      </c>
      <c r="K2077">
        <v>1.120115</v>
      </c>
      <c r="L2077">
        <v>271.02179999999998</v>
      </c>
      <c r="M2077">
        <v>-0.586314</v>
      </c>
      <c r="N2077">
        <v>0</v>
      </c>
      <c r="O2077">
        <v>-0.80993419999999905</v>
      </c>
      <c r="P2077">
        <v>-0.43643939999999998</v>
      </c>
      <c r="Q2077">
        <v>0.1123243</v>
      </c>
      <c r="R2077">
        <v>-0.89269540000000003</v>
      </c>
      <c r="S2077">
        <v>-1.0024409999999999</v>
      </c>
      <c r="T2077">
        <v>-0.30978919999999999</v>
      </c>
      <c r="U2077">
        <v>-2.9142459999999999</v>
      </c>
      <c r="V2077">
        <v>-0.1729733</v>
      </c>
      <c r="W2077">
        <v>0.1234141</v>
      </c>
      <c r="X2077">
        <v>0.97716389999999997</v>
      </c>
      <c r="Y2077">
        <v>-0.29198990000000002</v>
      </c>
      <c r="Z2077">
        <v>7.2316829999999999E-2</v>
      </c>
      <c r="AA2077">
        <v>0.95368350000000002</v>
      </c>
      <c r="AB2077">
        <v>32</v>
      </c>
      <c r="AC2077">
        <v>-3.4405999999999599</v>
      </c>
      <c r="AD2077">
        <v>-1.120116600849</v>
      </c>
      <c r="AE2077">
        <v>-10.271099999999899</v>
      </c>
      <c r="AF2077">
        <v>-3.2015874207461601</v>
      </c>
      <c r="AG2077">
        <v>-1.120116600849</v>
      </c>
      <c r="AH2077">
        <v>10.2280702826089</v>
      </c>
      <c r="AI2077">
        <v>95.966516500721596</v>
      </c>
      <c r="AJ2077">
        <v>107.38114771187701</v>
      </c>
      <c r="AK2077">
        <v>10.7758175985938</v>
      </c>
      <c r="AL2077">
        <v>82.910819049757194</v>
      </c>
      <c r="AM2077">
        <v>100.038263366617</v>
      </c>
      <c r="AN2077">
        <v>1.00000004502745</v>
      </c>
    </row>
    <row r="2078" spans="1:40" x14ac:dyDescent="0.25">
      <c r="A2078" t="str">
        <f>"20190312164304040"</f>
        <v>20190312164304040</v>
      </c>
      <c r="B2078" t="str">
        <f>"1552380184036374"</f>
        <v>1552380184036374</v>
      </c>
      <c r="C2078" t="s">
        <v>40</v>
      </c>
      <c r="D2078">
        <v>4.054875</v>
      </c>
      <c r="E2078">
        <v>0.46284700000000001</v>
      </c>
      <c r="F2078" t="s">
        <v>42</v>
      </c>
      <c r="G2078">
        <v>-494.7253</v>
      </c>
      <c r="H2078" s="1">
        <v>-1.385766E-6</v>
      </c>
      <c r="I2078">
        <v>259.8886</v>
      </c>
      <c r="J2078">
        <v>-490.88099999999997</v>
      </c>
      <c r="K2078">
        <v>1.1200889999999999</v>
      </c>
      <c r="L2078">
        <v>270.75779999999997</v>
      </c>
      <c r="M2078">
        <v>-0.57717249999999998</v>
      </c>
      <c r="N2078">
        <v>0</v>
      </c>
      <c r="O2078">
        <v>-0.81647400000000003</v>
      </c>
      <c r="P2078">
        <v>-0.42656670000000002</v>
      </c>
      <c r="Q2078">
        <v>0.1120227</v>
      </c>
      <c r="R2078">
        <v>-0.89749210000000001</v>
      </c>
      <c r="S2078">
        <v>-1.043121</v>
      </c>
      <c r="T2078">
        <v>-0.29048359999999901</v>
      </c>
      <c r="U2078">
        <v>-2.8872070000000001</v>
      </c>
      <c r="V2078">
        <v>-0.172770799999999</v>
      </c>
      <c r="W2078">
        <v>0.123124</v>
      </c>
      <c r="X2078">
        <v>0.97723629999999995</v>
      </c>
      <c r="Y2078">
        <v>-0.26638390000000001</v>
      </c>
      <c r="Z2078">
        <v>6.9592059999999997E-2</v>
      </c>
      <c r="AA2078">
        <v>0.96135150000000003</v>
      </c>
      <c r="AB2078">
        <v>32</v>
      </c>
      <c r="AC2078">
        <v>-3.8443000000000298</v>
      </c>
      <c r="AD2078">
        <v>-1.1200903857659901</v>
      </c>
      <c r="AE2078">
        <v>-10.8691999999999</v>
      </c>
      <c r="AF2078">
        <v>-3.1056974755528199</v>
      </c>
      <c r="AG2078">
        <v>-1.1200903857659901</v>
      </c>
      <c r="AH2078">
        <v>10.9908449960067</v>
      </c>
      <c r="AI2078">
        <v>95.601147728269197</v>
      </c>
      <c r="AJ2078">
        <v>105.77876971053099</v>
      </c>
      <c r="AK2078">
        <v>11.4760024838001</v>
      </c>
      <c r="AL2078">
        <v>82.927568170891405</v>
      </c>
      <c r="AM2078">
        <v>100.02602239011</v>
      </c>
      <c r="AN2078">
        <v>1.00000002737316</v>
      </c>
    </row>
    <row r="2079" spans="1:40" x14ac:dyDescent="0.25">
      <c r="A2079" t="str">
        <f>"20190312164304075"</f>
        <v>20190312164304075</v>
      </c>
      <c r="B2079" t="str">
        <f>"1552380184066630"</f>
        <v>1552380184066630</v>
      </c>
      <c r="C2079" t="s">
        <v>40</v>
      </c>
      <c r="D2079">
        <v>4.2502899999999997</v>
      </c>
      <c r="E2079">
        <v>0.46418720000000002</v>
      </c>
      <c r="F2079" t="s">
        <v>42</v>
      </c>
      <c r="G2079">
        <v>-494.78949999999998</v>
      </c>
      <c r="H2079" s="1">
        <v>-1.300726E-6</v>
      </c>
      <c r="I2079">
        <v>259.6506</v>
      </c>
      <c r="J2079">
        <v>-491.14789999999999</v>
      </c>
      <c r="K2079">
        <v>1.1200399999999999</v>
      </c>
      <c r="L2079">
        <v>270.3485</v>
      </c>
      <c r="M2079">
        <v>-0.56299129999999997</v>
      </c>
      <c r="N2079">
        <v>0</v>
      </c>
      <c r="O2079">
        <v>-0.82631619999999995</v>
      </c>
      <c r="P2079">
        <v>-0.4115356</v>
      </c>
      <c r="Q2079">
        <v>0.11132839999999999</v>
      </c>
      <c r="R2079">
        <v>-0.9045687</v>
      </c>
      <c r="S2079">
        <v>-1.0186770000000001</v>
      </c>
      <c r="T2079">
        <v>-0.29193219999999998</v>
      </c>
      <c r="U2079">
        <v>-2.8948969999999998</v>
      </c>
      <c r="V2079">
        <v>-0.17221810000000001</v>
      </c>
      <c r="W2079">
        <v>0.12245350000000001</v>
      </c>
      <c r="X2079">
        <v>0.97741809999999996</v>
      </c>
      <c r="Y2079">
        <v>-0.25779079999999999</v>
      </c>
      <c r="Z2079">
        <v>7.1312739999999999E-2</v>
      </c>
      <c r="AA2079">
        <v>0.96356549999999996</v>
      </c>
      <c r="AB2079">
        <v>32</v>
      </c>
      <c r="AC2079">
        <v>-3.64159999999998</v>
      </c>
      <c r="AD2079">
        <v>-1.1200413007259999</v>
      </c>
      <c r="AE2079">
        <v>-10.697900000000001</v>
      </c>
      <c r="AF2079">
        <v>-2.9847567370648398</v>
      </c>
      <c r="AG2079">
        <v>-1.1200413007259999</v>
      </c>
      <c r="AH2079">
        <v>10.7854090531459</v>
      </c>
      <c r="AI2079">
        <v>95.7154702872283</v>
      </c>
      <c r="AJ2079">
        <v>105.46890828872</v>
      </c>
      <c r="AK2079">
        <v>11.2467023495097</v>
      </c>
      <c r="AL2079">
        <v>82.966277988491399</v>
      </c>
      <c r="AM2079">
        <v>99.992774956768898</v>
      </c>
      <c r="AN2079">
        <v>1.0000000379187299</v>
      </c>
    </row>
    <row r="2080" spans="1:40" x14ac:dyDescent="0.25">
      <c r="A2080" t="str">
        <f>"20190312164304096"</f>
        <v>20190312164304096</v>
      </c>
      <c r="B2080" t="str">
        <f>"1552380184086150"</f>
        <v>1552380184086150</v>
      </c>
      <c r="C2080" t="s">
        <v>40</v>
      </c>
      <c r="D2080">
        <v>4.3579220000000003</v>
      </c>
      <c r="E2080">
        <v>0.46937279999999998</v>
      </c>
      <c r="F2080" t="s">
        <v>42</v>
      </c>
      <c r="G2080">
        <v>-494.7833</v>
      </c>
      <c r="H2080" s="1">
        <v>-5.124922E-6</v>
      </c>
      <c r="I2080">
        <v>259.55329999999998</v>
      </c>
      <c r="J2080">
        <v>-491.31420000000003</v>
      </c>
      <c r="K2080">
        <v>1.1200110000000001</v>
      </c>
      <c r="L2080">
        <v>270.08580000000001</v>
      </c>
      <c r="M2080">
        <v>-0.55387839999999999</v>
      </c>
      <c r="N2080">
        <v>0</v>
      </c>
      <c r="O2080">
        <v>-0.83245219999999898</v>
      </c>
      <c r="P2080">
        <v>-0.40210210000000002</v>
      </c>
      <c r="Q2080">
        <v>0.1109081</v>
      </c>
      <c r="R2080">
        <v>-0.90885260000000001</v>
      </c>
      <c r="S2080">
        <v>-0.97933959999999998</v>
      </c>
      <c r="T2080">
        <v>-0.30172919999999998</v>
      </c>
      <c r="U2080">
        <v>-2.908112</v>
      </c>
      <c r="V2080">
        <v>-0.17165659999999999</v>
      </c>
      <c r="W2080">
        <v>0.122054</v>
      </c>
      <c r="X2080">
        <v>0.97756679999999996</v>
      </c>
      <c r="Y2080">
        <v>-0.26027450000000002</v>
      </c>
      <c r="Z2080">
        <v>7.4338909999999994E-2</v>
      </c>
      <c r="AA2080">
        <v>0.96266870000000004</v>
      </c>
      <c r="AB2080">
        <v>32</v>
      </c>
      <c r="AC2080">
        <v>-3.4690999999999601</v>
      </c>
      <c r="AD2080">
        <v>-1.120016124922</v>
      </c>
      <c r="AE2080">
        <v>-10.532500000000001</v>
      </c>
      <c r="AF2080">
        <v>-2.9164691244238199</v>
      </c>
      <c r="AG2080">
        <v>-1.120016124922</v>
      </c>
      <c r="AH2080">
        <v>10.582599950754201</v>
      </c>
      <c r="AI2080">
        <v>95.825833742971597</v>
      </c>
      <c r="AJ2080">
        <v>105.407726642111</v>
      </c>
      <c r="AK2080">
        <v>11.0341130133557</v>
      </c>
      <c r="AL2080">
        <v>82.989340435678599</v>
      </c>
      <c r="AM2080">
        <v>99.959363221196796</v>
      </c>
      <c r="AN2080">
        <v>1.0000000078508999</v>
      </c>
    </row>
    <row r="2081" spans="1:40" x14ac:dyDescent="0.25">
      <c r="A2081" t="str">
        <f>"20190312164304118"</f>
        <v>20190312164304118</v>
      </c>
      <c r="B2081" t="str">
        <f>"1552380184116406"</f>
        <v>1552380184116406</v>
      </c>
      <c r="C2081" t="s">
        <v>40</v>
      </c>
      <c r="D2081">
        <v>4.1323939999999997</v>
      </c>
      <c r="E2081">
        <v>0.4677751</v>
      </c>
      <c r="F2081" t="s">
        <v>42</v>
      </c>
      <c r="G2081">
        <v>-494.78879999999998</v>
      </c>
      <c r="H2081" s="1">
        <v>-1.3902710000000001E-6</v>
      </c>
      <c r="I2081">
        <v>259.85980000000001</v>
      </c>
      <c r="J2081">
        <v>-491.47809999999998</v>
      </c>
      <c r="K2081">
        <v>1.119985</v>
      </c>
      <c r="L2081">
        <v>269.82060000000001</v>
      </c>
      <c r="M2081">
        <v>-0.54466519999999996</v>
      </c>
      <c r="N2081">
        <v>0</v>
      </c>
      <c r="O2081">
        <v>-0.83850959999999997</v>
      </c>
      <c r="P2081">
        <v>-0.39288489999999998</v>
      </c>
      <c r="Q2081">
        <v>0.1104005</v>
      </c>
      <c r="R2081">
        <v>-0.91293690000000005</v>
      </c>
      <c r="S2081">
        <v>-0.98645020000000005</v>
      </c>
      <c r="T2081">
        <v>-0.31797710000000001</v>
      </c>
      <c r="U2081">
        <v>-2.9032290000000001</v>
      </c>
      <c r="V2081">
        <v>-0.1707796</v>
      </c>
      <c r="W2081">
        <v>0.12157510000000001</v>
      </c>
      <c r="X2081">
        <v>0.97777999999999998</v>
      </c>
      <c r="Y2081">
        <v>-0.24714179999999999</v>
      </c>
      <c r="Z2081">
        <v>7.9502890000000007E-2</v>
      </c>
      <c r="AA2081">
        <v>0.96571229999999997</v>
      </c>
      <c r="AB2081">
        <v>32</v>
      </c>
      <c r="AC2081">
        <v>-3.31069999999999</v>
      </c>
      <c r="AD2081">
        <v>-1.1199863902709899</v>
      </c>
      <c r="AE2081">
        <v>-9.9608000000000008</v>
      </c>
      <c r="AF2081">
        <v>-2.6197417870425301</v>
      </c>
      <c r="AG2081">
        <v>-1.1199863902709899</v>
      </c>
      <c r="AH2081">
        <v>10.0423446714605</v>
      </c>
      <c r="AI2081">
        <v>96.159230280254803</v>
      </c>
      <c r="AJ2081">
        <v>104.620872379844</v>
      </c>
      <c r="AK2081">
        <v>10.4386830129849</v>
      </c>
      <c r="AL2081">
        <v>83.016984870887498</v>
      </c>
      <c r="AM2081">
        <v>99.907373717370405</v>
      </c>
      <c r="AN2081">
        <v>0.99999995255808305</v>
      </c>
    </row>
    <row r="2082" spans="1:40" x14ac:dyDescent="0.25">
      <c r="A2082" t="str">
        <f>"20190312164304131"</f>
        <v>20190312164304131</v>
      </c>
      <c r="B2082" t="str">
        <f>"1552380184126167"</f>
        <v>1552380184126167</v>
      </c>
      <c r="C2082" t="s">
        <v>40</v>
      </c>
      <c r="D2082">
        <v>4.0846999999999998</v>
      </c>
      <c r="E2082">
        <v>0.46737299999999998</v>
      </c>
      <c r="F2082" t="s">
        <v>42</v>
      </c>
      <c r="G2082">
        <v>-494.71129999999999</v>
      </c>
      <c r="H2082" s="1">
        <v>-1.358184E-6</v>
      </c>
      <c r="I2082">
        <v>259.83300000000003</v>
      </c>
      <c r="J2082">
        <v>-491.56119999999999</v>
      </c>
      <c r="K2082">
        <v>1.1199730000000001</v>
      </c>
      <c r="L2082">
        <v>269.68299999999999</v>
      </c>
      <c r="M2082">
        <v>-0.53989089999999995</v>
      </c>
      <c r="N2082">
        <v>0</v>
      </c>
      <c r="O2082">
        <v>-0.84159150000000005</v>
      </c>
      <c r="P2082">
        <v>-0.3881308</v>
      </c>
      <c r="Q2082">
        <v>0.1100558</v>
      </c>
      <c r="R2082">
        <v>-0.91500939999999997</v>
      </c>
      <c r="S2082">
        <v>-0.94494630000000002</v>
      </c>
      <c r="T2082">
        <v>-0.32733269999999998</v>
      </c>
      <c r="U2082">
        <v>-2.919006</v>
      </c>
      <c r="V2082">
        <v>-0.17031789999999999</v>
      </c>
      <c r="W2082">
        <v>0.1212452</v>
      </c>
      <c r="X2082">
        <v>0.97790149999999998</v>
      </c>
      <c r="Y2082">
        <v>-0.25565100000000002</v>
      </c>
      <c r="Z2082">
        <v>8.1902219999999998E-2</v>
      </c>
      <c r="AA2082">
        <v>0.96329359999999997</v>
      </c>
      <c r="AB2082">
        <v>32</v>
      </c>
      <c r="AC2082">
        <v>-3.1501000000000001</v>
      </c>
      <c r="AD2082">
        <v>-1.11997435818399</v>
      </c>
      <c r="AE2082">
        <v>-9.8500000000000192</v>
      </c>
      <c r="AF2082">
        <v>-2.6362303574723098</v>
      </c>
      <c r="AG2082">
        <v>-1.11997435818399</v>
      </c>
      <c r="AH2082">
        <v>9.8757627505510399</v>
      </c>
      <c r="AI2082">
        <v>96.252940484723297</v>
      </c>
      <c r="AJ2082">
        <v>104.946006158253</v>
      </c>
      <c r="AK2082">
        <v>10.2827400514561</v>
      </c>
      <c r="AL2082">
        <v>83.036027704274304</v>
      </c>
      <c r="AM2082">
        <v>99.879914414560005</v>
      </c>
      <c r="AN2082">
        <v>0.99999996464284902</v>
      </c>
    </row>
    <row r="2083" spans="1:40" x14ac:dyDescent="0.25">
      <c r="A2083" t="str">
        <f>"20190312164304141"</f>
        <v>20190312164304141</v>
      </c>
      <c r="B2083" t="str">
        <f>"1552380184136903"</f>
        <v>1552380184136903</v>
      </c>
      <c r="C2083" t="s">
        <v>40</v>
      </c>
      <c r="D2083">
        <v>4.1178900000000001</v>
      </c>
      <c r="E2083">
        <v>0.46737299999999998</v>
      </c>
      <c r="F2083" t="s">
        <v>42</v>
      </c>
      <c r="G2083">
        <v>-494.68340000000001</v>
      </c>
      <c r="H2083" s="1">
        <v>-1.344844E-6</v>
      </c>
      <c r="I2083">
        <v>259.81920000000002</v>
      </c>
      <c r="J2083">
        <v>-491.64609999999999</v>
      </c>
      <c r="K2083">
        <v>1.119958</v>
      </c>
      <c r="L2083">
        <v>269.54160000000002</v>
      </c>
      <c r="M2083">
        <v>-0.53497139999999999</v>
      </c>
      <c r="N2083">
        <v>0</v>
      </c>
      <c r="O2083">
        <v>-0.84472729999999996</v>
      </c>
      <c r="P2083">
        <v>-0.38299109999999997</v>
      </c>
      <c r="Q2083">
        <v>0.10962239999999999</v>
      </c>
      <c r="R2083">
        <v>-0.91722459999999995</v>
      </c>
      <c r="S2083">
        <v>-0.92611690000000002</v>
      </c>
      <c r="T2083">
        <v>-0.33220290000000002</v>
      </c>
      <c r="U2083">
        <v>-2.9257810000000002</v>
      </c>
      <c r="V2083">
        <v>-0.17011180000000001</v>
      </c>
      <c r="W2083">
        <v>0.1208196</v>
      </c>
      <c r="X2083">
        <v>0.97799009999999997</v>
      </c>
      <c r="Y2083">
        <v>-0.25632719999999998</v>
      </c>
      <c r="Z2083">
        <v>8.3474270000000003E-2</v>
      </c>
      <c r="AA2083">
        <v>0.96297889999999997</v>
      </c>
      <c r="AB2083">
        <v>32</v>
      </c>
      <c r="AC2083">
        <v>-3.0373000000000099</v>
      </c>
      <c r="AD2083">
        <v>-1.1199593448439999</v>
      </c>
      <c r="AE2083">
        <v>-9.7223999999999897</v>
      </c>
      <c r="AF2083">
        <v>-2.6043480874799401</v>
      </c>
      <c r="AG2083">
        <v>-1.1199593448439999</v>
      </c>
      <c r="AH2083">
        <v>9.7213052858009608</v>
      </c>
      <c r="AI2083">
        <v>96.349888838836904</v>
      </c>
      <c r="AJ2083">
        <v>104.99742745294</v>
      </c>
      <c r="AK2083">
        <v>10.1262389046775</v>
      </c>
      <c r="AL2083">
        <v>83.060593754165296</v>
      </c>
      <c r="AM2083">
        <v>99.867317575244996</v>
      </c>
      <c r="AN2083">
        <v>1.0000000179707</v>
      </c>
    </row>
    <row r="2084" spans="1:40" x14ac:dyDescent="0.25">
      <c r="A2084" t="str">
        <f>"20190312164304153"</f>
        <v>20190312164304153</v>
      </c>
      <c r="B2084" t="str">
        <f>"1552380184146663"</f>
        <v>1552380184146663</v>
      </c>
      <c r="C2084" t="s">
        <v>40</v>
      </c>
      <c r="D2084">
        <v>4.030284</v>
      </c>
      <c r="E2084">
        <v>0.44065090000000001</v>
      </c>
      <c r="F2084" t="s">
        <v>42</v>
      </c>
      <c r="G2084">
        <v>-494.70179999999999</v>
      </c>
      <c r="H2084" s="1">
        <v>-1.298649E-6</v>
      </c>
      <c r="I2084">
        <v>259.70010000000002</v>
      </c>
      <c r="J2084">
        <v>-491.73309999999998</v>
      </c>
      <c r="K2084">
        <v>1.1199410000000001</v>
      </c>
      <c r="L2084">
        <v>269.39350000000002</v>
      </c>
      <c r="M2084">
        <v>-0.5298254</v>
      </c>
      <c r="N2084">
        <v>0</v>
      </c>
      <c r="O2084">
        <v>-0.84796450000000001</v>
      </c>
      <c r="P2084">
        <v>-0.37788559999999999</v>
      </c>
      <c r="Q2084">
        <v>0.109206</v>
      </c>
      <c r="R2084">
        <v>-0.91938949999999997</v>
      </c>
      <c r="S2084">
        <v>-0.90994260000000005</v>
      </c>
      <c r="T2084">
        <v>-0.33350540000000001</v>
      </c>
      <c r="U2084">
        <v>-2.930634</v>
      </c>
      <c r="V2084">
        <v>-0.16961370000000001</v>
      </c>
      <c r="W2084">
        <v>0.1204192</v>
      </c>
      <c r="X2084">
        <v>0.97812600000000005</v>
      </c>
      <c r="Y2084">
        <v>-0.25576520000000003</v>
      </c>
      <c r="Z2084">
        <v>8.4242029999999996E-2</v>
      </c>
      <c r="AA2084">
        <v>0.96306150000000001</v>
      </c>
      <c r="AB2084">
        <v>32</v>
      </c>
      <c r="AC2084">
        <v>-2.9687000000000099</v>
      </c>
      <c r="AD2084">
        <v>-1.119942298649</v>
      </c>
      <c r="AE2084">
        <v>-9.6933999999999898</v>
      </c>
      <c r="AF2084">
        <v>-2.58719899538153</v>
      </c>
      <c r="AG2084">
        <v>-1.119942298649</v>
      </c>
      <c r="AH2084">
        <v>9.6756513244414908</v>
      </c>
      <c r="AI2084">
        <v>96.380310936667897</v>
      </c>
      <c r="AJ2084">
        <v>104.970249624883</v>
      </c>
      <c r="AK2084">
        <v>10.078000691911701</v>
      </c>
      <c r="AL2084">
        <v>83.083703807296203</v>
      </c>
      <c r="AM2084">
        <v>99.837650484953997</v>
      </c>
      <c r="AN2084">
        <v>1.0000000314161599</v>
      </c>
    </row>
    <row r="2085" spans="1:40" x14ac:dyDescent="0.25">
      <c r="A2085" t="str">
        <f>"20190312164304175"</f>
        <v>20190312164304175</v>
      </c>
      <c r="B2085" t="str">
        <f>"1552380184166186"</f>
        <v>1552380184166186</v>
      </c>
      <c r="C2085" t="s">
        <v>40</v>
      </c>
      <c r="D2085">
        <v>4.0216570000000003</v>
      </c>
      <c r="E2085">
        <v>0.42845090000000002</v>
      </c>
      <c r="F2085" t="s">
        <v>42</v>
      </c>
      <c r="G2085">
        <v>-494.3965</v>
      </c>
      <c r="H2085" s="1">
        <v>-4.4813669999999997E-6</v>
      </c>
      <c r="I2085">
        <v>257.86380000000003</v>
      </c>
      <c r="J2085">
        <v>-491.88560000000001</v>
      </c>
      <c r="K2085">
        <v>1.1199079999999999</v>
      </c>
      <c r="L2085">
        <v>269.13010000000003</v>
      </c>
      <c r="M2085">
        <v>-0.52066000000000001</v>
      </c>
      <c r="N2085">
        <v>0</v>
      </c>
      <c r="O2085">
        <v>-0.85362280000000001</v>
      </c>
      <c r="P2085">
        <v>-0.36870819999999999</v>
      </c>
      <c r="Q2085">
        <v>0.1086109</v>
      </c>
      <c r="R2085">
        <v>-0.92317850000000001</v>
      </c>
      <c r="S2085">
        <v>-0.69573969999999996</v>
      </c>
      <c r="T2085">
        <v>-0.29255829999999999</v>
      </c>
      <c r="U2085">
        <v>-3.011841</v>
      </c>
      <c r="V2085">
        <v>-0.16883429999999999</v>
      </c>
      <c r="W2085">
        <v>0.1198492</v>
      </c>
      <c r="X2085">
        <v>0.97833079999999994</v>
      </c>
      <c r="Y2085">
        <v>-0.31583719999999998</v>
      </c>
      <c r="Z2085">
        <v>7.2523470000000007E-2</v>
      </c>
      <c r="AA2085">
        <v>0.94603769999999998</v>
      </c>
      <c r="AB2085">
        <v>32</v>
      </c>
      <c r="AC2085">
        <v>-2.5108999999999901</v>
      </c>
      <c r="AD2085">
        <v>-1.1199124813669901</v>
      </c>
      <c r="AE2085">
        <v>-11.266299999999999</v>
      </c>
      <c r="AF2085">
        <v>-3.6882796948657699</v>
      </c>
      <c r="AG2085">
        <v>-1.1199124813669901</v>
      </c>
      <c r="AH2085">
        <v>10.8239225580477</v>
      </c>
      <c r="AI2085">
        <v>95.593521342267593</v>
      </c>
      <c r="AJ2085">
        <v>108.816676640081</v>
      </c>
      <c r="AK2085">
        <v>11.4897741760269</v>
      </c>
      <c r="AL2085">
        <v>83.116600453983594</v>
      </c>
      <c r="AM2085">
        <v>99.791311914038204</v>
      </c>
      <c r="AN2085">
        <v>1.0000000029128799</v>
      </c>
    </row>
    <row r="2086" spans="1:40" x14ac:dyDescent="0.25">
      <c r="A2086" t="str">
        <f>"20190312164304188"</f>
        <v>20190312164304188</v>
      </c>
      <c r="B2086" t="str">
        <f>"1552380184176918"</f>
        <v>1552380184176918</v>
      </c>
      <c r="C2086" t="s">
        <v>40</v>
      </c>
      <c r="D2086">
        <v>3.9584109999999999</v>
      </c>
      <c r="E2086">
        <v>0.42579349999999999</v>
      </c>
      <c r="F2086" t="s">
        <v>42</v>
      </c>
      <c r="G2086">
        <v>-494.59449999999998</v>
      </c>
      <c r="H2086" s="1">
        <v>-3.4420089999999999E-6</v>
      </c>
      <c r="I2086">
        <v>254.7629</v>
      </c>
      <c r="J2086">
        <v>-491.9753</v>
      </c>
      <c r="K2086">
        <v>1.1198920000000001</v>
      </c>
      <c r="L2086">
        <v>268.97179999999997</v>
      </c>
      <c r="M2086">
        <v>-0.51515230000000001</v>
      </c>
      <c r="N2086">
        <v>0</v>
      </c>
      <c r="O2086">
        <v>-0.8569582</v>
      </c>
      <c r="P2086">
        <v>-0.36328070000000001</v>
      </c>
      <c r="Q2086">
        <v>0.10860400000000001</v>
      </c>
      <c r="R2086">
        <v>-0.92532859999999995</v>
      </c>
      <c r="S2086">
        <v>-0.57470699999999997</v>
      </c>
      <c r="T2086">
        <v>-0.2375922</v>
      </c>
      <c r="U2086">
        <v>-3.048035</v>
      </c>
      <c r="V2086">
        <v>-0.16827429999999999</v>
      </c>
      <c r="W2086">
        <v>0.1198592</v>
      </c>
      <c r="X2086">
        <v>0.97842600000000002</v>
      </c>
      <c r="Y2086">
        <v>-0.34780870000000003</v>
      </c>
      <c r="Z2086">
        <v>5.841267E-2</v>
      </c>
      <c r="AA2086">
        <v>0.93574420000000003</v>
      </c>
      <c r="AB2086">
        <v>32</v>
      </c>
      <c r="AC2086">
        <v>-2.61919999999997</v>
      </c>
      <c r="AD2086">
        <v>-1.1198954420089999</v>
      </c>
      <c r="AE2086">
        <v>-14.2088999999999</v>
      </c>
      <c r="AF2086">
        <v>-5.04550081424666</v>
      </c>
      <c r="AG2086">
        <v>-1.1198954420089999</v>
      </c>
      <c r="AH2086">
        <v>13.4465632313564</v>
      </c>
      <c r="AI2086">
        <v>94.458689012539907</v>
      </c>
      <c r="AJ2086">
        <v>110.567399325959</v>
      </c>
      <c r="AK2086">
        <v>14.405599848755401</v>
      </c>
      <c r="AL2086">
        <v>83.116022988496994</v>
      </c>
      <c r="AM2086">
        <v>99.758529710536493</v>
      </c>
      <c r="AN2086">
        <v>0.99999995267056396</v>
      </c>
    </row>
    <row r="2087" spans="1:40" x14ac:dyDescent="0.25">
      <c r="A2087" t="str">
        <f>"20190312164304201"</f>
        <v>20190312164304201</v>
      </c>
      <c r="B2087" t="str">
        <f>"1552380184196439"</f>
        <v>1552380184196439</v>
      </c>
      <c r="C2087" t="s">
        <v>40</v>
      </c>
      <c r="D2087">
        <v>3.9901740000000001</v>
      </c>
      <c r="E2087">
        <v>0.423064</v>
      </c>
      <c r="F2087" t="s">
        <v>42</v>
      </c>
      <c r="G2087">
        <v>-494.62740000000002</v>
      </c>
      <c r="H2087" s="1">
        <v>-3.0669179999999999E-6</v>
      </c>
      <c r="I2087">
        <v>253.8681</v>
      </c>
      <c r="J2087">
        <v>-492.065</v>
      </c>
      <c r="K2087">
        <v>1.1198809999999999</v>
      </c>
      <c r="L2087">
        <v>268.81180000000001</v>
      </c>
      <c r="M2087">
        <v>-0.50957489999999905</v>
      </c>
      <c r="N2087">
        <v>0</v>
      </c>
      <c r="O2087">
        <v>-0.86028649999999995</v>
      </c>
      <c r="P2087">
        <v>-0.35762270000000002</v>
      </c>
      <c r="Q2087">
        <v>0.1088499</v>
      </c>
      <c r="R2087">
        <v>-0.92750109999999997</v>
      </c>
      <c r="S2087">
        <v>-0.53695680000000001</v>
      </c>
      <c r="T2087">
        <v>-0.22673579999999999</v>
      </c>
      <c r="U2087">
        <v>-3.057922</v>
      </c>
      <c r="V2087">
        <v>-0.1678799</v>
      </c>
      <c r="W2087">
        <v>0.12011719999999999</v>
      </c>
      <c r="X2087">
        <v>0.97846219999999995</v>
      </c>
      <c r="Y2087">
        <v>-0.35341800000000001</v>
      </c>
      <c r="Z2087">
        <v>5.5903759999999997E-2</v>
      </c>
      <c r="AA2087">
        <v>0.9337936</v>
      </c>
      <c r="AB2087">
        <v>32</v>
      </c>
      <c r="AC2087">
        <v>-2.5624000000000202</v>
      </c>
      <c r="AD2087">
        <v>-1.1198840669179999</v>
      </c>
      <c r="AE2087">
        <v>-14.9437</v>
      </c>
      <c r="AF2087">
        <v>-5.3818259547840501</v>
      </c>
      <c r="AG2087">
        <v>-1.1198840669179999</v>
      </c>
      <c r="AH2087">
        <v>14.0864513014337</v>
      </c>
      <c r="AI2087">
        <v>94.247285269397295</v>
      </c>
      <c r="AJ2087">
        <v>110.909701954176</v>
      </c>
      <c r="AK2087">
        <v>15.121054897016499</v>
      </c>
      <c r="AL2087">
        <v>83.101133705216398</v>
      </c>
      <c r="AM2087">
        <v>99.735742683848997</v>
      </c>
      <c r="AN2087">
        <v>1.00000003969434</v>
      </c>
    </row>
    <row r="2088" spans="1:40" x14ac:dyDescent="0.25">
      <c r="A2088" t="str">
        <f>"20190312164304213"</f>
        <v>20190312164304213</v>
      </c>
      <c r="B2088" t="str">
        <f>"1552380184206198"</f>
        <v>1552380184206198</v>
      </c>
      <c r="C2088" t="s">
        <v>40</v>
      </c>
      <c r="D2088">
        <v>3.9686650000000001</v>
      </c>
      <c r="E2088">
        <v>0.42235919999999999</v>
      </c>
      <c r="F2088" t="s">
        <v>42</v>
      </c>
      <c r="G2088">
        <v>-494.66030000000001</v>
      </c>
      <c r="H2088" s="1">
        <v>-2.6225310000000001E-6</v>
      </c>
      <c r="I2088">
        <v>252.81180000000001</v>
      </c>
      <c r="J2088">
        <v>-492.14659999999998</v>
      </c>
      <c r="K2088">
        <v>1.119869</v>
      </c>
      <c r="L2088">
        <v>268.66269999999997</v>
      </c>
      <c r="M2088">
        <v>-0.50438470000000002</v>
      </c>
      <c r="N2088">
        <v>0</v>
      </c>
      <c r="O2088">
        <v>-0.86333959999999998</v>
      </c>
      <c r="P2088">
        <v>-0.35251270000000001</v>
      </c>
      <c r="Q2088">
        <v>0.1088239</v>
      </c>
      <c r="R2088">
        <v>-0.92945820000000001</v>
      </c>
      <c r="S2088">
        <v>-0.4976196</v>
      </c>
      <c r="T2088">
        <v>-0.2147222</v>
      </c>
      <c r="U2088">
        <v>-3.06778</v>
      </c>
      <c r="V2088">
        <v>-0.1673683</v>
      </c>
      <c r="W2088">
        <v>0.1201063</v>
      </c>
      <c r="X2088">
        <v>0.97855110000000001</v>
      </c>
      <c r="Y2088">
        <v>-0.35990270000000002</v>
      </c>
      <c r="Z2088">
        <v>5.3051649999999999E-2</v>
      </c>
      <c r="AA2088">
        <v>0.93148030000000004</v>
      </c>
      <c r="AB2088">
        <v>32</v>
      </c>
      <c r="AC2088">
        <v>-2.51370000000002</v>
      </c>
      <c r="AD2088">
        <v>-1.1198716225309999</v>
      </c>
      <c r="AE2088">
        <v>-15.8508999999999</v>
      </c>
      <c r="AF2088">
        <v>-5.7972492158425402</v>
      </c>
      <c r="AG2088">
        <v>-1.1198716225309999</v>
      </c>
      <c r="AH2088">
        <v>14.881921778489801</v>
      </c>
      <c r="AI2088">
        <v>94.010907962102905</v>
      </c>
      <c r="AJ2088">
        <v>111.28338957942999</v>
      </c>
      <c r="AK2088">
        <v>16.0104280624419</v>
      </c>
      <c r="AL2088">
        <v>83.101762253429598</v>
      </c>
      <c r="AM2088">
        <v>99.705774023979203</v>
      </c>
      <c r="AN2088">
        <v>0.99999996322789397</v>
      </c>
    </row>
    <row r="2089" spans="1:40" x14ac:dyDescent="0.25">
      <c r="A2089" t="str">
        <f>"20190312164304224"</f>
        <v>20190312164304224</v>
      </c>
      <c r="B2089" t="str">
        <f>"1552380184215960"</f>
        <v>1552380184215960</v>
      </c>
      <c r="C2089" t="s">
        <v>40</v>
      </c>
      <c r="D2089">
        <v>4.0243630000000001</v>
      </c>
      <c r="E2089">
        <v>0.42170819999999998</v>
      </c>
      <c r="F2089" t="s">
        <v>42</v>
      </c>
      <c r="G2089">
        <v>-494.6053</v>
      </c>
      <c r="H2089" s="1">
        <v>-2.5895500000000001E-6</v>
      </c>
      <c r="I2089">
        <v>252.76910000000001</v>
      </c>
      <c r="J2089">
        <v>-492.22620000000001</v>
      </c>
      <c r="K2089">
        <v>1.119856</v>
      </c>
      <c r="L2089">
        <v>268.51620000000003</v>
      </c>
      <c r="M2089">
        <v>-0.49927719999999998</v>
      </c>
      <c r="N2089">
        <v>0</v>
      </c>
      <c r="O2089">
        <v>-0.8663035</v>
      </c>
      <c r="P2089">
        <v>-0.34769739999999999</v>
      </c>
      <c r="Q2089">
        <v>0.1084768</v>
      </c>
      <c r="R2089">
        <v>-0.93131070000000005</v>
      </c>
      <c r="S2089">
        <v>-0.47534179999999998</v>
      </c>
      <c r="T2089">
        <v>-0.21651010000000001</v>
      </c>
      <c r="U2089">
        <v>-3.072784</v>
      </c>
      <c r="V2089">
        <v>-0.1666609</v>
      </c>
      <c r="W2089">
        <v>0.1197796</v>
      </c>
      <c r="X2089">
        <v>0.97871189999999997</v>
      </c>
      <c r="Y2089">
        <v>-0.3612244</v>
      </c>
      <c r="Z2089">
        <v>5.371277E-2</v>
      </c>
      <c r="AA2089">
        <v>0.9309307</v>
      </c>
      <c r="AB2089">
        <v>32</v>
      </c>
      <c r="AC2089">
        <v>-2.37909999999999</v>
      </c>
      <c r="AD2089">
        <v>-1.1198585895499999</v>
      </c>
      <c r="AE2089">
        <v>-15.7471</v>
      </c>
      <c r="AF2089">
        <v>-5.7732969761341302</v>
      </c>
      <c r="AG2089">
        <v>-1.1198585895499999</v>
      </c>
      <c r="AH2089">
        <v>14.7584088346984</v>
      </c>
      <c r="AI2089">
        <v>94.042082474339793</v>
      </c>
      <c r="AJ2089">
        <v>111.36478894008</v>
      </c>
      <c r="AK2089">
        <v>15.886965492734401</v>
      </c>
      <c r="AL2089">
        <v>83.120617125474794</v>
      </c>
      <c r="AM2089">
        <v>99.663968916696703</v>
      </c>
      <c r="AN2089">
        <v>0.99999999568329001</v>
      </c>
    </row>
    <row r="2090" spans="1:40" x14ac:dyDescent="0.25">
      <c r="A2090" t="str">
        <f>"20190312164304242"</f>
        <v>20190312164304242</v>
      </c>
      <c r="B2090" t="str">
        <f>"1552380184236454"</f>
        <v>1552380184236454</v>
      </c>
      <c r="C2090" t="s">
        <v>40</v>
      </c>
      <c r="D2090">
        <v>4.0245119999999996</v>
      </c>
      <c r="E2090">
        <v>0.42067769999999999</v>
      </c>
      <c r="F2090" t="s">
        <v>42</v>
      </c>
      <c r="G2090">
        <v>-494.572</v>
      </c>
      <c r="H2090" s="1">
        <v>-2.523084E-6</v>
      </c>
      <c r="I2090">
        <v>252.63480000000001</v>
      </c>
      <c r="J2090">
        <v>-492.34300000000002</v>
      </c>
      <c r="K2090">
        <v>1.1198349999999999</v>
      </c>
      <c r="L2090">
        <v>268.29719999999998</v>
      </c>
      <c r="M2090">
        <v>-0.49163479999999998</v>
      </c>
      <c r="N2090">
        <v>0</v>
      </c>
      <c r="O2090">
        <v>-0.87066350000000003</v>
      </c>
      <c r="P2090">
        <v>-0.34046300000000002</v>
      </c>
      <c r="Q2090">
        <v>0.107436</v>
      </c>
      <c r="R2090">
        <v>-0.93410009999999999</v>
      </c>
      <c r="S2090">
        <v>-0.45446779999999998</v>
      </c>
      <c r="T2090">
        <v>-0.21696209999999999</v>
      </c>
      <c r="U2090">
        <v>-3.0768740000000001</v>
      </c>
      <c r="V2090">
        <v>-0.16566789999999901</v>
      </c>
      <c r="W2090">
        <v>0.11876929999999999</v>
      </c>
      <c r="X2090">
        <v>0.97900350000000003</v>
      </c>
      <c r="Y2090">
        <v>-0.35938369999999997</v>
      </c>
      <c r="Z2090">
        <v>5.4245929999999998E-2</v>
      </c>
      <c r="AA2090">
        <v>0.93161190000000005</v>
      </c>
      <c r="AB2090">
        <v>32</v>
      </c>
      <c r="AC2090">
        <v>-2.2289999999999202</v>
      </c>
      <c r="AD2090">
        <v>-1.1198375230840001</v>
      </c>
      <c r="AE2090">
        <v>-15.6623999999999</v>
      </c>
      <c r="AF2090">
        <v>-5.7314463672298999</v>
      </c>
      <c r="AG2090">
        <v>-1.1198375230840001</v>
      </c>
      <c r="AH2090">
        <v>14.6608454810381</v>
      </c>
      <c r="AI2090">
        <v>94.069160683594006</v>
      </c>
      <c r="AJ2090">
        <v>111.35229756892601</v>
      </c>
      <c r="AK2090">
        <v>15.781124920531401</v>
      </c>
      <c r="AL2090">
        <v>83.178918779387601</v>
      </c>
      <c r="AM2090">
        <v>99.604657085211997</v>
      </c>
      <c r="AN2090">
        <v>0.99999992636257196</v>
      </c>
    </row>
    <row r="2091" spans="1:40" x14ac:dyDescent="0.25">
      <c r="A2091" t="str">
        <f>"20190312164304265"</f>
        <v>20190312164304265</v>
      </c>
      <c r="B2091" t="str">
        <f>"1552380184255985"</f>
        <v>1552380184255985</v>
      </c>
      <c r="C2091" t="s">
        <v>40</v>
      </c>
      <c r="D2091">
        <v>3.985204</v>
      </c>
      <c r="E2091">
        <v>0.4209098</v>
      </c>
      <c r="F2091" t="s">
        <v>42</v>
      </c>
      <c r="G2091">
        <v>-494.48770000000002</v>
      </c>
      <c r="H2091" s="1">
        <v>-2.5067250000000001E-6</v>
      </c>
      <c r="I2091">
        <v>252.6489</v>
      </c>
      <c r="J2091">
        <v>-492.49209999999999</v>
      </c>
      <c r="K2091">
        <v>1.1198170000000001</v>
      </c>
      <c r="L2091">
        <v>268.01010000000002</v>
      </c>
      <c r="M2091">
        <v>-0.48160920000000002</v>
      </c>
      <c r="N2091">
        <v>0</v>
      </c>
      <c r="O2091">
        <v>-0.8762489</v>
      </c>
      <c r="P2091">
        <v>-0.33064579999999999</v>
      </c>
      <c r="Q2091">
        <v>0.1073342</v>
      </c>
      <c r="R2091">
        <v>-0.9376314</v>
      </c>
      <c r="S2091">
        <v>-0.42254639999999999</v>
      </c>
      <c r="T2091">
        <v>-0.22063140000000001</v>
      </c>
      <c r="U2091">
        <v>-3.0830380000000002</v>
      </c>
      <c r="V2091">
        <v>-0.16469549999999999</v>
      </c>
      <c r="W2091">
        <v>0.1186955</v>
      </c>
      <c r="X2091">
        <v>0.97917659999999995</v>
      </c>
      <c r="Y2091">
        <v>-0.3584058</v>
      </c>
      <c r="Z2091">
        <v>5.5675719999999998E-2</v>
      </c>
      <c r="AA2091">
        <v>0.93190430000000002</v>
      </c>
      <c r="AB2091">
        <v>32</v>
      </c>
      <c r="AC2091">
        <v>-1.99560000000002</v>
      </c>
      <c r="AD2091">
        <v>-1.1198195067250001</v>
      </c>
      <c r="AE2091">
        <v>-15.3612</v>
      </c>
      <c r="AF2091">
        <v>-5.6207576336727696</v>
      </c>
      <c r="AG2091">
        <v>-1.1198195067250001</v>
      </c>
      <c r="AH2091">
        <v>14.3480835432495</v>
      </c>
      <c r="AI2091">
        <v>94.156351876493403</v>
      </c>
      <c r="AJ2091">
        <v>111.39240195743299</v>
      </c>
      <c r="AK2091">
        <v>15.4503855443222</v>
      </c>
      <c r="AL2091">
        <v>83.183177985077506</v>
      </c>
      <c r="AM2091">
        <v>99.5476659613837</v>
      </c>
      <c r="AN2091">
        <v>1.0000000217140199</v>
      </c>
    </row>
    <row r="2092" spans="1:40" x14ac:dyDescent="0.25">
      <c r="A2092" t="str">
        <f>"20190312164304288"</f>
        <v>20190312164304288</v>
      </c>
      <c r="B2092" t="str">
        <f>"1552380184276470"</f>
        <v>1552380184276470</v>
      </c>
      <c r="C2092" t="s">
        <v>40</v>
      </c>
      <c r="D2092">
        <v>4.0231899999999996</v>
      </c>
      <c r="E2092">
        <v>0.42093340000000001</v>
      </c>
      <c r="F2092" t="s">
        <v>42</v>
      </c>
      <c r="G2092">
        <v>-494.47370000000001</v>
      </c>
      <c r="H2092" s="1">
        <v>-2.398686E-6</v>
      </c>
      <c r="I2092">
        <v>252.4058</v>
      </c>
      <c r="J2092">
        <v>-492.63040000000001</v>
      </c>
      <c r="K2092">
        <v>1.1198030000000001</v>
      </c>
      <c r="L2092">
        <v>267.73649999999998</v>
      </c>
      <c r="M2092">
        <v>-0.47203279999999997</v>
      </c>
      <c r="N2092">
        <v>0</v>
      </c>
      <c r="O2092">
        <v>-0.88144480000000003</v>
      </c>
      <c r="P2092">
        <v>-0.32200010000000001</v>
      </c>
      <c r="Q2092">
        <v>0.10870249999999999</v>
      </c>
      <c r="R2092">
        <v>-0.94047860000000005</v>
      </c>
      <c r="S2092">
        <v>-0.39196779999999998</v>
      </c>
      <c r="T2092">
        <v>-0.22150990000000001</v>
      </c>
      <c r="U2092">
        <v>-3.0866699999999998</v>
      </c>
      <c r="V2092">
        <v>-0.16299029999999901</v>
      </c>
      <c r="W2092">
        <v>0.120107199999999</v>
      </c>
      <c r="X2092">
        <v>0.97928979999999999</v>
      </c>
      <c r="Y2092">
        <v>-0.35745919999999998</v>
      </c>
      <c r="Z2092">
        <v>5.6415720000000003E-2</v>
      </c>
      <c r="AA2092">
        <v>0.93222329999999998</v>
      </c>
      <c r="AB2092">
        <v>32</v>
      </c>
      <c r="AC2092">
        <v>-1.8432999999999899</v>
      </c>
      <c r="AD2092">
        <v>-1.1198053986859999</v>
      </c>
      <c r="AE2092">
        <v>-15.330699999999901</v>
      </c>
      <c r="AF2092">
        <v>-5.5831364994615402</v>
      </c>
      <c r="AG2092">
        <v>-1.1198053986859999</v>
      </c>
      <c r="AH2092">
        <v>14.3097317592013</v>
      </c>
      <c r="AI2092">
        <v>94.169624329635894</v>
      </c>
      <c r="AJ2092">
        <v>111.313919400793</v>
      </c>
      <c r="AK2092">
        <v>15.4010973739809</v>
      </c>
      <c r="AL2092">
        <v>83.101710877247399</v>
      </c>
      <c r="AM2092">
        <v>99.4495323132941</v>
      </c>
      <c r="AN2092">
        <v>1.00000004488498</v>
      </c>
    </row>
    <row r="2093" spans="1:40" x14ac:dyDescent="0.25">
      <c r="A2093" t="str">
        <f>"20190312164304310"</f>
        <v>20190312164304310</v>
      </c>
      <c r="B2093" t="str">
        <f>"1552380184306728"</f>
        <v>1552380184306728</v>
      </c>
      <c r="C2093" t="s">
        <v>40</v>
      </c>
      <c r="D2093">
        <v>4.0808949999999999</v>
      </c>
      <c r="E2093">
        <v>0.42115809999999998</v>
      </c>
      <c r="F2093" t="s">
        <v>42</v>
      </c>
      <c r="G2093">
        <v>-494.48930000000001</v>
      </c>
      <c r="H2093" s="1">
        <v>-2.2010440000000001E-6</v>
      </c>
      <c r="I2093">
        <v>251.93539999999999</v>
      </c>
      <c r="J2093">
        <v>-492.7722</v>
      </c>
      <c r="K2093">
        <v>1.119791</v>
      </c>
      <c r="L2093">
        <v>267.4479</v>
      </c>
      <c r="M2093">
        <v>-0.46190740000000002</v>
      </c>
      <c r="N2093">
        <v>0</v>
      </c>
      <c r="O2093">
        <v>-0.88679279999999905</v>
      </c>
      <c r="P2093">
        <v>-0.31189270000000002</v>
      </c>
      <c r="Q2093">
        <v>0.1100917</v>
      </c>
      <c r="R2093">
        <v>-0.94371749999999999</v>
      </c>
      <c r="S2093">
        <v>-0.36358639999999998</v>
      </c>
      <c r="T2093">
        <v>-0.21903439999999999</v>
      </c>
      <c r="U2093">
        <v>-3.0906980000000002</v>
      </c>
      <c r="V2093">
        <v>-0.16223280000000001</v>
      </c>
      <c r="W2093">
        <v>0.1215135</v>
      </c>
      <c r="X2093">
        <v>0.97924199999999995</v>
      </c>
      <c r="Y2093">
        <v>-0.35534840000000001</v>
      </c>
      <c r="Z2093">
        <v>5.6322570000000002E-2</v>
      </c>
      <c r="AA2093">
        <v>0.93303559999999996</v>
      </c>
      <c r="AB2093">
        <v>32</v>
      </c>
      <c r="AC2093">
        <v>-1.7171000000000101</v>
      </c>
      <c r="AD2093">
        <v>-1.1197932010439999</v>
      </c>
      <c r="AE2093">
        <v>-15.512499999999999</v>
      </c>
      <c r="AF2093">
        <v>-5.6144021792239096</v>
      </c>
      <c r="AG2093">
        <v>-1.1197932010439999</v>
      </c>
      <c r="AH2093">
        <v>14.4767377627423</v>
      </c>
      <c r="AI2093">
        <v>94.124895286662294</v>
      </c>
      <c r="AJ2093">
        <v>111.19740486620699</v>
      </c>
      <c r="AK2093">
        <v>15.5676390276235</v>
      </c>
      <c r="AL2093">
        <v>83.020540658972607</v>
      </c>
      <c r="AM2093">
        <v>99.406853067639304</v>
      </c>
      <c r="AN2093">
        <v>0.99999995332104297</v>
      </c>
    </row>
    <row r="2094" spans="1:40" x14ac:dyDescent="0.25">
      <c r="A2094" t="str">
        <f>"20190312164304333"</f>
        <v>20190312164304333</v>
      </c>
      <c r="B2094" t="str">
        <f>"1552380184326194"</f>
        <v>1552380184326194</v>
      </c>
      <c r="C2094" t="s">
        <v>40</v>
      </c>
      <c r="D2094">
        <v>4.0418059999999896</v>
      </c>
      <c r="E2094">
        <v>0.42166169999999997</v>
      </c>
      <c r="F2094" t="s">
        <v>42</v>
      </c>
      <c r="G2094">
        <v>-494.48869999999999</v>
      </c>
      <c r="H2094" s="1">
        <v>-2.0040120000000001E-6</v>
      </c>
      <c r="I2094">
        <v>251.47649999999999</v>
      </c>
      <c r="J2094">
        <v>-492.90660000000003</v>
      </c>
      <c r="K2094">
        <v>1.119794</v>
      </c>
      <c r="L2094">
        <v>267.16640000000001</v>
      </c>
      <c r="M2094">
        <v>-0.45200170000000001</v>
      </c>
      <c r="N2094">
        <v>0</v>
      </c>
      <c r="O2094">
        <v>-0.89188269999999903</v>
      </c>
      <c r="P2094">
        <v>-0.30180180000000001</v>
      </c>
      <c r="Q2094">
        <v>0.110930399999999</v>
      </c>
      <c r="R2094">
        <v>-0.94689509999999999</v>
      </c>
      <c r="S2094">
        <v>-0.33255000000000001</v>
      </c>
      <c r="T2094">
        <v>-0.21694910000000001</v>
      </c>
      <c r="U2094">
        <v>-3.0942989999999999</v>
      </c>
      <c r="V2094">
        <v>-0.1617507</v>
      </c>
      <c r="W2094">
        <v>0.1223626</v>
      </c>
      <c r="X2094">
        <v>0.97921599999999998</v>
      </c>
      <c r="Y2094">
        <v>-0.35430420000000001</v>
      </c>
      <c r="Z2094">
        <v>5.6285050000000003E-2</v>
      </c>
      <c r="AA2094">
        <v>0.93343480000000001</v>
      </c>
      <c r="AB2094">
        <v>32</v>
      </c>
      <c r="AC2094">
        <v>-1.5820999999999601</v>
      </c>
      <c r="AD2094">
        <v>-1.1197960040120001</v>
      </c>
      <c r="AE2094">
        <v>-15.6899</v>
      </c>
      <c r="AF2094">
        <v>-5.6529897845190096</v>
      </c>
      <c r="AG2094">
        <v>-1.1197960040120001</v>
      </c>
      <c r="AH2094">
        <v>14.6366206802878</v>
      </c>
      <c r="AI2094">
        <v>94.082190739107403</v>
      </c>
      <c r="AJ2094">
        <v>111.117674300313</v>
      </c>
      <c r="AK2094">
        <v>15.730254337839099</v>
      </c>
      <c r="AL2094">
        <v>82.971524908885698</v>
      </c>
      <c r="AM2094">
        <v>99.379641213445197</v>
      </c>
      <c r="AN2094">
        <v>0.99999993474262205</v>
      </c>
    </row>
    <row r="2095" spans="1:40" x14ac:dyDescent="0.25">
      <c r="A2095" t="str">
        <f>"20190312164304355"</f>
        <v>20190312164304355</v>
      </c>
      <c r="B2095" t="str">
        <f>"1552380184346690"</f>
        <v>1552380184346690</v>
      </c>
      <c r="C2095" t="s">
        <v>40</v>
      </c>
      <c r="D2095">
        <v>4.110436</v>
      </c>
      <c r="E2095">
        <v>0.42232609999999898</v>
      </c>
      <c r="F2095" t="s">
        <v>42</v>
      </c>
      <c r="G2095">
        <v>-494.48180000000002</v>
      </c>
      <c r="H2095" s="1">
        <v>-1.83382E-6</v>
      </c>
      <c r="I2095">
        <v>251.08410000000001</v>
      </c>
      <c r="J2095">
        <v>-493.03769999999997</v>
      </c>
      <c r="K2095">
        <v>1.1197950000000001</v>
      </c>
      <c r="L2095">
        <v>266.88380000000001</v>
      </c>
      <c r="M2095">
        <v>-0.44201970000000002</v>
      </c>
      <c r="N2095">
        <v>0</v>
      </c>
      <c r="O2095">
        <v>-0.89687190000000006</v>
      </c>
      <c r="P2095">
        <v>-0.2914099</v>
      </c>
      <c r="Q2095">
        <v>0.11154459999999999</v>
      </c>
      <c r="R2095">
        <v>-0.95007260000000004</v>
      </c>
      <c r="S2095">
        <v>-0.30331419999999998</v>
      </c>
      <c r="T2095">
        <v>-0.2156312</v>
      </c>
      <c r="U2095">
        <v>-3.0968629999999999</v>
      </c>
      <c r="V2095">
        <v>-0.16153190000000001</v>
      </c>
      <c r="W2095">
        <v>0.1229797</v>
      </c>
      <c r="X2095">
        <v>0.97917489999999996</v>
      </c>
      <c r="Y2095">
        <v>-0.35267019999999999</v>
      </c>
      <c r="Z2095">
        <v>5.6450899999999998E-2</v>
      </c>
      <c r="AA2095">
        <v>0.93404330000000002</v>
      </c>
      <c r="AB2095">
        <v>32</v>
      </c>
      <c r="AC2095">
        <v>-1.4441000000000399</v>
      </c>
      <c r="AD2095">
        <v>-1.1197968338199999</v>
      </c>
      <c r="AE2095">
        <v>-15.7997</v>
      </c>
      <c r="AF2095">
        <v>-5.6610857415317399</v>
      </c>
      <c r="AG2095">
        <v>-1.1197968338199999</v>
      </c>
      <c r="AH2095">
        <v>14.7369867827656</v>
      </c>
      <c r="AI2095">
        <v>94.057306631079499</v>
      </c>
      <c r="AJ2095">
        <v>111.013846241311</v>
      </c>
      <c r="AK2095">
        <v>15.826579420627001</v>
      </c>
      <c r="AL2095">
        <v>82.935899235326403</v>
      </c>
      <c r="AM2095">
        <v>99.367564618451894</v>
      </c>
      <c r="AN2095">
        <v>1.00000002305985</v>
      </c>
    </row>
    <row r="2096" spans="1:40" x14ac:dyDescent="0.25">
      <c r="A2096" t="str">
        <f>"20190312164304375"</f>
        <v>20190312164304375</v>
      </c>
      <c r="B2096" t="str">
        <f>"1552380184366210"</f>
        <v>1552380184366210</v>
      </c>
      <c r="C2096" t="s">
        <v>40</v>
      </c>
      <c r="D2096">
        <v>4.0754630000000001</v>
      </c>
      <c r="E2096">
        <v>0.42298989999999997</v>
      </c>
      <c r="F2096" t="s">
        <v>42</v>
      </c>
      <c r="G2096">
        <v>-494.45859999999999</v>
      </c>
      <c r="H2096" s="1">
        <v>-1.72081E-6</v>
      </c>
      <c r="I2096">
        <v>250.83500000000001</v>
      </c>
      <c r="J2096">
        <v>-493.15769999999998</v>
      </c>
      <c r="K2096">
        <v>1.119807</v>
      </c>
      <c r="L2096">
        <v>266.6173</v>
      </c>
      <c r="M2096">
        <v>-0.43256420000000001</v>
      </c>
      <c r="N2096">
        <v>0</v>
      </c>
      <c r="O2096">
        <v>-0.90147010000000005</v>
      </c>
      <c r="P2096">
        <v>-0.28192</v>
      </c>
      <c r="Q2096">
        <v>0.112222699999999</v>
      </c>
      <c r="R2096">
        <v>-0.95285220000000004</v>
      </c>
      <c r="S2096">
        <v>-0.27435300000000001</v>
      </c>
      <c r="T2096">
        <v>-0.2162249</v>
      </c>
      <c r="U2096">
        <v>-3.0989070000000001</v>
      </c>
      <c r="V2096">
        <v>-0.16098199999999999</v>
      </c>
      <c r="W2096">
        <v>0.1236672</v>
      </c>
      <c r="X2096">
        <v>0.97917880000000002</v>
      </c>
      <c r="Y2096">
        <v>-0.35154679999999999</v>
      </c>
      <c r="Z2096">
        <v>5.7073909999999999E-2</v>
      </c>
      <c r="AA2096">
        <v>0.93442890000000001</v>
      </c>
      <c r="AB2096">
        <v>32</v>
      </c>
      <c r="AC2096">
        <v>-1.3009000000000099</v>
      </c>
      <c r="AD2096">
        <v>-1.11980872081</v>
      </c>
      <c r="AE2096">
        <v>-15.7822999999999</v>
      </c>
      <c r="AF2096">
        <v>-5.6266780322481802</v>
      </c>
      <c r="AG2096">
        <v>-1.11980872081</v>
      </c>
      <c r="AH2096">
        <v>14.7181714824679</v>
      </c>
      <c r="AI2096">
        <v>94.065018217493105</v>
      </c>
      <c r="AJ2096">
        <v>110.92158721429099</v>
      </c>
      <c r="AK2096">
        <v>15.796773374240701</v>
      </c>
      <c r="AL2096">
        <v>82.896204874339404</v>
      </c>
      <c r="AM2096">
        <v>99.336200700039996</v>
      </c>
      <c r="AN2096">
        <v>0.99999995152463805</v>
      </c>
    </row>
    <row r="2097" spans="1:40" x14ac:dyDescent="0.25">
      <c r="A2097" t="str">
        <f>"20190312164304389"</f>
        <v>20190312164304389</v>
      </c>
      <c r="B2097" t="str">
        <f>"1552380184386706"</f>
        <v>1552380184386706</v>
      </c>
      <c r="C2097" t="s">
        <v>40</v>
      </c>
      <c r="D2097">
        <v>4.1015169999999896</v>
      </c>
      <c r="E2097">
        <v>0.42355569999999998</v>
      </c>
      <c r="F2097" t="s">
        <v>42</v>
      </c>
      <c r="G2097">
        <v>-494.4402</v>
      </c>
      <c r="H2097" s="1">
        <v>-1.6334059999999899E-6</v>
      </c>
      <c r="I2097">
        <v>250.64269999999999</v>
      </c>
      <c r="J2097">
        <v>-493.23090000000002</v>
      </c>
      <c r="K2097">
        <v>1.1198129999999999</v>
      </c>
      <c r="L2097">
        <v>266.45089999999999</v>
      </c>
      <c r="M2097">
        <v>-0.42663849999999998</v>
      </c>
      <c r="N2097">
        <v>0</v>
      </c>
      <c r="O2097">
        <v>-0.90428980000000003</v>
      </c>
      <c r="P2097">
        <v>-0.27601049999999999</v>
      </c>
      <c r="Q2097">
        <v>0.11259130000000001</v>
      </c>
      <c r="R2097">
        <v>-0.95453719999999997</v>
      </c>
      <c r="S2097">
        <v>-0.24890139999999999</v>
      </c>
      <c r="T2097">
        <v>-0.217334</v>
      </c>
      <c r="U2097">
        <v>-3.1003720000000001</v>
      </c>
      <c r="V2097">
        <v>-0.16061449999999999</v>
      </c>
      <c r="W2097">
        <v>0.1240424</v>
      </c>
      <c r="X2097">
        <v>0.9791917</v>
      </c>
      <c r="Y2097">
        <v>-0.35305930000000002</v>
      </c>
      <c r="Z2097">
        <v>5.7624259999999997E-2</v>
      </c>
      <c r="AA2097">
        <v>0.93382469999999995</v>
      </c>
      <c r="AB2097">
        <v>32</v>
      </c>
      <c r="AC2097">
        <v>-1.2092999999999801</v>
      </c>
      <c r="AD2097">
        <v>-1.119814633406</v>
      </c>
      <c r="AE2097">
        <v>-15.808199999999999</v>
      </c>
      <c r="AF2097">
        <v>-5.6234519243018504</v>
      </c>
      <c r="AG2097">
        <v>-1.119814633406</v>
      </c>
      <c r="AH2097">
        <v>14.7393709505108</v>
      </c>
      <c r="AI2097">
        <v>94.060249150973505</v>
      </c>
      <c r="AJ2097">
        <v>110.883148853158</v>
      </c>
      <c r="AK2097">
        <v>15.815380247559199</v>
      </c>
      <c r="AL2097">
        <v>82.874540750629805</v>
      </c>
      <c r="AM2097">
        <v>99.315140870984095</v>
      </c>
      <c r="AN2097">
        <v>0.99999995997844904</v>
      </c>
    </row>
    <row r="2098" spans="1:40" x14ac:dyDescent="0.25">
      <c r="A2098" t="str">
        <f>"20190312164304402"</f>
        <v>20190312164304402</v>
      </c>
      <c r="B2098" t="str">
        <f>"1552380184396467"</f>
        <v>1552380184396467</v>
      </c>
      <c r="C2098" t="s">
        <v>40</v>
      </c>
      <c r="D2098">
        <v>4.116727</v>
      </c>
      <c r="E2098">
        <v>0.4239308</v>
      </c>
      <c r="F2098" t="s">
        <v>42</v>
      </c>
      <c r="G2098">
        <v>-494.43619999999999</v>
      </c>
      <c r="H2098" s="1">
        <v>-1.567844E-6</v>
      </c>
      <c r="I2098">
        <v>250.4924</v>
      </c>
      <c r="J2098">
        <v>-493.30180000000001</v>
      </c>
      <c r="K2098">
        <v>1.1198170000000001</v>
      </c>
      <c r="L2098">
        <v>266.28730000000002</v>
      </c>
      <c r="M2098">
        <v>-0.42079709999999998</v>
      </c>
      <c r="N2098">
        <v>0</v>
      </c>
      <c r="O2098">
        <v>-0.90702269999999896</v>
      </c>
      <c r="P2098">
        <v>-0.27051229999999998</v>
      </c>
      <c r="Q2098">
        <v>0.1126012</v>
      </c>
      <c r="R2098">
        <v>-0.95610879999999998</v>
      </c>
      <c r="S2098">
        <v>-0.23419190000000001</v>
      </c>
      <c r="T2098">
        <v>-0.21758640000000001</v>
      </c>
      <c r="U2098">
        <v>-3.1008300000000002</v>
      </c>
      <c r="V2098">
        <v>-0.1599341</v>
      </c>
      <c r="W2098">
        <v>0.1240671</v>
      </c>
      <c r="X2098">
        <v>0.97929999999999995</v>
      </c>
      <c r="Y2098">
        <v>-0.35144029999999998</v>
      </c>
      <c r="Z2098">
        <v>5.7994690000000002E-2</v>
      </c>
      <c r="AA2098">
        <v>0.93441229999999997</v>
      </c>
      <c r="AB2098">
        <v>32</v>
      </c>
      <c r="AC2098">
        <v>-1.1343999999999701</v>
      </c>
      <c r="AD2098">
        <v>-1.119818567844</v>
      </c>
      <c r="AE2098">
        <v>-15.7949</v>
      </c>
      <c r="AF2098">
        <v>-5.5902398496051298</v>
      </c>
      <c r="AG2098">
        <v>-1.119818567844</v>
      </c>
      <c r="AH2098">
        <v>14.7317903959598</v>
      </c>
      <c r="AI2098">
        <v>94.065116240612497</v>
      </c>
      <c r="AJ2098">
        <v>110.78014024129099</v>
      </c>
      <c r="AK2098">
        <v>15.796532007738101</v>
      </c>
      <c r="AL2098">
        <v>82.873114999480094</v>
      </c>
      <c r="AM2098">
        <v>99.275359152356401</v>
      </c>
      <c r="AN2098">
        <v>1.0000000258226001</v>
      </c>
    </row>
    <row r="2099" spans="1:40" x14ac:dyDescent="0.25">
      <c r="A2099" t="str">
        <f>"20190312164304422"</f>
        <v>20190312164304422</v>
      </c>
      <c r="B2099" t="str">
        <f>"1552380184416626"</f>
        <v>1552380184416626</v>
      </c>
      <c r="C2099" t="s">
        <v>40</v>
      </c>
      <c r="D2099">
        <v>4.1460489999999997</v>
      </c>
      <c r="E2099">
        <v>0.42468790000000001</v>
      </c>
      <c r="F2099" t="s">
        <v>42</v>
      </c>
      <c r="G2099">
        <v>-494.42140000000001</v>
      </c>
      <c r="H2099" s="1">
        <v>-1.543572E-6</v>
      </c>
      <c r="I2099">
        <v>250.44499999999999</v>
      </c>
      <c r="J2099">
        <v>-493.41050000000001</v>
      </c>
      <c r="K2099">
        <v>1.119828</v>
      </c>
      <c r="L2099">
        <v>266.02980000000002</v>
      </c>
      <c r="M2099">
        <v>-0.41156379999999998</v>
      </c>
      <c r="N2099">
        <v>0</v>
      </c>
      <c r="O2099">
        <v>-0.9112498</v>
      </c>
      <c r="P2099">
        <v>-0.26184560000000001</v>
      </c>
      <c r="Q2099">
        <v>0.1119996</v>
      </c>
      <c r="R2099">
        <v>-0.95858929999999998</v>
      </c>
      <c r="S2099">
        <v>-0.21917719999999999</v>
      </c>
      <c r="T2099">
        <v>-0.21923200000000001</v>
      </c>
      <c r="U2099">
        <v>-3.1015320000000002</v>
      </c>
      <c r="V2099">
        <v>-0.1588706</v>
      </c>
      <c r="W2099">
        <v>0.1234898</v>
      </c>
      <c r="X2099">
        <v>0.97954600000000003</v>
      </c>
      <c r="Y2099">
        <v>-0.3464468</v>
      </c>
      <c r="Z2099">
        <v>5.8933100000000002E-2</v>
      </c>
      <c r="AA2099">
        <v>0.93621659999999995</v>
      </c>
      <c r="AB2099">
        <v>32</v>
      </c>
      <c r="AC2099">
        <v>-1.0108999999999899</v>
      </c>
      <c r="AD2099">
        <v>-1.119829543572</v>
      </c>
      <c r="AE2099">
        <v>-15.5848</v>
      </c>
      <c r="AF2099">
        <v>-5.4655135557462904</v>
      </c>
      <c r="AG2099">
        <v>-1.119829543572</v>
      </c>
      <c r="AH2099">
        <v>14.544663809707201</v>
      </c>
      <c r="AI2099">
        <v>94.122289431621198</v>
      </c>
      <c r="AJ2099">
        <v>110.59493918680199</v>
      </c>
      <c r="AK2099">
        <v>15.577968480264399</v>
      </c>
      <c r="AL2099">
        <v>82.906447877727501</v>
      </c>
      <c r="AM2099">
        <v>99.212468623164696</v>
      </c>
      <c r="AN2099">
        <v>0.99999998218219999</v>
      </c>
    </row>
    <row r="2100" spans="1:40" x14ac:dyDescent="0.25">
      <c r="A2100" t="str">
        <f>"20190312164304444"</f>
        <v>20190312164304444</v>
      </c>
      <c r="B2100" t="str">
        <f>"1552380184436146"</f>
        <v>1552380184436146</v>
      </c>
      <c r="C2100" t="s">
        <v>40</v>
      </c>
      <c r="D2100">
        <v>4.1263269999999999</v>
      </c>
      <c r="E2100">
        <v>0.42508430000000003</v>
      </c>
      <c r="F2100" t="s">
        <v>42</v>
      </c>
      <c r="G2100">
        <v>-494.39519999999999</v>
      </c>
      <c r="H2100" s="1">
        <v>-1.548336E-6</v>
      </c>
      <c r="I2100">
        <v>250.47229999999999</v>
      </c>
      <c r="J2100">
        <v>-493.52760000000001</v>
      </c>
      <c r="K2100">
        <v>1.119845</v>
      </c>
      <c r="L2100">
        <v>265.74310000000003</v>
      </c>
      <c r="M2100">
        <v>-0.4012308</v>
      </c>
      <c r="N2100">
        <v>0</v>
      </c>
      <c r="O2100">
        <v>-0.91584620000000005</v>
      </c>
      <c r="P2100">
        <v>-0.25136340000000001</v>
      </c>
      <c r="Q2100">
        <v>0.1119914</v>
      </c>
      <c r="R2100">
        <v>-0.96139209999999997</v>
      </c>
      <c r="S2100">
        <v>-0.1963501</v>
      </c>
      <c r="T2100">
        <v>-0.22328480000000001</v>
      </c>
      <c r="U2100">
        <v>-3.1020509999999999</v>
      </c>
      <c r="V2100">
        <v>-0.15849089999999999</v>
      </c>
      <c r="W2100">
        <v>0.123487</v>
      </c>
      <c r="X2100">
        <v>0.97960789999999998</v>
      </c>
      <c r="Y2100">
        <v>-0.342709599999999</v>
      </c>
      <c r="Z2100">
        <v>6.0557029999999998E-2</v>
      </c>
      <c r="AA2100">
        <v>0.93748759999999998</v>
      </c>
      <c r="AB2100">
        <v>32</v>
      </c>
      <c r="AC2100">
        <v>-0.86759999999998105</v>
      </c>
      <c r="AD2100">
        <v>-1.1198465483360001</v>
      </c>
      <c r="AE2100">
        <v>-15.270799999999999</v>
      </c>
      <c r="AF2100">
        <v>-5.3047307832552599</v>
      </c>
      <c r="AG2100">
        <v>-1.1198465483360001</v>
      </c>
      <c r="AH2100">
        <v>14.259095501994</v>
      </c>
      <c r="AI2100">
        <v>94.209774421280997</v>
      </c>
      <c r="AJ2100">
        <v>110.40642675414399</v>
      </c>
      <c r="AK2100">
        <v>15.255032923911401</v>
      </c>
      <c r="AL2100">
        <v>82.906609821112895</v>
      </c>
      <c r="AM2100">
        <v>99.190256218859403</v>
      </c>
      <c r="AN2100">
        <v>1.0000000211471001</v>
      </c>
    </row>
    <row r="2101" spans="1:40" x14ac:dyDescent="0.25">
      <c r="A2101" t="str">
        <f>"20190312164304456"</f>
        <v>20190312164304456</v>
      </c>
      <c r="B2101" t="str">
        <f>"1552380184446882"</f>
        <v>1552380184446882</v>
      </c>
      <c r="C2101" t="s">
        <v>40</v>
      </c>
      <c r="D2101">
        <v>4.0880729999999996</v>
      </c>
      <c r="E2101">
        <v>0.42491020000000002</v>
      </c>
      <c r="F2101" t="s">
        <v>42</v>
      </c>
      <c r="G2101">
        <v>-494.35930000000002</v>
      </c>
      <c r="H2101" s="1">
        <v>-1.431018E-6</v>
      </c>
      <c r="I2101">
        <v>250.22110000000001</v>
      </c>
      <c r="J2101">
        <v>-493.58969999999999</v>
      </c>
      <c r="K2101">
        <v>1.119856</v>
      </c>
      <c r="L2101">
        <v>265.5874</v>
      </c>
      <c r="M2101">
        <v>-0.39559800000000001</v>
      </c>
      <c r="N2101">
        <v>0</v>
      </c>
      <c r="O2101">
        <v>-0.91829320000000003</v>
      </c>
      <c r="P2101">
        <v>-0.2457828</v>
      </c>
      <c r="Q2101">
        <v>0.11174240000000001</v>
      </c>
      <c r="R2101">
        <v>-0.96286240000000001</v>
      </c>
      <c r="S2101">
        <v>-0.16625980000000001</v>
      </c>
      <c r="T2101">
        <v>-0.22387670000000001</v>
      </c>
      <c r="U2101">
        <v>-3.103119</v>
      </c>
      <c r="V2101">
        <v>-0.15816269999999999</v>
      </c>
      <c r="W2101">
        <v>0.123244699999999</v>
      </c>
      <c r="X2101">
        <v>0.97969139999999999</v>
      </c>
      <c r="Y2101">
        <v>-0.34601769999999998</v>
      </c>
      <c r="Z2101">
        <v>6.0925559999999997E-2</v>
      </c>
      <c r="AA2101">
        <v>0.93624779999999996</v>
      </c>
      <c r="AB2101">
        <v>31</v>
      </c>
      <c r="AC2101">
        <v>-0.76960000000002504</v>
      </c>
      <c r="AD2101">
        <v>-1.1198574310179901</v>
      </c>
      <c r="AE2101">
        <v>-15.366299999999899</v>
      </c>
      <c r="AF2101">
        <v>-5.3444891463234798</v>
      </c>
      <c r="AG2101">
        <v>-1.1198574310179901</v>
      </c>
      <c r="AH2101">
        <v>14.3409736828678</v>
      </c>
      <c r="AI2101">
        <v>94.184981191775094</v>
      </c>
      <c r="AJ2101">
        <v>110.439050296109</v>
      </c>
      <c r="AK2101">
        <v>15.3453957613899</v>
      </c>
      <c r="AL2101">
        <v>82.920599069605302</v>
      </c>
      <c r="AM2101">
        <v>99.170780551313996</v>
      </c>
      <c r="AN2101">
        <v>0.99999996749166897</v>
      </c>
    </row>
    <row r="2102" spans="1:40" x14ac:dyDescent="0.25">
      <c r="A2102" t="str">
        <f>"20190312164304471"</f>
        <v>20190312164304471</v>
      </c>
      <c r="B2102" t="str">
        <f>"1552380184466402"</f>
        <v>1552380184466402</v>
      </c>
      <c r="C2102" t="s">
        <v>40</v>
      </c>
      <c r="D2102">
        <v>4.274686</v>
      </c>
      <c r="E2102">
        <v>0.41528399999999999</v>
      </c>
      <c r="F2102" t="s">
        <v>42</v>
      </c>
      <c r="G2102">
        <v>-494.32940000000002</v>
      </c>
      <c r="H2102" s="1">
        <v>-1.3333619999999901E-6</v>
      </c>
      <c r="I2102">
        <v>250.012</v>
      </c>
      <c r="J2102">
        <v>-493.65989999999999</v>
      </c>
      <c r="K2102">
        <v>1.119866</v>
      </c>
      <c r="L2102">
        <v>265.40769999999998</v>
      </c>
      <c r="M2102">
        <v>-0.3890748</v>
      </c>
      <c r="N2102">
        <v>0</v>
      </c>
      <c r="O2102">
        <v>-0.92107629999999996</v>
      </c>
      <c r="P2102">
        <v>-0.23920939999999999</v>
      </c>
      <c r="Q2102">
        <v>0.11178730000000001</v>
      </c>
      <c r="R2102">
        <v>-0.96451180000000003</v>
      </c>
      <c r="S2102">
        <v>-0.1473999</v>
      </c>
      <c r="T2102">
        <v>-0.22317090000000001</v>
      </c>
      <c r="U2102">
        <v>-3.1039430000000001</v>
      </c>
      <c r="V2102">
        <v>-0.15789719999999999</v>
      </c>
      <c r="W2102">
        <v>0.123293899999999</v>
      </c>
      <c r="X2102">
        <v>0.97972800000000004</v>
      </c>
      <c r="Y2102">
        <v>-0.345051</v>
      </c>
      <c r="Z2102">
        <v>6.1034209999999998E-2</v>
      </c>
      <c r="AA2102">
        <v>0.93659729999999997</v>
      </c>
      <c r="AB2102">
        <v>31</v>
      </c>
      <c r="AC2102">
        <v>-0.66950000000002696</v>
      </c>
      <c r="AD2102">
        <v>-1.119867333362</v>
      </c>
      <c r="AE2102">
        <v>-15.3956999999999</v>
      </c>
      <c r="AF2102">
        <v>-5.34583005177985</v>
      </c>
      <c r="AG2102">
        <v>-1.119867333362</v>
      </c>
      <c r="AH2102">
        <v>14.366956315364099</v>
      </c>
      <c r="AI2102">
        <v>94.178266810279197</v>
      </c>
      <c r="AJ2102">
        <v>110.40983323596301</v>
      </c>
      <c r="AK2102">
        <v>15.370147544979099</v>
      </c>
      <c r="AL2102">
        <v>82.917758205294803</v>
      </c>
      <c r="AM2102">
        <v>99.155310714795903</v>
      </c>
      <c r="AN2102">
        <v>0.99999993276452204</v>
      </c>
    </row>
    <row r="2103" spans="1:40" x14ac:dyDescent="0.25">
      <c r="A2103" t="str">
        <f>"20190312164304489"</f>
        <v>20190312164304489</v>
      </c>
      <c r="B2103" t="str">
        <f>"1552380184486898"</f>
        <v>1552380184486898</v>
      </c>
      <c r="C2103" t="s">
        <v>40</v>
      </c>
      <c r="D2103">
        <v>4.1000699999999997</v>
      </c>
      <c r="E2103">
        <v>0.4160027</v>
      </c>
      <c r="F2103" t="s">
        <v>42</v>
      </c>
      <c r="G2103">
        <v>-494.05689999999998</v>
      </c>
      <c r="H2103" s="1">
        <v>-2.1209439999999998E-6</v>
      </c>
      <c r="I2103">
        <v>242.01689999999999</v>
      </c>
      <c r="J2103">
        <v>-493.75259999999997</v>
      </c>
      <c r="K2103">
        <v>1.1198809999999999</v>
      </c>
      <c r="L2103">
        <v>265.16460000000001</v>
      </c>
      <c r="M2103">
        <v>-0.38021919999999998</v>
      </c>
      <c r="N2103">
        <v>0</v>
      </c>
      <c r="O2103">
        <v>-0.92476689999999995</v>
      </c>
      <c r="P2103">
        <v>-0.23110900000000001</v>
      </c>
      <c r="Q2103">
        <v>0.1116441</v>
      </c>
      <c r="R2103">
        <v>-0.96650119999999895</v>
      </c>
      <c r="S2103">
        <v>-5.2856449999999999E-2</v>
      </c>
      <c r="T2103">
        <v>-0.14911569999999999</v>
      </c>
      <c r="U2103">
        <v>-3.1145939999999999</v>
      </c>
      <c r="V2103">
        <v>-0.1567202</v>
      </c>
      <c r="W2103">
        <v>0.12317839999999999</v>
      </c>
      <c r="X2103">
        <v>0.97993149999999996</v>
      </c>
      <c r="Y2103">
        <v>-0.36451630000000002</v>
      </c>
      <c r="Z2103">
        <v>4.0792950000000001E-2</v>
      </c>
      <c r="AA2103">
        <v>0.93030310000000005</v>
      </c>
      <c r="AB2103">
        <v>31</v>
      </c>
      <c r="AC2103">
        <v>-0.30430000000001101</v>
      </c>
      <c r="AD2103">
        <v>-1.1198831209440001</v>
      </c>
      <c r="AE2103">
        <v>-23.1477</v>
      </c>
      <c r="AF2103">
        <v>-8.5009200794427304</v>
      </c>
      <c r="AG2103">
        <v>-1.1198831209440001</v>
      </c>
      <c r="AH2103">
        <v>21.474251386654199</v>
      </c>
      <c r="AI2103">
        <v>92.776036000544593</v>
      </c>
      <c r="AJ2103">
        <v>111.596914902999</v>
      </c>
      <c r="AK2103">
        <v>23.122786445817098</v>
      </c>
      <c r="AL2103">
        <v>82.924426765431804</v>
      </c>
      <c r="AM2103">
        <v>99.086352328747495</v>
      </c>
      <c r="AN2103">
        <v>0.99999994200342301</v>
      </c>
    </row>
    <row r="2104" spans="1:40" x14ac:dyDescent="0.25">
      <c r="A2104" t="str">
        <f>"20190312164304512"</f>
        <v>20190312164304512</v>
      </c>
      <c r="B2104" t="str">
        <f>"1552380184506418"</f>
        <v>1552380184506418</v>
      </c>
      <c r="C2104" t="s">
        <v>40</v>
      </c>
      <c r="D2104">
        <v>4.308376</v>
      </c>
      <c r="E2104">
        <v>0.41626099999999999</v>
      </c>
      <c r="F2104" t="s">
        <v>42</v>
      </c>
      <c r="G2104">
        <v>-493.99329999999998</v>
      </c>
      <c r="H2104" s="1">
        <v>-1.805927E-6</v>
      </c>
      <c r="I2104">
        <v>241.322</v>
      </c>
      <c r="J2104">
        <v>-493.85829999999999</v>
      </c>
      <c r="K2104">
        <v>1.119899</v>
      </c>
      <c r="L2104">
        <v>264.8784</v>
      </c>
      <c r="M2104">
        <v>-0.36973600000000001</v>
      </c>
      <c r="N2104">
        <v>0</v>
      </c>
      <c r="O2104">
        <v>-0.9290079</v>
      </c>
      <c r="P2104">
        <v>-0.2211468</v>
      </c>
      <c r="Q2104">
        <v>0.11064690000000001</v>
      </c>
      <c r="R2104">
        <v>-0.96894349999999996</v>
      </c>
      <c r="S2104">
        <v>-3.143311E-2</v>
      </c>
      <c r="T2104">
        <v>-0.14623449999999999</v>
      </c>
      <c r="U2104">
        <v>-3.1133730000000002</v>
      </c>
      <c r="V2104">
        <v>-0.15574749999999901</v>
      </c>
      <c r="W2104">
        <v>0.12220449999999999</v>
      </c>
      <c r="X2104">
        <v>0.98020850000000004</v>
      </c>
      <c r="Y2104">
        <v>-0.36037609999999998</v>
      </c>
      <c r="Z2104">
        <v>4.0357400000000002E-2</v>
      </c>
      <c r="AA2104">
        <v>0.93193369999999998</v>
      </c>
      <c r="AB2104">
        <v>31</v>
      </c>
      <c r="AC2104">
        <v>-0.13499999999998999</v>
      </c>
      <c r="AD2104">
        <v>-1.1199008059269999</v>
      </c>
      <c r="AE2104">
        <v>-23.5564</v>
      </c>
      <c r="AF2104">
        <v>-8.5659019054146199</v>
      </c>
      <c r="AG2104">
        <v>-1.1199008059269999</v>
      </c>
      <c r="AH2104">
        <v>21.887157262021098</v>
      </c>
      <c r="AI2104">
        <v>92.727961503462694</v>
      </c>
      <c r="AJ2104">
        <v>111.373714424217</v>
      </c>
      <c r="AK2104">
        <v>23.5303316228383</v>
      </c>
      <c r="AL2104">
        <v>82.980652071234701</v>
      </c>
      <c r="AM2104">
        <v>99.028379167751297</v>
      </c>
      <c r="AN2104">
        <v>0.99999996352437404</v>
      </c>
    </row>
    <row r="2105" spans="1:40" x14ac:dyDescent="0.25">
      <c r="A2105" t="str">
        <f>"20190312164304534"</f>
        <v>20190312164304534</v>
      </c>
      <c r="B2105" t="str">
        <f>"1552380184526572"</f>
        <v>1552380184526572</v>
      </c>
      <c r="C2105" t="s">
        <v>40</v>
      </c>
      <c r="D2105">
        <v>4.0553509999999999</v>
      </c>
      <c r="E2105">
        <v>0.4178095</v>
      </c>
      <c r="F2105" t="s">
        <v>42</v>
      </c>
      <c r="G2105">
        <v>-493.86500000000001</v>
      </c>
      <c r="H2105" s="1">
        <v>-2.4500880000000001E-6</v>
      </c>
      <c r="I2105">
        <v>242.9032</v>
      </c>
      <c r="J2105">
        <v>-493.96280000000002</v>
      </c>
      <c r="K2105">
        <v>1.119907</v>
      </c>
      <c r="L2105">
        <v>264.58510000000001</v>
      </c>
      <c r="M2105">
        <v>-0.35893599999999998</v>
      </c>
      <c r="N2105">
        <v>0</v>
      </c>
      <c r="O2105">
        <v>-0.93323370000000005</v>
      </c>
      <c r="P2105">
        <v>-0.21106069999999999</v>
      </c>
      <c r="Q2105">
        <v>0.1101438</v>
      </c>
      <c r="R2105">
        <v>-0.97124759999999999</v>
      </c>
      <c r="S2105">
        <v>-9.4604490000000003E-4</v>
      </c>
      <c r="T2105">
        <v>-0.15869820000000001</v>
      </c>
      <c r="U2105">
        <v>-3.1140439999999998</v>
      </c>
      <c r="V2105">
        <v>-0.15458150000000001</v>
      </c>
      <c r="W2105">
        <v>0.1217289</v>
      </c>
      <c r="X2105">
        <v>0.98045230000000005</v>
      </c>
      <c r="Y2105">
        <v>-0.35867979999999999</v>
      </c>
      <c r="Z2105">
        <v>4.4116299999999997E-2</v>
      </c>
      <c r="AA2105">
        <v>0.93241759999999996</v>
      </c>
      <c r="AB2105">
        <v>31</v>
      </c>
      <c r="AC2105">
        <v>9.7800000000006507E-2</v>
      </c>
      <c r="AD2105">
        <v>-1.119909450088</v>
      </c>
      <c r="AE2105">
        <v>-21.681899999999999</v>
      </c>
      <c r="AF2105">
        <v>-7.8536765003645002</v>
      </c>
      <c r="AG2105">
        <v>-1.119909450088</v>
      </c>
      <c r="AH2105">
        <v>20.147846683638299</v>
      </c>
      <c r="AI2105">
        <v>92.964647442227701</v>
      </c>
      <c r="AJ2105">
        <v>111.295949844562</v>
      </c>
      <c r="AK2105">
        <v>21.653409840858099</v>
      </c>
      <c r="AL2105">
        <v>83.008107447535906</v>
      </c>
      <c r="AM2105">
        <v>98.959697180603001</v>
      </c>
      <c r="AN2105">
        <v>1.0000000389063699</v>
      </c>
    </row>
    <row r="2106" spans="1:40" x14ac:dyDescent="0.25">
      <c r="A2106" t="str">
        <f>"20190312164304547"</f>
        <v>20190312164304547</v>
      </c>
      <c r="B2106" t="str">
        <f>"1552380184536333"</f>
        <v>1552380184536333</v>
      </c>
      <c r="C2106" t="s">
        <v>40</v>
      </c>
      <c r="D2106">
        <v>4.1445100000000004</v>
      </c>
      <c r="E2106">
        <v>0.41817500000000002</v>
      </c>
      <c r="F2106" t="s">
        <v>42</v>
      </c>
      <c r="G2106">
        <v>-493.83019999999999</v>
      </c>
      <c r="H2106" s="1">
        <v>-2.7081310000000002E-6</v>
      </c>
      <c r="I2106">
        <v>243.52619999999999</v>
      </c>
      <c r="J2106">
        <v>-494.0204</v>
      </c>
      <c r="K2106">
        <v>1.119915</v>
      </c>
      <c r="L2106">
        <v>264.41840000000002</v>
      </c>
      <c r="M2106">
        <v>-0.35277599999999998</v>
      </c>
      <c r="N2106">
        <v>0</v>
      </c>
      <c r="O2106">
        <v>-0.93557970000000001</v>
      </c>
      <c r="P2106">
        <v>-0.2051907</v>
      </c>
      <c r="Q2106">
        <v>0.1098613</v>
      </c>
      <c r="R2106">
        <v>-0.97253670000000003</v>
      </c>
      <c r="S2106">
        <v>1.9592289999999998E-2</v>
      </c>
      <c r="T2106">
        <v>-0.16548840000000001</v>
      </c>
      <c r="U2106">
        <v>-3.111847</v>
      </c>
      <c r="V2106">
        <v>-0.15404619999999999</v>
      </c>
      <c r="W2106">
        <v>0.1214586</v>
      </c>
      <c r="X2106">
        <v>0.98057000000000005</v>
      </c>
      <c r="Y2106">
        <v>-0.3586781</v>
      </c>
      <c r="Z2106">
        <v>4.6215550000000001E-2</v>
      </c>
      <c r="AA2106">
        <v>0.93231649999999999</v>
      </c>
      <c r="AB2106">
        <v>31</v>
      </c>
      <c r="AC2106">
        <v>0.190200000000004</v>
      </c>
      <c r="AD2106">
        <v>-1.1199177081309999</v>
      </c>
      <c r="AE2106">
        <v>-20.892199999999999</v>
      </c>
      <c r="AF2106">
        <v>-7.5274908057808601</v>
      </c>
      <c r="AG2106">
        <v>-1.1199177081309999</v>
      </c>
      <c r="AH2106">
        <v>19.4257411009966</v>
      </c>
      <c r="AI2106">
        <v>93.077051702311607</v>
      </c>
      <c r="AJ2106">
        <v>111.18139086206401</v>
      </c>
      <c r="AK2106">
        <v>20.8632871529644</v>
      </c>
      <c r="AL2106">
        <v>83.023709815339998</v>
      </c>
      <c r="AM2106">
        <v>98.928116915658507</v>
      </c>
      <c r="AN2106">
        <v>0.99999997407419905</v>
      </c>
    </row>
    <row r="2107" spans="1:40" x14ac:dyDescent="0.25">
      <c r="A2107" t="str">
        <f>"20190312164304566"</f>
        <v>20190312164304566</v>
      </c>
      <c r="B2107" t="str">
        <f>"1552380184556828"</f>
        <v>1552380184556828</v>
      </c>
      <c r="C2107" t="s">
        <v>40</v>
      </c>
      <c r="D2107">
        <v>4.153035</v>
      </c>
      <c r="E2107">
        <v>0.41862630000000001</v>
      </c>
      <c r="F2107" t="s">
        <v>42</v>
      </c>
      <c r="G2107">
        <v>-493.78370000000001</v>
      </c>
      <c r="H2107" s="1">
        <v>-2.8404139999999999E-6</v>
      </c>
      <c r="I2107">
        <v>243.86340000000001</v>
      </c>
      <c r="J2107">
        <v>-494.1044</v>
      </c>
      <c r="K2107">
        <v>1.119923</v>
      </c>
      <c r="L2107">
        <v>264.1687</v>
      </c>
      <c r="M2107">
        <v>-0.3435127</v>
      </c>
      <c r="N2107">
        <v>0</v>
      </c>
      <c r="O2107">
        <v>-0.93902039999999998</v>
      </c>
      <c r="P2107">
        <v>-0.19813159999999999</v>
      </c>
      <c r="Q2107">
        <v>0.11004220000000001</v>
      </c>
      <c r="R2107">
        <v>-0.97397909999999999</v>
      </c>
      <c r="S2107">
        <v>3.5827640000000001E-2</v>
      </c>
      <c r="T2107">
        <v>-0.16952590000000001</v>
      </c>
      <c r="U2107">
        <v>-3.1114809999999999</v>
      </c>
      <c r="V2107">
        <v>-0.151463299999999</v>
      </c>
      <c r="W2107">
        <v>0.1217033</v>
      </c>
      <c r="X2107">
        <v>0.98094199999999998</v>
      </c>
      <c r="Y2107">
        <v>-0.3543133</v>
      </c>
      <c r="Z2107">
        <v>4.7668929999999998E-2</v>
      </c>
      <c r="AA2107">
        <v>0.93391100000000005</v>
      </c>
      <c r="AB2107">
        <v>31</v>
      </c>
      <c r="AC2107">
        <v>0.32069999999998799</v>
      </c>
      <c r="AD2107">
        <v>-1.119925840414</v>
      </c>
      <c r="AE2107">
        <v>-20.3052999999999</v>
      </c>
      <c r="AF2107">
        <v>-7.2550800610688801</v>
      </c>
      <c r="AG2107">
        <v>-1.119925840414</v>
      </c>
      <c r="AH2107">
        <v>18.9017141863335</v>
      </c>
      <c r="AI2107">
        <v>93.166100948046505</v>
      </c>
      <c r="AJ2107">
        <v>110.99839310634999</v>
      </c>
      <c r="AK2107">
        <v>20.277209368213999</v>
      </c>
      <c r="AL2107">
        <v>83.009585045158104</v>
      </c>
      <c r="AM2107">
        <v>98.777493047074799</v>
      </c>
      <c r="AN2107">
        <v>1.0000000159208899</v>
      </c>
    </row>
    <row r="2108" spans="1:40" x14ac:dyDescent="0.25">
      <c r="A2108" t="str">
        <f>"20190312164304589"</f>
        <v>20190312164304589</v>
      </c>
      <c r="B2108" t="str">
        <f>"1552380184576349"</f>
        <v>1552380184576349</v>
      </c>
      <c r="C2108" t="s">
        <v>40</v>
      </c>
      <c r="D2108">
        <v>4.1127399999999996</v>
      </c>
      <c r="E2108">
        <v>0.42457460000000002</v>
      </c>
      <c r="F2108" t="s">
        <v>42</v>
      </c>
      <c r="G2108">
        <v>-493.75119999999998</v>
      </c>
      <c r="H2108" s="1">
        <v>-3.081075E-6</v>
      </c>
      <c r="I2108">
        <v>244.44460000000001</v>
      </c>
      <c r="J2108">
        <v>-494.1986</v>
      </c>
      <c r="K2108">
        <v>1.119936</v>
      </c>
      <c r="L2108">
        <v>263.87810000000002</v>
      </c>
      <c r="M2108">
        <v>-0.33268500000000001</v>
      </c>
      <c r="N2108">
        <v>0</v>
      </c>
      <c r="O2108">
        <v>-0.94291069999999999</v>
      </c>
      <c r="P2108">
        <v>-0.1887363</v>
      </c>
      <c r="Q2108">
        <v>0.1102703</v>
      </c>
      <c r="R2108">
        <v>-0.97581709999999999</v>
      </c>
      <c r="S2108">
        <v>5.57251E-2</v>
      </c>
      <c r="T2108">
        <v>-0.1766664</v>
      </c>
      <c r="U2108">
        <v>-3.11145</v>
      </c>
      <c r="V2108">
        <v>-0.14962679999999901</v>
      </c>
      <c r="W2108">
        <v>0.121976399999999</v>
      </c>
      <c r="X2108">
        <v>0.98118989999999995</v>
      </c>
      <c r="Y2108">
        <v>-0.34951710000000002</v>
      </c>
      <c r="Z2108">
        <v>5.0049120000000002E-2</v>
      </c>
      <c r="AA2108">
        <v>0.93559230000000004</v>
      </c>
      <c r="AB2108">
        <v>31</v>
      </c>
      <c r="AC2108">
        <v>0.44740000000001601</v>
      </c>
      <c r="AD2108">
        <v>-1.1199390810750001</v>
      </c>
      <c r="AE2108">
        <v>-19.433499999999999</v>
      </c>
      <c r="AF2108">
        <v>-6.8651311869134704</v>
      </c>
      <c r="AG2108">
        <v>-1.1199390810750001</v>
      </c>
      <c r="AH2108">
        <v>18.1172561602773</v>
      </c>
      <c r="AI2108">
        <v>93.308317032419495</v>
      </c>
      <c r="AJ2108">
        <v>110.753088610552</v>
      </c>
      <c r="AK2108">
        <v>19.406680822231198</v>
      </c>
      <c r="AL2108">
        <v>82.993820148952906</v>
      </c>
      <c r="AM2108">
        <v>98.670535535379102</v>
      </c>
      <c r="AN2108">
        <v>1.0000000206485999</v>
      </c>
    </row>
    <row r="2109" spans="1:40" x14ac:dyDescent="0.25">
      <c r="A2109" t="str">
        <f>"20190312164304612"</f>
        <v>20190312164304612</v>
      </c>
      <c r="B2109" t="str">
        <f>"1552380184606605"</f>
        <v>1552380184606605</v>
      </c>
      <c r="C2109" t="s">
        <v>40</v>
      </c>
      <c r="D2109">
        <v>4.1978339999999896</v>
      </c>
      <c r="E2109">
        <v>0.4264733</v>
      </c>
      <c r="F2109" t="s">
        <v>42</v>
      </c>
      <c r="G2109">
        <v>-493.99959999999999</v>
      </c>
      <c r="H2109" s="1">
        <v>-4.6481919999999996E-6</v>
      </c>
      <c r="I2109">
        <v>248.5609</v>
      </c>
      <c r="J2109">
        <v>-494.29480000000001</v>
      </c>
      <c r="K2109">
        <v>1.1199460000000001</v>
      </c>
      <c r="L2109">
        <v>263.56900000000002</v>
      </c>
      <c r="M2109">
        <v>-0.32111699999999999</v>
      </c>
      <c r="N2109">
        <v>0</v>
      </c>
      <c r="O2109">
        <v>-0.9469128</v>
      </c>
      <c r="P2109">
        <v>-0.1786316</v>
      </c>
      <c r="Q2109">
        <v>0.1102794</v>
      </c>
      <c r="R2109">
        <v>-0.97771609999999998</v>
      </c>
      <c r="S2109">
        <v>4.0374760000000003E-2</v>
      </c>
      <c r="T2109">
        <v>-0.22723470000000001</v>
      </c>
      <c r="U2109">
        <v>-3.1078489999999999</v>
      </c>
      <c r="V2109">
        <v>-0.14776520000000001</v>
      </c>
      <c r="W2109">
        <v>0.1220318</v>
      </c>
      <c r="X2109">
        <v>0.98146509999999998</v>
      </c>
      <c r="Y2109">
        <v>-0.33337630000000001</v>
      </c>
      <c r="Z2109">
        <v>6.5039529999999998E-2</v>
      </c>
      <c r="AA2109">
        <v>0.94054780000000004</v>
      </c>
      <c r="AB2109">
        <v>31</v>
      </c>
      <c r="AC2109">
        <v>0.295200000000022</v>
      </c>
      <c r="AD2109">
        <v>-1.1199506481920001</v>
      </c>
      <c r="AE2109">
        <v>-15.008100000000001</v>
      </c>
      <c r="AF2109">
        <v>-5.0712677763443796</v>
      </c>
      <c r="AG2109">
        <v>-1.1199506481920001</v>
      </c>
      <c r="AH2109">
        <v>14.040109127722801</v>
      </c>
      <c r="AI2109">
        <v>94.290518133505003</v>
      </c>
      <c r="AJ2109">
        <v>109.859648783702</v>
      </c>
      <c r="AK2109">
        <v>14.969860073899801</v>
      </c>
      <c r="AL2109">
        <v>82.990622127429404</v>
      </c>
      <c r="AM2109">
        <v>98.561903702829497</v>
      </c>
      <c r="AN2109">
        <v>1.00000002853014</v>
      </c>
    </row>
    <row r="2110" spans="1:40" x14ac:dyDescent="0.25">
      <c r="A2110" t="str">
        <f>"20190312164304634"</f>
        <v>20190312164304634</v>
      </c>
      <c r="B2110" t="str">
        <f>"1552380184626634"</f>
        <v>1552380184626634</v>
      </c>
      <c r="C2110" t="s">
        <v>40</v>
      </c>
      <c r="D2110">
        <v>4.2093970000000001</v>
      </c>
      <c r="E2110">
        <v>0.42754740000000002</v>
      </c>
      <c r="F2110" t="s">
        <v>42</v>
      </c>
      <c r="G2110">
        <v>-494.0095</v>
      </c>
      <c r="H2110" s="1">
        <v>-4.5272060000000002E-6</v>
      </c>
      <c r="I2110">
        <v>248.2002</v>
      </c>
      <c r="J2110">
        <v>-494.38130000000001</v>
      </c>
      <c r="K2110">
        <v>1.119947</v>
      </c>
      <c r="L2110">
        <v>263.27879999999999</v>
      </c>
      <c r="M2110">
        <v>-0.31021670000000001</v>
      </c>
      <c r="N2110">
        <v>0</v>
      </c>
      <c r="O2110">
        <v>-0.95053960000000004</v>
      </c>
      <c r="P2110">
        <v>-0.16953270000000001</v>
      </c>
      <c r="Q2110">
        <v>0.1096611</v>
      </c>
      <c r="R2110">
        <v>-0.97940430000000001</v>
      </c>
      <c r="S2110">
        <v>5.7617189999999999E-2</v>
      </c>
      <c r="T2110">
        <v>-0.22622729999999999</v>
      </c>
      <c r="U2110">
        <v>-3.1044619999999998</v>
      </c>
      <c r="V2110">
        <v>-0.14561939999999901</v>
      </c>
      <c r="W2110">
        <v>0.12146899999999999</v>
      </c>
      <c r="X2110">
        <v>0.98185549999999999</v>
      </c>
      <c r="Y2110">
        <v>-0.32777630000000002</v>
      </c>
      <c r="Z2110">
        <v>6.5285220000000005E-2</v>
      </c>
      <c r="AA2110">
        <v>0.94249700000000003</v>
      </c>
      <c r="AB2110">
        <v>31</v>
      </c>
      <c r="AC2110">
        <v>0.37180000000000701</v>
      </c>
      <c r="AD2110">
        <v>-1.1199515272059899</v>
      </c>
      <c r="AE2110">
        <v>-15.0785999999999</v>
      </c>
      <c r="AF2110">
        <v>-5.0040592288432597</v>
      </c>
      <c r="AG2110">
        <v>-1.1199515272059899</v>
      </c>
      <c r="AH2110">
        <v>14.141209849970201</v>
      </c>
      <c r="AI2110">
        <v>94.269840605222996</v>
      </c>
      <c r="AJ2110">
        <v>109.487017219934</v>
      </c>
      <c r="AK2110">
        <v>15.0422310914956</v>
      </c>
      <c r="AL2110">
        <v>83.023109502593897</v>
      </c>
      <c r="AM2110">
        <v>98.436066531489601</v>
      </c>
      <c r="AN2110">
        <v>0.99999997524880402</v>
      </c>
    </row>
    <row r="2111" spans="1:40" x14ac:dyDescent="0.25">
      <c r="A2111" t="str">
        <f>"20190312164304656"</f>
        <v>20190312164304656</v>
      </c>
      <c r="B2111" t="str">
        <f>"1552380184646151"</f>
        <v>1552380184646151</v>
      </c>
      <c r="C2111" t="s">
        <v>40</v>
      </c>
      <c r="D2111">
        <v>4.240507</v>
      </c>
      <c r="E2111">
        <v>0.42905339999999997</v>
      </c>
      <c r="F2111" t="s">
        <v>42</v>
      </c>
      <c r="G2111">
        <v>-493.99709999999999</v>
      </c>
      <c r="H2111" s="1">
        <v>-4.5199749999999999E-6</v>
      </c>
      <c r="I2111">
        <v>248.18549999999999</v>
      </c>
      <c r="J2111">
        <v>-494.46499999999997</v>
      </c>
      <c r="K2111">
        <v>1.1199460000000001</v>
      </c>
      <c r="L2111">
        <v>262.9855</v>
      </c>
      <c r="M2111">
        <v>-0.29916890000000002</v>
      </c>
      <c r="N2111">
        <v>0</v>
      </c>
      <c r="O2111">
        <v>-0.95407439999999999</v>
      </c>
      <c r="P2111">
        <v>-0.16060569999999999</v>
      </c>
      <c r="Q2111">
        <v>0.1094579</v>
      </c>
      <c r="R2111">
        <v>-0.98093039999999998</v>
      </c>
      <c r="S2111">
        <v>7.8979489999999999E-2</v>
      </c>
      <c r="T2111">
        <v>-0.2302141</v>
      </c>
      <c r="U2111">
        <v>-3.1025390000000002</v>
      </c>
      <c r="V2111">
        <v>-0.14316899999999999</v>
      </c>
      <c r="W2111">
        <v>0.1213303</v>
      </c>
      <c r="X2111">
        <v>0.98223289999999996</v>
      </c>
      <c r="Y2111">
        <v>-0.32330799999999998</v>
      </c>
      <c r="Z2111">
        <v>6.6913219999999995E-2</v>
      </c>
      <c r="AA2111">
        <v>0.94392509999999996</v>
      </c>
      <c r="AB2111">
        <v>31</v>
      </c>
      <c r="AC2111">
        <v>0.46789999999998599</v>
      </c>
      <c r="AD2111">
        <v>-1.1199505199749999</v>
      </c>
      <c r="AE2111">
        <v>-14.8</v>
      </c>
      <c r="AF2111">
        <v>-4.8469686590113596</v>
      </c>
      <c r="AG2111">
        <v>-1.1199505199749999</v>
      </c>
      <c r="AH2111">
        <v>13.9024677548136</v>
      </c>
      <c r="AI2111">
        <v>94.3499534851465</v>
      </c>
      <c r="AJ2111">
        <v>109.220643510364</v>
      </c>
      <c r="AK2111">
        <v>14.765703641285199</v>
      </c>
      <c r="AL2111">
        <v>83.031115375638194</v>
      </c>
      <c r="AM2111">
        <v>98.292958336172504</v>
      </c>
      <c r="AN2111">
        <v>0.99999993705074797</v>
      </c>
    </row>
    <row r="2112" spans="1:40" x14ac:dyDescent="0.25">
      <c r="A2112" t="str">
        <f>"20190312164304679"</f>
        <v>20190312164304679</v>
      </c>
      <c r="B2112" t="str">
        <f>"1552380184676407"</f>
        <v>1552380184676407</v>
      </c>
      <c r="C2112" t="s">
        <v>40</v>
      </c>
      <c r="D2112">
        <v>4.2604040000000003</v>
      </c>
      <c r="E2112">
        <v>0.43076900000000001</v>
      </c>
      <c r="F2112" t="s">
        <v>42</v>
      </c>
      <c r="G2112">
        <v>-493.9991</v>
      </c>
      <c r="H2112" s="1">
        <v>-4.3880799999999998E-6</v>
      </c>
      <c r="I2112">
        <v>247.79679999999999</v>
      </c>
      <c r="J2112">
        <v>-494.54579999999999</v>
      </c>
      <c r="K2112">
        <v>1.1199490000000001</v>
      </c>
      <c r="L2112">
        <v>262.68959999999998</v>
      </c>
      <c r="M2112">
        <v>-0.28799859999999999</v>
      </c>
      <c r="N2112">
        <v>0</v>
      </c>
      <c r="O2112">
        <v>-0.95750570000000002</v>
      </c>
      <c r="P2112">
        <v>-0.15109249999999999</v>
      </c>
      <c r="Q2112">
        <v>0.1097104</v>
      </c>
      <c r="R2112">
        <v>-0.98241290000000003</v>
      </c>
      <c r="S2112">
        <v>9.5062259999999996E-2</v>
      </c>
      <c r="T2112">
        <v>-0.22853680000000001</v>
      </c>
      <c r="U2112">
        <v>-3.099396</v>
      </c>
      <c r="V2112">
        <v>-0.14120150000000001</v>
      </c>
      <c r="W2112">
        <v>0.1216347</v>
      </c>
      <c r="X2112">
        <v>0.98248009999999997</v>
      </c>
      <c r="Y2112">
        <v>-0.31716299999999997</v>
      </c>
      <c r="Z2112">
        <v>6.6944390000000006E-2</v>
      </c>
      <c r="AA2112">
        <v>0.94600530000000005</v>
      </c>
      <c r="AB2112">
        <v>31</v>
      </c>
      <c r="AC2112">
        <v>0.54669999999998697</v>
      </c>
      <c r="AD2112">
        <v>-1.1199533880799999</v>
      </c>
      <c r="AE2112">
        <v>-14.8927999999999</v>
      </c>
      <c r="AF2112">
        <v>-4.78612066840416</v>
      </c>
      <c r="AG2112">
        <v>-1.1199533880799999</v>
      </c>
      <c r="AH2112">
        <v>14.024974965910801</v>
      </c>
      <c r="AI2112">
        <v>94.321901087344401</v>
      </c>
      <c r="AJ2112">
        <v>108.842565592941</v>
      </c>
      <c r="AK2112">
        <v>14.861398636683701</v>
      </c>
      <c r="AL2112">
        <v>83.013544880734599</v>
      </c>
      <c r="AM2112">
        <v>98.178514949254193</v>
      </c>
      <c r="AN2112">
        <v>1.00000000537117</v>
      </c>
    </row>
    <row r="2113" spans="1:40" x14ac:dyDescent="0.25">
      <c r="A2113" t="str">
        <f>"20190312164304703"</f>
        <v>20190312164304703</v>
      </c>
      <c r="B2113" t="str">
        <f>"1552380184696904"</f>
        <v>1552380184696904</v>
      </c>
      <c r="C2113" t="s">
        <v>40</v>
      </c>
      <c r="D2113">
        <v>4.3502260000000001</v>
      </c>
      <c r="E2113">
        <v>0.43114029999999998</v>
      </c>
      <c r="F2113" t="s">
        <v>42</v>
      </c>
      <c r="G2113">
        <v>-493.9941</v>
      </c>
      <c r="H2113" s="1">
        <v>-4.2425210000000004E-6</v>
      </c>
      <c r="I2113">
        <v>247.3717</v>
      </c>
      <c r="J2113">
        <v>-494.6259</v>
      </c>
      <c r="K2113">
        <v>1.1199490000000001</v>
      </c>
      <c r="L2113">
        <v>262.38150000000002</v>
      </c>
      <c r="M2113">
        <v>-0.27634389999999998</v>
      </c>
      <c r="N2113">
        <v>0</v>
      </c>
      <c r="O2113">
        <v>-0.96093390000000001</v>
      </c>
      <c r="P2113">
        <v>-0.14115349999999999</v>
      </c>
      <c r="Q2113">
        <v>0.110747499999999</v>
      </c>
      <c r="R2113">
        <v>-0.98377389999999998</v>
      </c>
      <c r="S2113">
        <v>0.1115112</v>
      </c>
      <c r="T2113">
        <v>-0.22637019999999999</v>
      </c>
      <c r="U2113">
        <v>-3.09613</v>
      </c>
      <c r="V2113">
        <v>-0.1391819</v>
      </c>
      <c r="W2113">
        <v>0.1227246</v>
      </c>
      <c r="X2113">
        <v>0.98263270000000003</v>
      </c>
      <c r="Y2113">
        <v>-0.31068689999999999</v>
      </c>
      <c r="Z2113">
        <v>6.6829100000000002E-2</v>
      </c>
      <c r="AA2113">
        <v>0.94816009999999995</v>
      </c>
      <c r="AB2113">
        <v>31</v>
      </c>
      <c r="AC2113">
        <v>0.63179999999999803</v>
      </c>
      <c r="AD2113">
        <v>-1.1199532425209999</v>
      </c>
      <c r="AE2113">
        <v>-15.0098</v>
      </c>
      <c r="AF2113">
        <v>-4.7292725844973802</v>
      </c>
      <c r="AG2113">
        <v>-1.1199532425209999</v>
      </c>
      <c r="AH2113">
        <v>14.1717823861069</v>
      </c>
      <c r="AI2113">
        <v>94.287050646498997</v>
      </c>
      <c r="AJ2113">
        <v>108.45439566880199</v>
      </c>
      <c r="AK2113">
        <v>14.981980190985499</v>
      </c>
      <c r="AL2113">
        <v>82.950626617073496</v>
      </c>
      <c r="AM2113">
        <v>98.061851474138393</v>
      </c>
      <c r="AN2113">
        <v>0.99999997592102896</v>
      </c>
    </row>
    <row r="2114" spans="1:40" x14ac:dyDescent="0.25">
      <c r="A2114" t="str">
        <f>"20190312164304724"</f>
        <v>20190312164304724</v>
      </c>
      <c r="B2114" t="str">
        <f>"1552380184716423"</f>
        <v>1552380184716423</v>
      </c>
      <c r="C2114" t="s">
        <v>40</v>
      </c>
      <c r="D2114">
        <v>4.3110819999999999</v>
      </c>
      <c r="E2114">
        <v>0.43801909999999999</v>
      </c>
      <c r="F2114" t="s">
        <v>42</v>
      </c>
      <c r="G2114">
        <v>-493.92700000000002</v>
      </c>
      <c r="H2114" s="1">
        <v>-4.0927569999999999E-6</v>
      </c>
      <c r="I2114">
        <v>246.9666</v>
      </c>
      <c r="J2114">
        <v>-494.69639999999998</v>
      </c>
      <c r="K2114">
        <v>1.1199399999999999</v>
      </c>
      <c r="L2114">
        <v>262.09589999999997</v>
      </c>
      <c r="M2114">
        <v>-0.26552399999999998</v>
      </c>
      <c r="N2114">
        <v>0</v>
      </c>
      <c r="O2114">
        <v>-0.96398010000000001</v>
      </c>
      <c r="P2114">
        <v>-0.13233</v>
      </c>
      <c r="Q2114">
        <v>0.11200350000000001</v>
      </c>
      <c r="R2114">
        <v>-0.98485789999999995</v>
      </c>
      <c r="S2114">
        <v>0.14031979999999999</v>
      </c>
      <c r="T2114">
        <v>-0.22485669999999999</v>
      </c>
      <c r="U2114">
        <v>-3.09491</v>
      </c>
      <c r="V2114">
        <v>-0.13692679999999999</v>
      </c>
      <c r="W2114">
        <v>0.1240391</v>
      </c>
      <c r="X2114">
        <v>0.98278449999999995</v>
      </c>
      <c r="Y2114">
        <v>-0.30882749999999998</v>
      </c>
      <c r="Z2114">
        <v>6.6749810000000007E-2</v>
      </c>
      <c r="AA2114">
        <v>0.94877290000000003</v>
      </c>
      <c r="AB2114">
        <v>31</v>
      </c>
      <c r="AC2114">
        <v>0.76940000000001796</v>
      </c>
      <c r="AD2114">
        <v>-1.1199440927569999</v>
      </c>
      <c r="AE2114">
        <v>-15.129299999999899</v>
      </c>
      <c r="AF2114">
        <v>-4.7335766512873203</v>
      </c>
      <c r="AG2114">
        <v>-1.1199440927569999</v>
      </c>
      <c r="AH2114">
        <v>14.3035944579259</v>
      </c>
      <c r="AI2114">
        <v>94.2511701123032</v>
      </c>
      <c r="AJ2114">
        <v>108.311247029382</v>
      </c>
      <c r="AK2114">
        <v>15.1080719187235</v>
      </c>
      <c r="AL2114">
        <v>82.874731657723501</v>
      </c>
      <c r="AM2114">
        <v>97.931695674093604</v>
      </c>
      <c r="AN2114">
        <v>1.0000000101636499</v>
      </c>
    </row>
    <row r="2115" spans="1:40" x14ac:dyDescent="0.25">
      <c r="A2115" t="str">
        <f>"20190312164304745"</f>
        <v>20190312164304745</v>
      </c>
      <c r="B2115" t="str">
        <f>"1552380184735943"</f>
        <v>1552380184735943</v>
      </c>
      <c r="C2115" t="s">
        <v>40</v>
      </c>
      <c r="D2115">
        <v>4.4756010000000002</v>
      </c>
      <c r="E2115">
        <v>0.43936009999999998</v>
      </c>
      <c r="F2115" t="s">
        <v>42</v>
      </c>
      <c r="G2115">
        <v>-494.24160000000001</v>
      </c>
      <c r="H2115" s="1">
        <v>-1.310024E-6</v>
      </c>
      <c r="I2115">
        <v>250.0121</v>
      </c>
      <c r="J2115">
        <v>-494.7629</v>
      </c>
      <c r="K2115">
        <v>1.1199269999999999</v>
      </c>
      <c r="L2115">
        <v>261.81299999999999</v>
      </c>
      <c r="M2115">
        <v>-0.25479570000000001</v>
      </c>
      <c r="N2115">
        <v>0</v>
      </c>
      <c r="O2115">
        <v>-0.96687100000000004</v>
      </c>
      <c r="P2115">
        <v>-0.123708399999999</v>
      </c>
      <c r="Q2115">
        <v>0.11215219999999999</v>
      </c>
      <c r="R2115">
        <v>-0.98596050000000002</v>
      </c>
      <c r="S2115">
        <v>0.11645510000000001</v>
      </c>
      <c r="T2115">
        <v>-0.28678789999999998</v>
      </c>
      <c r="U2115">
        <v>-3.09436</v>
      </c>
      <c r="V2115">
        <v>-0.1345952</v>
      </c>
      <c r="W2115">
        <v>0.12425020000000001</v>
      </c>
      <c r="X2115">
        <v>0.98307990000000001</v>
      </c>
      <c r="Y2115">
        <v>-0.29084549999999998</v>
      </c>
      <c r="Z2115">
        <v>8.5688669999999995E-2</v>
      </c>
      <c r="AA2115">
        <v>0.95292509999999997</v>
      </c>
      <c r="AB2115">
        <v>31</v>
      </c>
      <c r="AC2115">
        <v>0.52129999999999599</v>
      </c>
      <c r="AD2115">
        <v>-1.1199283100240001</v>
      </c>
      <c r="AE2115">
        <v>-11.800899999999899</v>
      </c>
      <c r="AF2115">
        <v>-3.4799880922627899</v>
      </c>
      <c r="AG2115">
        <v>-1.1199283100240001</v>
      </c>
      <c r="AH2115">
        <v>11.1779971435673</v>
      </c>
      <c r="AI2115">
        <v>95.464384080989305</v>
      </c>
      <c r="AJ2115">
        <v>107.2926624137</v>
      </c>
      <c r="AK2115">
        <v>11.7606197406209</v>
      </c>
      <c r="AL2115">
        <v>82.862542400542097</v>
      </c>
      <c r="AM2115">
        <v>97.795995643000893</v>
      </c>
      <c r="AN2115">
        <v>1.0000000349235401</v>
      </c>
    </row>
    <row r="2116" spans="1:40" x14ac:dyDescent="0.25">
      <c r="A2116" t="str">
        <f>"20190312164304768"</f>
        <v>20190312164304768</v>
      </c>
      <c r="B2116" t="str">
        <f>"1552380184756439"</f>
        <v>1552380184756439</v>
      </c>
      <c r="C2116" t="s">
        <v>40</v>
      </c>
      <c r="D2116">
        <v>4.411575</v>
      </c>
      <c r="E2116">
        <v>0.43967240000000002</v>
      </c>
      <c r="F2116" t="s">
        <v>42</v>
      </c>
      <c r="G2116">
        <v>-494.20580000000001</v>
      </c>
      <c r="H2116" s="1">
        <v>-4.8070049999999901E-6</v>
      </c>
      <c r="I2116">
        <v>248.92009999999999</v>
      </c>
      <c r="J2116">
        <v>-494.82920000000001</v>
      </c>
      <c r="K2116">
        <v>1.1199140000000001</v>
      </c>
      <c r="L2116">
        <v>261.51560000000001</v>
      </c>
      <c r="M2116">
        <v>-0.2435089</v>
      </c>
      <c r="N2116">
        <v>0</v>
      </c>
      <c r="O2116">
        <v>-0.96977519999999995</v>
      </c>
      <c r="P2116">
        <v>-0.11447640000000001</v>
      </c>
      <c r="Q2116">
        <v>0.11179210000000001</v>
      </c>
      <c r="R2116">
        <v>-0.98711599999999999</v>
      </c>
      <c r="S2116">
        <v>0.13351440000000001</v>
      </c>
      <c r="T2116">
        <v>-0.26841009999999998</v>
      </c>
      <c r="U2116">
        <v>-3.0899960000000002</v>
      </c>
      <c r="V2116">
        <v>-0.13232820000000001</v>
      </c>
      <c r="W2116">
        <v>0.12395109999999999</v>
      </c>
      <c r="X2116">
        <v>0.98342529999999995</v>
      </c>
      <c r="Y2116">
        <v>-0.28501490000000002</v>
      </c>
      <c r="Z2116">
        <v>8.0794980000000002E-2</v>
      </c>
      <c r="AA2116">
        <v>0.95511190000000001</v>
      </c>
      <c r="AB2116">
        <v>31</v>
      </c>
      <c r="AC2116">
        <v>0.62340000000000295</v>
      </c>
      <c r="AD2116">
        <v>-1.1199188070049999</v>
      </c>
      <c r="AE2116">
        <v>-12.595499999999999</v>
      </c>
      <c r="AF2116">
        <v>-3.6433807133159402</v>
      </c>
      <c r="AG2116">
        <v>-1.1199188070049999</v>
      </c>
      <c r="AH2116">
        <v>11.9700440014797</v>
      </c>
      <c r="AI2116">
        <v>95.114678262043199</v>
      </c>
      <c r="AJ2116">
        <v>106.928931750408</v>
      </c>
      <c r="AK2116">
        <v>12.562260726231001</v>
      </c>
      <c r="AL2116">
        <v>82.879812641629997</v>
      </c>
      <c r="AM2116">
        <v>97.663601098354803</v>
      </c>
      <c r="AN2116">
        <v>0.99999997419326903</v>
      </c>
    </row>
    <row r="2117" spans="1:40" x14ac:dyDescent="0.25">
      <c r="A2117" t="str">
        <f>"20190312164304790"</f>
        <v>20190312164304790</v>
      </c>
      <c r="B2117" t="str">
        <f>"1552380184786695"</f>
        <v>1552380184786695</v>
      </c>
      <c r="C2117" t="s">
        <v>40</v>
      </c>
      <c r="D2117">
        <v>4.650188</v>
      </c>
      <c r="E2117">
        <v>0.4403205</v>
      </c>
      <c r="F2117" t="s">
        <v>42</v>
      </c>
      <c r="G2117">
        <v>-494.09539999999998</v>
      </c>
      <c r="H2117" s="1">
        <v>-4.2487300000000001E-6</v>
      </c>
      <c r="I2117">
        <v>247.33709999999999</v>
      </c>
      <c r="J2117">
        <v>-494.8913</v>
      </c>
      <c r="K2117">
        <v>1.119901</v>
      </c>
      <c r="L2117">
        <v>261.22109999999998</v>
      </c>
      <c r="M2117">
        <v>-0.23231859999999999</v>
      </c>
      <c r="N2117">
        <v>0</v>
      </c>
      <c r="O2117">
        <v>-0.97251670000000001</v>
      </c>
      <c r="P2117">
        <v>-0.1052289</v>
      </c>
      <c r="Q2117">
        <v>0.11117050000000001</v>
      </c>
      <c r="R2117">
        <v>-0.98821460000000005</v>
      </c>
      <c r="S2117">
        <v>0.159668</v>
      </c>
      <c r="T2117">
        <v>-0.2436942</v>
      </c>
      <c r="U2117">
        <v>-3.0852360000000001</v>
      </c>
      <c r="V2117">
        <v>-0.1301969</v>
      </c>
      <c r="W2117">
        <v>0.1233876</v>
      </c>
      <c r="X2117">
        <v>0.98378060000000001</v>
      </c>
      <c r="Y2117">
        <v>-0.28214470000000003</v>
      </c>
      <c r="Z2117">
        <v>7.3856930000000001E-2</v>
      </c>
      <c r="AA2117">
        <v>0.95652470000000001</v>
      </c>
      <c r="AB2117">
        <v>31</v>
      </c>
      <c r="AC2117">
        <v>0.79590000000001704</v>
      </c>
      <c r="AD2117">
        <v>-1.1199052487299901</v>
      </c>
      <c r="AE2117">
        <v>-13.883999999999901</v>
      </c>
      <c r="AF2117">
        <v>-3.9742433052745998</v>
      </c>
      <c r="AG2117">
        <v>-1.1199052487299901</v>
      </c>
      <c r="AH2117">
        <v>13.233295821059199</v>
      </c>
      <c r="AI2117">
        <v>94.633785004724302</v>
      </c>
      <c r="AJ2117">
        <v>106.716142580812</v>
      </c>
      <c r="AK2117">
        <v>13.8625003481809</v>
      </c>
      <c r="AL2117">
        <v>82.912348766732094</v>
      </c>
      <c r="AM2117">
        <v>97.538909629163896</v>
      </c>
      <c r="AN2117">
        <v>1.00000000076986</v>
      </c>
    </row>
    <row r="2118" spans="1:40" x14ac:dyDescent="0.25">
      <c r="A2118" t="str">
        <f>"20190312164304813"</f>
        <v>20190312164304813</v>
      </c>
      <c r="B2118" t="str">
        <f>"1552380184806218"</f>
        <v>1552380184806218</v>
      </c>
      <c r="C2118" t="s">
        <v>40</v>
      </c>
      <c r="D2118">
        <v>4.4007430000000003</v>
      </c>
      <c r="E2118">
        <v>0.44062380000000001</v>
      </c>
      <c r="F2118" t="s">
        <v>42</v>
      </c>
      <c r="G2118">
        <v>-494.00740000000002</v>
      </c>
      <c r="H2118" s="1">
        <v>-3.885265E-6</v>
      </c>
      <c r="I2118">
        <v>246.315</v>
      </c>
      <c r="J2118">
        <v>-494.95240000000001</v>
      </c>
      <c r="K2118">
        <v>1.1198680000000001</v>
      </c>
      <c r="L2118">
        <v>260.91359999999997</v>
      </c>
      <c r="M2118">
        <v>-0.2206332</v>
      </c>
      <c r="N2118">
        <v>0</v>
      </c>
      <c r="O2118">
        <v>-0.97523419999999905</v>
      </c>
      <c r="P2118">
        <v>-9.5835870000000004E-2</v>
      </c>
      <c r="Q2118">
        <v>0.1110413</v>
      </c>
      <c r="R2118">
        <v>-0.98918430000000002</v>
      </c>
      <c r="S2118">
        <v>0.1827087</v>
      </c>
      <c r="T2118">
        <v>-0.23149729999999999</v>
      </c>
      <c r="U2118">
        <v>-3.0812680000000001</v>
      </c>
      <c r="V2118">
        <v>-0.1277286</v>
      </c>
      <c r="W2118">
        <v>0.12332419999999999</v>
      </c>
      <c r="X2118">
        <v>0.98411210000000005</v>
      </c>
      <c r="Y2118">
        <v>-0.2778426</v>
      </c>
      <c r="Z2118">
        <v>7.0608560000000001E-2</v>
      </c>
      <c r="AA2118">
        <v>0.95802810000000005</v>
      </c>
      <c r="AB2118">
        <v>31</v>
      </c>
      <c r="AC2118">
        <v>0.94499999999999296</v>
      </c>
      <c r="AD2118">
        <v>-1.119871885265</v>
      </c>
      <c r="AE2118">
        <v>-14.5985999999999</v>
      </c>
      <c r="AF2118">
        <v>-4.1188910467128004</v>
      </c>
      <c r="AG2118">
        <v>-1.119871885265</v>
      </c>
      <c r="AH2118">
        <v>13.9484957524437</v>
      </c>
      <c r="AI2118">
        <v>94.403045834127397</v>
      </c>
      <c r="AJ2118">
        <v>106.45149370353001</v>
      </c>
      <c r="AK2118">
        <v>14.5869774199468</v>
      </c>
      <c r="AL2118">
        <v>82.916009551831806</v>
      </c>
      <c r="AM2118">
        <v>97.395119198452704</v>
      </c>
      <c r="AN2118">
        <v>1.0000000394649999</v>
      </c>
    </row>
    <row r="2119" spans="1:40" x14ac:dyDescent="0.25">
      <c r="A2119" t="str">
        <f>"20190312164304834"</f>
        <v>20190312164304834</v>
      </c>
      <c r="B2119" t="str">
        <f>"1552380184826714"</f>
        <v>1552380184826714</v>
      </c>
      <c r="C2119" t="s">
        <v>40</v>
      </c>
      <c r="D2119">
        <v>4.411861</v>
      </c>
      <c r="E2119">
        <v>0.44097599999999998</v>
      </c>
      <c r="F2119" t="s">
        <v>42</v>
      </c>
      <c r="G2119">
        <v>-493.93110000000001</v>
      </c>
      <c r="H2119" s="1">
        <v>-3.7184330000000001E-6</v>
      </c>
      <c r="I2119">
        <v>245.86449999999999</v>
      </c>
      <c r="J2119">
        <v>-495.0059</v>
      </c>
      <c r="K2119">
        <v>1.1198429999999999</v>
      </c>
      <c r="L2119">
        <v>260.62709999999998</v>
      </c>
      <c r="M2119">
        <v>-0.20974660000000001</v>
      </c>
      <c r="N2119">
        <v>0</v>
      </c>
      <c r="O2119">
        <v>-0.97763339999999999</v>
      </c>
      <c r="P2119">
        <v>-8.7468270000000001E-2</v>
      </c>
      <c r="Q2119">
        <v>0.11125450000000001</v>
      </c>
      <c r="R2119">
        <v>-0.98993540000000002</v>
      </c>
      <c r="S2119">
        <v>0.2089539</v>
      </c>
      <c r="T2119">
        <v>-0.2291068</v>
      </c>
      <c r="U2119">
        <v>-3.0787960000000001</v>
      </c>
      <c r="V2119">
        <v>-0.12506529999999999</v>
      </c>
      <c r="W2119">
        <v>0.1236076</v>
      </c>
      <c r="X2119">
        <v>0.98441849999999997</v>
      </c>
      <c r="Y2119">
        <v>-0.27531450000000002</v>
      </c>
      <c r="Z2119">
        <v>7.0213890000000001E-2</v>
      </c>
      <c r="AA2119">
        <v>0.95878669999999999</v>
      </c>
      <c r="AB2119">
        <v>31</v>
      </c>
      <c r="AC2119">
        <v>1.07479999999998</v>
      </c>
      <c r="AD2119">
        <v>-1.1198467184330001</v>
      </c>
      <c r="AE2119">
        <v>-14.7625999999999</v>
      </c>
      <c r="AF2119">
        <v>-4.1240559591370998</v>
      </c>
      <c r="AG2119">
        <v>-1.1198467184330001</v>
      </c>
      <c r="AH2119">
        <v>14.1278085411391</v>
      </c>
      <c r="AI2119">
        <v>94.351240872899993</v>
      </c>
      <c r="AJ2119">
        <v>106.273080324529</v>
      </c>
      <c r="AK2119">
        <v>14.7599752168479</v>
      </c>
      <c r="AL2119">
        <v>82.899646277712094</v>
      </c>
      <c r="AM2119">
        <v>97.240345922882099</v>
      </c>
      <c r="AN2119">
        <v>0.99999997559204901</v>
      </c>
    </row>
    <row r="2120" spans="1:40" x14ac:dyDescent="0.25">
      <c r="A2120" t="str">
        <f>"20190312164304859"</f>
        <v>20190312164304859</v>
      </c>
      <c r="B2120" t="str">
        <f>"1552380184855991"</f>
        <v>1552380184855991</v>
      </c>
      <c r="C2120" t="s">
        <v>40</v>
      </c>
      <c r="D2120">
        <v>4.6144089999999904</v>
      </c>
      <c r="E2120">
        <v>0.45261079999999998</v>
      </c>
      <c r="F2120" t="s">
        <v>42</v>
      </c>
      <c r="G2120">
        <v>-493.86579999999998</v>
      </c>
      <c r="H2120" s="1">
        <v>-3.5864690000000001E-6</v>
      </c>
      <c r="I2120">
        <v>245.55160000000001</v>
      </c>
      <c r="J2120">
        <v>-495.06220000000002</v>
      </c>
      <c r="K2120">
        <v>1.1198060000000001</v>
      </c>
      <c r="L2120">
        <v>260.30529999999999</v>
      </c>
      <c r="M2120">
        <v>-0.1975296</v>
      </c>
      <c r="N2120">
        <v>0</v>
      </c>
      <c r="O2120">
        <v>-0.98017509999999997</v>
      </c>
      <c r="P2120">
        <v>-7.7874269999999995E-2</v>
      </c>
      <c r="Q2120">
        <v>0.1112447</v>
      </c>
      <c r="R2120">
        <v>-0.99073730000000004</v>
      </c>
      <c r="S2120">
        <v>0.2326965</v>
      </c>
      <c r="T2120">
        <v>-0.22854859999999999</v>
      </c>
      <c r="U2120">
        <v>-3.0767519999999999</v>
      </c>
      <c r="V2120">
        <v>-0.1222999</v>
      </c>
      <c r="W2120">
        <v>0.1236724</v>
      </c>
      <c r="X2120">
        <v>0.98475780000000002</v>
      </c>
      <c r="Y2120">
        <v>-0.27071859999999998</v>
      </c>
      <c r="Z2120">
        <v>7.0401149999999996E-2</v>
      </c>
      <c r="AA2120">
        <v>0.96008079999999996</v>
      </c>
      <c r="AB2120">
        <v>31</v>
      </c>
      <c r="AC2120">
        <v>1.1964000000000301</v>
      </c>
      <c r="AD2120">
        <v>-1.1198095864690001</v>
      </c>
      <c r="AE2120">
        <v>-14.753699999999901</v>
      </c>
      <c r="AF2120">
        <v>-4.0642017880222499</v>
      </c>
      <c r="AG2120">
        <v>-1.1198095864690001</v>
      </c>
      <c r="AH2120">
        <v>14.1456254935043</v>
      </c>
      <c r="AI2120">
        <v>94.350960630710006</v>
      </c>
      <c r="AJ2120">
        <v>106.029970507583</v>
      </c>
      <c r="AK2120">
        <v>14.760434623891999</v>
      </c>
      <c r="AL2120">
        <v>82.895905165822299</v>
      </c>
      <c r="AM2120">
        <v>97.079478302843597</v>
      </c>
      <c r="AN2120">
        <v>1.0000000263613</v>
      </c>
    </row>
    <row r="2121" spans="1:40" x14ac:dyDescent="0.25">
      <c r="A2121" t="str">
        <f>"20190312164304880"</f>
        <v>20190312164304880</v>
      </c>
      <c r="B2121" t="str">
        <f>"1552380184876488"</f>
        <v>1552380184876488</v>
      </c>
      <c r="C2121" t="s">
        <v>40</v>
      </c>
      <c r="D2121">
        <v>4.6161070000000004</v>
      </c>
      <c r="E2121">
        <v>0.45393440000000002</v>
      </c>
      <c r="F2121" t="s">
        <v>42</v>
      </c>
      <c r="G2121">
        <v>-494.42469999999997</v>
      </c>
      <c r="H2121" s="1">
        <v>-4.8958690000000002E-6</v>
      </c>
      <c r="I2121">
        <v>249.06710000000001</v>
      </c>
      <c r="J2121">
        <v>-495.10719999999998</v>
      </c>
      <c r="K2121">
        <v>1.1197589999999999</v>
      </c>
      <c r="L2121">
        <v>260.02870000000001</v>
      </c>
      <c r="M2121">
        <v>-0.18706739999999999</v>
      </c>
      <c r="N2121">
        <v>0</v>
      </c>
      <c r="O2121">
        <v>-0.98222560000000003</v>
      </c>
      <c r="P2121">
        <v>-7.0017410000000002E-2</v>
      </c>
      <c r="Q2121">
        <v>0.1112887</v>
      </c>
      <c r="R2121">
        <v>-0.99131849999999999</v>
      </c>
      <c r="S2121">
        <v>0.1744995</v>
      </c>
      <c r="T2121">
        <v>-0.30652439999999997</v>
      </c>
      <c r="U2121">
        <v>-3.0762019999999999</v>
      </c>
      <c r="V2121">
        <v>-0.11958829999999999</v>
      </c>
      <c r="W2121">
        <v>0.12379030000000001</v>
      </c>
      <c r="X2121">
        <v>0.98507599999999995</v>
      </c>
      <c r="Y2121">
        <v>-0.24214959999999999</v>
      </c>
      <c r="Z2121">
        <v>9.4973940000000007E-2</v>
      </c>
      <c r="AA2121">
        <v>0.96557939999999998</v>
      </c>
      <c r="AB2121">
        <v>31</v>
      </c>
      <c r="AC2121">
        <v>0.68250000000000399</v>
      </c>
      <c r="AD2121">
        <v>-1.1197638958689999</v>
      </c>
      <c r="AE2121">
        <v>-10.961600000000001</v>
      </c>
      <c r="AF2121">
        <v>-2.6932553280532399</v>
      </c>
      <c r="AG2121">
        <v>-1.1197638958689999</v>
      </c>
      <c r="AH2121">
        <v>10.530891755812</v>
      </c>
      <c r="AI2121">
        <v>95.881619093313603</v>
      </c>
      <c r="AJ2121">
        <v>104.345789436912</v>
      </c>
      <c r="AK2121">
        <v>10.9273590870442</v>
      </c>
      <c r="AL2121">
        <v>82.889097943832894</v>
      </c>
      <c r="AM2121">
        <v>96.921839892695203</v>
      </c>
      <c r="AN2121">
        <v>1.00000006282348</v>
      </c>
    </row>
    <row r="2122" spans="1:40" x14ac:dyDescent="0.25">
      <c r="A2122" t="str">
        <f>"20190312164304904"</f>
        <v>20190312164304904</v>
      </c>
      <c r="B2122" t="str">
        <f>"1552380184896007"</f>
        <v>1552380184896007</v>
      </c>
      <c r="C2122" t="s">
        <v>40</v>
      </c>
      <c r="D2122">
        <v>4.4866210000000004</v>
      </c>
      <c r="E2122">
        <v>0.45508159999999998</v>
      </c>
      <c r="F2122" t="s">
        <v>42</v>
      </c>
      <c r="G2122">
        <v>-494.4212</v>
      </c>
      <c r="H2122" s="1">
        <v>-4.8122990000000003E-6</v>
      </c>
      <c r="I2122">
        <v>248.82339999999999</v>
      </c>
      <c r="J2122">
        <v>-495.15469999999999</v>
      </c>
      <c r="K2122">
        <v>1.119685</v>
      </c>
      <c r="L2122">
        <v>259.71390000000002</v>
      </c>
      <c r="M2122">
        <v>-0.1752272</v>
      </c>
      <c r="N2122">
        <v>0</v>
      </c>
      <c r="O2122">
        <v>-0.98440700000000003</v>
      </c>
      <c r="P2122">
        <v>-6.0830719999999998E-2</v>
      </c>
      <c r="Q2122">
        <v>0.1111446</v>
      </c>
      <c r="R2122">
        <v>-0.99194070000000001</v>
      </c>
      <c r="S2122">
        <v>0.18820190000000001</v>
      </c>
      <c r="T2122">
        <v>-0.30719639999999998</v>
      </c>
      <c r="U2122">
        <v>-3.0740660000000002</v>
      </c>
      <c r="V2122">
        <v>-0.1168254</v>
      </c>
      <c r="W2122">
        <v>0.123725</v>
      </c>
      <c r="X2122">
        <v>0.98541559999999995</v>
      </c>
      <c r="Y2122">
        <v>-0.2347862</v>
      </c>
      <c r="Z2122">
        <v>9.5648010000000006E-2</v>
      </c>
      <c r="AA2122">
        <v>0.96732980000000002</v>
      </c>
      <c r="AB2122">
        <v>31</v>
      </c>
      <c r="AC2122">
        <v>0.73349999999999205</v>
      </c>
      <c r="AD2122">
        <v>-1.119689812299</v>
      </c>
      <c r="AE2122">
        <v>-10.890499999999999</v>
      </c>
      <c r="AF2122">
        <v>-2.6032936851647999</v>
      </c>
      <c r="AG2122">
        <v>-1.119689812299</v>
      </c>
      <c r="AH2122">
        <v>10.4831051499379</v>
      </c>
      <c r="AI2122">
        <v>95.918170712395295</v>
      </c>
      <c r="AJ2122">
        <v>103.94627715476101</v>
      </c>
      <c r="AK2122">
        <v>10.859389341562499</v>
      </c>
      <c r="AL2122">
        <v>82.892867731484699</v>
      </c>
      <c r="AM2122">
        <v>96.761111066290994</v>
      </c>
      <c r="AN2122">
        <v>0.99999997721675904</v>
      </c>
    </row>
    <row r="2123" spans="1:40" x14ac:dyDescent="0.25">
      <c r="A2123" t="str">
        <f>"20190312164304925"</f>
        <v>20190312164304925</v>
      </c>
      <c r="B2123" t="str">
        <f>"1552380184916503"</f>
        <v>1552380184916503</v>
      </c>
      <c r="C2123" t="s">
        <v>40</v>
      </c>
      <c r="D2123">
        <v>4.663011</v>
      </c>
      <c r="E2123">
        <v>0.45551520000000001</v>
      </c>
      <c r="F2123" t="s">
        <v>42</v>
      </c>
      <c r="G2123">
        <v>-494.39920000000001</v>
      </c>
      <c r="H2123" s="1">
        <v>-4.7023709999999999E-6</v>
      </c>
      <c r="I2123">
        <v>248.5119</v>
      </c>
      <c r="J2123">
        <v>-495.19490000000002</v>
      </c>
      <c r="K2123">
        <v>1.119594</v>
      </c>
      <c r="L2123">
        <v>259.4255</v>
      </c>
      <c r="M2123">
        <v>-0.1644629</v>
      </c>
      <c r="N2123">
        <v>0</v>
      </c>
      <c r="O2123">
        <v>-0.98626259999999999</v>
      </c>
      <c r="P2123">
        <v>-5.3263030000000003E-2</v>
      </c>
      <c r="Q2123">
        <v>0.1102123</v>
      </c>
      <c r="R2123">
        <v>-0.99248000000000003</v>
      </c>
      <c r="S2123">
        <v>0.20715330000000001</v>
      </c>
      <c r="T2123">
        <v>-0.30701009999999901</v>
      </c>
      <c r="U2123">
        <v>-3.0715029999999999</v>
      </c>
      <c r="V2123">
        <v>-0.1135405</v>
      </c>
      <c r="W2123">
        <v>0.1228846</v>
      </c>
      <c r="X2123">
        <v>0.98590460000000002</v>
      </c>
      <c r="Y2123">
        <v>-0.230158</v>
      </c>
      <c r="Z2123">
        <v>9.5982020000000001E-2</v>
      </c>
      <c r="AA2123">
        <v>0.9684083</v>
      </c>
      <c r="AB2123">
        <v>31</v>
      </c>
      <c r="AC2123">
        <v>0.79570000000000995</v>
      </c>
      <c r="AD2123">
        <v>-1.1195987023709999</v>
      </c>
      <c r="AE2123">
        <v>-10.913600000000001</v>
      </c>
      <c r="AF2123">
        <v>-2.5532299422254798</v>
      </c>
      <c r="AG2123">
        <v>-1.1195987023709999</v>
      </c>
      <c r="AH2123">
        <v>10.523908133974601</v>
      </c>
      <c r="AI2123">
        <v>95.902667152521005</v>
      </c>
      <c r="AJ2123">
        <v>103.63717321911101</v>
      </c>
      <c r="AK2123">
        <v>10.8869245797224</v>
      </c>
      <c r="AL2123">
        <v>82.941389368955498</v>
      </c>
      <c r="AM2123">
        <v>96.569457622698906</v>
      </c>
      <c r="AN2123">
        <v>0.99999997517928396</v>
      </c>
    </row>
    <row r="2124" spans="1:40" x14ac:dyDescent="0.25">
      <c r="A2124" t="str">
        <f>"20190312164304946"</f>
        <v>20190312164304946</v>
      </c>
      <c r="B2124" t="str">
        <f>"1552380184936026"</f>
        <v>1552380184936026</v>
      </c>
      <c r="C2124" t="s">
        <v>40</v>
      </c>
      <c r="D2124">
        <v>4.4778739999999999</v>
      </c>
      <c r="E2124">
        <v>0.45613160000000003</v>
      </c>
      <c r="F2124" t="s">
        <v>42</v>
      </c>
      <c r="G2124">
        <v>-494.3741</v>
      </c>
      <c r="H2124" s="1">
        <v>-4.6238910000000003E-6</v>
      </c>
      <c r="I2124">
        <v>248.29429999999999</v>
      </c>
      <c r="J2124">
        <v>-495.23140000000001</v>
      </c>
      <c r="K2124">
        <v>1.119502</v>
      </c>
      <c r="L2124">
        <v>259.14100000000002</v>
      </c>
      <c r="M2124">
        <v>-0.15391840000000001</v>
      </c>
      <c r="N2124">
        <v>0</v>
      </c>
      <c r="O2124">
        <v>-0.98796329999999999</v>
      </c>
      <c r="P2124">
        <v>-4.5954109999999999E-2</v>
      </c>
      <c r="Q2124">
        <v>0.1081492</v>
      </c>
      <c r="R2124">
        <v>-0.99307210000000001</v>
      </c>
      <c r="S2124">
        <v>0.2263184</v>
      </c>
      <c r="T2124">
        <v>-0.30870310000000001</v>
      </c>
      <c r="U2124">
        <v>-3.069153</v>
      </c>
      <c r="V2124">
        <v>-0.11022369999999999</v>
      </c>
      <c r="W2124">
        <v>0.1209138</v>
      </c>
      <c r="X2124">
        <v>0.98652450000000003</v>
      </c>
      <c r="Y2124">
        <v>-0.2258233</v>
      </c>
      <c r="Z2124">
        <v>9.6863690000000002E-2</v>
      </c>
      <c r="AA2124">
        <v>0.9693406</v>
      </c>
      <c r="AB2124">
        <v>30</v>
      </c>
      <c r="AC2124">
        <v>0.85730000000000905</v>
      </c>
      <c r="AD2124">
        <v>-1.1195066238910001</v>
      </c>
      <c r="AE2124">
        <v>-10.846699999999901</v>
      </c>
      <c r="AF2124">
        <v>-2.4904217975632399</v>
      </c>
      <c r="AG2124">
        <v>-1.1195066238910001</v>
      </c>
      <c r="AH2124">
        <v>10.4745559764952</v>
      </c>
      <c r="AI2124">
        <v>95.936288330960096</v>
      </c>
      <c r="AJ2124">
        <v>103.37427442313501</v>
      </c>
      <c r="AK2124">
        <v>10.824593235565301</v>
      </c>
      <c r="AL2124">
        <v>83.055156506087002</v>
      </c>
      <c r="AM2124">
        <v>96.375177504916607</v>
      </c>
      <c r="AN2124">
        <v>1.0000000000861899</v>
      </c>
    </row>
    <row r="2125" spans="1:40" x14ac:dyDescent="0.25">
      <c r="A2125" t="str">
        <f>"20190312164304970"</f>
        <v>20190312164304970</v>
      </c>
      <c r="B2125" t="str">
        <f>"1552380184966279"</f>
        <v>1552380184966279</v>
      </c>
      <c r="C2125" t="s">
        <v>40</v>
      </c>
      <c r="D2125">
        <v>4.5130610000000004</v>
      </c>
      <c r="E2125">
        <v>0.45728020000000003</v>
      </c>
      <c r="F2125" t="s">
        <v>42</v>
      </c>
      <c r="G2125">
        <v>-494.35559999999998</v>
      </c>
      <c r="H2125" s="1">
        <v>-4.5717520000000004E-6</v>
      </c>
      <c r="I2125">
        <v>248.1507</v>
      </c>
      <c r="J2125">
        <v>-495.2681</v>
      </c>
      <c r="K2125">
        <v>1.119381</v>
      </c>
      <c r="L2125">
        <v>258.82870000000003</v>
      </c>
      <c r="M2125">
        <v>-0.1424608</v>
      </c>
      <c r="N2125">
        <v>0</v>
      </c>
      <c r="O2125">
        <v>-0.98968080000000003</v>
      </c>
      <c r="P2125">
        <v>-3.7261509999999998E-2</v>
      </c>
      <c r="Q2125">
        <v>0.1065181</v>
      </c>
      <c r="R2125">
        <v>-0.99361259999999996</v>
      </c>
      <c r="S2125">
        <v>0.24435419999999999</v>
      </c>
      <c r="T2125">
        <v>-0.31234050000000002</v>
      </c>
      <c r="U2125">
        <v>-3.0662539999999998</v>
      </c>
      <c r="V2125">
        <v>-0.1073778</v>
      </c>
      <c r="W2125">
        <v>0.1193644</v>
      </c>
      <c r="X2125">
        <v>0.98702690000000004</v>
      </c>
      <c r="Y2125">
        <v>-0.22025810000000001</v>
      </c>
      <c r="Z2125">
        <v>9.8388210000000004E-2</v>
      </c>
      <c r="AA2125">
        <v>0.97046699999999997</v>
      </c>
      <c r="AB2125">
        <v>30</v>
      </c>
      <c r="AC2125">
        <v>0.91250000000002196</v>
      </c>
      <c r="AD2125">
        <v>-1.119385571752</v>
      </c>
      <c r="AE2125">
        <v>-10.678000000000001</v>
      </c>
      <c r="AF2125">
        <v>-2.3984010374548501</v>
      </c>
      <c r="AG2125">
        <v>-1.119385571752</v>
      </c>
      <c r="AH2125">
        <v>10.3263927413568</v>
      </c>
      <c r="AI2125">
        <v>96.027518883463998</v>
      </c>
      <c r="AJ2125">
        <v>103.07564977919</v>
      </c>
      <c r="AK2125">
        <v>10.6601941184698</v>
      </c>
      <c r="AL2125">
        <v>83.144578110376301</v>
      </c>
      <c r="AM2125">
        <v>96.208741323703293</v>
      </c>
      <c r="AN2125">
        <v>0.99999997662190399</v>
      </c>
    </row>
    <row r="2126" spans="1:40" x14ac:dyDescent="0.25">
      <c r="A2126" t="str">
        <f>"20190312164304992"</f>
        <v>20190312164304992</v>
      </c>
      <c r="B2126" t="str">
        <f>"1552380184986775"</f>
        <v>1552380184986775</v>
      </c>
      <c r="C2126" t="s">
        <v>40</v>
      </c>
      <c r="D2126">
        <v>4.5231830000000004</v>
      </c>
      <c r="E2126">
        <v>0.45775270000000001</v>
      </c>
      <c r="F2126" t="s">
        <v>42</v>
      </c>
      <c r="G2126">
        <v>-494.34410000000003</v>
      </c>
      <c r="H2126" s="1">
        <v>-4.5301019999999997E-6</v>
      </c>
      <c r="I2126">
        <v>248.0343</v>
      </c>
      <c r="J2126">
        <v>-495.30020000000002</v>
      </c>
      <c r="K2126">
        <v>1.1192580000000001</v>
      </c>
      <c r="L2126">
        <v>258.52719999999999</v>
      </c>
      <c r="M2126">
        <v>-0.13154549999999901</v>
      </c>
      <c r="N2126">
        <v>0</v>
      </c>
      <c r="O2126">
        <v>-0.99119089999999999</v>
      </c>
      <c r="P2126">
        <v>-3.0050469999999999E-2</v>
      </c>
      <c r="Q2126">
        <v>0.1055437</v>
      </c>
      <c r="R2126">
        <v>-0.99396059999999997</v>
      </c>
      <c r="S2126">
        <v>0.26220700000000002</v>
      </c>
      <c r="T2126">
        <v>-0.31765480000000001</v>
      </c>
      <c r="U2126">
        <v>-3.0631710000000001</v>
      </c>
      <c r="V2126">
        <v>-0.10361190000000001</v>
      </c>
      <c r="W2126">
        <v>0.1184914</v>
      </c>
      <c r="X2126">
        <v>0.98753449999999998</v>
      </c>
      <c r="Y2126">
        <v>-0.2151853</v>
      </c>
      <c r="Z2126">
        <v>0.1004118</v>
      </c>
      <c r="AA2126">
        <v>0.97139730000000002</v>
      </c>
      <c r="AB2126">
        <v>30</v>
      </c>
      <c r="AC2126">
        <v>0.95609999999999196</v>
      </c>
      <c r="AD2126">
        <v>-1.1192625301019901</v>
      </c>
      <c r="AE2126">
        <v>-10.492899999999899</v>
      </c>
      <c r="AF2126">
        <v>-2.3022666825745</v>
      </c>
      <c r="AG2126">
        <v>-1.1192625301019901</v>
      </c>
      <c r="AH2126">
        <v>10.1612464388819</v>
      </c>
      <c r="AI2126">
        <v>96.131610836685098</v>
      </c>
      <c r="AJ2126">
        <v>102.766151920485</v>
      </c>
      <c r="AK2126">
        <v>10.4787456158012</v>
      </c>
      <c r="AL2126">
        <v>83.194955107978004</v>
      </c>
      <c r="AM2126">
        <v>95.989546622612806</v>
      </c>
      <c r="AN2126">
        <v>1.0000000131929001</v>
      </c>
    </row>
    <row r="2127" spans="1:40" x14ac:dyDescent="0.25">
      <c r="A2127" t="str">
        <f>"20190312164305015"</f>
        <v>20190312164305015</v>
      </c>
      <c r="B2127" t="str">
        <f>"1552380185006299"</f>
        <v>1552380185006299</v>
      </c>
      <c r="C2127" t="s">
        <v>40</v>
      </c>
      <c r="D2127">
        <v>4.6550989999999999</v>
      </c>
      <c r="E2127">
        <v>0.45805570000000001</v>
      </c>
      <c r="F2127" t="s">
        <v>42</v>
      </c>
      <c r="G2127">
        <v>-494.32709999999997</v>
      </c>
      <c r="H2127" s="1">
        <v>-4.4964190000000002E-6</v>
      </c>
      <c r="I2127">
        <v>247.9442</v>
      </c>
      <c r="J2127">
        <v>-495.32810000000001</v>
      </c>
      <c r="K2127">
        <v>1.1191150000000001</v>
      </c>
      <c r="L2127">
        <v>258.23759999999999</v>
      </c>
      <c r="M2127">
        <v>-0.1212278</v>
      </c>
      <c r="N2127">
        <v>0</v>
      </c>
      <c r="O2127">
        <v>-0.992506</v>
      </c>
      <c r="P2127">
        <v>-2.3516490000000001E-2</v>
      </c>
      <c r="Q2127">
        <v>0.1054948</v>
      </c>
      <c r="R2127">
        <v>-0.99414210000000003</v>
      </c>
      <c r="S2127">
        <v>0.28149410000000002</v>
      </c>
      <c r="T2127">
        <v>-0.32375029999999999</v>
      </c>
      <c r="U2127">
        <v>-3.0611419999999998</v>
      </c>
      <c r="V2127">
        <v>-9.9782159999999995E-2</v>
      </c>
      <c r="W2127">
        <v>0.118543</v>
      </c>
      <c r="X2127">
        <v>0.98792259999999998</v>
      </c>
      <c r="Y2127">
        <v>-0.2111336</v>
      </c>
      <c r="Z2127">
        <v>0.1026097</v>
      </c>
      <c r="AA2127">
        <v>0.97205649999999999</v>
      </c>
      <c r="AB2127">
        <v>30</v>
      </c>
      <c r="AC2127">
        <v>1.0010000000000301</v>
      </c>
      <c r="AD2127">
        <v>-1.1191194964190001</v>
      </c>
      <c r="AE2127">
        <v>-10.293399999999901</v>
      </c>
      <c r="AF2127">
        <v>-2.2156640272253298</v>
      </c>
      <c r="AG2127">
        <v>-1.1191194964190001</v>
      </c>
      <c r="AH2127">
        <v>9.9792474881042992</v>
      </c>
      <c r="AI2127">
        <v>96.2477858317894</v>
      </c>
      <c r="AJ2127">
        <v>102.518157233453</v>
      </c>
      <c r="AK2127">
        <v>10.2833348655794</v>
      </c>
      <c r="AL2127">
        <v>83.191977522257901</v>
      </c>
      <c r="AM2127">
        <v>95.767429521062894</v>
      </c>
      <c r="AN2127">
        <v>0.99999999294701203</v>
      </c>
    </row>
    <row r="2128" spans="1:40" x14ac:dyDescent="0.25">
      <c r="A2128" t="str">
        <f>"20190312164305036"</f>
        <v>20190312164305036</v>
      </c>
      <c r="B2128" t="str">
        <f>"1552380185025816"</f>
        <v>1552380185025816</v>
      </c>
      <c r="C2128" t="s">
        <v>40</v>
      </c>
      <c r="D2128">
        <v>4.5397740000000004</v>
      </c>
      <c r="E2128">
        <v>0.46522249999999998</v>
      </c>
      <c r="F2128" t="s">
        <v>42</v>
      </c>
      <c r="G2128">
        <v>-494.29430000000002</v>
      </c>
      <c r="H2128" s="1">
        <v>-4.3969670000000001E-6</v>
      </c>
      <c r="I2128">
        <v>247.66900000000001</v>
      </c>
      <c r="J2128">
        <v>-495.35270000000003</v>
      </c>
      <c r="K2128">
        <v>1.1189530000000001</v>
      </c>
      <c r="L2128">
        <v>257.95249999999999</v>
      </c>
      <c r="M2128">
        <v>-0.1112614</v>
      </c>
      <c r="N2128">
        <v>0</v>
      </c>
      <c r="O2128">
        <v>-0.99367309999999998</v>
      </c>
      <c r="P2128">
        <v>-1.7090629999999999E-2</v>
      </c>
      <c r="Q2128">
        <v>0.10474899999999999</v>
      </c>
      <c r="R2128">
        <v>-0.99435200000000001</v>
      </c>
      <c r="S2128">
        <v>0.29922490000000002</v>
      </c>
      <c r="T2128">
        <v>-0.32393919999999998</v>
      </c>
      <c r="U2128">
        <v>-3.059158</v>
      </c>
      <c r="V2128">
        <v>-9.6191879999999994E-2</v>
      </c>
      <c r="W2128">
        <v>0.1178915</v>
      </c>
      <c r="X2128">
        <v>0.98835660000000003</v>
      </c>
      <c r="Y2128">
        <v>-0.2069626</v>
      </c>
      <c r="Z2128">
        <v>0.1029375</v>
      </c>
      <c r="AA2128">
        <v>0.97291850000000002</v>
      </c>
      <c r="AB2128">
        <v>30</v>
      </c>
      <c r="AC2128">
        <v>1.0584</v>
      </c>
      <c r="AD2128">
        <v>-1.1189573969669999</v>
      </c>
      <c r="AE2128">
        <v>-10.283499999999901</v>
      </c>
      <c r="AF2128">
        <v>-2.1706867590198402</v>
      </c>
      <c r="AG2128">
        <v>-1.1189573969669999</v>
      </c>
      <c r="AH2128">
        <v>9.9848835516925991</v>
      </c>
      <c r="AI2128">
        <v>96.249403276709799</v>
      </c>
      <c r="AJ2128">
        <v>102.265101937658</v>
      </c>
      <c r="AK2128">
        <v>10.2791948226927</v>
      </c>
      <c r="AL2128">
        <v>83.229569552410297</v>
      </c>
      <c r="AM2128">
        <v>95.558808812238397</v>
      </c>
      <c r="AN2128">
        <v>1.00000002615687</v>
      </c>
    </row>
    <row r="2129" spans="1:40" x14ac:dyDescent="0.25">
      <c r="A2129" t="str">
        <f>"20190312164305059"</f>
        <v>20190312164305059</v>
      </c>
      <c r="B2129" t="str">
        <f>"1552380185046312"</f>
        <v>1552380185046312</v>
      </c>
      <c r="C2129" t="s">
        <v>40</v>
      </c>
      <c r="D2129">
        <v>4.7586149999999998</v>
      </c>
      <c r="E2129">
        <v>0.46674480000000002</v>
      </c>
      <c r="F2129" t="s">
        <v>42</v>
      </c>
      <c r="G2129">
        <v>-494.4307</v>
      </c>
      <c r="H2129" s="1">
        <v>-4.2625409999999999E-6</v>
      </c>
      <c r="I2129">
        <v>247.203</v>
      </c>
      <c r="J2129">
        <v>-495.37540000000001</v>
      </c>
      <c r="K2129">
        <v>1.1187480000000001</v>
      </c>
      <c r="L2129">
        <v>257.65789999999998</v>
      </c>
      <c r="M2129">
        <v>-0.1012028</v>
      </c>
      <c r="N2129">
        <v>0</v>
      </c>
      <c r="O2129">
        <v>-0.99474839999999998</v>
      </c>
      <c r="P2129">
        <v>-1.085272E-2</v>
      </c>
      <c r="Q2129">
        <v>0.10372339999999999</v>
      </c>
      <c r="R2129">
        <v>-0.99454690000000001</v>
      </c>
      <c r="S2129">
        <v>0.26205440000000002</v>
      </c>
      <c r="T2129">
        <v>-0.31801069999999998</v>
      </c>
      <c r="U2129">
        <v>-3.0550380000000001</v>
      </c>
      <c r="V2129">
        <v>-9.2317910000000003E-2</v>
      </c>
      <c r="W2129">
        <v>0.1169666</v>
      </c>
      <c r="X2129">
        <v>0.98883580000000004</v>
      </c>
      <c r="Y2129">
        <v>-0.18541969999999999</v>
      </c>
      <c r="Z2129">
        <v>0.1016537</v>
      </c>
      <c r="AA2129">
        <v>0.97738740000000002</v>
      </c>
      <c r="AB2129">
        <v>30</v>
      </c>
      <c r="AC2129">
        <v>0.94470000000001098</v>
      </c>
      <c r="AD2129">
        <v>-1.11875226254099</v>
      </c>
      <c r="AE2129">
        <v>-10.454899999999901</v>
      </c>
      <c r="AF2129">
        <v>-1.9755987897712901</v>
      </c>
      <c r="AG2129">
        <v>-1.11875226254099</v>
      </c>
      <c r="AH2129">
        <v>10.189857614544399</v>
      </c>
      <c r="AI2129">
        <v>96.151802455524006</v>
      </c>
      <c r="AJ2129">
        <v>100.972316919619</v>
      </c>
      <c r="AK2129">
        <v>10.4397219985867</v>
      </c>
      <c r="AL2129">
        <v>83.282931512579196</v>
      </c>
      <c r="AM2129">
        <v>95.333685042573407</v>
      </c>
      <c r="AN2129">
        <v>1.00000001069198</v>
      </c>
    </row>
    <row r="2130" spans="1:40" x14ac:dyDescent="0.25">
      <c r="A2130" t="str">
        <f>"20190312164305082"</f>
        <v>20190312164305082</v>
      </c>
      <c r="B2130" t="str">
        <f>"1552380185076567"</f>
        <v>1552380185076567</v>
      </c>
      <c r="C2130" t="s">
        <v>40</v>
      </c>
      <c r="D2130">
        <v>4.7034000000000002</v>
      </c>
      <c r="E2130">
        <v>0.46650629999999998</v>
      </c>
      <c r="F2130" t="s">
        <v>42</v>
      </c>
      <c r="G2130">
        <v>-494.44189999999998</v>
      </c>
      <c r="H2130" s="1">
        <v>-4.2152750000000001E-6</v>
      </c>
      <c r="I2130">
        <v>247.0582</v>
      </c>
      <c r="J2130">
        <v>-495.3963</v>
      </c>
      <c r="K2130">
        <v>1.118512</v>
      </c>
      <c r="L2130">
        <v>257.34719999999999</v>
      </c>
      <c r="M2130">
        <v>-9.0891639999999996E-2</v>
      </c>
      <c r="N2130">
        <v>0</v>
      </c>
      <c r="O2130">
        <v>-0.99574419999999997</v>
      </c>
      <c r="P2130">
        <v>-2.5220440000000002E-3</v>
      </c>
      <c r="Q2130">
        <v>0.10326539999999999</v>
      </c>
      <c r="R2130">
        <v>-0.99465110000000001</v>
      </c>
      <c r="S2130">
        <v>0.26885989999999999</v>
      </c>
      <c r="T2130">
        <v>-0.32222640000000002</v>
      </c>
      <c r="U2130">
        <v>-3.0529630000000001</v>
      </c>
      <c r="V2130">
        <v>-9.0277960000000004E-2</v>
      </c>
      <c r="W2130">
        <v>0.1165679</v>
      </c>
      <c r="X2130">
        <v>0.98907120000000004</v>
      </c>
      <c r="Y2130">
        <v>-0.17743919999999999</v>
      </c>
      <c r="Z2130">
        <v>0.1032793</v>
      </c>
      <c r="AA2130">
        <v>0.9786975</v>
      </c>
      <c r="AB2130">
        <v>30</v>
      </c>
      <c r="AC2130">
        <v>0.95440000000002101</v>
      </c>
      <c r="AD2130">
        <v>-1.1185162152749999</v>
      </c>
      <c r="AE2130">
        <v>-10.2889999999999</v>
      </c>
      <c r="AF2130">
        <v>-1.8639019049719101</v>
      </c>
      <c r="AG2130">
        <v>-1.1185162152749999</v>
      </c>
      <c r="AH2130">
        <v>10.041982505974101</v>
      </c>
      <c r="AI2130">
        <v>96.249757514409495</v>
      </c>
      <c r="AJ2130">
        <v>100.515060859755</v>
      </c>
      <c r="AK2130">
        <v>10.274561863431501</v>
      </c>
      <c r="AL2130">
        <v>83.305932692666701</v>
      </c>
      <c r="AM2130">
        <v>95.215249356247796</v>
      </c>
      <c r="AN2130">
        <v>1.0000000120207999</v>
      </c>
    </row>
    <row r="2131" spans="1:40" x14ac:dyDescent="0.25">
      <c r="A2131" t="str">
        <f>"20190312164305105"</f>
        <v>20190312164305105</v>
      </c>
      <c r="B2131" t="str">
        <f>"1552380185096088"</f>
        <v>1552380185096088</v>
      </c>
      <c r="C2131" t="s">
        <v>40</v>
      </c>
      <c r="D2131">
        <v>4.6120679999999998</v>
      </c>
      <c r="E2131">
        <v>0.45191209999999998</v>
      </c>
      <c r="F2131" t="s">
        <v>42</v>
      </c>
      <c r="G2131">
        <v>-494.3605</v>
      </c>
      <c r="H2131" s="1">
        <v>-4.0854650000000002E-6</v>
      </c>
      <c r="I2131">
        <v>246.7192</v>
      </c>
      <c r="J2131">
        <v>-495.41410000000002</v>
      </c>
      <c r="K2131">
        <v>1.1182529999999999</v>
      </c>
      <c r="L2131">
        <v>257.03710000000001</v>
      </c>
      <c r="M2131">
        <v>-8.0959470000000006E-2</v>
      </c>
      <c r="N2131">
        <v>0</v>
      </c>
      <c r="O2131">
        <v>-0.99660130000000002</v>
      </c>
      <c r="P2131">
        <v>3.117276E-3</v>
      </c>
      <c r="Q2131">
        <v>0.1031663</v>
      </c>
      <c r="R2131">
        <v>-0.99465930000000002</v>
      </c>
      <c r="S2131">
        <v>0.29727170000000003</v>
      </c>
      <c r="T2131">
        <v>-0.32101069999999998</v>
      </c>
      <c r="U2131">
        <v>-3.050217</v>
      </c>
      <c r="V2131">
        <v>-8.5939020000000005E-2</v>
      </c>
      <c r="W2131">
        <v>0.116574499999999</v>
      </c>
      <c r="X2131">
        <v>0.98945680000000003</v>
      </c>
      <c r="Y2131">
        <v>-0.1767463</v>
      </c>
      <c r="Z2131">
        <v>0.103082199999999</v>
      </c>
      <c r="AA2131">
        <v>0.97884360000000004</v>
      </c>
      <c r="AB2131">
        <v>30</v>
      </c>
      <c r="AC2131">
        <v>1.0536000000000101</v>
      </c>
      <c r="AD2131">
        <v>-1.118257085465</v>
      </c>
      <c r="AE2131">
        <v>-10.3179</v>
      </c>
      <c r="AF2131">
        <v>-1.8639010467864401</v>
      </c>
      <c r="AG2131">
        <v>-1.118257085465</v>
      </c>
      <c r="AH2131">
        <v>10.0815154399086</v>
      </c>
      <c r="AI2131">
        <v>96.224817143246099</v>
      </c>
      <c r="AJ2131">
        <v>100.474737492155</v>
      </c>
      <c r="AK2131">
        <v>10.3131750487675</v>
      </c>
      <c r="AL2131">
        <v>83.305551488194993</v>
      </c>
      <c r="AM2131">
        <v>94.963953174298794</v>
      </c>
      <c r="AN2131">
        <v>0.99999994413752302</v>
      </c>
    </row>
    <row r="2132" spans="1:40" x14ac:dyDescent="0.25">
      <c r="A2132" t="str">
        <f>"20190312164305128"</f>
        <v>20190312164305128</v>
      </c>
      <c r="B2132" t="str">
        <f>"1552380185116583"</f>
        <v>1552380185116583</v>
      </c>
      <c r="C2132" t="s">
        <v>40</v>
      </c>
      <c r="D2132">
        <v>4.707503</v>
      </c>
      <c r="E2132">
        <v>0.45565859999999903</v>
      </c>
      <c r="F2132" t="s">
        <v>42</v>
      </c>
      <c r="G2132">
        <v>-493.42939999999999</v>
      </c>
      <c r="H2132" s="1">
        <v>-2.3415049999999999E-6</v>
      </c>
      <c r="I2132">
        <v>242.92019999999999</v>
      </c>
      <c r="J2132">
        <v>-495.42899999999997</v>
      </c>
      <c r="K2132">
        <v>1.1180110000000001</v>
      </c>
      <c r="L2132">
        <v>256.73180000000002</v>
      </c>
      <c r="M2132">
        <v>-7.1475759999999999E-2</v>
      </c>
      <c r="N2132">
        <v>0</v>
      </c>
      <c r="O2132">
        <v>-0.99732699999999996</v>
      </c>
      <c r="P2132">
        <v>7.8447829999999993E-3</v>
      </c>
      <c r="Q2132">
        <v>0.1044218</v>
      </c>
      <c r="R2132">
        <v>-0.99450229999999995</v>
      </c>
      <c r="S2132">
        <v>0.42736819999999998</v>
      </c>
      <c r="T2132">
        <v>-0.2407928</v>
      </c>
      <c r="U2132">
        <v>-3.0397799999999999</v>
      </c>
      <c r="V2132">
        <v>-8.1162940000000003E-2</v>
      </c>
      <c r="W2132">
        <v>0.1179341</v>
      </c>
      <c r="X2132">
        <v>0.989699</v>
      </c>
      <c r="Y2132">
        <v>-0.209233</v>
      </c>
      <c r="Z2132">
        <v>7.741046E-2</v>
      </c>
      <c r="AA2132">
        <v>0.97479700000000002</v>
      </c>
      <c r="AB2132">
        <v>30</v>
      </c>
      <c r="AC2132">
        <v>1.99960000000004</v>
      </c>
      <c r="AD2132">
        <v>-1.118013341505</v>
      </c>
      <c r="AE2132">
        <v>-13.8116</v>
      </c>
      <c r="AF2132">
        <v>-2.9627777137545501</v>
      </c>
      <c r="AG2132">
        <v>-1.118013341505</v>
      </c>
      <c r="AH2132">
        <v>13.546386877634101</v>
      </c>
      <c r="AI2132">
        <v>94.609577819488393</v>
      </c>
      <c r="AJ2132">
        <v>102.337091579605</v>
      </c>
      <c r="AK2132">
        <v>13.911599586368199</v>
      </c>
      <c r="AL2132">
        <v>83.227111377762895</v>
      </c>
      <c r="AM2132">
        <v>94.688204153966197</v>
      </c>
      <c r="AN2132">
        <v>0.99999999268662598</v>
      </c>
    </row>
    <row r="2133" spans="1:40" x14ac:dyDescent="0.25">
      <c r="A2133" t="str">
        <f>"20190312164305148"</f>
        <v>20190312164305148</v>
      </c>
      <c r="B2133" t="str">
        <f>"1552380185146839"</f>
        <v>1552380185146839</v>
      </c>
      <c r="C2133" t="s">
        <v>40</v>
      </c>
      <c r="D2133">
        <v>4.517506</v>
      </c>
      <c r="E2133">
        <v>0.45532329999999999</v>
      </c>
      <c r="F2133" t="s">
        <v>42</v>
      </c>
      <c r="G2133">
        <v>-493.65839999999997</v>
      </c>
      <c r="H2133" s="1">
        <v>-2.754742E-6</v>
      </c>
      <c r="I2133">
        <v>243.7414</v>
      </c>
      <c r="J2133">
        <v>-495.44029999999998</v>
      </c>
      <c r="K2133">
        <v>1.117796</v>
      </c>
      <c r="L2133">
        <v>256.4547</v>
      </c>
      <c r="M2133">
        <v>-6.3147519999999999E-2</v>
      </c>
      <c r="N2133">
        <v>0</v>
      </c>
      <c r="O2133">
        <v>-0.99788960000000004</v>
      </c>
      <c r="P2133">
        <v>1.099323E-2</v>
      </c>
      <c r="Q2133">
        <v>0.1058785</v>
      </c>
      <c r="R2133">
        <v>-0.99431849999999999</v>
      </c>
      <c r="S2133">
        <v>0.41445920000000003</v>
      </c>
      <c r="T2133">
        <v>-0.26170729999999998</v>
      </c>
      <c r="U2133">
        <v>-3.0408330000000001</v>
      </c>
      <c r="V2133">
        <v>-7.597479E-2</v>
      </c>
      <c r="W2133">
        <v>0.11949700000000001</v>
      </c>
      <c r="X2133">
        <v>0.98992340000000001</v>
      </c>
      <c r="Y2133">
        <v>-0.1968724</v>
      </c>
      <c r="Z2133">
        <v>8.4264110000000003E-2</v>
      </c>
      <c r="AA2133">
        <v>0.97680129999999998</v>
      </c>
      <c r="AB2133">
        <v>30</v>
      </c>
      <c r="AC2133">
        <v>1.7819</v>
      </c>
      <c r="AD2133">
        <v>-1.1177987547419901</v>
      </c>
      <c r="AE2133">
        <v>-12.7133</v>
      </c>
      <c r="AF2133">
        <v>-2.5618253027431601</v>
      </c>
      <c r="AG2133">
        <v>-1.1177987547419901</v>
      </c>
      <c r="AH2133">
        <v>12.480761275352201</v>
      </c>
      <c r="AI2133">
        <v>95.013871014330505</v>
      </c>
      <c r="AJ2133">
        <v>101.59952839723699</v>
      </c>
      <c r="AK2133">
        <v>12.789911061074999</v>
      </c>
      <c r="AL2133">
        <v>83.136926217304705</v>
      </c>
      <c r="AM2133">
        <v>94.388741627210806</v>
      </c>
      <c r="AN2133">
        <v>1.0000000197960499</v>
      </c>
    </row>
    <row r="2134" spans="1:40" x14ac:dyDescent="0.25">
      <c r="A2134" t="str">
        <f>"20190312164305172"</f>
        <v>20190312164305172</v>
      </c>
      <c r="B2134" t="str">
        <f>"1552380185166360"</f>
        <v>1552380185166360</v>
      </c>
      <c r="C2134" t="s">
        <v>40</v>
      </c>
      <c r="D2134">
        <v>4.5315339999999997</v>
      </c>
      <c r="E2134">
        <v>0.4558104</v>
      </c>
      <c r="F2134" t="s">
        <v>42</v>
      </c>
      <c r="G2134">
        <v>-493.48329999999999</v>
      </c>
      <c r="H2134" s="1">
        <v>-2.1831599999999999E-6</v>
      </c>
      <c r="I2134">
        <v>242.51769999999999</v>
      </c>
      <c r="J2134">
        <v>-495.45030000000003</v>
      </c>
      <c r="K2134">
        <v>1.1175360000000001</v>
      </c>
      <c r="L2134">
        <v>256.14870000000002</v>
      </c>
      <c r="M2134">
        <v>-5.4303780000000003E-2</v>
      </c>
      <c r="N2134">
        <v>0</v>
      </c>
      <c r="O2134">
        <v>-0.99841049999999998</v>
      </c>
      <c r="P2134">
        <v>1.49201E-2</v>
      </c>
      <c r="Q2134">
        <v>0.1069349</v>
      </c>
      <c r="R2134">
        <v>-0.99415419999999999</v>
      </c>
      <c r="S2134">
        <v>0.42663570000000001</v>
      </c>
      <c r="T2134">
        <v>-0.24368629999999999</v>
      </c>
      <c r="U2134">
        <v>-3.0383450000000001</v>
      </c>
      <c r="V2134">
        <v>-7.1037749999999997E-2</v>
      </c>
      <c r="W2134">
        <v>0.1206502</v>
      </c>
      <c r="X2134">
        <v>0.99015010000000003</v>
      </c>
      <c r="Y2134">
        <v>-0.19219720000000001</v>
      </c>
      <c r="Z2134">
        <v>7.8640860000000007E-2</v>
      </c>
      <c r="AA2134">
        <v>0.97820030000000002</v>
      </c>
      <c r="AB2134">
        <v>30</v>
      </c>
      <c r="AC2134">
        <v>1.96700000000004</v>
      </c>
      <c r="AD2134">
        <v>-1.11753818316</v>
      </c>
      <c r="AE2134">
        <v>-13.631</v>
      </c>
      <c r="AF2134">
        <v>-2.68670557593807</v>
      </c>
      <c r="AG2134">
        <v>-1.11753818316</v>
      </c>
      <c r="AH2134">
        <v>13.4157196936226</v>
      </c>
      <c r="AI2134">
        <v>94.669486924379896</v>
      </c>
      <c r="AJ2134">
        <v>101.324557707784</v>
      </c>
      <c r="AK2134">
        <v>13.7276659829867</v>
      </c>
      <c r="AL2134">
        <v>83.070371243180503</v>
      </c>
      <c r="AM2134">
        <v>94.103621612199802</v>
      </c>
      <c r="AN2134">
        <v>1.0000000266075499</v>
      </c>
    </row>
    <row r="2135" spans="1:40" x14ac:dyDescent="0.25">
      <c r="A2135" t="str">
        <f>"20190312164305193"</f>
        <v>20190312164305193</v>
      </c>
      <c r="B2135" t="str">
        <f>"1552380185186855"</f>
        <v>1552380185186855</v>
      </c>
      <c r="C2135" t="s">
        <v>40</v>
      </c>
      <c r="D2135">
        <v>4.5393800000000004</v>
      </c>
      <c r="E2135">
        <v>0.45660400000000001</v>
      </c>
      <c r="F2135" t="s">
        <v>42</v>
      </c>
      <c r="G2135">
        <v>-493.40910000000002</v>
      </c>
      <c r="H2135" s="1">
        <v>-1.918994E-6</v>
      </c>
      <c r="I2135">
        <v>241.9479</v>
      </c>
      <c r="J2135">
        <v>-495.45769999999999</v>
      </c>
      <c r="K2135">
        <v>1.117264</v>
      </c>
      <c r="L2135">
        <v>255.85919999999999</v>
      </c>
      <c r="M2135">
        <v>-4.6294040000000002E-2</v>
      </c>
      <c r="N2135">
        <v>0</v>
      </c>
      <c r="O2135">
        <v>-0.99881470000000006</v>
      </c>
      <c r="P2135">
        <v>1.7753080000000001E-2</v>
      </c>
      <c r="Q2135">
        <v>0.106642</v>
      </c>
      <c r="R2135">
        <v>-0.9941392</v>
      </c>
      <c r="S2135">
        <v>0.43652340000000001</v>
      </c>
      <c r="T2135">
        <v>-0.23898530000000001</v>
      </c>
      <c r="U2135">
        <v>-3.0368189999999999</v>
      </c>
      <c r="V2135">
        <v>-6.5822179999999994E-2</v>
      </c>
      <c r="W2135">
        <v>0.1204542</v>
      </c>
      <c r="X2135">
        <v>0.99053429999999998</v>
      </c>
      <c r="Y2135">
        <v>-0.18753010000000001</v>
      </c>
      <c r="Z2135">
        <v>7.7236330000000006E-2</v>
      </c>
      <c r="AA2135">
        <v>0.97921749999999996</v>
      </c>
      <c r="AB2135">
        <v>30</v>
      </c>
      <c r="AC2135">
        <v>2.04859999999996</v>
      </c>
      <c r="AD2135">
        <v>-1.117265918994</v>
      </c>
      <c r="AE2135">
        <v>-13.911299999999899</v>
      </c>
      <c r="AF2135">
        <v>-2.67360676204069</v>
      </c>
      <c r="AG2135">
        <v>-1.117265918994</v>
      </c>
      <c r="AH2135">
        <v>13.7149456932924</v>
      </c>
      <c r="AI2135">
        <v>94.571545158682795</v>
      </c>
      <c r="AJ2135">
        <v>101.030958521484</v>
      </c>
      <c r="AK2135">
        <v>14.017709927863899</v>
      </c>
      <c r="AL2135">
        <v>83.081683439378097</v>
      </c>
      <c r="AM2135">
        <v>93.801783211914099</v>
      </c>
      <c r="AN2135">
        <v>0.99999998657704103</v>
      </c>
    </row>
    <row r="2136" spans="1:40" x14ac:dyDescent="0.25">
      <c r="A2136" t="str">
        <f>"20190312164305216"</f>
        <v>20190312164305216</v>
      </c>
      <c r="B2136" t="str">
        <f>"1552380185206379"</f>
        <v>1552380185206379</v>
      </c>
      <c r="C2136" t="s">
        <v>40</v>
      </c>
      <c r="D2136">
        <v>4.5261690000000003</v>
      </c>
      <c r="E2136">
        <v>0.45732270000000003</v>
      </c>
      <c r="F2136" t="s">
        <v>42</v>
      </c>
      <c r="G2136">
        <v>-493.4529</v>
      </c>
      <c r="H2136" s="1">
        <v>-1.973975E-6</v>
      </c>
      <c r="I2136">
        <v>242.04900000000001</v>
      </c>
      <c r="J2136">
        <v>-495.4631</v>
      </c>
      <c r="K2136">
        <v>1.1169579999999999</v>
      </c>
      <c r="L2136">
        <v>255.56720000000001</v>
      </c>
      <c r="M2136">
        <v>-3.8574730000000002E-2</v>
      </c>
      <c r="N2136">
        <v>0</v>
      </c>
      <c r="O2136">
        <v>-0.99914320000000001</v>
      </c>
      <c r="P2136">
        <v>2.0662030000000001E-2</v>
      </c>
      <c r="Q2136">
        <v>0.1063553</v>
      </c>
      <c r="R2136">
        <v>-0.99411349999999998</v>
      </c>
      <c r="S2136">
        <v>0.44076539999999997</v>
      </c>
      <c r="T2136">
        <v>-0.2456286</v>
      </c>
      <c r="U2136">
        <v>-3.0361479999999998</v>
      </c>
      <c r="V2136">
        <v>-6.0964579999999997E-2</v>
      </c>
      <c r="W2136">
        <v>0.1202521</v>
      </c>
      <c r="X2136">
        <v>0.99086969999999996</v>
      </c>
      <c r="Y2136">
        <v>-0.18128279999999999</v>
      </c>
      <c r="Z2136">
        <v>7.9465679999999997E-2</v>
      </c>
      <c r="AA2136">
        <v>0.98021510000000001</v>
      </c>
      <c r="AB2136">
        <v>30</v>
      </c>
      <c r="AC2136">
        <v>2.01019999999999</v>
      </c>
      <c r="AD2136">
        <v>-1.11695997397499</v>
      </c>
      <c r="AE2136">
        <v>-13.5182</v>
      </c>
      <c r="AF2136">
        <v>-2.51343477442258</v>
      </c>
      <c r="AG2136">
        <v>-1.11695997397499</v>
      </c>
      <c r="AH2136">
        <v>13.341471458208201</v>
      </c>
      <c r="AI2136">
        <v>94.703337466882303</v>
      </c>
      <c r="AJ2136">
        <v>100.669053740278</v>
      </c>
      <c r="AK2136">
        <v>13.6220341586315</v>
      </c>
      <c r="AL2136">
        <v>83.0933478301516</v>
      </c>
      <c r="AM2136">
        <v>93.520761134629595</v>
      </c>
      <c r="AN2136">
        <v>1.00000000497353</v>
      </c>
    </row>
    <row r="2137" spans="1:40" x14ac:dyDescent="0.25">
      <c r="A2137" t="str">
        <f>"20190312164305236"</f>
        <v>20190312164305236</v>
      </c>
      <c r="B2137" t="str">
        <f>"1552380185226871"</f>
        <v>1552380185226871</v>
      </c>
      <c r="C2137" t="s">
        <v>40</v>
      </c>
      <c r="D2137">
        <v>4.6769769999999999</v>
      </c>
      <c r="E2137">
        <v>0.45810899999999999</v>
      </c>
      <c r="F2137" t="s">
        <v>42</v>
      </c>
      <c r="G2137">
        <v>-493.48140000000001</v>
      </c>
      <c r="H2137" s="1">
        <v>-1.9873839999999998E-6</v>
      </c>
      <c r="I2137">
        <v>242.0625</v>
      </c>
      <c r="J2137">
        <v>-495.46660000000003</v>
      </c>
      <c r="K2137">
        <v>1.116644</v>
      </c>
      <c r="L2137">
        <v>255.2895</v>
      </c>
      <c r="M2137">
        <v>-3.1588110000000003E-2</v>
      </c>
      <c r="N2137">
        <v>0</v>
      </c>
      <c r="O2137">
        <v>-0.99938919999999998</v>
      </c>
      <c r="P2137">
        <v>2.2449259999999999E-2</v>
      </c>
      <c r="Q2137">
        <v>0.1057882</v>
      </c>
      <c r="R2137">
        <v>-0.99413510000000005</v>
      </c>
      <c r="S2137">
        <v>0.44543460000000001</v>
      </c>
      <c r="T2137">
        <v>-0.25105480000000002</v>
      </c>
      <c r="U2137">
        <v>-3.0353850000000002</v>
      </c>
      <c r="V2137">
        <v>-5.5712039999999997E-2</v>
      </c>
      <c r="W2137">
        <v>0.11977160000000001</v>
      </c>
      <c r="X2137">
        <v>0.99123709999999998</v>
      </c>
      <c r="Y2137">
        <v>-0.1758951</v>
      </c>
      <c r="Z2137">
        <v>8.1290950000000001E-2</v>
      </c>
      <c r="AA2137">
        <v>0.98104669999999905</v>
      </c>
      <c r="AB2137">
        <v>30</v>
      </c>
      <c r="AC2137">
        <v>1.9852000000000201</v>
      </c>
      <c r="AD2137">
        <v>-1.116645987384</v>
      </c>
      <c r="AE2137">
        <v>-13.227</v>
      </c>
      <c r="AF2137">
        <v>-2.38544512310976</v>
      </c>
      <c r="AG2137">
        <v>-1.116645987384</v>
      </c>
      <c r="AH2137">
        <v>13.0666076540054</v>
      </c>
      <c r="AI2137">
        <v>94.805472774602805</v>
      </c>
      <c r="AJ2137">
        <v>100.34600623662099</v>
      </c>
      <c r="AK2137">
        <v>13.329421678385801</v>
      </c>
      <c r="AL2137">
        <v>83.121079038746402</v>
      </c>
      <c r="AM2137">
        <v>93.216899290112707</v>
      </c>
      <c r="AN2137">
        <v>1.0000000279919601</v>
      </c>
    </row>
    <row r="2138" spans="1:40" x14ac:dyDescent="0.25">
      <c r="A2138" t="str">
        <f>"20190312164305260"</f>
        <v>20190312164305260</v>
      </c>
      <c r="B2138" t="str">
        <f>"1552380185256152"</f>
        <v>1552380185256152</v>
      </c>
      <c r="C2138" t="s">
        <v>40</v>
      </c>
      <c r="D2138">
        <v>4.7212339999999999</v>
      </c>
      <c r="E2138">
        <v>0.45893729999999999</v>
      </c>
      <c r="F2138" t="s">
        <v>42</v>
      </c>
      <c r="G2138">
        <v>-493.53969999999998</v>
      </c>
      <c r="H2138" s="1">
        <v>-2.046922E-6</v>
      </c>
      <c r="I2138">
        <v>242.1651</v>
      </c>
      <c r="J2138">
        <v>-495.46839999999997</v>
      </c>
      <c r="K2138">
        <v>1.1162920000000001</v>
      </c>
      <c r="L2138">
        <v>254.98390000000001</v>
      </c>
      <c r="M2138">
        <v>-2.4297160000000002E-2</v>
      </c>
      <c r="N2138">
        <v>0</v>
      </c>
      <c r="O2138">
        <v>-0.99959370000000003</v>
      </c>
      <c r="P2138">
        <v>2.4661949999999998E-2</v>
      </c>
      <c r="Q2138">
        <v>0.10551770000000001</v>
      </c>
      <c r="R2138">
        <v>-0.99411190000000005</v>
      </c>
      <c r="S2138">
        <v>0.44558720000000002</v>
      </c>
      <c r="T2138">
        <v>-0.2582313</v>
      </c>
      <c r="U2138">
        <v>-3.0350950000000001</v>
      </c>
      <c r="V2138">
        <v>-5.057188E-2</v>
      </c>
      <c r="W2138">
        <v>0.1195775</v>
      </c>
      <c r="X2138">
        <v>0.99153599999999997</v>
      </c>
      <c r="Y2138">
        <v>-0.16874349999999999</v>
      </c>
      <c r="Z2138">
        <v>8.3684529999999993E-2</v>
      </c>
      <c r="AA2138">
        <v>0.98210109999999995</v>
      </c>
      <c r="AB2138">
        <v>30</v>
      </c>
      <c r="AC2138">
        <v>1.9286999999999901</v>
      </c>
      <c r="AD2138">
        <v>-1.116294046922</v>
      </c>
      <c r="AE2138">
        <v>-12.8188</v>
      </c>
      <c r="AF2138">
        <v>-2.2231398086630598</v>
      </c>
      <c r="AG2138">
        <v>-1.116294046922</v>
      </c>
      <c r="AH2138">
        <v>12.6741623707029</v>
      </c>
      <c r="AI2138">
        <v>94.958103937104994</v>
      </c>
      <c r="AJ2138">
        <v>99.948883588990896</v>
      </c>
      <c r="AK2138">
        <v>12.9159922114795</v>
      </c>
      <c r="AL2138">
        <v>83.132280228421905</v>
      </c>
      <c r="AM2138">
        <v>92.919759512320596</v>
      </c>
      <c r="AN2138">
        <v>0.99999996642449096</v>
      </c>
    </row>
    <row r="2139" spans="1:40" x14ac:dyDescent="0.25">
      <c r="A2139" t="str">
        <f>"20190312164305284"</f>
        <v>20190312164305284</v>
      </c>
      <c r="B2139" t="str">
        <f>"1552380185276648"</f>
        <v>1552380185276648</v>
      </c>
      <c r="C2139" t="s">
        <v>40</v>
      </c>
      <c r="D2139">
        <v>4.6772320000000001</v>
      </c>
      <c r="E2139">
        <v>0.4595204</v>
      </c>
      <c r="F2139" t="s">
        <v>42</v>
      </c>
      <c r="G2139">
        <v>-493.57979999999998</v>
      </c>
      <c r="H2139" s="1">
        <v>-2.0605079999999998E-6</v>
      </c>
      <c r="I2139">
        <v>242.17189999999999</v>
      </c>
      <c r="J2139">
        <v>-495.46839999999997</v>
      </c>
      <c r="K2139">
        <v>1.1159349999999999</v>
      </c>
      <c r="L2139">
        <v>254.6722</v>
      </c>
      <c r="M2139">
        <v>-1.7357109999999999E-2</v>
      </c>
      <c r="N2139">
        <v>0</v>
      </c>
      <c r="O2139">
        <v>-0.99973920000000005</v>
      </c>
      <c r="P2139">
        <v>2.6344409999999999E-2</v>
      </c>
      <c r="Q2139">
        <v>0.105312</v>
      </c>
      <c r="R2139">
        <v>-0.99409069999999999</v>
      </c>
      <c r="S2139">
        <v>0.44735720000000001</v>
      </c>
      <c r="T2139">
        <v>-0.26441409999999999</v>
      </c>
      <c r="U2139">
        <v>-3.0347439999999999</v>
      </c>
      <c r="V2139">
        <v>-4.5248169999999997E-2</v>
      </c>
      <c r="W2139">
        <v>0.11944249999999999</v>
      </c>
      <c r="X2139">
        <v>0.99180950000000001</v>
      </c>
      <c r="Y2139">
        <v>-0.1624497</v>
      </c>
      <c r="Z2139">
        <v>8.5743959999999994E-2</v>
      </c>
      <c r="AA2139">
        <v>0.98298419999999997</v>
      </c>
      <c r="AB2139">
        <v>30</v>
      </c>
      <c r="AC2139">
        <v>1.8885999999999901</v>
      </c>
      <c r="AD2139">
        <v>-1.1159370605079999</v>
      </c>
      <c r="AE2139">
        <v>-12.500299999999999</v>
      </c>
      <c r="AF2139">
        <v>-2.08903114186338</v>
      </c>
      <c r="AG2139">
        <v>-1.1159370605079999</v>
      </c>
      <c r="AH2139">
        <v>12.369253738804201</v>
      </c>
      <c r="AI2139">
        <v>95.0835841022474</v>
      </c>
      <c r="AJ2139">
        <v>99.586167458161697</v>
      </c>
      <c r="AK2139">
        <v>12.593959055420701</v>
      </c>
      <c r="AL2139">
        <v>83.140071199184803</v>
      </c>
      <c r="AM2139">
        <v>92.612127388752896</v>
      </c>
      <c r="AN2139">
        <v>0.99999999599242395</v>
      </c>
    </row>
    <row r="2140" spans="1:40" x14ac:dyDescent="0.25">
      <c r="A2140" t="str">
        <f>"20190312164305307"</f>
        <v>20190312164305307</v>
      </c>
      <c r="B2140" t="str">
        <f>"1552380185296167"</f>
        <v>1552380185296167</v>
      </c>
      <c r="C2140" t="s">
        <v>40</v>
      </c>
      <c r="D2140">
        <v>4.8365879999999999</v>
      </c>
      <c r="E2140">
        <v>0.46001449999999999</v>
      </c>
      <c r="F2140" t="s">
        <v>42</v>
      </c>
      <c r="G2140">
        <v>-493.6062</v>
      </c>
      <c r="H2140" s="1">
        <v>-2.022947E-6</v>
      </c>
      <c r="I2140">
        <v>242.06800000000001</v>
      </c>
      <c r="J2140">
        <v>-495.46679999999998</v>
      </c>
      <c r="K2140">
        <v>1.115586</v>
      </c>
      <c r="L2140">
        <v>254.36330000000001</v>
      </c>
      <c r="M2140">
        <v>-1.0935719999999999E-2</v>
      </c>
      <c r="N2140">
        <v>0</v>
      </c>
      <c r="O2140">
        <v>-0.99983080000000002</v>
      </c>
      <c r="P2140">
        <v>2.7905989999999999E-2</v>
      </c>
      <c r="Q2140">
        <v>0.1050522</v>
      </c>
      <c r="R2140">
        <v>-0.99407540000000005</v>
      </c>
      <c r="S2140">
        <v>0.4483337</v>
      </c>
      <c r="T2140">
        <v>-0.268657599999999</v>
      </c>
      <c r="U2140">
        <v>-3.034424</v>
      </c>
      <c r="V2140">
        <v>-4.031974E-2</v>
      </c>
      <c r="W2140">
        <v>0.1192385</v>
      </c>
      <c r="X2140">
        <v>0.9920466</v>
      </c>
      <c r="Y2140">
        <v>-0.15641650000000001</v>
      </c>
      <c r="Z2140">
        <v>8.7171319999999997E-2</v>
      </c>
      <c r="AA2140">
        <v>0.98383690000000001</v>
      </c>
      <c r="AB2140">
        <v>30</v>
      </c>
      <c r="AC2140">
        <v>1.8605999999999701</v>
      </c>
      <c r="AD2140">
        <v>-1.1155880229470001</v>
      </c>
      <c r="AE2140">
        <v>-12.295299999999999</v>
      </c>
      <c r="AF2140">
        <v>-1.97903381263718</v>
      </c>
      <c r="AG2140">
        <v>-1.1155880229470001</v>
      </c>
      <c r="AH2140">
        <v>12.1762192730825</v>
      </c>
      <c r="AI2140">
        <v>95.167403535644695</v>
      </c>
      <c r="AJ2140">
        <v>99.231711689382294</v>
      </c>
      <c r="AK2140">
        <v>12.3863403495419</v>
      </c>
      <c r="AL2140">
        <v>83.151843554285506</v>
      </c>
      <c r="AM2140">
        <v>92.327390853059896</v>
      </c>
      <c r="AN2140">
        <v>0.99999997894373804</v>
      </c>
    </row>
    <row r="2141" spans="1:40" x14ac:dyDescent="0.25">
      <c r="A2141" t="str">
        <f>"20190312164305330"</f>
        <v>20190312164305330</v>
      </c>
      <c r="B2141" t="str">
        <f>"1552380185326424"</f>
        <v>1552380185326424</v>
      </c>
      <c r="C2141" t="s">
        <v>40</v>
      </c>
      <c r="D2141">
        <v>4.7809150000000002</v>
      </c>
      <c r="E2141">
        <v>0.46076679999999998</v>
      </c>
      <c r="F2141" t="s">
        <v>42</v>
      </c>
      <c r="G2141">
        <v>-493.6354</v>
      </c>
      <c r="H2141" s="1">
        <v>-1.9965829999999998E-6</v>
      </c>
      <c r="I2141">
        <v>241.98840000000001</v>
      </c>
      <c r="J2141">
        <v>-495.46379999999999</v>
      </c>
      <c r="K2141">
        <v>1.1152820000000001</v>
      </c>
      <c r="L2141">
        <v>254.07060000000001</v>
      </c>
      <c r="M2141">
        <v>-5.1908420000000002E-3</v>
      </c>
      <c r="N2141">
        <v>0</v>
      </c>
      <c r="O2141">
        <v>-0.99987780000000004</v>
      </c>
      <c r="P2141">
        <v>2.8587709999999999E-2</v>
      </c>
      <c r="Q2141">
        <v>0.1041542</v>
      </c>
      <c r="R2141">
        <v>-0.99415030000000004</v>
      </c>
      <c r="S2141">
        <v>0.44903559999999998</v>
      </c>
      <c r="T2141">
        <v>-0.27352579999999999</v>
      </c>
      <c r="U2141">
        <v>-3.0341490000000002</v>
      </c>
      <c r="V2141">
        <v>-3.5191220000000002E-2</v>
      </c>
      <c r="W2141">
        <v>0.1183915</v>
      </c>
      <c r="X2141">
        <v>0.99234319999999998</v>
      </c>
      <c r="Y2141">
        <v>-0.15095449999999999</v>
      </c>
      <c r="Z2141">
        <v>8.8789030000000005E-2</v>
      </c>
      <c r="AA2141">
        <v>0.98454520000000001</v>
      </c>
      <c r="AB2141">
        <v>30</v>
      </c>
      <c r="AC2141">
        <v>1.82839999999998</v>
      </c>
      <c r="AD2141">
        <v>-1.1152839965829999</v>
      </c>
      <c r="AE2141">
        <v>-12.0822</v>
      </c>
      <c r="AF2141">
        <v>-1.8754762414133299</v>
      </c>
      <c r="AG2141">
        <v>-1.1152839965829999</v>
      </c>
      <c r="AH2141">
        <v>11.972811610038701</v>
      </c>
      <c r="AI2141">
        <v>95.258070788777204</v>
      </c>
      <c r="AJ2141">
        <v>98.902727709059405</v>
      </c>
      <c r="AK2141">
        <v>12.1700241320475</v>
      </c>
      <c r="AL2141">
        <v>83.200719427446899</v>
      </c>
      <c r="AM2141">
        <v>92.031014852664597</v>
      </c>
      <c r="AN2141">
        <v>0.99999999791178895</v>
      </c>
    </row>
    <row r="2142" spans="1:40" x14ac:dyDescent="0.25">
      <c r="A2142" t="str">
        <f>"20190312164305351"</f>
        <v>20190312164305351</v>
      </c>
      <c r="B2142" t="str">
        <f>"1552380185346921"</f>
        <v>1552380185346921</v>
      </c>
      <c r="C2142" t="s">
        <v>40</v>
      </c>
      <c r="D2142">
        <v>4.6172389999999996</v>
      </c>
      <c r="E2142">
        <v>0.46084449999999999</v>
      </c>
      <c r="F2142" t="s">
        <v>42</v>
      </c>
      <c r="G2142">
        <v>-493.67869999999999</v>
      </c>
      <c r="H2142" s="1">
        <v>-1.9885870000000002E-6</v>
      </c>
      <c r="I2142">
        <v>241.94290000000001</v>
      </c>
      <c r="J2142">
        <v>-495.45960000000002</v>
      </c>
      <c r="K2142">
        <v>1.1150040000000001</v>
      </c>
      <c r="L2142">
        <v>253.78649999999999</v>
      </c>
      <c r="M2142" s="1">
        <v>4.9897649999999998E-5</v>
      </c>
      <c r="N2142">
        <v>0</v>
      </c>
      <c r="O2142">
        <v>-0.9998918</v>
      </c>
      <c r="P2142">
        <v>2.91002E-2</v>
      </c>
      <c r="Q2142">
        <v>0.1032946</v>
      </c>
      <c r="R2142">
        <v>-0.99422520000000003</v>
      </c>
      <c r="S2142">
        <v>0.4465942</v>
      </c>
      <c r="T2142">
        <v>-0.27901740000000003</v>
      </c>
      <c r="U2142">
        <v>-3.0340419999999999</v>
      </c>
      <c r="V2142">
        <v>-3.0402330000000002E-2</v>
      </c>
      <c r="W2142">
        <v>0.11757330000000001</v>
      </c>
      <c r="X2142">
        <v>0.99259869999999994</v>
      </c>
      <c r="Y2142">
        <v>-0.14497699999999999</v>
      </c>
      <c r="Z2142">
        <v>9.0608049999999996E-2</v>
      </c>
      <c r="AA2142">
        <v>0.98527750000000003</v>
      </c>
      <c r="AB2142">
        <v>30</v>
      </c>
      <c r="AC2142">
        <v>1.7809000000000299</v>
      </c>
      <c r="AD2142">
        <v>-1.1150059885870001</v>
      </c>
      <c r="AE2142">
        <v>-11.843599999999901</v>
      </c>
      <c r="AF2142">
        <v>-1.76501133587688</v>
      </c>
      <c r="AG2142">
        <v>-1.1150059885870001</v>
      </c>
      <c r="AH2142">
        <v>11.7419197966029</v>
      </c>
      <c r="AI2142">
        <v>95.364597586996297</v>
      </c>
      <c r="AJ2142">
        <v>98.548533496138603</v>
      </c>
      <c r="AK2142">
        <v>11.9260716030139</v>
      </c>
      <c r="AL2142">
        <v>83.247928443656093</v>
      </c>
      <c r="AM2142">
        <v>91.754365365574401</v>
      </c>
      <c r="AN2142">
        <v>0.99999998089200404</v>
      </c>
    </row>
    <row r="2143" spans="1:40" x14ac:dyDescent="0.25">
      <c r="A2143" t="str">
        <f>"20190312164305372"</f>
        <v>20190312164305372</v>
      </c>
      <c r="B2143" t="str">
        <f>"1552380185366440"</f>
        <v>1552380185366440</v>
      </c>
      <c r="C2143" t="s">
        <v>40</v>
      </c>
      <c r="D2143">
        <v>4.5852459999999997</v>
      </c>
      <c r="E2143">
        <v>0.44412570000000001</v>
      </c>
      <c r="F2143" t="s">
        <v>42</v>
      </c>
      <c r="G2143">
        <v>-493.6875</v>
      </c>
      <c r="H2143" s="1">
        <v>-1.9252889999999999E-6</v>
      </c>
      <c r="I2143">
        <v>241.78989999999999</v>
      </c>
      <c r="J2143">
        <v>-495.45420000000001</v>
      </c>
      <c r="K2143">
        <v>1.114717</v>
      </c>
      <c r="L2143">
        <v>253.50110000000001</v>
      </c>
      <c r="M2143">
        <v>4.9748630000000004E-3</v>
      </c>
      <c r="N2143">
        <v>0</v>
      </c>
      <c r="O2143">
        <v>-0.99987999999999999</v>
      </c>
      <c r="P2143">
        <v>2.9047799999999999E-2</v>
      </c>
      <c r="Q2143">
        <v>0.1025128</v>
      </c>
      <c r="R2143">
        <v>-0.99430759999999996</v>
      </c>
      <c r="S2143">
        <v>0.44812010000000002</v>
      </c>
      <c r="T2143">
        <v>-0.28195550000000003</v>
      </c>
      <c r="U2143">
        <v>-3.0336150000000002</v>
      </c>
      <c r="V2143">
        <v>-2.536252E-2</v>
      </c>
      <c r="W2143">
        <v>0.1168298</v>
      </c>
      <c r="X2143">
        <v>0.99282809999999999</v>
      </c>
      <c r="Y2143">
        <v>-0.14059449999999901</v>
      </c>
      <c r="Z2143">
        <v>9.1590870000000005E-2</v>
      </c>
      <c r="AA2143">
        <v>0.98582170000000002</v>
      </c>
      <c r="AB2143">
        <v>30</v>
      </c>
      <c r="AC2143">
        <v>1.7667000000000099</v>
      </c>
      <c r="AD2143">
        <v>-1.114718925289</v>
      </c>
      <c r="AE2143">
        <v>-11.7112</v>
      </c>
      <c r="AF2143">
        <v>-1.69340934783707</v>
      </c>
      <c r="AG2143">
        <v>-1.114718925289</v>
      </c>
      <c r="AH2143">
        <v>11.6169375950182</v>
      </c>
      <c r="AI2143">
        <v>95.424133534466506</v>
      </c>
      <c r="AJ2143">
        <v>98.293632119805395</v>
      </c>
      <c r="AK2143">
        <v>11.792517652659599</v>
      </c>
      <c r="AL2143">
        <v>83.290823935214902</v>
      </c>
      <c r="AM2143">
        <v>91.463344332402698</v>
      </c>
      <c r="AN2143">
        <v>1.0000000478691899</v>
      </c>
    </row>
    <row r="2144" spans="1:40" x14ac:dyDescent="0.25">
      <c r="A2144" t="str">
        <f>"20190312164305395"</f>
        <v>20190312164305395</v>
      </c>
      <c r="B2144" t="str">
        <f>"1552380185386936"</f>
        <v>1552380185386936</v>
      </c>
      <c r="C2144" t="s">
        <v>40</v>
      </c>
      <c r="D2144">
        <v>4.6147</v>
      </c>
      <c r="E2144">
        <v>0.44301089999999999</v>
      </c>
      <c r="F2144" t="s">
        <v>42</v>
      </c>
      <c r="G2144">
        <v>-492.88639999999998</v>
      </c>
      <c r="H2144" s="1">
        <v>-9.7660269999999994E-7</v>
      </c>
      <c r="I2144">
        <v>240.0753</v>
      </c>
      <c r="J2144">
        <v>-495.44720000000001</v>
      </c>
      <c r="K2144">
        <v>1.1144130000000001</v>
      </c>
      <c r="L2144">
        <v>253.19569999999999</v>
      </c>
      <c r="M2144">
        <v>9.8865800000000007E-3</v>
      </c>
      <c r="N2144">
        <v>0</v>
      </c>
      <c r="O2144">
        <v>-0.99984430000000002</v>
      </c>
      <c r="P2144">
        <v>2.9343569999999999E-2</v>
      </c>
      <c r="Q2144">
        <v>0.10196470000000001</v>
      </c>
      <c r="R2144">
        <v>-0.99435560000000001</v>
      </c>
      <c r="S2144">
        <v>0.57876590000000006</v>
      </c>
      <c r="T2144">
        <v>-0.25125720000000001</v>
      </c>
      <c r="U2144">
        <v>-3.026154</v>
      </c>
      <c r="V2144">
        <v>-2.0680009999999999E-2</v>
      </c>
      <c r="W2144">
        <v>0.11630699999999999</v>
      </c>
      <c r="X2144">
        <v>0.99299800000000005</v>
      </c>
      <c r="Y2144">
        <v>-0.17750669999999999</v>
      </c>
      <c r="Z2144">
        <v>8.1348710000000005E-2</v>
      </c>
      <c r="AA2144">
        <v>0.98075159999999995</v>
      </c>
      <c r="AB2144">
        <v>30</v>
      </c>
      <c r="AC2144">
        <v>2.5608000000000199</v>
      </c>
      <c r="AD2144">
        <v>-1.1144139766026999</v>
      </c>
      <c r="AE2144">
        <v>-13.120399999999901</v>
      </c>
      <c r="AF2144">
        <v>-2.4141674835125002</v>
      </c>
      <c r="AG2144">
        <v>-1.1144139766026999</v>
      </c>
      <c r="AH2144">
        <v>13.0543558223275</v>
      </c>
      <c r="AI2144">
        <v>94.798378609166306</v>
      </c>
      <c r="AJ2144">
        <v>100.477448169504</v>
      </c>
      <c r="AK2144">
        <v>13.322399524321099</v>
      </c>
      <c r="AL2144">
        <v>83.320983486607602</v>
      </c>
      <c r="AM2144">
        <v>91.193059843069904</v>
      </c>
      <c r="AN2144">
        <v>1.0000000045333</v>
      </c>
    </row>
    <row r="2145" spans="1:40" x14ac:dyDescent="0.25">
      <c r="A2145" t="str">
        <f>"20190312164305416"</f>
        <v>20190312164305416</v>
      </c>
      <c r="B2145" t="str">
        <f>"1552380185406459"</f>
        <v>1552380185406459</v>
      </c>
      <c r="C2145" t="s">
        <v>40</v>
      </c>
      <c r="D2145">
        <v>4.6152689999999996</v>
      </c>
      <c r="E2145">
        <v>0.4364364</v>
      </c>
      <c r="F2145" t="s">
        <v>42</v>
      </c>
      <c r="G2145">
        <v>-492.81779999999998</v>
      </c>
      <c r="H2145" s="1">
        <v>-7.9597849999999896E-7</v>
      </c>
      <c r="I2145">
        <v>239.6968</v>
      </c>
      <c r="J2145">
        <v>-495.43979999999999</v>
      </c>
      <c r="K2145">
        <v>1.114141</v>
      </c>
      <c r="L2145">
        <v>252.9186</v>
      </c>
      <c r="M2145">
        <v>1.404566E-2</v>
      </c>
      <c r="N2145">
        <v>0</v>
      </c>
      <c r="O2145">
        <v>-0.99979479999999998</v>
      </c>
      <c r="P2145">
        <v>2.9522710000000001E-2</v>
      </c>
      <c r="Q2145">
        <v>0.1018231</v>
      </c>
      <c r="R2145">
        <v>-0.99436429999999998</v>
      </c>
      <c r="S2145">
        <v>0.58926389999999995</v>
      </c>
      <c r="T2145">
        <v>-0.24975430000000001</v>
      </c>
      <c r="U2145">
        <v>-3.0252690000000002</v>
      </c>
      <c r="V2145">
        <v>-1.6642589999999999E-2</v>
      </c>
      <c r="W2145">
        <v>0.11618100000000001</v>
      </c>
      <c r="X2145">
        <v>0.99308859999999999</v>
      </c>
      <c r="Y2145">
        <v>-0.176755</v>
      </c>
      <c r="Z2145">
        <v>8.0861779999999994E-2</v>
      </c>
      <c r="AA2145">
        <v>0.98092760000000001</v>
      </c>
      <c r="AB2145">
        <v>30</v>
      </c>
      <c r="AC2145">
        <v>2.6220000000000101</v>
      </c>
      <c r="AD2145">
        <v>-1.1141417959785</v>
      </c>
      <c r="AE2145">
        <v>-13.2218</v>
      </c>
      <c r="AF2145">
        <v>-2.41948269771239</v>
      </c>
      <c r="AG2145">
        <v>-1.1141417959785</v>
      </c>
      <c r="AH2145">
        <v>13.167367655044499</v>
      </c>
      <c r="AI2145">
        <v>94.757227802838898</v>
      </c>
      <c r="AJ2145">
        <v>100.411864183254</v>
      </c>
      <c r="AK2145">
        <v>13.434090197299801</v>
      </c>
      <c r="AL2145">
        <v>83.3282518929623</v>
      </c>
      <c r="AM2145">
        <v>90.960096526919799</v>
      </c>
      <c r="AN2145">
        <v>0.99999998400643397</v>
      </c>
    </row>
    <row r="2146" spans="1:40" x14ac:dyDescent="0.25">
      <c r="A2146" t="str">
        <f>"20190312164305429"</f>
        <v>20190312164305429</v>
      </c>
      <c r="B2146" t="str">
        <f>"1552380185426953"</f>
        <v>1552380185426953</v>
      </c>
      <c r="C2146" t="s">
        <v>40</v>
      </c>
      <c r="D2146">
        <v>4.5731359999999999</v>
      </c>
      <c r="E2146">
        <v>0.43879299999999999</v>
      </c>
      <c r="F2146" t="s">
        <v>42</v>
      </c>
      <c r="G2146">
        <v>-493.2312</v>
      </c>
      <c r="H2146" s="1">
        <v>-2.1669660000000001E-6</v>
      </c>
      <c r="I2146">
        <v>242.63630000000001</v>
      </c>
      <c r="J2146">
        <v>-495.4348</v>
      </c>
      <c r="K2146">
        <v>1.1139840000000001</v>
      </c>
      <c r="L2146">
        <v>252.7466</v>
      </c>
      <c r="M2146">
        <v>1.6487419999999999E-2</v>
      </c>
      <c r="N2146">
        <v>0</v>
      </c>
      <c r="O2146">
        <v>-0.99975789999999998</v>
      </c>
      <c r="P2146">
        <v>3.0090430000000001E-2</v>
      </c>
      <c r="Q2146">
        <v>0.1012363</v>
      </c>
      <c r="R2146">
        <v>-0.9944075</v>
      </c>
      <c r="S2146">
        <v>0.65112300000000001</v>
      </c>
      <c r="T2146">
        <v>-0.32845780000000002</v>
      </c>
      <c r="U2146">
        <v>-3.0313110000000001</v>
      </c>
      <c r="V2146">
        <v>-1.472856E-2</v>
      </c>
      <c r="W2146">
        <v>0.11559750000000001</v>
      </c>
      <c r="X2146">
        <v>0.99318700000000004</v>
      </c>
      <c r="Y2146">
        <v>-0.19268759999999999</v>
      </c>
      <c r="Z2146">
        <v>0.1055043</v>
      </c>
      <c r="AA2146">
        <v>0.97557179999999999</v>
      </c>
      <c r="AB2146">
        <v>30</v>
      </c>
      <c r="AC2146">
        <v>2.20359999999999</v>
      </c>
      <c r="AD2146">
        <v>-1.1139861669660001</v>
      </c>
      <c r="AE2146">
        <v>-10.110299999999899</v>
      </c>
      <c r="AF2146">
        <v>-2.01325672933319</v>
      </c>
      <c r="AG2146">
        <v>-1.1139861669660001</v>
      </c>
      <c r="AH2146">
        <v>10.029026690902599</v>
      </c>
      <c r="AI2146">
        <v>96.2152222801665</v>
      </c>
      <c r="AJ2146">
        <v>101.350859081458</v>
      </c>
      <c r="AK2146">
        <v>10.2895842581338</v>
      </c>
      <c r="AL2146">
        <v>83.361911308345697</v>
      </c>
      <c r="AM2146">
        <v>90.849610871873097</v>
      </c>
      <c r="AN2146">
        <v>1.0000000647274501</v>
      </c>
    </row>
    <row r="2147" spans="1:40" x14ac:dyDescent="0.25">
      <c r="A2147" t="str">
        <f>"20190312164305450"</f>
        <v>20190312164305450</v>
      </c>
      <c r="B2147" t="str">
        <f>"1552380185446472"</f>
        <v>1552380185446472</v>
      </c>
      <c r="C2147" t="s">
        <v>40</v>
      </c>
      <c r="D2147">
        <v>4.646191</v>
      </c>
      <c r="E2147">
        <v>0.43856630000000002</v>
      </c>
      <c r="F2147" t="s">
        <v>42</v>
      </c>
      <c r="G2147">
        <v>-493.08679999999998</v>
      </c>
      <c r="H2147" s="1">
        <v>-1.628135E-6</v>
      </c>
      <c r="I2147">
        <v>241.46979999999999</v>
      </c>
      <c r="J2147">
        <v>-495.42649999999998</v>
      </c>
      <c r="K2147">
        <v>1.1137619999999999</v>
      </c>
      <c r="L2147">
        <v>252.4804</v>
      </c>
      <c r="M2147">
        <v>2.0098209999999998E-2</v>
      </c>
      <c r="N2147">
        <v>0</v>
      </c>
      <c r="O2147">
        <v>-0.99969229999999998</v>
      </c>
      <c r="P2147">
        <v>3.098567E-2</v>
      </c>
      <c r="Q2147">
        <v>0.1007349</v>
      </c>
      <c r="R2147">
        <v>-0.99443079999999995</v>
      </c>
      <c r="S2147">
        <v>0.63052369999999902</v>
      </c>
      <c r="T2147">
        <v>-0.29914859999999999</v>
      </c>
      <c r="U2147">
        <v>-3.0282589999999998</v>
      </c>
      <c r="V2147">
        <v>-1.195966E-2</v>
      </c>
      <c r="W2147">
        <v>0.1150978</v>
      </c>
      <c r="X2147">
        <v>0.9932822</v>
      </c>
      <c r="Y2147">
        <v>-0.1831729</v>
      </c>
      <c r="Z2147">
        <v>9.64222E-2</v>
      </c>
      <c r="AA2147">
        <v>0.97834069999999995</v>
      </c>
      <c r="AB2147">
        <v>30</v>
      </c>
      <c r="AC2147">
        <v>2.3396999999999899</v>
      </c>
      <c r="AD2147">
        <v>-1.1137636281350001</v>
      </c>
      <c r="AE2147">
        <v>-11.0106</v>
      </c>
      <c r="AF2147">
        <v>-2.0973771926931302</v>
      </c>
      <c r="AG2147">
        <v>-1.1137636281350001</v>
      </c>
      <c r="AH2147">
        <v>10.9482209229845</v>
      </c>
      <c r="AI2147">
        <v>95.705669875255595</v>
      </c>
      <c r="AJ2147">
        <v>100.844896025937</v>
      </c>
      <c r="AK2147">
        <v>11.2028122311436</v>
      </c>
      <c r="AL2147">
        <v>83.390734185572299</v>
      </c>
      <c r="AM2147">
        <v>90.689839132545401</v>
      </c>
      <c r="AN2147">
        <v>1.00000003293449</v>
      </c>
    </row>
    <row r="2148" spans="1:40" x14ac:dyDescent="0.25">
      <c r="A2148" t="str">
        <f>"20190312164305473"</f>
        <v>20190312164305473</v>
      </c>
      <c r="B2148" t="str">
        <f>"1552380185465992"</f>
        <v>1552380185465992</v>
      </c>
      <c r="C2148" t="s">
        <v>40</v>
      </c>
      <c r="D2148">
        <v>5.1398910000000004</v>
      </c>
      <c r="E2148">
        <v>0.43797150000000001</v>
      </c>
      <c r="F2148" t="s">
        <v>42</v>
      </c>
      <c r="G2148">
        <v>-493.05950000000001</v>
      </c>
      <c r="H2148" s="1">
        <v>-1.5032719999999999E-6</v>
      </c>
      <c r="I2148">
        <v>241.19569999999999</v>
      </c>
      <c r="J2148">
        <v>-495.41609999999997</v>
      </c>
      <c r="K2148">
        <v>1.113542</v>
      </c>
      <c r="L2148">
        <v>252.17920000000001</v>
      </c>
      <c r="M2148">
        <v>2.396042E-2</v>
      </c>
      <c r="N2148">
        <v>0</v>
      </c>
      <c r="O2148">
        <v>-0.99960760000000004</v>
      </c>
      <c r="P2148">
        <v>3.2667429999999997E-2</v>
      </c>
      <c r="Q2148">
        <v>0.1006373</v>
      </c>
      <c r="R2148">
        <v>-0.99438700000000002</v>
      </c>
      <c r="S2148">
        <v>0.63497919999999997</v>
      </c>
      <c r="T2148">
        <v>-0.29878640000000001</v>
      </c>
      <c r="U2148">
        <v>-3.0273129999999999</v>
      </c>
      <c r="V2148">
        <v>-9.7350930000000002E-3</v>
      </c>
      <c r="W2148">
        <v>0.1149917</v>
      </c>
      <c r="X2148">
        <v>0.9933187</v>
      </c>
      <c r="Y2148">
        <v>-0.18081739999999999</v>
      </c>
      <c r="Z2148">
        <v>9.6330449999999998E-2</v>
      </c>
      <c r="AA2148">
        <v>0.97878779999999999</v>
      </c>
      <c r="AB2148">
        <v>30</v>
      </c>
      <c r="AC2148">
        <v>2.3565999999999501</v>
      </c>
      <c r="AD2148">
        <v>-1.113543503272</v>
      </c>
      <c r="AE2148">
        <v>-10.983499999999999</v>
      </c>
      <c r="AF2148">
        <v>-2.07236281791555</v>
      </c>
      <c r="AG2148">
        <v>-1.113543503272</v>
      </c>
      <c r="AH2148">
        <v>10.929422204950599</v>
      </c>
      <c r="AI2148">
        <v>95.716342370552297</v>
      </c>
      <c r="AJ2148">
        <v>100.73657624100299</v>
      </c>
      <c r="AK2148">
        <v>11.1797556555063</v>
      </c>
      <c r="AL2148">
        <v>83.396853360055204</v>
      </c>
      <c r="AM2148">
        <v>90.561513524931499</v>
      </c>
      <c r="AN2148">
        <v>0.99999995143714804</v>
      </c>
    </row>
    <row r="2149" spans="1:40" x14ac:dyDescent="0.25">
      <c r="A2149" t="str">
        <f>"20190312164305497"</f>
        <v>20190312164305497</v>
      </c>
      <c r="B2149" t="str">
        <f>"1552380185486488"</f>
        <v>1552380185486488</v>
      </c>
      <c r="C2149" t="s">
        <v>40</v>
      </c>
      <c r="D2149">
        <v>4.5937330000000003</v>
      </c>
      <c r="E2149">
        <v>0.43822280000000002</v>
      </c>
      <c r="F2149" t="s">
        <v>42</v>
      </c>
      <c r="G2149">
        <v>-493.04910000000001</v>
      </c>
      <c r="H2149" s="1">
        <v>-1.4387289999999901E-6</v>
      </c>
      <c r="I2149">
        <v>241.05170000000001</v>
      </c>
      <c r="J2149">
        <v>-495.40460000000002</v>
      </c>
      <c r="K2149">
        <v>1.1133660000000001</v>
      </c>
      <c r="L2149">
        <v>251.87289999999999</v>
      </c>
      <c r="M2149">
        <v>2.7701480000000001E-2</v>
      </c>
      <c r="N2149">
        <v>0</v>
      </c>
      <c r="O2149">
        <v>-0.99951140000000005</v>
      </c>
      <c r="P2149">
        <v>3.439992E-2</v>
      </c>
      <c r="Q2149">
        <v>0.1003342</v>
      </c>
      <c r="R2149">
        <v>-0.99435929999999995</v>
      </c>
      <c r="S2149">
        <v>0.64376829999999996</v>
      </c>
      <c r="T2149">
        <v>-0.30285859999999998</v>
      </c>
      <c r="U2149">
        <v>-3.0264280000000001</v>
      </c>
      <c r="V2149">
        <v>-7.6915489999999998E-3</v>
      </c>
      <c r="W2149">
        <v>0.1146785</v>
      </c>
      <c r="X2149">
        <v>0.9933729</v>
      </c>
      <c r="Y2149">
        <v>-0.1798894</v>
      </c>
      <c r="Z2149">
        <v>9.7623920000000003E-2</v>
      </c>
      <c r="AA2149">
        <v>0.9788306</v>
      </c>
      <c r="AB2149">
        <v>30</v>
      </c>
      <c r="AC2149">
        <v>2.3555000000000001</v>
      </c>
      <c r="AD2149">
        <v>-1.113367438729</v>
      </c>
      <c r="AE2149">
        <v>-10.8211999999999</v>
      </c>
      <c r="AF2149">
        <v>-2.0342411756572698</v>
      </c>
      <c r="AG2149">
        <v>-1.113367438729</v>
      </c>
      <c r="AH2149">
        <v>10.7734174547041</v>
      </c>
      <c r="AI2149">
        <v>95.798481353204494</v>
      </c>
      <c r="AJ2149">
        <v>100.69272268690101</v>
      </c>
      <c r="AK2149">
        <v>11.020174584265201</v>
      </c>
      <c r="AL2149">
        <v>83.414918346639993</v>
      </c>
      <c r="AM2149">
        <v>90.443624432610903</v>
      </c>
      <c r="AN2149">
        <v>1.00000001837133</v>
      </c>
    </row>
    <row r="2150" spans="1:40" x14ac:dyDescent="0.25">
      <c r="A2150" t="str">
        <f>"20190312164305518"</f>
        <v>20190312164305518</v>
      </c>
      <c r="B2150" t="str">
        <f>"1552380185506008"</f>
        <v>1552380185506008</v>
      </c>
      <c r="C2150" t="s">
        <v>40</v>
      </c>
      <c r="D2150">
        <v>4.6177210000000004</v>
      </c>
      <c r="E2150">
        <v>0.4391215</v>
      </c>
      <c r="F2150" t="s">
        <v>42</v>
      </c>
      <c r="G2150">
        <v>-493.0616</v>
      </c>
      <c r="H2150" s="1">
        <v>-1.379879E-6</v>
      </c>
      <c r="I2150">
        <v>240.9068</v>
      </c>
      <c r="J2150">
        <v>-495.3929</v>
      </c>
      <c r="K2150">
        <v>1.113232</v>
      </c>
      <c r="L2150">
        <v>251.5872</v>
      </c>
      <c r="M2150">
        <v>3.1039560000000001E-2</v>
      </c>
      <c r="N2150">
        <v>0</v>
      </c>
      <c r="O2150">
        <v>-0.99941349999999995</v>
      </c>
      <c r="P2150">
        <v>3.6575900000000001E-2</v>
      </c>
      <c r="Q2150">
        <v>9.961188E-2</v>
      </c>
      <c r="R2150">
        <v>-0.99435399999999996</v>
      </c>
      <c r="S2150">
        <v>0.64645390000000003</v>
      </c>
      <c r="T2150">
        <v>-0.30718849999999998</v>
      </c>
      <c r="U2150">
        <v>-3.0256500000000002</v>
      </c>
      <c r="V2150">
        <v>-6.5007999999999897E-3</v>
      </c>
      <c r="W2150">
        <v>0.1139438</v>
      </c>
      <c r="X2150">
        <v>0.99346590000000001</v>
      </c>
      <c r="Y2150">
        <v>-0.17745739999999999</v>
      </c>
      <c r="Z2150">
        <v>9.9029030000000004E-2</v>
      </c>
      <c r="AA2150">
        <v>0.97913340000000004</v>
      </c>
      <c r="AB2150">
        <v>29</v>
      </c>
      <c r="AC2150">
        <v>2.3313000000000001</v>
      </c>
      <c r="AD2150">
        <v>-1.113233379879</v>
      </c>
      <c r="AE2150">
        <v>-10.680399999999899</v>
      </c>
      <c r="AF2150">
        <v>-1.97811360272348</v>
      </c>
      <c r="AG2150">
        <v>-1.113233379879</v>
      </c>
      <c r="AH2150">
        <v>10.6373127103136</v>
      </c>
      <c r="AI2150">
        <v>95.874475820742603</v>
      </c>
      <c r="AJ2150">
        <v>100.53438716767</v>
      </c>
      <c r="AK2150">
        <v>10.876793814371799</v>
      </c>
      <c r="AL2150">
        <v>83.457291007659904</v>
      </c>
      <c r="AM2150">
        <v>90.374912805222493</v>
      </c>
      <c r="AN2150">
        <v>0.99999997221094405</v>
      </c>
    </row>
    <row r="2151" spans="1:40" x14ac:dyDescent="0.25">
      <c r="A2151" t="str">
        <f>"20190312164305541"</f>
        <v>20190312164305541</v>
      </c>
      <c r="B2151" t="str">
        <f>"1552380185536263"</f>
        <v>1552380185536263</v>
      </c>
      <c r="C2151" t="s">
        <v>40</v>
      </c>
      <c r="D2151">
        <v>4.8905110000000001</v>
      </c>
      <c r="E2151">
        <v>0.44008079999999999</v>
      </c>
      <c r="F2151" t="s">
        <v>42</v>
      </c>
      <c r="G2151">
        <v>-493.00790000000001</v>
      </c>
      <c r="H2151" s="1">
        <v>-1.153644E-6</v>
      </c>
      <c r="I2151">
        <v>240.4127</v>
      </c>
      <c r="J2151">
        <v>-495.38010000000003</v>
      </c>
      <c r="K2151">
        <v>1.1131059999999999</v>
      </c>
      <c r="L2151">
        <v>251.29300000000001</v>
      </c>
      <c r="M2151">
        <v>3.4330039999999999E-2</v>
      </c>
      <c r="N2151">
        <v>0</v>
      </c>
      <c r="O2151">
        <v>-0.99930649999999999</v>
      </c>
      <c r="P2151">
        <v>3.9316200000000003E-2</v>
      </c>
      <c r="Q2151">
        <v>9.8403740000000003E-2</v>
      </c>
      <c r="R2151">
        <v>-0.99436990000000003</v>
      </c>
      <c r="S2151">
        <v>0.64532469999999997</v>
      </c>
      <c r="T2151">
        <v>-0.30120580000000002</v>
      </c>
      <c r="U2151">
        <v>-3.0234529999999999</v>
      </c>
      <c r="V2151">
        <v>-5.9180049999999996E-3</v>
      </c>
      <c r="W2151">
        <v>0.1127191</v>
      </c>
      <c r="X2151">
        <v>0.99360919999999997</v>
      </c>
      <c r="Y2151">
        <v>-0.1740497</v>
      </c>
      <c r="Z2151">
        <v>9.7205200000000005E-2</v>
      </c>
      <c r="AA2151">
        <v>0.97992749999999995</v>
      </c>
      <c r="AB2151">
        <v>29</v>
      </c>
      <c r="AC2151">
        <v>2.3722000000000198</v>
      </c>
      <c r="AD2151">
        <v>-1.113107153644</v>
      </c>
      <c r="AE2151">
        <v>-10.8803</v>
      </c>
      <c r="AF2151">
        <v>-1.97748374256999</v>
      </c>
      <c r="AG2151">
        <v>-1.113107153644</v>
      </c>
      <c r="AH2151">
        <v>10.846955944887601</v>
      </c>
      <c r="AI2151">
        <v>95.764783200641105</v>
      </c>
      <c r="AJ2151">
        <v>100.331994717603</v>
      </c>
      <c r="AK2151">
        <v>11.0817824720554</v>
      </c>
      <c r="AL2151">
        <v>83.527915904303498</v>
      </c>
      <c r="AM2151">
        <v>90.341253583569696</v>
      </c>
      <c r="AN2151">
        <v>0.99999993030631196</v>
      </c>
    </row>
    <row r="2152" spans="1:40" x14ac:dyDescent="0.25">
      <c r="A2152" t="str">
        <f>"20190312164305562"</f>
        <v>20190312164305562</v>
      </c>
      <c r="B2152" t="str">
        <f>"1552380185556760"</f>
        <v>1552380185556760</v>
      </c>
      <c r="C2152" t="s">
        <v>40</v>
      </c>
      <c r="D2152">
        <v>4.7491649999999996</v>
      </c>
      <c r="E2152">
        <v>0.44040459999999898</v>
      </c>
      <c r="F2152" t="s">
        <v>42</v>
      </c>
      <c r="G2152">
        <v>-492.94839999999999</v>
      </c>
      <c r="H2152" s="1">
        <v>-9.1944939999999999E-7</v>
      </c>
      <c r="I2152">
        <v>239.90369999999999</v>
      </c>
      <c r="J2152">
        <v>-495.36720000000003</v>
      </c>
      <c r="K2152">
        <v>1.112968</v>
      </c>
      <c r="L2152">
        <v>251.01509999999999</v>
      </c>
      <c r="M2152">
        <v>3.727697E-2</v>
      </c>
      <c r="N2152">
        <v>0</v>
      </c>
      <c r="O2152">
        <v>-0.99920120000000001</v>
      </c>
      <c r="P2152">
        <v>4.2082920000000003E-2</v>
      </c>
      <c r="Q2152">
        <v>9.8103830000000003E-2</v>
      </c>
      <c r="R2152">
        <v>-0.99428629999999996</v>
      </c>
      <c r="S2152">
        <v>0.64495849999999999</v>
      </c>
      <c r="T2152">
        <v>-0.29522169999999998</v>
      </c>
      <c r="U2152">
        <v>-3.0206909999999998</v>
      </c>
      <c r="V2152">
        <v>-5.7102189999999999E-3</v>
      </c>
      <c r="W2152">
        <v>0.1124008</v>
      </c>
      <c r="X2152">
        <v>0.99364660000000005</v>
      </c>
      <c r="Y2152">
        <v>-0.1712514</v>
      </c>
      <c r="Z2152">
        <v>9.5386079999999998E-2</v>
      </c>
      <c r="AA2152">
        <v>0.980599</v>
      </c>
      <c r="AB2152">
        <v>29</v>
      </c>
      <c r="AC2152">
        <v>2.4188000000000298</v>
      </c>
      <c r="AD2152">
        <v>-1.1129689194493999</v>
      </c>
      <c r="AE2152">
        <v>-11.1114</v>
      </c>
      <c r="AF2152">
        <v>-1.9838726758049601</v>
      </c>
      <c r="AG2152">
        <v>-1.1129689194493999</v>
      </c>
      <c r="AH2152">
        <v>11.0876417833397</v>
      </c>
      <c r="AI2152">
        <v>95.643078466006202</v>
      </c>
      <c r="AJ2152">
        <v>100.14438454664401</v>
      </c>
      <c r="AK2152">
        <v>11.3185798987826</v>
      </c>
      <c r="AL2152">
        <v>83.546270607508504</v>
      </c>
      <c r="AM2152">
        <v>90.329259766263306</v>
      </c>
      <c r="AN2152">
        <v>1.00000005606661</v>
      </c>
    </row>
    <row r="2153" spans="1:40" x14ac:dyDescent="0.25">
      <c r="A2153" t="str">
        <f>"20190312164305586"</f>
        <v>20190312164305586</v>
      </c>
      <c r="B2153" t="str">
        <f>"1552380185576283"</f>
        <v>1552380185576283</v>
      </c>
      <c r="C2153" t="s">
        <v>40</v>
      </c>
      <c r="D2153">
        <v>5.1561029999999999</v>
      </c>
      <c r="E2153">
        <v>0.44098730000000003</v>
      </c>
      <c r="F2153" t="s">
        <v>42</v>
      </c>
      <c r="G2153">
        <v>-492.89640000000003</v>
      </c>
      <c r="H2153" s="1">
        <v>-4.7929310000000001E-6</v>
      </c>
      <c r="I2153">
        <v>239.56129999999999</v>
      </c>
      <c r="J2153">
        <v>-495.35210000000001</v>
      </c>
      <c r="K2153">
        <v>1.112784</v>
      </c>
      <c r="L2153">
        <v>250.7047</v>
      </c>
      <c r="M2153">
        <v>4.0361250000000001E-2</v>
      </c>
      <c r="N2153">
        <v>0</v>
      </c>
      <c r="O2153">
        <v>-0.99908169999999996</v>
      </c>
      <c r="P2153">
        <v>4.4754849999999999E-2</v>
      </c>
      <c r="Q2153">
        <v>9.8869250000000006E-2</v>
      </c>
      <c r="R2153">
        <v>-0.99409360000000002</v>
      </c>
      <c r="S2153">
        <v>0.6511536</v>
      </c>
      <c r="T2153">
        <v>-0.29331610000000002</v>
      </c>
      <c r="U2153">
        <v>-3.0185849999999999</v>
      </c>
      <c r="V2153">
        <v>-5.2686549999999997E-3</v>
      </c>
      <c r="W2153">
        <v>0.113146</v>
      </c>
      <c r="X2153">
        <v>0.99356440000000001</v>
      </c>
      <c r="Y2153">
        <v>-0.17028550000000001</v>
      </c>
      <c r="Z2153">
        <v>9.4811039999999999E-2</v>
      </c>
      <c r="AA2153">
        <v>0.980823</v>
      </c>
      <c r="AB2153">
        <v>29</v>
      </c>
      <c r="AC2153">
        <v>2.4556999999999798</v>
      </c>
      <c r="AD2153">
        <v>-1.1127887929310001</v>
      </c>
      <c r="AE2153">
        <v>-11.1434</v>
      </c>
      <c r="AF2153">
        <v>-1.98501241587782</v>
      </c>
      <c r="AG2153">
        <v>-1.1127887929310001</v>
      </c>
      <c r="AH2153">
        <v>11.127616145560101</v>
      </c>
      <c r="AI2153">
        <v>95.622555051648504</v>
      </c>
      <c r="AJ2153">
        <v>100.114382761721</v>
      </c>
      <c r="AK2153">
        <v>11.357922973492601</v>
      </c>
      <c r="AL2153">
        <v>83.503299282215906</v>
      </c>
      <c r="AM2153">
        <v>90.303824156506906</v>
      </c>
      <c r="AN2153">
        <v>0.99999999649443405</v>
      </c>
    </row>
    <row r="2154" spans="1:40" x14ac:dyDescent="0.25">
      <c r="A2154" t="str">
        <f>"20190312164305618"</f>
        <v>20190312164305618</v>
      </c>
      <c r="B2154" t="str">
        <f>"1552380185606539"</f>
        <v>1552380185606539</v>
      </c>
      <c r="C2154" t="s">
        <v>40</v>
      </c>
      <c r="D2154">
        <v>4.6957820000000003</v>
      </c>
      <c r="E2154">
        <v>0.44165989999999999</v>
      </c>
      <c r="F2154" t="s">
        <v>42</v>
      </c>
      <c r="G2154">
        <v>-492.82170000000002</v>
      </c>
      <c r="H2154" s="1">
        <v>-4.6001439999999997E-6</v>
      </c>
      <c r="I2154">
        <v>239.03370000000001</v>
      </c>
      <c r="J2154">
        <v>-495.33069999999998</v>
      </c>
      <c r="K2154">
        <v>1.112538</v>
      </c>
      <c r="L2154">
        <v>250.29159999999999</v>
      </c>
      <c r="M2154">
        <v>4.4178839999999997E-2</v>
      </c>
      <c r="N2154">
        <v>0</v>
      </c>
      <c r="O2154">
        <v>-0.99892040000000004</v>
      </c>
      <c r="P2154">
        <v>4.9969310000000003E-2</v>
      </c>
      <c r="Q2154">
        <v>0.1000653</v>
      </c>
      <c r="R2154">
        <v>-0.99372539999999998</v>
      </c>
      <c r="S2154">
        <v>0.65408330000000003</v>
      </c>
      <c r="T2154">
        <v>-0.28765580000000002</v>
      </c>
      <c r="U2154">
        <v>-3.0169679999999999</v>
      </c>
      <c r="V2154">
        <v>-6.6284259999999998E-3</v>
      </c>
      <c r="W2154">
        <v>0.114307199999999</v>
      </c>
      <c r="X2154">
        <v>0.99342330000000001</v>
      </c>
      <c r="Y2154">
        <v>-0.16757359999999999</v>
      </c>
      <c r="Z2154">
        <v>9.3035820000000005E-2</v>
      </c>
      <c r="AA2154">
        <v>0.98145990000000005</v>
      </c>
      <c r="AB2154">
        <v>29</v>
      </c>
      <c r="AC2154">
        <v>2.5089999999999502</v>
      </c>
      <c r="AD2154">
        <v>-1.112542600144</v>
      </c>
      <c r="AE2154">
        <v>-11.2578999999999</v>
      </c>
      <c r="AF2154">
        <v>-1.99061699146478</v>
      </c>
      <c r="AG2154">
        <v>-1.112542600144</v>
      </c>
      <c r="AH2154">
        <v>11.25306444952</v>
      </c>
      <c r="AI2154">
        <v>95.560465963009406</v>
      </c>
      <c r="AJ2154">
        <v>100.031591075119</v>
      </c>
      <c r="AK2154">
        <v>11.4818015376026</v>
      </c>
      <c r="AL2154">
        <v>83.436332722738896</v>
      </c>
      <c r="AM2154">
        <v>90.382289401564094</v>
      </c>
      <c r="AN2154">
        <v>0.99999996249298295</v>
      </c>
    </row>
    <row r="2155" spans="1:40" x14ac:dyDescent="0.25">
      <c r="A2155" t="str">
        <f>"20190312164305639"</f>
        <v>20190312164305639</v>
      </c>
      <c r="B2155" t="str">
        <f>"1552380185636792"</f>
        <v>1552380185636792</v>
      </c>
      <c r="C2155" t="s">
        <v>40</v>
      </c>
      <c r="D2155">
        <v>4.6634209999999996</v>
      </c>
      <c r="E2155">
        <v>0.44185849999999999</v>
      </c>
      <c r="F2155" t="s">
        <v>42</v>
      </c>
      <c r="G2155">
        <v>-492.67669999999998</v>
      </c>
      <c r="H2155" s="1">
        <v>-4.3107820000000002E-6</v>
      </c>
      <c r="I2155">
        <v>238.25899999999999</v>
      </c>
      <c r="J2155">
        <v>-495.31560000000002</v>
      </c>
      <c r="K2155">
        <v>1.112363</v>
      </c>
      <c r="L2155">
        <v>250.00739999999999</v>
      </c>
      <c r="M2155">
        <v>4.654614E-2</v>
      </c>
      <c r="N2155">
        <v>0</v>
      </c>
      <c r="O2155">
        <v>-0.99881319999999996</v>
      </c>
      <c r="P2155">
        <v>5.4920370000000003E-2</v>
      </c>
      <c r="Q2155">
        <v>9.9715509999999993E-2</v>
      </c>
      <c r="R2155">
        <v>-0.99349909999999997</v>
      </c>
      <c r="S2155">
        <v>0.66470340000000006</v>
      </c>
      <c r="T2155">
        <v>-0.27863779999999999</v>
      </c>
      <c r="U2155">
        <v>-3.0135800000000001</v>
      </c>
      <c r="V2155">
        <v>-9.1744719999999995E-3</v>
      </c>
      <c r="W2155">
        <v>0.11392910000000001</v>
      </c>
      <c r="X2155">
        <v>0.99344650000000001</v>
      </c>
      <c r="Y2155">
        <v>-0.168823</v>
      </c>
      <c r="Z2155">
        <v>9.0184210000000001E-2</v>
      </c>
      <c r="AA2155">
        <v>0.98151189999999999</v>
      </c>
      <c r="AB2155">
        <v>29</v>
      </c>
      <c r="AC2155">
        <v>2.6389000000000302</v>
      </c>
      <c r="AD2155">
        <v>-1.112367310782</v>
      </c>
      <c r="AE2155">
        <v>-11.748399999999901</v>
      </c>
      <c r="AF2155">
        <v>-2.0714620573307698</v>
      </c>
      <c r="AG2155">
        <v>-1.112367310782</v>
      </c>
      <c r="AH2155">
        <v>11.758160638249</v>
      </c>
      <c r="AI2155">
        <v>95.322828558437095</v>
      </c>
      <c r="AJ2155">
        <v>99.991403769169494</v>
      </c>
      <c r="AK2155">
        <v>11.990940650504699</v>
      </c>
      <c r="AL2155">
        <v>83.458138824582605</v>
      </c>
      <c r="AM2155">
        <v>90.529111111681701</v>
      </c>
      <c r="AN2155">
        <v>0.99999997956276898</v>
      </c>
    </row>
    <row r="2156" spans="1:40" x14ac:dyDescent="0.25">
      <c r="A2156" t="str">
        <f>"20190312164305663"</f>
        <v>20190312164305663</v>
      </c>
      <c r="B2156" t="str">
        <f>"1552380185656312"</f>
        <v>1552380185656312</v>
      </c>
      <c r="C2156" t="s">
        <v>40</v>
      </c>
      <c r="D2156">
        <v>4.7909490000000003</v>
      </c>
      <c r="E2156">
        <v>0.44236989999999998</v>
      </c>
      <c r="F2156" t="s">
        <v>42</v>
      </c>
      <c r="G2156">
        <v>-492.66489999999999</v>
      </c>
      <c r="H2156" s="1">
        <v>-4.2968239999999999E-6</v>
      </c>
      <c r="I2156">
        <v>238.2242</v>
      </c>
      <c r="J2156">
        <v>-495.29899999999998</v>
      </c>
      <c r="K2156">
        <v>1.112139</v>
      </c>
      <c r="L2156">
        <v>249.70660000000001</v>
      </c>
      <c r="M2156">
        <v>4.871764E-2</v>
      </c>
      <c r="N2156">
        <v>0</v>
      </c>
      <c r="O2156">
        <v>-0.99870999999999999</v>
      </c>
      <c r="P2156">
        <v>6.0098230000000002E-2</v>
      </c>
      <c r="Q2156">
        <v>9.9598389999999995E-2</v>
      </c>
      <c r="R2156">
        <v>-0.99321099999999996</v>
      </c>
      <c r="S2156">
        <v>0.67727660000000001</v>
      </c>
      <c r="T2156">
        <v>-0.28421869999999999</v>
      </c>
      <c r="U2156">
        <v>-3.0107119999999998</v>
      </c>
      <c r="V2156">
        <v>-1.213439E-2</v>
      </c>
      <c r="W2156">
        <v>0.1137847</v>
      </c>
      <c r="X2156">
        <v>0.99343130000000002</v>
      </c>
      <c r="Y2156">
        <v>-0.17074549999999999</v>
      </c>
      <c r="Z2156">
        <v>9.1989399999999999E-2</v>
      </c>
      <c r="AA2156">
        <v>0.98101170000000004</v>
      </c>
      <c r="AB2156">
        <v>29</v>
      </c>
      <c r="AC2156">
        <v>2.6341000000000401</v>
      </c>
      <c r="AD2156">
        <v>-1.1121432968239999</v>
      </c>
      <c r="AE2156">
        <v>-11.4824</v>
      </c>
      <c r="AF2156">
        <v>-2.0532202564567501</v>
      </c>
      <c r="AG2156">
        <v>-1.1121432968239999</v>
      </c>
      <c r="AH2156">
        <v>11.4946611253605</v>
      </c>
      <c r="AI2156">
        <v>95.440751767062494</v>
      </c>
      <c r="AJ2156">
        <v>100.127580561009</v>
      </c>
      <c r="AK2156">
        <v>11.7294420379261</v>
      </c>
      <c r="AL2156">
        <v>83.466466456209801</v>
      </c>
      <c r="AM2156">
        <v>90.699811613222494</v>
      </c>
      <c r="AN2156">
        <v>0.99999997459722501</v>
      </c>
    </row>
    <row r="2157" spans="1:40" x14ac:dyDescent="0.25">
      <c r="A2157" t="str">
        <f>"20190312164305685"</f>
        <v>20190312164305685</v>
      </c>
      <c r="B2157" t="str">
        <f>"1552380185676807"</f>
        <v>1552380185676807</v>
      </c>
      <c r="C2157" t="s">
        <v>40</v>
      </c>
      <c r="D2157">
        <v>4.7452449999999997</v>
      </c>
      <c r="E2157">
        <v>0.44291829999999999</v>
      </c>
      <c r="F2157" t="s">
        <v>42</v>
      </c>
      <c r="G2157">
        <v>-492.62479999999999</v>
      </c>
      <c r="H2157" s="1">
        <v>-4.2148790000000001E-6</v>
      </c>
      <c r="I2157">
        <v>238.0042</v>
      </c>
      <c r="J2157">
        <v>-495.28210000000001</v>
      </c>
      <c r="K2157">
        <v>1.1118749999999999</v>
      </c>
      <c r="L2157">
        <v>249.40620000000001</v>
      </c>
      <c r="M2157">
        <v>5.0519679999999997E-2</v>
      </c>
      <c r="N2157">
        <v>0</v>
      </c>
      <c r="O2157">
        <v>-0.99862050000000002</v>
      </c>
      <c r="P2157">
        <v>6.4631309999999997E-2</v>
      </c>
      <c r="Q2157">
        <v>9.9698040000000002E-2</v>
      </c>
      <c r="R2157">
        <v>-0.99291640000000003</v>
      </c>
      <c r="S2157">
        <v>0.68725590000000003</v>
      </c>
      <c r="T2157">
        <v>-0.28582619999999997</v>
      </c>
      <c r="U2157">
        <v>-3.007568</v>
      </c>
      <c r="V2157">
        <v>-1.480921E-2</v>
      </c>
      <c r="W2157">
        <v>0.1138633</v>
      </c>
      <c r="X2157">
        <v>0.99338599999999999</v>
      </c>
      <c r="Y2157">
        <v>-0.17227149999999999</v>
      </c>
      <c r="Z2157">
        <v>9.2540579999999997E-2</v>
      </c>
      <c r="AA2157">
        <v>0.98069300000000004</v>
      </c>
      <c r="AB2157">
        <v>29</v>
      </c>
      <c r="AC2157">
        <v>2.6573000000000202</v>
      </c>
      <c r="AD2157">
        <v>-1.111879214879</v>
      </c>
      <c r="AE2157">
        <v>-11.401999999999999</v>
      </c>
      <c r="AF2157">
        <v>-2.0592482998847301</v>
      </c>
      <c r="AG2157">
        <v>-1.111879214879</v>
      </c>
      <c r="AH2157">
        <v>11.4187060095077</v>
      </c>
      <c r="AI2157">
        <v>95.473807090426206</v>
      </c>
      <c r="AJ2157">
        <v>100.222836256319</v>
      </c>
      <c r="AK2157">
        <v>11.6560553310554</v>
      </c>
      <c r="AL2157">
        <v>83.461933415453601</v>
      </c>
      <c r="AM2157">
        <v>90.854091341373902</v>
      </c>
      <c r="AN2157">
        <v>0.99999995439185596</v>
      </c>
    </row>
    <row r="2158" spans="1:40" x14ac:dyDescent="0.25">
      <c r="A2158" t="str">
        <f>"20190312164305708"</f>
        <v>20190312164305708</v>
      </c>
      <c r="B2158" t="str">
        <f>"1552380185696328"</f>
        <v>1552380185696328</v>
      </c>
      <c r="C2158" t="s">
        <v>40</v>
      </c>
      <c r="D2158">
        <v>4.6986610000000004</v>
      </c>
      <c r="E2158">
        <v>0.44343579999999999</v>
      </c>
      <c r="F2158" t="s">
        <v>42</v>
      </c>
      <c r="G2158">
        <v>-492.58969999999999</v>
      </c>
      <c r="H2158" s="1">
        <v>-4.1289319999999996E-6</v>
      </c>
      <c r="I2158">
        <v>237.76990000000001</v>
      </c>
      <c r="J2158">
        <v>-495.26600000000002</v>
      </c>
      <c r="K2158">
        <v>1.1116459999999999</v>
      </c>
      <c r="L2158">
        <v>249.12270000000001</v>
      </c>
      <c r="M2158">
        <v>5.1956189999999999E-2</v>
      </c>
      <c r="N2158">
        <v>0</v>
      </c>
      <c r="O2158">
        <v>-0.99854739999999997</v>
      </c>
      <c r="P2158">
        <v>6.866622E-2</v>
      </c>
      <c r="Q2158">
        <v>0.10005790000000001</v>
      </c>
      <c r="R2158">
        <v>-0.99260979999999999</v>
      </c>
      <c r="S2158">
        <v>0.69528199999999996</v>
      </c>
      <c r="T2158">
        <v>-0.28713499999999997</v>
      </c>
      <c r="U2158">
        <v>-3.0049739999999998</v>
      </c>
      <c r="V2158">
        <v>-1.7357359999999999E-2</v>
      </c>
      <c r="W2158">
        <v>0.11420669999999999</v>
      </c>
      <c r="X2158">
        <v>0.99330540000000001</v>
      </c>
      <c r="Y2158">
        <v>-0.1735167</v>
      </c>
      <c r="Z2158">
        <v>9.2990349999999999E-2</v>
      </c>
      <c r="AA2158">
        <v>0.98043089999999999</v>
      </c>
      <c r="AB2158">
        <v>29</v>
      </c>
      <c r="AC2158">
        <v>2.6762999999999599</v>
      </c>
      <c r="AD2158">
        <v>-1.111650128932</v>
      </c>
      <c r="AE2158">
        <v>-11.3528</v>
      </c>
      <c r="AF2158">
        <v>-2.06402814064506</v>
      </c>
      <c r="AG2158">
        <v>-1.111650128932</v>
      </c>
      <c r="AH2158">
        <v>11.3732219035897</v>
      </c>
      <c r="AI2158">
        <v>95.493347136309097</v>
      </c>
      <c r="AJ2158">
        <v>100.286166209838</v>
      </c>
      <c r="AK2158">
        <v>11.612327701319</v>
      </c>
      <c r="AL2158">
        <v>83.442129370876799</v>
      </c>
      <c r="AM2158">
        <v>91.001104257825304</v>
      </c>
      <c r="AN2158">
        <v>1.0000000329701</v>
      </c>
    </row>
    <row r="2159" spans="1:40" x14ac:dyDescent="0.25">
      <c r="A2159" t="str">
        <f>"20190312164305730"</f>
        <v>20190312164305730</v>
      </c>
      <c r="B2159" t="str">
        <f>"1552380185726584"</f>
        <v>1552380185726584</v>
      </c>
      <c r="C2159" t="s">
        <v>40</v>
      </c>
      <c r="D2159">
        <v>4.6811740000000004</v>
      </c>
      <c r="E2159">
        <v>0.4439882</v>
      </c>
      <c r="F2159" t="s">
        <v>42</v>
      </c>
      <c r="G2159">
        <v>-492.54180000000002</v>
      </c>
      <c r="H2159" s="1">
        <v>-4.0223039999999997E-6</v>
      </c>
      <c r="I2159">
        <v>237.48159999999999</v>
      </c>
      <c r="J2159">
        <v>-495.24930000000001</v>
      </c>
      <c r="K2159">
        <v>1.1114200000000001</v>
      </c>
      <c r="L2159">
        <v>248.8296</v>
      </c>
      <c r="M2159">
        <v>5.314692E-2</v>
      </c>
      <c r="N2159">
        <v>0</v>
      </c>
      <c r="O2159">
        <v>-0.99848490000000001</v>
      </c>
      <c r="P2159">
        <v>7.2506390000000004E-2</v>
      </c>
      <c r="Q2159">
        <v>0.1011503</v>
      </c>
      <c r="R2159">
        <v>-0.99222589999999999</v>
      </c>
      <c r="S2159">
        <v>0.70266719999999905</v>
      </c>
      <c r="T2159">
        <v>-0.286732599999999</v>
      </c>
      <c r="U2159">
        <v>-3.0026250000000001</v>
      </c>
      <c r="V2159">
        <v>-1.9962690000000002E-2</v>
      </c>
      <c r="W2159">
        <v>0.11528529999999999</v>
      </c>
      <c r="X2159">
        <v>0.99313180000000001</v>
      </c>
      <c r="Y2159">
        <v>-0.1748006</v>
      </c>
      <c r="Z2159">
        <v>9.2886609999999994E-2</v>
      </c>
      <c r="AA2159">
        <v>0.98021259999999999</v>
      </c>
      <c r="AB2159">
        <v>29</v>
      </c>
      <c r="AC2159">
        <v>2.70749999999998</v>
      </c>
      <c r="AD2159">
        <v>-1.1114240223039999</v>
      </c>
      <c r="AE2159">
        <v>-11.348000000000001</v>
      </c>
      <c r="AF2159">
        <v>-2.08160823986641</v>
      </c>
      <c r="AG2159">
        <v>-1.1114240223039999</v>
      </c>
      <c r="AH2159">
        <v>11.3726545121848</v>
      </c>
      <c r="AI2159">
        <v>95.491011909479894</v>
      </c>
      <c r="AJ2159">
        <v>100.372389839723</v>
      </c>
      <c r="AK2159">
        <v>11.614888155946799</v>
      </c>
      <c r="AL2159">
        <v>83.379918955033304</v>
      </c>
      <c r="AM2159">
        <v>91.151532835883799</v>
      </c>
      <c r="AN2159">
        <v>0.99999999077968305</v>
      </c>
    </row>
    <row r="2160" spans="1:40" x14ac:dyDescent="0.25">
      <c r="A2160" t="str">
        <f>"20190312164305753"</f>
        <v>20190312164305753</v>
      </c>
      <c r="B2160" t="str">
        <f>"1552380185746105"</f>
        <v>1552380185746105</v>
      </c>
      <c r="C2160" t="s">
        <v>40</v>
      </c>
      <c r="D2160">
        <v>4.6860600000000003</v>
      </c>
      <c r="E2160">
        <v>0.44409589999999999</v>
      </c>
      <c r="F2160" t="s">
        <v>42</v>
      </c>
      <c r="G2160">
        <v>-492.47899999999998</v>
      </c>
      <c r="H2160" s="1">
        <v>-3.8825480000000002E-6</v>
      </c>
      <c r="I2160">
        <v>237.1037</v>
      </c>
      <c r="J2160">
        <v>-495.23200000000003</v>
      </c>
      <c r="K2160">
        <v>1.111194</v>
      </c>
      <c r="L2160">
        <v>248.52789999999999</v>
      </c>
      <c r="M2160">
        <v>5.4038469999999998E-2</v>
      </c>
      <c r="N2160">
        <v>0</v>
      </c>
      <c r="O2160">
        <v>-0.99843720000000002</v>
      </c>
      <c r="P2160">
        <v>7.6571490000000006E-2</v>
      </c>
      <c r="Q2160">
        <v>0.1022662</v>
      </c>
      <c r="R2160">
        <v>-0.99180570000000001</v>
      </c>
      <c r="S2160">
        <v>0.70892330000000003</v>
      </c>
      <c r="T2160">
        <v>-0.28441830000000001</v>
      </c>
      <c r="U2160">
        <v>-3.0007320000000002</v>
      </c>
      <c r="V2160">
        <v>-2.3090780000000002E-2</v>
      </c>
      <c r="W2160">
        <v>0.1163903</v>
      </c>
      <c r="X2160">
        <v>0.99293509999999996</v>
      </c>
      <c r="Y2160">
        <v>-0.17601049999999999</v>
      </c>
      <c r="Z2160">
        <v>9.2161339999999994E-2</v>
      </c>
      <c r="AA2160">
        <v>0.98006459999999995</v>
      </c>
      <c r="AB2160">
        <v>29</v>
      </c>
      <c r="AC2160">
        <v>2.7529999999999202</v>
      </c>
      <c r="AD2160">
        <v>-1.111197882548</v>
      </c>
      <c r="AE2160">
        <v>-11.4241999999999</v>
      </c>
      <c r="AF2160">
        <v>-2.1126769301151702</v>
      </c>
      <c r="AG2160">
        <v>-1.111197882548</v>
      </c>
      <c r="AH2160">
        <v>11.4538710107259</v>
      </c>
      <c r="AI2160">
        <v>95.449847064348106</v>
      </c>
      <c r="AJ2160">
        <v>100.450795720424</v>
      </c>
      <c r="AK2160">
        <v>11.699971182681001</v>
      </c>
      <c r="AL2160">
        <v>83.316178077931596</v>
      </c>
      <c r="AM2160">
        <v>91.332177525114304</v>
      </c>
      <c r="AN2160">
        <v>0.999999999433554</v>
      </c>
    </row>
    <row r="2161" spans="1:40" x14ac:dyDescent="0.25">
      <c r="A2161" t="str">
        <f>"20190312164305775"</f>
        <v>20190312164305775</v>
      </c>
      <c r="B2161" t="str">
        <f>"1552380185766602"</f>
        <v>1552380185766602</v>
      </c>
      <c r="C2161" t="s">
        <v>40</v>
      </c>
      <c r="D2161">
        <v>4.6356010000000003</v>
      </c>
      <c r="E2161">
        <v>0.4444958</v>
      </c>
      <c r="F2161" t="s">
        <v>42</v>
      </c>
      <c r="G2161">
        <v>-492.39370000000002</v>
      </c>
      <c r="H2161" s="1">
        <v>-3.6892479999999998E-6</v>
      </c>
      <c r="I2161">
        <v>236.70419999999999</v>
      </c>
      <c r="J2161">
        <v>-495.21609999999998</v>
      </c>
      <c r="K2161">
        <v>1.1109770000000001</v>
      </c>
      <c r="L2161">
        <v>248.24799999999999</v>
      </c>
      <c r="M2161">
        <v>5.4560909999999997E-2</v>
      </c>
      <c r="N2161">
        <v>0</v>
      </c>
      <c r="O2161">
        <v>-0.99840899999999999</v>
      </c>
      <c r="P2161">
        <v>8.0677739999999998E-2</v>
      </c>
      <c r="Q2161">
        <v>0.104007</v>
      </c>
      <c r="R2161">
        <v>-0.99129929999999999</v>
      </c>
      <c r="S2161">
        <v>0.71972659999999999</v>
      </c>
      <c r="T2161">
        <v>-0.28177629999999998</v>
      </c>
      <c r="U2161">
        <v>-2.9982449999999998</v>
      </c>
      <c r="V2161">
        <v>-2.66371E-2</v>
      </c>
      <c r="W2161">
        <v>0.11812209999999999</v>
      </c>
      <c r="X2161">
        <v>0.99264169999999996</v>
      </c>
      <c r="Y2161">
        <v>-0.17903649999999999</v>
      </c>
      <c r="Z2161">
        <v>9.1319250000000005E-2</v>
      </c>
      <c r="AA2161">
        <v>0.9795952</v>
      </c>
      <c r="AB2161">
        <v>29</v>
      </c>
      <c r="AC2161">
        <v>2.8223999999999498</v>
      </c>
      <c r="AD2161">
        <v>-1.1109806892479901</v>
      </c>
      <c r="AE2161">
        <v>-11.543799999999999</v>
      </c>
      <c r="AF2161">
        <v>-2.16933150136951</v>
      </c>
      <c r="AG2161">
        <v>-1.1109806892479901</v>
      </c>
      <c r="AH2161">
        <v>11.5794081792722</v>
      </c>
      <c r="AI2161">
        <v>95.387280754472002</v>
      </c>
      <c r="AJ2161">
        <v>100.611014978776</v>
      </c>
      <c r="AK2161">
        <v>11.833130229863601</v>
      </c>
      <c r="AL2161">
        <v>83.216263694140906</v>
      </c>
      <c r="AM2161">
        <v>91.537137954926095</v>
      </c>
      <c r="AN2161">
        <v>0.99999995509185302</v>
      </c>
    </row>
    <row r="2162" spans="1:40" x14ac:dyDescent="0.25">
      <c r="A2162" t="str">
        <f>"20190312164305796"</f>
        <v>20190312164305796</v>
      </c>
      <c r="B2162" t="str">
        <f>"1552380185786121"</f>
        <v>1552380185786121</v>
      </c>
      <c r="C2162" t="s">
        <v>40</v>
      </c>
      <c r="D2162">
        <v>4.6162970000000003</v>
      </c>
      <c r="E2162">
        <v>0.44484240000000003</v>
      </c>
      <c r="F2162" t="s">
        <v>42</v>
      </c>
      <c r="G2162">
        <v>-492.28190000000001</v>
      </c>
      <c r="H2162" s="1">
        <v>-3.4285680000000001E-6</v>
      </c>
      <c r="I2162">
        <v>236.16589999999999</v>
      </c>
      <c r="J2162">
        <v>-495.20060000000001</v>
      </c>
      <c r="K2162">
        <v>1.110762</v>
      </c>
      <c r="L2162">
        <v>247.9734</v>
      </c>
      <c r="M2162">
        <v>5.4814540000000002E-2</v>
      </c>
      <c r="N2162">
        <v>0</v>
      </c>
      <c r="O2162">
        <v>-0.99839540000000004</v>
      </c>
      <c r="P2162">
        <v>8.4878499999999996E-2</v>
      </c>
      <c r="Q2162">
        <v>0.1053726</v>
      </c>
      <c r="R2162">
        <v>-0.99080400000000002</v>
      </c>
      <c r="S2162">
        <v>0.72760009999999997</v>
      </c>
      <c r="T2162">
        <v>-0.27549390000000001</v>
      </c>
      <c r="U2162">
        <v>-2.996048</v>
      </c>
      <c r="V2162">
        <v>-3.0544399999999999E-2</v>
      </c>
      <c r="W2162">
        <v>0.1194837</v>
      </c>
      <c r="X2162">
        <v>0.99236619999999998</v>
      </c>
      <c r="Y2162">
        <v>-0.18142449999999999</v>
      </c>
      <c r="Z2162">
        <v>8.9314500000000005E-2</v>
      </c>
      <c r="AA2162">
        <v>0.97934060000000001</v>
      </c>
      <c r="AB2162">
        <v>29</v>
      </c>
      <c r="AC2162">
        <v>2.9186999999999999</v>
      </c>
      <c r="AD2162">
        <v>-1.110765428568</v>
      </c>
      <c r="AE2162">
        <v>-11.807499999999999</v>
      </c>
      <c r="AF2162">
        <v>-2.2482721309239002</v>
      </c>
      <c r="AG2162">
        <v>-1.110765428568</v>
      </c>
      <c r="AH2162">
        <v>11.850910049238101</v>
      </c>
      <c r="AI2162">
        <v>95.2612894803909</v>
      </c>
      <c r="AJ2162">
        <v>100.742097325499</v>
      </c>
      <c r="AK2162">
        <v>12.1133230951347</v>
      </c>
      <c r="AL2162">
        <v>83.137693578722804</v>
      </c>
      <c r="AM2162">
        <v>91.762971037355896</v>
      </c>
      <c r="AN2162">
        <v>0.99999999491974401</v>
      </c>
    </row>
    <row r="2163" spans="1:40" x14ac:dyDescent="0.25">
      <c r="A2163" t="str">
        <f>"20190312164305818"</f>
        <v>20190312164305818</v>
      </c>
      <c r="B2163" t="str">
        <f>"1552380185806617"</f>
        <v>1552380185806617</v>
      </c>
      <c r="C2163" t="s">
        <v>40</v>
      </c>
      <c r="D2163">
        <v>4.6396259999999998</v>
      </c>
      <c r="E2163">
        <v>0.44537369999999998</v>
      </c>
      <c r="F2163" t="s">
        <v>42</v>
      </c>
      <c r="G2163">
        <v>-492.1927</v>
      </c>
      <c r="H2163" s="1">
        <v>-3.23086E-6</v>
      </c>
      <c r="I2163">
        <v>235.7603</v>
      </c>
      <c r="J2163">
        <v>-495.18490000000003</v>
      </c>
      <c r="K2163">
        <v>1.1105560000000001</v>
      </c>
      <c r="L2163">
        <v>247.6935</v>
      </c>
      <c r="M2163">
        <v>5.4833890000000003E-2</v>
      </c>
      <c r="N2163">
        <v>0</v>
      </c>
      <c r="O2163">
        <v>-0.99839409999999895</v>
      </c>
      <c r="P2163">
        <v>8.9473339999999998E-2</v>
      </c>
      <c r="Q2163">
        <v>0.1067535</v>
      </c>
      <c r="R2163">
        <v>-0.99025149999999995</v>
      </c>
      <c r="S2163">
        <v>0.73727419999999899</v>
      </c>
      <c r="T2163">
        <v>-0.27226980000000001</v>
      </c>
      <c r="U2163">
        <v>-2.993668</v>
      </c>
      <c r="V2163">
        <v>-3.5081790000000002E-2</v>
      </c>
      <c r="W2163">
        <v>0.1208651</v>
      </c>
      <c r="X2163">
        <v>0.99204890000000001</v>
      </c>
      <c r="Y2163">
        <v>-0.18459100000000001</v>
      </c>
      <c r="Z2163">
        <v>8.828569E-2</v>
      </c>
      <c r="AA2163">
        <v>0.97884210000000005</v>
      </c>
      <c r="AB2163">
        <v>29</v>
      </c>
      <c r="AC2163">
        <v>2.99220000000002</v>
      </c>
      <c r="AD2163">
        <v>-1.1105592308600001</v>
      </c>
      <c r="AE2163">
        <v>-11.933199999999999</v>
      </c>
      <c r="AF2163">
        <v>-2.31442770219377</v>
      </c>
      <c r="AG2163">
        <v>-1.1105592308600001</v>
      </c>
      <c r="AH2163">
        <v>11.981698125941699</v>
      </c>
      <c r="AI2163">
        <v>95.199919043121199</v>
      </c>
      <c r="AJ2163">
        <v>100.932809395416</v>
      </c>
      <c r="AK2163">
        <v>12.2536120134075</v>
      </c>
      <c r="AL2163">
        <v>83.057967859146004</v>
      </c>
      <c r="AM2163">
        <v>92.025304655375706</v>
      </c>
      <c r="AN2163">
        <v>1.0000000621894101</v>
      </c>
    </row>
    <row r="2164" spans="1:40" x14ac:dyDescent="0.25">
      <c r="A2164" t="str">
        <f>"20190312164305840"</f>
        <v>20190312164305840</v>
      </c>
      <c r="B2164" t="str">
        <f>"1552380185836872"</f>
        <v>1552380185836872</v>
      </c>
      <c r="C2164" t="s">
        <v>40</v>
      </c>
      <c r="D2164">
        <v>4.6720680000000003</v>
      </c>
      <c r="E2164">
        <v>0.45946039999999999</v>
      </c>
      <c r="F2164" t="s">
        <v>42</v>
      </c>
      <c r="G2164">
        <v>-492.12079999999997</v>
      </c>
      <c r="H2164" s="1">
        <v>-3.0666800000000001E-6</v>
      </c>
      <c r="I2164">
        <v>235.42230000000001</v>
      </c>
      <c r="J2164">
        <v>-495.16910000000001</v>
      </c>
      <c r="K2164">
        <v>1.11036</v>
      </c>
      <c r="L2164">
        <v>247.40440000000001</v>
      </c>
      <c r="M2164">
        <v>5.4623430000000001E-2</v>
      </c>
      <c r="N2164">
        <v>0</v>
      </c>
      <c r="O2164">
        <v>-0.99840589999999996</v>
      </c>
      <c r="P2164">
        <v>9.4049090000000002E-2</v>
      </c>
      <c r="Q2164">
        <v>0.10831590000000001</v>
      </c>
      <c r="R2164">
        <v>-0.98965789999999998</v>
      </c>
      <c r="S2164">
        <v>0.74691770000000002</v>
      </c>
      <c r="T2164">
        <v>-0.27070739999999999</v>
      </c>
      <c r="U2164">
        <v>-2.9912109999999998</v>
      </c>
      <c r="V2164">
        <v>-3.9832989999999999E-2</v>
      </c>
      <c r="W2164">
        <v>0.1224312</v>
      </c>
      <c r="X2164">
        <v>0.99167729999999998</v>
      </c>
      <c r="Y2164">
        <v>-0.1879672</v>
      </c>
      <c r="Z2164">
        <v>8.7792309999999998E-2</v>
      </c>
      <c r="AA2164">
        <v>0.9782438</v>
      </c>
      <c r="AB2164">
        <v>29</v>
      </c>
      <c r="AC2164">
        <v>3.04830000000003</v>
      </c>
      <c r="AD2164">
        <v>-1.11036306668</v>
      </c>
      <c r="AE2164">
        <v>-11.982100000000001</v>
      </c>
      <c r="AF2164">
        <v>-2.3700629515541198</v>
      </c>
      <c r="AG2164">
        <v>-1.11036306668</v>
      </c>
      <c r="AH2164">
        <v>12.033675947578701</v>
      </c>
      <c r="AI2164">
        <v>95.173007114750504</v>
      </c>
      <c r="AJ2164">
        <v>101.141943126244</v>
      </c>
      <c r="AK2164">
        <v>12.3150095958351</v>
      </c>
      <c r="AL2164">
        <v>82.967564866855895</v>
      </c>
      <c r="AM2164">
        <v>92.300179695614901</v>
      </c>
      <c r="AN2164">
        <v>0.99999996658053403</v>
      </c>
    </row>
    <row r="2165" spans="1:40" x14ac:dyDescent="0.25">
      <c r="A2165" t="str">
        <f>"20190312164305866"</f>
        <v>20190312164305866</v>
      </c>
      <c r="B2165" t="str">
        <f>"1552380185856392"</f>
        <v>1552380185856392</v>
      </c>
      <c r="C2165" t="s">
        <v>40</v>
      </c>
      <c r="D2165">
        <v>4.7000349999999997</v>
      </c>
      <c r="E2165">
        <v>0.45956920000000001</v>
      </c>
      <c r="F2165" t="s">
        <v>42</v>
      </c>
      <c r="G2165">
        <v>-492.7663</v>
      </c>
      <c r="H2165" s="1">
        <v>-3.6246E-6</v>
      </c>
      <c r="I2165">
        <v>236.32239999999999</v>
      </c>
      <c r="J2165">
        <v>-495.15230000000003</v>
      </c>
      <c r="K2165">
        <v>1.1101859999999999</v>
      </c>
      <c r="L2165">
        <v>247.09049999999999</v>
      </c>
      <c r="M2165">
        <v>5.4153409999999999E-2</v>
      </c>
      <c r="N2165">
        <v>0</v>
      </c>
      <c r="O2165">
        <v>-0.99843170000000003</v>
      </c>
      <c r="P2165">
        <v>9.8878720000000003E-2</v>
      </c>
      <c r="Q2165">
        <v>0.1098655</v>
      </c>
      <c r="R2165">
        <v>-0.98901609999999995</v>
      </c>
      <c r="S2165">
        <v>0.65097050000000001</v>
      </c>
      <c r="T2165">
        <v>-0.30082619999999999</v>
      </c>
      <c r="U2165">
        <v>-3.0024109999999999</v>
      </c>
      <c r="V2165">
        <v>-4.5102250000000003E-2</v>
      </c>
      <c r="W2165">
        <v>0.1239871</v>
      </c>
      <c r="X2165">
        <v>0.99125830000000004</v>
      </c>
      <c r="Y2165">
        <v>-0.15763840000000001</v>
      </c>
      <c r="Z2165">
        <v>9.7730960000000006E-2</v>
      </c>
      <c r="AA2165">
        <v>0.98264879999999999</v>
      </c>
      <c r="AB2165">
        <v>29</v>
      </c>
      <c r="AC2165">
        <v>2.3860000000000201</v>
      </c>
      <c r="AD2165">
        <v>-1.1101896246</v>
      </c>
      <c r="AE2165">
        <v>-10.7681</v>
      </c>
      <c r="AF2165">
        <v>-1.78126208103244</v>
      </c>
      <c r="AG2165">
        <v>-1.1101896246</v>
      </c>
      <c r="AH2165">
        <v>10.7723721321338</v>
      </c>
      <c r="AI2165">
        <v>95.805784436644601</v>
      </c>
      <c r="AJ2165">
        <v>99.389166701385093</v>
      </c>
      <c r="AK2165">
        <v>10.974944963737499</v>
      </c>
      <c r="AL2165">
        <v>82.877734255299998</v>
      </c>
      <c r="AM2165">
        <v>92.605161028095907</v>
      </c>
      <c r="AN2165">
        <v>1.00000001562018</v>
      </c>
    </row>
    <row r="2166" spans="1:40" x14ac:dyDescent="0.25">
      <c r="A2166" t="str">
        <f>"20190312164305886"</f>
        <v>20190312164305886</v>
      </c>
      <c r="B2166" t="str">
        <f>"1552380185876888"</f>
        <v>1552380185876888</v>
      </c>
      <c r="C2166" t="s">
        <v>40</v>
      </c>
      <c r="D2166">
        <v>4.6795640000000001</v>
      </c>
      <c r="E2166">
        <v>0.45889740000000001</v>
      </c>
      <c r="F2166" t="s">
        <v>42</v>
      </c>
      <c r="G2166">
        <v>-492.76089999999999</v>
      </c>
      <c r="H2166" s="1">
        <v>-3.6196999999999998E-6</v>
      </c>
      <c r="I2166">
        <v>236.3143</v>
      </c>
      <c r="J2166">
        <v>-495.13760000000002</v>
      </c>
      <c r="K2166">
        <v>1.110069</v>
      </c>
      <c r="L2166">
        <v>246.8116</v>
      </c>
      <c r="M2166">
        <v>5.3608830000000003E-2</v>
      </c>
      <c r="N2166">
        <v>0</v>
      </c>
      <c r="O2166">
        <v>-0.9984613</v>
      </c>
      <c r="P2166">
        <v>0.1040083</v>
      </c>
      <c r="Q2166">
        <v>0.1122927</v>
      </c>
      <c r="R2166">
        <v>-0.98821740000000002</v>
      </c>
      <c r="S2166">
        <v>0.6659851</v>
      </c>
      <c r="T2166">
        <v>-0.30918050000000002</v>
      </c>
      <c r="U2166">
        <v>-3.001099</v>
      </c>
      <c r="V2166">
        <v>-5.0769620000000001E-2</v>
      </c>
      <c r="W2166">
        <v>0.12641740000000001</v>
      </c>
      <c r="X2166">
        <v>0.99067709999999998</v>
      </c>
      <c r="Y2166">
        <v>-0.16289719999999999</v>
      </c>
      <c r="Z2166">
        <v>0.10036879999999999</v>
      </c>
      <c r="AA2166">
        <v>0.98152459999999997</v>
      </c>
      <c r="AB2166">
        <v>29</v>
      </c>
      <c r="AC2166">
        <v>2.37670000000002</v>
      </c>
      <c r="AD2166">
        <v>-1.1100726196999999</v>
      </c>
      <c r="AE2166">
        <v>-10.4972999999999</v>
      </c>
      <c r="AF2166">
        <v>-1.7914209622236601</v>
      </c>
      <c r="AG2166">
        <v>-1.1100726196999999</v>
      </c>
      <c r="AH2166">
        <v>10.4979556355954</v>
      </c>
      <c r="AI2166">
        <v>95.950738333968403</v>
      </c>
      <c r="AJ2166">
        <v>99.683945040467194</v>
      </c>
      <c r="AK2166">
        <v>10.7074050456603</v>
      </c>
      <c r="AL2166">
        <v>82.737383899551105</v>
      </c>
      <c r="AM2166">
        <v>92.933692954363707</v>
      </c>
      <c r="AN2166">
        <v>1.0000000149010499</v>
      </c>
    </row>
    <row r="2167" spans="1:40" x14ac:dyDescent="0.25">
      <c r="A2167" t="str">
        <f>"20190312164305907"</f>
        <v>20190312164305907</v>
      </c>
      <c r="B2167" t="str">
        <f>"1552380185896408"</f>
        <v>1552380185896408</v>
      </c>
      <c r="C2167" t="s">
        <v>40</v>
      </c>
      <c r="D2167">
        <v>4.7222089999999897</v>
      </c>
      <c r="E2167">
        <v>0.43154749999999997</v>
      </c>
      <c r="F2167" t="s">
        <v>42</v>
      </c>
      <c r="G2167">
        <v>-492.61509999999998</v>
      </c>
      <c r="H2167" s="1">
        <v>-3.3769900000000002E-6</v>
      </c>
      <c r="I2167">
        <v>235.839</v>
      </c>
      <c r="J2167">
        <v>-495.1241</v>
      </c>
      <c r="K2167">
        <v>1.1099939999999999</v>
      </c>
      <c r="L2167">
        <v>246.55160000000001</v>
      </c>
      <c r="M2167">
        <v>5.3037109999999998E-2</v>
      </c>
      <c r="N2167">
        <v>0</v>
      </c>
      <c r="O2167">
        <v>-0.99849180000000004</v>
      </c>
      <c r="P2167">
        <v>0.1090869</v>
      </c>
      <c r="Q2167">
        <v>0.1145664</v>
      </c>
      <c r="R2167">
        <v>-0.98740830000000002</v>
      </c>
      <c r="S2167">
        <v>0.68911739999999999</v>
      </c>
      <c r="T2167">
        <v>-0.30326779999999998</v>
      </c>
      <c r="U2167">
        <v>-2.997681</v>
      </c>
      <c r="V2167">
        <v>-5.6425059999999999E-2</v>
      </c>
      <c r="W2167">
        <v>0.12869220000000001</v>
      </c>
      <c r="X2167">
        <v>0.99007800000000001</v>
      </c>
      <c r="Y2167">
        <v>-0.17094279999999901</v>
      </c>
      <c r="Z2167">
        <v>9.8431870000000005E-2</v>
      </c>
      <c r="AA2167">
        <v>0.98035190000000005</v>
      </c>
      <c r="AB2167">
        <v>29</v>
      </c>
      <c r="AC2167">
        <v>2.5090000000000101</v>
      </c>
      <c r="AD2167">
        <v>-1.10999737699</v>
      </c>
      <c r="AE2167">
        <v>-10.712599999999901</v>
      </c>
      <c r="AF2167">
        <v>-1.91772688255091</v>
      </c>
      <c r="AG2167">
        <v>-1.10999737699</v>
      </c>
      <c r="AH2167">
        <v>10.7214799156071</v>
      </c>
      <c r="AI2167">
        <v>95.8190822733023</v>
      </c>
      <c r="AJ2167">
        <v>100.141123567313</v>
      </c>
      <c r="AK2167">
        <v>10.9480547200746</v>
      </c>
      <c r="AL2167">
        <v>82.605973590128002</v>
      </c>
      <c r="AM2167">
        <v>93.261787976652997</v>
      </c>
      <c r="AN2167">
        <v>0.99999995791042096</v>
      </c>
    </row>
    <row r="2168" spans="1:40" x14ac:dyDescent="0.25">
      <c r="A2168" t="str">
        <f>"20190312164305936"</f>
        <v>20190312164305936</v>
      </c>
      <c r="B2168" t="str">
        <f>"1552380185926346"</f>
        <v>1552380185926346</v>
      </c>
      <c r="C2168" t="s">
        <v>40</v>
      </c>
      <c r="D2168">
        <v>4.7579669999999998</v>
      </c>
      <c r="E2168">
        <v>0.41464390000000001</v>
      </c>
      <c r="F2168" t="s">
        <v>42</v>
      </c>
      <c r="G2168">
        <v>-490.9597</v>
      </c>
      <c r="H2168" s="1">
        <v>-1.768503E-6</v>
      </c>
      <c r="I2168">
        <v>233.1163</v>
      </c>
      <c r="J2168">
        <v>-495.1053</v>
      </c>
      <c r="K2168">
        <v>1.1099460000000001</v>
      </c>
      <c r="L2168">
        <v>246.18170000000001</v>
      </c>
      <c r="M2168">
        <v>5.2179450000000002E-2</v>
      </c>
      <c r="N2168">
        <v>0</v>
      </c>
      <c r="O2168">
        <v>-0.99853709999999996</v>
      </c>
      <c r="P2168">
        <v>0.1142031</v>
      </c>
      <c r="Q2168">
        <v>0.1162644</v>
      </c>
      <c r="R2168">
        <v>-0.98663089999999998</v>
      </c>
      <c r="S2168">
        <v>0.91909790000000002</v>
      </c>
      <c r="T2168">
        <v>-0.24497630000000001</v>
      </c>
      <c r="U2168">
        <v>-2.965179</v>
      </c>
      <c r="V2168">
        <v>-6.2405799999999997E-2</v>
      </c>
      <c r="W2168">
        <v>0.1303877</v>
      </c>
      <c r="X2168">
        <v>0.98949710000000002</v>
      </c>
      <c r="Y2168">
        <v>-0.24489269999999999</v>
      </c>
      <c r="Z2168">
        <v>7.9073589999999999E-2</v>
      </c>
      <c r="AA2168">
        <v>0.96632030000000002</v>
      </c>
      <c r="AB2168">
        <v>29</v>
      </c>
      <c r="AC2168">
        <v>4.1456</v>
      </c>
      <c r="AD2168">
        <v>-1.1099477685029999</v>
      </c>
      <c r="AE2168">
        <v>-13.0654</v>
      </c>
      <c r="AF2168">
        <v>-3.4356104937680501</v>
      </c>
      <c r="AG2168">
        <v>-1.1099477685029999</v>
      </c>
      <c r="AH2168">
        <v>13.1775306060575</v>
      </c>
      <c r="AI2168">
        <v>94.659635612022598</v>
      </c>
      <c r="AJ2168">
        <v>104.612706600759</v>
      </c>
      <c r="AK2168">
        <v>13.6631883682864</v>
      </c>
      <c r="AL2168">
        <v>82.5080032177855</v>
      </c>
      <c r="AM2168">
        <v>93.608761953596897</v>
      </c>
      <c r="AN2168">
        <v>0.99999997354666903</v>
      </c>
    </row>
    <row r="2169" spans="1:40" x14ac:dyDescent="0.25">
      <c r="A2169" t="str">
        <f>"20190312164305955"</f>
        <v>20190312164305955</v>
      </c>
      <c r="B2169" t="str">
        <f>"1552380185946842"</f>
        <v>1552380185946842</v>
      </c>
      <c r="C2169" t="s">
        <v>40</v>
      </c>
      <c r="D2169">
        <v>6.7127600000000003</v>
      </c>
      <c r="E2169">
        <v>0.41222750000000002</v>
      </c>
      <c r="F2169" t="s">
        <v>42</v>
      </c>
      <c r="G2169">
        <v>-490.77170000000001</v>
      </c>
      <c r="H2169" s="1">
        <v>-2.2130010000000001E-6</v>
      </c>
      <c r="I2169">
        <v>234.26900000000001</v>
      </c>
      <c r="J2169">
        <v>-495.09300000000002</v>
      </c>
      <c r="K2169">
        <v>1.109944</v>
      </c>
      <c r="L2169">
        <v>245.93369999999999</v>
      </c>
      <c r="M2169">
        <v>5.1621439999999998E-2</v>
      </c>
      <c r="N2169">
        <v>0</v>
      </c>
      <c r="O2169">
        <v>-0.99856619999999996</v>
      </c>
      <c r="P2169">
        <v>0.11961040000000001</v>
      </c>
      <c r="Q2169">
        <v>0.1174896</v>
      </c>
      <c r="R2169">
        <v>-0.98584479999999997</v>
      </c>
      <c r="S2169">
        <v>1.072754</v>
      </c>
      <c r="T2169">
        <v>-0.27475630000000001</v>
      </c>
      <c r="U2169">
        <v>-2.9488530000000002</v>
      </c>
      <c r="V2169">
        <v>-6.8397970000000002E-2</v>
      </c>
      <c r="W2169">
        <v>0.13160740000000001</v>
      </c>
      <c r="X2169">
        <v>0.98893949999999997</v>
      </c>
      <c r="Y2169">
        <v>-0.29157889999999997</v>
      </c>
      <c r="Z2169">
        <v>8.7782970000000002E-2</v>
      </c>
      <c r="AA2169">
        <v>0.95251030000000003</v>
      </c>
      <c r="AB2169">
        <v>29</v>
      </c>
      <c r="AC2169">
        <v>4.3212999999999999</v>
      </c>
      <c r="AD2169">
        <v>-1.109946213001</v>
      </c>
      <c r="AE2169">
        <v>-11.6646999999999</v>
      </c>
      <c r="AF2169">
        <v>-3.68399749940111</v>
      </c>
      <c r="AG2169">
        <v>-1.109946213001</v>
      </c>
      <c r="AH2169">
        <v>11.7784624467313</v>
      </c>
      <c r="AI2169">
        <v>95.139276426425397</v>
      </c>
      <c r="AJ2169">
        <v>107.36832889193001</v>
      </c>
      <c r="AK2169">
        <v>12.3909642796841</v>
      </c>
      <c r="AL2169">
        <v>82.437512780846305</v>
      </c>
      <c r="AM2169">
        <v>93.956444407873605</v>
      </c>
      <c r="AN2169">
        <v>1.00000006234756</v>
      </c>
    </row>
    <row r="2170" spans="1:40" x14ac:dyDescent="0.25">
      <c r="A2170" t="str">
        <f>"20190312164305976"</f>
        <v>20190312164305976</v>
      </c>
      <c r="B2170" t="str">
        <f>"1552380185966365"</f>
        <v>1552380185966365</v>
      </c>
      <c r="C2170" t="s">
        <v>40</v>
      </c>
      <c r="D2170">
        <v>4.6569229999999999</v>
      </c>
      <c r="E2170">
        <v>0.4109893</v>
      </c>
      <c r="F2170" t="s">
        <v>42</v>
      </c>
      <c r="G2170">
        <v>-490.76710000000003</v>
      </c>
      <c r="H2170" s="1">
        <v>-2.2914950000000001E-6</v>
      </c>
      <c r="I2170">
        <v>234.45490000000001</v>
      </c>
      <c r="J2170">
        <v>-495.0795</v>
      </c>
      <c r="K2170">
        <v>1.1099749999999999</v>
      </c>
      <c r="L2170">
        <v>245.66139999999999</v>
      </c>
      <c r="M2170">
        <v>5.1069719999999999E-2</v>
      </c>
      <c r="N2170">
        <v>0</v>
      </c>
      <c r="O2170">
        <v>-0.99859469999999995</v>
      </c>
      <c r="P2170">
        <v>0.1251419</v>
      </c>
      <c r="Q2170">
        <v>0.1194431</v>
      </c>
      <c r="R2170">
        <v>-0.98492290000000005</v>
      </c>
      <c r="S2170">
        <v>1.108887</v>
      </c>
      <c r="T2170">
        <v>-0.28451979999999999</v>
      </c>
      <c r="U2170">
        <v>-2.9424290000000002</v>
      </c>
      <c r="V2170">
        <v>-7.4523950000000005E-2</v>
      </c>
      <c r="W2170">
        <v>0.13354750000000001</v>
      </c>
      <c r="X2170">
        <v>0.98823640000000001</v>
      </c>
      <c r="Y2170">
        <v>-0.30294490000000002</v>
      </c>
      <c r="Z2170">
        <v>9.0713669999999996E-2</v>
      </c>
      <c r="AA2170">
        <v>0.94868090000000005</v>
      </c>
      <c r="AB2170">
        <v>29</v>
      </c>
      <c r="AC2170">
        <v>4.3123999999999603</v>
      </c>
      <c r="AD2170">
        <v>-1.1099772914949999</v>
      </c>
      <c r="AE2170">
        <v>-11.206499999999901</v>
      </c>
      <c r="AF2170">
        <v>-3.70276100920589</v>
      </c>
      <c r="AG2170">
        <v>-1.1099772914949999</v>
      </c>
      <c r="AH2170">
        <v>11.3154374888564</v>
      </c>
      <c r="AI2170">
        <v>95.326259428132502</v>
      </c>
      <c r="AJ2170">
        <v>108.119696534748</v>
      </c>
      <c r="AK2170">
        <v>11.957491971276699</v>
      </c>
      <c r="AL2170">
        <v>82.325362516213602</v>
      </c>
      <c r="AM2170">
        <v>94.312572616874704</v>
      </c>
      <c r="AN2170">
        <v>0.99999996808240499</v>
      </c>
    </row>
    <row r="2171" spans="1:40" x14ac:dyDescent="0.25">
      <c r="A2171" t="str">
        <f>"20190312164305997"</f>
        <v>20190312164305997</v>
      </c>
      <c r="B2171" t="str">
        <f>"1552380185986858"</f>
        <v>1552380185986858</v>
      </c>
      <c r="C2171" t="s">
        <v>40</v>
      </c>
      <c r="D2171">
        <v>4.652787</v>
      </c>
      <c r="E2171">
        <v>0.41036869999999998</v>
      </c>
      <c r="F2171" t="s">
        <v>42</v>
      </c>
      <c r="G2171">
        <v>-490.73759999999999</v>
      </c>
      <c r="H2171" s="1">
        <v>-2.2739840000000001E-6</v>
      </c>
      <c r="I2171">
        <v>234.4323</v>
      </c>
      <c r="J2171">
        <v>-495.06619999999998</v>
      </c>
      <c r="K2171">
        <v>1.1100399999999999</v>
      </c>
      <c r="L2171">
        <v>245.39099999999999</v>
      </c>
      <c r="M2171">
        <v>5.0620680000000001E-2</v>
      </c>
      <c r="N2171">
        <v>0</v>
      </c>
      <c r="O2171">
        <v>-0.99861759999999999</v>
      </c>
      <c r="P2171">
        <v>0.1313829</v>
      </c>
      <c r="Q2171">
        <v>0.1220591</v>
      </c>
      <c r="R2171">
        <v>-0.98378869999999896</v>
      </c>
      <c r="S2171">
        <v>1.135559</v>
      </c>
      <c r="T2171">
        <v>-0.2903018</v>
      </c>
      <c r="U2171">
        <v>-2.9368289999999999</v>
      </c>
      <c r="V2171">
        <v>-8.1276500000000002E-2</v>
      </c>
      <c r="W2171">
        <v>0.1361414</v>
      </c>
      <c r="X2171">
        <v>0.98734980000000006</v>
      </c>
      <c r="Y2171">
        <v>-0.3114191</v>
      </c>
      <c r="Z2171">
        <v>9.2434000000000002E-2</v>
      </c>
      <c r="AA2171">
        <v>0.94576640000000001</v>
      </c>
      <c r="AB2171">
        <v>29</v>
      </c>
      <c r="AC2171">
        <v>4.32859999999999</v>
      </c>
      <c r="AD2171">
        <v>-1.1100422739839999</v>
      </c>
      <c r="AE2171">
        <v>-10.958699999999901</v>
      </c>
      <c r="AF2171">
        <v>-3.7351057836530401</v>
      </c>
      <c r="AG2171">
        <v>-1.1100422739839999</v>
      </c>
      <c r="AH2171">
        <v>11.065573007505</v>
      </c>
      <c r="AI2171">
        <v>95.429446867958802</v>
      </c>
      <c r="AJ2171">
        <v>108.651746203523</v>
      </c>
      <c r="AK2171">
        <v>11.731586211997699</v>
      </c>
      <c r="AL2171">
        <v>82.175373221211203</v>
      </c>
      <c r="AM2171">
        <v>94.7058544722438</v>
      </c>
      <c r="AN2171">
        <v>0.99999998890312403</v>
      </c>
    </row>
    <row r="2172" spans="1:40" x14ac:dyDescent="0.25">
      <c r="A2172" t="str">
        <f>"20190312164306021"</f>
        <v>20190312164306021</v>
      </c>
      <c r="B2172" t="str">
        <f>"1552380186016139"</f>
        <v>1552380186016139</v>
      </c>
      <c r="C2172" t="s">
        <v>40</v>
      </c>
      <c r="D2172">
        <v>4.6848199999999904</v>
      </c>
      <c r="E2172">
        <v>0.40988570000000002</v>
      </c>
      <c r="F2172" t="s">
        <v>42</v>
      </c>
      <c r="G2172">
        <v>-490.71600000000001</v>
      </c>
      <c r="H2172" s="1">
        <v>-2.2541580000000001E-6</v>
      </c>
      <c r="I2172">
        <v>234.39949999999999</v>
      </c>
      <c r="J2172">
        <v>-495.0521</v>
      </c>
      <c r="K2172">
        <v>1.1101379999999901</v>
      </c>
      <c r="L2172">
        <v>245.10550000000001</v>
      </c>
      <c r="M2172">
        <v>5.0277700000000002E-2</v>
      </c>
      <c r="N2172">
        <v>0</v>
      </c>
      <c r="O2172">
        <v>-0.99863489999999999</v>
      </c>
      <c r="P2172">
        <v>0.1374522</v>
      </c>
      <c r="Q2172">
        <v>0.1251447</v>
      </c>
      <c r="R2172">
        <v>-0.98257090000000002</v>
      </c>
      <c r="S2172">
        <v>1.160126</v>
      </c>
      <c r="T2172">
        <v>-0.29603359999999901</v>
      </c>
      <c r="U2172">
        <v>-2.9312740000000002</v>
      </c>
      <c r="V2172">
        <v>-8.7766189999999994E-2</v>
      </c>
      <c r="W2172">
        <v>0.13919479999999901</v>
      </c>
      <c r="X2172">
        <v>0.98636809999999997</v>
      </c>
      <c r="Y2172">
        <v>-0.31915120000000002</v>
      </c>
      <c r="Z2172">
        <v>9.4147549999999997E-2</v>
      </c>
      <c r="AA2172">
        <v>0.94301579999999996</v>
      </c>
      <c r="AB2172">
        <v>29</v>
      </c>
      <c r="AC2172">
        <v>4.3360999999999796</v>
      </c>
      <c r="AD2172">
        <v>-1.1101402541580001</v>
      </c>
      <c r="AE2172">
        <v>-10.706</v>
      </c>
      <c r="AF2172">
        <v>-3.7575788996069202</v>
      </c>
      <c r="AG2172">
        <v>-1.1101402541580001</v>
      </c>
      <c r="AH2172">
        <v>10.8106296322595</v>
      </c>
      <c r="AI2172">
        <v>95.540212012587602</v>
      </c>
      <c r="AJ2172">
        <v>109.166524812752</v>
      </c>
      <c r="AK2172">
        <v>11.4987618297172</v>
      </c>
      <c r="AL2172">
        <v>81.998745020363501</v>
      </c>
      <c r="AM2172">
        <v>95.084738562965896</v>
      </c>
      <c r="AN2172">
        <v>1.00000006257588</v>
      </c>
    </row>
    <row r="2173" spans="1:40" x14ac:dyDescent="0.25">
      <c r="A2173" t="str">
        <f>"20190312164306044"</f>
        <v>20190312164306044</v>
      </c>
      <c r="B2173" t="str">
        <f>"1552380186036247"</f>
        <v>1552380186036247</v>
      </c>
      <c r="C2173" t="s">
        <v>40</v>
      </c>
      <c r="D2173">
        <v>4.7016669999999996</v>
      </c>
      <c r="E2173">
        <v>0.40977910000000001</v>
      </c>
      <c r="F2173" t="s">
        <v>42</v>
      </c>
      <c r="G2173">
        <v>-490.81959999999998</v>
      </c>
      <c r="H2173" s="1">
        <v>-2.3865529999999999E-6</v>
      </c>
      <c r="I2173">
        <v>234.6439</v>
      </c>
      <c r="J2173">
        <v>-495.03769999999997</v>
      </c>
      <c r="K2173">
        <v>1.1102590000000001</v>
      </c>
      <c r="L2173">
        <v>244.81399999999999</v>
      </c>
      <c r="M2173">
        <v>5.0076250000000003E-2</v>
      </c>
      <c r="N2173">
        <v>0</v>
      </c>
      <c r="O2173">
        <v>-0.99864489999999995</v>
      </c>
      <c r="P2173">
        <v>0.14287729999999901</v>
      </c>
      <c r="Q2173">
        <v>0.1288318</v>
      </c>
      <c r="R2173">
        <v>-0.98131990000000002</v>
      </c>
      <c r="S2173">
        <v>1.184204</v>
      </c>
      <c r="T2173">
        <v>-0.31060969999999999</v>
      </c>
      <c r="U2173">
        <v>-2.9271090000000002</v>
      </c>
      <c r="V2173">
        <v>-9.3479549999999995E-2</v>
      </c>
      <c r="W2173">
        <v>0.14284349999999901</v>
      </c>
      <c r="X2173">
        <v>0.98532090000000006</v>
      </c>
      <c r="Y2173">
        <v>-0.32631569999999999</v>
      </c>
      <c r="Z2173">
        <v>9.859946E-2</v>
      </c>
      <c r="AA2173">
        <v>0.94010439999999995</v>
      </c>
      <c r="AB2173">
        <v>29</v>
      </c>
      <c r="AC2173">
        <v>4.21809999999999</v>
      </c>
      <c r="AD2173">
        <v>-1.110261386553</v>
      </c>
      <c r="AE2173">
        <v>-10.1701</v>
      </c>
      <c r="AF2173">
        <v>-3.6661949611306501</v>
      </c>
      <c r="AG2173">
        <v>-1.110261386553</v>
      </c>
      <c r="AH2173">
        <v>10.2642123987871</v>
      </c>
      <c r="AI2173">
        <v>95.8163866154582</v>
      </c>
      <c r="AJ2173">
        <v>109.655828142175</v>
      </c>
      <c r="AK2173">
        <v>10.9557164077438</v>
      </c>
      <c r="AL2173">
        <v>81.787578942726498</v>
      </c>
      <c r="AM2173">
        <v>95.419554842139405</v>
      </c>
      <c r="AN2173">
        <v>0.99999998386863098</v>
      </c>
    </row>
    <row r="2174" spans="1:40" x14ac:dyDescent="0.25">
      <c r="A2174" t="str">
        <f>"20190312164306065"</f>
        <v>20190312164306065</v>
      </c>
      <c r="B2174" t="str">
        <f>"1552380186056746"</f>
        <v>1552380186056746</v>
      </c>
      <c r="C2174" t="s">
        <v>40</v>
      </c>
      <c r="D2174">
        <v>4.7095599999999997</v>
      </c>
      <c r="E2174">
        <v>0.40988550000000001</v>
      </c>
      <c r="F2174" t="s">
        <v>42</v>
      </c>
      <c r="G2174">
        <v>-490.75959999999998</v>
      </c>
      <c r="H2174" s="1">
        <v>-2.271163E-6</v>
      </c>
      <c r="I2174">
        <v>234.41210000000001</v>
      </c>
      <c r="J2174">
        <v>-495.02339999999998</v>
      </c>
      <c r="K2174">
        <v>1.110379</v>
      </c>
      <c r="L2174">
        <v>244.52879999999999</v>
      </c>
      <c r="M2174">
        <v>5.0029400000000002E-2</v>
      </c>
      <c r="N2174">
        <v>0</v>
      </c>
      <c r="O2174">
        <v>-0.99864759999999997</v>
      </c>
      <c r="P2174">
        <v>0.1485852</v>
      </c>
      <c r="Q2174">
        <v>0.1323442</v>
      </c>
      <c r="R2174">
        <v>-0.98000410000000004</v>
      </c>
      <c r="S2174">
        <v>1.2021790000000001</v>
      </c>
      <c r="T2174">
        <v>-0.31199660000000001</v>
      </c>
      <c r="U2174">
        <v>-2.9230649999999998</v>
      </c>
      <c r="V2174">
        <v>-9.9327600000000002E-2</v>
      </c>
      <c r="W2174">
        <v>0.14631420000000001</v>
      </c>
      <c r="X2174">
        <v>0.98423890000000003</v>
      </c>
      <c r="Y2174">
        <v>-0.33174870000000001</v>
      </c>
      <c r="Z2174">
        <v>9.8955070000000006E-2</v>
      </c>
      <c r="AA2174">
        <v>0.93816350000000004</v>
      </c>
      <c r="AB2174">
        <v>29</v>
      </c>
      <c r="AC2174">
        <v>4.2637999999999998</v>
      </c>
      <c r="AD2174">
        <v>-1.1103812711629999</v>
      </c>
      <c r="AE2174">
        <v>-10.1166999999999</v>
      </c>
      <c r="AF2174">
        <v>-3.7142809822773599</v>
      </c>
      <c r="AG2174">
        <v>-1.1103812711629999</v>
      </c>
      <c r="AH2174">
        <v>10.2128919011594</v>
      </c>
      <c r="AI2174">
        <v>95.834008090739701</v>
      </c>
      <c r="AJ2174">
        <v>109.985594404941</v>
      </c>
      <c r="AK2174">
        <v>10.923918288207</v>
      </c>
      <c r="AL2174">
        <v>81.586611115866106</v>
      </c>
      <c r="AM2174">
        <v>95.762675445541106</v>
      </c>
      <c r="AN2174">
        <v>1.0000000147582999</v>
      </c>
    </row>
    <row r="2175" spans="1:40" x14ac:dyDescent="0.25">
      <c r="A2175" t="str">
        <f>"20190312164306086"</f>
        <v>20190312164306086</v>
      </c>
      <c r="B2175" t="str">
        <f>"1552380186076266"</f>
        <v>1552380186076266</v>
      </c>
      <c r="C2175" t="s">
        <v>40</v>
      </c>
      <c r="D2175">
        <v>4.7243009999999996</v>
      </c>
      <c r="E2175">
        <v>0.41018719999999997</v>
      </c>
      <c r="F2175" t="s">
        <v>42</v>
      </c>
      <c r="G2175">
        <v>-490.66030000000001</v>
      </c>
      <c r="H2175" s="1">
        <v>-2.1046409999999998E-6</v>
      </c>
      <c r="I2175">
        <v>234.0855</v>
      </c>
      <c r="J2175">
        <v>-495.00940000000003</v>
      </c>
      <c r="K2175">
        <v>1.1104830000000001</v>
      </c>
      <c r="L2175">
        <v>244.25</v>
      </c>
      <c r="M2175">
        <v>5.0105999999999998E-2</v>
      </c>
      <c r="N2175">
        <v>0</v>
      </c>
      <c r="O2175">
        <v>-0.99864370000000002</v>
      </c>
      <c r="P2175">
        <v>0.15453610000000001</v>
      </c>
      <c r="Q2175">
        <v>0.13525239999999999</v>
      </c>
      <c r="R2175">
        <v>-0.97868569999999999</v>
      </c>
      <c r="S2175">
        <v>1.2192379999999901</v>
      </c>
      <c r="T2175">
        <v>-0.31028539999999999</v>
      </c>
      <c r="U2175">
        <v>-2.9182739999999998</v>
      </c>
      <c r="V2175">
        <v>-0.1052945</v>
      </c>
      <c r="W2175">
        <v>0.14918110000000001</v>
      </c>
      <c r="X2175">
        <v>0.9831877</v>
      </c>
      <c r="Y2175">
        <v>-0.33691459999999901</v>
      </c>
      <c r="Z2175">
        <v>9.8367330000000003E-2</v>
      </c>
      <c r="AA2175">
        <v>0.93638270000000001</v>
      </c>
      <c r="AB2175">
        <v>28</v>
      </c>
      <c r="AC2175">
        <v>4.3491000000000204</v>
      </c>
      <c r="AD2175">
        <v>-1.11048510464099</v>
      </c>
      <c r="AE2175">
        <v>-10.1645</v>
      </c>
      <c r="AF2175">
        <v>-3.7959854973378699</v>
      </c>
      <c r="AG2175">
        <v>-1.11048510464099</v>
      </c>
      <c r="AH2175">
        <v>10.266094633068301</v>
      </c>
      <c r="AI2175">
        <v>95.793212258489305</v>
      </c>
      <c r="AJ2175">
        <v>110.29234984476101</v>
      </c>
      <c r="AK2175">
        <v>11.0016081587531</v>
      </c>
      <c r="AL2175">
        <v>81.420526839943506</v>
      </c>
      <c r="AM2175">
        <v>96.112793424638397</v>
      </c>
      <c r="AN2175">
        <v>0.99999999287937402</v>
      </c>
    </row>
    <row r="2176" spans="1:40" x14ac:dyDescent="0.25">
      <c r="A2176" t="str">
        <f>"20190312164306109"</f>
        <v>20190312164306109</v>
      </c>
      <c r="B2176" t="str">
        <f>"1552380186106519"</f>
        <v>1552380186106519</v>
      </c>
      <c r="C2176" t="s">
        <v>40</v>
      </c>
      <c r="D2176">
        <v>4.861059</v>
      </c>
      <c r="E2176">
        <v>0.41067559999999897</v>
      </c>
      <c r="F2176" t="s">
        <v>42</v>
      </c>
      <c r="G2176">
        <v>-490.60980000000001</v>
      </c>
      <c r="H2176" s="1">
        <v>-1.9995870000000002E-6</v>
      </c>
      <c r="I2176">
        <v>233.87200000000001</v>
      </c>
      <c r="J2176">
        <v>-494.99549999999999</v>
      </c>
      <c r="K2176">
        <v>1.110576</v>
      </c>
      <c r="L2176">
        <v>243.97569999999999</v>
      </c>
      <c r="M2176">
        <v>5.0302340000000001E-2</v>
      </c>
      <c r="N2176">
        <v>0</v>
      </c>
      <c r="O2176">
        <v>-0.99863389999999996</v>
      </c>
      <c r="P2176">
        <v>0.15761159999999999</v>
      </c>
      <c r="Q2176">
        <v>0.13652700000000001</v>
      </c>
      <c r="R2176">
        <v>-0.97801800000000005</v>
      </c>
      <c r="S2176">
        <v>1.235077</v>
      </c>
      <c r="T2176">
        <v>-0.3117414</v>
      </c>
      <c r="U2176">
        <v>-2.913376</v>
      </c>
      <c r="V2176">
        <v>-0.10823869999999999</v>
      </c>
      <c r="W2176">
        <v>0.150421</v>
      </c>
      <c r="X2176">
        <v>0.98267890000000002</v>
      </c>
      <c r="Y2176">
        <v>-0.34159270000000003</v>
      </c>
      <c r="Z2176">
        <v>9.8789160000000001E-2</v>
      </c>
      <c r="AA2176">
        <v>0.93464170000000002</v>
      </c>
      <c r="AB2176">
        <v>28</v>
      </c>
      <c r="AC2176">
        <v>4.3856999999999804</v>
      </c>
      <c r="AD2176">
        <v>-1.110577999587</v>
      </c>
      <c r="AE2176">
        <v>-10.1036999999999</v>
      </c>
      <c r="AF2176">
        <v>-3.83288932572931</v>
      </c>
      <c r="AG2176">
        <v>-1.110577999587</v>
      </c>
      <c r="AH2176">
        <v>10.2077629506178</v>
      </c>
      <c r="AI2176">
        <v>95.815738905885894</v>
      </c>
      <c r="AJ2176">
        <v>110.580538871163</v>
      </c>
      <c r="AK2176">
        <v>10.9600569584497</v>
      </c>
      <c r="AL2176">
        <v>81.348674720037593</v>
      </c>
      <c r="AM2176">
        <v>96.285595210441898</v>
      </c>
      <c r="AN2176">
        <v>0.99999995696194899</v>
      </c>
    </row>
    <row r="2177" spans="1:40" x14ac:dyDescent="0.25">
      <c r="A2177" t="str">
        <f>"20190312164306134"</f>
        <v>20190312164306134</v>
      </c>
      <c r="B2177" t="str">
        <f>"1552380186126033"</f>
        <v>1552380186126033</v>
      </c>
      <c r="C2177" t="s">
        <v>40</v>
      </c>
      <c r="D2177">
        <v>4.7163370000000002</v>
      </c>
      <c r="E2177">
        <v>0.41112979999999999</v>
      </c>
      <c r="F2177" t="s">
        <v>42</v>
      </c>
      <c r="G2177">
        <v>-490.697</v>
      </c>
      <c r="H2177" s="1">
        <v>-2.0301280000000002E-6</v>
      </c>
      <c r="I2177">
        <v>233.88910000000001</v>
      </c>
      <c r="J2177">
        <v>-494.97910000000002</v>
      </c>
      <c r="K2177">
        <v>1.110692</v>
      </c>
      <c r="L2177">
        <v>243.6557</v>
      </c>
      <c r="M2177">
        <v>5.0680749999999997E-2</v>
      </c>
      <c r="N2177">
        <v>0</v>
      </c>
      <c r="O2177">
        <v>-0.99861500000000003</v>
      </c>
      <c r="P2177">
        <v>0.1629043</v>
      </c>
      <c r="Q2177">
        <v>0.1383982</v>
      </c>
      <c r="R2177">
        <v>-0.97688739999999996</v>
      </c>
      <c r="S2177">
        <v>1.2410890000000001</v>
      </c>
      <c r="T2177">
        <v>-0.32064599999999999</v>
      </c>
      <c r="U2177">
        <v>-2.912201</v>
      </c>
      <c r="V2177">
        <v>-0.1132485</v>
      </c>
      <c r="W2177">
        <v>0.15224560000000001</v>
      </c>
      <c r="X2177">
        <v>0.98183299999999996</v>
      </c>
      <c r="Y2177">
        <v>-0.34289750000000002</v>
      </c>
      <c r="Z2177">
        <v>0.101551</v>
      </c>
      <c r="AA2177">
        <v>0.93386760000000002</v>
      </c>
      <c r="AB2177">
        <v>28</v>
      </c>
      <c r="AC2177">
        <v>4.28210000000007</v>
      </c>
      <c r="AD2177">
        <v>-1.1106940301279999</v>
      </c>
      <c r="AE2177">
        <v>-9.7665999999999809</v>
      </c>
      <c r="AF2177">
        <v>-3.7409865682538901</v>
      </c>
      <c r="AG2177">
        <v>-1.1106940301279999</v>
      </c>
      <c r="AH2177">
        <v>9.8640846984499007</v>
      </c>
      <c r="AI2177">
        <v>96.010103872395206</v>
      </c>
      <c r="AJ2177">
        <v>110.76939676799201</v>
      </c>
      <c r="AK2177">
        <v>10.6079587419357</v>
      </c>
      <c r="AL2177">
        <v>81.242915076167606</v>
      </c>
      <c r="AM2177">
        <v>96.579645506015098</v>
      </c>
      <c r="AN2177">
        <v>0.99999999268030404</v>
      </c>
    </row>
    <row r="2178" spans="1:40" x14ac:dyDescent="0.25">
      <c r="A2178" t="str">
        <f>"20190312164306161"</f>
        <v>20190312164306161</v>
      </c>
      <c r="B2178" t="str">
        <f>"1552380186156278"</f>
        <v>1552380186156278</v>
      </c>
      <c r="C2178" t="s">
        <v>40</v>
      </c>
      <c r="D2178">
        <v>4.6621699999999997</v>
      </c>
      <c r="E2178">
        <v>0.41631560000000001</v>
      </c>
      <c r="F2178" t="s">
        <v>42</v>
      </c>
      <c r="G2178">
        <v>-490.68349999999998</v>
      </c>
      <c r="H2178" s="1">
        <v>-1.9409170000000002E-6</v>
      </c>
      <c r="I2178">
        <v>233.68950000000001</v>
      </c>
      <c r="J2178">
        <v>-494.9615</v>
      </c>
      <c r="K2178">
        <v>1.110811</v>
      </c>
      <c r="L2178">
        <v>243.32089999999999</v>
      </c>
      <c r="M2178">
        <v>5.1229009999999998E-2</v>
      </c>
      <c r="N2178">
        <v>0</v>
      </c>
      <c r="O2178">
        <v>-0.998587</v>
      </c>
      <c r="P2178">
        <v>0.16836409999999999</v>
      </c>
      <c r="Q2178">
        <v>0.1391377</v>
      </c>
      <c r="R2178">
        <v>-0.9758559</v>
      </c>
      <c r="S2178">
        <v>1.2533259999999999</v>
      </c>
      <c r="T2178">
        <v>-0.32407239999999998</v>
      </c>
      <c r="U2178">
        <v>-2.9078979999999999</v>
      </c>
      <c r="V2178">
        <v>-0.1182573</v>
      </c>
      <c r="W2178">
        <v>0.1529355</v>
      </c>
      <c r="X2178">
        <v>0.98113499999999998</v>
      </c>
      <c r="Y2178">
        <v>-0.34615479999999998</v>
      </c>
      <c r="Z2178">
        <v>0.1026137</v>
      </c>
      <c r="AA2178">
        <v>0.93254879999999996</v>
      </c>
      <c r="AB2178">
        <v>28</v>
      </c>
      <c r="AC2178">
        <v>4.27800000000002</v>
      </c>
      <c r="AD2178">
        <v>-1.110812940917</v>
      </c>
      <c r="AE2178">
        <v>-9.6313999999999798</v>
      </c>
      <c r="AF2178">
        <v>-3.7374036415678198</v>
      </c>
      <c r="AG2178">
        <v>-1.110812940917</v>
      </c>
      <c r="AH2178">
        <v>9.7298344015846094</v>
      </c>
      <c r="AI2178">
        <v>96.083265305110103</v>
      </c>
      <c r="AJ2178">
        <v>111.01267671514999</v>
      </c>
      <c r="AK2178">
        <v>10.481973518950101</v>
      </c>
      <c r="AL2178">
        <v>81.202918152998805</v>
      </c>
      <c r="AM2178">
        <v>96.872770450481795</v>
      </c>
      <c r="AN2178">
        <v>0.99999997219426895</v>
      </c>
    </row>
    <row r="2179" spans="1:40" x14ac:dyDescent="0.25">
      <c r="A2179" t="str">
        <f>"20190312164306177"</f>
        <v>20190312164306177</v>
      </c>
      <c r="B2179" t="str">
        <f>"1552380186166038"</f>
        <v>1552380186166038</v>
      </c>
      <c r="C2179" t="s">
        <v>40</v>
      </c>
      <c r="D2179">
        <v>4.7354409999999998</v>
      </c>
      <c r="E2179">
        <v>0.41572920000000002</v>
      </c>
      <c r="F2179" t="s">
        <v>42</v>
      </c>
      <c r="G2179">
        <v>-491.6848</v>
      </c>
      <c r="H2179" s="1">
        <v>-3.0170990000000001E-6</v>
      </c>
      <c r="I2179">
        <v>235.577</v>
      </c>
      <c r="J2179">
        <v>-494.95010000000002</v>
      </c>
      <c r="K2179">
        <v>1.110886</v>
      </c>
      <c r="L2179">
        <v>243.10599999999999</v>
      </c>
      <c r="M2179">
        <v>5.167149E-2</v>
      </c>
      <c r="N2179">
        <v>0</v>
      </c>
      <c r="O2179">
        <v>-0.99856440000000002</v>
      </c>
      <c r="P2179">
        <v>0.1732793</v>
      </c>
      <c r="Q2179">
        <v>0.13933719999999999</v>
      </c>
      <c r="R2179">
        <v>-0.97496689999999997</v>
      </c>
      <c r="S2179">
        <v>1.23587</v>
      </c>
      <c r="T2179">
        <v>-0.41896509999999998</v>
      </c>
      <c r="U2179">
        <v>-2.920731</v>
      </c>
      <c r="V2179">
        <v>-0.1228036</v>
      </c>
      <c r="W2179">
        <v>0.15310000000000001</v>
      </c>
      <c r="X2179">
        <v>0.9805507</v>
      </c>
      <c r="Y2179">
        <v>-0.3381748</v>
      </c>
      <c r="Z2179">
        <v>0.13197909999999999</v>
      </c>
      <c r="AA2179">
        <v>0.93178289999999997</v>
      </c>
      <c r="AB2179">
        <v>28</v>
      </c>
      <c r="AC2179">
        <v>3.2653000000000199</v>
      </c>
      <c r="AD2179">
        <v>-1.110889017099</v>
      </c>
      <c r="AE2179">
        <v>-7.5289999999999901</v>
      </c>
      <c r="AF2179">
        <v>-2.8201870778665801</v>
      </c>
      <c r="AG2179">
        <v>-1.110889017099</v>
      </c>
      <c r="AH2179">
        <v>7.54934697724714</v>
      </c>
      <c r="AI2179">
        <v>97.848531792646298</v>
      </c>
      <c r="AJ2179">
        <v>110.484030162556</v>
      </c>
      <c r="AK2179">
        <v>8.1351195040606203</v>
      </c>
      <c r="AL2179">
        <v>81.193380967084707</v>
      </c>
      <c r="AM2179">
        <v>97.138522609225703</v>
      </c>
      <c r="AN2179">
        <v>1.0000000047217199</v>
      </c>
    </row>
    <row r="2180" spans="1:40" x14ac:dyDescent="0.25">
      <c r="A2180" t="str">
        <f>"20190312164306199"</f>
        <v>20190312164306199</v>
      </c>
      <c r="B2180" t="str">
        <f>"1552380186196294"</f>
        <v>1552380186196294</v>
      </c>
      <c r="C2180" t="s">
        <v>40</v>
      </c>
      <c r="D2180">
        <v>4.6282709999999998</v>
      </c>
      <c r="E2180">
        <v>0.41568670000000002</v>
      </c>
      <c r="F2180" t="s">
        <v>42</v>
      </c>
      <c r="G2180">
        <v>-491.67309999999998</v>
      </c>
      <c r="H2180" s="1">
        <v>-2.9750049999999998E-6</v>
      </c>
      <c r="I2180">
        <v>235.4862</v>
      </c>
      <c r="J2180">
        <v>-494.9357</v>
      </c>
      <c r="K2180">
        <v>1.110965</v>
      </c>
      <c r="L2180">
        <v>242.8398</v>
      </c>
      <c r="M2180">
        <v>5.2297320000000001E-2</v>
      </c>
      <c r="N2180">
        <v>0</v>
      </c>
      <c r="O2180">
        <v>-0.99853190000000003</v>
      </c>
      <c r="P2180">
        <v>0.17796329999999999</v>
      </c>
      <c r="Q2180">
        <v>0.13921559999999999</v>
      </c>
      <c r="R2180">
        <v>-0.97414000000000001</v>
      </c>
      <c r="S2180">
        <v>1.2536320000000001</v>
      </c>
      <c r="T2180">
        <v>-0.4249716</v>
      </c>
      <c r="U2180">
        <v>-2.9149630000000002</v>
      </c>
      <c r="V2180">
        <v>-0.12693989999999999</v>
      </c>
      <c r="W2180">
        <v>0.1529384</v>
      </c>
      <c r="X2180">
        <v>0.98004899999999995</v>
      </c>
      <c r="Y2180">
        <v>-0.3429488</v>
      </c>
      <c r="Z2180">
        <v>0.1337979</v>
      </c>
      <c r="AA2180">
        <v>0.92977639999999995</v>
      </c>
      <c r="AB2180">
        <v>28</v>
      </c>
      <c r="AC2180">
        <v>3.2626000000000199</v>
      </c>
      <c r="AD2180">
        <v>-1.1109679750050001</v>
      </c>
      <c r="AE2180">
        <v>-7.3536000000000001</v>
      </c>
      <c r="AF2180">
        <v>-2.8197482600058601</v>
      </c>
      <c r="AG2180">
        <v>-1.1109679750050001</v>
      </c>
      <c r="AH2180">
        <v>7.3735589644151904</v>
      </c>
      <c r="AI2180">
        <v>98.010626406792497</v>
      </c>
      <c r="AJ2180">
        <v>110.927527323875</v>
      </c>
      <c r="AK2180">
        <v>7.97211401655799</v>
      </c>
      <c r="AL2180">
        <v>81.202749974798706</v>
      </c>
      <c r="AM2180">
        <v>97.380092873582697</v>
      </c>
      <c r="AN2180">
        <v>0.99999996740378405</v>
      </c>
    </row>
    <row r="2181" spans="1:40" x14ac:dyDescent="0.25">
      <c r="A2181" t="str">
        <f>"20190312164306222"</f>
        <v>20190312164306222</v>
      </c>
      <c r="B2181" t="str">
        <f>"1552380186216790"</f>
        <v>1552380186216790</v>
      </c>
      <c r="C2181" t="s">
        <v>40</v>
      </c>
      <c r="D2181">
        <v>4.6103329999999998</v>
      </c>
      <c r="E2181">
        <v>0.416686</v>
      </c>
      <c r="F2181" t="s">
        <v>42</v>
      </c>
      <c r="G2181">
        <v>-491.69760000000002</v>
      </c>
      <c r="H2181" s="1">
        <v>-2.9492329999999999E-6</v>
      </c>
      <c r="I2181">
        <v>235.4109</v>
      </c>
      <c r="J2181">
        <v>-494.91989999999998</v>
      </c>
      <c r="K2181">
        <v>1.1110450000000001</v>
      </c>
      <c r="L2181">
        <v>242.5547</v>
      </c>
      <c r="M2181">
        <v>5.3064890000000003E-2</v>
      </c>
      <c r="N2181">
        <v>0</v>
      </c>
      <c r="O2181">
        <v>-0.99849120000000002</v>
      </c>
      <c r="P2181">
        <v>0.18312410000000001</v>
      </c>
      <c r="Q2181">
        <v>0.13842380000000001</v>
      </c>
      <c r="R2181">
        <v>-0.97329589999999999</v>
      </c>
      <c r="S2181">
        <v>1.2684329999999999</v>
      </c>
      <c r="T2181">
        <v>-0.43519849999999999</v>
      </c>
      <c r="U2181">
        <v>-2.9100950000000001</v>
      </c>
      <c r="V2181">
        <v>-0.13141149999999999</v>
      </c>
      <c r="W2181">
        <v>0.15210660000000001</v>
      </c>
      <c r="X2181">
        <v>0.97958900000000004</v>
      </c>
      <c r="Y2181">
        <v>-0.34660039999999998</v>
      </c>
      <c r="Z2181">
        <v>0.1369271</v>
      </c>
      <c r="AA2181">
        <v>0.92796500000000004</v>
      </c>
      <c r="AB2181">
        <v>28</v>
      </c>
      <c r="AC2181">
        <v>3.2222999999999602</v>
      </c>
      <c r="AD2181">
        <v>-1.1110479492329901</v>
      </c>
      <c r="AE2181">
        <v>-7.1437999999999899</v>
      </c>
      <c r="AF2181">
        <v>-2.7827064579137599</v>
      </c>
      <c r="AG2181">
        <v>-1.1110479492329901</v>
      </c>
      <c r="AH2181">
        <v>7.1608150540479096</v>
      </c>
      <c r="AI2181">
        <v>98.229102497270105</v>
      </c>
      <c r="AJ2181">
        <v>111.23622182661801</v>
      </c>
      <c r="AK2181">
        <v>7.7624194047145503</v>
      </c>
      <c r="AL2181">
        <v>81.250973141770501</v>
      </c>
      <c r="AM2181">
        <v>97.640591740215896</v>
      </c>
      <c r="AN2181">
        <v>1.0000000045084001</v>
      </c>
    </row>
    <row r="2182" spans="1:40" x14ac:dyDescent="0.25">
      <c r="A2182" t="str">
        <f>"20190312164306245"</f>
        <v>20190312164306245</v>
      </c>
      <c r="B2182" t="str">
        <f>"1552380186237286"</f>
        <v>1552380186237286</v>
      </c>
      <c r="C2182" t="s">
        <v>40</v>
      </c>
      <c r="D2182">
        <v>4.5245930000000003</v>
      </c>
      <c r="E2182">
        <v>0.41711320000000002</v>
      </c>
      <c r="F2182" t="s">
        <v>42</v>
      </c>
      <c r="G2182">
        <v>-491.63619999999997</v>
      </c>
      <c r="H2182" s="1">
        <v>-2.7856559999999999E-6</v>
      </c>
      <c r="I2182">
        <v>235.0677</v>
      </c>
      <c r="J2182">
        <v>-494.90320000000003</v>
      </c>
      <c r="K2182">
        <v>1.1111</v>
      </c>
      <c r="L2182">
        <v>242.25800000000001</v>
      </c>
      <c r="M2182">
        <v>5.3966809999999997E-2</v>
      </c>
      <c r="N2182">
        <v>0</v>
      </c>
      <c r="O2182">
        <v>-0.99844310000000003</v>
      </c>
      <c r="P2182">
        <v>0.18793789999999999</v>
      </c>
      <c r="Q2182">
        <v>0.1374766</v>
      </c>
      <c r="R2182">
        <v>-0.9725123</v>
      </c>
      <c r="S2182">
        <v>1.2736510000000001</v>
      </c>
      <c r="T2182">
        <v>-0.4309402</v>
      </c>
      <c r="U2182">
        <v>-2.9039459999999999</v>
      </c>
      <c r="V2182">
        <v>-0.1353983</v>
      </c>
      <c r="W2182">
        <v>0.15112249999999999</v>
      </c>
      <c r="X2182">
        <v>0.97919829999999997</v>
      </c>
      <c r="Y2182">
        <v>-0.34793649999999998</v>
      </c>
      <c r="Z2182">
        <v>0.13578109999999999</v>
      </c>
      <c r="AA2182">
        <v>0.92763340000000005</v>
      </c>
      <c r="AB2182">
        <v>28</v>
      </c>
      <c r="AC2182">
        <v>3.2670000000000501</v>
      </c>
      <c r="AD2182">
        <v>-1.1111027856559901</v>
      </c>
      <c r="AE2182">
        <v>-7.1902999999999704</v>
      </c>
      <c r="AF2182">
        <v>-2.8183784258751299</v>
      </c>
      <c r="AG2182">
        <v>-1.1111027856559901</v>
      </c>
      <c r="AH2182">
        <v>7.2133740404834601</v>
      </c>
      <c r="AI2182">
        <v>98.164591168186803</v>
      </c>
      <c r="AJ2182">
        <v>111.341367474938</v>
      </c>
      <c r="AK2182">
        <v>7.8237185148528701</v>
      </c>
      <c r="AL2182">
        <v>81.308017419093503</v>
      </c>
      <c r="AM2182">
        <v>97.872632429200706</v>
      </c>
      <c r="AN2182">
        <v>1.00000001018601</v>
      </c>
    </row>
    <row r="2183" spans="1:40" x14ac:dyDescent="0.25">
      <c r="A2183" t="str">
        <f>"20190312164306266"</f>
        <v>20190312164306266</v>
      </c>
      <c r="B2183" t="str">
        <f>"1552380186256806"</f>
        <v>1552380186256806</v>
      </c>
      <c r="C2183" t="s">
        <v>40</v>
      </c>
      <c r="D2183">
        <v>4.576422</v>
      </c>
      <c r="E2183">
        <v>0.45388689999999998</v>
      </c>
      <c r="F2183" t="s">
        <v>42</v>
      </c>
      <c r="G2183">
        <v>-491.54289999999997</v>
      </c>
      <c r="H2183" s="1">
        <v>-2.5872660000000001E-6</v>
      </c>
      <c r="I2183">
        <v>234.66309999999999</v>
      </c>
      <c r="J2183">
        <v>-494.8879</v>
      </c>
      <c r="K2183">
        <v>1.111148</v>
      </c>
      <c r="L2183">
        <v>241.9915</v>
      </c>
      <c r="M2183">
        <v>5.4836610000000001E-2</v>
      </c>
      <c r="N2183">
        <v>0</v>
      </c>
      <c r="O2183">
        <v>-0.99839560000000005</v>
      </c>
      <c r="P2183">
        <v>0.1921649</v>
      </c>
      <c r="Q2183">
        <v>0.1354012</v>
      </c>
      <c r="R2183">
        <v>-0.97197670000000003</v>
      </c>
      <c r="S2183">
        <v>1.2817689999999999</v>
      </c>
      <c r="T2183">
        <v>-0.42382740000000002</v>
      </c>
      <c r="U2183">
        <v>-2.8970340000000001</v>
      </c>
      <c r="V2183">
        <v>-0.1388083</v>
      </c>
      <c r="W2183">
        <v>0.14902029999999999</v>
      </c>
      <c r="X2183">
        <v>0.979043</v>
      </c>
      <c r="Y2183">
        <v>-0.3502227</v>
      </c>
      <c r="Z2183">
        <v>0.13372970000000001</v>
      </c>
      <c r="AA2183">
        <v>0.92707090000000003</v>
      </c>
      <c r="AB2183">
        <v>28</v>
      </c>
      <c r="AC2183">
        <v>3.3450000000000202</v>
      </c>
      <c r="AD2183">
        <v>-1.1111505872659999</v>
      </c>
      <c r="AE2183">
        <v>-7.32840000000001</v>
      </c>
      <c r="AF2183">
        <v>-2.8832065669239699</v>
      </c>
      <c r="AG2183">
        <v>-1.1111505872659999</v>
      </c>
      <c r="AH2183">
        <v>7.3607747057961603</v>
      </c>
      <c r="AI2183">
        <v>98.000938832848703</v>
      </c>
      <c r="AJ2183">
        <v>111.390218693899</v>
      </c>
      <c r="AK2183">
        <v>7.9830157211810402</v>
      </c>
      <c r="AL2183">
        <v>81.429844167592407</v>
      </c>
      <c r="AM2183">
        <v>98.069587933308199</v>
      </c>
      <c r="AN2183">
        <v>0.99999999490499003</v>
      </c>
    </row>
    <row r="2184" spans="1:40" x14ac:dyDescent="0.25">
      <c r="A2184" t="str">
        <f>"20190312164306289"</f>
        <v>20190312164306289</v>
      </c>
      <c r="B2184" t="str">
        <f>"1552380186276326"</f>
        <v>1552380186276326</v>
      </c>
      <c r="C2184" t="s">
        <v>40</v>
      </c>
      <c r="D2184">
        <v>4.6378680000000001</v>
      </c>
      <c r="E2184">
        <v>0.47078809999999899</v>
      </c>
      <c r="F2184" t="s">
        <v>42</v>
      </c>
      <c r="G2184">
        <v>-491.61939999999998</v>
      </c>
      <c r="H2184" s="1">
        <v>-1.6173339999999901E-6</v>
      </c>
      <c r="I2184">
        <v>232.35480000000001</v>
      </c>
      <c r="J2184">
        <v>-494.87150000000003</v>
      </c>
      <c r="K2184">
        <v>1.1111850000000001</v>
      </c>
      <c r="L2184">
        <v>241.71289999999999</v>
      </c>
      <c r="M2184">
        <v>5.581125E-2</v>
      </c>
      <c r="N2184">
        <v>0</v>
      </c>
      <c r="O2184">
        <v>-0.99834160000000005</v>
      </c>
      <c r="P2184">
        <v>0.1961609</v>
      </c>
      <c r="Q2184">
        <v>0.1330723</v>
      </c>
      <c r="R2184">
        <v>-0.97150060000000005</v>
      </c>
      <c r="S2184">
        <v>0.99606320000000004</v>
      </c>
      <c r="T2184">
        <v>-0.33861469999999999</v>
      </c>
      <c r="U2184">
        <v>-2.9367220000000001</v>
      </c>
      <c r="V2184">
        <v>-0.14188000000000001</v>
      </c>
      <c r="W2184">
        <v>0.14666609999999999</v>
      </c>
      <c r="X2184">
        <v>0.9789582</v>
      </c>
      <c r="Y2184">
        <v>-0.26592460000000001</v>
      </c>
      <c r="Z2184">
        <v>0.1092033</v>
      </c>
      <c r="AA2184">
        <v>0.95778850000000004</v>
      </c>
      <c r="AB2184">
        <v>28</v>
      </c>
      <c r="AC2184">
        <v>3.25210000000004</v>
      </c>
      <c r="AD2184">
        <v>-1.1111866173339999</v>
      </c>
      <c r="AE2184">
        <v>-9.3580999999999808</v>
      </c>
      <c r="AF2184">
        <v>-2.6908398506318099</v>
      </c>
      <c r="AG2184">
        <v>-1.1111866173339999</v>
      </c>
      <c r="AH2184">
        <v>9.4066959749688106</v>
      </c>
      <c r="AI2184">
        <v>96.479425946770405</v>
      </c>
      <c r="AJ2184">
        <v>105.96348429919099</v>
      </c>
      <c r="AK2184">
        <v>9.8468920967879399</v>
      </c>
      <c r="AL2184">
        <v>81.566228880231407</v>
      </c>
      <c r="AM2184">
        <v>98.246435460998399</v>
      </c>
      <c r="AN2184">
        <v>1.0000000183182201</v>
      </c>
    </row>
    <row r="2185" spans="1:40" x14ac:dyDescent="0.25">
      <c r="A2185" t="str">
        <f>"20190312164306312"</f>
        <v>20190312164306312</v>
      </c>
      <c r="B2185" t="str">
        <f>"1552380186306583"</f>
        <v>1552380186306583</v>
      </c>
      <c r="C2185" t="s">
        <v>40</v>
      </c>
      <c r="D2185">
        <v>4.7788069999999996</v>
      </c>
      <c r="E2185">
        <v>0.47967969999999999</v>
      </c>
      <c r="F2185" t="s">
        <v>42</v>
      </c>
      <c r="G2185">
        <v>-492.0797</v>
      </c>
      <c r="H2185" s="1">
        <v>-1.700818E-6</v>
      </c>
      <c r="I2185">
        <v>232.2638</v>
      </c>
      <c r="J2185">
        <v>-494.85419999999999</v>
      </c>
      <c r="K2185">
        <v>1.1112359999999999</v>
      </c>
      <c r="L2185">
        <v>241.42429999999999</v>
      </c>
      <c r="M2185">
        <v>5.690278E-2</v>
      </c>
      <c r="N2185">
        <v>0</v>
      </c>
      <c r="O2185">
        <v>-0.99827999999999995</v>
      </c>
      <c r="P2185">
        <v>0.19990840000000001</v>
      </c>
      <c r="Q2185">
        <v>0.1311513</v>
      </c>
      <c r="R2185">
        <v>-0.97099760000000002</v>
      </c>
      <c r="S2185">
        <v>0.87426759999999903</v>
      </c>
      <c r="T2185">
        <v>-0.34798440000000003</v>
      </c>
      <c r="U2185">
        <v>-2.9591059999999998</v>
      </c>
      <c r="V2185">
        <v>-0.14459379999999999</v>
      </c>
      <c r="W2185">
        <v>0.14471679999999901</v>
      </c>
      <c r="X2185">
        <v>0.97885120000000003</v>
      </c>
      <c r="Y2185">
        <v>-0.2265057</v>
      </c>
      <c r="Z2185">
        <v>0.1126219</v>
      </c>
      <c r="AA2185">
        <v>0.96747689999999997</v>
      </c>
      <c r="AB2185">
        <v>28</v>
      </c>
      <c r="AC2185">
        <v>2.7744999999999802</v>
      </c>
      <c r="AD2185">
        <v>-1.1112377008179899</v>
      </c>
      <c r="AE2185">
        <v>-9.1604999999999794</v>
      </c>
      <c r="AF2185">
        <v>-2.21878673411483</v>
      </c>
      <c r="AG2185">
        <v>-1.1112377008179899</v>
      </c>
      <c r="AH2185">
        <v>9.1798120163383192</v>
      </c>
      <c r="AI2185">
        <v>96.710801827473006</v>
      </c>
      <c r="AJ2185">
        <v>103.587949990288</v>
      </c>
      <c r="AK2185">
        <v>9.5093013652167198</v>
      </c>
      <c r="AL2185">
        <v>81.679119909556206</v>
      </c>
      <c r="AM2185">
        <v>98.402843039408694</v>
      </c>
      <c r="AN2185">
        <v>0.99999999547106</v>
      </c>
    </row>
    <row r="2186" spans="1:40" x14ac:dyDescent="0.25">
      <c r="A2186" t="str">
        <f>"20190312164306336"</f>
        <v>20190312164306336</v>
      </c>
      <c r="B2186" t="str">
        <f>"1552380186326102"</f>
        <v>1552380186326102</v>
      </c>
      <c r="C2186" t="s">
        <v>40</v>
      </c>
      <c r="D2186">
        <v>4.5785229999999997</v>
      </c>
      <c r="E2186">
        <v>0.48269000000000001</v>
      </c>
      <c r="F2186" t="s">
        <v>42</v>
      </c>
      <c r="G2186">
        <v>-492.20460000000003</v>
      </c>
      <c r="H2186" s="1">
        <v>-1.524439E-6</v>
      </c>
      <c r="I2186">
        <v>231.77529999999999</v>
      </c>
      <c r="J2186">
        <v>-494.8356</v>
      </c>
      <c r="K2186">
        <v>1.1113010000000001</v>
      </c>
      <c r="L2186">
        <v>241.12219999999999</v>
      </c>
      <c r="M2186">
        <v>5.8154150000000002E-2</v>
      </c>
      <c r="N2186">
        <v>0</v>
      </c>
      <c r="O2186">
        <v>-0.99820799999999998</v>
      </c>
      <c r="P2186">
        <v>0.20295579999999999</v>
      </c>
      <c r="Q2186">
        <v>0.13034299999999999</v>
      </c>
      <c r="R2186">
        <v>-0.97047419999999995</v>
      </c>
      <c r="S2186">
        <v>0.81500240000000002</v>
      </c>
      <c r="T2186">
        <v>-0.34180769999999999</v>
      </c>
      <c r="U2186">
        <v>-2.9679570000000002</v>
      </c>
      <c r="V2186">
        <v>-0.14646149999999999</v>
      </c>
      <c r="W2186">
        <v>0.14387359999999999</v>
      </c>
      <c r="X2186">
        <v>0.97869779999999995</v>
      </c>
      <c r="Y2186">
        <v>-0.20663500000000001</v>
      </c>
      <c r="Z2186">
        <v>0.1108634</v>
      </c>
      <c r="AA2186">
        <v>0.97211689999999995</v>
      </c>
      <c r="AB2186">
        <v>28</v>
      </c>
      <c r="AC2186">
        <v>2.63099999999997</v>
      </c>
      <c r="AD2186">
        <v>-1.111302524439</v>
      </c>
      <c r="AE2186">
        <v>-9.3468999999999998</v>
      </c>
      <c r="AF2186">
        <v>-2.0560012901328699</v>
      </c>
      <c r="AG2186">
        <v>-1.111302524439</v>
      </c>
      <c r="AH2186">
        <v>9.36147785829424</v>
      </c>
      <c r="AI2186">
        <v>96.613728571565105</v>
      </c>
      <c r="AJ2186">
        <v>102.386845343285</v>
      </c>
      <c r="AK2186">
        <v>9.6488031536137004</v>
      </c>
      <c r="AL2186">
        <v>81.727942560298402</v>
      </c>
      <c r="AM2186">
        <v>98.511116524494597</v>
      </c>
      <c r="AN2186">
        <v>0.99999998374202403</v>
      </c>
    </row>
    <row r="2187" spans="1:40" x14ac:dyDescent="0.25">
      <c r="A2187" t="str">
        <f>"20190312164306359"</f>
        <v>20190312164306359</v>
      </c>
      <c r="B2187" t="str">
        <f>"1552380186346598"</f>
        <v>1552380186346598</v>
      </c>
      <c r="C2187" t="s">
        <v>40</v>
      </c>
      <c r="D2187">
        <v>4.5816720000000002</v>
      </c>
      <c r="E2187">
        <v>0.48412270000000002</v>
      </c>
      <c r="F2187" t="s">
        <v>42</v>
      </c>
      <c r="G2187">
        <v>-492.12889999999999</v>
      </c>
      <c r="H2187" s="1">
        <v>-1.2012039999999999E-6</v>
      </c>
      <c r="I2187">
        <v>231.06870000000001</v>
      </c>
      <c r="J2187">
        <v>-494.81779999999998</v>
      </c>
      <c r="K2187">
        <v>1.111391</v>
      </c>
      <c r="L2187">
        <v>240.84020000000001</v>
      </c>
      <c r="M2187">
        <v>5.94564E-2</v>
      </c>
      <c r="N2187">
        <v>0</v>
      </c>
      <c r="O2187">
        <v>-0.99813099999999999</v>
      </c>
      <c r="P2187">
        <v>0.2053171</v>
      </c>
      <c r="Q2187">
        <v>0.12943279999999999</v>
      </c>
      <c r="R2187">
        <v>-0.97009900000000004</v>
      </c>
      <c r="S2187">
        <v>0.79913330000000005</v>
      </c>
      <c r="T2187">
        <v>-0.32810400000000001</v>
      </c>
      <c r="U2187">
        <v>-2.9682309999999998</v>
      </c>
      <c r="V2187">
        <v>-0.14759259999999999</v>
      </c>
      <c r="W2187">
        <v>0.1429251</v>
      </c>
      <c r="X2187">
        <v>0.97866679999999995</v>
      </c>
      <c r="Y2187">
        <v>-0.20061370000000001</v>
      </c>
      <c r="Z2187">
        <v>0.1065897</v>
      </c>
      <c r="AA2187">
        <v>0.97385460000000001</v>
      </c>
      <c r="AB2187">
        <v>28</v>
      </c>
      <c r="AC2187">
        <v>2.6888999999999799</v>
      </c>
      <c r="AD2187">
        <v>-1.1113922012040001</v>
      </c>
      <c r="AE2187">
        <v>-9.7714999999999996</v>
      </c>
      <c r="AF2187">
        <v>-2.07811509590123</v>
      </c>
      <c r="AG2187">
        <v>-1.1113922012040001</v>
      </c>
      <c r="AH2187">
        <v>9.7962904325176599</v>
      </c>
      <c r="AI2187">
        <v>96.3328109734001</v>
      </c>
      <c r="AJ2187">
        <v>101.976771019962</v>
      </c>
      <c r="AK2187">
        <v>10.0757660361357</v>
      </c>
      <c r="AL2187">
        <v>81.782854713796098</v>
      </c>
      <c r="AM2187">
        <v>98.576140531260606</v>
      </c>
      <c r="AN2187">
        <v>0.99999993260350195</v>
      </c>
    </row>
    <row r="2188" spans="1:40" x14ac:dyDescent="0.25">
      <c r="A2188" t="str">
        <f>"20190312164306381"</f>
        <v>20190312164306381</v>
      </c>
      <c r="B2188" t="str">
        <f>"1552380186376853"</f>
        <v>1552380186376853</v>
      </c>
      <c r="C2188" t="s">
        <v>40</v>
      </c>
      <c r="D2188">
        <v>4.569998</v>
      </c>
      <c r="E2188">
        <v>0.48497859999999998</v>
      </c>
      <c r="F2188" t="s">
        <v>42</v>
      </c>
      <c r="G2188">
        <v>-492.11779999999999</v>
      </c>
      <c r="H2188" s="1">
        <v>-1.061977E-6</v>
      </c>
      <c r="I2188">
        <v>230.75110000000001</v>
      </c>
      <c r="J2188">
        <v>-494.80029999999999</v>
      </c>
      <c r="K2188">
        <v>1.111507</v>
      </c>
      <c r="L2188">
        <v>240.57</v>
      </c>
      <c r="M2188">
        <v>6.0867669999999999E-2</v>
      </c>
      <c r="N2188">
        <v>0</v>
      </c>
      <c r="O2188">
        <v>-0.99804630000000005</v>
      </c>
      <c r="P2188">
        <v>0.20735919999999999</v>
      </c>
      <c r="Q2188">
        <v>0.12880159999999999</v>
      </c>
      <c r="R2188">
        <v>-0.96974899999999997</v>
      </c>
      <c r="S2188">
        <v>0.79431149999999995</v>
      </c>
      <c r="T2188">
        <v>-0.3269494</v>
      </c>
      <c r="U2188">
        <v>-2.9680019999999998</v>
      </c>
      <c r="V2188">
        <v>-0.1483053</v>
      </c>
      <c r="W2188">
        <v>0.14224879999999901</v>
      </c>
      <c r="X2188">
        <v>0.97865769999999996</v>
      </c>
      <c r="Y2188">
        <v>-0.19778000000000001</v>
      </c>
      <c r="Z2188">
        <v>0.106265899999999</v>
      </c>
      <c r="AA2188">
        <v>0.97446940000000004</v>
      </c>
      <c r="AB2188">
        <v>28</v>
      </c>
      <c r="AC2188">
        <v>2.6825000000000001</v>
      </c>
      <c r="AD2188">
        <v>-1.1115080619769999</v>
      </c>
      <c r="AE2188">
        <v>-9.8188999999999798</v>
      </c>
      <c r="AF2188">
        <v>-2.0553039470067</v>
      </c>
      <c r="AG2188">
        <v>-1.1115080619769999</v>
      </c>
      <c r="AH2188">
        <v>9.8465695842308403</v>
      </c>
      <c r="AI2188">
        <v>96.305670087002994</v>
      </c>
      <c r="AJ2188">
        <v>101.79023350083099</v>
      </c>
      <c r="AK2188">
        <v>10.120012700758799</v>
      </c>
      <c r="AL2188">
        <v>81.822004739497501</v>
      </c>
      <c r="AM2188">
        <v>98.617012021270895</v>
      </c>
      <c r="AN2188">
        <v>1.0000000384394001</v>
      </c>
    </row>
    <row r="2189" spans="1:40" x14ac:dyDescent="0.25">
      <c r="A2189" t="str">
        <f>"20190312164306402"</f>
        <v>20190312164306402</v>
      </c>
      <c r="B2189" t="str">
        <f>"1552380186396374"</f>
        <v>1552380186396374</v>
      </c>
      <c r="C2189" t="s">
        <v>40</v>
      </c>
      <c r="D2189">
        <v>4.578468</v>
      </c>
      <c r="E2189">
        <v>0.48542150000000001</v>
      </c>
      <c r="F2189" t="s">
        <v>42</v>
      </c>
      <c r="G2189">
        <v>-492.12520000000001</v>
      </c>
      <c r="H2189" s="1">
        <v>-9.8596619999999996E-7</v>
      </c>
      <c r="I2189">
        <v>230.5693</v>
      </c>
      <c r="J2189">
        <v>-494.78280000000001</v>
      </c>
      <c r="K2189">
        <v>1.111648</v>
      </c>
      <c r="L2189">
        <v>240.30969999999999</v>
      </c>
      <c r="M2189">
        <v>6.2424309999999997E-2</v>
      </c>
      <c r="N2189">
        <v>0</v>
      </c>
      <c r="O2189">
        <v>-0.99795</v>
      </c>
      <c r="P2189">
        <v>0.20946029999999999</v>
      </c>
      <c r="Q2189">
        <v>0.12818940000000001</v>
      </c>
      <c r="R2189">
        <v>-0.96937819999999997</v>
      </c>
      <c r="S2189">
        <v>0.79379270000000002</v>
      </c>
      <c r="T2189">
        <v>-0.32983220000000002</v>
      </c>
      <c r="U2189">
        <v>-2.9676360000000002</v>
      </c>
      <c r="V2189">
        <v>-0.14894350000000001</v>
      </c>
      <c r="W2189">
        <v>0.14158370000000001</v>
      </c>
      <c r="X2189">
        <v>0.9786572</v>
      </c>
      <c r="Y2189">
        <v>-0.19609589999999999</v>
      </c>
      <c r="Z2189">
        <v>0.1072097</v>
      </c>
      <c r="AA2189">
        <v>0.97470639999999997</v>
      </c>
      <c r="AB2189">
        <v>28</v>
      </c>
      <c r="AC2189">
        <v>2.6576</v>
      </c>
      <c r="AD2189">
        <v>-1.1116489859662</v>
      </c>
      <c r="AE2189">
        <v>-9.7403999999999904</v>
      </c>
      <c r="AF2189">
        <v>-2.0198318398990098</v>
      </c>
      <c r="AG2189">
        <v>-1.1116489859662</v>
      </c>
      <c r="AH2189">
        <v>9.7688898551374699</v>
      </c>
      <c r="AI2189">
        <v>96.358677147701201</v>
      </c>
      <c r="AJ2189">
        <v>101.681957266034</v>
      </c>
      <c r="AK2189">
        <v>10.037265221726299</v>
      </c>
      <c r="AL2189">
        <v>81.860501592382406</v>
      </c>
      <c r="AM2189">
        <v>98.653537669725594</v>
      </c>
      <c r="AN2189">
        <v>1.00000001270489</v>
      </c>
    </row>
    <row r="2190" spans="1:40" x14ac:dyDescent="0.25">
      <c r="A2190" t="str">
        <f>"20190312164306423"</f>
        <v>20190312164306423</v>
      </c>
      <c r="B2190" t="str">
        <f>"1552380186416871"</f>
        <v>1552380186416871</v>
      </c>
      <c r="C2190" t="s">
        <v>40</v>
      </c>
      <c r="D2190">
        <v>4.6075220000000003</v>
      </c>
      <c r="E2190">
        <v>0.48568270000000002</v>
      </c>
      <c r="F2190" t="s">
        <v>42</v>
      </c>
      <c r="G2190">
        <v>-492.1216</v>
      </c>
      <c r="H2190" s="1">
        <v>-9.1736589999999997E-7</v>
      </c>
      <c r="I2190">
        <v>230.41159999999999</v>
      </c>
      <c r="J2190">
        <v>-494.76310000000001</v>
      </c>
      <c r="K2190">
        <v>1.1118220000000001</v>
      </c>
      <c r="L2190">
        <v>240.02809999999999</v>
      </c>
      <c r="M2190">
        <v>6.4362740000000002E-2</v>
      </c>
      <c r="N2190">
        <v>0</v>
      </c>
      <c r="O2190">
        <v>-0.99782680000000001</v>
      </c>
      <c r="P2190">
        <v>0.21172469999999999</v>
      </c>
      <c r="Q2190">
        <v>0.1273388</v>
      </c>
      <c r="R2190">
        <v>-0.96899800000000003</v>
      </c>
      <c r="S2190">
        <v>0.79754639999999999</v>
      </c>
      <c r="T2190">
        <v>-0.33316430000000002</v>
      </c>
      <c r="U2190">
        <v>-2.9664760000000001</v>
      </c>
      <c r="V2190">
        <v>-0.14938129999999999</v>
      </c>
      <c r="W2190">
        <v>0.1406703</v>
      </c>
      <c r="X2190">
        <v>0.97872219999999999</v>
      </c>
      <c r="Y2190">
        <v>-0.19540679999999999</v>
      </c>
      <c r="Z2190">
        <v>0.1082906</v>
      </c>
      <c r="AA2190">
        <v>0.97472519999999996</v>
      </c>
      <c r="AB2190">
        <v>28</v>
      </c>
      <c r="AC2190">
        <v>2.6415000000000002</v>
      </c>
      <c r="AD2190">
        <v>-1.11182291736589</v>
      </c>
      <c r="AE2190">
        <v>-9.6165000000000003</v>
      </c>
      <c r="AF2190">
        <v>-1.99225371867664</v>
      </c>
      <c r="AG2190">
        <v>-1.11182291736589</v>
      </c>
      <c r="AH2190">
        <v>9.6466865011943792</v>
      </c>
      <c r="AI2190">
        <v>96.439858171539896</v>
      </c>
      <c r="AJ2190">
        <v>101.668792488835</v>
      </c>
      <c r="AK2190">
        <v>9.9128091644844396</v>
      </c>
      <c r="AL2190">
        <v>81.913364742093805</v>
      </c>
      <c r="AM2190">
        <v>98.678019299599796</v>
      </c>
      <c r="AN2190">
        <v>1.0000000254323</v>
      </c>
    </row>
    <row r="2191" spans="1:40" x14ac:dyDescent="0.25">
      <c r="A2191" t="str">
        <f>"20190312164306446"</f>
        <v>20190312164306446</v>
      </c>
      <c r="B2191" t="str">
        <f>"1552380186436394"</f>
        <v>1552380186436394</v>
      </c>
      <c r="C2191" t="s">
        <v>40</v>
      </c>
      <c r="D2191">
        <v>4.6437290000000004</v>
      </c>
      <c r="E2191">
        <v>0.48584490000000002</v>
      </c>
      <c r="F2191" t="s">
        <v>42</v>
      </c>
      <c r="G2191">
        <v>-492.11700000000002</v>
      </c>
      <c r="H2191" s="1">
        <v>-8.4695619999999898E-7</v>
      </c>
      <c r="I2191">
        <v>230.25030000000001</v>
      </c>
      <c r="J2191">
        <v>-494.74340000000001</v>
      </c>
      <c r="K2191">
        <v>1.11198</v>
      </c>
      <c r="L2191">
        <v>239.75800000000001</v>
      </c>
      <c r="M2191">
        <v>6.6424300000000006E-2</v>
      </c>
      <c r="N2191">
        <v>0</v>
      </c>
      <c r="O2191">
        <v>-0.99769169999999996</v>
      </c>
      <c r="P2191">
        <v>0.2138342</v>
      </c>
      <c r="Q2191">
        <v>0.1266776</v>
      </c>
      <c r="R2191">
        <v>-0.96862179999999998</v>
      </c>
      <c r="S2191">
        <v>0.80236819999999998</v>
      </c>
      <c r="T2191">
        <v>-0.3371439</v>
      </c>
      <c r="U2191">
        <v>-2.9649510000000001</v>
      </c>
      <c r="V2191">
        <v>-0.14953749999999999</v>
      </c>
      <c r="W2191">
        <v>0.13995360000000001</v>
      </c>
      <c r="X2191">
        <v>0.97880109999999998</v>
      </c>
      <c r="Y2191">
        <v>-0.19494739999999999</v>
      </c>
      <c r="Z2191">
        <v>0.109582399999999</v>
      </c>
      <c r="AA2191">
        <v>0.97467289999999995</v>
      </c>
      <c r="AB2191">
        <v>28</v>
      </c>
      <c r="AC2191">
        <v>2.6264000000000398</v>
      </c>
      <c r="AD2191">
        <v>-1.1119808469562</v>
      </c>
      <c r="AE2191">
        <v>-9.5076999999999696</v>
      </c>
      <c r="AF2191">
        <v>-1.9640325213929799</v>
      </c>
      <c r="AG2191">
        <v>-1.1119808469562</v>
      </c>
      <c r="AH2191">
        <v>9.5399301339162701</v>
      </c>
      <c r="AI2191">
        <v>96.513051151287698</v>
      </c>
      <c r="AJ2191">
        <v>101.63322640947101</v>
      </c>
      <c r="AK2191">
        <v>9.8032745605277505</v>
      </c>
      <c r="AL2191">
        <v>81.954838983852895</v>
      </c>
      <c r="AM2191">
        <v>98.686265521581802</v>
      </c>
      <c r="AN2191">
        <v>1.0000000337102</v>
      </c>
    </row>
    <row r="2192" spans="1:40" x14ac:dyDescent="0.25">
      <c r="A2192" t="str">
        <f>"20190312164306468"</f>
        <v>20190312164306468</v>
      </c>
      <c r="B2192" t="str">
        <f>"1552380186456886"</f>
        <v>1552380186456886</v>
      </c>
      <c r="C2192" t="s">
        <v>40</v>
      </c>
      <c r="D2192">
        <v>4.6209980000000002</v>
      </c>
      <c r="E2192">
        <v>0.48596729999999999</v>
      </c>
      <c r="F2192" t="s">
        <v>42</v>
      </c>
      <c r="G2192">
        <v>-492.10500000000002</v>
      </c>
      <c r="H2192" s="1">
        <v>-7.6350150000000002E-7</v>
      </c>
      <c r="I2192">
        <v>230.0633</v>
      </c>
      <c r="J2192">
        <v>-494.72269999999997</v>
      </c>
      <c r="K2192">
        <v>1.112142</v>
      </c>
      <c r="L2192">
        <v>239.4837</v>
      </c>
      <c r="M2192">
        <v>6.8737080000000006E-2</v>
      </c>
      <c r="N2192">
        <v>0</v>
      </c>
      <c r="O2192">
        <v>-0.99753480000000005</v>
      </c>
      <c r="P2192">
        <v>0.21619350000000001</v>
      </c>
      <c r="Q2192">
        <v>0.12620880000000001</v>
      </c>
      <c r="R2192">
        <v>-0.96815899999999999</v>
      </c>
      <c r="S2192">
        <v>0.80654910000000002</v>
      </c>
      <c r="T2192">
        <v>-0.33992549999999999</v>
      </c>
      <c r="U2192">
        <v>-2.9636230000000001</v>
      </c>
      <c r="V2192">
        <v>-0.1496999</v>
      </c>
      <c r="W2192">
        <v>0.13943139999999901</v>
      </c>
      <c r="X2192">
        <v>0.97885080000000002</v>
      </c>
      <c r="Y2192">
        <v>-0.1940385</v>
      </c>
      <c r="Z2192">
        <v>0.1104868</v>
      </c>
      <c r="AA2192">
        <v>0.97475210000000001</v>
      </c>
      <c r="AB2192">
        <v>28</v>
      </c>
      <c r="AC2192">
        <v>2.61769999999995</v>
      </c>
      <c r="AD2192">
        <v>-1.1121427635015</v>
      </c>
      <c r="AE2192">
        <v>-9.4204000000000008</v>
      </c>
      <c r="AF2192">
        <v>-1.93882671839704</v>
      </c>
      <c r="AG2192">
        <v>-1.1121427635015</v>
      </c>
      <c r="AH2192">
        <v>9.4557237322569492</v>
      </c>
      <c r="AI2192">
        <v>96.572564331176395</v>
      </c>
      <c r="AJ2192">
        <v>101.58747170451799</v>
      </c>
      <c r="AK2192">
        <v>9.71630700786808</v>
      </c>
      <c r="AL2192">
        <v>81.985055096707001</v>
      </c>
      <c r="AM2192">
        <v>98.695120068557301</v>
      </c>
      <c r="AN2192">
        <v>1.0000000320133</v>
      </c>
    </row>
    <row r="2193" spans="1:40" x14ac:dyDescent="0.25">
      <c r="A2193" t="str">
        <f>"20190312164306490"</f>
        <v>20190312164306490</v>
      </c>
      <c r="B2193" t="str">
        <f>"1552380186486166"</f>
        <v>1552380186486166</v>
      </c>
      <c r="C2193" t="s">
        <v>40</v>
      </c>
      <c r="D2193">
        <v>4.5335590000000003</v>
      </c>
      <c r="E2193">
        <v>0.48617300000000002</v>
      </c>
      <c r="F2193" t="s">
        <v>42</v>
      </c>
      <c r="G2193">
        <v>-492.07960000000003</v>
      </c>
      <c r="H2193" s="1">
        <v>-6.6436819999999999E-7</v>
      </c>
      <c r="I2193">
        <v>229.84790000000001</v>
      </c>
      <c r="J2193">
        <v>-494.70170000000002</v>
      </c>
      <c r="K2193">
        <v>1.112285</v>
      </c>
      <c r="L2193">
        <v>239.21789999999999</v>
      </c>
      <c r="M2193">
        <v>7.1194430000000003E-2</v>
      </c>
      <c r="N2193">
        <v>0</v>
      </c>
      <c r="O2193">
        <v>-0.99736270000000005</v>
      </c>
      <c r="P2193">
        <v>0.21864459999999999</v>
      </c>
      <c r="Q2193">
        <v>0.12581729999999999</v>
      </c>
      <c r="R2193">
        <v>-0.96765950000000001</v>
      </c>
      <c r="S2193">
        <v>0.81240840000000003</v>
      </c>
      <c r="T2193">
        <v>-0.34184599999999998</v>
      </c>
      <c r="U2193">
        <v>-2.961792</v>
      </c>
      <c r="V2193">
        <v>-0.1498111</v>
      </c>
      <c r="W2193">
        <v>0.1389908</v>
      </c>
      <c r="X2193">
        <v>0.9788964</v>
      </c>
      <c r="Y2193">
        <v>-0.19355069999999999</v>
      </c>
      <c r="Z2193">
        <v>0.1111171</v>
      </c>
      <c r="AA2193">
        <v>0.97477749999999996</v>
      </c>
      <c r="AB2193">
        <v>28</v>
      </c>
      <c r="AC2193">
        <v>2.6220999999999801</v>
      </c>
      <c r="AD2193">
        <v>-1.1122856643682</v>
      </c>
      <c r="AE2193">
        <v>-9.3699999999999708</v>
      </c>
      <c r="AF2193">
        <v>-1.92315496552186</v>
      </c>
      <c r="AG2193">
        <v>-1.1122856643682</v>
      </c>
      <c r="AH2193">
        <v>9.4099466268872192</v>
      </c>
      <c r="AI2193">
        <v>96.605956805935193</v>
      </c>
      <c r="AJ2193">
        <v>101.55073954555</v>
      </c>
      <c r="AK2193">
        <v>9.66865036814532</v>
      </c>
      <c r="AL2193">
        <v>82.010547468746694</v>
      </c>
      <c r="AM2193">
        <v>98.7010810142027</v>
      </c>
      <c r="AN2193">
        <v>0.99999998505040399</v>
      </c>
    </row>
    <row r="2194" spans="1:40" x14ac:dyDescent="0.25">
      <c r="A2194" t="str">
        <f>"20190312164306514"</f>
        <v>20190312164306514</v>
      </c>
      <c r="B2194" t="str">
        <f>"1552380186506662"</f>
        <v>1552380186506662</v>
      </c>
      <c r="C2194" t="s">
        <v>40</v>
      </c>
      <c r="D2194">
        <v>4.6012019999999998</v>
      </c>
      <c r="E2194">
        <v>0.48630679999999998</v>
      </c>
      <c r="F2194" t="s">
        <v>42</v>
      </c>
      <c r="G2194">
        <v>-492.07029999999997</v>
      </c>
      <c r="H2194" s="1">
        <v>-5.9616139999999996E-7</v>
      </c>
      <c r="I2194">
        <v>229.69470000000001</v>
      </c>
      <c r="J2194">
        <v>-494.67689999999999</v>
      </c>
      <c r="K2194">
        <v>1.1124369999999999</v>
      </c>
      <c r="L2194">
        <v>238.91650000000001</v>
      </c>
      <c r="M2194">
        <v>7.4227199999999993E-2</v>
      </c>
      <c r="N2194">
        <v>0</v>
      </c>
      <c r="O2194">
        <v>-0.99714150000000001</v>
      </c>
      <c r="P2194">
        <v>0.2217702</v>
      </c>
      <c r="Q2194">
        <v>0.12482</v>
      </c>
      <c r="R2194">
        <v>-0.96707719999999997</v>
      </c>
      <c r="S2194">
        <v>0.81802369999999902</v>
      </c>
      <c r="T2194">
        <v>-0.34576639999999997</v>
      </c>
      <c r="U2194">
        <v>-2.9603730000000001</v>
      </c>
      <c r="V2194">
        <v>-0.15003820000000001</v>
      </c>
      <c r="W2194">
        <v>0.1379387</v>
      </c>
      <c r="X2194">
        <v>0.97901050000000001</v>
      </c>
      <c r="Y2194">
        <v>-0.19236790000000001</v>
      </c>
      <c r="Z2194">
        <v>0.1123749</v>
      </c>
      <c r="AA2194">
        <v>0.97486740000000005</v>
      </c>
      <c r="AB2194">
        <v>28</v>
      </c>
      <c r="AC2194">
        <v>2.60660000000001</v>
      </c>
      <c r="AD2194">
        <v>-1.1124375961613999</v>
      </c>
      <c r="AE2194">
        <v>-9.2218</v>
      </c>
      <c r="AF2194">
        <v>-1.8893714677344999</v>
      </c>
      <c r="AG2194">
        <v>-1.1124375961613999</v>
      </c>
      <c r="AH2194">
        <v>9.2650063821077495</v>
      </c>
      <c r="AI2194">
        <v>96.709857804895705</v>
      </c>
      <c r="AJ2194">
        <v>101.52603476242901</v>
      </c>
      <c r="AK2194">
        <v>9.5209025417205009</v>
      </c>
      <c r="AL2194">
        <v>82.071415214329605</v>
      </c>
      <c r="AM2194">
        <v>98.713068743723795</v>
      </c>
      <c r="AN2194">
        <v>1.0000000527635799</v>
      </c>
    </row>
    <row r="2195" spans="1:40" x14ac:dyDescent="0.25">
      <c r="A2195" t="str">
        <f>"20190312164306535"</f>
        <v>20190312164306535</v>
      </c>
      <c r="B2195" t="str">
        <f>"1552380186526186"</f>
        <v>1552380186526186</v>
      </c>
      <c r="C2195" t="s">
        <v>40</v>
      </c>
      <c r="D2195">
        <v>4.540203</v>
      </c>
      <c r="E2195">
        <v>0.48653030000000003</v>
      </c>
      <c r="F2195" t="s">
        <v>45</v>
      </c>
      <c r="G2195">
        <v>-492.04950000000002</v>
      </c>
      <c r="H2195" s="1">
        <v>6.0510460000000002E-6</v>
      </c>
      <c r="I2195">
        <v>229.50210000000001</v>
      </c>
      <c r="J2195">
        <v>-494.65449999999998</v>
      </c>
      <c r="K2195">
        <v>1.1125769999999999</v>
      </c>
      <c r="L2195">
        <v>238.65539999999999</v>
      </c>
      <c r="M2195">
        <v>7.7040499999999998E-2</v>
      </c>
      <c r="N2195">
        <v>0</v>
      </c>
      <c r="O2195">
        <v>-0.99692800000000004</v>
      </c>
      <c r="P2195">
        <v>0.2253617</v>
      </c>
      <c r="Q2195">
        <v>0.123765899999999</v>
      </c>
      <c r="R2195">
        <v>-0.96638230000000003</v>
      </c>
      <c r="S2195">
        <v>0.82553099999999902</v>
      </c>
      <c r="T2195">
        <v>-0.34952080000000002</v>
      </c>
      <c r="U2195">
        <v>-2.9579469999999999</v>
      </c>
      <c r="V2195">
        <v>-0.15094479999999999</v>
      </c>
      <c r="W2195">
        <v>0.13683439999999999</v>
      </c>
      <c r="X2195">
        <v>0.97902610000000001</v>
      </c>
      <c r="Y2195">
        <v>-0.1920645</v>
      </c>
      <c r="Z2195">
        <v>0.1135973</v>
      </c>
      <c r="AA2195">
        <v>0.97478560000000003</v>
      </c>
      <c r="AB2195">
        <v>28</v>
      </c>
      <c r="AC2195">
        <v>2.60499999999996</v>
      </c>
      <c r="AD2195">
        <v>-1.1125709489540001</v>
      </c>
      <c r="AE2195">
        <v>-9.1532999999999696</v>
      </c>
      <c r="AF2195">
        <v>-1.8665015485059999</v>
      </c>
      <c r="AG2195">
        <v>-1.1125709489540001</v>
      </c>
      <c r="AH2195">
        <v>9.2010495215573105</v>
      </c>
      <c r="AI2195">
        <v>96.758267676742093</v>
      </c>
      <c r="AJ2195">
        <v>101.467269158901</v>
      </c>
      <c r="AK2195">
        <v>9.4541501175505793</v>
      </c>
      <c r="AL2195">
        <v>82.135292600169805</v>
      </c>
      <c r="AM2195">
        <v>98.764764483748806</v>
      </c>
      <c r="AN2195">
        <v>1.0000000450758</v>
      </c>
    </row>
    <row r="2196" spans="1:40" x14ac:dyDescent="0.25">
      <c r="A2196" t="str">
        <f>"20190312164306559"</f>
        <v>20190312164306559</v>
      </c>
      <c r="B2196" t="str">
        <f>"1552380186546678"</f>
        <v>1552380186546678</v>
      </c>
      <c r="C2196" t="s">
        <v>40</v>
      </c>
      <c r="D2196">
        <v>4.525258</v>
      </c>
      <c r="E2196">
        <v>0.48671710000000001</v>
      </c>
      <c r="F2196" t="s">
        <v>45</v>
      </c>
      <c r="G2196">
        <v>-492.00799999999998</v>
      </c>
      <c r="H2196" s="1">
        <v>6.0108059999999999E-6</v>
      </c>
      <c r="I2196">
        <v>229.27019999999999</v>
      </c>
      <c r="J2196">
        <v>-494.62920000000003</v>
      </c>
      <c r="K2196">
        <v>1.112706</v>
      </c>
      <c r="L2196">
        <v>238.37270000000001</v>
      </c>
      <c r="M2196">
        <v>8.0248529999999998E-2</v>
      </c>
      <c r="N2196">
        <v>0</v>
      </c>
      <c r="O2196">
        <v>-0.99667450000000002</v>
      </c>
      <c r="P2196">
        <v>0.22929189999999999</v>
      </c>
      <c r="Q2196">
        <v>0.1228133</v>
      </c>
      <c r="R2196">
        <v>-0.96557870000000001</v>
      </c>
      <c r="S2196">
        <v>0.83325199999999999</v>
      </c>
      <c r="T2196">
        <v>-0.3502883</v>
      </c>
      <c r="U2196">
        <v>-2.954895</v>
      </c>
      <c r="V2196">
        <v>-0.1518089</v>
      </c>
      <c r="W2196">
        <v>0.13583249999999999</v>
      </c>
      <c r="X2196">
        <v>0.97903200000000001</v>
      </c>
      <c r="Y2196">
        <v>-0.19151979999999999</v>
      </c>
      <c r="Z2196">
        <v>0.1138791</v>
      </c>
      <c r="AA2196">
        <v>0.97485980000000005</v>
      </c>
      <c r="AB2196">
        <v>28</v>
      </c>
      <c r="AC2196">
        <v>2.62119999999998</v>
      </c>
      <c r="AD2196">
        <v>-1.1126999891939999</v>
      </c>
      <c r="AE2196">
        <v>-9.1025000000000098</v>
      </c>
      <c r="AF2196">
        <v>-1.8565908276082399</v>
      </c>
      <c r="AG2196">
        <v>-1.1126999891939999</v>
      </c>
      <c r="AH2196">
        <v>9.1571496175701892</v>
      </c>
      <c r="AI2196">
        <v>96.791289472472798</v>
      </c>
      <c r="AJ2196">
        <v>101.461227550571</v>
      </c>
      <c r="AK2196">
        <v>9.4094856334274297</v>
      </c>
      <c r="AL2196">
        <v>82.1932381899598</v>
      </c>
      <c r="AM2196">
        <v>98.814101368152095</v>
      </c>
      <c r="AN2196">
        <v>1.0000000335997199</v>
      </c>
    </row>
    <row r="2197" spans="1:40" x14ac:dyDescent="0.25">
      <c r="A2197" t="str">
        <f>"20190312164306579"</f>
        <v>20190312164306579</v>
      </c>
      <c r="B2197" t="str">
        <f>"1552380186576934"</f>
        <v>1552380186576934</v>
      </c>
      <c r="C2197" t="s">
        <v>40</v>
      </c>
      <c r="D2197">
        <v>4.4015519999999997</v>
      </c>
      <c r="E2197">
        <v>0.48697439999999997</v>
      </c>
      <c r="F2197" t="s">
        <v>45</v>
      </c>
      <c r="G2197">
        <v>-491.95409999999998</v>
      </c>
      <c r="H2197" s="1">
        <v>5.9674370000000002E-6</v>
      </c>
      <c r="I2197">
        <v>229.00919999999999</v>
      </c>
      <c r="J2197">
        <v>-494.60489999999999</v>
      </c>
      <c r="K2197">
        <v>1.1128039999999999</v>
      </c>
      <c r="L2197">
        <v>238.11250000000001</v>
      </c>
      <c r="M2197">
        <v>8.3324099999999998E-2</v>
      </c>
      <c r="N2197">
        <v>0</v>
      </c>
      <c r="O2197">
        <v>-0.99642220000000004</v>
      </c>
      <c r="P2197">
        <v>0.2339329</v>
      </c>
      <c r="Q2197">
        <v>0.12161370000000001</v>
      </c>
      <c r="R2197">
        <v>-0.96461699999999995</v>
      </c>
      <c r="S2197">
        <v>0.84317019999999998</v>
      </c>
      <c r="T2197">
        <v>-0.35072049999999999</v>
      </c>
      <c r="U2197">
        <v>-2.9513400000000001</v>
      </c>
      <c r="V2197">
        <v>-0.15351239999999999</v>
      </c>
      <c r="W2197">
        <v>0.1345876</v>
      </c>
      <c r="X2197">
        <v>0.97893830000000004</v>
      </c>
      <c r="Y2197">
        <v>-0.19182440000000001</v>
      </c>
      <c r="Z2197">
        <v>0.11405079999999999</v>
      </c>
      <c r="AA2197">
        <v>0.97477990000000003</v>
      </c>
      <c r="AB2197">
        <v>28</v>
      </c>
      <c r="AC2197">
        <v>2.6507999999999998</v>
      </c>
      <c r="AD2197">
        <v>-1.112798032563</v>
      </c>
      <c r="AE2197">
        <v>-9.1033000000000097</v>
      </c>
      <c r="AF2197">
        <v>-1.8573944750387199</v>
      </c>
      <c r="AG2197">
        <v>-1.112798032563</v>
      </c>
      <c r="AH2197">
        <v>9.1662701025460702</v>
      </c>
      <c r="AI2197">
        <v>96.785336637191406</v>
      </c>
      <c r="AJ2197">
        <v>101.45495025619</v>
      </c>
      <c r="AK2197">
        <v>9.4185318011891006</v>
      </c>
      <c r="AL2197">
        <v>82.265226810100799</v>
      </c>
      <c r="AM2197">
        <v>98.912267921553905</v>
      </c>
      <c r="AN2197">
        <v>1.0000000371172</v>
      </c>
    </row>
    <row r="2198" spans="1:40" x14ac:dyDescent="0.25">
      <c r="A2198" t="str">
        <f>"20190312164306602"</f>
        <v>20190312164306602</v>
      </c>
      <c r="B2198" t="str">
        <f>"1552380186596455"</f>
        <v>1552380186596455</v>
      </c>
      <c r="C2198" t="s">
        <v>40</v>
      </c>
      <c r="D2198">
        <v>4.4642869999999997</v>
      </c>
      <c r="E2198">
        <v>0.48694009999999999</v>
      </c>
      <c r="F2198" t="s">
        <v>45</v>
      </c>
      <c r="G2198">
        <v>-491.8956</v>
      </c>
      <c r="H2198" s="1">
        <v>5.9311879999999997E-6</v>
      </c>
      <c r="I2198">
        <v>228.7748</v>
      </c>
      <c r="J2198">
        <v>-494.57889999999998</v>
      </c>
      <c r="K2198">
        <v>1.112879</v>
      </c>
      <c r="L2198">
        <v>237.84350000000001</v>
      </c>
      <c r="M2198">
        <v>8.6592530000000001E-2</v>
      </c>
      <c r="N2198">
        <v>0</v>
      </c>
      <c r="O2198">
        <v>-0.99614360000000002</v>
      </c>
      <c r="P2198">
        <v>0.23909849999999999</v>
      </c>
      <c r="Q2198">
        <v>0.1202473</v>
      </c>
      <c r="R2198">
        <v>-0.96352110000000002</v>
      </c>
      <c r="S2198">
        <v>0.85507199999999906</v>
      </c>
      <c r="T2198">
        <v>-0.35120000000000001</v>
      </c>
      <c r="U2198">
        <v>-2.9469599999999998</v>
      </c>
      <c r="V2198">
        <v>-0.15555099999999999</v>
      </c>
      <c r="W2198">
        <v>0.1331822</v>
      </c>
      <c r="X2198">
        <v>0.97880860000000003</v>
      </c>
      <c r="Y2198">
        <v>-0.19261690000000001</v>
      </c>
      <c r="Z2198">
        <v>0.114247</v>
      </c>
      <c r="AA2198">
        <v>0.97460060000000004</v>
      </c>
      <c r="AB2198">
        <v>28</v>
      </c>
      <c r="AC2198">
        <v>2.6832999999999698</v>
      </c>
      <c r="AD2198">
        <v>-1.1128730688120001</v>
      </c>
      <c r="AE2198">
        <v>-9.0686999999999998</v>
      </c>
      <c r="AF2198">
        <v>-1.8620749537363299</v>
      </c>
      <c r="AG2198">
        <v>-1.1128730688120001</v>
      </c>
      <c r="AH2198">
        <v>9.1404396190391104</v>
      </c>
      <c r="AI2198">
        <v>96.803360122523202</v>
      </c>
      <c r="AJ2198">
        <v>101.514634970538</v>
      </c>
      <c r="AK2198">
        <v>9.3943305259033298</v>
      </c>
      <c r="AL2198">
        <v>82.346481131741598</v>
      </c>
      <c r="AM2198">
        <v>99.029859812908001</v>
      </c>
      <c r="AN2198">
        <v>0.99999994371589795</v>
      </c>
    </row>
    <row r="2199" spans="1:40" x14ac:dyDescent="0.25">
      <c r="A2199" t="str">
        <f>"20190312164306624"</f>
        <v>20190312164306624</v>
      </c>
      <c r="B2199" t="str">
        <f>"1552380186616950"</f>
        <v>1552380186616950</v>
      </c>
      <c r="C2199" t="s">
        <v>40</v>
      </c>
      <c r="D2199">
        <v>4.3415030000000003</v>
      </c>
      <c r="E2199">
        <v>0.4434786</v>
      </c>
      <c r="F2199" t="s">
        <v>45</v>
      </c>
      <c r="G2199">
        <v>-491.84559999999999</v>
      </c>
      <c r="H2199" s="1">
        <v>5.9065390000000001E-6</v>
      </c>
      <c r="I2199">
        <v>228.62299999999999</v>
      </c>
      <c r="J2199">
        <v>-494.55070000000001</v>
      </c>
      <c r="K2199">
        <v>1.112914</v>
      </c>
      <c r="L2199">
        <v>237.5641</v>
      </c>
      <c r="M2199">
        <v>9.0050950000000005E-2</v>
      </c>
      <c r="N2199">
        <v>0</v>
      </c>
      <c r="O2199">
        <v>-0.99583670000000002</v>
      </c>
      <c r="P2199">
        <v>0.24716369999999999</v>
      </c>
      <c r="Q2199">
        <v>0.117142899999999</v>
      </c>
      <c r="R2199">
        <v>-0.96186689999999997</v>
      </c>
      <c r="S2199">
        <v>0.87194819999999995</v>
      </c>
      <c r="T2199">
        <v>-0.35502909999999999</v>
      </c>
      <c r="U2199">
        <v>-2.941513</v>
      </c>
      <c r="V2199">
        <v>-0.16032150000000001</v>
      </c>
      <c r="W2199">
        <v>0.1300289</v>
      </c>
      <c r="X2199">
        <v>0.97846279999999997</v>
      </c>
      <c r="Y2199">
        <v>-0.19479940000000001</v>
      </c>
      <c r="Z2199">
        <v>0.1155096</v>
      </c>
      <c r="AA2199">
        <v>0.97401789999999999</v>
      </c>
      <c r="AB2199">
        <v>28</v>
      </c>
      <c r="AC2199">
        <v>2.7051000000000101</v>
      </c>
      <c r="AD2199">
        <v>-1.1129080934610001</v>
      </c>
      <c r="AE2199">
        <v>-8.9411000000000005</v>
      </c>
      <c r="AF2199">
        <v>-1.8624371981015999</v>
      </c>
      <c r="AG2199">
        <v>-1.1129080934610001</v>
      </c>
      <c r="AH2199">
        <v>9.0203543851521992</v>
      </c>
      <c r="AI2199">
        <v>96.889583254909098</v>
      </c>
      <c r="AJ2199">
        <v>101.665958997651</v>
      </c>
      <c r="AK2199">
        <v>9.2776090656536105</v>
      </c>
      <c r="AL2199">
        <v>82.528737469641996</v>
      </c>
      <c r="AM2199">
        <v>99.305250553901402</v>
      </c>
      <c r="AN2199">
        <v>0.99999997459064904</v>
      </c>
    </row>
    <row r="2200" spans="1:40" x14ac:dyDescent="0.25">
      <c r="A2200" t="str">
        <f>"20190312164306657"</f>
        <v>20190312164306657</v>
      </c>
      <c r="B2200" t="str">
        <f>"1552380186646234"</f>
        <v>1552380186646234</v>
      </c>
      <c r="C2200" t="s">
        <v>40</v>
      </c>
      <c r="D2200">
        <v>4.433554</v>
      </c>
      <c r="E2200">
        <v>0.43069069999999998</v>
      </c>
      <c r="F2200" t="s">
        <v>45</v>
      </c>
      <c r="G2200">
        <v>-489.38740000000001</v>
      </c>
      <c r="H2200" s="1">
        <v>5.2337350000000003E-6</v>
      </c>
      <c r="I2200">
        <v>225.5899</v>
      </c>
      <c r="J2200">
        <v>-494.50810000000001</v>
      </c>
      <c r="K2200">
        <v>1.1129070000000001</v>
      </c>
      <c r="L2200">
        <v>237.15899999999999</v>
      </c>
      <c r="M2200">
        <v>9.5112379999999996E-2</v>
      </c>
      <c r="N2200">
        <v>0</v>
      </c>
      <c r="O2200">
        <v>-0.99536610000000003</v>
      </c>
      <c r="P2200">
        <v>0.25918530000000001</v>
      </c>
      <c r="Q2200">
        <v>0.1123347</v>
      </c>
      <c r="R2200">
        <v>-0.95927269999999998</v>
      </c>
      <c r="S2200">
        <v>1.223206</v>
      </c>
      <c r="T2200">
        <v>-0.26364949999999998</v>
      </c>
      <c r="U2200">
        <v>-2.8367</v>
      </c>
      <c r="V2200">
        <v>-0.16752790000000001</v>
      </c>
      <c r="W2200">
        <v>0.12515899999999999</v>
      </c>
      <c r="X2200">
        <v>0.97789040000000005</v>
      </c>
      <c r="Y2200">
        <v>-0.3053575</v>
      </c>
      <c r="Z2200">
        <v>8.5920280000000002E-2</v>
      </c>
      <c r="AA2200">
        <v>0.94835349999999996</v>
      </c>
      <c r="AB2200">
        <v>28</v>
      </c>
      <c r="AC2200">
        <v>5.1206999999999896</v>
      </c>
      <c r="AD2200">
        <v>-1.11290176626499</v>
      </c>
      <c r="AE2200">
        <v>-11.569100000000001</v>
      </c>
      <c r="AF2200">
        <v>-3.96631577812285</v>
      </c>
      <c r="AG2200">
        <v>-1.11290176626499</v>
      </c>
      <c r="AH2200">
        <v>11.9115632399704</v>
      </c>
      <c r="AI2200">
        <v>95.065755593602603</v>
      </c>
      <c r="AJ2200">
        <v>108.41674177470399</v>
      </c>
      <c r="AK2200">
        <v>12.6037910968468</v>
      </c>
      <c r="AL2200">
        <v>82.810062104898194</v>
      </c>
      <c r="AM2200">
        <v>99.721291540825206</v>
      </c>
      <c r="AN2200">
        <v>1.0000000034857801</v>
      </c>
    </row>
    <row r="2201" spans="1:40" x14ac:dyDescent="0.25">
      <c r="A2201" t="str">
        <f>"20190312164306678"</f>
        <v>20190312164306678</v>
      </c>
      <c r="B2201" t="str">
        <f>"1552380186676486"</f>
        <v>1552380186676486</v>
      </c>
      <c r="C2201" t="s">
        <v>40</v>
      </c>
      <c r="D2201">
        <v>4.5364699999999996</v>
      </c>
      <c r="E2201">
        <v>0.4260639</v>
      </c>
      <c r="F2201" t="s">
        <v>45</v>
      </c>
      <c r="G2201">
        <v>-489.12119999999999</v>
      </c>
      <c r="H2201" s="1">
        <v>5.3061489999999998E-6</v>
      </c>
      <c r="I2201">
        <v>226.0523</v>
      </c>
      <c r="J2201">
        <v>-494.4803</v>
      </c>
      <c r="K2201">
        <v>1.1129009999999999</v>
      </c>
      <c r="L2201">
        <v>236.90479999999999</v>
      </c>
      <c r="M2201">
        <v>9.8306409999999997E-2</v>
      </c>
      <c r="N2201">
        <v>0</v>
      </c>
      <c r="O2201">
        <v>-0.99505569999999999</v>
      </c>
      <c r="P2201">
        <v>0.26600449999999998</v>
      </c>
      <c r="Q2201">
        <v>0.11026519999999999</v>
      </c>
      <c r="R2201">
        <v>-0.95764479999999996</v>
      </c>
      <c r="S2201">
        <v>1.3551329999999999</v>
      </c>
      <c r="T2201">
        <v>-0.2799603</v>
      </c>
      <c r="U2201">
        <v>-2.794006</v>
      </c>
      <c r="V2201">
        <v>-0.1713192</v>
      </c>
      <c r="W2201">
        <v>0.12305729999999999</v>
      </c>
      <c r="X2201">
        <v>0.97750020000000004</v>
      </c>
      <c r="Y2201">
        <v>-0.34401479999999901</v>
      </c>
      <c r="Z2201">
        <v>9.0928320000000007E-2</v>
      </c>
      <c r="AA2201">
        <v>0.93455120000000003</v>
      </c>
      <c r="AB2201">
        <v>27</v>
      </c>
      <c r="AC2201">
        <v>5.3591000000000104</v>
      </c>
      <c r="AD2201">
        <v>-1.112895693851</v>
      </c>
      <c r="AE2201">
        <v>-10.8524999999999</v>
      </c>
      <c r="AF2201">
        <v>-4.23039403208384</v>
      </c>
      <c r="AG2201">
        <v>-1.112895693851</v>
      </c>
      <c r="AH2201">
        <v>11.231850447479699</v>
      </c>
      <c r="AI2201">
        <v>95.297602238485595</v>
      </c>
      <c r="AJ2201">
        <v>110.638514597021</v>
      </c>
      <c r="AK2201">
        <v>12.0535984239825</v>
      </c>
      <c r="AL2201">
        <v>82.931418919074602</v>
      </c>
      <c r="AM2201">
        <v>99.940842129371902</v>
      </c>
      <c r="AN2201">
        <v>1.00000000418598</v>
      </c>
    </row>
    <row r="2202" spans="1:40" x14ac:dyDescent="0.25">
      <c r="A2202" t="str">
        <f>"20190312164306704"</f>
        <v>20190312164306704</v>
      </c>
      <c r="B2202" t="str">
        <f>"1552380186696983"</f>
        <v>1552380186696983</v>
      </c>
      <c r="C2202" t="s">
        <v>40</v>
      </c>
      <c r="D2202">
        <v>4.2565780000000002</v>
      </c>
      <c r="E2202">
        <v>0.42486489999999999</v>
      </c>
      <c r="F2202" t="s">
        <v>45</v>
      </c>
      <c r="G2202">
        <v>-489.4588</v>
      </c>
      <c r="H2202" s="1">
        <v>5.6993349999999997E-6</v>
      </c>
      <c r="I2202">
        <v>227.03149999999999</v>
      </c>
      <c r="J2202">
        <v>-494.44589999999999</v>
      </c>
      <c r="K2202">
        <v>1.1129249999999999</v>
      </c>
      <c r="L2202">
        <v>236.60130000000001</v>
      </c>
      <c r="M2202">
        <v>0.1021658</v>
      </c>
      <c r="N2202">
        <v>0</v>
      </c>
      <c r="O2202">
        <v>-0.99466710000000003</v>
      </c>
      <c r="P2202">
        <v>0.27374799999999999</v>
      </c>
      <c r="Q2202">
        <v>0.1089566</v>
      </c>
      <c r="R2202">
        <v>-0.95561030000000002</v>
      </c>
      <c r="S2202">
        <v>1.4121090000000001</v>
      </c>
      <c r="T2202">
        <v>-0.31296109999999999</v>
      </c>
      <c r="U2202">
        <v>-2.7765200000000001</v>
      </c>
      <c r="V2202">
        <v>-0.175428799999999</v>
      </c>
      <c r="W2202">
        <v>0.1217052</v>
      </c>
      <c r="X2202">
        <v>0.97694040000000004</v>
      </c>
      <c r="Y2202">
        <v>-0.35755219999999999</v>
      </c>
      <c r="Z2202">
        <v>0.101339899999999</v>
      </c>
      <c r="AA2202">
        <v>0.9283785</v>
      </c>
      <c r="AB2202">
        <v>27</v>
      </c>
      <c r="AC2202">
        <v>4.9870999999999901</v>
      </c>
      <c r="AD2202">
        <v>-1.112919300665</v>
      </c>
      <c r="AE2202">
        <v>-9.5698000000000096</v>
      </c>
      <c r="AF2202">
        <v>-3.9412758602037798</v>
      </c>
      <c r="AG2202">
        <v>-1.112919300665</v>
      </c>
      <c r="AH2202">
        <v>9.9237277379146995</v>
      </c>
      <c r="AI2202">
        <v>95.950341165972802</v>
      </c>
      <c r="AJ2202">
        <v>111.66083755852701</v>
      </c>
      <c r="AK2202">
        <v>10.7355771615817</v>
      </c>
      <c r="AL2202">
        <v>83.009475132133801</v>
      </c>
      <c r="AM2202">
        <v>100.180085918494</v>
      </c>
      <c r="AN2202">
        <v>0.99999998236431897</v>
      </c>
    </row>
    <row r="2203" spans="1:40" x14ac:dyDescent="0.25">
      <c r="A2203" t="str">
        <f>"20190312164306726"</f>
        <v>20190312164306726</v>
      </c>
      <c r="B2203" t="str">
        <f>"1552380186716503"</f>
        <v>1552380186716503</v>
      </c>
      <c r="C2203" t="s">
        <v>40</v>
      </c>
      <c r="D2203">
        <v>4.2741540000000002</v>
      </c>
      <c r="E2203">
        <v>0.42414299999999999</v>
      </c>
      <c r="F2203" t="s">
        <v>45</v>
      </c>
      <c r="G2203">
        <v>-489.40980000000002</v>
      </c>
      <c r="H2203" s="1">
        <v>5.6658720000000003E-6</v>
      </c>
      <c r="I2203">
        <v>226.96559999999999</v>
      </c>
      <c r="J2203">
        <v>-494.41489999999999</v>
      </c>
      <c r="K2203">
        <v>1.1129639999999901</v>
      </c>
      <c r="L2203">
        <v>236.33619999999999</v>
      </c>
      <c r="M2203">
        <v>0.1055997</v>
      </c>
      <c r="N2203">
        <v>0</v>
      </c>
      <c r="O2203">
        <v>-0.99430819999999998</v>
      </c>
      <c r="P2203">
        <v>0.28127150000000001</v>
      </c>
      <c r="Q2203">
        <v>0.1083465</v>
      </c>
      <c r="R2203">
        <v>-0.95349220000000001</v>
      </c>
      <c r="S2203">
        <v>1.443665</v>
      </c>
      <c r="T2203">
        <v>-0.319030599999999</v>
      </c>
      <c r="U2203">
        <v>-2.7621769999999999</v>
      </c>
      <c r="V2203">
        <v>-0.17976339999999999</v>
      </c>
      <c r="W2203">
        <v>0.1210397</v>
      </c>
      <c r="X2203">
        <v>0.97623490000000002</v>
      </c>
      <c r="Y2203">
        <v>-0.36454259999999999</v>
      </c>
      <c r="Z2203">
        <v>0.10329960000000001</v>
      </c>
      <c r="AA2203">
        <v>0.92543929999999996</v>
      </c>
      <c r="AB2203">
        <v>27</v>
      </c>
      <c r="AC2203">
        <v>5.0050999999999597</v>
      </c>
      <c r="AD2203">
        <v>-1.1129583341279901</v>
      </c>
      <c r="AE2203">
        <v>-9.3705999999999907</v>
      </c>
      <c r="AF2203">
        <v>-3.9441888941251801</v>
      </c>
      <c r="AG2203">
        <v>-1.1129583341279901</v>
      </c>
      <c r="AH2203">
        <v>9.7398864484278391</v>
      </c>
      <c r="AI2203">
        <v>96.045853565578497</v>
      </c>
      <c r="AJ2203">
        <v>112.045596876638</v>
      </c>
      <c r="AK2203">
        <v>10.5669622084264</v>
      </c>
      <c r="AL2203">
        <v>83.047889834651698</v>
      </c>
      <c r="AM2203">
        <v>100.433538992219</v>
      </c>
      <c r="AN2203">
        <v>1.0000000344668201</v>
      </c>
    </row>
    <row r="2204" spans="1:40" x14ac:dyDescent="0.25">
      <c r="A2204" t="str">
        <f>"20190312164306749"</f>
        <v>20190312164306749</v>
      </c>
      <c r="B2204" t="str">
        <f>"1552380186746758"</f>
        <v>1552380186746758</v>
      </c>
      <c r="C2204" t="s">
        <v>40</v>
      </c>
      <c r="D2204">
        <v>4.2779290000000003</v>
      </c>
      <c r="E2204">
        <v>0.42402050000000002</v>
      </c>
      <c r="F2204" t="s">
        <v>45</v>
      </c>
      <c r="G2204">
        <v>-489.30959999999999</v>
      </c>
      <c r="H2204" s="1">
        <v>5.58333E-6</v>
      </c>
      <c r="I2204">
        <v>226.7852</v>
      </c>
      <c r="J2204">
        <v>-494.38130000000001</v>
      </c>
      <c r="K2204">
        <v>1.1130180000000001</v>
      </c>
      <c r="L2204">
        <v>236.0591</v>
      </c>
      <c r="M2204">
        <v>0.109259</v>
      </c>
      <c r="N2204">
        <v>0</v>
      </c>
      <c r="O2204">
        <v>-0.99391269999999998</v>
      </c>
      <c r="P2204">
        <v>0.28829929999999998</v>
      </c>
      <c r="Q2204">
        <v>0.10933519999999899</v>
      </c>
      <c r="R2204">
        <v>-0.95127790000000001</v>
      </c>
      <c r="S2204">
        <v>1.469543</v>
      </c>
      <c r="T2204">
        <v>-0.32036049999999999</v>
      </c>
      <c r="U2204">
        <v>-2.7492220000000001</v>
      </c>
      <c r="V2204">
        <v>-0.18341350000000001</v>
      </c>
      <c r="W2204">
        <v>0.1219702</v>
      </c>
      <c r="X2204">
        <v>0.97543979999999997</v>
      </c>
      <c r="Y2204">
        <v>-0.36968040000000002</v>
      </c>
      <c r="Z2204">
        <v>0.1037675</v>
      </c>
      <c r="AA2204">
        <v>0.92334649999999996</v>
      </c>
      <c r="AB2204">
        <v>27</v>
      </c>
      <c r="AC2204">
        <v>5.0717000000000203</v>
      </c>
      <c r="AD2204">
        <v>-1.1130124166699999</v>
      </c>
      <c r="AE2204">
        <v>-9.2738999999999905</v>
      </c>
      <c r="AF2204">
        <v>-3.9838017518689002</v>
      </c>
      <c r="AG2204">
        <v>-1.1130124166699999</v>
      </c>
      <c r="AH2204">
        <v>9.6653865780583796</v>
      </c>
      <c r="AI2204">
        <v>96.077133729218403</v>
      </c>
      <c r="AJ2204">
        <v>112.400085539258</v>
      </c>
      <c r="AK2204">
        <v>10.5132854399167</v>
      </c>
      <c r="AL2204">
        <v>82.994178068494804</v>
      </c>
      <c r="AM2204">
        <v>100.649076082253</v>
      </c>
      <c r="AN2204">
        <v>1.0000000225471599</v>
      </c>
    </row>
    <row r="2205" spans="1:40" x14ac:dyDescent="0.25">
      <c r="A2205" t="str">
        <f>"20190312164306771"</f>
        <v>20190312164306771</v>
      </c>
      <c r="B2205" t="str">
        <f>"1552380186766278"</f>
        <v>1552380186766278</v>
      </c>
      <c r="C2205" t="s">
        <v>40</v>
      </c>
      <c r="D2205">
        <v>4.6056939999999997</v>
      </c>
      <c r="E2205">
        <v>0.42428500000000002</v>
      </c>
      <c r="F2205" t="s">
        <v>45</v>
      </c>
      <c r="G2205">
        <v>-489.27229999999997</v>
      </c>
      <c r="H2205" s="1">
        <v>5.5363789999999899E-6</v>
      </c>
      <c r="I2205">
        <v>226.66560000000001</v>
      </c>
      <c r="J2205">
        <v>-494.34840000000003</v>
      </c>
      <c r="K2205">
        <v>1.113086</v>
      </c>
      <c r="L2205">
        <v>235.79560000000001</v>
      </c>
      <c r="M2205">
        <v>0.1128391</v>
      </c>
      <c r="N2205">
        <v>0</v>
      </c>
      <c r="O2205">
        <v>-0.99351259999999997</v>
      </c>
      <c r="P2205">
        <v>0.29550149999999997</v>
      </c>
      <c r="Q2205">
        <v>0.1100732</v>
      </c>
      <c r="R2205">
        <v>-0.94898020000000005</v>
      </c>
      <c r="S2205">
        <v>1.4899290000000001</v>
      </c>
      <c r="T2205">
        <v>-0.32458589999999998</v>
      </c>
      <c r="U2205">
        <v>-2.739395</v>
      </c>
      <c r="V2205">
        <v>-0.18733269999999999</v>
      </c>
      <c r="W2205">
        <v>0.1226423</v>
      </c>
      <c r="X2205">
        <v>0.97461030000000004</v>
      </c>
      <c r="Y2205">
        <v>-0.37296049999999997</v>
      </c>
      <c r="Z2205">
        <v>0.1051391</v>
      </c>
      <c r="AA2205">
        <v>0.92187110000000005</v>
      </c>
      <c r="AB2205">
        <v>27</v>
      </c>
      <c r="AC2205">
        <v>5.07610000000005</v>
      </c>
      <c r="AD2205">
        <v>-1.1130804636210001</v>
      </c>
      <c r="AE2205">
        <v>-9.1299999999999901</v>
      </c>
      <c r="AF2205">
        <v>-3.9682952959811399</v>
      </c>
      <c r="AG2205">
        <v>-1.1130804636210001</v>
      </c>
      <c r="AH2205">
        <v>9.5362464915794192</v>
      </c>
      <c r="AI2205">
        <v>96.150635090685697</v>
      </c>
      <c r="AJ2205">
        <v>112.59354228218</v>
      </c>
      <c r="AK2205">
        <v>10.388758964513601</v>
      </c>
      <c r="AL2205">
        <v>82.955377807910395</v>
      </c>
      <c r="AM2205">
        <v>100.88029103802501</v>
      </c>
      <c r="AN2205">
        <v>0.99999995555233401</v>
      </c>
    </row>
    <row r="2206" spans="1:40" x14ac:dyDescent="0.25">
      <c r="A2206" t="str">
        <f>"20190312164306793"</f>
        <v>20190312164306793</v>
      </c>
      <c r="B2206" t="str">
        <f>"1552380186786774"</f>
        <v>1552380186786774</v>
      </c>
      <c r="C2206" t="s">
        <v>40</v>
      </c>
      <c r="D2206">
        <v>4.2021319999999998</v>
      </c>
      <c r="E2206">
        <v>0.42454760000000002</v>
      </c>
      <c r="F2206" t="s">
        <v>45</v>
      </c>
      <c r="G2206">
        <v>-489.09620000000001</v>
      </c>
      <c r="H2206" s="1">
        <v>5.3732910000000003E-6</v>
      </c>
      <c r="I2206">
        <v>226.29050000000001</v>
      </c>
      <c r="J2206">
        <v>-494.31400000000002</v>
      </c>
      <c r="K2206">
        <v>1.1131709999999999</v>
      </c>
      <c r="L2206">
        <v>235.52959999999999</v>
      </c>
      <c r="M2206">
        <v>0.1165934</v>
      </c>
      <c r="N2206">
        <v>0</v>
      </c>
      <c r="O2206">
        <v>-0.99307889999999999</v>
      </c>
      <c r="P2206">
        <v>0.30237459999999899</v>
      </c>
      <c r="Q2206">
        <v>0.1097711</v>
      </c>
      <c r="R2206">
        <v>-0.94684710000000005</v>
      </c>
      <c r="S2206">
        <v>1.507843</v>
      </c>
      <c r="T2206">
        <v>-0.31955220000000001</v>
      </c>
      <c r="U2206">
        <v>-2.7288209999999999</v>
      </c>
      <c r="V2206">
        <v>-0.1907394</v>
      </c>
      <c r="W2206">
        <v>0.1222722</v>
      </c>
      <c r="X2206">
        <v>0.97399590000000003</v>
      </c>
      <c r="Y2206">
        <v>-0.3756815</v>
      </c>
      <c r="Z2206">
        <v>0.1035956</v>
      </c>
      <c r="AA2206">
        <v>0.92094050000000005</v>
      </c>
      <c r="AB2206">
        <v>27</v>
      </c>
      <c r="AC2206">
        <v>5.2178000000000102</v>
      </c>
      <c r="AD2206">
        <v>-1.113165626709</v>
      </c>
      <c r="AE2206">
        <v>-9.2390999999999792</v>
      </c>
      <c r="AF2206">
        <v>-4.0601931713926502</v>
      </c>
      <c r="AG2206">
        <v>-1.113165626709</v>
      </c>
      <c r="AH2206">
        <v>9.6779793147321094</v>
      </c>
      <c r="AI2206">
        <v>96.054419975760098</v>
      </c>
      <c r="AJ2206">
        <v>112.759463075586</v>
      </c>
      <c r="AK2206">
        <v>10.5540319270832</v>
      </c>
      <c r="AL2206">
        <v>82.976744176107204</v>
      </c>
      <c r="AM2206">
        <v>101.080116298782</v>
      </c>
      <c r="AN2206">
        <v>1.0000000114109999</v>
      </c>
    </row>
    <row r="2207" spans="1:40" x14ac:dyDescent="0.25">
      <c r="A2207" t="str">
        <f>"20190312164306815"</f>
        <v>20190312164306815</v>
      </c>
      <c r="B2207" t="str">
        <f>"1552380186806295"</f>
        <v>1552380186806295</v>
      </c>
      <c r="C2207" t="s">
        <v>40</v>
      </c>
      <c r="D2207">
        <v>4.1598600000000001</v>
      </c>
      <c r="E2207">
        <v>0.4248711</v>
      </c>
      <c r="F2207" t="s">
        <v>45</v>
      </c>
      <c r="G2207">
        <v>-488.95760000000001</v>
      </c>
      <c r="H2207" s="1">
        <v>5.2408779999999999E-6</v>
      </c>
      <c r="I2207">
        <v>225.982</v>
      </c>
      <c r="J2207">
        <v>-494.2783</v>
      </c>
      <c r="K2207">
        <v>1.113273</v>
      </c>
      <c r="L2207">
        <v>235.26230000000001</v>
      </c>
      <c r="M2207">
        <v>0.1205281</v>
      </c>
      <c r="N2207">
        <v>0</v>
      </c>
      <c r="O2207">
        <v>-0.99260899999999996</v>
      </c>
      <c r="P2207">
        <v>0.30999949999999998</v>
      </c>
      <c r="Q2207">
        <v>0.1092032</v>
      </c>
      <c r="R2207">
        <v>-0.94444419999999996</v>
      </c>
      <c r="S2207">
        <v>1.5249330000000001</v>
      </c>
      <c r="T2207">
        <v>-0.31691180000000002</v>
      </c>
      <c r="U2207">
        <v>-2.7181549999999999</v>
      </c>
      <c r="V2207">
        <v>-0.19475690000000001</v>
      </c>
      <c r="W2207">
        <v>0.1216228</v>
      </c>
      <c r="X2207">
        <v>0.97328190000000003</v>
      </c>
      <c r="Y2207">
        <v>-0.37799470000000002</v>
      </c>
      <c r="Z2207">
        <v>0.1028275</v>
      </c>
      <c r="AA2207">
        <v>0.9200796</v>
      </c>
      <c r="AB2207">
        <v>27</v>
      </c>
      <c r="AC2207">
        <v>5.32069999999998</v>
      </c>
      <c r="AD2207">
        <v>-1.1132677591219999</v>
      </c>
      <c r="AE2207">
        <v>-9.2803000000000093</v>
      </c>
      <c r="AF2207">
        <v>-4.1186482082774596</v>
      </c>
      <c r="AG2207">
        <v>-1.1132677591219999</v>
      </c>
      <c r="AH2207">
        <v>9.7484110539498694</v>
      </c>
      <c r="AI2207">
        <v>96.005220999740203</v>
      </c>
      <c r="AJ2207">
        <v>112.903781202825</v>
      </c>
      <c r="AK2207">
        <v>10.6411534263828</v>
      </c>
      <c r="AL2207">
        <v>83.014231806407295</v>
      </c>
      <c r="AM2207">
        <v>101.315622241242</v>
      </c>
      <c r="AN2207">
        <v>1.00000000622253</v>
      </c>
    </row>
    <row r="2208" spans="1:40" x14ac:dyDescent="0.25">
      <c r="A2208" t="str">
        <f>"20190312164306844"</f>
        <v>20190312164306844</v>
      </c>
      <c r="B2208" t="str">
        <f>"1552380186836550"</f>
        <v>1552380186836550</v>
      </c>
      <c r="C2208" t="s">
        <v>40</v>
      </c>
      <c r="D2208">
        <v>4.0424239999999996</v>
      </c>
      <c r="E2208">
        <v>0.42540679999999997</v>
      </c>
      <c r="F2208" t="s">
        <v>45</v>
      </c>
      <c r="G2208">
        <v>-488.87970000000001</v>
      </c>
      <c r="H2208" s="1">
        <v>5.1615499999999997E-6</v>
      </c>
      <c r="I2208">
        <v>225.7929</v>
      </c>
      <c r="J2208">
        <v>-494.23050000000001</v>
      </c>
      <c r="K2208">
        <v>1.113429</v>
      </c>
      <c r="L2208">
        <v>234.91919999999999</v>
      </c>
      <c r="M2208">
        <v>0.12582360000000001</v>
      </c>
      <c r="N2208">
        <v>0</v>
      </c>
      <c r="O2208">
        <v>-0.99195169999999999</v>
      </c>
      <c r="P2208">
        <v>0.31818210000000002</v>
      </c>
      <c r="Q2208">
        <v>0.1101945</v>
      </c>
      <c r="R2208">
        <v>-0.94160410000000005</v>
      </c>
      <c r="S2208">
        <v>1.5431520000000001</v>
      </c>
      <c r="T2208">
        <v>-0.31822070000000002</v>
      </c>
      <c r="U2208">
        <v>-2.706772</v>
      </c>
      <c r="V2208">
        <v>-0.19807569999999999</v>
      </c>
      <c r="W2208">
        <v>0.1225188</v>
      </c>
      <c r="X2208">
        <v>0.97249940000000001</v>
      </c>
      <c r="Y2208">
        <v>-0.37936989999999998</v>
      </c>
      <c r="Z2208">
        <v>0.1033282</v>
      </c>
      <c r="AA2208">
        <v>0.91945730000000003</v>
      </c>
      <c r="AB2208">
        <v>27</v>
      </c>
      <c r="AC2208">
        <v>5.3507999999999898</v>
      </c>
      <c r="AD2208">
        <v>-1.1134238384499999</v>
      </c>
      <c r="AE2208">
        <v>-9.1262999999999792</v>
      </c>
      <c r="AF2208">
        <v>-4.1142750237972097</v>
      </c>
      <c r="AG2208">
        <v>-1.1134238384499999</v>
      </c>
      <c r="AH2208">
        <v>9.6205157795484197</v>
      </c>
      <c r="AI2208">
        <v>96.074091925379406</v>
      </c>
      <c r="AJ2208">
        <v>113.15428322776501</v>
      </c>
      <c r="AK2208">
        <v>10.5224187086434</v>
      </c>
      <c r="AL2208">
        <v>82.962507645429895</v>
      </c>
      <c r="AM2208">
        <v>101.51235871508</v>
      </c>
      <c r="AN2208">
        <v>0.99999996114214396</v>
      </c>
    </row>
    <row r="2209" spans="1:40" x14ac:dyDescent="0.25">
      <c r="A2209" t="str">
        <f>"20190312164306858"</f>
        <v>20190312164306858</v>
      </c>
      <c r="B2209" t="str">
        <f>"1552380186846311"</f>
        <v>1552380186846311</v>
      </c>
      <c r="C2209" t="s">
        <v>40</v>
      </c>
      <c r="D2209">
        <v>4.1136939999999997</v>
      </c>
      <c r="E2209">
        <v>0.42555599999999999</v>
      </c>
      <c r="F2209" t="s">
        <v>45</v>
      </c>
      <c r="G2209">
        <v>-488.62900000000002</v>
      </c>
      <c r="H2209" s="1">
        <v>4.9290889999999999E-6</v>
      </c>
      <c r="I2209">
        <v>225.24860000000001</v>
      </c>
      <c r="J2209">
        <v>-494.2047</v>
      </c>
      <c r="K2209">
        <v>1.113513</v>
      </c>
      <c r="L2209">
        <v>234.74010000000001</v>
      </c>
      <c r="M2209">
        <v>0.12869620000000001</v>
      </c>
      <c r="N2209">
        <v>0</v>
      </c>
      <c r="O2209">
        <v>-0.99158290000000004</v>
      </c>
      <c r="P2209">
        <v>0.3243801</v>
      </c>
      <c r="Q2209">
        <v>0.1107342</v>
      </c>
      <c r="R2209">
        <v>-0.93942309999999996</v>
      </c>
      <c r="S2209">
        <v>1.5609440000000001</v>
      </c>
      <c r="T2209">
        <v>-0.31027519999999997</v>
      </c>
      <c r="U2209">
        <v>-2.6948699999999999</v>
      </c>
      <c r="V2209">
        <v>-0.20170640000000001</v>
      </c>
      <c r="W2209">
        <v>0.12298729999999999</v>
      </c>
      <c r="X2209">
        <v>0.97169369999999999</v>
      </c>
      <c r="Y2209">
        <v>-0.38312040000000003</v>
      </c>
      <c r="Z2209">
        <v>0.10086680000000001</v>
      </c>
      <c r="AA2209">
        <v>0.91817459999999995</v>
      </c>
      <c r="AB2209">
        <v>27</v>
      </c>
      <c r="AC2209">
        <v>5.5756999999999799</v>
      </c>
      <c r="AD2209">
        <v>-1.1135080709109999</v>
      </c>
      <c r="AE2209">
        <v>-9.4915000000000003</v>
      </c>
      <c r="AF2209">
        <v>-4.2640505940830797</v>
      </c>
      <c r="AG2209">
        <v>-1.1135080709109999</v>
      </c>
      <c r="AH2209">
        <v>10.027593062800699</v>
      </c>
      <c r="AI2209">
        <v>95.834748695431003</v>
      </c>
      <c r="AJ2209">
        <v>113.036736202445</v>
      </c>
      <c r="AK2209">
        <v>10.9532940399687</v>
      </c>
      <c r="AL2209">
        <v>82.935460272834007</v>
      </c>
      <c r="AM2209">
        <v>101.72704094741</v>
      </c>
      <c r="AN2209">
        <v>0.99999999719096999</v>
      </c>
    </row>
    <row r="2210" spans="1:40" x14ac:dyDescent="0.25">
      <c r="A2210" t="str">
        <f>"20190312164306882"</f>
        <v>20190312164306882</v>
      </c>
      <c r="B2210" t="str">
        <f>"1552380186876567"</f>
        <v>1552380186876567</v>
      </c>
      <c r="C2210" t="s">
        <v>40</v>
      </c>
      <c r="D2210">
        <v>4.3739499999999998</v>
      </c>
      <c r="E2210">
        <v>0.42500929999999998</v>
      </c>
      <c r="F2210" t="s">
        <v>45</v>
      </c>
      <c r="G2210">
        <v>-488.51900000000001</v>
      </c>
      <c r="H2210" s="1">
        <v>4.8624339999999999E-6</v>
      </c>
      <c r="I2210">
        <v>225.0575</v>
      </c>
      <c r="J2210">
        <v>-494.1644</v>
      </c>
      <c r="K2210">
        <v>1.113621</v>
      </c>
      <c r="L2210">
        <v>234.46809999999999</v>
      </c>
      <c r="M2210">
        <v>0.1331754</v>
      </c>
      <c r="N2210">
        <v>0</v>
      </c>
      <c r="O2210">
        <v>-0.99099119999999996</v>
      </c>
      <c r="P2210">
        <v>0.33189419999999997</v>
      </c>
      <c r="Q2210">
        <v>0.1117799</v>
      </c>
      <c r="R2210">
        <v>-0.93667040000000001</v>
      </c>
      <c r="S2210">
        <v>1.5768740000000001</v>
      </c>
      <c r="T2210">
        <v>-0.30882130000000002</v>
      </c>
      <c r="U2210">
        <v>-2.6853940000000001</v>
      </c>
      <c r="V2210">
        <v>-0.2051586</v>
      </c>
      <c r="W2210">
        <v>0.1239516</v>
      </c>
      <c r="X2210">
        <v>0.97084809999999999</v>
      </c>
      <c r="Y2210">
        <v>-0.38443690000000003</v>
      </c>
      <c r="Z2210">
        <v>0.1004438</v>
      </c>
      <c r="AA2210">
        <v>0.9176706</v>
      </c>
      <c r="AB2210">
        <v>27</v>
      </c>
      <c r="AC2210">
        <v>5.6453999999999898</v>
      </c>
      <c r="AD2210">
        <v>-1.1136161375660001</v>
      </c>
      <c r="AE2210">
        <v>-9.4105999999999792</v>
      </c>
      <c r="AF2210">
        <v>-4.2974635143928097</v>
      </c>
      <c r="AG2210">
        <v>-1.1136161375660001</v>
      </c>
      <c r="AH2210">
        <v>9.9759336003988004</v>
      </c>
      <c r="AI2210">
        <v>95.853633745394106</v>
      </c>
      <c r="AJ2210">
        <v>113.30556038391499</v>
      </c>
      <c r="AK2210">
        <v>10.9191384623032</v>
      </c>
      <c r="AL2210">
        <v>82.879784254859601</v>
      </c>
      <c r="AM2210">
        <v>101.932138206514</v>
      </c>
      <c r="AN2210">
        <v>1.0000000417850601</v>
      </c>
    </row>
    <row r="2211" spans="1:40" x14ac:dyDescent="0.25">
      <c r="A2211" t="str">
        <f>"20190312164306904"</f>
        <v>20190312164306904</v>
      </c>
      <c r="B2211" t="str">
        <f>"1552380186896086"</f>
        <v>1552380186896086</v>
      </c>
      <c r="C2211" t="s">
        <v>40</v>
      </c>
      <c r="D2211">
        <v>4.0322639999999996</v>
      </c>
      <c r="E2211">
        <v>0.40169860000000002</v>
      </c>
      <c r="F2211" t="s">
        <v>41</v>
      </c>
      <c r="G2211">
        <v>-493.58670000000001</v>
      </c>
      <c r="H2211">
        <v>1.0033749999999999</v>
      </c>
      <c r="I2211">
        <v>233.50450000000001</v>
      </c>
      <c r="J2211">
        <v>-494.12299999999999</v>
      </c>
      <c r="K2211">
        <v>1.11372</v>
      </c>
      <c r="L2211">
        <v>234.19829999999999</v>
      </c>
      <c r="M2211">
        <v>0.13776910000000001</v>
      </c>
      <c r="N2211">
        <v>0</v>
      </c>
      <c r="O2211">
        <v>-0.99036299999999999</v>
      </c>
      <c r="P2211">
        <v>0.34031280000000003</v>
      </c>
      <c r="Q2211">
        <v>0.112631</v>
      </c>
      <c r="R2211">
        <v>-0.93354250000000005</v>
      </c>
      <c r="S2211">
        <v>1.6019289999999999</v>
      </c>
      <c r="T2211">
        <v>-0.30568400000000001</v>
      </c>
      <c r="U2211">
        <v>-2.6717219999999999</v>
      </c>
      <c r="V2211">
        <v>-0.2094481</v>
      </c>
      <c r="W2211">
        <v>0.1247162</v>
      </c>
      <c r="X2211">
        <v>0.96983370000000002</v>
      </c>
      <c r="Y2211">
        <v>-0.38861190000000001</v>
      </c>
      <c r="Z2211">
        <v>9.9461129999999995E-2</v>
      </c>
      <c r="AA2211">
        <v>0.91601759999999999</v>
      </c>
      <c r="AB2211">
        <v>27</v>
      </c>
      <c r="AC2211">
        <v>0.53630000000003897</v>
      </c>
      <c r="AD2211">
        <v>-0.110345</v>
      </c>
      <c r="AE2211">
        <v>-0.69379999999998099</v>
      </c>
      <c r="AF2211">
        <v>-0.42880153958855699</v>
      </c>
      <c r="AG2211">
        <v>-0.110345</v>
      </c>
      <c r="AH2211">
        <v>0.749212750478774</v>
      </c>
      <c r="AI2211">
        <v>97.284384074347798</v>
      </c>
      <c r="AJ2211">
        <v>119.784066199731</v>
      </c>
      <c r="AK2211">
        <v>0.87026807643305304</v>
      </c>
      <c r="AL2211">
        <v>82.835633163613807</v>
      </c>
      <c r="AM2211">
        <v>102.186602359535</v>
      </c>
      <c r="AN2211">
        <v>1.00000002139586</v>
      </c>
    </row>
    <row r="2212" spans="1:40" x14ac:dyDescent="0.25">
      <c r="A2212" t="str">
        <f>"20190312164306928"</f>
        <v>20190312164306928</v>
      </c>
      <c r="B2212" t="str">
        <f>"1552380186916582"</f>
        <v>1552380186916582</v>
      </c>
      <c r="C2212" t="s">
        <v>40</v>
      </c>
      <c r="D2212">
        <v>3.9597720000000001</v>
      </c>
      <c r="E2212">
        <v>0.401418</v>
      </c>
      <c r="F2212" t="s">
        <v>41</v>
      </c>
      <c r="G2212">
        <v>-493.53620000000001</v>
      </c>
      <c r="H2212">
        <v>0.98447459999999998</v>
      </c>
      <c r="I2212">
        <v>233.35210000000001</v>
      </c>
      <c r="J2212">
        <v>-494.07839999999999</v>
      </c>
      <c r="K2212">
        <v>1.1137900000000001</v>
      </c>
      <c r="L2212">
        <v>233.9178</v>
      </c>
      <c r="M2212">
        <v>0.14266199999999901</v>
      </c>
      <c r="N2212">
        <v>0</v>
      </c>
      <c r="O2212">
        <v>-0.98967000000000005</v>
      </c>
      <c r="P2212">
        <v>0.3488966</v>
      </c>
      <c r="Q2212">
        <v>0.11401459999999999</v>
      </c>
      <c r="R2212">
        <v>-0.93020000000000003</v>
      </c>
      <c r="S2212">
        <v>1.8057859999999999</v>
      </c>
      <c r="T2212">
        <v>-0.39759339999999999</v>
      </c>
      <c r="U2212">
        <v>-2.6032410000000001</v>
      </c>
      <c r="V2212">
        <v>-0.21365000000000001</v>
      </c>
      <c r="W2212">
        <v>0.12601899999999999</v>
      </c>
      <c r="X2212">
        <v>0.9687481</v>
      </c>
      <c r="Y2212">
        <v>-0.44226399999999999</v>
      </c>
      <c r="Z2212">
        <v>0.12741640000000001</v>
      </c>
      <c r="AA2212">
        <v>0.88778809999999997</v>
      </c>
      <c r="AB2212">
        <v>27</v>
      </c>
      <c r="AC2212">
        <v>0.54219999999997903</v>
      </c>
      <c r="AD2212">
        <v>-0.1293154</v>
      </c>
      <c r="AE2212">
        <v>-0.56569999999999199</v>
      </c>
      <c r="AF2212">
        <v>-0.44385246314254001</v>
      </c>
      <c r="AG2212">
        <v>-0.1293154</v>
      </c>
      <c r="AH2212">
        <v>0.62037547098075196</v>
      </c>
      <c r="AI2212">
        <v>99.621662562742998</v>
      </c>
      <c r="AJ2212">
        <v>125.58212062216001</v>
      </c>
      <c r="AK2212">
        <v>0.77368805516787498</v>
      </c>
      <c r="AL2212">
        <v>82.760394428505094</v>
      </c>
      <c r="AM2212">
        <v>102.437055936796</v>
      </c>
      <c r="AN2212">
        <v>0.99999999605730505</v>
      </c>
    </row>
    <row r="2213" spans="1:40" x14ac:dyDescent="0.25">
      <c r="A2213" t="str">
        <f>"20190312164306951"</f>
        <v>20190312164306951</v>
      </c>
      <c r="B2213" t="str">
        <f>"1552380186946840"</f>
        <v>1552380186946840</v>
      </c>
      <c r="C2213" t="s">
        <v>40</v>
      </c>
      <c r="D2213">
        <v>3.932172</v>
      </c>
      <c r="E2213">
        <v>0.40233039999999998</v>
      </c>
      <c r="F2213" t="s">
        <v>41</v>
      </c>
      <c r="G2213">
        <v>-493.50869999999998</v>
      </c>
      <c r="H2213">
        <v>0.99067400000000005</v>
      </c>
      <c r="I2213">
        <v>233.11279999999999</v>
      </c>
      <c r="J2213">
        <v>-494.03449999999998</v>
      </c>
      <c r="K2213">
        <v>1.1138410000000001</v>
      </c>
      <c r="L2213">
        <v>233.6497</v>
      </c>
      <c r="M2213">
        <v>0.1474287</v>
      </c>
      <c r="N2213">
        <v>0</v>
      </c>
      <c r="O2213">
        <v>-0.98897100000000004</v>
      </c>
      <c r="P2213">
        <v>0.3566338</v>
      </c>
      <c r="Q2213">
        <v>0.11519939999999999</v>
      </c>
      <c r="R2213">
        <v>-0.92711469999999896</v>
      </c>
      <c r="S2213">
        <v>1.830505</v>
      </c>
      <c r="T2213">
        <v>-0.39569399999999999</v>
      </c>
      <c r="U2213">
        <v>-2.5870820000000001</v>
      </c>
      <c r="V2213">
        <v>-0.21710589999999999</v>
      </c>
      <c r="W2213">
        <v>0.12713679999999999</v>
      </c>
      <c r="X2213">
        <v>0.96783330000000001</v>
      </c>
      <c r="Y2213">
        <v>-0.44625900000000002</v>
      </c>
      <c r="Z2213">
        <v>0.12687519999999999</v>
      </c>
      <c r="AA2213">
        <v>0.88586430000000005</v>
      </c>
      <c r="AB2213">
        <v>27</v>
      </c>
      <c r="AC2213">
        <v>0.52580000000000304</v>
      </c>
      <c r="AD2213">
        <v>-0.123167</v>
      </c>
      <c r="AE2213">
        <v>-0.53690000000000204</v>
      </c>
      <c r="AF2213">
        <v>-0.42935712514299401</v>
      </c>
      <c r="AG2213">
        <v>-0.123167</v>
      </c>
      <c r="AH2213">
        <v>0.59263788062188905</v>
      </c>
      <c r="AI2213">
        <v>99.553422293770296</v>
      </c>
      <c r="AJ2213">
        <v>125.922757768217</v>
      </c>
      <c r="AK2213">
        <v>0.74211677541210497</v>
      </c>
      <c r="AL2213">
        <v>82.695830043425701</v>
      </c>
      <c r="AM2213">
        <v>102.64338080153701</v>
      </c>
      <c r="AN2213">
        <v>1.00000001715896</v>
      </c>
    </row>
    <row r="2214" spans="1:40" x14ac:dyDescent="0.25">
      <c r="A2214" t="str">
        <f>"20190312164306974"</f>
        <v>20190312164306974</v>
      </c>
      <c r="B2214" t="str">
        <f>"1552380186966359"</f>
        <v>1552380186966359</v>
      </c>
      <c r="C2214" t="s">
        <v>40</v>
      </c>
      <c r="D2214">
        <v>3.9013659999999999</v>
      </c>
      <c r="E2214">
        <v>0.40309099999999998</v>
      </c>
      <c r="F2214" t="s">
        <v>41</v>
      </c>
      <c r="G2214">
        <v>-493.47980000000001</v>
      </c>
      <c r="H2214">
        <v>0.9933746</v>
      </c>
      <c r="I2214">
        <v>232.8742</v>
      </c>
      <c r="J2214">
        <v>-493.99020000000002</v>
      </c>
      <c r="K2214">
        <v>1.1138779999999999</v>
      </c>
      <c r="L2214">
        <v>233.38849999999999</v>
      </c>
      <c r="M2214">
        <v>0.15214059999999999</v>
      </c>
      <c r="N2214">
        <v>0</v>
      </c>
      <c r="O2214">
        <v>-0.98825719999999995</v>
      </c>
      <c r="P2214">
        <v>0.36440620000000001</v>
      </c>
      <c r="Q2214">
        <v>0.1142682</v>
      </c>
      <c r="R2214">
        <v>-0.9242032</v>
      </c>
      <c r="S2214">
        <v>1.8435060000000001</v>
      </c>
      <c r="T2214">
        <v>-0.40017239999999998</v>
      </c>
      <c r="U2214">
        <v>-2.5763850000000001</v>
      </c>
      <c r="V2214">
        <v>-0.22061320000000001</v>
      </c>
      <c r="W2214">
        <v>0.12614629999999999</v>
      </c>
      <c r="X2214">
        <v>0.96716950000000002</v>
      </c>
      <c r="Y2214">
        <v>-0.44658530000000002</v>
      </c>
      <c r="Z2214">
        <v>0.12839120000000001</v>
      </c>
      <c r="AA2214">
        <v>0.88548139999999997</v>
      </c>
      <c r="AB2214">
        <v>27</v>
      </c>
      <c r="AC2214">
        <v>0.51040000000000396</v>
      </c>
      <c r="AD2214">
        <v>-0.1205034</v>
      </c>
      <c r="AE2214">
        <v>-0.51429999999999099</v>
      </c>
      <c r="AF2214">
        <v>-0.41473250355630698</v>
      </c>
      <c r="AG2214">
        <v>-0.1205034</v>
      </c>
      <c r="AH2214">
        <v>0.57020119957384696</v>
      </c>
      <c r="AI2214">
        <v>99.698619611870498</v>
      </c>
      <c r="AJ2214">
        <v>126.03004961246199</v>
      </c>
      <c r="AK2214">
        <v>0.71529960639797496</v>
      </c>
      <c r="AL2214">
        <v>82.753041719622004</v>
      </c>
      <c r="AM2214">
        <v>102.849432624337</v>
      </c>
      <c r="AN2214">
        <v>0.99999995737408898</v>
      </c>
    </row>
    <row r="2215" spans="1:40" x14ac:dyDescent="0.25">
      <c r="A2215" t="str">
        <f>"20190312164307002"</f>
        <v>20190312164307002</v>
      </c>
      <c r="B2215" t="str">
        <f>"1552380186996615"</f>
        <v>1552380186996615</v>
      </c>
      <c r="C2215" t="s">
        <v>40</v>
      </c>
      <c r="D2215">
        <v>3.831826</v>
      </c>
      <c r="E2215">
        <v>0.40396349999999998</v>
      </c>
      <c r="F2215" t="s">
        <v>41</v>
      </c>
      <c r="G2215">
        <v>-493.44459999999998</v>
      </c>
      <c r="H2215">
        <v>0.99476730000000002</v>
      </c>
      <c r="I2215">
        <v>232.63659999999999</v>
      </c>
      <c r="J2215">
        <v>-493.93279999999999</v>
      </c>
      <c r="K2215">
        <v>1.113912</v>
      </c>
      <c r="L2215">
        <v>233.06</v>
      </c>
      <c r="M2215">
        <v>0.15813369999999999</v>
      </c>
      <c r="N2215">
        <v>0</v>
      </c>
      <c r="O2215">
        <v>-0.98731590000000002</v>
      </c>
      <c r="P2215">
        <v>0.37359140000000002</v>
      </c>
      <c r="Q2215">
        <v>0.1119063</v>
      </c>
      <c r="R2215">
        <v>-0.92081880000000005</v>
      </c>
      <c r="S2215">
        <v>1.8591610000000001</v>
      </c>
      <c r="T2215">
        <v>-0.40605659999999999</v>
      </c>
      <c r="U2215">
        <v>-2.5631870000000001</v>
      </c>
      <c r="V2215">
        <v>-0.22432949999999999</v>
      </c>
      <c r="W2215">
        <v>0.1237231</v>
      </c>
      <c r="X2215">
        <v>0.96662760000000003</v>
      </c>
      <c r="Y2215">
        <v>-0.44672580000000001</v>
      </c>
      <c r="Z2215">
        <v>0.13037670000000001</v>
      </c>
      <c r="AA2215">
        <v>0.88512029999999997</v>
      </c>
      <c r="AB2215">
        <v>27</v>
      </c>
      <c r="AC2215">
        <v>0.48820000000000602</v>
      </c>
      <c r="AD2215">
        <v>-0.11914470000000001</v>
      </c>
      <c r="AE2215">
        <v>-0.42340000000001499</v>
      </c>
      <c r="AF2215">
        <v>-0.40144931489866098</v>
      </c>
      <c r="AG2215">
        <v>-0.11914470000000001</v>
      </c>
      <c r="AH2215">
        <v>0.47899792263601998</v>
      </c>
      <c r="AI2215">
        <v>100.793215449876</v>
      </c>
      <c r="AJ2215">
        <v>129.96645452831501</v>
      </c>
      <c r="AK2215">
        <v>0.63623582252205602</v>
      </c>
      <c r="AL2215">
        <v>82.892977767450105</v>
      </c>
      <c r="AM2215">
        <v>103.06559495909499</v>
      </c>
      <c r="AN2215">
        <v>1.0000000235628099</v>
      </c>
    </row>
    <row r="2216" spans="1:40" x14ac:dyDescent="0.25">
      <c r="A2216" t="str">
        <f>"20190312164307017"</f>
        <v>20190312164307017</v>
      </c>
      <c r="B2216" t="str">
        <f>"1552380187006374"</f>
        <v>1552380187006374</v>
      </c>
      <c r="C2216" t="s">
        <v>40</v>
      </c>
      <c r="D2216">
        <v>3.8620839999999999</v>
      </c>
      <c r="E2216">
        <v>0.40422740000000001</v>
      </c>
      <c r="F2216" t="s">
        <v>41</v>
      </c>
      <c r="G2216">
        <v>-493.29590000000002</v>
      </c>
      <c r="H2216">
        <v>0.97394219999999998</v>
      </c>
      <c r="I2216">
        <v>232.19649999999999</v>
      </c>
      <c r="J2216">
        <v>-493.89830000000001</v>
      </c>
      <c r="K2216">
        <v>1.113917</v>
      </c>
      <c r="L2216">
        <v>232.8689</v>
      </c>
      <c r="M2216">
        <v>0.16165070000000001</v>
      </c>
      <c r="N2216">
        <v>0</v>
      </c>
      <c r="O2216">
        <v>-0.98674600000000001</v>
      </c>
      <c r="P2216">
        <v>0.38046249999999998</v>
      </c>
      <c r="Q2216">
        <v>0.1102781</v>
      </c>
      <c r="R2216">
        <v>-0.91819779999999995</v>
      </c>
      <c r="S2216">
        <v>1.878082</v>
      </c>
      <c r="T2216">
        <v>-0.41269060000000002</v>
      </c>
      <c r="U2216">
        <v>-2.5461269999999998</v>
      </c>
      <c r="V2216">
        <v>-0.2280731</v>
      </c>
      <c r="W2216">
        <v>0.1220455</v>
      </c>
      <c r="X2216">
        <v>0.96596459999999995</v>
      </c>
      <c r="Y2216">
        <v>-0.45044960000000001</v>
      </c>
      <c r="Z2216">
        <v>0.132661</v>
      </c>
      <c r="AA2216">
        <v>0.88289089999999903</v>
      </c>
      <c r="AB2216">
        <v>27</v>
      </c>
      <c r="AC2216">
        <v>0.60239999999998795</v>
      </c>
      <c r="AD2216">
        <v>-0.13997480000000001</v>
      </c>
      <c r="AE2216">
        <v>-0.67240000000000999</v>
      </c>
      <c r="AF2216">
        <v>-0.47436689945879301</v>
      </c>
      <c r="AG2216">
        <v>-0.13997480000000001</v>
      </c>
      <c r="AH2216">
        <v>0.74307924193789299</v>
      </c>
      <c r="AI2216">
        <v>99.021908835830004</v>
      </c>
      <c r="AJ2216">
        <v>122.55334527831501</v>
      </c>
      <c r="AK2216">
        <v>0.89262739132080304</v>
      </c>
      <c r="AL2216">
        <v>82.989831244140007</v>
      </c>
      <c r="AM2216">
        <v>103.284761142691</v>
      </c>
      <c r="AN2216">
        <v>1.0000000257335</v>
      </c>
    </row>
    <row r="2217" spans="1:40" x14ac:dyDescent="0.25">
      <c r="A2217" t="str">
        <f>"20190312164307039"</f>
        <v>20190312164307039</v>
      </c>
      <c r="B2217" t="str">
        <f>"1552380187036631"</f>
        <v>1552380187036631</v>
      </c>
      <c r="C2217" t="s">
        <v>40</v>
      </c>
      <c r="D2217">
        <v>3.8068710000000001</v>
      </c>
      <c r="E2217">
        <v>0.40503270000000002</v>
      </c>
      <c r="F2217" t="s">
        <v>41</v>
      </c>
      <c r="G2217">
        <v>-493.33089999999999</v>
      </c>
      <c r="H2217">
        <v>0.9885427</v>
      </c>
      <c r="I2217">
        <v>232.11009999999999</v>
      </c>
      <c r="J2217">
        <v>-493.85059999999999</v>
      </c>
      <c r="K2217">
        <v>1.1139410000000001</v>
      </c>
      <c r="L2217">
        <v>232.61089999999999</v>
      </c>
      <c r="M2217">
        <v>0.16641510000000001</v>
      </c>
      <c r="N2217">
        <v>0</v>
      </c>
      <c r="O2217">
        <v>-0.98595370000000004</v>
      </c>
      <c r="P2217">
        <v>0.3876521</v>
      </c>
      <c r="Q2217">
        <v>0.1101543</v>
      </c>
      <c r="R2217">
        <v>-0.91520080000000004</v>
      </c>
      <c r="S2217">
        <v>1.893921</v>
      </c>
      <c r="T2217">
        <v>-0.41846129999999998</v>
      </c>
      <c r="U2217">
        <v>-2.5327609999999998</v>
      </c>
      <c r="V2217">
        <v>-0.2309879</v>
      </c>
      <c r="W2217">
        <v>0.121879399999999</v>
      </c>
      <c r="X2217">
        <v>0.9652927</v>
      </c>
      <c r="Y2217">
        <v>-0.45176460000000002</v>
      </c>
      <c r="Z2217">
        <v>0.13460320000000001</v>
      </c>
      <c r="AA2217">
        <v>0.8819245</v>
      </c>
      <c r="AB2217">
        <v>27</v>
      </c>
      <c r="AC2217">
        <v>0.51970000000000005</v>
      </c>
      <c r="AD2217">
        <v>-0.12539829999999999</v>
      </c>
      <c r="AE2217">
        <v>-0.50079999999999802</v>
      </c>
      <c r="AF2217">
        <v>-0.41652837628565198</v>
      </c>
      <c r="AG2217">
        <v>-0.12539829999999999</v>
      </c>
      <c r="AH2217">
        <v>0.56330475578560202</v>
      </c>
      <c r="AI2217">
        <v>100.14807149689</v>
      </c>
      <c r="AJ2217">
        <v>126.48059177007499</v>
      </c>
      <c r="AK2217">
        <v>0.71171122640065798</v>
      </c>
      <c r="AL2217">
        <v>82.999419453613697</v>
      </c>
      <c r="AM2217">
        <v>103.457431611844</v>
      </c>
      <c r="AN2217">
        <v>0.99999999738202905</v>
      </c>
    </row>
    <row r="2218" spans="1:40" x14ac:dyDescent="0.25">
      <c r="A2218" t="str">
        <f>"20190312164307062"</f>
        <v>20190312164307062</v>
      </c>
      <c r="B2218" t="str">
        <f>"1552380187056151"</f>
        <v>1552380187056151</v>
      </c>
      <c r="C2218" t="s">
        <v>40</v>
      </c>
      <c r="D2218">
        <v>3.7393619999999999</v>
      </c>
      <c r="E2218">
        <v>0.40538740000000001</v>
      </c>
      <c r="F2218" t="s">
        <v>45</v>
      </c>
      <c r="G2218">
        <v>-488.73820000000001</v>
      </c>
      <c r="H2218" s="1">
        <v>5.1440339999999999E-6</v>
      </c>
      <c r="I2218">
        <v>225.8579</v>
      </c>
      <c r="J2218">
        <v>-493.7987</v>
      </c>
      <c r="K2218">
        <v>1.113961</v>
      </c>
      <c r="L2218">
        <v>232.33770000000001</v>
      </c>
      <c r="M2218">
        <v>0.1714987</v>
      </c>
      <c r="N2218">
        <v>0</v>
      </c>
      <c r="O2218">
        <v>-0.98508209999999996</v>
      </c>
      <c r="P2218">
        <v>0.39466309999999999</v>
      </c>
      <c r="Q2218">
        <v>0.1108579</v>
      </c>
      <c r="R2218">
        <v>-0.91211390000000003</v>
      </c>
      <c r="S2218">
        <v>1.9077759999999999</v>
      </c>
      <c r="T2218">
        <v>-0.41567900000000002</v>
      </c>
      <c r="U2218">
        <v>-2.5199579999999999</v>
      </c>
      <c r="V2218">
        <v>-0.23344419999999999</v>
      </c>
      <c r="W2218">
        <v>0.1225448</v>
      </c>
      <c r="X2218">
        <v>0.96461730000000001</v>
      </c>
      <c r="Y2218">
        <v>-0.45247110000000001</v>
      </c>
      <c r="Z2218">
        <v>0.133858</v>
      </c>
      <c r="AA2218">
        <v>0.88167569999999995</v>
      </c>
      <c r="AB2218">
        <v>27</v>
      </c>
      <c r="AC2218">
        <v>5.0604999999999896</v>
      </c>
      <c r="AD2218">
        <v>-1.1139558559660001</v>
      </c>
      <c r="AE2218">
        <v>-6.4798000000000098</v>
      </c>
      <c r="AF2218">
        <v>-3.80428404534084</v>
      </c>
      <c r="AG2218">
        <v>-1.1139558559660001</v>
      </c>
      <c r="AH2218">
        <v>7.12101115219994</v>
      </c>
      <c r="AI2218">
        <v>97.855889130992495</v>
      </c>
      <c r="AJ2218">
        <v>118.112634407667</v>
      </c>
      <c r="AK2218">
        <v>8.1499861703214993</v>
      </c>
      <c r="AL2218">
        <v>82.961006770709204</v>
      </c>
      <c r="AM2218">
        <v>103.604416873006</v>
      </c>
      <c r="AN2218">
        <v>0.99999997898998405</v>
      </c>
    </row>
    <row r="2219" spans="1:40" x14ac:dyDescent="0.25">
      <c r="A2219" t="str">
        <f>"20190312164307087"</f>
        <v>20190312164307087</v>
      </c>
      <c r="B2219" t="str">
        <f>"1552380187076647"</f>
        <v>1552380187076647</v>
      </c>
      <c r="C2219" t="s">
        <v>40</v>
      </c>
      <c r="D2219">
        <v>3.8362829999999999</v>
      </c>
      <c r="E2219">
        <v>0.40574909999999997</v>
      </c>
      <c r="F2219" t="s">
        <v>41</v>
      </c>
      <c r="G2219">
        <v>-493.1576</v>
      </c>
      <c r="H2219">
        <v>0.97755219999999998</v>
      </c>
      <c r="I2219">
        <v>231.5026</v>
      </c>
      <c r="J2219">
        <v>-493.74290000000002</v>
      </c>
      <c r="K2219">
        <v>1.113993</v>
      </c>
      <c r="L2219">
        <v>232.053</v>
      </c>
      <c r="M2219">
        <v>0.17686199999999999</v>
      </c>
      <c r="N2219">
        <v>0</v>
      </c>
      <c r="O2219">
        <v>-0.98413349999999999</v>
      </c>
      <c r="P2219">
        <v>0.40235799999999999</v>
      </c>
      <c r="Q2219">
        <v>0.1104835</v>
      </c>
      <c r="R2219">
        <v>-0.90879169999999998</v>
      </c>
      <c r="S2219">
        <v>1.9244079999999999</v>
      </c>
      <c r="T2219">
        <v>-0.40935840000000001</v>
      </c>
      <c r="U2219">
        <v>-2.5061490000000002</v>
      </c>
      <c r="V2219">
        <v>-0.23634230000000001</v>
      </c>
      <c r="W2219">
        <v>0.1221226</v>
      </c>
      <c r="X2219">
        <v>0.96396490000000001</v>
      </c>
      <c r="Y2219">
        <v>-0.45380759999999998</v>
      </c>
      <c r="Z2219">
        <v>0.13195499999999999</v>
      </c>
      <c r="AA2219">
        <v>0.88127549999999899</v>
      </c>
      <c r="AB2219">
        <v>27</v>
      </c>
      <c r="AC2219">
        <v>0.58530000000001703</v>
      </c>
      <c r="AD2219">
        <v>-0.1364408</v>
      </c>
      <c r="AE2219">
        <v>-0.550399999999996</v>
      </c>
      <c r="AF2219">
        <v>-0.465297866714178</v>
      </c>
      <c r="AG2219">
        <v>-0.1364408</v>
      </c>
      <c r="AH2219">
        <v>0.62716249922706102</v>
      </c>
      <c r="AI2219">
        <v>99.910577936692505</v>
      </c>
      <c r="AJ2219">
        <v>126.572073737666</v>
      </c>
      <c r="AK2219">
        <v>0.792749012683168</v>
      </c>
      <c r="AL2219">
        <v>82.985380055958004</v>
      </c>
      <c r="AM2219">
        <v>103.775882953101</v>
      </c>
      <c r="AN2219">
        <v>0.99999997031602905</v>
      </c>
    </row>
    <row r="2220" spans="1:40" x14ac:dyDescent="0.25">
      <c r="A2220" t="str">
        <f>"20190312164307107"</f>
        <v>20190312164307107</v>
      </c>
      <c r="B2220" t="str">
        <f>"1552380187097143"</f>
        <v>1552380187097143</v>
      </c>
      <c r="C2220" t="s">
        <v>40</v>
      </c>
      <c r="D2220">
        <v>3.857208</v>
      </c>
      <c r="E2220">
        <v>0.40620469999999997</v>
      </c>
      <c r="F2220" t="s">
        <v>41</v>
      </c>
      <c r="G2220">
        <v>-493.12830000000002</v>
      </c>
      <c r="H2220">
        <v>0.98430450000000003</v>
      </c>
      <c r="I2220">
        <v>231.2645</v>
      </c>
      <c r="J2220">
        <v>-493.69639999999998</v>
      </c>
      <c r="K2220">
        <v>1.1140239999999999</v>
      </c>
      <c r="L2220">
        <v>231.82149999999999</v>
      </c>
      <c r="M2220">
        <v>0.18126629999999999</v>
      </c>
      <c r="N2220">
        <v>0</v>
      </c>
      <c r="O2220">
        <v>-0.98333170000000003</v>
      </c>
      <c r="P2220">
        <v>0.40882059999999998</v>
      </c>
      <c r="Q2220">
        <v>0.1088312</v>
      </c>
      <c r="R2220">
        <v>-0.90610230000000003</v>
      </c>
      <c r="S2220">
        <v>1.9416199999999999</v>
      </c>
      <c r="T2220">
        <v>-0.40978999999999999</v>
      </c>
      <c r="U2220">
        <v>-2.4913020000000001</v>
      </c>
      <c r="V2220">
        <v>-0.23885419999999999</v>
      </c>
      <c r="W2220">
        <v>0.1204272</v>
      </c>
      <c r="X2220">
        <v>0.96355900000000005</v>
      </c>
      <c r="Y2220">
        <v>-0.4561384</v>
      </c>
      <c r="Z2220">
        <v>0.13220889999999999</v>
      </c>
      <c r="AA2220">
        <v>0.88003330000000002</v>
      </c>
      <c r="AB2220">
        <v>27</v>
      </c>
      <c r="AC2220">
        <v>0.56809999999995797</v>
      </c>
      <c r="AD2220">
        <v>-0.12971949999999899</v>
      </c>
      <c r="AE2220">
        <v>-0.55699999999998795</v>
      </c>
      <c r="AF2220">
        <v>-0.445858885075954</v>
      </c>
      <c r="AG2220">
        <v>-0.12971949999999899</v>
      </c>
      <c r="AH2220">
        <v>0.63390702608852301</v>
      </c>
      <c r="AI2220">
        <v>99.502058629154604</v>
      </c>
      <c r="AJ2220">
        <v>125.120659806455</v>
      </c>
      <c r="AK2220">
        <v>0.78578331097435505</v>
      </c>
      <c r="AL2220">
        <v>83.083241813353794</v>
      </c>
      <c r="AM2220">
        <v>103.92226770443099</v>
      </c>
      <c r="AN2220">
        <v>0.99999999291924002</v>
      </c>
    </row>
    <row r="2221" spans="1:40" x14ac:dyDescent="0.25">
      <c r="A2221" t="str">
        <f>"20190312164307129"</f>
        <v>20190312164307129</v>
      </c>
      <c r="B2221" t="str">
        <f>"1552380187126422"</f>
        <v>1552380187126422</v>
      </c>
      <c r="C2221" t="s">
        <v>40</v>
      </c>
      <c r="D2221">
        <v>3.7841290000000001</v>
      </c>
      <c r="E2221">
        <v>0.41161609999999998</v>
      </c>
      <c r="F2221" t="s">
        <v>41</v>
      </c>
      <c r="G2221">
        <v>-493.07690000000002</v>
      </c>
      <c r="H2221">
        <v>0.9822803</v>
      </c>
      <c r="I2221">
        <v>231.03559999999999</v>
      </c>
      <c r="J2221">
        <v>-493.64370000000002</v>
      </c>
      <c r="K2221">
        <v>1.1140699999999999</v>
      </c>
      <c r="L2221">
        <v>231.56620000000001</v>
      </c>
      <c r="M2221">
        <v>0.1862018</v>
      </c>
      <c r="N2221">
        <v>0</v>
      </c>
      <c r="O2221">
        <v>-0.98240899999999998</v>
      </c>
      <c r="P2221">
        <v>0.41538779999999997</v>
      </c>
      <c r="Q2221">
        <v>0.1094383</v>
      </c>
      <c r="R2221">
        <v>-0.9030376</v>
      </c>
      <c r="S2221">
        <v>1.954742</v>
      </c>
      <c r="T2221">
        <v>-0.41551709999999897</v>
      </c>
      <c r="U2221">
        <v>-2.4788510000000001</v>
      </c>
      <c r="V2221">
        <v>-0.24104629999999999</v>
      </c>
      <c r="W2221">
        <v>0.12098150000000001</v>
      </c>
      <c r="X2221">
        <v>0.96294349999999995</v>
      </c>
      <c r="Y2221">
        <v>-0.45653890000000003</v>
      </c>
      <c r="Z2221">
        <v>0.13414079999999901</v>
      </c>
      <c r="AA2221">
        <v>0.87953309999999996</v>
      </c>
      <c r="AB2221">
        <v>27</v>
      </c>
      <c r="AC2221">
        <v>0.56679999999999997</v>
      </c>
      <c r="AD2221">
        <v>-0.13178970000000001</v>
      </c>
      <c r="AE2221">
        <v>-0.53060000000002105</v>
      </c>
      <c r="AF2221">
        <v>-0.44524789412724802</v>
      </c>
      <c r="AG2221">
        <v>-0.13178970000000001</v>
      </c>
      <c r="AH2221">
        <v>0.60931233285199704</v>
      </c>
      <c r="AI2221">
        <v>99.905965439317796</v>
      </c>
      <c r="AJ2221">
        <v>126.15703235626199</v>
      </c>
      <c r="AK2221">
        <v>0.76607814954897502</v>
      </c>
      <c r="AL2221">
        <v>83.0512489867521</v>
      </c>
      <c r="AM2221">
        <v>104.053626143446</v>
      </c>
      <c r="AN2221">
        <v>1.00000001313909</v>
      </c>
    </row>
    <row r="2222" spans="1:40" x14ac:dyDescent="0.25">
      <c r="A2222" t="str">
        <f>"20190312164307154"</f>
        <v>20190312164307154</v>
      </c>
      <c r="B2222" t="str">
        <f>"1552380187146919"</f>
        <v>1552380187146919</v>
      </c>
      <c r="C2222" t="s">
        <v>40</v>
      </c>
      <c r="D2222">
        <v>3.8312309999999998</v>
      </c>
      <c r="E2222">
        <v>0.4117632</v>
      </c>
      <c r="F2222" t="s">
        <v>41</v>
      </c>
      <c r="G2222">
        <v>-493.04559999999998</v>
      </c>
      <c r="H2222">
        <v>1.001131</v>
      </c>
      <c r="I2222">
        <v>230.79820000000001</v>
      </c>
      <c r="J2222">
        <v>-493.58170000000001</v>
      </c>
      <c r="K2222">
        <v>1.1141479999999999</v>
      </c>
      <c r="L2222">
        <v>231.27459999999999</v>
      </c>
      <c r="M2222">
        <v>0.1919768</v>
      </c>
      <c r="N2222">
        <v>0</v>
      </c>
      <c r="O2222">
        <v>-0.98129659999999996</v>
      </c>
      <c r="P2222">
        <v>0.42076259999999999</v>
      </c>
      <c r="Q2222">
        <v>0.11103879999999999</v>
      </c>
      <c r="R2222">
        <v>-0.90034959999999997</v>
      </c>
      <c r="S2222">
        <v>1.930267</v>
      </c>
      <c r="T2222">
        <v>-0.36445430000000001</v>
      </c>
      <c r="U2222">
        <v>-2.4783780000000002</v>
      </c>
      <c r="V2222">
        <v>-0.24119740000000001</v>
      </c>
      <c r="W2222">
        <v>0.1225358</v>
      </c>
      <c r="X2222">
        <v>0.96270909999999998</v>
      </c>
      <c r="Y2222">
        <v>-0.44722269999999997</v>
      </c>
      <c r="Z2222">
        <v>0.1183616</v>
      </c>
      <c r="AA2222">
        <v>0.88655649999999997</v>
      </c>
      <c r="AB2222">
        <v>27</v>
      </c>
      <c r="AC2222">
        <v>0.53610000000003299</v>
      </c>
      <c r="AD2222">
        <v>-0.11301699999999899</v>
      </c>
      <c r="AE2222">
        <v>-0.476399999999984</v>
      </c>
      <c r="AF2222">
        <v>-0.42412710792997399</v>
      </c>
      <c r="AG2222">
        <v>-0.11301699999999899</v>
      </c>
      <c r="AH2222">
        <v>0.55664321614615597</v>
      </c>
      <c r="AI2222">
        <v>99.173857730161899</v>
      </c>
      <c r="AJ2222">
        <v>127.305119925108</v>
      </c>
      <c r="AK2222">
        <v>0.70887820960414605</v>
      </c>
      <c r="AL2222">
        <v>82.961526565304098</v>
      </c>
      <c r="AM2222">
        <v>104.065374180142</v>
      </c>
      <c r="AN2222">
        <v>1.0000000096356001</v>
      </c>
    </row>
    <row r="2223" spans="1:40" x14ac:dyDescent="0.25">
      <c r="A2223" t="str">
        <f>"20190312164307175"</f>
        <v>20190312164307175</v>
      </c>
      <c r="B2223" t="str">
        <f>"1552380187166438"</f>
        <v>1552380187166438</v>
      </c>
      <c r="C2223" t="s">
        <v>40</v>
      </c>
      <c r="D2223">
        <v>3.829688</v>
      </c>
      <c r="E2223">
        <v>0.41174470000000002</v>
      </c>
      <c r="F2223" t="s">
        <v>41</v>
      </c>
      <c r="G2223">
        <v>-492.99709999999999</v>
      </c>
      <c r="H2223">
        <v>1.005768</v>
      </c>
      <c r="I2223">
        <v>230.53229999999999</v>
      </c>
      <c r="J2223">
        <v>-493.5292</v>
      </c>
      <c r="K2223">
        <v>1.114242</v>
      </c>
      <c r="L2223">
        <v>231.03469999999999</v>
      </c>
      <c r="M2223">
        <v>0.19687279999999999</v>
      </c>
      <c r="N2223">
        <v>0</v>
      </c>
      <c r="O2223">
        <v>-0.98032609999999998</v>
      </c>
      <c r="P2223">
        <v>0.42631449999999999</v>
      </c>
      <c r="Q2223">
        <v>0.1116439</v>
      </c>
      <c r="R2223">
        <v>-0.89765919999999899</v>
      </c>
      <c r="S2223">
        <v>1.9448240000000001</v>
      </c>
      <c r="T2223">
        <v>-0.36025249999999998</v>
      </c>
      <c r="U2223">
        <v>-2.4675750000000001</v>
      </c>
      <c r="V2223">
        <v>-0.2423853</v>
      </c>
      <c r="W2223">
        <v>0.12307949999999999</v>
      </c>
      <c r="X2223">
        <v>0.96234129999999996</v>
      </c>
      <c r="Y2223">
        <v>-0.4479785</v>
      </c>
      <c r="Z2223">
        <v>0.1170291</v>
      </c>
      <c r="AA2223">
        <v>0.88635180000000002</v>
      </c>
      <c r="AB2223">
        <v>27</v>
      </c>
      <c r="AC2223">
        <v>0.53210000000001401</v>
      </c>
      <c r="AD2223">
        <v>-0.108473999999999</v>
      </c>
      <c r="AE2223">
        <v>-0.50239999999999396</v>
      </c>
      <c r="AF2223">
        <v>-0.413676146413815</v>
      </c>
      <c r="AG2223">
        <v>-0.108473999999999</v>
      </c>
      <c r="AH2223">
        <v>0.58448993163602603</v>
      </c>
      <c r="AI2223">
        <v>98.613968465969194</v>
      </c>
      <c r="AJ2223">
        <v>125.289173265315</v>
      </c>
      <c r="AK2223">
        <v>0.72423963090379895</v>
      </c>
      <c r="AL2223">
        <v>82.930137089691897</v>
      </c>
      <c r="AM2223">
        <v>104.13706179914099</v>
      </c>
      <c r="AN2223">
        <v>0.99999998733101403</v>
      </c>
    </row>
    <row r="2224" spans="1:40" x14ac:dyDescent="0.25">
      <c r="A2224" t="str">
        <f>"20190312164307196"</f>
        <v>20190312164307196</v>
      </c>
      <c r="B2224" t="str">
        <f>"1552380187185959"</f>
        <v>1552380187185959</v>
      </c>
      <c r="C2224" t="s">
        <v>40</v>
      </c>
      <c r="D2224">
        <v>3.8673570000000002</v>
      </c>
      <c r="E2224">
        <v>0.41237829999999898</v>
      </c>
      <c r="F2224" t="s">
        <v>41</v>
      </c>
      <c r="G2224">
        <v>-492.93869999999998</v>
      </c>
      <c r="H2224">
        <v>1.0054000000000001</v>
      </c>
      <c r="I2224">
        <v>230.29470000000001</v>
      </c>
      <c r="J2224">
        <v>-493.47469999999998</v>
      </c>
      <c r="K2224">
        <v>1.114352</v>
      </c>
      <c r="L2224">
        <v>230.792</v>
      </c>
      <c r="M2224">
        <v>0.20198969999999999</v>
      </c>
      <c r="N2224">
        <v>0</v>
      </c>
      <c r="O2224">
        <v>-0.97928440000000005</v>
      </c>
      <c r="P2224">
        <v>0.43196400000000001</v>
      </c>
      <c r="Q2224">
        <v>0.1113629</v>
      </c>
      <c r="R2224">
        <v>-0.89498919999999904</v>
      </c>
      <c r="S2224">
        <v>1.9607239999999999</v>
      </c>
      <c r="T2224">
        <v>-0.36119790000000002</v>
      </c>
      <c r="U2224">
        <v>-2.4558260000000001</v>
      </c>
      <c r="V2224">
        <v>-0.24345030000000001</v>
      </c>
      <c r="W2224">
        <v>0.1227279</v>
      </c>
      <c r="X2224">
        <v>0.96211740000000001</v>
      </c>
      <c r="Y2224">
        <v>-0.4488684</v>
      </c>
      <c r="Z2224">
        <v>0.1173404</v>
      </c>
      <c r="AA2224">
        <v>0.88586030000000004</v>
      </c>
      <c r="AB2224">
        <v>27</v>
      </c>
      <c r="AC2224">
        <v>0.53600000000000103</v>
      </c>
      <c r="AD2224">
        <v>-0.10895199999999899</v>
      </c>
      <c r="AE2224">
        <v>-0.49729999999999502</v>
      </c>
      <c r="AF2224">
        <v>-0.41526908847614102</v>
      </c>
      <c r="AG2224">
        <v>-0.10895199999999899</v>
      </c>
      <c r="AH2224">
        <v>0.58239312681458699</v>
      </c>
      <c r="AI2224">
        <v>98.660726320649104</v>
      </c>
      <c r="AJ2224">
        <v>125.490355620035</v>
      </c>
      <c r="AK2224">
        <v>0.72353348803540296</v>
      </c>
      <c r="AL2224">
        <v>82.950436545580601</v>
      </c>
      <c r="AM2224">
        <v>104.199841638409</v>
      </c>
      <c r="AN2224">
        <v>1.00000003869562</v>
      </c>
    </row>
    <row r="2225" spans="1:40" x14ac:dyDescent="0.25">
      <c r="A2225" t="str">
        <f>"20190312164307219"</f>
        <v>20190312164307219</v>
      </c>
      <c r="B2225" t="str">
        <f>"1552380187206455"</f>
        <v>1552380187206455</v>
      </c>
      <c r="C2225" t="s">
        <v>40</v>
      </c>
      <c r="D2225">
        <v>3.8705039999999999</v>
      </c>
      <c r="E2225">
        <v>0.41268199999999999</v>
      </c>
      <c r="F2225" t="s">
        <v>41</v>
      </c>
      <c r="G2225">
        <v>-492.87400000000002</v>
      </c>
      <c r="H2225">
        <v>1.003077</v>
      </c>
      <c r="I2225">
        <v>230.04660000000001</v>
      </c>
      <c r="J2225">
        <v>-493.41640000000001</v>
      </c>
      <c r="K2225">
        <v>1.114493</v>
      </c>
      <c r="L2225">
        <v>230.5393</v>
      </c>
      <c r="M2225">
        <v>0.20752029999999999</v>
      </c>
      <c r="N2225">
        <v>0</v>
      </c>
      <c r="O2225">
        <v>-0.97812710000000003</v>
      </c>
      <c r="P2225">
        <v>0.43737549999999997</v>
      </c>
      <c r="Q2225">
        <v>0.1107971</v>
      </c>
      <c r="R2225">
        <v>-0.89242730000000003</v>
      </c>
      <c r="S2225">
        <v>1.9718020000000001</v>
      </c>
      <c r="T2225">
        <v>-0.36507790000000001</v>
      </c>
      <c r="U2225">
        <v>-2.4457399999999998</v>
      </c>
      <c r="V2225">
        <v>-0.24386060000000001</v>
      </c>
      <c r="W2225">
        <v>0.1220876</v>
      </c>
      <c r="X2225">
        <v>0.96209489999999998</v>
      </c>
      <c r="Y2225">
        <v>-0.44794679999999998</v>
      </c>
      <c r="Z2225">
        <v>0.1186262</v>
      </c>
      <c r="AA2225">
        <v>0.88615540000000004</v>
      </c>
      <c r="AB2225">
        <v>27</v>
      </c>
      <c r="AC2225">
        <v>0.542399999999986</v>
      </c>
      <c r="AD2225">
        <v>-0.111415999999999</v>
      </c>
      <c r="AE2225">
        <v>-0.49269999999998398</v>
      </c>
      <c r="AF2225">
        <v>-0.41865559471646002</v>
      </c>
      <c r="AG2225">
        <v>-0.111415999999999</v>
      </c>
      <c r="AH2225">
        <v>0.58110812109171905</v>
      </c>
      <c r="AI2225">
        <v>98.842228211518503</v>
      </c>
      <c r="AJ2225">
        <v>125.77062059542401</v>
      </c>
      <c r="AK2225">
        <v>0.72482596562357005</v>
      </c>
      <c r="AL2225">
        <v>82.987400633836103</v>
      </c>
      <c r="AM2225">
        <v>104.223122211049</v>
      </c>
      <c r="AN2225">
        <v>0.99999998545606394</v>
      </c>
    </row>
    <row r="2226" spans="1:40" x14ac:dyDescent="0.25">
      <c r="A2226" t="str">
        <f>"20190312164307244"</f>
        <v>20190312164307244</v>
      </c>
      <c r="B2226" t="str">
        <f>"1552380187236107"</f>
        <v>1552380187236107</v>
      </c>
      <c r="C2226" t="s">
        <v>40</v>
      </c>
      <c r="D2226">
        <v>3.9136959999999998</v>
      </c>
      <c r="E2226">
        <v>0.41680709999999999</v>
      </c>
      <c r="F2226" t="s">
        <v>45</v>
      </c>
      <c r="G2226">
        <v>-487.42700000000002</v>
      </c>
      <c r="H2226" s="1">
        <v>4.080885E-6</v>
      </c>
      <c r="I2226">
        <v>223.18989999999999</v>
      </c>
      <c r="J2226">
        <v>-493.34519999999998</v>
      </c>
      <c r="K2226">
        <v>1.114668</v>
      </c>
      <c r="L2226">
        <v>230.24180000000001</v>
      </c>
      <c r="M2226">
        <v>0.21434030000000001</v>
      </c>
      <c r="N2226">
        <v>0</v>
      </c>
      <c r="O2226">
        <v>-0.97665519999999995</v>
      </c>
      <c r="P2226">
        <v>0.44418039999999998</v>
      </c>
      <c r="Q2226">
        <v>0.1110464</v>
      </c>
      <c r="R2226">
        <v>-0.88902899999999996</v>
      </c>
      <c r="S2226">
        <v>1.984375</v>
      </c>
      <c r="T2226">
        <v>-0.36924899999999999</v>
      </c>
      <c r="U2226">
        <v>-2.4349669999999999</v>
      </c>
      <c r="V2226">
        <v>-0.24456159999999999</v>
      </c>
      <c r="W2226">
        <v>0.1222348</v>
      </c>
      <c r="X2226">
        <v>0.96189829999999998</v>
      </c>
      <c r="Y2226">
        <v>-0.44628440000000003</v>
      </c>
      <c r="Z2226">
        <v>0.1199751</v>
      </c>
      <c r="AA2226">
        <v>0.88681239999999995</v>
      </c>
      <c r="AB2226">
        <v>27</v>
      </c>
      <c r="AC2226">
        <v>5.9182000000000103</v>
      </c>
      <c r="AD2226">
        <v>-1.1146639191150001</v>
      </c>
      <c r="AE2226">
        <v>-7.0519000000000096</v>
      </c>
      <c r="AF2226">
        <v>-4.2072897631495403</v>
      </c>
      <c r="AG2226">
        <v>-1.1146639191150001</v>
      </c>
      <c r="AH2226">
        <v>8.0387648677050798</v>
      </c>
      <c r="AI2226">
        <v>97.003823241686703</v>
      </c>
      <c r="AJ2226">
        <v>117.626442463722</v>
      </c>
      <c r="AK2226">
        <v>9.1414169252873094</v>
      </c>
      <c r="AL2226">
        <v>82.978903371995798</v>
      </c>
      <c r="AM2226">
        <v>104.26513807132901</v>
      </c>
      <c r="AN2226">
        <v>1.0000000310342401</v>
      </c>
    </row>
    <row r="2227" spans="1:40" x14ac:dyDescent="0.25">
      <c r="A2227" t="str">
        <f>"20190312164307262"</f>
        <v>20190312164307262</v>
      </c>
      <c r="B2227" t="str">
        <f>"1552380187256604"</f>
        <v>1552380187256604</v>
      </c>
      <c r="C2227" t="s">
        <v>40</v>
      </c>
      <c r="D2227">
        <v>3.9605959999999998</v>
      </c>
      <c r="E2227">
        <v>0.41648220000000002</v>
      </c>
      <c r="F2227" t="s">
        <v>41</v>
      </c>
      <c r="G2227">
        <v>-492.70030000000003</v>
      </c>
      <c r="H2227">
        <v>1.000883</v>
      </c>
      <c r="I2227">
        <v>229.44579999999999</v>
      </c>
      <c r="J2227">
        <v>-493.29559999999998</v>
      </c>
      <c r="K2227">
        <v>1.114798</v>
      </c>
      <c r="L2227">
        <v>230.03970000000001</v>
      </c>
      <c r="M2227">
        <v>0.21915509999999999</v>
      </c>
      <c r="N2227">
        <v>0</v>
      </c>
      <c r="O2227">
        <v>-0.97558599999999995</v>
      </c>
      <c r="P2227">
        <v>0.448604</v>
      </c>
      <c r="Q2227">
        <v>0.1115563</v>
      </c>
      <c r="R2227">
        <v>-0.88674120000000001</v>
      </c>
      <c r="S2227">
        <v>1.9715579999999999</v>
      </c>
      <c r="T2227">
        <v>-0.34779660000000001</v>
      </c>
      <c r="U2227">
        <v>-2.4328609999999999</v>
      </c>
      <c r="V2227">
        <v>-0.24466750000000001</v>
      </c>
      <c r="W2227">
        <v>0.1226759</v>
      </c>
      <c r="X2227">
        <v>0.96181519999999998</v>
      </c>
      <c r="Y2227">
        <v>-0.43991960000000002</v>
      </c>
      <c r="Z2227">
        <v>0.1133511</v>
      </c>
      <c r="AA2227">
        <v>0.89085479999999995</v>
      </c>
      <c r="AB2227">
        <v>26</v>
      </c>
      <c r="AC2227">
        <v>0.59529999999995198</v>
      </c>
      <c r="AD2227">
        <v>-0.113915</v>
      </c>
      <c r="AE2227">
        <v>-0.59390000000001897</v>
      </c>
      <c r="AF2227">
        <v>-0.44253451903283703</v>
      </c>
      <c r="AG2227">
        <v>-0.113915</v>
      </c>
      <c r="AH2227">
        <v>0.69714173135030899</v>
      </c>
      <c r="AI2227">
        <v>97.854681329466004</v>
      </c>
      <c r="AJ2227">
        <v>122.40673285339599</v>
      </c>
      <c r="AK2227">
        <v>0.83355864901681098</v>
      </c>
      <c r="AL2227">
        <v>82.953438481837907</v>
      </c>
      <c r="AM2227">
        <v>104.27224551200899</v>
      </c>
      <c r="AN2227">
        <v>1.00000002047404</v>
      </c>
    </row>
    <row r="2228" spans="1:40" x14ac:dyDescent="0.25">
      <c r="A2228" t="str">
        <f>"20190312164307285"</f>
        <v>20190312164307285</v>
      </c>
      <c r="B2228" t="str">
        <f>"1552380187276124"</f>
        <v>1552380187276124</v>
      </c>
      <c r="C2228" t="s">
        <v>40</v>
      </c>
      <c r="D2228">
        <v>3.9570810000000001</v>
      </c>
      <c r="E2228">
        <v>0.41604099999999999</v>
      </c>
      <c r="F2228" t="s">
        <v>41</v>
      </c>
      <c r="G2228">
        <v>-492.63</v>
      </c>
      <c r="H2228">
        <v>0.99360669999999995</v>
      </c>
      <c r="I2228">
        <v>229.22720000000001</v>
      </c>
      <c r="J2228">
        <v>-493.22739999999999</v>
      </c>
      <c r="K2228">
        <v>1.1149659999999999</v>
      </c>
      <c r="L2228">
        <v>229.77070000000001</v>
      </c>
      <c r="M2228">
        <v>0.22580600000000001</v>
      </c>
      <c r="N2228">
        <v>0</v>
      </c>
      <c r="O2228">
        <v>-0.97406789999999999</v>
      </c>
      <c r="P2228">
        <v>0.4551943</v>
      </c>
      <c r="Q2228">
        <v>0.11192829999999999</v>
      </c>
      <c r="R2228">
        <v>-0.88332940000000004</v>
      </c>
      <c r="S2228">
        <v>1.9862059999999999</v>
      </c>
      <c r="T2228">
        <v>-0.36151729999999999</v>
      </c>
      <c r="U2228">
        <v>-2.4238430000000002</v>
      </c>
      <c r="V2228">
        <v>-0.24533160000000001</v>
      </c>
      <c r="W2228">
        <v>0.1229589</v>
      </c>
      <c r="X2228">
        <v>0.96160979999999996</v>
      </c>
      <c r="Y2228">
        <v>-0.43832989999999999</v>
      </c>
      <c r="Z2228">
        <v>0.1176649</v>
      </c>
      <c r="AA2228">
        <v>0.89107909999999901</v>
      </c>
      <c r="AB2228">
        <v>26</v>
      </c>
      <c r="AC2228">
        <v>0.59739999999999305</v>
      </c>
      <c r="AD2228">
        <v>-0.121359299999999</v>
      </c>
      <c r="AE2228">
        <v>-0.54349999999999399</v>
      </c>
      <c r="AF2228">
        <v>-0.44908913233062903</v>
      </c>
      <c r="AG2228">
        <v>-0.121359299999999</v>
      </c>
      <c r="AH2228">
        <v>0.64970012025294499</v>
      </c>
      <c r="AI2228">
        <v>98.735595781543694</v>
      </c>
      <c r="AJ2228">
        <v>124.653207447018</v>
      </c>
      <c r="AK2228">
        <v>0.79907407336908298</v>
      </c>
      <c r="AL2228">
        <v>82.937099556264599</v>
      </c>
      <c r="AM2228">
        <v>104.312326679425</v>
      </c>
      <c r="AN2228">
        <v>0.99999994625190303</v>
      </c>
    </row>
    <row r="2229" spans="1:40" x14ac:dyDescent="0.25">
      <c r="A2229" t="str">
        <f>"20190312164307309"</f>
        <v>20190312164307309</v>
      </c>
      <c r="B2229" t="str">
        <f>"1552380187296619"</f>
        <v>1552380187296619</v>
      </c>
      <c r="C2229" t="s">
        <v>40</v>
      </c>
      <c r="D2229">
        <v>3.9899879999999999</v>
      </c>
      <c r="E2229">
        <v>0.41614309999999899</v>
      </c>
      <c r="F2229" t="s">
        <v>41</v>
      </c>
      <c r="G2229">
        <v>-492.5831</v>
      </c>
      <c r="H2229">
        <v>0.99673889999999998</v>
      </c>
      <c r="I2229">
        <v>228.99760000000001</v>
      </c>
      <c r="J2229">
        <v>-493.16050000000001</v>
      </c>
      <c r="K2229">
        <v>1.11512099999999</v>
      </c>
      <c r="L2229">
        <v>229.51490000000001</v>
      </c>
      <c r="M2229">
        <v>0.2323704</v>
      </c>
      <c r="N2229">
        <v>0</v>
      </c>
      <c r="O2229">
        <v>-0.97252249999999996</v>
      </c>
      <c r="P2229">
        <v>0.46157239999999999</v>
      </c>
      <c r="Q2229">
        <v>0.11280560000000001</v>
      </c>
      <c r="R2229">
        <v>-0.8799013</v>
      </c>
      <c r="S2229">
        <v>2.0074770000000002</v>
      </c>
      <c r="T2229">
        <v>-0.36834440000000002</v>
      </c>
      <c r="U2229">
        <v>-2.408401</v>
      </c>
      <c r="V2229">
        <v>-0.24588389999999999</v>
      </c>
      <c r="W2229">
        <v>0.1237534</v>
      </c>
      <c r="X2229">
        <v>0.96136679999999997</v>
      </c>
      <c r="Y2229">
        <v>-0.43956899999999999</v>
      </c>
      <c r="Z2229">
        <v>0.11981509999999999</v>
      </c>
      <c r="AA2229">
        <v>0.89018169999999996</v>
      </c>
      <c r="AB2229">
        <v>26</v>
      </c>
      <c r="AC2229">
        <v>0.57740000000001102</v>
      </c>
      <c r="AD2229">
        <v>-0.118382099999999</v>
      </c>
      <c r="AE2229">
        <v>-0.51730000000000498</v>
      </c>
      <c r="AF2229">
        <v>-0.43131655060988899</v>
      </c>
      <c r="AG2229">
        <v>-0.118382099999999</v>
      </c>
      <c r="AH2229">
        <v>0.62279869196769599</v>
      </c>
      <c r="AI2229">
        <v>98.881530372188195</v>
      </c>
      <c r="AJ2229">
        <v>124.704370665154</v>
      </c>
      <c r="AK2229">
        <v>0.76676365272950697</v>
      </c>
      <c r="AL2229">
        <v>82.891227807581402</v>
      </c>
      <c r="AM2229">
        <v>104.346695007131</v>
      </c>
      <c r="AN2229">
        <v>0.99999996021650395</v>
      </c>
    </row>
    <row r="2230" spans="1:40" x14ac:dyDescent="0.25">
      <c r="A2230" t="str">
        <f>"20190312164307331"</f>
        <v>20190312164307331</v>
      </c>
      <c r="B2230" t="str">
        <f>"1552380187326875"</f>
        <v>1552380187326875</v>
      </c>
      <c r="C2230" t="s">
        <v>40</v>
      </c>
      <c r="D2230">
        <v>4.0192079999999999</v>
      </c>
      <c r="E2230">
        <v>0.43729990000000002</v>
      </c>
      <c r="F2230" t="s">
        <v>41</v>
      </c>
      <c r="G2230">
        <v>-492.53089999999997</v>
      </c>
      <c r="H2230">
        <v>1.0069380000000001</v>
      </c>
      <c r="I2230">
        <v>228.7705</v>
      </c>
      <c r="J2230">
        <v>-493.09179999999998</v>
      </c>
      <c r="K2230">
        <v>1.1152839999999999</v>
      </c>
      <c r="L2230">
        <v>229.26</v>
      </c>
      <c r="M2230">
        <v>0.23916609999999999</v>
      </c>
      <c r="N2230">
        <v>0</v>
      </c>
      <c r="O2230">
        <v>-0.97087319999999999</v>
      </c>
      <c r="P2230">
        <v>0.46799190000000002</v>
      </c>
      <c r="Q2230">
        <v>0.11373560000000001</v>
      </c>
      <c r="R2230">
        <v>-0.87638369999999999</v>
      </c>
      <c r="S2230">
        <v>2.0235599999999998</v>
      </c>
      <c r="T2230">
        <v>-0.34768959999999999</v>
      </c>
      <c r="U2230">
        <v>-2.3925169999999998</v>
      </c>
      <c r="V2230">
        <v>-0.24627470000000001</v>
      </c>
      <c r="W2230">
        <v>0.1246012</v>
      </c>
      <c r="X2230">
        <v>0.96115729999999999</v>
      </c>
      <c r="Y2230">
        <v>-0.44020100000000001</v>
      </c>
      <c r="Z2230">
        <v>0.1132437</v>
      </c>
      <c r="AA2230">
        <v>0.89072949999999995</v>
      </c>
      <c r="AB2230">
        <v>26</v>
      </c>
      <c r="AC2230">
        <v>0.56090000000000295</v>
      </c>
      <c r="AD2230">
        <v>-0.108346</v>
      </c>
      <c r="AE2230">
        <v>-0.489499999999992</v>
      </c>
      <c r="AF2230">
        <v>-0.41866701300006798</v>
      </c>
      <c r="AG2230">
        <v>-0.108346</v>
      </c>
      <c r="AH2230">
        <v>0.59681209562184001</v>
      </c>
      <c r="AI2230">
        <v>98.453375243189001</v>
      </c>
      <c r="AJ2230">
        <v>125.04987399602901</v>
      </c>
      <c r="AK2230">
        <v>0.73702483063390201</v>
      </c>
      <c r="AL2230">
        <v>82.842273976620902</v>
      </c>
      <c r="AM2230">
        <v>104.37155597541999</v>
      </c>
      <c r="AN2230">
        <v>1.0000000211224001</v>
      </c>
    </row>
    <row r="2231" spans="1:40" x14ac:dyDescent="0.25">
      <c r="A2231" t="str">
        <f>"20190312164307356"</f>
        <v>20190312164307356</v>
      </c>
      <c r="B2231" t="str">
        <f>"1552380187346395"</f>
        <v>1552380187346395</v>
      </c>
      <c r="C2231" t="s">
        <v>40</v>
      </c>
      <c r="D2231">
        <v>4.0677719999999997</v>
      </c>
      <c r="E2231">
        <v>0.4379074</v>
      </c>
      <c r="F2231" t="s">
        <v>45</v>
      </c>
      <c r="G2231">
        <v>-484.5752</v>
      </c>
      <c r="H2231" s="1">
        <v>2.5186680000000001E-6</v>
      </c>
      <c r="I2231">
        <v>218.20859999999999</v>
      </c>
      <c r="J2231">
        <v>-493.01690000000002</v>
      </c>
      <c r="K2231">
        <v>1.115472</v>
      </c>
      <c r="L2231">
        <v>228.9913</v>
      </c>
      <c r="M2231">
        <v>0.24662600000000001</v>
      </c>
      <c r="N2231">
        <v>0</v>
      </c>
      <c r="O2231">
        <v>-0.9690048</v>
      </c>
      <c r="P2231">
        <v>0.4755008</v>
      </c>
      <c r="Q2231">
        <v>0.11526699999999999</v>
      </c>
      <c r="R2231">
        <v>-0.87213109999999905</v>
      </c>
      <c r="S2231">
        <v>1.886414</v>
      </c>
      <c r="T2231">
        <v>-0.24703439999999999</v>
      </c>
      <c r="U2231">
        <v>-2.4478909999999998</v>
      </c>
      <c r="V2231">
        <v>-0.24726129999999999</v>
      </c>
      <c r="W2231">
        <v>0.1260271</v>
      </c>
      <c r="X2231">
        <v>0.96071799999999996</v>
      </c>
      <c r="Y2231">
        <v>-0.394125</v>
      </c>
      <c r="Z2231">
        <v>8.1271919999999997E-2</v>
      </c>
      <c r="AA2231">
        <v>0.91545639999999995</v>
      </c>
      <c r="AB2231">
        <v>26</v>
      </c>
      <c r="AC2231">
        <v>8.4417000000000204</v>
      </c>
      <c r="AD2231">
        <v>-1.1154694813320001</v>
      </c>
      <c r="AE2231">
        <v>-10.7827</v>
      </c>
      <c r="AF2231">
        <v>-5.4849274663098901</v>
      </c>
      <c r="AG2231">
        <v>-1.1154694813320001</v>
      </c>
      <c r="AH2231">
        <v>12.4491162265642</v>
      </c>
      <c r="AI2231">
        <v>94.687570100182995</v>
      </c>
      <c r="AJ2231">
        <v>113.777699373982</v>
      </c>
      <c r="AK2231">
        <v>13.649512676171501</v>
      </c>
      <c r="AL2231">
        <v>82.759926835135801</v>
      </c>
      <c r="AM2231">
        <v>104.433052798362</v>
      </c>
      <c r="AN2231">
        <v>1.0000000279680401</v>
      </c>
    </row>
    <row r="2232" spans="1:40" x14ac:dyDescent="0.25">
      <c r="A2232" t="str">
        <f>"20190312164307378"</f>
        <v>20190312164307378</v>
      </c>
      <c r="B2232" t="str">
        <f>"1552380187366892"</f>
        <v>1552380187366892</v>
      </c>
      <c r="C2232" t="s">
        <v>40</v>
      </c>
      <c r="D2232">
        <v>4.0647339999999996</v>
      </c>
      <c r="E2232">
        <v>0.43840770000000001</v>
      </c>
      <c r="F2232" t="s">
        <v>45</v>
      </c>
      <c r="G2232">
        <v>-483.90190000000001</v>
      </c>
      <c r="H2232" s="1">
        <v>2.3611620000000002E-6</v>
      </c>
      <c r="I2232">
        <v>217.33770000000001</v>
      </c>
      <c r="J2232">
        <v>-492.94569999999999</v>
      </c>
      <c r="K2232">
        <v>1.115669</v>
      </c>
      <c r="L2232">
        <v>228.74350000000001</v>
      </c>
      <c r="M2232">
        <v>0.25379580000000002</v>
      </c>
      <c r="N2232">
        <v>0</v>
      </c>
      <c r="O2232">
        <v>-0.96715119999999999</v>
      </c>
      <c r="P2232">
        <v>0.48291519999999999</v>
      </c>
      <c r="Q2232">
        <v>0.1177272</v>
      </c>
      <c r="R2232">
        <v>-0.86771739999999997</v>
      </c>
      <c r="S2232">
        <v>1.903046</v>
      </c>
      <c r="T2232">
        <v>-0.23288790000000001</v>
      </c>
      <c r="U2232">
        <v>-2.4330289999999999</v>
      </c>
      <c r="V2232">
        <v>-0.2485078</v>
      </c>
      <c r="W2232">
        <v>0.12837200000000001</v>
      </c>
      <c r="X2232">
        <v>0.96008559999999998</v>
      </c>
      <c r="Y2232">
        <v>-0.39414440000000001</v>
      </c>
      <c r="Z2232">
        <v>7.6653410000000005E-2</v>
      </c>
      <c r="AA2232">
        <v>0.9158463</v>
      </c>
      <c r="AB2232">
        <v>26</v>
      </c>
      <c r="AC2232">
        <v>9.0437999999999708</v>
      </c>
      <c r="AD2232">
        <v>-1.1156666388380001</v>
      </c>
      <c r="AE2232">
        <v>-11.405799999999999</v>
      </c>
      <c r="AF2232">
        <v>-5.8184010502448897</v>
      </c>
      <c r="AG2232">
        <v>-1.1156666388380001</v>
      </c>
      <c r="AH2232">
        <v>13.249948790542099</v>
      </c>
      <c r="AI2232">
        <v>94.408542335010793</v>
      </c>
      <c r="AJ2232">
        <v>113.707541434487</v>
      </c>
      <c r="AK2232">
        <v>14.514118842785299</v>
      </c>
      <c r="AL2232">
        <v>82.624472926512695</v>
      </c>
      <c r="AM2232">
        <v>104.51190162022399</v>
      </c>
      <c r="AN2232">
        <v>0.99999992818609695</v>
      </c>
    </row>
    <row r="2233" spans="1:40" x14ac:dyDescent="0.25">
      <c r="A2233" t="str">
        <f>"20190312164307400"</f>
        <v>20190312164307400</v>
      </c>
      <c r="B2233" t="str">
        <f>"1552380187396171"</f>
        <v>1552380187396171</v>
      </c>
      <c r="C2233" t="s">
        <v>40</v>
      </c>
      <c r="D2233">
        <v>4.3217319999999999</v>
      </c>
      <c r="E2233">
        <v>0.43832549999999998</v>
      </c>
      <c r="F2233" t="s">
        <v>45</v>
      </c>
      <c r="G2233">
        <v>-483.57429999999999</v>
      </c>
      <c r="H2233" s="1">
        <v>2.2856510000000001E-6</v>
      </c>
      <c r="I2233">
        <v>216.93960000000001</v>
      </c>
      <c r="J2233">
        <v>-492.87400000000002</v>
      </c>
      <c r="K2233">
        <v>1.115883</v>
      </c>
      <c r="L2233">
        <v>228.50219999999999</v>
      </c>
      <c r="M2233">
        <v>0.26107329999999901</v>
      </c>
      <c r="N2233">
        <v>0</v>
      </c>
      <c r="O2233">
        <v>-0.96521190000000001</v>
      </c>
      <c r="P2233">
        <v>0.49007889999999998</v>
      </c>
      <c r="Q2233">
        <v>0.1197344</v>
      </c>
      <c r="R2233">
        <v>-0.86341559999999995</v>
      </c>
      <c r="S2233">
        <v>1.9208069999999999</v>
      </c>
      <c r="T2233">
        <v>-0.2286723</v>
      </c>
      <c r="U2233">
        <v>-2.4193880000000001</v>
      </c>
      <c r="V2233">
        <v>-0.24938560000000001</v>
      </c>
      <c r="W2233">
        <v>0.1302634</v>
      </c>
      <c r="X2233">
        <v>0.95960319999999999</v>
      </c>
      <c r="Y2233">
        <v>-0.39393319999999998</v>
      </c>
      <c r="Z2233">
        <v>7.5231720000000002E-2</v>
      </c>
      <c r="AA2233">
        <v>0.91605499999999995</v>
      </c>
      <c r="AB2233">
        <v>26</v>
      </c>
      <c r="AC2233">
        <v>9.2997000000000298</v>
      </c>
      <c r="AD2233">
        <v>-1.1158807143489999</v>
      </c>
      <c r="AE2233">
        <v>-11.5625999999999</v>
      </c>
      <c r="AF2233">
        <v>-5.92460497220842</v>
      </c>
      <c r="AG2233">
        <v>-1.1158807143489999</v>
      </c>
      <c r="AH2233">
        <v>13.5132447286332</v>
      </c>
      <c r="AI2233">
        <v>94.324904720722301</v>
      </c>
      <c r="AJ2233">
        <v>113.67406238562801</v>
      </c>
      <c r="AK2233">
        <v>14.7970915027686</v>
      </c>
      <c r="AL2233">
        <v>82.515186667211594</v>
      </c>
      <c r="AM2233">
        <v>104.56799513812101</v>
      </c>
      <c r="AN2233">
        <v>1.00000001615857</v>
      </c>
    </row>
    <row r="2234" spans="1:40" x14ac:dyDescent="0.25">
      <c r="A2234" t="str">
        <f>"20190312164307420"</f>
        <v>20190312164307420</v>
      </c>
      <c r="B2234" t="str">
        <f>"1552380187416667"</f>
        <v>1552380187416667</v>
      </c>
      <c r="C2234" t="s">
        <v>40</v>
      </c>
      <c r="D2234">
        <v>4.0979919999999996</v>
      </c>
      <c r="E2234">
        <v>0.43879049999999997</v>
      </c>
      <c r="F2234" t="s">
        <v>45</v>
      </c>
      <c r="G2234">
        <v>-483.29649999999998</v>
      </c>
      <c r="H2234" s="1">
        <v>2.2237189999999999E-6</v>
      </c>
      <c r="I2234">
        <v>216.6498</v>
      </c>
      <c r="J2234">
        <v>-492.8057</v>
      </c>
      <c r="K2234">
        <v>1.1161000000000001</v>
      </c>
      <c r="L2234">
        <v>228.27940000000001</v>
      </c>
      <c r="M2234">
        <v>0.2680765</v>
      </c>
      <c r="N2234">
        <v>0</v>
      </c>
      <c r="O2234">
        <v>-0.96328990000000003</v>
      </c>
      <c r="P2234">
        <v>0.49716349999999998</v>
      </c>
      <c r="Q2234">
        <v>0.1209553</v>
      </c>
      <c r="R2234">
        <v>-0.85918459999999997</v>
      </c>
      <c r="S2234">
        <v>1.9421999999999999</v>
      </c>
      <c r="T2234">
        <v>-0.22628719999999999</v>
      </c>
      <c r="U2234">
        <v>-2.4035190000000002</v>
      </c>
      <c r="V2234">
        <v>-0.25043710000000002</v>
      </c>
      <c r="W2234">
        <v>0.13136819999999999</v>
      </c>
      <c r="X2234">
        <v>0.95917859999999999</v>
      </c>
      <c r="Y2234">
        <v>-0.39519189999999998</v>
      </c>
      <c r="Z2234">
        <v>7.44065E-2</v>
      </c>
      <c r="AA2234">
        <v>0.91558019999999996</v>
      </c>
      <c r="AB2234">
        <v>26</v>
      </c>
      <c r="AC2234">
        <v>9.5092000000000194</v>
      </c>
      <c r="AD2234">
        <v>-1.1160977762809901</v>
      </c>
      <c r="AE2234">
        <v>-11.6296</v>
      </c>
      <c r="AF2234">
        <v>-6.0099471361602204</v>
      </c>
      <c r="AG2234">
        <v>-1.1160977762809901</v>
      </c>
      <c r="AH2234">
        <v>13.677797508808</v>
      </c>
      <c r="AI2234">
        <v>94.272383589674703</v>
      </c>
      <c r="AJ2234">
        <v>113.720415959543</v>
      </c>
      <c r="AK2234">
        <v>14.981564788686599</v>
      </c>
      <c r="AL2234">
        <v>82.451337231053301</v>
      </c>
      <c r="AM2234">
        <v>104.632987112305</v>
      </c>
      <c r="AN2234">
        <v>0.99999996586280404</v>
      </c>
    </row>
    <row r="2235" spans="1:40" x14ac:dyDescent="0.25">
      <c r="A2235" t="str">
        <f>"20190312164307442"</f>
        <v>20190312164307442</v>
      </c>
      <c r="B2235" t="str">
        <f>"1552380187436188"</f>
        <v>1552380187436188</v>
      </c>
      <c r="C2235" t="s">
        <v>40</v>
      </c>
      <c r="D2235">
        <v>4.1163220000000003</v>
      </c>
      <c r="E2235">
        <v>0.4391774</v>
      </c>
      <c r="F2235" t="s">
        <v>45</v>
      </c>
      <c r="G2235">
        <v>-483.1662</v>
      </c>
      <c r="H2235" s="1">
        <v>2.195256E-6</v>
      </c>
      <c r="I2235">
        <v>216.52780000000001</v>
      </c>
      <c r="J2235">
        <v>-492.7285</v>
      </c>
      <c r="K2235">
        <v>1.1163299999999901</v>
      </c>
      <c r="L2235">
        <v>228.03530000000001</v>
      </c>
      <c r="M2235">
        <v>0.2760611</v>
      </c>
      <c r="N2235">
        <v>0</v>
      </c>
      <c r="O2235">
        <v>-0.96103170000000004</v>
      </c>
      <c r="P2235">
        <v>0.50469079999999999</v>
      </c>
      <c r="Q2235">
        <v>0.1214537</v>
      </c>
      <c r="R2235">
        <v>-0.85471450000000004</v>
      </c>
      <c r="S2235">
        <v>1.9600219999999999</v>
      </c>
      <c r="T2235">
        <v>-0.2269378</v>
      </c>
      <c r="U2235">
        <v>-2.389465</v>
      </c>
      <c r="V2235">
        <v>-0.25100280000000003</v>
      </c>
      <c r="W2235">
        <v>0.13174959999999999</v>
      </c>
      <c r="X2235">
        <v>0.95897840000000001</v>
      </c>
      <c r="Y2235">
        <v>-0.39428790000000002</v>
      </c>
      <c r="Z2235">
        <v>7.4556189999999994E-2</v>
      </c>
      <c r="AA2235">
        <v>0.91595760000000004</v>
      </c>
      <c r="AB2235">
        <v>26</v>
      </c>
      <c r="AC2235">
        <v>9.5622999999999898</v>
      </c>
      <c r="AD2235">
        <v>-1.11632780474399</v>
      </c>
      <c r="AE2235">
        <v>-11.507499999999901</v>
      </c>
      <c r="AF2235">
        <v>-5.9802359187971703</v>
      </c>
      <c r="AG2235">
        <v>-1.11632780474399</v>
      </c>
      <c r="AH2235">
        <v>13.624433890637199</v>
      </c>
      <c r="AI2235">
        <v>94.290659274399403</v>
      </c>
      <c r="AJ2235">
        <v>113.698334241765</v>
      </c>
      <c r="AK2235">
        <v>14.9209452868262</v>
      </c>
      <c r="AL2235">
        <v>82.429293029482594</v>
      </c>
      <c r="AM2235">
        <v>104.667547050287</v>
      </c>
      <c r="AN2235">
        <v>0.99999996718727902</v>
      </c>
    </row>
    <row r="2236" spans="1:40" x14ac:dyDescent="0.25">
      <c r="A2236" t="str">
        <f>"20190312164307464"</f>
        <v>20190312164307464</v>
      </c>
      <c r="B2236" t="str">
        <f>"1552380187456683"</f>
        <v>1552380187456683</v>
      </c>
      <c r="C2236" t="s">
        <v>40</v>
      </c>
      <c r="D2236">
        <v>4.1492849999999999</v>
      </c>
      <c r="E2236">
        <v>0.43951790000000002</v>
      </c>
      <c r="F2236" t="s">
        <v>41</v>
      </c>
      <c r="G2236">
        <v>-492.01150000000001</v>
      </c>
      <c r="H2236">
        <v>1.0334460000000001</v>
      </c>
      <c r="I2236">
        <v>227.17570000000001</v>
      </c>
      <c r="J2236">
        <v>-492.6481</v>
      </c>
      <c r="K2236">
        <v>1.116552</v>
      </c>
      <c r="L2236">
        <v>227.79</v>
      </c>
      <c r="M2236">
        <v>0.2844372</v>
      </c>
      <c r="N2236">
        <v>0</v>
      </c>
      <c r="O2236">
        <v>-0.95858549999999998</v>
      </c>
      <c r="P2236">
        <v>0.51253059999999995</v>
      </c>
      <c r="Q2236">
        <v>0.1217454</v>
      </c>
      <c r="R2236">
        <v>-0.84999499999999995</v>
      </c>
      <c r="S2236">
        <v>1.9795229999999999</v>
      </c>
      <c r="T2236">
        <v>-0.22886629999999999</v>
      </c>
      <c r="U2236">
        <v>-2.3735810000000002</v>
      </c>
      <c r="V2236">
        <v>-0.25154310000000002</v>
      </c>
      <c r="W2236">
        <v>0.13193060000000001</v>
      </c>
      <c r="X2236">
        <v>0.95881190000000005</v>
      </c>
      <c r="Y2236">
        <v>-0.39369710000000002</v>
      </c>
      <c r="Z2236">
        <v>7.5122190000000005E-2</v>
      </c>
      <c r="AA2236">
        <v>0.91616549999999997</v>
      </c>
      <c r="AB2236">
        <v>26</v>
      </c>
      <c r="AC2236">
        <v>0.63659999999998695</v>
      </c>
      <c r="AD2236">
        <v>-8.3106000000000096E-2</v>
      </c>
      <c r="AE2236">
        <v>-0.61429999999998497</v>
      </c>
      <c r="AF2236">
        <v>-0.431741255199586</v>
      </c>
      <c r="AG2236">
        <v>-8.3106000000000096E-2</v>
      </c>
      <c r="AH2236">
        <v>0.76327652075908203</v>
      </c>
      <c r="AI2236">
        <v>95.413760887318304</v>
      </c>
      <c r="AJ2236">
        <v>119.49432341742499</v>
      </c>
      <c r="AK2236">
        <v>0.88085081927611497</v>
      </c>
      <c r="AL2236">
        <v>82.418830941061998</v>
      </c>
      <c r="AM2236">
        <v>104.70019606545701</v>
      </c>
      <c r="AN2236">
        <v>0.999999936977788</v>
      </c>
    </row>
    <row r="2237" spans="1:40" x14ac:dyDescent="0.25">
      <c r="A2237" t="str">
        <f>"20190312164307486"</f>
        <v>20190312164307486</v>
      </c>
      <c r="B2237" t="str">
        <f>"1552380187476203"</f>
        <v>1552380187476203</v>
      </c>
      <c r="C2237" t="s">
        <v>40</v>
      </c>
      <c r="D2237">
        <v>4.1591319999999996</v>
      </c>
      <c r="E2237">
        <v>0.43982280000000001</v>
      </c>
      <c r="F2237" t="s">
        <v>45</v>
      </c>
      <c r="G2237">
        <v>-482.95920000000001</v>
      </c>
      <c r="H2237" s="1">
        <v>2.1518159999999999E-6</v>
      </c>
      <c r="I2237">
        <v>216.37389999999999</v>
      </c>
      <c r="J2237">
        <v>-492.56529999999998</v>
      </c>
      <c r="K2237">
        <v>1.116744</v>
      </c>
      <c r="L2237">
        <v>227.54570000000001</v>
      </c>
      <c r="M2237">
        <v>0.29305589999999998</v>
      </c>
      <c r="N2237">
        <v>0</v>
      </c>
      <c r="O2237">
        <v>-0.95598519999999998</v>
      </c>
      <c r="P2237">
        <v>0.52032199999999995</v>
      </c>
      <c r="Q2237">
        <v>0.12232129999999999</v>
      </c>
      <c r="R2237">
        <v>-0.84516449999999999</v>
      </c>
      <c r="S2237">
        <v>2</v>
      </c>
      <c r="T2237">
        <v>-0.23048060000000001</v>
      </c>
      <c r="U2237">
        <v>-2.3565369999999999</v>
      </c>
      <c r="V2237">
        <v>-0.25182019999999999</v>
      </c>
      <c r="W2237">
        <v>0.13241700000000001</v>
      </c>
      <c r="X2237">
        <v>0.95867219999999997</v>
      </c>
      <c r="Y2237">
        <v>-0.39329839999999999</v>
      </c>
      <c r="Z2237">
        <v>7.5579869999999993E-2</v>
      </c>
      <c r="AA2237">
        <v>0.91629910000000003</v>
      </c>
      <c r="AB2237">
        <v>26</v>
      </c>
      <c r="AC2237">
        <v>9.6060999999999694</v>
      </c>
      <c r="AD2237">
        <v>-1.1167418481839999</v>
      </c>
      <c r="AE2237">
        <v>-11.171799999999999</v>
      </c>
      <c r="AF2237">
        <v>-5.8761922722172404</v>
      </c>
      <c r="AG2237">
        <v>-1.1167418481839999</v>
      </c>
      <c r="AH2237">
        <v>13.419528375144401</v>
      </c>
      <c r="AI2237">
        <v>94.359211244436295</v>
      </c>
      <c r="AJ2237">
        <v>113.64782593681301</v>
      </c>
      <c r="AK2237">
        <v>14.692191456241501</v>
      </c>
      <c r="AL2237">
        <v>82.390716323448501</v>
      </c>
      <c r="AM2237">
        <v>104.717738672625</v>
      </c>
      <c r="AN2237">
        <v>1.00000003103493</v>
      </c>
    </row>
    <row r="2238" spans="1:40" x14ac:dyDescent="0.25">
      <c r="A2238" t="str">
        <f>"20190312164307509"</f>
        <v>20190312164307509</v>
      </c>
      <c r="B2238" t="str">
        <f>"1552380187506459"</f>
        <v>1552380187506459</v>
      </c>
      <c r="C2238" t="s">
        <v>40</v>
      </c>
      <c r="D2238">
        <v>4.1959039999999996</v>
      </c>
      <c r="E2238">
        <v>0.44033169999999999</v>
      </c>
      <c r="F2238" t="s">
        <v>45</v>
      </c>
      <c r="G2238">
        <v>-482.88279999999997</v>
      </c>
      <c r="H2238" s="1">
        <v>2.1364309999999998E-6</v>
      </c>
      <c r="I2238">
        <v>216.33199999999999</v>
      </c>
      <c r="J2238">
        <v>-492.48039999999997</v>
      </c>
      <c r="K2238">
        <v>1.1169119999999999</v>
      </c>
      <c r="L2238">
        <v>227.30330000000001</v>
      </c>
      <c r="M2238">
        <v>0.30188090000000001</v>
      </c>
      <c r="N2238">
        <v>0</v>
      </c>
      <c r="O2238">
        <v>-0.95323469999999999</v>
      </c>
      <c r="P2238">
        <v>0.52864719999999998</v>
      </c>
      <c r="Q2238">
        <v>0.1225247</v>
      </c>
      <c r="R2238">
        <v>-0.83995239999999904</v>
      </c>
      <c r="S2238">
        <v>2.0201720000000001</v>
      </c>
      <c r="T2238">
        <v>-0.2329986</v>
      </c>
      <c r="U2238">
        <v>-2.339645</v>
      </c>
      <c r="V2238">
        <v>-0.2524981</v>
      </c>
      <c r="W2238">
        <v>0.13253609999999999</v>
      </c>
      <c r="X2238">
        <v>0.95847740000000003</v>
      </c>
      <c r="Y2238">
        <v>-0.392563</v>
      </c>
      <c r="Z2238">
        <v>7.6314839999999995E-2</v>
      </c>
      <c r="AA2238">
        <v>0.91655350000000002</v>
      </c>
      <c r="AB2238">
        <v>26</v>
      </c>
      <c r="AC2238">
        <v>9.5975999999999999</v>
      </c>
      <c r="AD2238">
        <v>-1.116909863569</v>
      </c>
      <c r="AE2238">
        <v>-10.971299999999999</v>
      </c>
      <c r="AF2238">
        <v>-5.80328582245627</v>
      </c>
      <c r="AG2238">
        <v>-1.116909863569</v>
      </c>
      <c r="AH2238">
        <v>13.2790078336531</v>
      </c>
      <c r="AI2238">
        <v>94.407201158232098</v>
      </c>
      <c r="AJ2238">
        <v>113.606629929316</v>
      </c>
      <c r="AK2238">
        <v>14.5347054674899</v>
      </c>
      <c r="AL2238">
        <v>82.383831611194395</v>
      </c>
      <c r="AM2238">
        <v>104.758500265476</v>
      </c>
      <c r="AN2238">
        <v>1.00000001730879</v>
      </c>
    </row>
    <row r="2239" spans="1:40" x14ac:dyDescent="0.25">
      <c r="A2239" t="str">
        <f>"20190312164307531"</f>
        <v>20190312164307531</v>
      </c>
      <c r="B2239" t="str">
        <f>"1552380187526955"</f>
        <v>1552380187526955</v>
      </c>
      <c r="C2239" t="s">
        <v>40</v>
      </c>
      <c r="D2239">
        <v>4.194814</v>
      </c>
      <c r="E2239">
        <v>0.44065799999999999</v>
      </c>
      <c r="F2239" t="s">
        <v>45</v>
      </c>
      <c r="G2239">
        <v>-482.99079999999998</v>
      </c>
      <c r="H2239" s="1">
        <v>2.1630030000000002E-6</v>
      </c>
      <c r="I2239">
        <v>216.50149999999999</v>
      </c>
      <c r="J2239">
        <v>-492.39659999999998</v>
      </c>
      <c r="K2239">
        <v>1.1170639999999901</v>
      </c>
      <c r="L2239">
        <v>227.07140000000001</v>
      </c>
      <c r="M2239">
        <v>0.3105772</v>
      </c>
      <c r="N2239">
        <v>0</v>
      </c>
      <c r="O2239">
        <v>-0.95043639999999996</v>
      </c>
      <c r="P2239">
        <v>0.53689209999999998</v>
      </c>
      <c r="Q2239">
        <v>0.12302680000000001</v>
      </c>
      <c r="R2239">
        <v>-0.83463229999999999</v>
      </c>
      <c r="S2239">
        <v>2.040375</v>
      </c>
      <c r="T2239">
        <v>-0.24014849999999999</v>
      </c>
      <c r="U2239">
        <v>-2.3225099999999999</v>
      </c>
      <c r="V2239">
        <v>-0.25326090000000001</v>
      </c>
      <c r="W2239">
        <v>0.1329591</v>
      </c>
      <c r="X2239">
        <v>0.95821750000000006</v>
      </c>
      <c r="Y2239">
        <v>-0.39189849999999998</v>
      </c>
      <c r="Z2239">
        <v>7.8548099999999996E-2</v>
      </c>
      <c r="AA2239">
        <v>0.91664920000000005</v>
      </c>
      <c r="AB2239">
        <v>26</v>
      </c>
      <c r="AC2239">
        <v>9.4057999999999993</v>
      </c>
      <c r="AD2239">
        <v>-1.11706183699699</v>
      </c>
      <c r="AE2239">
        <v>-10.569900000000001</v>
      </c>
      <c r="AF2239">
        <v>-5.6224004450557796</v>
      </c>
      <c r="AG2239">
        <v>-1.11706183699699</v>
      </c>
      <c r="AH2239">
        <v>12.8882877012883</v>
      </c>
      <c r="AI2239">
        <v>94.542177767929104</v>
      </c>
      <c r="AJ2239">
        <v>113.568806798905</v>
      </c>
      <c r="AK2239">
        <v>14.1055724372823</v>
      </c>
      <c r="AL2239">
        <v>82.359378890625194</v>
      </c>
      <c r="AM2239">
        <v>104.804969610686</v>
      </c>
      <c r="AN2239">
        <v>0.99999999152393504</v>
      </c>
    </row>
    <row r="2240" spans="1:40" x14ac:dyDescent="0.25">
      <c r="A2240" t="str">
        <f>"20190312164307555"</f>
        <v>20190312164307555</v>
      </c>
      <c r="B2240" t="str">
        <f>"1552380187546476"</f>
        <v>1552380187546476</v>
      </c>
      <c r="C2240" t="s">
        <v>40</v>
      </c>
      <c r="D2240">
        <v>4.2508150000000002</v>
      </c>
      <c r="E2240">
        <v>0.44085940000000001</v>
      </c>
      <c r="F2240" t="s">
        <v>45</v>
      </c>
      <c r="G2240">
        <v>-482.89249999999998</v>
      </c>
      <c r="H2240" s="1">
        <v>2.1433400000000001E-6</v>
      </c>
      <c r="I2240">
        <v>216.4503</v>
      </c>
      <c r="J2240">
        <v>-492.30110000000002</v>
      </c>
      <c r="K2240">
        <v>1.1172420000000001</v>
      </c>
      <c r="L2240">
        <v>226.81559999999999</v>
      </c>
      <c r="M2240">
        <v>0.32045259999999998</v>
      </c>
      <c r="N2240">
        <v>0</v>
      </c>
      <c r="O2240">
        <v>-0.94715179999999999</v>
      </c>
      <c r="P2240">
        <v>0.54598530000000001</v>
      </c>
      <c r="Q2240">
        <v>0.12331490000000001</v>
      </c>
      <c r="R2240">
        <v>-0.82866989999999996</v>
      </c>
      <c r="S2240">
        <v>2.0616460000000001</v>
      </c>
      <c r="T2240">
        <v>-0.24231710000000001</v>
      </c>
      <c r="U2240">
        <v>-2.3039550000000002</v>
      </c>
      <c r="V2240">
        <v>-0.25383909999999998</v>
      </c>
      <c r="W2240">
        <v>0.1331657</v>
      </c>
      <c r="X2240">
        <v>0.95803579999999999</v>
      </c>
      <c r="Y2240">
        <v>-0.39066240000000002</v>
      </c>
      <c r="Z2240">
        <v>7.9132010000000003E-2</v>
      </c>
      <c r="AA2240">
        <v>0.91712649999999996</v>
      </c>
      <c r="AB2240">
        <v>26</v>
      </c>
      <c r="AC2240">
        <v>9.4086000000000301</v>
      </c>
      <c r="AD2240">
        <v>-1.1172398566599999</v>
      </c>
      <c r="AE2240">
        <v>-10.3652999999999</v>
      </c>
      <c r="AF2240">
        <v>-5.5549981926813903</v>
      </c>
      <c r="AG2240">
        <v>-1.1172398566599999</v>
      </c>
      <c r="AH2240">
        <v>12.752662271714399</v>
      </c>
      <c r="AI2240">
        <v>94.592088881650398</v>
      </c>
      <c r="AJ2240">
        <v>113.537709117155</v>
      </c>
      <c r="AK2240">
        <v>13.954806513685901</v>
      </c>
      <c r="AL2240">
        <v>82.347435389697097</v>
      </c>
      <c r="AM2240">
        <v>104.83997015991901</v>
      </c>
      <c r="AN2240">
        <v>0.999999993213469</v>
      </c>
    </row>
    <row r="2241" spans="1:40" x14ac:dyDescent="0.25">
      <c r="A2241" t="str">
        <f>"20190312164307578"</f>
        <v>20190312164307578</v>
      </c>
      <c r="B2241" t="str">
        <f>"1552380187566972"</f>
        <v>1552380187566972</v>
      </c>
      <c r="C2241" t="s">
        <v>40</v>
      </c>
      <c r="D2241">
        <v>4.2117899999999997</v>
      </c>
      <c r="E2241">
        <v>0.4411736</v>
      </c>
      <c r="F2241" t="s">
        <v>45</v>
      </c>
      <c r="G2241">
        <v>-482.83260000000001</v>
      </c>
      <c r="H2241" s="1">
        <v>2.1328230000000001E-6</v>
      </c>
      <c r="I2241">
        <v>216.45330000000001</v>
      </c>
      <c r="J2241">
        <v>-492.20530000000002</v>
      </c>
      <c r="K2241">
        <v>1.1174200000000001</v>
      </c>
      <c r="L2241">
        <v>226.56780000000001</v>
      </c>
      <c r="M2241">
        <v>0.3303027</v>
      </c>
      <c r="N2241">
        <v>0</v>
      </c>
      <c r="O2241">
        <v>-0.94376130000000003</v>
      </c>
      <c r="P2241">
        <v>0.55508809999999997</v>
      </c>
      <c r="Q2241">
        <v>0.12315470000000001</v>
      </c>
      <c r="R2241">
        <v>-0.82262409999999997</v>
      </c>
      <c r="S2241">
        <v>2.0857540000000001</v>
      </c>
      <c r="T2241">
        <v>-0.2461084</v>
      </c>
      <c r="U2241">
        <v>-2.2826390000000001</v>
      </c>
      <c r="V2241">
        <v>-0.25446679999999999</v>
      </c>
      <c r="W2241">
        <v>0.13292409999999999</v>
      </c>
      <c r="X2241">
        <v>0.95790280000000005</v>
      </c>
      <c r="Y2241">
        <v>-0.39055800000000002</v>
      </c>
      <c r="Z2241">
        <v>8.0243410000000001E-2</v>
      </c>
      <c r="AA2241">
        <v>0.91707439999999996</v>
      </c>
      <c r="AB2241">
        <v>26</v>
      </c>
      <c r="AC2241">
        <v>9.3727</v>
      </c>
      <c r="AD2241">
        <v>-1.1174178671770001</v>
      </c>
      <c r="AE2241">
        <v>-10.1144999999999</v>
      </c>
      <c r="AF2241">
        <v>-5.4694210878428304</v>
      </c>
      <c r="AG2241">
        <v>-1.1174178671770001</v>
      </c>
      <c r="AH2241">
        <v>12.560381631856201</v>
      </c>
      <c r="AI2241">
        <v>94.663065203753405</v>
      </c>
      <c r="AJ2241">
        <v>113.53072839013301</v>
      </c>
      <c r="AK2241">
        <v>13.745049161930901</v>
      </c>
      <c r="AL2241">
        <v>82.361402047885903</v>
      </c>
      <c r="AM2241">
        <v>104.877015579971</v>
      </c>
      <c r="AN2241">
        <v>0.99999997145544395</v>
      </c>
    </row>
    <row r="2242" spans="1:40" x14ac:dyDescent="0.25">
      <c r="A2242" t="str">
        <f>"20190312164307601"</f>
        <v>20190312164307601</v>
      </c>
      <c r="B2242" t="str">
        <f>"1552380187596251"</f>
        <v>1552380187596251</v>
      </c>
      <c r="C2242" t="s">
        <v>40</v>
      </c>
      <c r="D2242">
        <v>4.2750839999999997</v>
      </c>
      <c r="E2242">
        <v>0.4415056</v>
      </c>
      <c r="F2242" t="s">
        <v>45</v>
      </c>
      <c r="G2242">
        <v>-482.78019999999998</v>
      </c>
      <c r="H2242" s="1">
        <v>2.123765E-6</v>
      </c>
      <c r="I2242">
        <v>216.45859999999999</v>
      </c>
      <c r="J2242">
        <v>-492.10930000000002</v>
      </c>
      <c r="K2242">
        <v>1.11759599999999</v>
      </c>
      <c r="L2242">
        <v>226.32749999999999</v>
      </c>
      <c r="M2242">
        <v>0.34011819999999998</v>
      </c>
      <c r="N2242">
        <v>0</v>
      </c>
      <c r="O2242">
        <v>-0.94026799999999999</v>
      </c>
      <c r="P2242">
        <v>0.5644614</v>
      </c>
      <c r="Q2242">
        <v>0.1230488</v>
      </c>
      <c r="R2242">
        <v>-0.81623690000000004</v>
      </c>
      <c r="S2242">
        <v>2.1085509999999998</v>
      </c>
      <c r="T2242">
        <v>-0.24998329999999999</v>
      </c>
      <c r="U2242">
        <v>-2.2615660000000002</v>
      </c>
      <c r="V2242">
        <v>-0.25549429999999901</v>
      </c>
      <c r="W2242">
        <v>0.13272799999999901</v>
      </c>
      <c r="X2242">
        <v>0.95765650000000002</v>
      </c>
      <c r="Y2242">
        <v>-0.39011119999999999</v>
      </c>
      <c r="Z2242">
        <v>8.1373689999999999E-2</v>
      </c>
      <c r="AA2242">
        <v>0.91716500000000001</v>
      </c>
      <c r="AB2242">
        <v>26</v>
      </c>
      <c r="AC2242">
        <v>9.3291000000000395</v>
      </c>
      <c r="AD2242">
        <v>-1.11759387623499</v>
      </c>
      <c r="AE2242">
        <v>-9.8688999999999893</v>
      </c>
      <c r="AF2242">
        <v>-5.3794142558930096</v>
      </c>
      <c r="AG2242">
        <v>-1.11759387623499</v>
      </c>
      <c r="AH2242">
        <v>12.369976290981199</v>
      </c>
      <c r="AI2242">
        <v>94.7362494167416</v>
      </c>
      <c r="AJ2242">
        <v>113.50309864621001</v>
      </c>
      <c r="AK2242">
        <v>13.535266057530601</v>
      </c>
      <c r="AL2242">
        <v>82.372738535190294</v>
      </c>
      <c r="AM2242">
        <v>104.938076999328</v>
      </c>
      <c r="AN2242">
        <v>1.00000001565436</v>
      </c>
    </row>
    <row r="2243" spans="1:40" x14ac:dyDescent="0.25">
      <c r="A2243" t="str">
        <f>"20190312164307620"</f>
        <v>20190312164307620</v>
      </c>
      <c r="B2243" t="str">
        <f>"1552380187616748"</f>
        <v>1552380187616748</v>
      </c>
      <c r="C2243" t="s">
        <v>40</v>
      </c>
      <c r="D2243">
        <v>4.2975859999999999</v>
      </c>
      <c r="E2243">
        <v>0.44870120000000002</v>
      </c>
      <c r="F2243" t="s">
        <v>45</v>
      </c>
      <c r="G2243">
        <v>-482.72219999999999</v>
      </c>
      <c r="H2243" s="1">
        <v>2.1138890000000001E-6</v>
      </c>
      <c r="I2243">
        <v>216.46780000000001</v>
      </c>
      <c r="J2243">
        <v>-492.02339999999998</v>
      </c>
      <c r="K2243">
        <v>1.1177549999999901</v>
      </c>
      <c r="L2243">
        <v>226.11930000000001</v>
      </c>
      <c r="M2243">
        <v>0.34885529999999998</v>
      </c>
      <c r="N2243">
        <v>0</v>
      </c>
      <c r="O2243">
        <v>-0.93706100000000003</v>
      </c>
      <c r="P2243">
        <v>0.57308769999999998</v>
      </c>
      <c r="Q2243">
        <v>0.1235536</v>
      </c>
      <c r="R2243">
        <v>-0.81012649999999997</v>
      </c>
      <c r="S2243">
        <v>2.131958</v>
      </c>
      <c r="T2243">
        <v>-0.25382349999999998</v>
      </c>
      <c r="U2243">
        <v>-2.2392880000000002</v>
      </c>
      <c r="V2243">
        <v>-0.25682630000000001</v>
      </c>
      <c r="W2243">
        <v>0.13314200000000001</v>
      </c>
      <c r="X2243">
        <v>0.95724260000000005</v>
      </c>
      <c r="Y2243">
        <v>-0.39106049999999998</v>
      </c>
      <c r="Z2243">
        <v>8.2519969999999998E-2</v>
      </c>
      <c r="AA2243">
        <v>0.91665810000000003</v>
      </c>
      <c r="AB2243">
        <v>26</v>
      </c>
      <c r="AC2243">
        <v>9.3011999999999908</v>
      </c>
      <c r="AD2243">
        <v>-1.11775288611099</v>
      </c>
      <c r="AE2243">
        <v>-9.6515000000000004</v>
      </c>
      <c r="AF2243">
        <v>-5.3124518977948902</v>
      </c>
      <c r="AG2243">
        <v>-1.11775288611099</v>
      </c>
      <c r="AH2243">
        <v>12.2052738635929</v>
      </c>
      <c r="AI2243">
        <v>94.7998774561228</v>
      </c>
      <c r="AJ2243">
        <v>113.521504012625</v>
      </c>
      <c r="AK2243">
        <v>13.358152071529201</v>
      </c>
      <c r="AL2243">
        <v>82.348805305118006</v>
      </c>
      <c r="AM2243">
        <v>105.01864621098299</v>
      </c>
      <c r="AN2243">
        <v>0.99999996789522405</v>
      </c>
    </row>
    <row r="2244" spans="1:40" x14ac:dyDescent="0.25">
      <c r="A2244" t="str">
        <f>"20190312164307644"</f>
        <v>20190312164307644</v>
      </c>
      <c r="B2244" t="str">
        <f>"1552380187636267"</f>
        <v>1552380187636267</v>
      </c>
      <c r="C2244" t="s">
        <v>40</v>
      </c>
      <c r="D2244">
        <v>4.4270250000000004</v>
      </c>
      <c r="E2244">
        <v>0.44794820000000002</v>
      </c>
      <c r="F2244" t="s">
        <v>45</v>
      </c>
      <c r="G2244">
        <v>-483.99610000000001</v>
      </c>
      <c r="H2244" s="1">
        <v>2.3874300000000002E-6</v>
      </c>
      <c r="I2244">
        <v>217.55629999999999</v>
      </c>
      <c r="J2244">
        <v>-491.92110000000002</v>
      </c>
      <c r="K2244">
        <v>1.1179300000000001</v>
      </c>
      <c r="L2244">
        <v>225.8794</v>
      </c>
      <c r="M2244">
        <v>0.35919430000000002</v>
      </c>
      <c r="N2244">
        <v>0</v>
      </c>
      <c r="O2244">
        <v>-0.93314609999999998</v>
      </c>
      <c r="P2244">
        <v>0.58298240000000001</v>
      </c>
      <c r="Q2244">
        <v>0.1239039</v>
      </c>
      <c r="R2244">
        <v>-0.80298199999999997</v>
      </c>
      <c r="S2244">
        <v>2.1125790000000002</v>
      </c>
      <c r="T2244">
        <v>-0.29416409999999998</v>
      </c>
      <c r="U2244">
        <v>-2.253555</v>
      </c>
      <c r="V2244">
        <v>-0.25807059999999998</v>
      </c>
      <c r="W2244">
        <v>0.13339529999999999</v>
      </c>
      <c r="X2244">
        <v>0.95687259999999996</v>
      </c>
      <c r="Y2244">
        <v>-0.37292249999999999</v>
      </c>
      <c r="Z2244">
        <v>9.5108810000000002E-2</v>
      </c>
      <c r="AA2244">
        <v>0.9229752</v>
      </c>
      <c r="AB2244">
        <v>26</v>
      </c>
      <c r="AC2244">
        <v>7.9250000000000096</v>
      </c>
      <c r="AD2244">
        <v>-1.11792761257</v>
      </c>
      <c r="AE2244">
        <v>-8.3231000000000002</v>
      </c>
      <c r="AF2244">
        <v>-4.3647525256471598</v>
      </c>
      <c r="AG2244">
        <v>-1.11792761257</v>
      </c>
      <c r="AH2244">
        <v>10.5149447841028</v>
      </c>
      <c r="AI2244">
        <v>95.608134609664205</v>
      </c>
      <c r="AJ2244">
        <v>112.54333274764799</v>
      </c>
      <c r="AK2244">
        <v>11.439619336753299</v>
      </c>
      <c r="AL2244">
        <v>82.334161574806302</v>
      </c>
      <c r="AM2244">
        <v>105.093668069692</v>
      </c>
      <c r="AN2244">
        <v>0.99999995663860397</v>
      </c>
    </row>
    <row r="2245" spans="1:40" x14ac:dyDescent="0.25">
      <c r="A2245" t="str">
        <f>"20190312164307666"</f>
        <v>20190312164307666</v>
      </c>
      <c r="B2245" t="str">
        <f>"1552380187656763"</f>
        <v>1552380187656763</v>
      </c>
      <c r="C2245" t="s">
        <v>40</v>
      </c>
      <c r="D2245">
        <v>4.3566549999999999</v>
      </c>
      <c r="E2245">
        <v>0.42111110000000002</v>
      </c>
      <c r="F2245" t="s">
        <v>45</v>
      </c>
      <c r="G2245">
        <v>-483.90600000000001</v>
      </c>
      <c r="H2245" s="1">
        <v>2.3719769999999999E-6</v>
      </c>
      <c r="I2245">
        <v>217.5685</v>
      </c>
      <c r="J2245">
        <v>-491.81700000000001</v>
      </c>
      <c r="K2245">
        <v>1.118096</v>
      </c>
      <c r="L2245">
        <v>225.64340000000001</v>
      </c>
      <c r="M2245">
        <v>0.36962250000000002</v>
      </c>
      <c r="N2245">
        <v>0</v>
      </c>
      <c r="O2245">
        <v>-0.929064</v>
      </c>
      <c r="P2245">
        <v>0.59428899999999996</v>
      </c>
      <c r="Q2245">
        <v>0.12433520000000001</v>
      </c>
      <c r="R2245">
        <v>-0.79458289999999998</v>
      </c>
      <c r="S2245">
        <v>2.1454469999999999</v>
      </c>
      <c r="T2245">
        <v>-0.29924240000000002</v>
      </c>
      <c r="U2245">
        <v>-2.2246250000000001</v>
      </c>
      <c r="V2245">
        <v>-0.26098700000000002</v>
      </c>
      <c r="W2245">
        <v>0.13369919999999999</v>
      </c>
      <c r="X2245">
        <v>0.95603890000000002</v>
      </c>
      <c r="Y2245">
        <v>-0.3755018</v>
      </c>
      <c r="Z2245">
        <v>9.6539929999999996E-2</v>
      </c>
      <c r="AA2245">
        <v>0.92178000000000004</v>
      </c>
      <c r="AB2245">
        <v>26</v>
      </c>
      <c r="AC2245">
        <v>7.9109999999999401</v>
      </c>
      <c r="AD2245">
        <v>-1.1180936280230001</v>
      </c>
      <c r="AE2245">
        <v>-8.0749000000000102</v>
      </c>
      <c r="AF2245">
        <v>-4.3233445391718899</v>
      </c>
      <c r="AG2245">
        <v>-1.1180936280230001</v>
      </c>
      <c r="AH2245">
        <v>10.326304914586901</v>
      </c>
      <c r="AI2245">
        <v>95.703560200729001</v>
      </c>
      <c r="AJ2245">
        <v>112.71774202413199</v>
      </c>
      <c r="AK2245">
        <v>11.250511746335601</v>
      </c>
      <c r="AL2245">
        <v>82.316592606395602</v>
      </c>
      <c r="AM2245">
        <v>105.269013934287</v>
      </c>
      <c r="AN2245">
        <v>1.0000000342814199</v>
      </c>
    </row>
    <row r="2246" spans="1:40" x14ac:dyDescent="0.25">
      <c r="A2246" t="str">
        <f>"20190312164307700"</f>
        <v>20190312164307700</v>
      </c>
      <c r="B2246" t="str">
        <f>"1552380187696780"</f>
        <v>1552380187696780</v>
      </c>
      <c r="C2246" t="s">
        <v>40</v>
      </c>
      <c r="D2246">
        <v>4.3958349999999999</v>
      </c>
      <c r="E2246">
        <v>0.41928720000000003</v>
      </c>
      <c r="F2246" t="s">
        <v>41</v>
      </c>
      <c r="G2246">
        <v>-491.06970000000001</v>
      </c>
      <c r="H2246">
        <v>1.0097940000000001</v>
      </c>
      <c r="I2246">
        <v>224.98570000000001</v>
      </c>
      <c r="J2246">
        <v>-491.65929999999997</v>
      </c>
      <c r="K2246">
        <v>1.118287</v>
      </c>
      <c r="L2246">
        <v>225.29920000000001</v>
      </c>
      <c r="M2246">
        <v>0.38520320000000002</v>
      </c>
      <c r="N2246">
        <v>0</v>
      </c>
      <c r="O2246">
        <v>-0.92271219999999998</v>
      </c>
      <c r="P2246">
        <v>0.60974869999999903</v>
      </c>
      <c r="Q2246">
        <v>0.12420200000000001</v>
      </c>
      <c r="R2246">
        <v>-0.78280340000000004</v>
      </c>
      <c r="S2246">
        <v>2.3524780000000001</v>
      </c>
      <c r="T2246">
        <v>-0.3407772</v>
      </c>
      <c r="U2246">
        <v>-2.0694119999999998</v>
      </c>
      <c r="V2246">
        <v>-0.26369599999999999</v>
      </c>
      <c r="W2246">
        <v>0.13343640000000001</v>
      </c>
      <c r="X2246">
        <v>0.95533199999999996</v>
      </c>
      <c r="Y2246">
        <v>-0.43366480000000002</v>
      </c>
      <c r="Z2246">
        <v>0.1093701</v>
      </c>
      <c r="AA2246">
        <v>0.89441219999999999</v>
      </c>
      <c r="AB2246">
        <v>26</v>
      </c>
      <c r="AC2246">
        <v>0.58959999999996104</v>
      </c>
      <c r="AD2246">
        <v>-0.10849299999999901</v>
      </c>
      <c r="AE2246">
        <v>-0.313500000000004</v>
      </c>
      <c r="AF2246">
        <v>-0.41242968569442401</v>
      </c>
      <c r="AG2246">
        <v>-0.10849299999999901</v>
      </c>
      <c r="AH2246">
        <v>0.50316109004132403</v>
      </c>
      <c r="AI2246">
        <v>99.467555866157994</v>
      </c>
      <c r="AJ2246">
        <v>129.34069270723799</v>
      </c>
      <c r="AK2246">
        <v>0.65957566603277296</v>
      </c>
      <c r="AL2246">
        <v>82.331786132706299</v>
      </c>
      <c r="AM2246">
        <v>105.43086305557701</v>
      </c>
      <c r="AN2246">
        <v>1.0000000417424699</v>
      </c>
    </row>
    <row r="2247" spans="1:40" x14ac:dyDescent="0.25">
      <c r="A2247" t="str">
        <f>"20190312164307721"</f>
        <v>20190312164307721</v>
      </c>
      <c r="B2247" t="str">
        <f>"1552380187716299"</f>
        <v>1552380187716299</v>
      </c>
      <c r="C2247" t="s">
        <v>40</v>
      </c>
      <c r="D2247">
        <v>4.2866339999999896</v>
      </c>
      <c r="E2247">
        <v>0.41941109999999998</v>
      </c>
      <c r="F2247" t="s">
        <v>45</v>
      </c>
      <c r="G2247">
        <v>-484.2208</v>
      </c>
      <c r="H2247" s="1">
        <v>2.4934999999999999E-6</v>
      </c>
      <c r="I2247">
        <v>219.0711</v>
      </c>
      <c r="J2247">
        <v>-491.55990000000003</v>
      </c>
      <c r="K2247">
        <v>1.1183879999999999</v>
      </c>
      <c r="L2247">
        <v>225.09049999999999</v>
      </c>
      <c r="M2247">
        <v>0.39488010000000001</v>
      </c>
      <c r="N2247">
        <v>0</v>
      </c>
      <c r="O2247">
        <v>-0.91861190000000004</v>
      </c>
      <c r="P2247">
        <v>0.61878529999999998</v>
      </c>
      <c r="Q2247">
        <v>0.1252733</v>
      </c>
      <c r="R2247">
        <v>-0.77550759999999996</v>
      </c>
      <c r="S2247">
        <v>2.4067690000000002</v>
      </c>
      <c r="T2247">
        <v>-0.3618246</v>
      </c>
      <c r="U2247">
        <v>-2.0151210000000002</v>
      </c>
      <c r="V2247">
        <v>-0.26485599999999998</v>
      </c>
      <c r="W2247">
        <v>0.13444619999999999</v>
      </c>
      <c r="X2247">
        <v>0.95486939999999998</v>
      </c>
      <c r="Y2247">
        <v>-0.44539410000000001</v>
      </c>
      <c r="Z2247">
        <v>0.1159377</v>
      </c>
      <c r="AA2247">
        <v>0.88779649999999999</v>
      </c>
      <c r="AB2247">
        <v>26</v>
      </c>
      <c r="AC2247">
        <v>7.3391000000000197</v>
      </c>
      <c r="AD2247">
        <v>-1.1183855064999999</v>
      </c>
      <c r="AE2247">
        <v>-6.0193999999999903</v>
      </c>
      <c r="AF2247">
        <v>-4.3055541438742999</v>
      </c>
      <c r="AG2247">
        <v>-1.1183855064999999</v>
      </c>
      <c r="AH2247">
        <v>8.3130825891468501</v>
      </c>
      <c r="AI2247">
        <v>96.812350258119906</v>
      </c>
      <c r="AJ2247">
        <v>117.380773036085</v>
      </c>
      <c r="AK2247">
        <v>9.4284635419011398</v>
      </c>
      <c r="AL2247">
        <v>82.273402657086706</v>
      </c>
      <c r="AM2247">
        <v>105.50263428348801</v>
      </c>
      <c r="AN2247">
        <v>1.0000000262433899</v>
      </c>
    </row>
    <row r="2248" spans="1:40" x14ac:dyDescent="0.25">
      <c r="A2248" t="str">
        <f>"20190312164307744"</f>
        <v>20190312164307744</v>
      </c>
      <c r="B2248" t="str">
        <f>"1552380187736390"</f>
        <v>1552380187736390</v>
      </c>
      <c r="C2248" t="s">
        <v>40</v>
      </c>
      <c r="D2248">
        <v>4.3286519999999999</v>
      </c>
      <c r="E2248">
        <v>0.41943399999999997</v>
      </c>
      <c r="F2248" t="s">
        <v>45</v>
      </c>
      <c r="G2248">
        <v>-484.21179999999998</v>
      </c>
      <c r="H2248" s="1">
        <v>2.4928589999999998E-6</v>
      </c>
      <c r="I2248">
        <v>219.09270000000001</v>
      </c>
      <c r="J2248">
        <v>-491.44349999999997</v>
      </c>
      <c r="K2248">
        <v>1.1184970000000001</v>
      </c>
      <c r="L2248">
        <v>224.85419999999999</v>
      </c>
      <c r="M2248">
        <v>0.40607409999999999</v>
      </c>
      <c r="N2248">
        <v>0</v>
      </c>
      <c r="O2248">
        <v>-0.91371809999999998</v>
      </c>
      <c r="P2248">
        <v>0.62851630000000003</v>
      </c>
      <c r="Q2248">
        <v>0.1258088</v>
      </c>
      <c r="R2248">
        <v>-0.76755430000000002</v>
      </c>
      <c r="S2248">
        <v>2.4336549999999999</v>
      </c>
      <c r="T2248">
        <v>-0.37040390000000001</v>
      </c>
      <c r="U2248">
        <v>-1.98645</v>
      </c>
      <c r="V2248">
        <v>-0.26531589999999999</v>
      </c>
      <c r="W2248">
        <v>0.13493339999999901</v>
      </c>
      <c r="X2248">
        <v>0.95467299999999999</v>
      </c>
      <c r="Y2248">
        <v>-0.44532490000000002</v>
      </c>
      <c r="Z2248">
        <v>0.1183012</v>
      </c>
      <c r="AA2248">
        <v>0.88751939999999996</v>
      </c>
      <c r="AB2248">
        <v>26</v>
      </c>
      <c r="AC2248">
        <v>7.2316999999999796</v>
      </c>
      <c r="AD2248">
        <v>-1.118494507141</v>
      </c>
      <c r="AE2248">
        <v>-5.7614999999999803</v>
      </c>
      <c r="AF2248">
        <v>-4.2070525677930997</v>
      </c>
      <c r="AG2248">
        <v>-1.118494507141</v>
      </c>
      <c r="AH2248">
        <v>8.0836182169556299</v>
      </c>
      <c r="AI2248">
        <v>96.997375476663194</v>
      </c>
      <c r="AJ2248">
        <v>117.494352079378</v>
      </c>
      <c r="AK2248">
        <v>9.1812420046623302</v>
      </c>
      <c r="AL2248">
        <v>82.245231583827106</v>
      </c>
      <c r="AM2248">
        <v>105.531295760669</v>
      </c>
      <c r="AN2248">
        <v>1.00000004307868</v>
      </c>
    </row>
    <row r="2249" spans="1:40" x14ac:dyDescent="0.25">
      <c r="A2249" t="str">
        <f>"20190312164307768"</f>
        <v>20190312164307768</v>
      </c>
      <c r="B2249" t="str">
        <f>"1552380187756885"</f>
        <v>1552380187756885</v>
      </c>
      <c r="C2249" t="s">
        <v>40</v>
      </c>
      <c r="D2249">
        <v>4.364776</v>
      </c>
      <c r="E2249">
        <v>0.41952240000000002</v>
      </c>
      <c r="F2249" t="s">
        <v>41</v>
      </c>
      <c r="G2249">
        <v>-490.64210000000003</v>
      </c>
      <c r="H2249">
        <v>0.99697749999999996</v>
      </c>
      <c r="I2249">
        <v>224.21799999999999</v>
      </c>
      <c r="J2249">
        <v>-491.322</v>
      </c>
      <c r="K2249">
        <v>1.1186130000000001</v>
      </c>
      <c r="L2249">
        <v>224.61519999999999</v>
      </c>
      <c r="M2249">
        <v>0.41761209999999999</v>
      </c>
      <c r="N2249">
        <v>0</v>
      </c>
      <c r="O2249">
        <v>-0.90850200000000003</v>
      </c>
      <c r="P2249">
        <v>0.63787090000000002</v>
      </c>
      <c r="Q2249">
        <v>0.12573719999999999</v>
      </c>
      <c r="R2249">
        <v>-0.75980990000000004</v>
      </c>
      <c r="S2249">
        <v>2.4620359999999999</v>
      </c>
      <c r="T2249">
        <v>-0.37323499999999998</v>
      </c>
      <c r="U2249">
        <v>-1.9536739999999999</v>
      </c>
      <c r="V2249">
        <v>-0.26495220000000003</v>
      </c>
      <c r="W2249">
        <v>0.13483229999999999</v>
      </c>
      <c r="X2249">
        <v>0.95478830000000003</v>
      </c>
      <c r="Y2249">
        <v>-0.4461772</v>
      </c>
      <c r="Z2249">
        <v>0.1188712</v>
      </c>
      <c r="AA2249">
        <v>0.887015</v>
      </c>
      <c r="AB2249">
        <v>26</v>
      </c>
      <c r="AC2249">
        <v>0.67989999999991801</v>
      </c>
      <c r="AD2249">
        <v>-0.12163549999999899</v>
      </c>
      <c r="AE2249">
        <v>-0.397199999999998</v>
      </c>
      <c r="AF2249">
        <v>-0.44133453102349002</v>
      </c>
      <c r="AG2249">
        <v>-0.12163549999999899</v>
      </c>
      <c r="AH2249">
        <v>0.62983466111388897</v>
      </c>
      <c r="AI2249">
        <v>98.987416303605201</v>
      </c>
      <c r="AJ2249">
        <v>125.019501370851</v>
      </c>
      <c r="AK2249">
        <v>0.77862896393238701</v>
      </c>
      <c r="AL2249">
        <v>82.251077723803604</v>
      </c>
      <c r="AM2249">
        <v>105.509247978296</v>
      </c>
      <c r="AN2249">
        <v>1.0000000576125001</v>
      </c>
    </row>
    <row r="2250" spans="1:40" x14ac:dyDescent="0.25">
      <c r="A2250" t="str">
        <f>"20190312164307792"</f>
        <v>20190312164307792</v>
      </c>
      <c r="B2250" t="str">
        <f>"1552380187786165"</f>
        <v>1552380187786165</v>
      </c>
      <c r="C2250" t="s">
        <v>40</v>
      </c>
      <c r="D2250">
        <v>4.4097089999999897</v>
      </c>
      <c r="E2250">
        <v>0.41861150000000003</v>
      </c>
      <c r="F2250" t="s">
        <v>41</v>
      </c>
      <c r="G2250">
        <v>-490.54809999999998</v>
      </c>
      <c r="H2250">
        <v>0.99988929999999998</v>
      </c>
      <c r="I2250">
        <v>224.01679999999999</v>
      </c>
      <c r="J2250">
        <v>-491.19959999999998</v>
      </c>
      <c r="K2250">
        <v>1.118716</v>
      </c>
      <c r="L2250">
        <v>224.38229999999999</v>
      </c>
      <c r="M2250">
        <v>0.42904130000000001</v>
      </c>
      <c r="N2250">
        <v>0</v>
      </c>
      <c r="O2250">
        <v>-0.90316010000000002</v>
      </c>
      <c r="P2250">
        <v>0.64763769999999998</v>
      </c>
      <c r="Q2250">
        <v>0.1243315</v>
      </c>
      <c r="R2250">
        <v>-0.75173599999999996</v>
      </c>
      <c r="S2250">
        <v>2.4874269999999998</v>
      </c>
      <c r="T2250">
        <v>-0.38161640000000002</v>
      </c>
      <c r="U2250">
        <v>-1.923279</v>
      </c>
      <c r="V2250">
        <v>-0.26515460000000002</v>
      </c>
      <c r="W2250">
        <v>0.13339010000000001</v>
      </c>
      <c r="X2250">
        <v>0.95493459999999997</v>
      </c>
      <c r="Y2250">
        <v>-0.44583010000000001</v>
      </c>
      <c r="Z2250">
        <v>0.12113640000000001</v>
      </c>
      <c r="AA2250">
        <v>0.88688299999999998</v>
      </c>
      <c r="AB2250">
        <v>25</v>
      </c>
      <c r="AC2250">
        <v>0.65149999999999797</v>
      </c>
      <c r="AD2250">
        <v>-0.11882669999999999</v>
      </c>
      <c r="AE2250">
        <v>-0.36549999999999699</v>
      </c>
      <c r="AF2250">
        <v>-0.42099080304734798</v>
      </c>
      <c r="AG2250">
        <v>-0.11882669999999999</v>
      </c>
      <c r="AH2250">
        <v>0.59464814552851197</v>
      </c>
      <c r="AI2250">
        <v>99.262923138383997</v>
      </c>
      <c r="AJ2250">
        <v>125.29720473610701</v>
      </c>
      <c r="AK2250">
        <v>0.73821369390159597</v>
      </c>
      <c r="AL2250">
        <v>82.334462421876395</v>
      </c>
      <c r="AM2250">
        <v>105.518261531649</v>
      </c>
      <c r="AN2250">
        <v>0.99999998547816404</v>
      </c>
    </row>
    <row r="2251" spans="1:40" x14ac:dyDescent="0.25">
      <c r="A2251" t="str">
        <f>"20190312164307834"</f>
        <v>20190312164307834</v>
      </c>
      <c r="B2251" t="str">
        <f>"1552380187826181"</f>
        <v>1552380187826181</v>
      </c>
      <c r="C2251" t="s">
        <v>40</v>
      </c>
      <c r="D2251">
        <v>4.3372169999999999</v>
      </c>
      <c r="E2251">
        <v>0.4182611</v>
      </c>
      <c r="F2251" t="s">
        <v>41</v>
      </c>
      <c r="G2251">
        <v>-490.44810000000001</v>
      </c>
      <c r="H2251">
        <v>1.0081389999999999</v>
      </c>
      <c r="I2251">
        <v>223.81979999999999</v>
      </c>
      <c r="J2251">
        <v>-490.97410000000002</v>
      </c>
      <c r="K2251">
        <v>1.1189020000000001</v>
      </c>
      <c r="L2251">
        <v>223.9718</v>
      </c>
      <c r="M2251">
        <v>0.44969199999999998</v>
      </c>
      <c r="N2251">
        <v>0</v>
      </c>
      <c r="O2251">
        <v>-0.89305659999999898</v>
      </c>
      <c r="P2251">
        <v>0.66389030000000004</v>
      </c>
      <c r="Q2251">
        <v>0.12162249999999999</v>
      </c>
      <c r="R2251">
        <v>-0.73787400000000003</v>
      </c>
      <c r="S2251">
        <v>2.5171510000000001</v>
      </c>
      <c r="T2251">
        <v>-0.37021599999999999</v>
      </c>
      <c r="U2251">
        <v>-1.8833310000000001</v>
      </c>
      <c r="V2251">
        <v>-0.26384619999999998</v>
      </c>
      <c r="W2251">
        <v>0.13065199999999999</v>
      </c>
      <c r="X2251">
        <v>0.95567530000000001</v>
      </c>
      <c r="Y2251">
        <v>-0.43974580000000002</v>
      </c>
      <c r="Z2251">
        <v>0.11678529999999999</v>
      </c>
      <c r="AA2251">
        <v>0.89049699999999998</v>
      </c>
      <c r="AB2251">
        <v>25</v>
      </c>
      <c r="AC2251">
        <v>0.52600000000001002</v>
      </c>
      <c r="AD2251">
        <v>-0.110763</v>
      </c>
      <c r="AE2251">
        <v>-0.15200000000001501</v>
      </c>
      <c r="AF2251">
        <v>-0.38565720528951097</v>
      </c>
      <c r="AG2251">
        <v>-0.110763</v>
      </c>
      <c r="AH2251">
        <v>0.35768659986476697</v>
      </c>
      <c r="AI2251">
        <v>101.89148695179</v>
      </c>
      <c r="AJ2251">
        <v>137.15491393597699</v>
      </c>
      <c r="AK2251">
        <v>0.53753104643688698</v>
      </c>
      <c r="AL2251">
        <v>82.492729640934897</v>
      </c>
      <c r="AM2251">
        <v>105.433951526508</v>
      </c>
      <c r="AN2251">
        <v>1.0000000206942601</v>
      </c>
    </row>
    <row r="2252" spans="1:40" x14ac:dyDescent="0.25">
      <c r="A2252" t="str">
        <f>"20190312164307856"</f>
        <v>20190312164307856</v>
      </c>
      <c r="B2252" t="str">
        <f>"1552380187846446"</f>
        <v>1552380187846446</v>
      </c>
      <c r="C2252" t="s">
        <v>40</v>
      </c>
      <c r="D2252">
        <v>4.3678400000000002</v>
      </c>
      <c r="E2252">
        <v>0.4186145</v>
      </c>
      <c r="F2252" t="s">
        <v>41</v>
      </c>
      <c r="G2252">
        <v>-490.21969999999999</v>
      </c>
      <c r="H2252">
        <v>1.0107219999999999</v>
      </c>
      <c r="I2252">
        <v>223.43379999999999</v>
      </c>
      <c r="J2252">
        <v>-490.85210000000001</v>
      </c>
      <c r="K2252">
        <v>1.119008</v>
      </c>
      <c r="L2252">
        <v>223.7593</v>
      </c>
      <c r="M2252">
        <v>0.4606401</v>
      </c>
      <c r="N2252">
        <v>0</v>
      </c>
      <c r="O2252">
        <v>-0.88745830000000003</v>
      </c>
      <c r="P2252">
        <v>0.67249419999999904</v>
      </c>
      <c r="Q2252">
        <v>0.1222041</v>
      </c>
      <c r="R2252">
        <v>-0.72994369999999997</v>
      </c>
      <c r="S2252">
        <v>2.5589900000000001</v>
      </c>
      <c r="T2252">
        <v>-0.36677419999999999</v>
      </c>
      <c r="U2252">
        <v>-1.8237920000000001</v>
      </c>
      <c r="V2252">
        <v>-0.26338590000000001</v>
      </c>
      <c r="W2252">
        <v>0.1312112</v>
      </c>
      <c r="X2252">
        <v>0.95572570000000001</v>
      </c>
      <c r="Y2252">
        <v>-0.44941370000000003</v>
      </c>
      <c r="Z2252">
        <v>0.11571670000000001</v>
      </c>
      <c r="AA2252">
        <v>0.88579739999999996</v>
      </c>
      <c r="AB2252">
        <v>25</v>
      </c>
      <c r="AC2252">
        <v>0.63240000000001795</v>
      </c>
      <c r="AD2252">
        <v>-0.10828599999999999</v>
      </c>
      <c r="AE2252">
        <v>-0.32550000000000501</v>
      </c>
      <c r="AF2252">
        <v>-0.40201882099754699</v>
      </c>
      <c r="AG2252">
        <v>-0.10828599999999999</v>
      </c>
      <c r="AH2252">
        <v>0.56709792622955402</v>
      </c>
      <c r="AI2252">
        <v>98.854139794711998</v>
      </c>
      <c r="AJ2252">
        <v>125.333036232821</v>
      </c>
      <c r="AK2252">
        <v>0.70352331032178195</v>
      </c>
      <c r="AL2252">
        <v>82.460411945446197</v>
      </c>
      <c r="AM2252">
        <v>105.407532449567</v>
      </c>
      <c r="AN2252">
        <v>1.00000006248236</v>
      </c>
    </row>
    <row r="2253" spans="1:40" x14ac:dyDescent="0.25">
      <c r="A2253" t="str">
        <f>"20190312164307878"</f>
        <v>20190312164307878</v>
      </c>
      <c r="B2253" t="str">
        <f>"1552380187876702"</f>
        <v>1552380187876702</v>
      </c>
      <c r="C2253" t="s">
        <v>40</v>
      </c>
      <c r="D2253">
        <v>4.3255330000000001</v>
      </c>
      <c r="E2253">
        <v>0.41856009999999999</v>
      </c>
      <c r="F2253" t="s">
        <v>41</v>
      </c>
      <c r="G2253">
        <v>-490.0797</v>
      </c>
      <c r="H2253">
        <v>1.0111019999999999</v>
      </c>
      <c r="I2253">
        <v>223.22130000000001</v>
      </c>
      <c r="J2253">
        <v>-490.72460000000001</v>
      </c>
      <c r="K2253">
        <v>1.119111</v>
      </c>
      <c r="L2253">
        <v>223.54390000000001</v>
      </c>
      <c r="M2253">
        <v>0.47191499999999997</v>
      </c>
      <c r="N2253">
        <v>0</v>
      </c>
      <c r="O2253">
        <v>-0.88151399999999902</v>
      </c>
      <c r="P2253">
        <v>0.68131359999999996</v>
      </c>
      <c r="Q2253">
        <v>0.1229934</v>
      </c>
      <c r="R2253">
        <v>-0.72158489999999997</v>
      </c>
      <c r="S2253">
        <v>2.577423</v>
      </c>
      <c r="T2253">
        <v>-0.36012670000000002</v>
      </c>
      <c r="U2253">
        <v>-1.79568499999999</v>
      </c>
      <c r="V2253">
        <v>-0.26292769999999999</v>
      </c>
      <c r="W2253">
        <v>0.13198029999999999</v>
      </c>
      <c r="X2253">
        <v>0.95574590000000004</v>
      </c>
      <c r="Y2253">
        <v>-0.44775559999999998</v>
      </c>
      <c r="Z2253">
        <v>0.1132616</v>
      </c>
      <c r="AA2253">
        <v>0.88695369999999996</v>
      </c>
      <c r="AB2253">
        <v>25</v>
      </c>
      <c r="AC2253">
        <v>0.64490000000000602</v>
      </c>
      <c r="AD2253">
        <v>-0.10800899999999999</v>
      </c>
      <c r="AE2253">
        <v>-0.322599999999994</v>
      </c>
      <c r="AF2253">
        <v>-0.40716128404426399</v>
      </c>
      <c r="AG2253">
        <v>-0.10800899999999999</v>
      </c>
      <c r="AH2253">
        <v>0.57586190374927704</v>
      </c>
      <c r="AI2253">
        <v>98.707021148851993</v>
      </c>
      <c r="AJ2253">
        <v>125.26209636656</v>
      </c>
      <c r="AK2253">
        <v>0.71348664142737495</v>
      </c>
      <c r="AL2253">
        <v>82.415958702789297</v>
      </c>
      <c r="AM2253">
        <v>105.38168947982101</v>
      </c>
      <c r="AN2253">
        <v>1.00000000019109</v>
      </c>
    </row>
    <row r="2254" spans="1:40" x14ac:dyDescent="0.25">
      <c r="A2254" t="str">
        <f>"20190312164307902"</f>
        <v>20190312164307902</v>
      </c>
      <c r="B2254" t="str">
        <f>"1552380187896222"</f>
        <v>1552380187896222</v>
      </c>
      <c r="C2254" t="s">
        <v>40</v>
      </c>
      <c r="D2254">
        <v>4.3402079999999996</v>
      </c>
      <c r="E2254">
        <v>0.41878100000000001</v>
      </c>
      <c r="F2254" t="s">
        <v>41</v>
      </c>
      <c r="G2254">
        <v>-489.93270000000001</v>
      </c>
      <c r="H2254">
        <v>1.0113000000000001</v>
      </c>
      <c r="I2254">
        <v>223.00630000000001</v>
      </c>
      <c r="J2254">
        <v>-490.59390000000002</v>
      </c>
      <c r="K2254">
        <v>1.1192139999999999</v>
      </c>
      <c r="L2254">
        <v>223.3297</v>
      </c>
      <c r="M2254">
        <v>0.48330980000000001</v>
      </c>
      <c r="N2254">
        <v>0</v>
      </c>
      <c r="O2254">
        <v>-0.87531780000000003</v>
      </c>
      <c r="P2254">
        <v>0.69092830000000005</v>
      </c>
      <c r="Q2254">
        <v>0.1227216</v>
      </c>
      <c r="R2254">
        <v>-0.71243109999999998</v>
      </c>
      <c r="S2254">
        <v>2.5988769999999999</v>
      </c>
      <c r="T2254">
        <v>-0.35371819999999998</v>
      </c>
      <c r="U2254">
        <v>-1.7639469999999999</v>
      </c>
      <c r="V2254">
        <v>-0.26335009999999998</v>
      </c>
      <c r="W2254">
        <v>0.1316707</v>
      </c>
      <c r="X2254">
        <v>0.95567230000000003</v>
      </c>
      <c r="Y2254">
        <v>-0.4472236</v>
      </c>
      <c r="Z2254">
        <v>0.1108731</v>
      </c>
      <c r="AA2254">
        <v>0.88752369999999903</v>
      </c>
      <c r="AB2254">
        <v>25</v>
      </c>
      <c r="AC2254">
        <v>0.661200000000007</v>
      </c>
      <c r="AD2254">
        <v>-0.107913999999999</v>
      </c>
      <c r="AE2254">
        <v>-0.32339999999999203</v>
      </c>
      <c r="AF2254">
        <v>-0.413615726775726</v>
      </c>
      <c r="AG2254">
        <v>-0.107913999999999</v>
      </c>
      <c r="AH2254">
        <v>0.59002895354403495</v>
      </c>
      <c r="AI2254">
        <v>98.5175011308243</v>
      </c>
      <c r="AJ2254">
        <v>125.030809252995</v>
      </c>
      <c r="AK2254">
        <v>0.72859973020340996</v>
      </c>
      <c r="AL2254">
        <v>82.433853619897903</v>
      </c>
      <c r="AM2254">
        <v>105.406357632717</v>
      </c>
      <c r="AN2254">
        <v>0.99999999669789497</v>
      </c>
    </row>
    <row r="2255" spans="1:40" x14ac:dyDescent="0.25">
      <c r="A2255" t="str">
        <f>"20190312164307922"</f>
        <v>20190312164307922</v>
      </c>
      <c r="B2255" t="str">
        <f>"1552380187916718"</f>
        <v>1552380187916718</v>
      </c>
      <c r="C2255" t="s">
        <v>40</v>
      </c>
      <c r="D2255">
        <v>4.3113780000000004</v>
      </c>
      <c r="E2255">
        <v>0.41906389999999999</v>
      </c>
      <c r="F2255" t="s">
        <v>41</v>
      </c>
      <c r="G2255">
        <v>-489.71449999999999</v>
      </c>
      <c r="H2255">
        <v>0.99884249999999997</v>
      </c>
      <c r="I2255">
        <v>222.74809999999999</v>
      </c>
      <c r="J2255">
        <v>-490.46769999999998</v>
      </c>
      <c r="K2255">
        <v>1.119289</v>
      </c>
      <c r="L2255">
        <v>223.12950000000001</v>
      </c>
      <c r="M2255">
        <v>0.49411519999999998</v>
      </c>
      <c r="N2255">
        <v>0</v>
      </c>
      <c r="O2255">
        <v>-0.86926340000000002</v>
      </c>
      <c r="P2255">
        <v>0.70044430000000002</v>
      </c>
      <c r="Q2255">
        <v>0.1212998</v>
      </c>
      <c r="R2255">
        <v>-0.7033239</v>
      </c>
      <c r="S2255">
        <v>2.6195979999999999</v>
      </c>
      <c r="T2255">
        <v>-0.35851440000000001</v>
      </c>
      <c r="U2255">
        <v>-1.7321930000000001</v>
      </c>
      <c r="V2255">
        <v>-0.26423479999999999</v>
      </c>
      <c r="W2255">
        <v>0.1302104</v>
      </c>
      <c r="X2255">
        <v>0.95562820000000004</v>
      </c>
      <c r="Y2255">
        <v>-0.44674540000000001</v>
      </c>
      <c r="Z2255">
        <v>0.1119687</v>
      </c>
      <c r="AA2255">
        <v>0.8876269</v>
      </c>
      <c r="AB2255">
        <v>25</v>
      </c>
      <c r="AC2255">
        <v>0.75319999999999199</v>
      </c>
      <c r="AD2255">
        <v>-0.1204465</v>
      </c>
      <c r="AE2255">
        <v>-0.38140000000001301</v>
      </c>
      <c r="AF2255">
        <v>-0.45702560531875602</v>
      </c>
      <c r="AG2255">
        <v>-0.1204465</v>
      </c>
      <c r="AH2255">
        <v>0.68974738408351799</v>
      </c>
      <c r="AI2255">
        <v>98.282300912281102</v>
      </c>
      <c r="AJ2255">
        <v>123.52839658212601</v>
      </c>
      <c r="AK2255">
        <v>0.83614066826657896</v>
      </c>
      <c r="AL2255">
        <v>82.518249437279493</v>
      </c>
      <c r="AM2255">
        <v>105.456322374745</v>
      </c>
      <c r="AN2255">
        <v>1.0000000172172101</v>
      </c>
    </row>
    <row r="2256" spans="1:40" x14ac:dyDescent="0.25">
      <c r="A2256" t="str">
        <f>"20190312164307946"</f>
        <v>20190312164307946</v>
      </c>
      <c r="B2256" t="str">
        <f>"1552380187936238"</f>
        <v>1552380187936238</v>
      </c>
      <c r="C2256" t="s">
        <v>40</v>
      </c>
      <c r="D2256">
        <v>4.2543189999999997</v>
      </c>
      <c r="E2256">
        <v>0.41945579999999999</v>
      </c>
      <c r="F2256" t="s">
        <v>41</v>
      </c>
      <c r="G2256">
        <v>-489.59469999999999</v>
      </c>
      <c r="H2256">
        <v>0.99896700000000005</v>
      </c>
      <c r="I2256">
        <v>222.56790000000001</v>
      </c>
      <c r="J2256">
        <v>-490.3263</v>
      </c>
      <c r="K2256">
        <v>1.1193329999999999</v>
      </c>
      <c r="L2256">
        <v>222.9117</v>
      </c>
      <c r="M2256">
        <v>0.50598869999999996</v>
      </c>
      <c r="N2256">
        <v>0</v>
      </c>
      <c r="O2256">
        <v>-0.86240539999999999</v>
      </c>
      <c r="P2256">
        <v>0.71139940000000002</v>
      </c>
      <c r="Q2256">
        <v>0.11908879999999999</v>
      </c>
      <c r="R2256">
        <v>-0.69262469999999998</v>
      </c>
      <c r="S2256">
        <v>2.6402890000000001</v>
      </c>
      <c r="T2256">
        <v>-0.3639481</v>
      </c>
      <c r="U2256">
        <v>-1.6987460000000001</v>
      </c>
      <c r="V2256">
        <v>-0.26591219999999999</v>
      </c>
      <c r="W2256">
        <v>0.1279526</v>
      </c>
      <c r="X2256">
        <v>0.95546790000000004</v>
      </c>
      <c r="Y2256">
        <v>-0.44546160000000001</v>
      </c>
      <c r="Z2256">
        <v>0.11317530000000001</v>
      </c>
      <c r="AA2256">
        <v>0.88811899999999999</v>
      </c>
      <c r="AB2256">
        <v>25</v>
      </c>
      <c r="AC2256">
        <v>0.73160000000001402</v>
      </c>
      <c r="AD2256">
        <v>-0.120365999999999</v>
      </c>
      <c r="AE2256">
        <v>-0.343799999999987</v>
      </c>
      <c r="AF2256">
        <v>-0.447116530397829</v>
      </c>
      <c r="AG2256">
        <v>-0.120365999999999</v>
      </c>
      <c r="AH2256">
        <v>0.65229120838313603</v>
      </c>
      <c r="AI2256">
        <v>98.654223898681806</v>
      </c>
      <c r="AJ2256">
        <v>124.42889892955399</v>
      </c>
      <c r="AK2256">
        <v>0.79992811317325596</v>
      </c>
      <c r="AL2256">
        <v>82.648703399352101</v>
      </c>
      <c r="AM2256">
        <v>105.55219021942401</v>
      </c>
      <c r="AN2256">
        <v>1.000000036943</v>
      </c>
    </row>
    <row r="2257" spans="1:40" x14ac:dyDescent="0.25">
      <c r="A2257" t="str">
        <f>"20190312164307969"</f>
        <v>20190312164307969</v>
      </c>
      <c r="B2257" t="str">
        <f>"1552380187966494"</f>
        <v>1552380187966494</v>
      </c>
      <c r="C2257" t="s">
        <v>40</v>
      </c>
      <c r="D2257">
        <v>4.2677930000000002</v>
      </c>
      <c r="E2257">
        <v>0.4201337</v>
      </c>
      <c r="F2257" t="s">
        <v>41</v>
      </c>
      <c r="G2257">
        <v>-489.47949999999997</v>
      </c>
      <c r="H2257">
        <v>1.0011139999999901</v>
      </c>
      <c r="I2257">
        <v>222.38329999999999</v>
      </c>
      <c r="J2257">
        <v>-490.18799999999999</v>
      </c>
      <c r="K2257">
        <v>1.1193390000000001</v>
      </c>
      <c r="L2257">
        <v>222.70490000000001</v>
      </c>
      <c r="M2257">
        <v>0.5173432</v>
      </c>
      <c r="N2257">
        <v>0</v>
      </c>
      <c r="O2257">
        <v>-0.85564180000000001</v>
      </c>
      <c r="P2257">
        <v>0.72185080000000001</v>
      </c>
      <c r="Q2257">
        <v>0.1167417</v>
      </c>
      <c r="R2257">
        <v>-0.68213140000000005</v>
      </c>
      <c r="S2257">
        <v>2.6623839999999999</v>
      </c>
      <c r="T2257">
        <v>-0.37158409999999997</v>
      </c>
      <c r="U2257">
        <v>-1.660736</v>
      </c>
      <c r="V2257">
        <v>-0.26756530000000001</v>
      </c>
      <c r="W2257">
        <v>0.12557109999999999</v>
      </c>
      <c r="X2257">
        <v>0.95532229999999996</v>
      </c>
      <c r="Y2257">
        <v>-0.44584370000000001</v>
      </c>
      <c r="Z2257">
        <v>0.11512310000000001</v>
      </c>
      <c r="AA2257">
        <v>0.88767680000000004</v>
      </c>
      <c r="AB2257">
        <v>25</v>
      </c>
      <c r="AC2257">
        <v>0.70850000000007096</v>
      </c>
      <c r="AD2257">
        <v>-0.118225</v>
      </c>
      <c r="AE2257">
        <v>-0.32160000000001698</v>
      </c>
      <c r="AF2257">
        <v>-0.42996900678762301</v>
      </c>
      <c r="AG2257">
        <v>-0.118225</v>
      </c>
      <c r="AH2257">
        <v>0.62730398567254197</v>
      </c>
      <c r="AI2257">
        <v>98.836121670704401</v>
      </c>
      <c r="AJ2257">
        <v>124.42766251614999</v>
      </c>
      <c r="AK2257">
        <v>0.769649782604785</v>
      </c>
      <c r="AL2257">
        <v>82.786262683871797</v>
      </c>
      <c r="AM2257">
        <v>105.646420620104</v>
      </c>
      <c r="AN2257">
        <v>0.99999999389829397</v>
      </c>
    </row>
    <row r="2258" spans="1:40" x14ac:dyDescent="0.25">
      <c r="A2258" t="str">
        <f>"20190312164307995"</f>
        <v>20190312164307995</v>
      </c>
      <c r="B2258" t="str">
        <f>"1552380187986990"</f>
        <v>1552380187986990</v>
      </c>
      <c r="C2258" t="s">
        <v>40</v>
      </c>
      <c r="D2258">
        <v>4.3370959999999998</v>
      </c>
      <c r="E2258">
        <v>0.42066730000000002</v>
      </c>
      <c r="F2258" t="s">
        <v>41</v>
      </c>
      <c r="G2258">
        <v>-489.35939999999999</v>
      </c>
      <c r="H2258">
        <v>1.0024120000000001</v>
      </c>
      <c r="I2258">
        <v>222.2029</v>
      </c>
      <c r="J2258">
        <v>-490.02289999999999</v>
      </c>
      <c r="K2258">
        <v>1.1193109999999999</v>
      </c>
      <c r="L2258">
        <v>222.46549999999999</v>
      </c>
      <c r="M2258">
        <v>0.53055140000000001</v>
      </c>
      <c r="N2258">
        <v>0</v>
      </c>
      <c r="O2258">
        <v>-0.84751500000000002</v>
      </c>
      <c r="P2258">
        <v>0.73326400000000003</v>
      </c>
      <c r="Q2258">
        <v>0.11418730000000001</v>
      </c>
      <c r="R2258">
        <v>-0.67028750000000004</v>
      </c>
      <c r="S2258">
        <v>2.681702</v>
      </c>
      <c r="T2258">
        <v>-0.37845849999999998</v>
      </c>
      <c r="U2258">
        <v>-1.6248929999999999</v>
      </c>
      <c r="V2258">
        <v>-0.2685903</v>
      </c>
      <c r="W2258">
        <v>0.1230142</v>
      </c>
      <c r="X2258">
        <v>0.95536730000000003</v>
      </c>
      <c r="Y2258">
        <v>-0.4432873</v>
      </c>
      <c r="Z2258">
        <v>0.11662359999999999</v>
      </c>
      <c r="AA2258">
        <v>0.88876049999999995</v>
      </c>
      <c r="AB2258">
        <v>25</v>
      </c>
      <c r="AC2258">
        <v>0.66349999999999898</v>
      </c>
      <c r="AD2258">
        <v>-0.116899</v>
      </c>
      <c r="AE2258">
        <v>-0.26259999999999101</v>
      </c>
      <c r="AF2258">
        <v>-0.411995897399351</v>
      </c>
      <c r="AG2258">
        <v>-0.116899</v>
      </c>
      <c r="AH2258">
        <v>0.55962646326183996</v>
      </c>
      <c r="AI2258">
        <v>99.548775541191404</v>
      </c>
      <c r="AJ2258">
        <v>126.360427048868</v>
      </c>
      <c r="AK2258">
        <v>0.70468984245400601</v>
      </c>
      <c r="AL2258">
        <v>82.933906961271603</v>
      </c>
      <c r="AM2258">
        <v>105.70270470832899</v>
      </c>
      <c r="AN2258">
        <v>0.99999996028250904</v>
      </c>
    </row>
    <row r="2259" spans="1:40" x14ac:dyDescent="0.25">
      <c r="A2259" t="str">
        <f>"20190312164308017"</f>
        <v>20190312164308017</v>
      </c>
      <c r="B2259" t="str">
        <f>"1552380188006510"</f>
        <v>1552380188006510</v>
      </c>
      <c r="C2259" t="s">
        <v>40</v>
      </c>
      <c r="D2259">
        <v>4.3032940000000002</v>
      </c>
      <c r="E2259">
        <v>0.42052410000000001</v>
      </c>
      <c r="F2259" t="s">
        <v>41</v>
      </c>
      <c r="G2259">
        <v>-489.20530000000002</v>
      </c>
      <c r="H2259">
        <v>1.0021899999999999</v>
      </c>
      <c r="I2259">
        <v>221.98679999999999</v>
      </c>
      <c r="J2259">
        <v>-489.88740000000001</v>
      </c>
      <c r="K2259">
        <v>1.119275</v>
      </c>
      <c r="L2259">
        <v>222.2748</v>
      </c>
      <c r="M2259">
        <v>0.54108679999999998</v>
      </c>
      <c r="N2259">
        <v>0</v>
      </c>
      <c r="O2259">
        <v>-0.84082749999999995</v>
      </c>
      <c r="P2259">
        <v>0.74222359999999998</v>
      </c>
      <c r="Q2259">
        <v>0.1107679</v>
      </c>
      <c r="R2259">
        <v>-0.66093500000000005</v>
      </c>
      <c r="S2259">
        <v>2.7048030000000001</v>
      </c>
      <c r="T2259">
        <v>-0.38728620000000002</v>
      </c>
      <c r="U2259">
        <v>-1.5827180000000001</v>
      </c>
      <c r="V2259">
        <v>-0.2691366</v>
      </c>
      <c r="W2259">
        <v>0.1196144</v>
      </c>
      <c r="X2259">
        <v>0.95564530000000003</v>
      </c>
      <c r="Y2259">
        <v>-0.44544850000000002</v>
      </c>
      <c r="Z2259">
        <v>0.11895070000000001</v>
      </c>
      <c r="AA2259">
        <v>0.88737049999999995</v>
      </c>
      <c r="AB2259">
        <v>25</v>
      </c>
      <c r="AC2259">
        <v>0.68209999999999105</v>
      </c>
      <c r="AD2259">
        <v>-0.11708499999999999</v>
      </c>
      <c r="AE2259">
        <v>-0.28800000000001003</v>
      </c>
      <c r="AF2259">
        <v>-0.40755272454061903</v>
      </c>
      <c r="AG2259">
        <v>-0.11708499999999999</v>
      </c>
      <c r="AH2259">
        <v>0.59639130872226098</v>
      </c>
      <c r="AI2259">
        <v>99.20700967997</v>
      </c>
      <c r="AJ2259">
        <v>124.347319667637</v>
      </c>
      <c r="AK2259">
        <v>0.73177230996050502</v>
      </c>
      <c r="AL2259">
        <v>83.130151146551995</v>
      </c>
      <c r="AM2259">
        <v>105.728713038796</v>
      </c>
      <c r="AN2259">
        <v>1.0000000267795</v>
      </c>
    </row>
    <row r="2260" spans="1:40" x14ac:dyDescent="0.25">
      <c r="A2260" t="str">
        <f>"20190312164308036"</f>
        <v>20190312164308036</v>
      </c>
      <c r="B2260" t="str">
        <f>"1552380188027006"</f>
        <v>1552380188027006</v>
      </c>
      <c r="C2260" t="s">
        <v>40</v>
      </c>
      <c r="D2260">
        <v>4.2042630000000001</v>
      </c>
      <c r="E2260">
        <v>0.42000559999999998</v>
      </c>
      <c r="F2260" t="s">
        <v>41</v>
      </c>
      <c r="G2260">
        <v>-489.06200000000001</v>
      </c>
      <c r="H2260">
        <v>0.9987608</v>
      </c>
      <c r="I2260">
        <v>221.80699999999999</v>
      </c>
      <c r="J2260">
        <v>-489.76310000000001</v>
      </c>
      <c r="K2260">
        <v>1.119218</v>
      </c>
      <c r="L2260">
        <v>222.1044</v>
      </c>
      <c r="M2260">
        <v>0.55048079999999999</v>
      </c>
      <c r="N2260">
        <v>0</v>
      </c>
      <c r="O2260">
        <v>-0.83470769999999905</v>
      </c>
      <c r="P2260">
        <v>0.75013859999999999</v>
      </c>
      <c r="Q2260">
        <v>0.1080315</v>
      </c>
      <c r="R2260">
        <v>-0.65239669999999905</v>
      </c>
      <c r="S2260">
        <v>2.725616</v>
      </c>
      <c r="T2260">
        <v>-0.3979512</v>
      </c>
      <c r="U2260">
        <v>-1.544861</v>
      </c>
      <c r="V2260">
        <v>-0.26962029999999998</v>
      </c>
      <c r="W2260">
        <v>0.1169041</v>
      </c>
      <c r="X2260">
        <v>0.95584429999999998</v>
      </c>
      <c r="Y2260">
        <v>-0.44728889999999999</v>
      </c>
      <c r="Z2260">
        <v>0.1218089</v>
      </c>
      <c r="AA2260">
        <v>0.88605599999999995</v>
      </c>
      <c r="AB2260">
        <v>25</v>
      </c>
      <c r="AC2260">
        <v>0.70110000000005301</v>
      </c>
      <c r="AD2260">
        <v>-0.1204572</v>
      </c>
      <c r="AE2260">
        <v>-0.29739999999998101</v>
      </c>
      <c r="AF2260">
        <v>-0.41126110398768601</v>
      </c>
      <c r="AG2260">
        <v>-0.1204572</v>
      </c>
      <c r="AH2260">
        <v>0.61877798175619503</v>
      </c>
      <c r="AI2260">
        <v>99.209048269713904</v>
      </c>
      <c r="AJ2260">
        <v>123.60937753888</v>
      </c>
      <c r="AK2260">
        <v>0.75268308297136599</v>
      </c>
      <c r="AL2260">
        <v>83.286537165671007</v>
      </c>
      <c r="AM2260">
        <v>105.75246127461401</v>
      </c>
      <c r="AN2260">
        <v>1.0000000003056899</v>
      </c>
    </row>
    <row r="2261" spans="1:40" x14ac:dyDescent="0.25">
      <c r="A2261" t="str">
        <f>"20190312164308058"</f>
        <v>20190312164308058</v>
      </c>
      <c r="B2261" t="str">
        <f>"1552380188047034"</f>
        <v>1552380188047034</v>
      </c>
      <c r="C2261" t="s">
        <v>40</v>
      </c>
      <c r="D2261">
        <v>4.1842030000000001</v>
      </c>
      <c r="E2261">
        <v>0.4195489</v>
      </c>
      <c r="F2261" t="s">
        <v>41</v>
      </c>
      <c r="G2261">
        <v>-488.93959999999998</v>
      </c>
      <c r="H2261">
        <v>0.99753080000000005</v>
      </c>
      <c r="I2261">
        <v>221.6515</v>
      </c>
      <c r="J2261">
        <v>-489.61520000000002</v>
      </c>
      <c r="K2261">
        <v>1.1191310000000001</v>
      </c>
      <c r="L2261">
        <v>221.90629999999999</v>
      </c>
      <c r="M2261">
        <v>0.5613399</v>
      </c>
      <c r="N2261">
        <v>0</v>
      </c>
      <c r="O2261">
        <v>-0.82744409999999902</v>
      </c>
      <c r="P2261">
        <v>0.75929489999999999</v>
      </c>
      <c r="Q2261">
        <v>0.10721310000000001</v>
      </c>
      <c r="R2261">
        <v>-0.64185449999999999</v>
      </c>
      <c r="S2261">
        <v>2.7453919999999998</v>
      </c>
      <c r="T2261">
        <v>-0.40549370000000001</v>
      </c>
      <c r="U2261">
        <v>-1.5089109999999999</v>
      </c>
      <c r="V2261">
        <v>-0.27054010000000001</v>
      </c>
      <c r="W2261">
        <v>0.1161137</v>
      </c>
      <c r="X2261">
        <v>0.95568070000000005</v>
      </c>
      <c r="Y2261">
        <v>-0.44698729999999998</v>
      </c>
      <c r="Z2261">
        <v>0.1234895</v>
      </c>
      <c r="AA2261">
        <v>0.88597549999999903</v>
      </c>
      <c r="AB2261">
        <v>25</v>
      </c>
      <c r="AC2261">
        <v>0.67560000000003095</v>
      </c>
      <c r="AD2261">
        <v>-0.12160019999999901</v>
      </c>
      <c r="AE2261">
        <v>-0.25479999999998798</v>
      </c>
      <c r="AF2261">
        <v>-0.40456627499263198</v>
      </c>
      <c r="AG2261">
        <v>-0.12160019999999901</v>
      </c>
      <c r="AH2261">
        <v>0.57386713300516201</v>
      </c>
      <c r="AI2261">
        <v>99.825350928151593</v>
      </c>
      <c r="AJ2261">
        <v>125.183166096183</v>
      </c>
      <c r="AK2261">
        <v>0.71258961951814803</v>
      </c>
      <c r="AL2261">
        <v>83.332134071727694</v>
      </c>
      <c r="AM2261">
        <v>105.80609020261301</v>
      </c>
      <c r="AN2261">
        <v>0.99999996869409402</v>
      </c>
    </row>
    <row r="2262" spans="1:40" x14ac:dyDescent="0.25">
      <c r="A2262" t="str">
        <f>"20190312164308081"</f>
        <v>20190312164308081</v>
      </c>
      <c r="B2262" t="str">
        <f>"1552380188076314"</f>
        <v>1552380188076314</v>
      </c>
      <c r="C2262" t="s">
        <v>40</v>
      </c>
      <c r="D2262">
        <v>4.1944650000000001</v>
      </c>
      <c r="E2262">
        <v>0.41917090000000001</v>
      </c>
      <c r="F2262" t="s">
        <v>41</v>
      </c>
      <c r="G2262">
        <v>-488.77960000000002</v>
      </c>
      <c r="H2262">
        <v>0.99575340000000001</v>
      </c>
      <c r="I2262">
        <v>221.46270000000001</v>
      </c>
      <c r="J2262">
        <v>-489.46839999999997</v>
      </c>
      <c r="K2262">
        <v>1.1190310000000001</v>
      </c>
      <c r="L2262">
        <v>221.71459999999999</v>
      </c>
      <c r="M2262">
        <v>0.57176380000000004</v>
      </c>
      <c r="N2262">
        <v>0</v>
      </c>
      <c r="O2262">
        <v>-0.82027609999999995</v>
      </c>
      <c r="P2262">
        <v>0.76783480000000004</v>
      </c>
      <c r="Q2262">
        <v>0.1065614</v>
      </c>
      <c r="R2262">
        <v>-0.63172399999999995</v>
      </c>
      <c r="S2262">
        <v>2.7675169999999998</v>
      </c>
      <c r="T2262">
        <v>-0.4085048</v>
      </c>
      <c r="U2262">
        <v>-1.468369</v>
      </c>
      <c r="V2262">
        <v>-0.27116230000000002</v>
      </c>
      <c r="W2262">
        <v>0.1155042</v>
      </c>
      <c r="X2262">
        <v>0.95557829999999999</v>
      </c>
      <c r="Y2262">
        <v>-0.44867620000000003</v>
      </c>
      <c r="Z2262">
        <v>0.1238595</v>
      </c>
      <c r="AA2262">
        <v>0.88506980000000002</v>
      </c>
      <c r="AB2262">
        <v>25</v>
      </c>
      <c r="AC2262">
        <v>0.688799999999957</v>
      </c>
      <c r="AD2262">
        <v>-0.123277599999999</v>
      </c>
      <c r="AE2262">
        <v>-0.25189999999997698</v>
      </c>
      <c r="AF2262">
        <v>-0.40945944973955201</v>
      </c>
      <c r="AG2262">
        <v>-0.123277599999999</v>
      </c>
      <c r="AH2262">
        <v>0.58402785112521405</v>
      </c>
      <c r="AI2262">
        <v>99.805889794475604</v>
      </c>
      <c r="AJ2262">
        <v>125.034134339045</v>
      </c>
      <c r="AK2262">
        <v>0.72383902805300104</v>
      </c>
      <c r="AL2262">
        <v>83.367292957333405</v>
      </c>
      <c r="AM2262">
        <v>105.84223168551</v>
      </c>
      <c r="AN2262">
        <v>1.0000000502949</v>
      </c>
    </row>
    <row r="2263" spans="1:40" x14ac:dyDescent="0.25">
      <c r="A2263" t="str">
        <f>"20190312164308102"</f>
        <v>20190312164308102</v>
      </c>
      <c r="B2263" t="str">
        <f>"1552380188096811"</f>
        <v>1552380188096811</v>
      </c>
      <c r="C2263" t="s">
        <v>40</v>
      </c>
      <c r="D2263">
        <v>4.2073549999999997</v>
      </c>
      <c r="E2263">
        <v>0.41905710000000002</v>
      </c>
      <c r="F2263" t="s">
        <v>45</v>
      </c>
      <c r="G2263">
        <v>-481.90339999999998</v>
      </c>
      <c r="H2263" s="1">
        <v>2.0283410000000002E-6</v>
      </c>
      <c r="I2263">
        <v>217.83330000000001</v>
      </c>
      <c r="J2263">
        <v>-489.3254</v>
      </c>
      <c r="K2263">
        <v>1.118916</v>
      </c>
      <c r="L2263">
        <v>221.53270000000001</v>
      </c>
      <c r="M2263">
        <v>0.58156039999999998</v>
      </c>
      <c r="N2263">
        <v>0</v>
      </c>
      <c r="O2263">
        <v>-0.81335999999999997</v>
      </c>
      <c r="P2263">
        <v>0.77546669999999995</v>
      </c>
      <c r="Q2263">
        <v>0.1056117</v>
      </c>
      <c r="R2263">
        <v>-0.62249339999999997</v>
      </c>
      <c r="S2263">
        <v>2.787598</v>
      </c>
      <c r="T2263">
        <v>-0.41235080000000002</v>
      </c>
      <c r="U2263">
        <v>-1.4302220000000001</v>
      </c>
      <c r="V2263">
        <v>-0.27118769999999998</v>
      </c>
      <c r="W2263">
        <v>0.1146141</v>
      </c>
      <c r="X2263">
        <v>0.95567820000000003</v>
      </c>
      <c r="Y2263">
        <v>-0.45004670000000002</v>
      </c>
      <c r="Z2263">
        <v>0.1244738</v>
      </c>
      <c r="AA2263">
        <v>0.88428739999999995</v>
      </c>
      <c r="AB2263">
        <v>25</v>
      </c>
      <c r="AC2263">
        <v>7.4220000000000201</v>
      </c>
      <c r="AD2263">
        <v>-1.118913971659</v>
      </c>
      <c r="AE2263">
        <v>-3.69939999999999</v>
      </c>
      <c r="AF2263">
        <v>-3.81631124447454</v>
      </c>
      <c r="AG2263">
        <v>-1.118913971659</v>
      </c>
      <c r="AH2263">
        <v>7.19515311775488</v>
      </c>
      <c r="AI2263">
        <v>97.822392276409303</v>
      </c>
      <c r="AJ2263">
        <v>117.941491725265</v>
      </c>
      <c r="AK2263">
        <v>8.2210965435648706</v>
      </c>
      <c r="AL2263">
        <v>83.418632506464704</v>
      </c>
      <c r="AM2263">
        <v>105.84206809318999</v>
      </c>
      <c r="AN2263">
        <v>0.99999999125267003</v>
      </c>
    </row>
    <row r="2264" spans="1:40" x14ac:dyDescent="0.25">
      <c r="A2264" t="str">
        <f>"20190312164308125"</f>
        <v>20190312164308125</v>
      </c>
      <c r="B2264" t="str">
        <f>"1552380188116330"</f>
        <v>1552380188116330</v>
      </c>
      <c r="C2264" t="s">
        <v>40</v>
      </c>
      <c r="D2264">
        <v>4.2598599999999998</v>
      </c>
      <c r="E2264">
        <v>0.4190006</v>
      </c>
      <c r="F2264" t="s">
        <v>41</v>
      </c>
      <c r="G2264">
        <v>-488.39030000000002</v>
      </c>
      <c r="H2264">
        <v>0.98080310000000004</v>
      </c>
      <c r="I2264">
        <v>221.0668</v>
      </c>
      <c r="J2264">
        <v>-489.1678</v>
      </c>
      <c r="K2264">
        <v>1.1187830000000001</v>
      </c>
      <c r="L2264">
        <v>221.3373</v>
      </c>
      <c r="M2264">
        <v>0.59196709999999997</v>
      </c>
      <c r="N2264">
        <v>0</v>
      </c>
      <c r="O2264">
        <v>-0.80581780000000003</v>
      </c>
      <c r="P2264">
        <v>0.78354579999999996</v>
      </c>
      <c r="Q2264">
        <v>0.10446039999999999</v>
      </c>
      <c r="R2264">
        <v>-0.61249049999999905</v>
      </c>
      <c r="S2264">
        <v>2.8041990000000001</v>
      </c>
      <c r="T2264">
        <v>-0.41401159999999998</v>
      </c>
      <c r="U2264">
        <v>-1.396225</v>
      </c>
      <c r="V2264">
        <v>-0.27123259999999899</v>
      </c>
      <c r="W2264">
        <v>0.1135288</v>
      </c>
      <c r="X2264">
        <v>0.95579499999999995</v>
      </c>
      <c r="Y2264">
        <v>-0.44925690000000001</v>
      </c>
      <c r="Z2264">
        <v>0.1242955</v>
      </c>
      <c r="AA2264">
        <v>0.88471409999999995</v>
      </c>
      <c r="AB2264">
        <v>25</v>
      </c>
      <c r="AC2264">
        <v>0.77749999999997499</v>
      </c>
      <c r="AD2264">
        <v>-0.13797989999999999</v>
      </c>
      <c r="AE2264">
        <v>-0.27049999999999802</v>
      </c>
      <c r="AF2264">
        <v>-0.45370425664274799</v>
      </c>
      <c r="AG2264">
        <v>-0.13797989999999999</v>
      </c>
      <c r="AH2264">
        <v>0.65977159804117103</v>
      </c>
      <c r="AI2264">
        <v>99.777224185445107</v>
      </c>
      <c r="AJ2264">
        <v>124.515084776008</v>
      </c>
      <c r="AK2264">
        <v>0.81251742558640505</v>
      </c>
      <c r="AL2264">
        <v>83.481224220717905</v>
      </c>
      <c r="AM2264">
        <v>105.842720311387</v>
      </c>
      <c r="AN2264">
        <v>0.99999999687859997</v>
      </c>
    </row>
    <row r="2265" spans="1:40" x14ac:dyDescent="0.25">
      <c r="A2265" t="str">
        <f>"20190312164308148"</f>
        <v>20190312164308148</v>
      </c>
      <c r="B2265" t="str">
        <f>"1552380188136827"</f>
        <v>1552380188136827</v>
      </c>
      <c r="C2265" t="s">
        <v>40</v>
      </c>
      <c r="D2265">
        <v>4.2310530000000002</v>
      </c>
      <c r="E2265">
        <v>0.41898770000000002</v>
      </c>
      <c r="F2265" t="s">
        <v>41</v>
      </c>
      <c r="G2265">
        <v>-488.25670000000002</v>
      </c>
      <c r="H2265">
        <v>0.98424279999999997</v>
      </c>
      <c r="I2265">
        <v>220.89869999999999</v>
      </c>
      <c r="J2265">
        <v>-489.00839999999999</v>
      </c>
      <c r="K2265">
        <v>1.1186560000000001</v>
      </c>
      <c r="L2265">
        <v>221.14420000000001</v>
      </c>
      <c r="M2265">
        <v>0.60213739999999905</v>
      </c>
      <c r="N2265">
        <v>0</v>
      </c>
      <c r="O2265">
        <v>-0.79824700000000004</v>
      </c>
      <c r="P2265">
        <v>0.79091669999999903</v>
      </c>
      <c r="Q2265">
        <v>0.1036102</v>
      </c>
      <c r="R2265">
        <v>-0.60308850000000003</v>
      </c>
      <c r="S2265">
        <v>2.822174</v>
      </c>
      <c r="T2265">
        <v>-0.41675570000000001</v>
      </c>
      <c r="U2265">
        <v>-1.3587800000000001</v>
      </c>
      <c r="V2265">
        <v>-0.2705651</v>
      </c>
      <c r="W2265">
        <v>0.1127561</v>
      </c>
      <c r="X2265">
        <v>0.95607560000000003</v>
      </c>
      <c r="Y2265">
        <v>-0.44962259999999998</v>
      </c>
      <c r="Z2265">
        <v>0.12446550000000001</v>
      </c>
      <c r="AA2265">
        <v>0.88450430000000002</v>
      </c>
      <c r="AB2265">
        <v>25</v>
      </c>
      <c r="AC2265">
        <v>0.75169999999997095</v>
      </c>
      <c r="AD2265">
        <v>-0.13441319999999901</v>
      </c>
      <c r="AE2265">
        <v>-0.24550000000002101</v>
      </c>
      <c r="AF2265">
        <v>-0.43956996149795802</v>
      </c>
      <c r="AG2265">
        <v>-0.13441319999999901</v>
      </c>
      <c r="AH2265">
        <v>0.63045644239997201</v>
      </c>
      <c r="AI2265">
        <v>99.920007717655196</v>
      </c>
      <c r="AJ2265">
        <v>124.885170513498</v>
      </c>
      <c r="AK2265">
        <v>0.78023328892657895</v>
      </c>
      <c r="AL2265">
        <v>83.525782695735501</v>
      </c>
      <c r="AM2265">
        <v>105.801274772219</v>
      </c>
      <c r="AN2265">
        <v>0.99999998217028896</v>
      </c>
    </row>
    <row r="2266" spans="1:40" x14ac:dyDescent="0.25">
      <c r="A2266" t="str">
        <f>"20190312164308171"</f>
        <v>20190312164308171</v>
      </c>
      <c r="B2266" t="str">
        <f>"1552380188167082"</f>
        <v>1552380188167082</v>
      </c>
      <c r="C2266" t="s">
        <v>40</v>
      </c>
      <c r="D2266">
        <v>4.1979369999999996</v>
      </c>
      <c r="E2266">
        <v>0.41484739999999998</v>
      </c>
      <c r="F2266" t="s">
        <v>41</v>
      </c>
      <c r="G2266">
        <v>-488.1223</v>
      </c>
      <c r="H2266">
        <v>0.98794700000000002</v>
      </c>
      <c r="I2266">
        <v>220.73089999999999</v>
      </c>
      <c r="J2266">
        <v>-488.84530000000001</v>
      </c>
      <c r="K2266">
        <v>1.1185339999999999</v>
      </c>
      <c r="L2266">
        <v>220.95169999999999</v>
      </c>
      <c r="M2266">
        <v>0.61216569999999904</v>
      </c>
      <c r="N2266">
        <v>0</v>
      </c>
      <c r="O2266">
        <v>-0.79058319999999904</v>
      </c>
      <c r="P2266">
        <v>0.79780200000000001</v>
      </c>
      <c r="Q2266">
        <v>0.1022817</v>
      </c>
      <c r="R2266">
        <v>-0.5941805</v>
      </c>
      <c r="S2266">
        <v>2.8386230000000001</v>
      </c>
      <c r="T2266">
        <v>-0.41864129999999999</v>
      </c>
      <c r="U2266">
        <v>-1.3236079999999999</v>
      </c>
      <c r="V2266">
        <v>-0.26929350000000002</v>
      </c>
      <c r="W2266">
        <v>0.11151510000000001</v>
      </c>
      <c r="X2266">
        <v>0.95657999999999999</v>
      </c>
      <c r="Y2266">
        <v>-0.44931569999999998</v>
      </c>
      <c r="Z2266">
        <v>0.12432120000000001</v>
      </c>
      <c r="AA2266">
        <v>0.88468049999999998</v>
      </c>
      <c r="AB2266">
        <v>25</v>
      </c>
      <c r="AC2266">
        <v>0.72300000000001297</v>
      </c>
      <c r="AD2266">
        <v>-0.13058699999999901</v>
      </c>
      <c r="AE2266">
        <v>-0.220799999999996</v>
      </c>
      <c r="AF2266">
        <v>-0.42382894109349001</v>
      </c>
      <c r="AG2266">
        <v>-0.13058699999999901</v>
      </c>
      <c r="AH2266">
        <v>0.59934361307922401</v>
      </c>
      <c r="AI2266">
        <v>100.08721724067</v>
      </c>
      <c r="AJ2266">
        <v>125.26623837122899</v>
      </c>
      <c r="AK2266">
        <v>0.745584805650094</v>
      </c>
      <c r="AL2266">
        <v>83.597337873129604</v>
      </c>
      <c r="AM2266">
        <v>105.722811657332</v>
      </c>
      <c r="AN2266">
        <v>0.999999951535128</v>
      </c>
    </row>
    <row r="2267" spans="1:40" x14ac:dyDescent="0.25">
      <c r="A2267" t="str">
        <f>"20190312164308215"</f>
        <v>20190312164308215</v>
      </c>
      <c r="B2267" t="str">
        <f>"1552380188206122"</f>
        <v>1552380188206122</v>
      </c>
      <c r="C2267" t="s">
        <v>40</v>
      </c>
      <c r="D2267">
        <v>4.1937179999999996</v>
      </c>
      <c r="E2267">
        <v>0.41723700000000002</v>
      </c>
      <c r="F2267" t="s">
        <v>41</v>
      </c>
      <c r="G2267">
        <v>-487.98039999999997</v>
      </c>
      <c r="H2267">
        <v>1.0219560000000001</v>
      </c>
      <c r="I2267">
        <v>220.5711</v>
      </c>
      <c r="J2267">
        <v>-488.53210000000001</v>
      </c>
      <c r="K2267">
        <v>1.118301</v>
      </c>
      <c r="L2267">
        <v>220.5941</v>
      </c>
      <c r="M2267">
        <v>0.63047030000000004</v>
      </c>
      <c r="N2267">
        <v>0</v>
      </c>
      <c r="O2267">
        <v>-0.77606529999999996</v>
      </c>
      <c r="P2267">
        <v>0.80968709999999999</v>
      </c>
      <c r="Q2267">
        <v>9.938727E-2</v>
      </c>
      <c r="R2267">
        <v>-0.57838540000000005</v>
      </c>
      <c r="S2267">
        <v>2.863159</v>
      </c>
      <c r="T2267">
        <v>-0.31968570000000002</v>
      </c>
      <c r="U2267">
        <v>-1.259628</v>
      </c>
      <c r="V2267">
        <v>-0.265901</v>
      </c>
      <c r="W2267">
        <v>0.10880090000000001</v>
      </c>
      <c r="X2267">
        <v>0.95784080000000005</v>
      </c>
      <c r="Y2267">
        <v>-0.45147470000000001</v>
      </c>
      <c r="Z2267">
        <v>9.4358129999999998E-2</v>
      </c>
      <c r="AA2267">
        <v>0.88728079999999998</v>
      </c>
      <c r="AB2267">
        <v>25</v>
      </c>
      <c r="AC2267">
        <v>0.55170000000003905</v>
      </c>
      <c r="AD2267">
        <v>-9.6345000000000097E-2</v>
      </c>
      <c r="AE2267">
        <v>-2.29999999999961E-2</v>
      </c>
      <c r="AF2267">
        <v>-0.401479415016118</v>
      </c>
      <c r="AG2267">
        <v>-9.6345000000000097E-2</v>
      </c>
      <c r="AH2267">
        <v>0.35491699293928403</v>
      </c>
      <c r="AI2267">
        <v>100.192499909521</v>
      </c>
      <c r="AJ2267">
        <v>138.52258160276901</v>
      </c>
      <c r="AK2267">
        <v>0.54445766739366297</v>
      </c>
      <c r="AL2267">
        <v>83.753802592690207</v>
      </c>
      <c r="AM2267">
        <v>105.514898325479</v>
      </c>
      <c r="AN2267">
        <v>0.99999998789322497</v>
      </c>
    </row>
    <row r="2268" spans="1:40" x14ac:dyDescent="0.25">
      <c r="A2268" t="str">
        <f>"20190312164308237"</f>
        <v>20190312164308237</v>
      </c>
      <c r="B2268" t="str">
        <f>"1552380188226618"</f>
        <v>1552380188226618</v>
      </c>
      <c r="C2268" t="s">
        <v>40</v>
      </c>
      <c r="D2268">
        <v>4.1957060000000004</v>
      </c>
      <c r="E2268">
        <v>0.41884199999999999</v>
      </c>
      <c r="F2268" t="s">
        <v>41</v>
      </c>
      <c r="G2268">
        <v>-487.6857</v>
      </c>
      <c r="H2268">
        <v>1.023387</v>
      </c>
      <c r="I2268">
        <v>220.23679999999999</v>
      </c>
      <c r="J2268">
        <v>-488.3698</v>
      </c>
      <c r="K2268">
        <v>1.118196</v>
      </c>
      <c r="L2268">
        <v>220.41499999999999</v>
      </c>
      <c r="M2268">
        <v>0.63950189999999996</v>
      </c>
      <c r="N2268">
        <v>0</v>
      </c>
      <c r="O2268">
        <v>-0.76864060000000001</v>
      </c>
      <c r="P2268">
        <v>0.81541989999999998</v>
      </c>
      <c r="Q2268">
        <v>9.8893800000000004E-2</v>
      </c>
      <c r="R2268">
        <v>-0.57036009999999904</v>
      </c>
      <c r="S2268">
        <v>2.8771360000000001</v>
      </c>
      <c r="T2268">
        <v>-0.32260489999999997</v>
      </c>
      <c r="U2268">
        <v>-1.214493</v>
      </c>
      <c r="V2268">
        <v>-0.26416640000000002</v>
      </c>
      <c r="W2268">
        <v>0.108390899999999</v>
      </c>
      <c r="X2268">
        <v>0.95836710000000003</v>
      </c>
      <c r="Y2268">
        <v>-0.45430379999999998</v>
      </c>
      <c r="Z2268">
        <v>9.4937869999999994E-2</v>
      </c>
      <c r="AA2268">
        <v>0.88577349999999999</v>
      </c>
      <c r="AB2268">
        <v>25</v>
      </c>
      <c r="AC2268">
        <v>0.68410000000000004</v>
      </c>
      <c r="AD2268">
        <v>-9.4808999999999893E-2</v>
      </c>
      <c r="AE2268">
        <v>-0.17820000000000299</v>
      </c>
      <c r="AF2268">
        <v>-0.40463692720882599</v>
      </c>
      <c r="AG2268">
        <v>-9.4808999999999893E-2</v>
      </c>
      <c r="AH2268">
        <v>0.56436970855889101</v>
      </c>
      <c r="AI2268">
        <v>97.774310913141804</v>
      </c>
      <c r="AJ2268">
        <v>125.63944004910999</v>
      </c>
      <c r="AK2268">
        <v>0.70088013046515196</v>
      </c>
      <c r="AL2268">
        <v>83.777433606754499</v>
      </c>
      <c r="AM2268">
        <v>105.410453091927</v>
      </c>
      <c r="AN2268">
        <v>0.99999998622708997</v>
      </c>
    </row>
    <row r="2269" spans="1:40" x14ac:dyDescent="0.25">
      <c r="A2269" t="str">
        <f>"20190312164308259"</f>
        <v>20190312164308259</v>
      </c>
      <c r="B2269" t="str">
        <f>"1552380188256876"</f>
        <v>1552380188256876</v>
      </c>
      <c r="C2269" t="s">
        <v>40</v>
      </c>
      <c r="D2269">
        <v>4.2216659999999999</v>
      </c>
      <c r="E2269">
        <v>0.42061589999999999</v>
      </c>
      <c r="F2269" t="s">
        <v>41</v>
      </c>
      <c r="G2269">
        <v>-487.4948</v>
      </c>
      <c r="H2269">
        <v>1.019015</v>
      </c>
      <c r="I2269">
        <v>220.05240000000001</v>
      </c>
      <c r="J2269">
        <v>-488.20920000000001</v>
      </c>
      <c r="K2269">
        <v>1.1181000000000001</v>
      </c>
      <c r="L2269">
        <v>220.24180000000001</v>
      </c>
      <c r="M2269">
        <v>0.64816379999999996</v>
      </c>
      <c r="N2269">
        <v>0</v>
      </c>
      <c r="O2269">
        <v>-0.76135090000000005</v>
      </c>
      <c r="P2269">
        <v>0.82112419999999997</v>
      </c>
      <c r="Q2269">
        <v>9.9219719999999997E-2</v>
      </c>
      <c r="R2269">
        <v>-0.56205950000000005</v>
      </c>
      <c r="S2269">
        <v>2.8833310000000001</v>
      </c>
      <c r="T2269">
        <v>-0.32671650000000002</v>
      </c>
      <c r="U2269">
        <v>-1.1942900000000001</v>
      </c>
      <c r="V2269">
        <v>-0.26298449999999901</v>
      </c>
      <c r="W2269">
        <v>0.1087829</v>
      </c>
      <c r="X2269">
        <v>0.95864769999999999</v>
      </c>
      <c r="Y2269">
        <v>-0.45010040000000001</v>
      </c>
      <c r="Z2269">
        <v>9.5493380000000003E-2</v>
      </c>
      <c r="AA2269">
        <v>0.88785729999999996</v>
      </c>
      <c r="AB2269">
        <v>25</v>
      </c>
      <c r="AC2269">
        <v>0.71440000000001103</v>
      </c>
      <c r="AD2269">
        <v>-9.9085000000000006E-2</v>
      </c>
      <c r="AE2269">
        <v>-0.18940000000000601</v>
      </c>
      <c r="AF2269">
        <v>-0.41375829956273302</v>
      </c>
      <c r="AG2269">
        <v>-9.9085000000000006E-2</v>
      </c>
      <c r="AH2269">
        <v>0.59659457773866997</v>
      </c>
      <c r="AI2269">
        <v>97.771423798622095</v>
      </c>
      <c r="AJ2269">
        <v>124.742602530318</v>
      </c>
      <c r="AK2269">
        <v>0.73276111923956999</v>
      </c>
      <c r="AL2269">
        <v>83.754840085637397</v>
      </c>
      <c r="AM2269">
        <v>105.340482392827</v>
      </c>
      <c r="AN2269">
        <v>0.99999998964397496</v>
      </c>
    </row>
    <row r="2270" spans="1:40" x14ac:dyDescent="0.25">
      <c r="A2270" t="str">
        <f>"20190312164308282"</f>
        <v>20190312164308282</v>
      </c>
      <c r="B2270" t="str">
        <f>"1552380188276395"</f>
        <v>1552380188276395</v>
      </c>
      <c r="C2270" t="s">
        <v>40</v>
      </c>
      <c r="D2270">
        <v>4.2440819999999997</v>
      </c>
      <c r="E2270">
        <v>0.42157860000000003</v>
      </c>
      <c r="F2270" t="s">
        <v>45</v>
      </c>
      <c r="G2270">
        <v>-478.22840000000002</v>
      </c>
      <c r="H2270" s="1">
        <v>2.3778060000000001E-6</v>
      </c>
      <c r="I2270">
        <v>216.17959999999999</v>
      </c>
      <c r="J2270">
        <v>-488.041</v>
      </c>
      <c r="K2270">
        <v>1.118004</v>
      </c>
      <c r="L2270">
        <v>220.0642</v>
      </c>
      <c r="M2270">
        <v>0.65696019999999999</v>
      </c>
      <c r="N2270">
        <v>0</v>
      </c>
      <c r="O2270">
        <v>-0.75377419999999995</v>
      </c>
      <c r="P2270">
        <v>0.826663699999999</v>
      </c>
      <c r="Q2270">
        <v>9.990694E-2</v>
      </c>
      <c r="R2270">
        <v>-0.55375609999999997</v>
      </c>
      <c r="S2270">
        <v>2.8880620000000001</v>
      </c>
      <c r="T2270">
        <v>-0.32353480000000001</v>
      </c>
      <c r="U2270">
        <v>-1.17543</v>
      </c>
      <c r="V2270">
        <v>-0.26143549999999999</v>
      </c>
      <c r="W2270">
        <v>0.10954319999999999</v>
      </c>
      <c r="X2270">
        <v>0.95898479999999997</v>
      </c>
      <c r="Y2270">
        <v>-0.44536110000000001</v>
      </c>
      <c r="Z2270">
        <v>9.3899369999999996E-2</v>
      </c>
      <c r="AA2270">
        <v>0.89041360000000003</v>
      </c>
      <c r="AB2270">
        <v>25</v>
      </c>
      <c r="AC2270">
        <v>9.8125999999999696</v>
      </c>
      <c r="AD2270">
        <v>-1.1180016221939999</v>
      </c>
      <c r="AE2270">
        <v>-3.8845999999999998</v>
      </c>
      <c r="AF2270">
        <v>-4.7912393441459997</v>
      </c>
      <c r="AG2270">
        <v>-1.1180016221939999</v>
      </c>
      <c r="AH2270">
        <v>9.2716162059079092</v>
      </c>
      <c r="AI2270">
        <v>96.114493323336703</v>
      </c>
      <c r="AJ2270">
        <v>117.32830199604101</v>
      </c>
      <c r="AK2270">
        <v>10.4961311515136</v>
      </c>
      <c r="AL2270">
        <v>83.711016522977204</v>
      </c>
      <c r="AM2270">
        <v>105.24923449429799</v>
      </c>
      <c r="AN2270">
        <v>1.0000000399787601</v>
      </c>
    </row>
    <row r="2271" spans="1:40" x14ac:dyDescent="0.25">
      <c r="A2271" t="str">
        <f>"20190312164308305"</f>
        <v>20190312164308305</v>
      </c>
      <c r="B2271" t="str">
        <f>"1552380188296890"</f>
        <v>1552380188296890</v>
      </c>
      <c r="C2271" t="s">
        <v>40</v>
      </c>
      <c r="D2271">
        <v>4.212021</v>
      </c>
      <c r="E2271">
        <v>0.42233660000000001</v>
      </c>
      <c r="F2271" t="s">
        <v>41</v>
      </c>
      <c r="G2271">
        <v>-487.07549999999998</v>
      </c>
      <c r="H2271">
        <v>1.011442</v>
      </c>
      <c r="I2271">
        <v>219.68029999999999</v>
      </c>
      <c r="J2271">
        <v>-487.8648</v>
      </c>
      <c r="K2271">
        <v>1.117912</v>
      </c>
      <c r="L2271">
        <v>219.8827</v>
      </c>
      <c r="M2271">
        <v>0.66588150000000002</v>
      </c>
      <c r="N2271">
        <v>0</v>
      </c>
      <c r="O2271">
        <v>-0.74590579999999995</v>
      </c>
      <c r="P2271">
        <v>0.83236290000000002</v>
      </c>
      <c r="Q2271">
        <v>0.10068199999999999</v>
      </c>
      <c r="R2271">
        <v>-0.54500969999999904</v>
      </c>
      <c r="S2271">
        <v>2.8963320000000001</v>
      </c>
      <c r="T2271">
        <v>-0.31964490000000001</v>
      </c>
      <c r="U2271">
        <v>-1.151505</v>
      </c>
      <c r="V2271">
        <v>-0.2600538</v>
      </c>
      <c r="W2271">
        <v>0.110383</v>
      </c>
      <c r="X2271">
        <v>0.95926409999999995</v>
      </c>
      <c r="Y2271">
        <v>-0.44210880000000002</v>
      </c>
      <c r="Z2271">
        <v>9.2098029999999997E-2</v>
      </c>
      <c r="AA2271">
        <v>0.89222069999999998</v>
      </c>
      <c r="AB2271">
        <v>25</v>
      </c>
      <c r="AC2271">
        <v>0.78930000000002498</v>
      </c>
      <c r="AD2271">
        <v>-0.10647</v>
      </c>
      <c r="AE2271">
        <v>-0.20240000000001099</v>
      </c>
      <c r="AF2271">
        <v>-0.44639900686367701</v>
      </c>
      <c r="AG2271">
        <v>-0.10647</v>
      </c>
      <c r="AH2271">
        <v>0.66526996700649399</v>
      </c>
      <c r="AI2271">
        <v>97.569961532981196</v>
      </c>
      <c r="AJ2271">
        <v>123.861781047995</v>
      </c>
      <c r="AK2271">
        <v>0.80820298392773804</v>
      </c>
      <c r="AL2271">
        <v>83.662605692968995</v>
      </c>
      <c r="AM2271">
        <v>105.16815174970699</v>
      </c>
      <c r="AN2271">
        <v>0.99999999956612495</v>
      </c>
    </row>
    <row r="2272" spans="1:40" x14ac:dyDescent="0.25">
      <c r="A2272" t="str">
        <f>"20190312164308350"</f>
        <v>20190312164308350</v>
      </c>
      <c r="B2272" t="str">
        <f>"1552380188346666"</f>
        <v>1552380188346666</v>
      </c>
      <c r="C2272" t="s">
        <v>40</v>
      </c>
      <c r="D2272">
        <v>4.3307729999999998</v>
      </c>
      <c r="E2272">
        <v>0.41134340000000003</v>
      </c>
      <c r="F2272" t="s">
        <v>41</v>
      </c>
      <c r="G2272">
        <v>-486.93200000000002</v>
      </c>
      <c r="H2272">
        <v>1.0171840000000001</v>
      </c>
      <c r="I2272">
        <v>219.52119999999999</v>
      </c>
      <c r="J2272">
        <v>-487.52780000000001</v>
      </c>
      <c r="K2272">
        <v>1.1177709999999901</v>
      </c>
      <c r="L2272">
        <v>219.54669999999999</v>
      </c>
      <c r="M2272">
        <v>0.6822568</v>
      </c>
      <c r="N2272">
        <v>0</v>
      </c>
      <c r="O2272">
        <v>-0.73095849999999996</v>
      </c>
      <c r="P2272">
        <v>0.84315479999999998</v>
      </c>
      <c r="Q2272">
        <v>0.1001442</v>
      </c>
      <c r="R2272">
        <v>-0.52826300000000004</v>
      </c>
      <c r="S2272">
        <v>2.9054259999999998</v>
      </c>
      <c r="T2272">
        <v>-0.31362689999999999</v>
      </c>
      <c r="U2272">
        <v>-1.1251370000000001</v>
      </c>
      <c r="V2272">
        <v>-0.25795220000000002</v>
      </c>
      <c r="W2272">
        <v>0.10993940000000001</v>
      </c>
      <c r="X2272">
        <v>0.95988229999999997</v>
      </c>
      <c r="Y2272">
        <v>-0.43047590000000002</v>
      </c>
      <c r="Z2272">
        <v>8.883038E-2</v>
      </c>
      <c r="AA2272">
        <v>0.89822029999999997</v>
      </c>
      <c r="AB2272">
        <v>25</v>
      </c>
      <c r="AC2272">
        <v>0.59580000000005295</v>
      </c>
      <c r="AD2272">
        <v>-0.100586999999999</v>
      </c>
      <c r="AE2272">
        <v>-2.5499999999993798E-2</v>
      </c>
      <c r="AF2272">
        <v>-0.40658708745216898</v>
      </c>
      <c r="AG2272">
        <v>-0.100586999999999</v>
      </c>
      <c r="AH2272">
        <v>0.41341416302608902</v>
      </c>
      <c r="AI2272">
        <v>99.841230437334602</v>
      </c>
      <c r="AJ2272">
        <v>134.52298416756801</v>
      </c>
      <c r="AK2272">
        <v>0.58850834696068599</v>
      </c>
      <c r="AL2272">
        <v>83.688177865638593</v>
      </c>
      <c r="AM2272">
        <v>105.04190066923</v>
      </c>
      <c r="AN2272">
        <v>1.0000000195052401</v>
      </c>
    </row>
    <row r="2273" spans="1:40" x14ac:dyDescent="0.25">
      <c r="A2273" t="str">
        <f>"20190312164308373"</f>
        <v>20190312164308373</v>
      </c>
      <c r="B2273" t="str">
        <f>"1552380188366186"</f>
        <v>1552380188366186</v>
      </c>
      <c r="C2273" t="s">
        <v>40</v>
      </c>
      <c r="D2273">
        <v>4.2952240000000002</v>
      </c>
      <c r="E2273">
        <v>0.41298289999999999</v>
      </c>
      <c r="F2273" t="s">
        <v>41</v>
      </c>
      <c r="G2273">
        <v>-486.61590000000001</v>
      </c>
      <c r="H2273">
        <v>0.99517259999999996</v>
      </c>
      <c r="I2273">
        <v>219.244</v>
      </c>
      <c r="J2273">
        <v>-487.34190000000001</v>
      </c>
      <c r="K2273">
        <v>1.11771</v>
      </c>
      <c r="L2273">
        <v>219.3674</v>
      </c>
      <c r="M2273">
        <v>0.69093570000000004</v>
      </c>
      <c r="N2273">
        <v>0</v>
      </c>
      <c r="O2273">
        <v>-0.72276079999999998</v>
      </c>
      <c r="P2273">
        <v>0.84852450000000001</v>
      </c>
      <c r="Q2273">
        <v>0.10002080000000001</v>
      </c>
      <c r="R2273">
        <v>-0.51961759999999901</v>
      </c>
      <c r="S2273">
        <v>2.9852599999999998</v>
      </c>
      <c r="T2273">
        <v>-0.40126279999999998</v>
      </c>
      <c r="U2273">
        <v>-0.990448</v>
      </c>
      <c r="V2273">
        <v>-0.2562914</v>
      </c>
      <c r="W2273">
        <v>0.1098702</v>
      </c>
      <c r="X2273">
        <v>0.96033500000000005</v>
      </c>
      <c r="Y2273">
        <v>-0.4604375</v>
      </c>
      <c r="Z2273">
        <v>0.113133399999999</v>
      </c>
      <c r="AA2273">
        <v>0.88045329999999999</v>
      </c>
      <c r="AB2273">
        <v>24</v>
      </c>
      <c r="AC2273">
        <v>0.72599999999999898</v>
      </c>
      <c r="AD2273">
        <v>-0.12253739999999901</v>
      </c>
      <c r="AE2273">
        <v>-0.123399999999975</v>
      </c>
      <c r="AF2273">
        <v>-0.42767081499975801</v>
      </c>
      <c r="AG2273">
        <v>-0.12253739999999901</v>
      </c>
      <c r="AH2273">
        <v>0.57495491290438605</v>
      </c>
      <c r="AI2273">
        <v>99.704000846880106</v>
      </c>
      <c r="AJ2273">
        <v>126.643112071663</v>
      </c>
      <c r="AK2273">
        <v>0.72697379063774203</v>
      </c>
      <c r="AL2273">
        <v>83.692166948552199</v>
      </c>
      <c r="AM2273">
        <v>104.942671964936</v>
      </c>
      <c r="AN2273">
        <v>1.0000000273934899</v>
      </c>
    </row>
    <row r="2274" spans="1:40" x14ac:dyDescent="0.25">
      <c r="A2274" t="str">
        <f>"20190312164308397"</f>
        <v>20190312164308397</v>
      </c>
      <c r="B2274" t="str">
        <f>"1552380188386683"</f>
        <v>1552380188386683</v>
      </c>
      <c r="C2274" t="s">
        <v>40</v>
      </c>
      <c r="D2274">
        <v>4.3444629999999904</v>
      </c>
      <c r="E2274">
        <v>0.41402339999999999</v>
      </c>
      <c r="F2274" t="s">
        <v>41</v>
      </c>
      <c r="G2274">
        <v>-486.47050000000002</v>
      </c>
      <c r="H2274">
        <v>0.99847629999999998</v>
      </c>
      <c r="I2274">
        <v>219.0847</v>
      </c>
      <c r="J2274">
        <v>-487.16419999999999</v>
      </c>
      <c r="K2274">
        <v>1.117658</v>
      </c>
      <c r="L2274">
        <v>219.19970000000001</v>
      </c>
      <c r="M2274">
        <v>0.69902369999999903</v>
      </c>
      <c r="N2274">
        <v>0</v>
      </c>
      <c r="O2274">
        <v>-0.71494190000000002</v>
      </c>
      <c r="P2274">
        <v>0.85301970000000005</v>
      </c>
      <c r="Q2274">
        <v>0.1009804</v>
      </c>
      <c r="R2274">
        <v>-0.51201609999999997</v>
      </c>
      <c r="S2274">
        <v>2.990173</v>
      </c>
      <c r="T2274">
        <v>-0.40908369999999999</v>
      </c>
      <c r="U2274">
        <v>-0.96939090000000006</v>
      </c>
      <c r="V2274">
        <v>-0.25398389999999998</v>
      </c>
      <c r="W2274">
        <v>0.1108929</v>
      </c>
      <c r="X2274">
        <v>0.96083030000000003</v>
      </c>
      <c r="Y2274">
        <v>-0.45625719999999997</v>
      </c>
      <c r="Z2274">
        <v>0.1144062</v>
      </c>
      <c r="AA2274">
        <v>0.88246279999999999</v>
      </c>
      <c r="AB2274">
        <v>24</v>
      </c>
      <c r="AC2274">
        <v>0.693699999999978</v>
      </c>
      <c r="AD2274">
        <v>-0.119181699999999</v>
      </c>
      <c r="AE2274">
        <v>-0.115000000000009</v>
      </c>
      <c r="AF2274">
        <v>-0.40400778101083601</v>
      </c>
      <c r="AG2274">
        <v>-0.119181699999999</v>
      </c>
      <c r="AH2274">
        <v>0.55135538032721099</v>
      </c>
      <c r="AI2274">
        <v>99.890758125637404</v>
      </c>
      <c r="AJ2274">
        <v>126.23224113438501</v>
      </c>
      <c r="AK2274">
        <v>0.69384387303481598</v>
      </c>
      <c r="AL2274">
        <v>83.633209862452006</v>
      </c>
      <c r="AM2274">
        <v>104.806776952346</v>
      </c>
      <c r="AN2274">
        <v>0.99999996106385403</v>
      </c>
    </row>
    <row r="2275" spans="1:40" x14ac:dyDescent="0.25">
      <c r="A2275" t="str">
        <f>"20190312164308416"</f>
        <v>20190312164308416</v>
      </c>
      <c r="B2275" t="str">
        <f>"1552380188406203"</f>
        <v>1552380188406203</v>
      </c>
      <c r="C2275" t="s">
        <v>40</v>
      </c>
      <c r="D2275">
        <v>4.3551599999999997</v>
      </c>
      <c r="E2275">
        <v>0.4146976</v>
      </c>
      <c r="F2275" t="s">
        <v>41</v>
      </c>
      <c r="G2275">
        <v>-486.28210000000001</v>
      </c>
      <c r="H2275">
        <v>0.99574790000000002</v>
      </c>
      <c r="I2275">
        <v>218.92019999999999</v>
      </c>
      <c r="J2275">
        <v>-487.00459999999998</v>
      </c>
      <c r="K2275">
        <v>1.117599</v>
      </c>
      <c r="L2275">
        <v>219.0523</v>
      </c>
      <c r="M2275">
        <v>0.70610240000000002</v>
      </c>
      <c r="N2275">
        <v>0</v>
      </c>
      <c r="O2275">
        <v>-0.70795169999999996</v>
      </c>
      <c r="P2275">
        <v>0.85628189999999904</v>
      </c>
      <c r="Q2275">
        <v>0.1011476</v>
      </c>
      <c r="R2275">
        <v>-0.50650790000000001</v>
      </c>
      <c r="S2275">
        <v>2.996429</v>
      </c>
      <c r="T2275">
        <v>-0.4140317</v>
      </c>
      <c r="U2275">
        <v>-0.94879150000000001</v>
      </c>
      <c r="V2275">
        <v>-0.25058570000000002</v>
      </c>
      <c r="W2275">
        <v>0.11114599999999999</v>
      </c>
      <c r="X2275">
        <v>0.96169300000000002</v>
      </c>
      <c r="Y2275">
        <v>-0.45333309999999999</v>
      </c>
      <c r="Z2275">
        <v>0.114938899999999</v>
      </c>
      <c r="AA2275">
        <v>0.88389949999999995</v>
      </c>
      <c r="AB2275">
        <v>24</v>
      </c>
      <c r="AC2275">
        <v>0.72249999999996795</v>
      </c>
      <c r="AD2275">
        <v>-0.1218511</v>
      </c>
      <c r="AE2275">
        <v>-0.13210000000000799</v>
      </c>
      <c r="AF2275">
        <v>-0.407062042608478</v>
      </c>
      <c r="AG2275">
        <v>-0.1218511</v>
      </c>
      <c r="AH2275">
        <v>0.58757489515370798</v>
      </c>
      <c r="AI2275">
        <v>99.674105356855407</v>
      </c>
      <c r="AJ2275">
        <v>124.713568518011</v>
      </c>
      <c r="AK2275">
        <v>0.72511478713282895</v>
      </c>
      <c r="AL2275">
        <v>83.618618515219694</v>
      </c>
      <c r="AM2275">
        <v>104.604655049195</v>
      </c>
      <c r="AN2275">
        <v>1.0000000263047399</v>
      </c>
    </row>
    <row r="2276" spans="1:40" x14ac:dyDescent="0.25">
      <c r="A2276" t="str">
        <f>"20190312164308438"</f>
        <v>20190312164308438</v>
      </c>
      <c r="B2276" t="str">
        <f>"1552380188426698"</f>
        <v>1552380188426698</v>
      </c>
      <c r="C2276" t="s">
        <v>40</v>
      </c>
      <c r="D2276">
        <v>4.3397920000000001</v>
      </c>
      <c r="E2276">
        <v>0.41515629999999998</v>
      </c>
      <c r="F2276" t="s">
        <v>41</v>
      </c>
      <c r="G2276">
        <v>-486.10570000000001</v>
      </c>
      <c r="H2276">
        <v>0.99350760000000005</v>
      </c>
      <c r="I2276">
        <v>218.7731</v>
      </c>
      <c r="J2276">
        <v>-486.83850000000001</v>
      </c>
      <c r="K2276">
        <v>1.1175440000000001</v>
      </c>
      <c r="L2276">
        <v>218.90190000000001</v>
      </c>
      <c r="M2276">
        <v>0.7133119</v>
      </c>
      <c r="N2276">
        <v>0</v>
      </c>
      <c r="O2276">
        <v>-0.70068750000000002</v>
      </c>
      <c r="P2276">
        <v>0.85956200000000005</v>
      </c>
      <c r="Q2276">
        <v>9.9745239999999999E-2</v>
      </c>
      <c r="R2276">
        <v>-0.50120290000000001</v>
      </c>
      <c r="S2276">
        <v>3.001007</v>
      </c>
      <c r="T2276">
        <v>-0.41425630000000002</v>
      </c>
      <c r="U2276">
        <v>-0.93222050000000001</v>
      </c>
      <c r="V2276">
        <v>-0.24675900000000001</v>
      </c>
      <c r="W2276">
        <v>0.1098399</v>
      </c>
      <c r="X2276">
        <v>0.96283189999999996</v>
      </c>
      <c r="Y2276">
        <v>-0.44912829999999898</v>
      </c>
      <c r="Z2276">
        <v>0.114067</v>
      </c>
      <c r="AA2276">
        <v>0.88615599999999894</v>
      </c>
      <c r="AB2276">
        <v>24</v>
      </c>
      <c r="AC2276">
        <v>0.73279999999999701</v>
      </c>
      <c r="AD2276">
        <v>-0.1240364</v>
      </c>
      <c r="AE2276">
        <v>-0.12880000000001199</v>
      </c>
      <c r="AF2276">
        <v>-0.41023517841323398</v>
      </c>
      <c r="AG2276">
        <v>-0.1240364</v>
      </c>
      <c r="AH2276">
        <v>0.59645545650987197</v>
      </c>
      <c r="AI2276">
        <v>99.722718716804593</v>
      </c>
      <c r="AJ2276">
        <v>124.519744325293</v>
      </c>
      <c r="AK2276">
        <v>0.73446377836697796</v>
      </c>
      <c r="AL2276">
        <v>83.693913647079498</v>
      </c>
      <c r="AM2276">
        <v>104.374639599433</v>
      </c>
      <c r="AN2276">
        <v>1.0000000376853</v>
      </c>
    </row>
    <row r="2277" spans="1:40" x14ac:dyDescent="0.25">
      <c r="A2277" t="str">
        <f>"20190312164308461"</f>
        <v>20190312164308461</v>
      </c>
      <c r="B2277" t="str">
        <f>"1552380188456955"</f>
        <v>1552380188456955</v>
      </c>
      <c r="C2277" t="s">
        <v>40</v>
      </c>
      <c r="D2277">
        <v>4.4229699999999896</v>
      </c>
      <c r="E2277">
        <v>0.4161146</v>
      </c>
      <c r="F2277" t="s">
        <v>41</v>
      </c>
      <c r="G2277">
        <v>-485.91879999999998</v>
      </c>
      <c r="H2277">
        <v>0.98919190000000001</v>
      </c>
      <c r="I2277">
        <v>218.62219999999999</v>
      </c>
      <c r="J2277">
        <v>-486.64920000000001</v>
      </c>
      <c r="K2277">
        <v>1.117494</v>
      </c>
      <c r="L2277">
        <v>218.73410000000001</v>
      </c>
      <c r="M2277">
        <v>0.72134560000000003</v>
      </c>
      <c r="N2277">
        <v>0</v>
      </c>
      <c r="O2277">
        <v>-0.69241459999999999</v>
      </c>
      <c r="P2277">
        <v>0.86422339999999997</v>
      </c>
      <c r="Q2277">
        <v>9.8385260000000002E-2</v>
      </c>
      <c r="R2277">
        <v>-0.49339509999999998</v>
      </c>
      <c r="S2277">
        <v>3.0058590000000001</v>
      </c>
      <c r="T2277">
        <v>-0.41943039999999998</v>
      </c>
      <c r="U2277">
        <v>-0.91401670000000002</v>
      </c>
      <c r="V2277">
        <v>-0.24444460000000001</v>
      </c>
      <c r="W2277">
        <v>0.1085416</v>
      </c>
      <c r="X2277">
        <v>0.96356920000000001</v>
      </c>
      <c r="Y2277">
        <v>-0.4440327</v>
      </c>
      <c r="Z2277">
        <v>0.1143729</v>
      </c>
      <c r="AA2277">
        <v>0.8886809</v>
      </c>
      <c r="AB2277">
        <v>24</v>
      </c>
      <c r="AC2277">
        <v>0.73040000000003102</v>
      </c>
      <c r="AD2277">
        <v>-0.128302099999999</v>
      </c>
      <c r="AE2277">
        <v>-0.111900000000019</v>
      </c>
      <c r="AF2277">
        <v>-0.41262810290353102</v>
      </c>
      <c r="AG2277">
        <v>-0.128302099999999</v>
      </c>
      <c r="AH2277">
        <v>0.58673006145507101</v>
      </c>
      <c r="AI2277">
        <v>100.14119439863499</v>
      </c>
      <c r="AJ2277">
        <v>125.117469104297</v>
      </c>
      <c r="AK2277">
        <v>0.72868068808309205</v>
      </c>
      <c r="AL2277">
        <v>83.768748113693405</v>
      </c>
      <c r="AM2277">
        <v>104.234872222935</v>
      </c>
      <c r="AN2277">
        <v>1.0000000222941701</v>
      </c>
    </row>
    <row r="2278" spans="1:40" x14ac:dyDescent="0.25">
      <c r="A2278" t="str">
        <f>"20190312164308483"</f>
        <v>20190312164308483</v>
      </c>
      <c r="B2278" t="str">
        <f>"1552380188476475"</f>
        <v>1552380188476475</v>
      </c>
      <c r="C2278" t="s">
        <v>40</v>
      </c>
      <c r="D2278">
        <v>4.4108499999999999</v>
      </c>
      <c r="E2278">
        <v>0.41664449999999997</v>
      </c>
      <c r="F2278" t="s">
        <v>41</v>
      </c>
      <c r="G2278">
        <v>-485.65100000000001</v>
      </c>
      <c r="H2278">
        <v>0.97536330000000004</v>
      </c>
      <c r="I2278">
        <v>218.4384</v>
      </c>
      <c r="J2278">
        <v>-486.4778</v>
      </c>
      <c r="K2278">
        <v>1.1174759999999999</v>
      </c>
      <c r="L2278">
        <v>218.5857</v>
      </c>
      <c r="M2278">
        <v>0.72845479999999996</v>
      </c>
      <c r="N2278">
        <v>0</v>
      </c>
      <c r="O2278">
        <v>-0.68493159999999997</v>
      </c>
      <c r="P2278">
        <v>0.86840490000000004</v>
      </c>
      <c r="Q2278">
        <v>9.7888260000000005E-2</v>
      </c>
      <c r="R2278">
        <v>-0.48609780000000002</v>
      </c>
      <c r="S2278">
        <v>3.0109859999999999</v>
      </c>
      <c r="T2278">
        <v>-0.42869020000000002</v>
      </c>
      <c r="U2278">
        <v>-0.89178469999999999</v>
      </c>
      <c r="V2278">
        <v>-0.24263299999999999</v>
      </c>
      <c r="W2278">
        <v>0.1080885</v>
      </c>
      <c r="X2278">
        <v>0.96407779999999998</v>
      </c>
      <c r="Y2278">
        <v>-0.44093510000000002</v>
      </c>
      <c r="Z2278">
        <v>0.11595900000000001</v>
      </c>
      <c r="AA2278">
        <v>0.89001669999999999</v>
      </c>
      <c r="AB2278">
        <v>24</v>
      </c>
      <c r="AC2278">
        <v>0.82679999999999099</v>
      </c>
      <c r="AD2278">
        <v>-0.14211269999999901</v>
      </c>
      <c r="AE2278">
        <v>-0.14730000000000101</v>
      </c>
      <c r="AF2278">
        <v>-0.44627215448673302</v>
      </c>
      <c r="AG2278">
        <v>-0.14211269999999901</v>
      </c>
      <c r="AH2278">
        <v>0.68367802140178102</v>
      </c>
      <c r="AI2278">
        <v>99.8741928939003</v>
      </c>
      <c r="AJ2278">
        <v>123.13457145862201</v>
      </c>
      <c r="AK2278">
        <v>0.82871617114629403</v>
      </c>
      <c r="AL2278">
        <v>83.794862024461906</v>
      </c>
      <c r="AM2278">
        <v>104.12646136220999</v>
      </c>
      <c r="AN2278">
        <v>0.99999995048704304</v>
      </c>
    </row>
    <row r="2279" spans="1:40" x14ac:dyDescent="0.25">
      <c r="A2279" t="str">
        <f>"20190312164308505"</f>
        <v>20190312164308505</v>
      </c>
      <c r="B2279" t="str">
        <f>"1552380188496971"</f>
        <v>1552380188496971</v>
      </c>
      <c r="C2279" t="s">
        <v>40</v>
      </c>
      <c r="D2279">
        <v>6.9172609999999999</v>
      </c>
      <c r="E2279">
        <v>0.41700110000000001</v>
      </c>
      <c r="F2279" t="s">
        <v>41</v>
      </c>
      <c r="G2279">
        <v>-485.49169999999998</v>
      </c>
      <c r="H2279">
        <v>0.97595359999999998</v>
      </c>
      <c r="I2279">
        <v>218.3015</v>
      </c>
      <c r="J2279">
        <v>-486.2912</v>
      </c>
      <c r="K2279">
        <v>1.1174630000000001</v>
      </c>
      <c r="L2279">
        <v>218.42760000000001</v>
      </c>
      <c r="M2279">
        <v>0.7360392</v>
      </c>
      <c r="N2279">
        <v>0</v>
      </c>
      <c r="O2279">
        <v>-0.67677500000000002</v>
      </c>
      <c r="P2279">
        <v>0.87339909999999998</v>
      </c>
      <c r="Q2279">
        <v>9.8897109999999996E-2</v>
      </c>
      <c r="R2279">
        <v>-0.47685820000000001</v>
      </c>
      <c r="S2279">
        <v>3.016785</v>
      </c>
      <c r="T2279">
        <v>-0.43294480000000002</v>
      </c>
      <c r="U2279">
        <v>-0.86938479999999996</v>
      </c>
      <c r="V2279">
        <v>-0.2420551</v>
      </c>
      <c r="W2279">
        <v>0.109109</v>
      </c>
      <c r="X2279">
        <v>0.96410819999999997</v>
      </c>
      <c r="Y2279">
        <v>-0.43742510000000001</v>
      </c>
      <c r="Z2279">
        <v>0.1160437</v>
      </c>
      <c r="AA2279">
        <v>0.89173599999999997</v>
      </c>
      <c r="AB2279">
        <v>24</v>
      </c>
      <c r="AC2279">
        <v>0.79950000000002297</v>
      </c>
      <c r="AD2279">
        <v>-0.14150939999999901</v>
      </c>
      <c r="AE2279">
        <v>-0.12610000000000801</v>
      </c>
      <c r="AF2279">
        <v>-0.43501929553037999</v>
      </c>
      <c r="AG2279">
        <v>-0.14150939999999901</v>
      </c>
      <c r="AH2279">
        <v>0.65389151239763399</v>
      </c>
      <c r="AI2279">
        <v>100.213984346156</v>
      </c>
      <c r="AJ2279">
        <v>123.634928158956</v>
      </c>
      <c r="AK2279">
        <v>0.798023062171623</v>
      </c>
      <c r="AL2279">
        <v>83.736044326180505</v>
      </c>
      <c r="AM2279">
        <v>104.093730919688</v>
      </c>
      <c r="AN2279">
        <v>1.00000003331212</v>
      </c>
    </row>
    <row r="2280" spans="1:40" x14ac:dyDescent="0.25">
      <c r="A2280" t="str">
        <f>"20190312164308528"</f>
        <v>20190312164308528</v>
      </c>
      <c r="B2280" t="str">
        <f>"1552380188516491"</f>
        <v>1552380188516491</v>
      </c>
      <c r="C2280" t="s">
        <v>40</v>
      </c>
      <c r="D2280">
        <v>4.3716269999999904</v>
      </c>
      <c r="E2280">
        <v>0.41508640000000002</v>
      </c>
      <c r="F2280" t="s">
        <v>41</v>
      </c>
      <c r="G2280">
        <v>-485.33390000000003</v>
      </c>
      <c r="H2280">
        <v>0.98095339999999998</v>
      </c>
      <c r="I2280">
        <v>218.16159999999999</v>
      </c>
      <c r="J2280">
        <v>-486.11579999999998</v>
      </c>
      <c r="K2280">
        <v>1.117462</v>
      </c>
      <c r="L2280">
        <v>218.28219999999999</v>
      </c>
      <c r="M2280">
        <v>0.74302570000000001</v>
      </c>
      <c r="N2280">
        <v>0</v>
      </c>
      <c r="O2280">
        <v>-0.66909739999999995</v>
      </c>
      <c r="P2280">
        <v>0.87775419999999904</v>
      </c>
      <c r="Q2280">
        <v>0.10098169999999999</v>
      </c>
      <c r="R2280">
        <v>-0.46834880000000001</v>
      </c>
      <c r="S2280">
        <v>3.0250849999999998</v>
      </c>
      <c r="T2280">
        <v>-0.43127199999999999</v>
      </c>
      <c r="U2280">
        <v>-0.83996579999999998</v>
      </c>
      <c r="V2280">
        <v>-0.24128749999999999</v>
      </c>
      <c r="W2280">
        <v>0.11120380000000001</v>
      </c>
      <c r="X2280">
        <v>0.96406130000000001</v>
      </c>
      <c r="Y2280">
        <v>-0.4369324</v>
      </c>
      <c r="Z2280">
        <v>0.11474910000000001</v>
      </c>
      <c r="AA2280">
        <v>0.89214499999999997</v>
      </c>
      <c r="AB2280">
        <v>24</v>
      </c>
      <c r="AC2280">
        <v>0.78189999999994997</v>
      </c>
      <c r="AD2280">
        <v>-0.13650860000000001</v>
      </c>
      <c r="AE2280">
        <v>-0.120599999999996</v>
      </c>
      <c r="AF2280">
        <v>-0.42107030817327901</v>
      </c>
      <c r="AG2280">
        <v>-0.13650860000000001</v>
      </c>
      <c r="AH2280">
        <v>0.64260659682486099</v>
      </c>
      <c r="AI2280">
        <v>100.075300929165</v>
      </c>
      <c r="AJ2280">
        <v>123.23496692386</v>
      </c>
      <c r="AK2280">
        <v>0.78030637609975395</v>
      </c>
      <c r="AL2280">
        <v>83.615286419048701</v>
      </c>
      <c r="AM2280">
        <v>104.05146675429199</v>
      </c>
      <c r="AN2280">
        <v>1.0000000664741799</v>
      </c>
    </row>
    <row r="2281" spans="1:40" x14ac:dyDescent="0.25">
      <c r="A2281" t="str">
        <f>"20190312164308550"</f>
        <v>20190312164308550</v>
      </c>
      <c r="B2281" t="str">
        <f>"1552380188546747"</f>
        <v>1552380188546747</v>
      </c>
      <c r="C2281" t="s">
        <v>40</v>
      </c>
      <c r="D2281">
        <v>4.3884259999999999</v>
      </c>
      <c r="E2281">
        <v>0.41471530000000001</v>
      </c>
      <c r="F2281" t="s">
        <v>41</v>
      </c>
      <c r="G2281">
        <v>-485.16930000000002</v>
      </c>
      <c r="H2281">
        <v>1.0343209999999901</v>
      </c>
      <c r="I2281">
        <v>218.03200000000001</v>
      </c>
      <c r="J2281">
        <v>-485.92630000000003</v>
      </c>
      <c r="K2281">
        <v>1.117467</v>
      </c>
      <c r="L2281">
        <v>218.1285</v>
      </c>
      <c r="M2281">
        <v>0.75044069999999996</v>
      </c>
      <c r="N2281">
        <v>0</v>
      </c>
      <c r="O2281">
        <v>-0.66077050000000004</v>
      </c>
      <c r="P2281">
        <v>0.88238039999999995</v>
      </c>
      <c r="Q2281">
        <v>0.1029202</v>
      </c>
      <c r="R2281">
        <v>-0.45914349999999998</v>
      </c>
      <c r="S2281">
        <v>3.0220030000000002</v>
      </c>
      <c r="T2281">
        <v>-0.26546249999999999</v>
      </c>
      <c r="U2281">
        <v>-0.79901119999999903</v>
      </c>
      <c r="V2281">
        <v>-0.24050340000000001</v>
      </c>
      <c r="W2281">
        <v>0.1131479</v>
      </c>
      <c r="X2281">
        <v>0.96403099999999997</v>
      </c>
      <c r="Y2281">
        <v>-0.44356390000000001</v>
      </c>
      <c r="Z2281">
        <v>7.0878679999999999E-2</v>
      </c>
      <c r="AA2281">
        <v>0.89343569999999894</v>
      </c>
      <c r="AB2281">
        <v>24</v>
      </c>
      <c r="AC2281">
        <v>0.757000000000005</v>
      </c>
      <c r="AD2281">
        <v>-8.3146000000000095E-2</v>
      </c>
      <c r="AE2281">
        <v>-9.6499999999991801E-2</v>
      </c>
      <c r="AF2281">
        <v>-0.42281378446059797</v>
      </c>
      <c r="AG2281">
        <v>-8.3146000000000095E-2</v>
      </c>
      <c r="AH2281">
        <v>0.62450428550957904</v>
      </c>
      <c r="AI2281">
        <v>96.291331699853998</v>
      </c>
      <c r="AJ2281">
        <v>124.09953422652001</v>
      </c>
      <c r="AK2281">
        <v>0.75874261529567699</v>
      </c>
      <c r="AL2281">
        <v>83.503190071119306</v>
      </c>
      <c r="AM2281">
        <v>104.00802794209</v>
      </c>
      <c r="AN2281">
        <v>1.0000000508234801</v>
      </c>
    </row>
    <row r="2282" spans="1:40" x14ac:dyDescent="0.25">
      <c r="A2282" t="str">
        <f>"20190312164308574"</f>
        <v>20190312164308574</v>
      </c>
      <c r="B2282" t="str">
        <f>"1552380188566266"</f>
        <v>1552380188566266</v>
      </c>
      <c r="C2282" t="s">
        <v>40</v>
      </c>
      <c r="D2282">
        <v>4.3481129999999997</v>
      </c>
      <c r="E2282">
        <v>0.41532019999999997</v>
      </c>
      <c r="F2282" t="s">
        <v>41</v>
      </c>
      <c r="G2282">
        <v>-485.00709999999998</v>
      </c>
      <c r="H2282">
        <v>1.0341279999999999</v>
      </c>
      <c r="I2282">
        <v>217.89709999999999</v>
      </c>
      <c r="J2282">
        <v>-485.73399999999998</v>
      </c>
      <c r="K2282">
        <v>1.1174839999999999</v>
      </c>
      <c r="L2282">
        <v>217.9761</v>
      </c>
      <c r="M2282">
        <v>0.75783409999999995</v>
      </c>
      <c r="N2282">
        <v>0</v>
      </c>
      <c r="O2282">
        <v>-0.65227780000000002</v>
      </c>
      <c r="P2282">
        <v>0.88699089999999903</v>
      </c>
      <c r="Q2282">
        <v>0.1040069</v>
      </c>
      <c r="R2282">
        <v>-0.44992189999999999</v>
      </c>
      <c r="S2282">
        <v>3.0346679999999999</v>
      </c>
      <c r="T2282">
        <v>-0.27510240000000002</v>
      </c>
      <c r="U2282">
        <v>-0.7635345</v>
      </c>
      <c r="V2282">
        <v>-0.23963280000000001</v>
      </c>
      <c r="W2282">
        <v>0.1142394</v>
      </c>
      <c r="X2282">
        <v>0.96411899999999995</v>
      </c>
      <c r="Y2282">
        <v>-0.44397579999999998</v>
      </c>
      <c r="Z2282">
        <v>7.2786110000000001E-2</v>
      </c>
      <c r="AA2282">
        <v>0.89307769999999997</v>
      </c>
      <c r="AB2282">
        <v>24</v>
      </c>
      <c r="AC2282">
        <v>0.72690000000005695</v>
      </c>
      <c r="AD2282">
        <v>-8.3355999999999694E-2</v>
      </c>
      <c r="AE2282">
        <v>-7.9000000000007703E-2</v>
      </c>
      <c r="AF2282">
        <v>-0.40900207869886301</v>
      </c>
      <c r="AG2282">
        <v>-8.3355999999999694E-2</v>
      </c>
      <c r="AH2282">
        <v>0.59473670773034903</v>
      </c>
      <c r="AI2282">
        <v>96.587541522317196</v>
      </c>
      <c r="AJ2282">
        <v>124.516411123373</v>
      </c>
      <c r="AK2282">
        <v>0.72659663819613496</v>
      </c>
      <c r="AL2282">
        <v>83.440243125031998</v>
      </c>
      <c r="AM2282">
        <v>103.958082175393</v>
      </c>
      <c r="AN2282">
        <v>0.999999982754599</v>
      </c>
    </row>
    <row r="2283" spans="1:40" x14ac:dyDescent="0.25">
      <c r="A2283" t="str">
        <f>"20190312164308619"</f>
        <v>20190312164308619</v>
      </c>
      <c r="B2283" t="str">
        <f>"1552380188617019"</f>
        <v>1552380188617019</v>
      </c>
      <c r="C2283" t="s">
        <v>40</v>
      </c>
      <c r="D2283">
        <v>4.52759</v>
      </c>
      <c r="E2283">
        <v>0.41600989999999999</v>
      </c>
      <c r="F2283" t="s">
        <v>41</v>
      </c>
      <c r="G2283">
        <v>-484.79700000000003</v>
      </c>
      <c r="H2283">
        <v>1.032133</v>
      </c>
      <c r="I2283">
        <v>217.74959999999999</v>
      </c>
      <c r="J2283">
        <v>-485.3571</v>
      </c>
      <c r="K2283">
        <v>1.1175619999999999</v>
      </c>
      <c r="L2283">
        <v>217.6876</v>
      </c>
      <c r="M2283">
        <v>0.77201309999999901</v>
      </c>
      <c r="N2283">
        <v>0</v>
      </c>
      <c r="O2283">
        <v>-0.63543300000000003</v>
      </c>
      <c r="P2283">
        <v>0.89590409999999998</v>
      </c>
      <c r="Q2283">
        <v>0.1055672</v>
      </c>
      <c r="R2283">
        <v>-0.43152269999999998</v>
      </c>
      <c r="S2283">
        <v>3.0420530000000001</v>
      </c>
      <c r="T2283">
        <v>-0.2770301</v>
      </c>
      <c r="U2283">
        <v>-0.73466489999999995</v>
      </c>
      <c r="V2283">
        <v>-0.2382232</v>
      </c>
      <c r="W2283">
        <v>0.1157907</v>
      </c>
      <c r="X2283">
        <v>0.96428329999999995</v>
      </c>
      <c r="Y2283">
        <v>-0.43277840000000001</v>
      </c>
      <c r="Z2283">
        <v>7.1647569999999994E-2</v>
      </c>
      <c r="AA2283">
        <v>0.89864869999999997</v>
      </c>
      <c r="AB2283">
        <v>24</v>
      </c>
      <c r="AC2283">
        <v>0.56010000000003302</v>
      </c>
      <c r="AD2283">
        <v>-8.5429000000000199E-2</v>
      </c>
      <c r="AE2283">
        <v>6.1999999999983402E-2</v>
      </c>
      <c r="AF2283">
        <v>-0.39474335046470299</v>
      </c>
      <c r="AG2283">
        <v>-8.5429000000000199E-2</v>
      </c>
      <c r="AH2283">
        <v>0.38422084803130402</v>
      </c>
      <c r="AI2283">
        <v>98.815357102920601</v>
      </c>
      <c r="AJ2283">
        <v>135.77392300373501</v>
      </c>
      <c r="AK2283">
        <v>0.55744603939663395</v>
      </c>
      <c r="AL2283">
        <v>83.350766703068402</v>
      </c>
      <c r="AM2283">
        <v>103.876885934672</v>
      </c>
      <c r="AN2283">
        <v>1.0000000309418</v>
      </c>
    </row>
    <row r="2284" spans="1:40" x14ac:dyDescent="0.25">
      <c r="A2284" t="str">
        <f>"20190312164308639"</f>
        <v>20190312164308639</v>
      </c>
      <c r="B2284" t="str">
        <f>"1552380188636539"</f>
        <v>1552380188636539</v>
      </c>
      <c r="C2284" t="s">
        <v>40</v>
      </c>
      <c r="D2284">
        <v>4.5320210000000003</v>
      </c>
      <c r="E2284">
        <v>0.41479100000000002</v>
      </c>
      <c r="F2284" t="s">
        <v>45</v>
      </c>
      <c r="G2284">
        <v>-473.30869999999999</v>
      </c>
      <c r="H2284" s="1">
        <v>4.509172E-6</v>
      </c>
      <c r="I2284">
        <v>215.02780000000001</v>
      </c>
      <c r="J2284">
        <v>-485.18119999999999</v>
      </c>
      <c r="K2284">
        <v>1.1176010000000001</v>
      </c>
      <c r="L2284">
        <v>217.55760000000001</v>
      </c>
      <c r="M2284">
        <v>0.77850249999999999</v>
      </c>
      <c r="N2284">
        <v>0</v>
      </c>
      <c r="O2284">
        <v>-0.6274653</v>
      </c>
      <c r="P2284">
        <v>0.89994789999999902</v>
      </c>
      <c r="Q2284">
        <v>0.10607569999999999</v>
      </c>
      <c r="R2284">
        <v>-0.42289739999999998</v>
      </c>
      <c r="S2284">
        <v>3.0569760000000001</v>
      </c>
      <c r="T2284">
        <v>-0.28355239999999998</v>
      </c>
      <c r="U2284">
        <v>-0.67485050000000002</v>
      </c>
      <c r="V2284">
        <v>-0.2375575</v>
      </c>
      <c r="W2284">
        <v>0.116292699999999</v>
      </c>
      <c r="X2284">
        <v>0.96438710000000005</v>
      </c>
      <c r="Y2284">
        <v>-0.44102710000000001</v>
      </c>
      <c r="Z2284">
        <v>7.3057499999999997E-2</v>
      </c>
      <c r="AA2284">
        <v>0.89451530000000001</v>
      </c>
      <c r="AB2284">
        <v>24</v>
      </c>
      <c r="AC2284">
        <v>11.8725</v>
      </c>
      <c r="AD2284">
        <v>-1.1175964908280001</v>
      </c>
      <c r="AE2284">
        <v>-2.5297999999999901</v>
      </c>
      <c r="AF2284">
        <v>-5.4346668401471696</v>
      </c>
      <c r="AG2284">
        <v>-1.1175964908280001</v>
      </c>
      <c r="AH2284">
        <v>10.740293409990899</v>
      </c>
      <c r="AI2284">
        <v>95.304517492354506</v>
      </c>
      <c r="AJ2284">
        <v>116.83974322799899</v>
      </c>
      <c r="AK2284">
        <v>12.088776948574999</v>
      </c>
      <c r="AL2284">
        <v>83.321808506193094</v>
      </c>
      <c r="AM2284">
        <v>103.838168285366</v>
      </c>
      <c r="AN2284">
        <v>1.00000001826297</v>
      </c>
    </row>
    <row r="2285" spans="1:40" x14ac:dyDescent="0.25">
      <c r="A2285" t="str">
        <f>"20190312164308662"</f>
        <v>20190312164308662</v>
      </c>
      <c r="B2285" t="str">
        <f>"1552380188657037"</f>
        <v>1552380188657037</v>
      </c>
      <c r="C2285" t="s">
        <v>40</v>
      </c>
      <c r="D2285">
        <v>4.5182060000000002</v>
      </c>
      <c r="E2285">
        <v>0.39877659999999998</v>
      </c>
      <c r="F2285" t="s">
        <v>45</v>
      </c>
      <c r="G2285">
        <v>-473.17079999999999</v>
      </c>
      <c r="H2285" s="1">
        <v>4.5720940000000001E-6</v>
      </c>
      <c r="I2285">
        <v>215.06829999999999</v>
      </c>
      <c r="J2285">
        <v>-484.98540000000003</v>
      </c>
      <c r="K2285">
        <v>1.1176710000000001</v>
      </c>
      <c r="L2285">
        <v>217.41640000000001</v>
      </c>
      <c r="M2285">
        <v>0.78564999999999996</v>
      </c>
      <c r="N2285">
        <v>0</v>
      </c>
      <c r="O2285">
        <v>-0.6184925</v>
      </c>
      <c r="P2285">
        <v>0.90433560000000002</v>
      </c>
      <c r="Q2285">
        <v>0.107325</v>
      </c>
      <c r="R2285">
        <v>-0.41310859999999999</v>
      </c>
      <c r="S2285">
        <v>3.068298</v>
      </c>
      <c r="T2285">
        <v>-0.28551320000000002</v>
      </c>
      <c r="U2285">
        <v>-0.63594059999999997</v>
      </c>
      <c r="V2285">
        <v>-0.23690349999999999</v>
      </c>
      <c r="W2285">
        <v>0.1175255</v>
      </c>
      <c r="X2285">
        <v>0.96439850000000005</v>
      </c>
      <c r="Y2285">
        <v>-0.44226739999999998</v>
      </c>
      <c r="Z2285">
        <v>7.2881299999999996E-2</v>
      </c>
      <c r="AA2285">
        <v>0.89391710000000002</v>
      </c>
      <c r="AB2285">
        <v>24</v>
      </c>
      <c r="AC2285">
        <v>11.8146</v>
      </c>
      <c r="AD2285">
        <v>-1.11766642790599</v>
      </c>
      <c r="AE2285">
        <v>-2.3481000000000098</v>
      </c>
      <c r="AF2285">
        <v>-5.4164296785588704</v>
      </c>
      <c r="AG2285">
        <v>-1.11766642790599</v>
      </c>
      <c r="AH2285">
        <v>10.643973723669999</v>
      </c>
      <c r="AI2285">
        <v>95.346424664610794</v>
      </c>
      <c r="AJ2285">
        <v>116.97030942668501</v>
      </c>
      <c r="AK2285">
        <v>11.9950433653663</v>
      </c>
      <c r="AL2285">
        <v>83.250686357978196</v>
      </c>
      <c r="AM2285">
        <v>103.80137322449301</v>
      </c>
      <c r="AN2285">
        <v>0.99999998913237498</v>
      </c>
    </row>
    <row r="2286" spans="1:40" x14ac:dyDescent="0.25">
      <c r="A2286" t="str">
        <f>"20190312164308684"</f>
        <v>20190312164308684</v>
      </c>
      <c r="B2286" t="str">
        <f>"1552380188676557"</f>
        <v>1552380188676557</v>
      </c>
      <c r="C2286" t="s">
        <v>40</v>
      </c>
      <c r="D2286">
        <v>4.5670479999999998</v>
      </c>
      <c r="E2286">
        <v>0.39948440000000002</v>
      </c>
      <c r="F2286" t="s">
        <v>41</v>
      </c>
      <c r="G2286">
        <v>-483.9554</v>
      </c>
      <c r="H2286">
        <v>1.0329349999999999</v>
      </c>
      <c r="I2286">
        <v>217.256</v>
      </c>
      <c r="J2286">
        <v>-484.79640000000001</v>
      </c>
      <c r="K2286">
        <v>1.1177619999999999</v>
      </c>
      <c r="L2286">
        <v>217.28370000000001</v>
      </c>
      <c r="M2286">
        <v>0.79249130000000001</v>
      </c>
      <c r="N2286">
        <v>0</v>
      </c>
      <c r="O2286">
        <v>-0.6097013</v>
      </c>
      <c r="P2286">
        <v>0.90823750000000003</v>
      </c>
      <c r="Q2286">
        <v>0.1095271</v>
      </c>
      <c r="R2286">
        <v>-0.40386689999999997</v>
      </c>
      <c r="S2286">
        <v>3.1256710000000001</v>
      </c>
      <c r="T2286">
        <v>-0.25705719999999999</v>
      </c>
      <c r="U2286">
        <v>-0.48635859999999898</v>
      </c>
      <c r="V2286">
        <v>-0.2358912</v>
      </c>
      <c r="W2286">
        <v>0.1197124</v>
      </c>
      <c r="X2286">
        <v>0.96437759999999995</v>
      </c>
      <c r="Y2286">
        <v>-0.47738760000000002</v>
      </c>
      <c r="Z2286">
        <v>6.5799769999999994E-2</v>
      </c>
      <c r="AA2286">
        <v>0.8762257</v>
      </c>
      <c r="AB2286">
        <v>24</v>
      </c>
      <c r="AC2286">
        <v>0.84100000000000796</v>
      </c>
      <c r="AD2286">
        <v>-8.4827000000000194E-2</v>
      </c>
      <c r="AE2286">
        <v>-2.7700000000038399E-2</v>
      </c>
      <c r="AF2286">
        <v>-0.485922992823411</v>
      </c>
      <c r="AG2286">
        <v>-8.4827000000000194E-2</v>
      </c>
      <c r="AH2286">
        <v>0.67657397138417397</v>
      </c>
      <c r="AI2286">
        <v>95.814629567195993</v>
      </c>
      <c r="AJ2286">
        <v>125.686330228055</v>
      </c>
      <c r="AK2286">
        <v>0.83729870036804299</v>
      </c>
      <c r="AL2286">
        <v>83.124494895912903</v>
      </c>
      <c r="AM2286">
        <v>103.744926993137</v>
      </c>
      <c r="AN2286">
        <v>0.99999993616647798</v>
      </c>
    </row>
    <row r="2287" spans="1:40" x14ac:dyDescent="0.25">
      <c r="A2287" t="str">
        <f>"20190312164308706"</f>
        <v>20190312164308706</v>
      </c>
      <c r="B2287" t="str">
        <f>"1552380188697050"</f>
        <v>1552380188697050</v>
      </c>
      <c r="C2287" t="s">
        <v>40</v>
      </c>
      <c r="D2287">
        <v>4.543355</v>
      </c>
      <c r="E2287">
        <v>0.40093420000000002</v>
      </c>
      <c r="F2287" t="s">
        <v>41</v>
      </c>
      <c r="G2287">
        <v>-483.78730000000002</v>
      </c>
      <c r="H2287">
        <v>1.034969</v>
      </c>
      <c r="I2287">
        <v>217.1354</v>
      </c>
      <c r="J2287">
        <v>-484.60570000000001</v>
      </c>
      <c r="K2287">
        <v>1.1178520000000001</v>
      </c>
      <c r="L2287">
        <v>217.15299999999999</v>
      </c>
      <c r="M2287">
        <v>0.79932910000000001</v>
      </c>
      <c r="N2287">
        <v>0</v>
      </c>
      <c r="O2287">
        <v>-0.60070869999999998</v>
      </c>
      <c r="P2287">
        <v>0.91205029999999998</v>
      </c>
      <c r="Q2287">
        <v>0.1119202</v>
      </c>
      <c r="R2287">
        <v>-0.39451049999999999</v>
      </c>
      <c r="S2287">
        <v>3.1294249999999999</v>
      </c>
      <c r="T2287">
        <v>-0.25677299999999997</v>
      </c>
      <c r="U2287">
        <v>-0.46003719999999998</v>
      </c>
      <c r="V2287">
        <v>-0.2347979</v>
      </c>
      <c r="W2287">
        <v>0.1220942</v>
      </c>
      <c r="X2287">
        <v>0.96434589999999998</v>
      </c>
      <c r="Y2287">
        <v>-0.4748753</v>
      </c>
      <c r="Z2287">
        <v>6.5046510000000002E-2</v>
      </c>
      <c r="AA2287">
        <v>0.87764599999999904</v>
      </c>
      <c r="AB2287">
        <v>24</v>
      </c>
      <c r="AC2287">
        <v>0.81839999999999602</v>
      </c>
      <c r="AD2287">
        <v>-8.2882999999999998E-2</v>
      </c>
      <c r="AE2287">
        <v>-1.75999999999874E-2</v>
      </c>
      <c r="AF2287">
        <v>-0.472758227513774</v>
      </c>
      <c r="AG2287">
        <v>-8.2882999999999998E-2</v>
      </c>
      <c r="AH2287">
        <v>0.65807083204452199</v>
      </c>
      <c r="AI2287">
        <v>95.840416694740497</v>
      </c>
      <c r="AJ2287">
        <v>125.69347467835399</v>
      </c>
      <c r="AK2287">
        <v>0.81451037645860302</v>
      </c>
      <c r="AL2287">
        <v>82.987019953666106</v>
      </c>
      <c r="AM2287">
        <v>103.684055502935</v>
      </c>
      <c r="AN2287">
        <v>1.00000003118242</v>
      </c>
    </row>
    <row r="2288" spans="1:40" x14ac:dyDescent="0.25">
      <c r="A2288" t="str">
        <f>"20190312164308729"</f>
        <v>20190312164308729</v>
      </c>
      <c r="B2288" t="str">
        <f>"1552380188716571"</f>
        <v>1552380188716571</v>
      </c>
      <c r="C2288" t="s">
        <v>40</v>
      </c>
      <c r="D2288">
        <v>4.5668829999999998</v>
      </c>
      <c r="E2288">
        <v>0.40177780000000002</v>
      </c>
      <c r="F2288" t="s">
        <v>41</v>
      </c>
      <c r="G2288">
        <v>-483.6191</v>
      </c>
      <c r="H2288">
        <v>1.0164930000000001</v>
      </c>
      <c r="I2288">
        <v>217.0154</v>
      </c>
      <c r="J2288">
        <v>-484.40890000000002</v>
      </c>
      <c r="K2288">
        <v>1.117937</v>
      </c>
      <c r="L2288">
        <v>217.02170000000001</v>
      </c>
      <c r="M2288">
        <v>0.80630760000000001</v>
      </c>
      <c r="N2288">
        <v>0</v>
      </c>
      <c r="O2288">
        <v>-0.59130839999999996</v>
      </c>
      <c r="P2288">
        <v>0.91589319999999996</v>
      </c>
      <c r="Q2288">
        <v>0.1124653</v>
      </c>
      <c r="R2288">
        <v>-0.38534610000000002</v>
      </c>
      <c r="S2288">
        <v>3.1397089999999999</v>
      </c>
      <c r="T2288">
        <v>-0.32249640000000002</v>
      </c>
      <c r="U2288">
        <v>-0.43725589999999998</v>
      </c>
      <c r="V2288">
        <v>-0.23316770000000001</v>
      </c>
      <c r="W2288">
        <v>0.12264319999999999</v>
      </c>
      <c r="X2288">
        <v>0.96467170000000002</v>
      </c>
      <c r="Y2288">
        <v>-0.46944999999999998</v>
      </c>
      <c r="Z2288">
        <v>8.0393469999999995E-2</v>
      </c>
      <c r="AA2288">
        <v>0.8792915</v>
      </c>
      <c r="AB2288">
        <v>24</v>
      </c>
      <c r="AC2288">
        <v>0.78980000000001305</v>
      </c>
      <c r="AD2288">
        <v>-0.10144400000000001</v>
      </c>
      <c r="AE2288">
        <v>-6.3000000000101803E-3</v>
      </c>
      <c r="AF2288">
        <v>-0.45448954917423501</v>
      </c>
      <c r="AG2288">
        <v>-0.10144400000000001</v>
      </c>
      <c r="AH2288">
        <v>0.63022180506132597</v>
      </c>
      <c r="AI2288">
        <v>97.438312390720995</v>
      </c>
      <c r="AJ2288">
        <v>125.797562749451</v>
      </c>
      <c r="AK2288">
        <v>0.78360140315045101</v>
      </c>
      <c r="AL2288">
        <v>82.955326233597603</v>
      </c>
      <c r="AM2288">
        <v>103.588163231623</v>
      </c>
      <c r="AN2288">
        <v>1.00000000980521</v>
      </c>
    </row>
    <row r="2289" spans="1:40" x14ac:dyDescent="0.25">
      <c r="A2289" t="str">
        <f>"20190312164308753"</f>
        <v>20190312164308753</v>
      </c>
      <c r="B2289" t="str">
        <f>"1552380188746828"</f>
        <v>1552380188746828</v>
      </c>
      <c r="C2289" t="s">
        <v>40</v>
      </c>
      <c r="D2289">
        <v>4.613874</v>
      </c>
      <c r="E2289">
        <v>0.40255400000000002</v>
      </c>
      <c r="F2289" t="s">
        <v>41</v>
      </c>
      <c r="G2289">
        <v>-483.45010000000002</v>
      </c>
      <c r="H2289">
        <v>1.021528</v>
      </c>
      <c r="I2289">
        <v>216.89609999999999</v>
      </c>
      <c r="J2289">
        <v>-484.1918</v>
      </c>
      <c r="K2289">
        <v>1.1180319999999999</v>
      </c>
      <c r="L2289">
        <v>216.88069999999999</v>
      </c>
      <c r="M2289">
        <v>0.81393369999999998</v>
      </c>
      <c r="N2289">
        <v>0</v>
      </c>
      <c r="O2289">
        <v>-0.58076569999999905</v>
      </c>
      <c r="P2289">
        <v>0.92034439999999995</v>
      </c>
      <c r="Q2289">
        <v>0.1126352</v>
      </c>
      <c r="R2289">
        <v>-0.37453890000000001</v>
      </c>
      <c r="S2289">
        <v>3.1415410000000001</v>
      </c>
      <c r="T2289">
        <v>-0.31579770000000001</v>
      </c>
      <c r="U2289">
        <v>-0.41053770000000001</v>
      </c>
      <c r="V2289">
        <v>-0.2319852</v>
      </c>
      <c r="W2289">
        <v>0.1228051</v>
      </c>
      <c r="X2289">
        <v>0.96493609999999996</v>
      </c>
      <c r="Y2289">
        <v>-0.46565699999999999</v>
      </c>
      <c r="Z2289">
        <v>7.7734269999999994E-2</v>
      </c>
      <c r="AA2289">
        <v>0.88154460000000001</v>
      </c>
      <c r="AB2289">
        <v>24</v>
      </c>
      <c r="AC2289">
        <v>0.74169999999998004</v>
      </c>
      <c r="AD2289">
        <v>-9.6503999999999895E-2</v>
      </c>
      <c r="AE2289">
        <v>1.53999999999996E-2</v>
      </c>
      <c r="AF2289">
        <v>-0.43596071762745803</v>
      </c>
      <c r="AG2289">
        <v>-9.6503999999999895E-2</v>
      </c>
      <c r="AH2289">
        <v>0.584919304165326</v>
      </c>
      <c r="AI2289">
        <v>97.535626302192696</v>
      </c>
      <c r="AJ2289">
        <v>126.698444926649</v>
      </c>
      <c r="AK2289">
        <v>0.73587047889930801</v>
      </c>
      <c r="AL2289">
        <v>82.945978978048501</v>
      </c>
      <c r="AM2289">
        <v>103.51821881775</v>
      </c>
      <c r="AN2289">
        <v>0.999999951344128</v>
      </c>
    </row>
    <row r="2290" spans="1:40" x14ac:dyDescent="0.25">
      <c r="A2290" t="str">
        <f>"20190312164308777"</f>
        <v>20190312164308777</v>
      </c>
      <c r="B2290" t="str">
        <f>"1552380188766347"</f>
        <v>1552380188766347</v>
      </c>
      <c r="C2290" t="s">
        <v>40</v>
      </c>
      <c r="D2290">
        <v>4.540197</v>
      </c>
      <c r="E2290">
        <v>0.40425410000000001</v>
      </c>
      <c r="F2290" t="s">
        <v>41</v>
      </c>
      <c r="G2290">
        <v>-483.2833</v>
      </c>
      <c r="H2290">
        <v>1.025855</v>
      </c>
      <c r="I2290">
        <v>216.77109999999999</v>
      </c>
      <c r="J2290">
        <v>-483.9907</v>
      </c>
      <c r="K2290">
        <v>1.118128</v>
      </c>
      <c r="L2290">
        <v>216.75399999999999</v>
      </c>
      <c r="M2290">
        <v>0.82092600000000004</v>
      </c>
      <c r="N2290">
        <v>0</v>
      </c>
      <c r="O2290">
        <v>-0.57083890000000004</v>
      </c>
      <c r="P2290">
        <v>0.92423230000000001</v>
      </c>
      <c r="Q2290">
        <v>0.11270760000000001</v>
      </c>
      <c r="R2290">
        <v>-0.36481799999999998</v>
      </c>
      <c r="S2290">
        <v>3.144409</v>
      </c>
      <c r="T2290">
        <v>-0.31899139999999998</v>
      </c>
      <c r="U2290">
        <v>-0.37922670000000003</v>
      </c>
      <c r="V2290">
        <v>-0.23045840000000001</v>
      </c>
      <c r="W2290">
        <v>0.1228808</v>
      </c>
      <c r="X2290">
        <v>0.96529229999999999</v>
      </c>
      <c r="Y2290">
        <v>-0.46362700000000001</v>
      </c>
      <c r="Z2290">
        <v>7.7620330000000001E-2</v>
      </c>
      <c r="AA2290">
        <v>0.88262399999999996</v>
      </c>
      <c r="AB2290">
        <v>24</v>
      </c>
      <c r="AC2290">
        <v>0.70740000000000602</v>
      </c>
      <c r="AD2290">
        <v>-9.2272999999999994E-2</v>
      </c>
      <c r="AE2290">
        <v>1.7099999999970798E-2</v>
      </c>
      <c r="AF2290">
        <v>-0.41090864323510401</v>
      </c>
      <c r="AG2290">
        <v>-9.2272999999999994E-2</v>
      </c>
      <c r="AH2290">
        <v>0.56147782445005801</v>
      </c>
      <c r="AI2290">
        <v>97.554424306542202</v>
      </c>
      <c r="AJ2290">
        <v>126.197939785741</v>
      </c>
      <c r="AK2290">
        <v>0.70186720037588701</v>
      </c>
      <c r="AL2290">
        <v>82.941608894729498</v>
      </c>
      <c r="AM2290">
        <v>103.42770654628301</v>
      </c>
      <c r="AN2290">
        <v>0.99999999478924495</v>
      </c>
    </row>
    <row r="2291" spans="1:40" x14ac:dyDescent="0.25">
      <c r="A2291" t="str">
        <f>"20190312164308820"</f>
        <v>20190312164308820</v>
      </c>
      <c r="B2291" t="str">
        <f>"1552380188817098"</f>
        <v>1552380188817098</v>
      </c>
      <c r="C2291" t="s">
        <v>40</v>
      </c>
      <c r="D2291">
        <v>4.5469080000000002</v>
      </c>
      <c r="E2291">
        <v>0.4055648</v>
      </c>
      <c r="F2291" t="s">
        <v>41</v>
      </c>
      <c r="G2291">
        <v>-483.08339999999998</v>
      </c>
      <c r="H2291">
        <v>1.022648</v>
      </c>
      <c r="I2291">
        <v>216.65049999999999</v>
      </c>
      <c r="J2291">
        <v>-483.61160000000001</v>
      </c>
      <c r="K2291">
        <v>1.1183149999999999</v>
      </c>
      <c r="L2291">
        <v>216.5248</v>
      </c>
      <c r="M2291">
        <v>0.83392849999999996</v>
      </c>
      <c r="N2291">
        <v>0</v>
      </c>
      <c r="O2291">
        <v>-0.55166859999999995</v>
      </c>
      <c r="P2291">
        <v>0.9309984</v>
      </c>
      <c r="Q2291">
        <v>0.1119536</v>
      </c>
      <c r="R2291">
        <v>-0.34743170000000001</v>
      </c>
      <c r="S2291">
        <v>3.1447449999999999</v>
      </c>
      <c r="T2291">
        <v>-0.33093440000000002</v>
      </c>
      <c r="U2291">
        <v>-0.35865780000000003</v>
      </c>
      <c r="V2291">
        <v>-0.22627069999999999</v>
      </c>
      <c r="W2291">
        <v>0.1221662</v>
      </c>
      <c r="X2291">
        <v>0.96637309999999998</v>
      </c>
      <c r="Y2291">
        <v>-0.44857200000000003</v>
      </c>
      <c r="Z2291">
        <v>7.8119750000000002E-2</v>
      </c>
      <c r="AA2291">
        <v>0.89032610000000001</v>
      </c>
      <c r="AB2291">
        <v>24</v>
      </c>
      <c r="AC2291">
        <v>0.52820000000002598</v>
      </c>
      <c r="AD2291">
        <v>-9.5666999999999905E-2</v>
      </c>
      <c r="AE2291">
        <v>0.12569999999999401</v>
      </c>
      <c r="AF2291">
        <v>-0.38432894445774402</v>
      </c>
      <c r="AG2291">
        <v>-9.5666999999999905E-2</v>
      </c>
      <c r="AH2291">
        <v>0.36000151113927897</v>
      </c>
      <c r="AI2291">
        <v>100.296542138912</v>
      </c>
      <c r="AJ2291">
        <v>136.871968621554</v>
      </c>
      <c r="AK2291">
        <v>0.53522144992476595</v>
      </c>
      <c r="AL2291">
        <v>82.982863247436498</v>
      </c>
      <c r="AM2291">
        <v>103.178077237922</v>
      </c>
      <c r="AN2291">
        <v>0.99999998925226996</v>
      </c>
    </row>
    <row r="2292" spans="1:40" x14ac:dyDescent="0.25">
      <c r="A2292" t="str">
        <f>"20190312164308843"</f>
        <v>20190312164308843</v>
      </c>
      <c r="B2292" t="str">
        <f>"1552380188836618"</f>
        <v>1552380188836618</v>
      </c>
      <c r="C2292" t="s">
        <v>40</v>
      </c>
      <c r="D2292">
        <v>4.5551029999999999</v>
      </c>
      <c r="E2292">
        <v>0.41568899999999998</v>
      </c>
      <c r="F2292" t="s">
        <v>41</v>
      </c>
      <c r="G2292">
        <v>-482.66550000000001</v>
      </c>
      <c r="H2292">
        <v>1.0170870000000001</v>
      </c>
      <c r="I2292">
        <v>216.43180000000001</v>
      </c>
      <c r="J2292">
        <v>-483.40449999999998</v>
      </c>
      <c r="K2292">
        <v>1.1183959999999999</v>
      </c>
      <c r="L2292">
        <v>216.4051</v>
      </c>
      <c r="M2292">
        <v>0.84090429999999905</v>
      </c>
      <c r="N2292">
        <v>0</v>
      </c>
      <c r="O2292">
        <v>-0.54097530000000005</v>
      </c>
      <c r="P2292">
        <v>0.93462160000000005</v>
      </c>
      <c r="Q2292">
        <v>0.11094909999999999</v>
      </c>
      <c r="R2292">
        <v>-0.33789469999999999</v>
      </c>
      <c r="S2292">
        <v>3.147491</v>
      </c>
      <c r="T2292">
        <v>-0.33671649999999997</v>
      </c>
      <c r="U2292">
        <v>-0.309143099999999</v>
      </c>
      <c r="V2292">
        <v>-0.22387950000000001</v>
      </c>
      <c r="W2292">
        <v>0.1211936</v>
      </c>
      <c r="X2292">
        <v>0.96705229999999998</v>
      </c>
      <c r="Y2292">
        <v>-0.45096930000000002</v>
      </c>
      <c r="Z2292">
        <v>7.8709180000000004E-2</v>
      </c>
      <c r="AA2292">
        <v>0.88906219999999903</v>
      </c>
      <c r="AB2292">
        <v>24</v>
      </c>
      <c r="AC2292">
        <v>0.73899999999997501</v>
      </c>
      <c r="AD2292">
        <v>-0.101308999999999</v>
      </c>
      <c r="AE2292">
        <v>2.6700000000005199E-2</v>
      </c>
      <c r="AF2292">
        <v>-0.41450078861867901</v>
      </c>
      <c r="AG2292">
        <v>-0.101308999999999</v>
      </c>
      <c r="AH2292">
        <v>0.59586889144186705</v>
      </c>
      <c r="AI2292">
        <v>97.945516754408402</v>
      </c>
      <c r="AJ2292">
        <v>124.82340695529101</v>
      </c>
      <c r="AK2292">
        <v>0.73289436690062404</v>
      </c>
      <c r="AL2292">
        <v>83.039006622952598</v>
      </c>
      <c r="AM2292">
        <v>103.03475098828901</v>
      </c>
      <c r="AN2292">
        <v>1.0000000350682401</v>
      </c>
    </row>
    <row r="2293" spans="1:40" x14ac:dyDescent="0.25">
      <c r="A2293" t="str">
        <f>"20190312164308863"</f>
        <v>20190312164308863</v>
      </c>
      <c r="B2293" t="str">
        <f>"1552380188857115"</f>
        <v>1552380188857115</v>
      </c>
      <c r="C2293" t="s">
        <v>40</v>
      </c>
      <c r="D2293">
        <v>4.5442669999999996</v>
      </c>
      <c r="E2293">
        <v>0.41661989999999999</v>
      </c>
      <c r="F2293" t="s">
        <v>41</v>
      </c>
      <c r="G2293">
        <v>-482.38889999999998</v>
      </c>
      <c r="H2293">
        <v>0.99372110000000002</v>
      </c>
      <c r="I2293">
        <v>216.2912</v>
      </c>
      <c r="J2293">
        <v>-483.20769999999999</v>
      </c>
      <c r="K2293">
        <v>1.1184689999999999</v>
      </c>
      <c r="L2293">
        <v>216.29490000000001</v>
      </c>
      <c r="M2293">
        <v>0.84744390000000003</v>
      </c>
      <c r="N2293">
        <v>0</v>
      </c>
      <c r="O2293">
        <v>-0.53067169999999997</v>
      </c>
      <c r="P2293">
        <v>0.93765330000000002</v>
      </c>
      <c r="Q2293">
        <v>0.1101569</v>
      </c>
      <c r="R2293">
        <v>-0.32965450000000002</v>
      </c>
      <c r="S2293">
        <v>3.128479</v>
      </c>
      <c r="T2293">
        <v>-0.38405489999999998</v>
      </c>
      <c r="U2293">
        <v>-0.35116579999999997</v>
      </c>
      <c r="V2293">
        <v>-0.22064020000000001</v>
      </c>
      <c r="W2293">
        <v>0.12045889999999999</v>
      </c>
      <c r="X2293">
        <v>0.96788819999999998</v>
      </c>
      <c r="Y2293">
        <v>-0.42621160000000002</v>
      </c>
      <c r="Z2293">
        <v>8.7544700000000003E-2</v>
      </c>
      <c r="AA2293">
        <v>0.90037749999999905</v>
      </c>
      <c r="AB2293">
        <v>24</v>
      </c>
      <c r="AC2293">
        <v>0.81880000000000996</v>
      </c>
      <c r="AD2293">
        <v>-0.12474789999999999</v>
      </c>
      <c r="AE2293">
        <v>-3.70000000000914E-3</v>
      </c>
      <c r="AF2293">
        <v>-0.42164040429070998</v>
      </c>
      <c r="AG2293">
        <v>-0.12474789999999999</v>
      </c>
      <c r="AH2293">
        <v>0.68014225218101798</v>
      </c>
      <c r="AI2293">
        <v>98.860485041321795</v>
      </c>
      <c r="AJ2293">
        <v>121.796004581118</v>
      </c>
      <c r="AK2293">
        <v>0.80989885312099996</v>
      </c>
      <c r="AL2293">
        <v>83.081412309558004</v>
      </c>
      <c r="AM2293">
        <v>102.841727090673</v>
      </c>
      <c r="AN2293">
        <v>1.00000000607224</v>
      </c>
    </row>
    <row r="2294" spans="1:40" x14ac:dyDescent="0.25">
      <c r="A2294" t="str">
        <f>"20190312164308886"</f>
        <v>20190312164308886</v>
      </c>
      <c r="B2294" t="str">
        <f>"1552380188876634"</f>
        <v>1552380188876634</v>
      </c>
      <c r="C2294" t="s">
        <v>40</v>
      </c>
      <c r="D2294">
        <v>4.5643539999999998</v>
      </c>
      <c r="E2294">
        <v>0.41747410000000001</v>
      </c>
      <c r="F2294" t="s">
        <v>41</v>
      </c>
      <c r="G2294">
        <v>-482.20460000000003</v>
      </c>
      <c r="H2294">
        <v>0.99431309999999995</v>
      </c>
      <c r="I2294">
        <v>216.18860000000001</v>
      </c>
      <c r="J2294">
        <v>-483.01170000000002</v>
      </c>
      <c r="K2294">
        <v>1.1185350000000001</v>
      </c>
      <c r="L2294">
        <v>216.1884</v>
      </c>
      <c r="M2294">
        <v>0.85385999999999995</v>
      </c>
      <c r="N2294">
        <v>0</v>
      </c>
      <c r="O2294">
        <v>-0.52028469999999905</v>
      </c>
      <c r="P2294">
        <v>0.94052440000000004</v>
      </c>
      <c r="Q2294">
        <v>0.1101395</v>
      </c>
      <c r="R2294">
        <v>-0.32137779999999999</v>
      </c>
      <c r="S2294">
        <v>3.128571</v>
      </c>
      <c r="T2294">
        <v>-0.38712000000000002</v>
      </c>
      <c r="U2294">
        <v>-0.33096310000000001</v>
      </c>
      <c r="V2294">
        <v>-0.217366</v>
      </c>
      <c r="W2294">
        <v>0.1205053</v>
      </c>
      <c r="X2294">
        <v>0.96862300000000001</v>
      </c>
      <c r="Y2294">
        <v>-0.4209253</v>
      </c>
      <c r="Z2294">
        <v>8.6880520000000003E-2</v>
      </c>
      <c r="AA2294">
        <v>0.90292510000000004</v>
      </c>
      <c r="AB2294">
        <v>24</v>
      </c>
      <c r="AC2294">
        <v>0.80709999999999105</v>
      </c>
      <c r="AD2294">
        <v>-0.1242219</v>
      </c>
      <c r="AE2294">
        <v>2.0000000000663901E-4</v>
      </c>
      <c r="AF2294">
        <v>-0.41041795120810298</v>
      </c>
      <c r="AG2294">
        <v>-0.1242219</v>
      </c>
      <c r="AH2294">
        <v>0.67317782379148206</v>
      </c>
      <c r="AI2294">
        <v>98.953766169864906</v>
      </c>
      <c r="AJ2294">
        <v>121.369509961148</v>
      </c>
      <c r="AK2294">
        <v>0.79814933286829504</v>
      </c>
      <c r="AL2294">
        <v>83.078734309510196</v>
      </c>
      <c r="AM2294">
        <v>102.64805246532001</v>
      </c>
      <c r="AN2294">
        <v>1.0000000107065401</v>
      </c>
    </row>
    <row r="2295" spans="1:40" x14ac:dyDescent="0.25">
      <c r="A2295" t="str">
        <f>"20190312164308907"</f>
        <v>20190312164308907</v>
      </c>
      <c r="B2295" t="str">
        <f>"1552380188897132"</f>
        <v>1552380188897132</v>
      </c>
      <c r="C2295" t="s">
        <v>40</v>
      </c>
      <c r="D2295">
        <v>4.6224089999999904</v>
      </c>
      <c r="E2295">
        <v>0.41795019999999999</v>
      </c>
      <c r="F2295" t="s">
        <v>41</v>
      </c>
      <c r="G2295">
        <v>-481.9751</v>
      </c>
      <c r="H2295">
        <v>0.99170159999999996</v>
      </c>
      <c r="I2295">
        <v>216.0855</v>
      </c>
      <c r="J2295">
        <v>-482.81119999999999</v>
      </c>
      <c r="K2295">
        <v>1.1185860000000001</v>
      </c>
      <c r="L2295">
        <v>216.08279999999999</v>
      </c>
      <c r="M2295">
        <v>0.86029809999999995</v>
      </c>
      <c r="N2295">
        <v>0</v>
      </c>
      <c r="O2295">
        <v>-0.50956789999999996</v>
      </c>
      <c r="P2295">
        <v>0.94338619999999995</v>
      </c>
      <c r="Q2295">
        <v>0.1103621</v>
      </c>
      <c r="R2295">
        <v>-0.31279899999999999</v>
      </c>
      <c r="S2295">
        <v>3.1285099999999999</v>
      </c>
      <c r="T2295">
        <v>-0.38283089999999997</v>
      </c>
      <c r="U2295">
        <v>-0.31036380000000002</v>
      </c>
      <c r="V2295">
        <v>-0.21407499999999999</v>
      </c>
      <c r="W2295">
        <v>0.1207993</v>
      </c>
      <c r="X2295">
        <v>0.96931900000000004</v>
      </c>
      <c r="Y2295">
        <v>-0.41572979999999998</v>
      </c>
      <c r="Z2295">
        <v>8.4545149999999999E-2</v>
      </c>
      <c r="AA2295">
        <v>0.90554999999999997</v>
      </c>
      <c r="AB2295">
        <v>24</v>
      </c>
      <c r="AC2295">
        <v>0.83609999999998696</v>
      </c>
      <c r="AD2295">
        <v>-0.12688440000000001</v>
      </c>
      <c r="AE2295">
        <v>2.7000000000043599E-3</v>
      </c>
      <c r="AF2295">
        <v>-0.418776846841313</v>
      </c>
      <c r="AG2295">
        <v>-0.12688440000000001</v>
      </c>
      <c r="AH2295">
        <v>0.70183778770118999</v>
      </c>
      <c r="AI2295">
        <v>98.824811099881799</v>
      </c>
      <c r="AJ2295">
        <v>120.823939942178</v>
      </c>
      <c r="AK2295">
        <v>0.82707313984859498</v>
      </c>
      <c r="AL2295">
        <v>83.061764967243406</v>
      </c>
      <c r="AM2295">
        <v>102.45391397585</v>
      </c>
      <c r="AN2295">
        <v>0.99999995013324305</v>
      </c>
    </row>
    <row r="2296" spans="1:40" x14ac:dyDescent="0.25">
      <c r="A2296" t="str">
        <f>"20190312164308931"</f>
        <v>20190312164308931</v>
      </c>
      <c r="B2296" t="str">
        <f>"1552380188926411"</f>
        <v>1552380188926411</v>
      </c>
      <c r="C2296" t="s">
        <v>40</v>
      </c>
      <c r="D2296">
        <v>4.5371290000000002</v>
      </c>
      <c r="E2296">
        <v>0.41396339999999998</v>
      </c>
      <c r="F2296" t="s">
        <v>45</v>
      </c>
      <c r="G2296">
        <v>-473.60890000000001</v>
      </c>
      <c r="H2296" s="1">
        <v>4.3852349999999999E-6</v>
      </c>
      <c r="I2296">
        <v>215.23840000000001</v>
      </c>
      <c r="J2296">
        <v>-482.60390000000001</v>
      </c>
      <c r="K2296">
        <v>1.1186259999999999</v>
      </c>
      <c r="L2296">
        <v>215.97710000000001</v>
      </c>
      <c r="M2296">
        <v>0.86682519999999996</v>
      </c>
      <c r="N2296">
        <v>0</v>
      </c>
      <c r="O2296">
        <v>-0.49838329999999997</v>
      </c>
      <c r="P2296">
        <v>0.94630449999999999</v>
      </c>
      <c r="Q2296">
        <v>0.1102103</v>
      </c>
      <c r="R2296">
        <v>-0.3039114</v>
      </c>
      <c r="S2296">
        <v>3.1293329999999999</v>
      </c>
      <c r="T2296">
        <v>-0.38038430000000001</v>
      </c>
      <c r="U2296">
        <v>-0.2871399</v>
      </c>
      <c r="V2296">
        <v>-0.21064820000000001</v>
      </c>
      <c r="W2296">
        <v>0.12072919999999999</v>
      </c>
      <c r="X2296">
        <v>0.9700782</v>
      </c>
      <c r="Y2296">
        <v>-0.41083789999999998</v>
      </c>
      <c r="Z2296">
        <v>8.2576159999999996E-2</v>
      </c>
      <c r="AA2296">
        <v>0.90796109999999997</v>
      </c>
      <c r="AB2296">
        <v>24</v>
      </c>
      <c r="AC2296">
        <v>8.9949999999999992</v>
      </c>
      <c r="AD2296">
        <v>-1.1186216147650001</v>
      </c>
      <c r="AE2296">
        <v>-0.73869999999999403</v>
      </c>
      <c r="AF2296">
        <v>-3.7849287538454499</v>
      </c>
      <c r="AG2296">
        <v>-1.1186216147650001</v>
      </c>
      <c r="AH2296">
        <v>8.0426299907952394</v>
      </c>
      <c r="AI2296">
        <v>97.172801716053101</v>
      </c>
      <c r="AJ2296">
        <v>115.202066734303</v>
      </c>
      <c r="AK2296">
        <v>8.9588446329615898</v>
      </c>
      <c r="AL2296">
        <v>83.065811075557505</v>
      </c>
      <c r="AM2296">
        <v>102.25132977995899</v>
      </c>
      <c r="AN2296">
        <v>0.99999995900555905</v>
      </c>
    </row>
    <row r="2297" spans="1:40" x14ac:dyDescent="0.25">
      <c r="A2297" t="str">
        <f>"20190312164308953"</f>
        <v>20190312164308953</v>
      </c>
      <c r="B2297" t="str">
        <f>"1552380188946906"</f>
        <v>1552380188946906</v>
      </c>
      <c r="C2297" t="s">
        <v>40</v>
      </c>
      <c r="D2297">
        <v>4.5807820000000001</v>
      </c>
      <c r="E2297">
        <v>0.41507719999999998</v>
      </c>
      <c r="F2297" t="s">
        <v>45</v>
      </c>
      <c r="G2297">
        <v>-470.11799999999999</v>
      </c>
      <c r="H2297" s="1">
        <v>5.9251199999999898E-6</v>
      </c>
      <c r="I2297">
        <v>215.05119999999999</v>
      </c>
      <c r="J2297">
        <v>-482.39190000000002</v>
      </c>
      <c r="K2297">
        <v>1.118649</v>
      </c>
      <c r="L2297">
        <v>215.8724</v>
      </c>
      <c r="M2297">
        <v>0.87334419999999902</v>
      </c>
      <c r="N2297">
        <v>0</v>
      </c>
      <c r="O2297">
        <v>-0.48686859999999998</v>
      </c>
      <c r="P2297">
        <v>0.94928820000000003</v>
      </c>
      <c r="Q2297">
        <v>0.1105042</v>
      </c>
      <c r="R2297">
        <v>-0.29434829999999901</v>
      </c>
      <c r="S2297">
        <v>3.128387</v>
      </c>
      <c r="T2297">
        <v>-0.28027340000000001</v>
      </c>
      <c r="U2297">
        <v>-0.2319794</v>
      </c>
      <c r="V2297">
        <v>-0.20758660000000001</v>
      </c>
      <c r="W2297">
        <v>0.12110029999999999</v>
      </c>
      <c r="X2297">
        <v>0.97069179999999999</v>
      </c>
      <c r="Y2297">
        <v>-0.41756009999999999</v>
      </c>
      <c r="Z2297">
        <v>6.0455109999999999E-2</v>
      </c>
      <c r="AA2297">
        <v>0.90663590000000005</v>
      </c>
      <c r="AB2297">
        <v>23</v>
      </c>
      <c r="AC2297">
        <v>12.2738999999999</v>
      </c>
      <c r="AD2297">
        <v>-1.11864307487999</v>
      </c>
      <c r="AE2297">
        <v>-0.82120000000000404</v>
      </c>
      <c r="AF2297">
        <v>-5.21605408345751</v>
      </c>
      <c r="AG2297">
        <v>-1.11864307487999</v>
      </c>
      <c r="AH2297">
        <v>11.029222608337401</v>
      </c>
      <c r="AI2297">
        <v>95.238726599677605</v>
      </c>
      <c r="AJ2297">
        <v>115.31088798642701</v>
      </c>
      <c r="AK2297">
        <v>12.251625764558399</v>
      </c>
      <c r="AL2297">
        <v>83.044391913161306</v>
      </c>
      <c r="AM2297">
        <v>102.071121092054</v>
      </c>
      <c r="AN2297">
        <v>1.00000002487344</v>
      </c>
    </row>
    <row r="2298" spans="1:40" x14ac:dyDescent="0.25">
      <c r="A2298" t="str">
        <f>"20190312164308989"</f>
        <v>20190312164308989</v>
      </c>
      <c r="B2298" t="str">
        <f>"1552380188977163"</f>
        <v>1552380188977163</v>
      </c>
      <c r="C2298" t="s">
        <v>40</v>
      </c>
      <c r="D2298">
        <v>4.6095790000000001</v>
      </c>
      <c r="E2298">
        <v>0.41658220000000001</v>
      </c>
      <c r="F2298" t="s">
        <v>46</v>
      </c>
      <c r="G2298">
        <v>-469.87700000000001</v>
      </c>
      <c r="H2298" s="1">
        <v>3.7011590000000002E-6</v>
      </c>
      <c r="I2298">
        <v>215.0308</v>
      </c>
      <c r="J2298">
        <v>-482.06700000000001</v>
      </c>
      <c r="K2298">
        <v>1.1186389999999999</v>
      </c>
      <c r="L2298">
        <v>215.71889999999999</v>
      </c>
      <c r="M2298">
        <v>0.88300179999999995</v>
      </c>
      <c r="N2298">
        <v>0</v>
      </c>
      <c r="O2298">
        <v>-0.46912500000000001</v>
      </c>
      <c r="P2298">
        <v>0.95400300000000005</v>
      </c>
      <c r="Q2298">
        <v>0.11051859999999999</v>
      </c>
      <c r="R2298">
        <v>-0.27868320000000002</v>
      </c>
      <c r="S2298">
        <v>3.1275940000000002</v>
      </c>
      <c r="T2298">
        <v>-0.2795607</v>
      </c>
      <c r="U2298">
        <v>-0.21032709999999999</v>
      </c>
      <c r="V2298">
        <v>-0.2039446</v>
      </c>
      <c r="W2298">
        <v>0.1212182</v>
      </c>
      <c r="X2298">
        <v>0.9714488</v>
      </c>
      <c r="Y2298">
        <v>-0.40553869999999997</v>
      </c>
      <c r="Z2298">
        <v>5.8413159999999999E-2</v>
      </c>
      <c r="AA2298">
        <v>0.91220959999999995</v>
      </c>
      <c r="AB2298">
        <v>23</v>
      </c>
      <c r="AC2298">
        <v>12.1899999999999</v>
      </c>
      <c r="AD2298">
        <v>-1.118635298841</v>
      </c>
      <c r="AE2298">
        <v>-0.68809999999999105</v>
      </c>
      <c r="AF2298">
        <v>-5.06907526293051</v>
      </c>
      <c r="AG2298">
        <v>-1.118635298841</v>
      </c>
      <c r="AH2298">
        <v>10.995568718019401</v>
      </c>
      <c r="AI2298">
        <v>95.278565285603094</v>
      </c>
      <c r="AJ2298">
        <v>114.750209085683</v>
      </c>
      <c r="AK2298">
        <v>12.1593338791956</v>
      </c>
      <c r="AL2298">
        <v>83.037586512875393</v>
      </c>
      <c r="AM2298">
        <v>101.856409648808</v>
      </c>
      <c r="AN2298">
        <v>1.00000001145092</v>
      </c>
    </row>
    <row r="2299" spans="1:40" x14ac:dyDescent="0.25">
      <c r="A2299" t="str">
        <f>"20190312164309031"</f>
        <v>20190312164309031</v>
      </c>
      <c r="B2299" t="str">
        <f>"1552380189026939"</f>
        <v>1552380189026939</v>
      </c>
      <c r="C2299" t="s">
        <v>40</v>
      </c>
      <c r="D2299">
        <v>4.8278359999999996</v>
      </c>
      <c r="E2299">
        <v>0.42574909999999999</v>
      </c>
      <c r="F2299" t="s">
        <v>46</v>
      </c>
      <c r="G2299">
        <v>-469.94299999999998</v>
      </c>
      <c r="H2299" s="1">
        <v>3.7355239999999999E-6</v>
      </c>
      <c r="I2299">
        <v>215.0471</v>
      </c>
      <c r="J2299">
        <v>-481.67270000000002</v>
      </c>
      <c r="K2299">
        <v>1.118595</v>
      </c>
      <c r="L2299">
        <v>215.54339999999999</v>
      </c>
      <c r="M2299">
        <v>0.89414879999999997</v>
      </c>
      <c r="N2299">
        <v>0</v>
      </c>
      <c r="O2299">
        <v>-0.44751340000000001</v>
      </c>
      <c r="P2299">
        <v>0.95921199999999995</v>
      </c>
      <c r="Q2299">
        <v>0.1103107</v>
      </c>
      <c r="R2299">
        <v>-0.26027739999999999</v>
      </c>
      <c r="S2299">
        <v>3.1274109999999999</v>
      </c>
      <c r="T2299">
        <v>-0.28855340000000002</v>
      </c>
      <c r="U2299">
        <v>-0.17329410000000001</v>
      </c>
      <c r="V2299">
        <v>-0.1989939</v>
      </c>
      <c r="W2299">
        <v>0.1211552</v>
      </c>
      <c r="X2299">
        <v>0.97248279999999998</v>
      </c>
      <c r="Y2299">
        <v>-0.39396779999999998</v>
      </c>
      <c r="Z2299">
        <v>5.802098E-2</v>
      </c>
      <c r="AA2299">
        <v>0.91729110000000003</v>
      </c>
      <c r="AB2299">
        <v>23</v>
      </c>
      <c r="AC2299">
        <v>11.7296999999999</v>
      </c>
      <c r="AD2299">
        <v>-1.1185912644760001</v>
      </c>
      <c r="AE2299">
        <v>-0.49629999999999003</v>
      </c>
      <c r="AF2299">
        <v>-4.7627474044066904</v>
      </c>
      <c r="AG2299">
        <v>-1.1185912644760001</v>
      </c>
      <c r="AH2299">
        <v>10.615064242810901</v>
      </c>
      <c r="AI2299">
        <v>95.491749080952403</v>
      </c>
      <c r="AJ2299">
        <v>114.164731777887</v>
      </c>
      <c r="AK2299">
        <v>11.688224764015599</v>
      </c>
      <c r="AL2299">
        <v>83.041222697108594</v>
      </c>
      <c r="AM2299">
        <v>101.564483095873</v>
      </c>
      <c r="AN2299">
        <v>0.99999997551004405</v>
      </c>
    </row>
    <row r="2300" spans="1:40" x14ac:dyDescent="0.25">
      <c r="A2300" t="str">
        <f>"20190312164309054"</f>
        <v>20190312164309054</v>
      </c>
      <c r="B2300" t="str">
        <f>"1552380189046460"</f>
        <v>1552380189046460</v>
      </c>
      <c r="C2300" t="s">
        <v>40</v>
      </c>
      <c r="D2300">
        <v>4.5582729999999998</v>
      </c>
      <c r="E2300">
        <v>0.42703390000000002</v>
      </c>
      <c r="F2300" t="s">
        <v>45</v>
      </c>
      <c r="G2300">
        <v>-470.2133</v>
      </c>
      <c r="H2300" s="1">
        <v>5.8749630000000001E-6</v>
      </c>
      <c r="I2300">
        <v>214.87029999999999</v>
      </c>
      <c r="J2300">
        <v>-481.4606</v>
      </c>
      <c r="K2300">
        <v>1.118571</v>
      </c>
      <c r="L2300">
        <v>215.4537</v>
      </c>
      <c r="M2300">
        <v>0.89988159999999895</v>
      </c>
      <c r="N2300">
        <v>0</v>
      </c>
      <c r="O2300">
        <v>-0.43587049999999999</v>
      </c>
      <c r="P2300">
        <v>0.9615802</v>
      </c>
      <c r="Q2300">
        <v>0.11082400000000001</v>
      </c>
      <c r="R2300">
        <v>-0.25116040000000001</v>
      </c>
      <c r="S2300">
        <v>3.112854</v>
      </c>
      <c r="T2300">
        <v>-0.30385630000000002</v>
      </c>
      <c r="U2300">
        <v>-0.18284610000000001</v>
      </c>
      <c r="V2300">
        <v>-0.19557160000000001</v>
      </c>
      <c r="W2300">
        <v>0.1217625</v>
      </c>
      <c r="X2300">
        <v>0.97310099999999999</v>
      </c>
      <c r="Y2300">
        <v>-0.37867210000000001</v>
      </c>
      <c r="Z2300">
        <v>5.9583820000000003E-2</v>
      </c>
      <c r="AA2300">
        <v>0.92361099999999996</v>
      </c>
      <c r="AB2300">
        <v>23</v>
      </c>
      <c r="AC2300">
        <v>11.2472999999999</v>
      </c>
      <c r="AD2300">
        <v>-1.1185651250369999</v>
      </c>
      <c r="AE2300">
        <v>-0.58340000000001102</v>
      </c>
      <c r="AF2300">
        <v>-4.3351166796663998</v>
      </c>
      <c r="AG2300">
        <v>-1.1185651250369999</v>
      </c>
      <c r="AH2300">
        <v>10.2753610631529</v>
      </c>
      <c r="AI2300">
        <v>95.727500574835503</v>
      </c>
      <c r="AJ2300">
        <v>112.874605890544</v>
      </c>
      <c r="AK2300">
        <v>11.208366051455901</v>
      </c>
      <c r="AL2300">
        <v>83.006167303577499</v>
      </c>
      <c r="AM2300">
        <v>101.36378582666001</v>
      </c>
      <c r="AN2300">
        <v>0.999999956666904</v>
      </c>
    </row>
    <row r="2301" spans="1:40" x14ac:dyDescent="0.25">
      <c r="A2301" t="str">
        <f>"20190312164309076"</f>
        <v>20190312164309076</v>
      </c>
      <c r="B2301" t="str">
        <f>"1552380189066955"</f>
        <v>1552380189066955</v>
      </c>
      <c r="C2301" t="s">
        <v>40</v>
      </c>
      <c r="D2301">
        <v>4.6308939999999996</v>
      </c>
      <c r="E2301">
        <v>0.41490880000000002</v>
      </c>
      <c r="F2301" t="s">
        <v>45</v>
      </c>
      <c r="G2301">
        <v>-470.3331</v>
      </c>
      <c r="H2301" s="1">
        <v>5.8219110000000002E-6</v>
      </c>
      <c r="I2301">
        <v>214.87209999999999</v>
      </c>
      <c r="J2301">
        <v>-481.24930000000001</v>
      </c>
      <c r="K2301">
        <v>1.1185419999999999</v>
      </c>
      <c r="L2301">
        <v>215.36760000000001</v>
      </c>
      <c r="M2301">
        <v>0.9054082</v>
      </c>
      <c r="N2301">
        <v>0</v>
      </c>
      <c r="O2301">
        <v>-0.42427130000000002</v>
      </c>
      <c r="P2301">
        <v>0.96390310000000001</v>
      </c>
      <c r="Q2301">
        <v>0.11197459999999999</v>
      </c>
      <c r="R2301">
        <v>-0.24156259999999999</v>
      </c>
      <c r="S2301">
        <v>3.1134339999999998</v>
      </c>
      <c r="T2301">
        <v>-0.31297079999999999</v>
      </c>
      <c r="U2301">
        <v>-0.16275020000000001</v>
      </c>
      <c r="V2301">
        <v>-0.19271830000000001</v>
      </c>
      <c r="W2301">
        <v>0.122992</v>
      </c>
      <c r="X2301">
        <v>0.97351560000000004</v>
      </c>
      <c r="Y2301">
        <v>-0.37259439999999999</v>
      </c>
      <c r="Z2301">
        <v>6.0011979999999999E-2</v>
      </c>
      <c r="AA2301">
        <v>0.92605190000000004</v>
      </c>
      <c r="AB2301">
        <v>23</v>
      </c>
      <c r="AC2301">
        <v>10.9162</v>
      </c>
      <c r="AD2301">
        <v>-1.118536178089</v>
      </c>
      <c r="AE2301">
        <v>-0.49550000000002098</v>
      </c>
      <c r="AF2301">
        <v>-4.1399049956561704</v>
      </c>
      <c r="AG2301">
        <v>-1.118536178089</v>
      </c>
      <c r="AH2301">
        <v>9.9903286779883302</v>
      </c>
      <c r="AI2301">
        <v>95.905264241968098</v>
      </c>
      <c r="AJ2301">
        <v>112.508690281238</v>
      </c>
      <c r="AK2301">
        <v>10.871826141407301</v>
      </c>
      <c r="AL2301">
        <v>82.935188937762504</v>
      </c>
      <c r="AM2301">
        <v>101.197565868832</v>
      </c>
      <c r="AN2301">
        <v>0.99999999933112405</v>
      </c>
    </row>
    <row r="2302" spans="1:40" x14ac:dyDescent="0.25">
      <c r="A2302" t="str">
        <f>"20190312164309099"</f>
        <v>20190312164309099</v>
      </c>
      <c r="B2302" t="str">
        <f>"1552380189086476"</f>
        <v>1552380189086476</v>
      </c>
      <c r="C2302" t="s">
        <v>40</v>
      </c>
      <c r="D2302">
        <v>4.6113210000000002</v>
      </c>
      <c r="E2302">
        <v>0.41391220000000001</v>
      </c>
      <c r="F2302" t="s">
        <v>46</v>
      </c>
      <c r="G2302">
        <v>-465.48259999999999</v>
      </c>
      <c r="H2302" s="1">
        <v>1.357326E-6</v>
      </c>
      <c r="I2302">
        <v>215.1533</v>
      </c>
      <c r="J2302">
        <v>-481.0412</v>
      </c>
      <c r="K2302">
        <v>1.1185160000000001</v>
      </c>
      <c r="L2302">
        <v>215.28569999999999</v>
      </c>
      <c r="M2302">
        <v>0.9106744</v>
      </c>
      <c r="N2302">
        <v>0</v>
      </c>
      <c r="O2302">
        <v>-0.4128464</v>
      </c>
      <c r="P2302">
        <v>0.9660687</v>
      </c>
      <c r="Q2302">
        <v>0.11342089999999901</v>
      </c>
      <c r="R2302">
        <v>-0.23204939999999999</v>
      </c>
      <c r="S2302">
        <v>3.127472</v>
      </c>
      <c r="T2302">
        <v>-0.2218735</v>
      </c>
      <c r="U2302">
        <v>-4.2495730000000002E-2</v>
      </c>
      <c r="V2302">
        <v>-0.19000980000000001</v>
      </c>
      <c r="W2302">
        <v>0.12451180000000001</v>
      </c>
      <c r="X2302">
        <v>0.97385480000000002</v>
      </c>
      <c r="Y2302">
        <v>-0.39849390000000001</v>
      </c>
      <c r="Z2302">
        <v>4.266665E-2</v>
      </c>
      <c r="AA2302">
        <v>0.91617800000000005</v>
      </c>
      <c r="AB2302">
        <v>23</v>
      </c>
      <c r="AC2302">
        <v>15.5586</v>
      </c>
      <c r="AD2302">
        <v>-1.118514642674</v>
      </c>
      <c r="AE2302">
        <v>-0.132399999999989</v>
      </c>
      <c r="AF2302">
        <v>-6.2710556608466899</v>
      </c>
      <c r="AG2302">
        <v>-1.118514642674</v>
      </c>
      <c r="AH2302">
        <v>14.1519800015118</v>
      </c>
      <c r="AI2302">
        <v>94.132972242691906</v>
      </c>
      <c r="AJ2302">
        <v>113.89919236573201</v>
      </c>
      <c r="AK2302">
        <v>15.5195280878802</v>
      </c>
      <c r="AL2302">
        <v>82.847436571470993</v>
      </c>
      <c r="AM2302">
        <v>101.04033664669601</v>
      </c>
      <c r="AN2302">
        <v>1.0000000419591499</v>
      </c>
    </row>
    <row r="2303" spans="1:40" x14ac:dyDescent="0.25">
      <c r="A2303" t="str">
        <f>"20190312164309119"</f>
        <v>20190312164309119</v>
      </c>
      <c r="B2303" t="str">
        <f>"1552380189116731"</f>
        <v>1552380189116731</v>
      </c>
      <c r="C2303" t="s">
        <v>40</v>
      </c>
      <c r="D2303">
        <v>4.6471559999999998</v>
      </c>
      <c r="E2303">
        <v>0.4077964</v>
      </c>
      <c r="F2303" t="s">
        <v>46</v>
      </c>
      <c r="G2303">
        <v>-466.1832</v>
      </c>
      <c r="H2303" s="1">
        <v>1.7252100000000001E-6</v>
      </c>
      <c r="I2303">
        <v>215.26580000000001</v>
      </c>
      <c r="J2303">
        <v>-480.84109999999998</v>
      </c>
      <c r="K2303">
        <v>1.1184940000000001</v>
      </c>
      <c r="L2303">
        <v>215.2099</v>
      </c>
      <c r="M2303">
        <v>0.91557440000000001</v>
      </c>
      <c r="N2303">
        <v>0</v>
      </c>
      <c r="O2303">
        <v>-0.40186260000000001</v>
      </c>
      <c r="P2303">
        <v>0.96806320000000001</v>
      </c>
      <c r="Q2303">
        <v>0.1145848</v>
      </c>
      <c r="R2303">
        <v>-0.2229891</v>
      </c>
      <c r="S2303">
        <v>3.1319889999999999</v>
      </c>
      <c r="T2303">
        <v>-0.23577629999999999</v>
      </c>
      <c r="U2303">
        <v>-4.2114259999999999E-3</v>
      </c>
      <c r="V2303">
        <v>-0.18737180000000001</v>
      </c>
      <c r="W2303">
        <v>0.1257452</v>
      </c>
      <c r="X2303">
        <v>0.9742073</v>
      </c>
      <c r="Y2303">
        <v>-0.39846290000000001</v>
      </c>
      <c r="Z2303">
        <v>4.4522069999999997E-2</v>
      </c>
      <c r="AA2303">
        <v>0.91610320000000001</v>
      </c>
      <c r="AB2303">
        <v>23</v>
      </c>
      <c r="AC2303">
        <v>14.6578999999999</v>
      </c>
      <c r="AD2303">
        <v>-1.1184922747899999</v>
      </c>
      <c r="AE2303">
        <v>5.59000000000082E-2</v>
      </c>
      <c r="AF2303">
        <v>-5.9079262994843402</v>
      </c>
      <c r="AG2303">
        <v>-1.1184922747899999</v>
      </c>
      <c r="AH2303">
        <v>13.3219067070115</v>
      </c>
      <c r="AI2303">
        <v>94.388857822008603</v>
      </c>
      <c r="AJ2303">
        <v>113.916066728307</v>
      </c>
      <c r="AK2303">
        <v>14.616012330291101</v>
      </c>
      <c r="AL2303">
        <v>82.776207507462203</v>
      </c>
      <c r="AM2303">
        <v>100.88690195710799</v>
      </c>
      <c r="AN2303">
        <v>0.99999995506578399</v>
      </c>
    </row>
    <row r="2304" spans="1:40" x14ac:dyDescent="0.25">
      <c r="A2304" t="str">
        <f>"20190312164309143"</f>
        <v>20190312164309143</v>
      </c>
      <c r="B2304" t="str">
        <f>"1552380189136251"</f>
        <v>1552380189136251</v>
      </c>
      <c r="C2304" t="s">
        <v>40</v>
      </c>
      <c r="D2304">
        <v>4.6541560000000004</v>
      </c>
      <c r="E2304">
        <v>0.40913260000000001</v>
      </c>
      <c r="F2304" t="s">
        <v>45</v>
      </c>
      <c r="G2304">
        <v>-470.07690000000002</v>
      </c>
      <c r="H2304" s="1">
        <v>5.9615670000000004E-6</v>
      </c>
      <c r="I2304">
        <v>215.46850000000001</v>
      </c>
      <c r="J2304">
        <v>-480.62150000000003</v>
      </c>
      <c r="K2304">
        <v>1.118457</v>
      </c>
      <c r="L2304">
        <v>215.12989999999999</v>
      </c>
      <c r="M2304">
        <v>0.92077200000000003</v>
      </c>
      <c r="N2304">
        <v>0</v>
      </c>
      <c r="O2304">
        <v>-0.3898065</v>
      </c>
      <c r="P2304">
        <v>0.97010669999999999</v>
      </c>
      <c r="Q2304">
        <v>0.1152045</v>
      </c>
      <c r="R2304">
        <v>-0.21359030000000001</v>
      </c>
      <c r="S2304">
        <v>3.1552120000000001</v>
      </c>
      <c r="T2304">
        <v>-0.32785300000000001</v>
      </c>
      <c r="U2304">
        <v>7.5775149999999999E-2</v>
      </c>
      <c r="V2304">
        <v>-0.18399360000000001</v>
      </c>
      <c r="W2304">
        <v>0.12645139999999999</v>
      </c>
      <c r="X2304">
        <v>0.97475959999999995</v>
      </c>
      <c r="Y2304">
        <v>-0.40763349999999998</v>
      </c>
      <c r="Z2304">
        <v>6.0725759999999997E-2</v>
      </c>
      <c r="AA2304">
        <v>0.91112420000000005</v>
      </c>
      <c r="AB2304">
        <v>23</v>
      </c>
      <c r="AC2304">
        <v>10.544600000000001</v>
      </c>
      <c r="AD2304">
        <v>-1.118451038433</v>
      </c>
      <c r="AE2304">
        <v>0.338600000000013</v>
      </c>
      <c r="AF2304">
        <v>-4.3734818552395502</v>
      </c>
      <c r="AG2304">
        <v>-1.118451038433</v>
      </c>
      <c r="AH2304">
        <v>9.4718311007387097</v>
      </c>
      <c r="AI2304">
        <v>96.119049216029296</v>
      </c>
      <c r="AJ2304">
        <v>114.78445271540799</v>
      </c>
      <c r="AK2304">
        <v>10.4925621591869</v>
      </c>
      <c r="AL2304">
        <v>82.735419533395998</v>
      </c>
      <c r="AM2304">
        <v>100.68926541551799</v>
      </c>
      <c r="AN2304">
        <v>0.99999993959753797</v>
      </c>
    </row>
    <row r="2305" spans="1:40" x14ac:dyDescent="0.25">
      <c r="A2305" t="str">
        <f>"20190312164309166"</f>
        <v>20190312164309166</v>
      </c>
      <c r="B2305" t="str">
        <f>"1552380189156747"</f>
        <v>1552380189156747</v>
      </c>
      <c r="C2305" t="s">
        <v>40</v>
      </c>
      <c r="D2305">
        <v>4.6676070000000003</v>
      </c>
      <c r="E2305">
        <v>0.41037220000000002</v>
      </c>
      <c r="F2305" t="s">
        <v>41</v>
      </c>
      <c r="G2305">
        <v>-479.51010000000002</v>
      </c>
      <c r="H2305">
        <v>1.0000880000000001</v>
      </c>
      <c r="I2305">
        <v>215.16370000000001</v>
      </c>
      <c r="J2305">
        <v>-480.39780000000002</v>
      </c>
      <c r="K2305">
        <v>1.118417</v>
      </c>
      <c r="L2305">
        <v>215.05189999999999</v>
      </c>
      <c r="M2305">
        <v>0.92586500000000005</v>
      </c>
      <c r="N2305">
        <v>0</v>
      </c>
      <c r="O2305">
        <v>-0.37755070000000002</v>
      </c>
      <c r="P2305">
        <v>0.97188030000000003</v>
      </c>
      <c r="Q2305">
        <v>0.1157883</v>
      </c>
      <c r="R2305">
        <v>-0.20504169999999999</v>
      </c>
      <c r="S2305">
        <v>3.1535950000000001</v>
      </c>
      <c r="T2305">
        <v>-0.33579579999999998</v>
      </c>
      <c r="U2305">
        <v>9.6633910000000003E-2</v>
      </c>
      <c r="V2305">
        <v>-0.1795996</v>
      </c>
      <c r="W2305">
        <v>0.12714429999999999</v>
      </c>
      <c r="X2305">
        <v>0.97548869999999999</v>
      </c>
      <c r="Y2305">
        <v>-0.4014472</v>
      </c>
      <c r="Z2305">
        <v>6.0677010000000003E-2</v>
      </c>
      <c r="AA2305">
        <v>0.91386999999999996</v>
      </c>
      <c r="AB2305">
        <v>23</v>
      </c>
      <c r="AC2305">
        <v>0.88769999999999505</v>
      </c>
      <c r="AD2305">
        <v>-0.118329</v>
      </c>
      <c r="AE2305">
        <v>0.111800000000016</v>
      </c>
      <c r="AF2305">
        <v>-0.43117215789518498</v>
      </c>
      <c r="AG2305">
        <v>-0.118329</v>
      </c>
      <c r="AH2305">
        <v>0.76636515008170603</v>
      </c>
      <c r="AI2305">
        <v>97.664075908311602</v>
      </c>
      <c r="AJ2305">
        <v>119.36296468284</v>
      </c>
      <c r="AK2305">
        <v>0.88725798122346899</v>
      </c>
      <c r="AL2305">
        <v>82.695396290941702</v>
      </c>
      <c r="AM2305">
        <v>100.43203949959501</v>
      </c>
      <c r="AN2305">
        <v>0.999999946585168</v>
      </c>
    </row>
    <row r="2306" spans="1:40" x14ac:dyDescent="0.25">
      <c r="A2306" t="str">
        <f>"20190312164309189"</f>
        <v>20190312164309189</v>
      </c>
      <c r="B2306" t="str">
        <f>"1552380189177243"</f>
        <v>1552380189177243</v>
      </c>
      <c r="C2306" t="s">
        <v>40</v>
      </c>
      <c r="D2306">
        <v>4.6468420000000004</v>
      </c>
      <c r="E2306">
        <v>0.41146729999999998</v>
      </c>
      <c r="F2306" t="s">
        <v>46</v>
      </c>
      <c r="G2306">
        <v>-469.92250000000001</v>
      </c>
      <c r="H2306" s="1">
        <v>3.707643E-6</v>
      </c>
      <c r="I2306">
        <v>215.43610000000001</v>
      </c>
      <c r="J2306">
        <v>-480.17579999999998</v>
      </c>
      <c r="K2306">
        <v>1.1183749999999999</v>
      </c>
      <c r="L2306">
        <v>214.9776</v>
      </c>
      <c r="M2306">
        <v>0.93072900000000003</v>
      </c>
      <c r="N2306">
        <v>0</v>
      </c>
      <c r="O2306">
        <v>-0.36539579999999999</v>
      </c>
      <c r="P2306">
        <v>0.97346270000000001</v>
      </c>
      <c r="Q2306">
        <v>0.1162956</v>
      </c>
      <c r="R2306">
        <v>-0.19709260000000001</v>
      </c>
      <c r="S2306">
        <v>3.1513059999999999</v>
      </c>
      <c r="T2306">
        <v>-0.33645399999999998</v>
      </c>
      <c r="U2306">
        <v>0.1155853</v>
      </c>
      <c r="V2306">
        <v>-0.174762</v>
      </c>
      <c r="W2306">
        <v>0.12776860000000001</v>
      </c>
      <c r="X2306">
        <v>0.97628550000000003</v>
      </c>
      <c r="Y2306">
        <v>-0.39505449999999998</v>
      </c>
      <c r="Z2306">
        <v>5.9282109999999999E-2</v>
      </c>
      <c r="AA2306">
        <v>0.91674290000000003</v>
      </c>
      <c r="AB2306">
        <v>23</v>
      </c>
      <c r="AC2306">
        <v>10.2532999999999</v>
      </c>
      <c r="AD2306">
        <v>-1.1183712923569999</v>
      </c>
      <c r="AE2306">
        <v>0.45850000000001501</v>
      </c>
      <c r="AF2306">
        <v>-4.12475573264574</v>
      </c>
      <c r="AG2306">
        <v>-1.1183712923569999</v>
      </c>
      <c r="AH2306">
        <v>9.2665593355892302</v>
      </c>
      <c r="AI2306">
        <v>96.291970584566997</v>
      </c>
      <c r="AJ2306">
        <v>113.994930972273</v>
      </c>
      <c r="AK2306">
        <v>10.204581624033301</v>
      </c>
      <c r="AL2306">
        <v>82.659332609357605</v>
      </c>
      <c r="AM2306">
        <v>100.148858521417</v>
      </c>
      <c r="AN2306">
        <v>0.99999997465010404</v>
      </c>
    </row>
    <row r="2307" spans="1:40" x14ac:dyDescent="0.25">
      <c r="A2307" t="str">
        <f>"20190312164309212"</f>
        <v>20190312164309212</v>
      </c>
      <c r="B2307" t="str">
        <f>"1552380189206523"</f>
        <v>1552380189206523</v>
      </c>
      <c r="C2307" t="s">
        <v>40</v>
      </c>
      <c r="D2307">
        <v>4.6927580000000004</v>
      </c>
      <c r="E2307">
        <v>0.41307290000000002</v>
      </c>
      <c r="F2307" t="s">
        <v>46</v>
      </c>
      <c r="G2307">
        <v>-469.60539999999997</v>
      </c>
      <c r="H2307" s="1">
        <v>3.5394150000000001E-6</v>
      </c>
      <c r="I2307">
        <v>215.42400000000001</v>
      </c>
      <c r="J2307">
        <v>-479.96390000000002</v>
      </c>
      <c r="K2307">
        <v>1.1183240000000001</v>
      </c>
      <c r="L2307">
        <v>214.90960000000001</v>
      </c>
      <c r="M2307">
        <v>0.93519390000000002</v>
      </c>
      <c r="N2307">
        <v>0</v>
      </c>
      <c r="O2307">
        <v>-0.35381220000000002</v>
      </c>
      <c r="P2307">
        <v>0.9750006</v>
      </c>
      <c r="Q2307">
        <v>0.1164237</v>
      </c>
      <c r="R2307">
        <v>-0.1892597</v>
      </c>
      <c r="S2307">
        <v>3.1484990000000002</v>
      </c>
      <c r="T2307">
        <v>-0.33311610000000003</v>
      </c>
      <c r="U2307">
        <v>0.1329651</v>
      </c>
      <c r="V2307">
        <v>-0.17046249999999999</v>
      </c>
      <c r="W2307">
        <v>0.12800219999999901</v>
      </c>
      <c r="X2307">
        <v>0.97701479999999996</v>
      </c>
      <c r="Y2307">
        <v>-0.38891360000000003</v>
      </c>
      <c r="Z2307">
        <v>5.7269210000000001E-2</v>
      </c>
      <c r="AA2307">
        <v>0.91949250000000005</v>
      </c>
      <c r="AB2307">
        <v>23</v>
      </c>
      <c r="AC2307">
        <v>10.358499999999999</v>
      </c>
      <c r="AD2307">
        <v>-1.1183204605849999</v>
      </c>
      <c r="AE2307">
        <v>0.51439999999999397</v>
      </c>
      <c r="AF2307">
        <v>-4.0988453990876001</v>
      </c>
      <c r="AG2307">
        <v>-1.1183204605849999</v>
      </c>
      <c r="AH2307">
        <v>9.3970352690395593</v>
      </c>
      <c r="AI2307">
        <v>96.225351526590799</v>
      </c>
      <c r="AJ2307">
        <v>113.566105490632</v>
      </c>
      <c r="AK2307">
        <v>10.31287768306</v>
      </c>
      <c r="AL2307">
        <v>82.645837495696199</v>
      </c>
      <c r="AM2307">
        <v>99.896933687178702</v>
      </c>
      <c r="AN2307">
        <v>0.99999997326506396</v>
      </c>
    </row>
    <row r="2308" spans="1:40" x14ac:dyDescent="0.25">
      <c r="A2308" t="str">
        <f>"20190312164309254"</f>
        <v>20190312164309254</v>
      </c>
      <c r="B2308" t="str">
        <f>"1552380189246539"</f>
        <v>1552380189246539</v>
      </c>
      <c r="C2308" t="s">
        <v>40</v>
      </c>
      <c r="D2308">
        <v>4.6238099999999998</v>
      </c>
      <c r="E2308">
        <v>0.41381669999999998</v>
      </c>
      <c r="F2308" t="s">
        <v>46</v>
      </c>
      <c r="G2308">
        <v>-469.61559999999997</v>
      </c>
      <c r="H2308" s="1">
        <v>3.546522E-6</v>
      </c>
      <c r="I2308">
        <v>215.38630000000001</v>
      </c>
      <c r="J2308">
        <v>-479.55520000000001</v>
      </c>
      <c r="K2308">
        <v>1.1182030000000001</v>
      </c>
      <c r="L2308">
        <v>214.78639999999999</v>
      </c>
      <c r="M2308">
        <v>0.94329750000000001</v>
      </c>
      <c r="N2308">
        <v>0</v>
      </c>
      <c r="O2308">
        <v>-0.33160430000000002</v>
      </c>
      <c r="P2308">
        <v>0.97735910000000004</v>
      </c>
      <c r="Q2308">
        <v>0.1157408</v>
      </c>
      <c r="R2308">
        <v>-0.17712459999999999</v>
      </c>
      <c r="S2308">
        <v>3.1456300000000001</v>
      </c>
      <c r="T2308">
        <v>-0.33994259999999998</v>
      </c>
      <c r="U2308">
        <v>0.14489749999999901</v>
      </c>
      <c r="V2308">
        <v>-0.15945329999999999</v>
      </c>
      <c r="W2308">
        <v>0.12758319999999901</v>
      </c>
      <c r="X2308">
        <v>0.97892650000000003</v>
      </c>
      <c r="Y2308">
        <v>-0.37066110000000002</v>
      </c>
      <c r="Z2308">
        <v>5.5223519999999998E-2</v>
      </c>
      <c r="AA2308">
        <v>0.92712499999999998</v>
      </c>
      <c r="AB2308">
        <v>23</v>
      </c>
      <c r="AC2308">
        <v>9.9396000000000395</v>
      </c>
      <c r="AD2308">
        <v>-1.118199453478</v>
      </c>
      <c r="AE2308">
        <v>0.59990000000001897</v>
      </c>
      <c r="AF2308">
        <v>-3.8142410995595899</v>
      </c>
      <c r="AG2308">
        <v>-1.118199453478</v>
      </c>
      <c r="AH2308">
        <v>9.0638221632970506</v>
      </c>
      <c r="AI2308">
        <v>96.487304730299201</v>
      </c>
      <c r="AJ2308">
        <v>112.82235015418701</v>
      </c>
      <c r="AK2308">
        <v>9.8970539753606896</v>
      </c>
      <c r="AL2308">
        <v>82.670042793588806</v>
      </c>
      <c r="AM2308">
        <v>99.251425167304603</v>
      </c>
      <c r="AN2308">
        <v>0.99999996010268899</v>
      </c>
    </row>
    <row r="2309" spans="1:40" x14ac:dyDescent="0.25">
      <c r="A2309" t="str">
        <f>"20190312164309275"</f>
        <v>20190312164309275</v>
      </c>
      <c r="B2309" t="str">
        <f>"1552380189267035"</f>
        <v>1552380189267035</v>
      </c>
      <c r="C2309" t="s">
        <v>40</v>
      </c>
      <c r="D2309">
        <v>4.6644300000000003</v>
      </c>
      <c r="E2309">
        <v>0.41386279999999998</v>
      </c>
      <c r="F2309" t="s">
        <v>46</v>
      </c>
      <c r="G2309">
        <v>-468.86709999999999</v>
      </c>
      <c r="H2309" s="1">
        <v>3.1479649999999999E-6</v>
      </c>
      <c r="I2309">
        <v>215.39109999999999</v>
      </c>
      <c r="J2309">
        <v>-479.339</v>
      </c>
      <c r="K2309">
        <v>1.1181270000000001</v>
      </c>
      <c r="L2309">
        <v>214.7253</v>
      </c>
      <c r="M2309">
        <v>0.94731549999999998</v>
      </c>
      <c r="N2309">
        <v>0</v>
      </c>
      <c r="O2309">
        <v>-0.31994590000000001</v>
      </c>
      <c r="P2309">
        <v>0.97815819999999998</v>
      </c>
      <c r="Q2309">
        <v>0.1162996</v>
      </c>
      <c r="R2309">
        <v>-0.17228099999999999</v>
      </c>
      <c r="S2309">
        <v>3.1405940000000001</v>
      </c>
      <c r="T2309">
        <v>-0.32857049999999999</v>
      </c>
      <c r="U2309">
        <v>0.17767330000000001</v>
      </c>
      <c r="V2309">
        <v>-0.15217610000000001</v>
      </c>
      <c r="W2309">
        <v>0.1283087</v>
      </c>
      <c r="X2309">
        <v>0.97998949999999996</v>
      </c>
      <c r="Y2309">
        <v>-0.36926490000000001</v>
      </c>
      <c r="Z2309">
        <v>5.2231640000000003E-2</v>
      </c>
      <c r="AA2309">
        <v>0.92785530000000005</v>
      </c>
      <c r="AB2309">
        <v>23</v>
      </c>
      <c r="AC2309">
        <v>10.4719</v>
      </c>
      <c r="AD2309">
        <v>-1.1181238520350001</v>
      </c>
      <c r="AE2309">
        <v>0.66579999999998996</v>
      </c>
      <c r="AF2309">
        <v>-3.9369153789390401</v>
      </c>
      <c r="AG2309">
        <v>-1.1181238520350001</v>
      </c>
      <c r="AH2309">
        <v>9.5992825778580304</v>
      </c>
      <c r="AI2309">
        <v>96.150942146576099</v>
      </c>
      <c r="AJ2309">
        <v>112.299809300956</v>
      </c>
      <c r="AK2309">
        <v>10.4353116704286</v>
      </c>
      <c r="AL2309">
        <v>82.628130925592799</v>
      </c>
      <c r="AM2309">
        <v>98.826588885871999</v>
      </c>
      <c r="AN2309">
        <v>1.0000000540085701</v>
      </c>
    </row>
    <row r="2310" spans="1:40" x14ac:dyDescent="0.25">
      <c r="A2310" t="str">
        <f>"20190312164309300"</f>
        <v>20190312164309300</v>
      </c>
      <c r="B2310" t="str">
        <f>"1552380189296315"</f>
        <v>1552380189296315</v>
      </c>
      <c r="C2310" t="s">
        <v>40</v>
      </c>
      <c r="D2310">
        <v>4.6562760000000001</v>
      </c>
      <c r="E2310">
        <v>0.41431299999999999</v>
      </c>
      <c r="F2310" t="s">
        <v>46</v>
      </c>
      <c r="G2310">
        <v>-468.22390000000001</v>
      </c>
      <c r="H2310" s="1">
        <v>2.804661E-6</v>
      </c>
      <c r="I2310">
        <v>215.41540000000001</v>
      </c>
      <c r="J2310">
        <v>-479.11279999999999</v>
      </c>
      <c r="K2310">
        <v>1.1180319999999999</v>
      </c>
      <c r="L2310">
        <v>214.66419999999999</v>
      </c>
      <c r="M2310">
        <v>0.95131350000000003</v>
      </c>
      <c r="N2310">
        <v>0</v>
      </c>
      <c r="O2310">
        <v>-0.30785580000000001</v>
      </c>
      <c r="P2310">
        <v>0.97879959999999999</v>
      </c>
      <c r="Q2310">
        <v>0.11818969999999999</v>
      </c>
      <c r="R2310">
        <v>-0.16727879999999901</v>
      </c>
      <c r="S2310">
        <v>3.138855</v>
      </c>
      <c r="T2310">
        <v>-0.31575599999999998</v>
      </c>
      <c r="U2310">
        <v>0.19488530000000001</v>
      </c>
      <c r="V2310">
        <v>-0.14462120000000001</v>
      </c>
      <c r="W2310">
        <v>0.13036689999999901</v>
      </c>
      <c r="X2310">
        <v>0.98086139999999999</v>
      </c>
      <c r="Y2310">
        <v>-0.36290719999999999</v>
      </c>
      <c r="Z2310">
        <v>4.8743939999999999E-2</v>
      </c>
      <c r="AA2310">
        <v>0.93054950000000003</v>
      </c>
      <c r="AB2310">
        <v>23</v>
      </c>
      <c r="AC2310">
        <v>10.8888999999999</v>
      </c>
      <c r="AD2310">
        <v>-1.11802919533899</v>
      </c>
      <c r="AE2310">
        <v>0.75120000000001097</v>
      </c>
      <c r="AF2310">
        <v>-4.0250675093203796</v>
      </c>
      <c r="AG2310">
        <v>-1.11802919533899</v>
      </c>
      <c r="AH2310">
        <v>10.023477470411301</v>
      </c>
      <c r="AI2310">
        <v>95.909489869575694</v>
      </c>
      <c r="AJ2310">
        <v>111.878617343882</v>
      </c>
      <c r="AK2310">
        <v>10.859155507499599</v>
      </c>
      <c r="AL2310">
        <v>82.509205075502607</v>
      </c>
      <c r="AM2310">
        <v>98.387433674625299</v>
      </c>
      <c r="AN2310">
        <v>0.999999953057504</v>
      </c>
    </row>
    <row r="2311" spans="1:40" x14ac:dyDescent="0.25">
      <c r="A2311" t="str">
        <f>"20190312164309347"</f>
        <v>20190312164309347</v>
      </c>
      <c r="B2311" t="str">
        <f>"1552380189336331"</f>
        <v>1552380189336331</v>
      </c>
      <c r="C2311" t="s">
        <v>40</v>
      </c>
      <c r="D2311">
        <v>4.7433800000000002</v>
      </c>
      <c r="E2311">
        <v>0.41508699999999998</v>
      </c>
      <c r="F2311" t="s">
        <v>46</v>
      </c>
      <c r="G2311">
        <v>-467.44639999999998</v>
      </c>
      <c r="H2311" s="1">
        <v>2.3901280000000001E-6</v>
      </c>
      <c r="I2311">
        <v>215.43279999999999</v>
      </c>
      <c r="J2311">
        <v>-478.66789999999997</v>
      </c>
      <c r="K2311">
        <v>1.1177539999999999</v>
      </c>
      <c r="L2311">
        <v>214.55279999999999</v>
      </c>
      <c r="M2311">
        <v>0.95852959999999998</v>
      </c>
      <c r="N2311">
        <v>0</v>
      </c>
      <c r="O2311">
        <v>-0.2845975</v>
      </c>
      <c r="P2311">
        <v>0.98015280000000005</v>
      </c>
      <c r="Q2311">
        <v>0.120683399999999</v>
      </c>
      <c r="R2311">
        <v>-0.157279</v>
      </c>
      <c r="S2311">
        <v>3.1365970000000001</v>
      </c>
      <c r="T2311">
        <v>-0.30058990000000002</v>
      </c>
      <c r="U2311">
        <v>0.2066345</v>
      </c>
      <c r="V2311">
        <v>-0.13057379999999999</v>
      </c>
      <c r="W2311">
        <v>0.13317319999999999</v>
      </c>
      <c r="X2311">
        <v>0.98245380000000004</v>
      </c>
      <c r="Y2311">
        <v>-0.3441765</v>
      </c>
      <c r="Z2311">
        <v>4.33978E-2</v>
      </c>
      <c r="AA2311">
        <v>0.93790150000000005</v>
      </c>
      <c r="AB2311">
        <v>23</v>
      </c>
      <c r="AC2311">
        <v>11.221499999999899</v>
      </c>
      <c r="AD2311">
        <v>-1.117751609872</v>
      </c>
      <c r="AE2311">
        <v>0.87999999999999501</v>
      </c>
      <c r="AF2311">
        <v>-3.9981455081811998</v>
      </c>
      <c r="AG2311">
        <v>-1.117751609872</v>
      </c>
      <c r="AH2311">
        <v>10.404279787304</v>
      </c>
      <c r="AI2311">
        <v>95.726612706372705</v>
      </c>
      <c r="AJ2311">
        <v>111.02071592761401</v>
      </c>
      <c r="AK2311">
        <v>11.2019451015644</v>
      </c>
      <c r="AL2311">
        <v>82.347002198949795</v>
      </c>
      <c r="AM2311">
        <v>97.570573568622606</v>
      </c>
      <c r="AN2311">
        <v>1.00000004378955</v>
      </c>
    </row>
    <row r="2312" spans="1:40" x14ac:dyDescent="0.25">
      <c r="A2312" t="str">
        <f>"20190312164309367"</f>
        <v>20190312164309367</v>
      </c>
      <c r="B2312" t="str">
        <f>"1552380189356827"</f>
        <v>1552380189356827</v>
      </c>
      <c r="C2312" t="s">
        <v>40</v>
      </c>
      <c r="D2312">
        <v>4.7386100000000004</v>
      </c>
      <c r="E2312">
        <v>0.44492029999999999</v>
      </c>
      <c r="F2312" t="s">
        <v>46</v>
      </c>
      <c r="G2312">
        <v>-466.5652</v>
      </c>
      <c r="H2312" s="1">
        <v>1.9205679999999998E-6</v>
      </c>
      <c r="I2312">
        <v>215.4477</v>
      </c>
      <c r="J2312">
        <v>-478.4511</v>
      </c>
      <c r="K2312">
        <v>1.117599</v>
      </c>
      <c r="L2312">
        <v>214.50229999999999</v>
      </c>
      <c r="M2312">
        <v>0.96175219999999995</v>
      </c>
      <c r="N2312">
        <v>0</v>
      </c>
      <c r="O2312">
        <v>-0.2735107</v>
      </c>
      <c r="P2312">
        <v>0.98077930000000002</v>
      </c>
      <c r="Q2312">
        <v>0.1204884</v>
      </c>
      <c r="R2312">
        <v>-0.153475</v>
      </c>
      <c r="S2312">
        <v>3.1335139999999999</v>
      </c>
      <c r="T2312">
        <v>-0.28939759999999998</v>
      </c>
      <c r="U2312">
        <v>0.23168949999999999</v>
      </c>
      <c r="V2312">
        <v>-0.12297760000000001</v>
      </c>
      <c r="W2312">
        <v>0.13313729999999999</v>
      </c>
      <c r="X2312">
        <v>0.98343829999999999</v>
      </c>
      <c r="Y2312">
        <v>-0.34112979999999998</v>
      </c>
      <c r="Z2312">
        <v>4.0691680000000001E-2</v>
      </c>
      <c r="AA2312">
        <v>0.93913500000000005</v>
      </c>
      <c r="AB2312">
        <v>23</v>
      </c>
      <c r="AC2312">
        <v>11.8858999999999</v>
      </c>
      <c r="AD2312">
        <v>-1.117597079432</v>
      </c>
      <c r="AE2312">
        <v>0.94540000000000601</v>
      </c>
      <c r="AF2312">
        <v>-4.1243936889785102</v>
      </c>
      <c r="AG2312">
        <v>-1.117597079432</v>
      </c>
      <c r="AH2312">
        <v>11.0766542206264</v>
      </c>
      <c r="AI2312">
        <v>95.401518893533293</v>
      </c>
      <c r="AJ2312">
        <v>110.422821575111</v>
      </c>
      <c r="AK2312">
        <v>11.8723171814504</v>
      </c>
      <c r="AL2312">
        <v>82.349076956010904</v>
      </c>
      <c r="AM2312">
        <v>97.127759065819404</v>
      </c>
      <c r="AN2312">
        <v>0.99999996032996896</v>
      </c>
    </row>
    <row r="2313" spans="1:40" x14ac:dyDescent="0.25">
      <c r="A2313" t="str">
        <f>"20190312164309390"</f>
        <v>20190312164309390</v>
      </c>
      <c r="B2313" t="str">
        <f>"1552380189387083"</f>
        <v>1552380189387083</v>
      </c>
      <c r="C2313" t="s">
        <v>40</v>
      </c>
      <c r="D2313">
        <v>4.6915480000000001</v>
      </c>
      <c r="E2313">
        <v>0.449793</v>
      </c>
      <c r="F2313" t="s">
        <v>46</v>
      </c>
      <c r="G2313">
        <v>-464.71300000000002</v>
      </c>
      <c r="H2313" s="1">
        <v>9.7456719999999998E-7</v>
      </c>
      <c r="I2313">
        <v>214.54040000000001</v>
      </c>
      <c r="J2313">
        <v>-478.23869999999999</v>
      </c>
      <c r="K2313">
        <v>1.1174500000000001</v>
      </c>
      <c r="L2313">
        <v>214.45519999999999</v>
      </c>
      <c r="M2313">
        <v>0.96473149999999996</v>
      </c>
      <c r="N2313">
        <v>0</v>
      </c>
      <c r="O2313">
        <v>-0.26281139999999997</v>
      </c>
      <c r="P2313">
        <v>0.98133879999999996</v>
      </c>
      <c r="Q2313">
        <v>0.1208997</v>
      </c>
      <c r="R2313">
        <v>-0.14952360000000001</v>
      </c>
      <c r="S2313">
        <v>3.0910340000000001</v>
      </c>
      <c r="T2313">
        <v>-0.25145709999999999</v>
      </c>
      <c r="U2313">
        <v>8.560181E-3</v>
      </c>
      <c r="V2313">
        <v>-0.1159463</v>
      </c>
      <c r="W2313">
        <v>0.1336878</v>
      </c>
      <c r="X2313">
        <v>0.98421749999999997</v>
      </c>
      <c r="Y2313">
        <v>-0.2637872</v>
      </c>
      <c r="Z2313">
        <v>3.1869439999999999E-2</v>
      </c>
      <c r="AA2313">
        <v>0.96405430000000003</v>
      </c>
      <c r="AB2313">
        <v>23</v>
      </c>
      <c r="AC2313">
        <v>13.525699999999899</v>
      </c>
      <c r="AD2313">
        <v>-1.1174490254328</v>
      </c>
      <c r="AE2313">
        <v>8.5200000000014597E-2</v>
      </c>
      <c r="AF2313">
        <v>-3.6126521444476101</v>
      </c>
      <c r="AG2313">
        <v>-1.1174490254328</v>
      </c>
      <c r="AH2313">
        <v>12.939417165276399</v>
      </c>
      <c r="AI2313">
        <v>94.754857290407003</v>
      </c>
      <c r="AJ2313">
        <v>105.59959726356</v>
      </c>
      <c r="AK2313">
        <v>13.4806700285361</v>
      </c>
      <c r="AL2313">
        <v>82.317251660667097</v>
      </c>
      <c r="AM2313">
        <v>96.718794471477395</v>
      </c>
      <c r="AN2313">
        <v>1.0000000298293801</v>
      </c>
    </row>
    <row r="2314" spans="1:40" x14ac:dyDescent="0.25">
      <c r="A2314" t="str">
        <f>"20190312164309415"</f>
        <v>20190312164309415</v>
      </c>
      <c r="B2314" t="str">
        <f>"1552380189406603"</f>
        <v>1552380189406603</v>
      </c>
      <c r="C2314" t="s">
        <v>40</v>
      </c>
      <c r="D2314">
        <v>4.6649260000000004</v>
      </c>
      <c r="E2314">
        <v>0.45049400000000001</v>
      </c>
      <c r="F2314" t="s">
        <v>46</v>
      </c>
      <c r="G2314">
        <v>-465.60379999999998</v>
      </c>
      <c r="H2314" s="1">
        <v>1.4550489999999999E-6</v>
      </c>
      <c r="I2314">
        <v>214.3922</v>
      </c>
      <c r="J2314">
        <v>-478.00110000000001</v>
      </c>
      <c r="K2314">
        <v>1.117278</v>
      </c>
      <c r="L2314">
        <v>214.4051</v>
      </c>
      <c r="M2314">
        <v>0.96784139999999996</v>
      </c>
      <c r="N2314">
        <v>0</v>
      </c>
      <c r="O2314">
        <v>-0.25111889999999998</v>
      </c>
      <c r="P2314">
        <v>0.98200730000000003</v>
      </c>
      <c r="Q2314">
        <v>0.1222158</v>
      </c>
      <c r="R2314">
        <v>-0.14396220000000001</v>
      </c>
      <c r="S2314">
        <v>3.0883479999999999</v>
      </c>
      <c r="T2314">
        <v>-0.27313749999999998</v>
      </c>
      <c r="U2314">
        <v>-1.5396119999999999E-2</v>
      </c>
      <c r="V2314">
        <v>-0.1095199</v>
      </c>
      <c r="W2314">
        <v>0.135129</v>
      </c>
      <c r="X2314">
        <v>0.98475659999999998</v>
      </c>
      <c r="Y2314">
        <v>-0.2444006</v>
      </c>
      <c r="Z2314">
        <v>3.2770439999999998E-2</v>
      </c>
      <c r="AA2314">
        <v>0.96912039999999999</v>
      </c>
      <c r="AB2314">
        <v>23</v>
      </c>
      <c r="AC2314">
        <v>12.3973</v>
      </c>
      <c r="AD2314">
        <v>-1.117276544951</v>
      </c>
      <c r="AE2314">
        <v>-1.29000000000019E-2</v>
      </c>
      <c r="AF2314">
        <v>-3.0760718536657601</v>
      </c>
      <c r="AG2314">
        <v>-1.117276544951</v>
      </c>
      <c r="AH2314">
        <v>11.9064886644854</v>
      </c>
      <c r="AI2314">
        <v>95.191326882571204</v>
      </c>
      <c r="AJ2314">
        <v>104.485766364634</v>
      </c>
      <c r="AK2314">
        <v>12.348076661745001</v>
      </c>
      <c r="AL2314">
        <v>82.233920666943803</v>
      </c>
      <c r="AM2314">
        <v>96.346082675081902</v>
      </c>
      <c r="AN2314">
        <v>1.00000000819028</v>
      </c>
    </row>
    <row r="2315" spans="1:40" x14ac:dyDescent="0.25">
      <c r="A2315" t="str">
        <f>"20190312164309456"</f>
        <v>20190312164309456</v>
      </c>
      <c r="B2315" t="str">
        <f>"1552380189446619"</f>
        <v>1552380189446619</v>
      </c>
      <c r="C2315" t="s">
        <v>40</v>
      </c>
      <c r="D2315">
        <v>4.7228269999999997</v>
      </c>
      <c r="E2315">
        <v>0.45203330000000003</v>
      </c>
      <c r="F2315" t="s">
        <v>46</v>
      </c>
      <c r="G2315">
        <v>-465.63490000000002</v>
      </c>
      <c r="H2315" s="1">
        <v>1.4718240000000001E-6</v>
      </c>
      <c r="I2315">
        <v>214.38720000000001</v>
      </c>
      <c r="J2315">
        <v>-477.59629999999999</v>
      </c>
      <c r="K2315">
        <v>1.1168659999999999</v>
      </c>
      <c r="L2315">
        <v>214.32560000000001</v>
      </c>
      <c r="M2315">
        <v>0.97259799999999996</v>
      </c>
      <c r="N2315">
        <v>0</v>
      </c>
      <c r="O2315">
        <v>-0.23202049999999999</v>
      </c>
      <c r="P2315">
        <v>0.9830875</v>
      </c>
      <c r="Q2315">
        <v>0.1216259</v>
      </c>
      <c r="R2315">
        <v>-0.13691629999999999</v>
      </c>
      <c r="S2315">
        <v>3.0890810000000002</v>
      </c>
      <c r="T2315">
        <v>-0.27909529999999999</v>
      </c>
      <c r="U2315">
        <v>-4.4708250000000003E-3</v>
      </c>
      <c r="V2315">
        <v>-9.7041680000000005E-2</v>
      </c>
      <c r="W2315">
        <v>0.1347699</v>
      </c>
      <c r="X2315">
        <v>0.98611349999999998</v>
      </c>
      <c r="Y2315">
        <v>-0.22877420000000001</v>
      </c>
      <c r="Z2315">
        <v>3.1090329999999999E-2</v>
      </c>
      <c r="AA2315">
        <v>0.97298289999999998</v>
      </c>
      <c r="AB2315">
        <v>23</v>
      </c>
      <c r="AC2315">
        <v>11.9613999999999</v>
      </c>
      <c r="AD2315">
        <v>-1.1168645281759999</v>
      </c>
      <c r="AE2315">
        <v>6.1599999999998503E-2</v>
      </c>
      <c r="AF2315">
        <v>-2.8110065875610801</v>
      </c>
      <c r="AG2315">
        <v>-1.1168645281759999</v>
      </c>
      <c r="AH2315">
        <v>11.5201824367612</v>
      </c>
      <c r="AI2315">
        <v>95.380540755073994</v>
      </c>
      <c r="AJ2315">
        <v>103.712622112489</v>
      </c>
      <c r="AK2315">
        <v>11.9106568998469</v>
      </c>
      <c r="AL2315">
        <v>82.254684874015496</v>
      </c>
      <c r="AM2315">
        <v>95.620280026341007</v>
      </c>
      <c r="AN2315">
        <v>0.99999992424273798</v>
      </c>
    </row>
    <row r="2316" spans="1:40" x14ac:dyDescent="0.25">
      <c r="A2316" t="str">
        <f>"20190312164309477"</f>
        <v>20190312164309477</v>
      </c>
      <c r="B2316" t="str">
        <f>"1552380189467115"</f>
        <v>1552380189467115</v>
      </c>
      <c r="C2316" t="s">
        <v>40</v>
      </c>
      <c r="D2316">
        <v>6.620107</v>
      </c>
      <c r="E2316">
        <v>0.45260699999999998</v>
      </c>
      <c r="F2316" t="s">
        <v>46</v>
      </c>
      <c r="G2316">
        <v>-465.34089999999998</v>
      </c>
      <c r="H2316" s="1">
        <v>1.3168189999999999E-6</v>
      </c>
      <c r="I2316">
        <v>214.35419999999999</v>
      </c>
      <c r="J2316">
        <v>-477.38029999999998</v>
      </c>
      <c r="K2316">
        <v>1.1166259999999999</v>
      </c>
      <c r="L2316">
        <v>214.2861</v>
      </c>
      <c r="M2316">
        <v>0.97487690000000005</v>
      </c>
      <c r="N2316">
        <v>0</v>
      </c>
      <c r="O2316">
        <v>-0.2222539</v>
      </c>
      <c r="P2316">
        <v>0.98360340000000002</v>
      </c>
      <c r="Q2316">
        <v>0.1213036</v>
      </c>
      <c r="R2316">
        <v>-0.1334533</v>
      </c>
      <c r="S2316">
        <v>3.0874329999999999</v>
      </c>
      <c r="T2316">
        <v>-0.2813659</v>
      </c>
      <c r="U2316">
        <v>7.2021480000000002E-3</v>
      </c>
      <c r="V2316">
        <v>-9.0534939999999994E-2</v>
      </c>
      <c r="W2316">
        <v>0.1345568</v>
      </c>
      <c r="X2316">
        <v>0.98676129999999995</v>
      </c>
      <c r="Y2316">
        <v>-0.22271940000000001</v>
      </c>
      <c r="Z2316">
        <v>3.02154E-2</v>
      </c>
      <c r="AA2316">
        <v>0.97441420000000001</v>
      </c>
      <c r="AB2316">
        <v>23</v>
      </c>
      <c r="AC2316">
        <v>12.039400000000001</v>
      </c>
      <c r="AD2316">
        <v>-1.1166246831810001</v>
      </c>
      <c r="AE2316">
        <v>6.8099999999986893E-2</v>
      </c>
      <c r="AF2316">
        <v>-2.7191027291310901</v>
      </c>
      <c r="AG2316">
        <v>-1.1166246831810001</v>
      </c>
      <c r="AH2316">
        <v>11.6230968097057</v>
      </c>
      <c r="AI2316">
        <v>95.344115516853606</v>
      </c>
      <c r="AJ2316">
        <v>103.166961361307</v>
      </c>
      <c r="AK2316">
        <v>11.989026223278101</v>
      </c>
      <c r="AL2316">
        <v>82.267007317833801</v>
      </c>
      <c r="AM2316">
        <v>95.242187327271097</v>
      </c>
      <c r="AN2316">
        <v>0.99999998548236702</v>
      </c>
    </row>
    <row r="2317" spans="1:40" x14ac:dyDescent="0.25">
      <c r="A2317" t="str">
        <f>"20190312164309499"</f>
        <v>20190312164309499</v>
      </c>
      <c r="B2317" t="str">
        <f>"1552380189496395"</f>
        <v>1552380189496395</v>
      </c>
      <c r="C2317" t="s">
        <v>40</v>
      </c>
      <c r="D2317">
        <v>4.6277150000000002</v>
      </c>
      <c r="E2317">
        <v>0.45402569999999998</v>
      </c>
      <c r="F2317" t="s">
        <v>46</v>
      </c>
      <c r="G2317">
        <v>-465.1499</v>
      </c>
      <c r="H2317" s="1">
        <v>1.2154569999999999E-6</v>
      </c>
      <c r="I2317">
        <v>214.3484</v>
      </c>
      <c r="J2317">
        <v>-477.16890000000001</v>
      </c>
      <c r="K2317">
        <v>1.116384</v>
      </c>
      <c r="L2317">
        <v>214.2491</v>
      </c>
      <c r="M2317">
        <v>0.97694060000000005</v>
      </c>
      <c r="N2317">
        <v>0</v>
      </c>
      <c r="O2317">
        <v>-0.2130039</v>
      </c>
      <c r="P2317">
        <v>0.98390350000000004</v>
      </c>
      <c r="Q2317">
        <v>0.12225080000000001</v>
      </c>
      <c r="R2317">
        <v>-0.13034100000000001</v>
      </c>
      <c r="S2317">
        <v>3.0869140000000002</v>
      </c>
      <c r="T2317">
        <v>-0.28183279999999999</v>
      </c>
      <c r="U2317">
        <v>1.5731809999999999E-2</v>
      </c>
      <c r="V2317">
        <v>-8.4199529999999995E-2</v>
      </c>
      <c r="W2317">
        <v>0.1356029</v>
      </c>
      <c r="X2317">
        <v>0.98717900000000003</v>
      </c>
      <c r="Y2317">
        <v>-0.216228</v>
      </c>
      <c r="Z2317">
        <v>2.9148609999999998E-2</v>
      </c>
      <c r="AA2317">
        <v>0.97590770000000004</v>
      </c>
      <c r="AB2317">
        <v>23</v>
      </c>
      <c r="AC2317">
        <v>12.019</v>
      </c>
      <c r="AD2317">
        <v>-1.1163827845430001</v>
      </c>
      <c r="AE2317">
        <v>9.92999999999995E-2</v>
      </c>
      <c r="AF2317">
        <v>-2.6346623843304999</v>
      </c>
      <c r="AG2317">
        <v>-1.1163827845430001</v>
      </c>
      <c r="AH2317">
        <v>11.621705695532601</v>
      </c>
      <c r="AI2317">
        <v>95.352016890889402</v>
      </c>
      <c r="AJ2317">
        <v>102.773160849687</v>
      </c>
      <c r="AK2317">
        <v>11.968784385834899</v>
      </c>
      <c r="AL2317">
        <v>82.206516225521597</v>
      </c>
      <c r="AM2317">
        <v>94.875133871959704</v>
      </c>
      <c r="AN2317">
        <v>1.00000004269081</v>
      </c>
    </row>
    <row r="2318" spans="1:40" x14ac:dyDescent="0.25">
      <c r="A2318" t="str">
        <f>"20190312164309524"</f>
        <v>20190312164309524</v>
      </c>
      <c r="B2318" t="str">
        <f>"1552380189516892"</f>
        <v>1552380189516892</v>
      </c>
      <c r="C2318" t="s">
        <v>40</v>
      </c>
      <c r="D2318">
        <v>4.706728</v>
      </c>
      <c r="E2318">
        <v>0.45464779999999999</v>
      </c>
      <c r="F2318" t="s">
        <v>46</v>
      </c>
      <c r="G2318">
        <v>-464.64569999999998</v>
      </c>
      <c r="H2318" s="1">
        <v>9.4881340000000004E-7</v>
      </c>
      <c r="I2318">
        <v>214.31</v>
      </c>
      <c r="J2318">
        <v>-476.92840000000001</v>
      </c>
      <c r="K2318">
        <v>1.1161049999999999</v>
      </c>
      <c r="L2318">
        <v>214.20910000000001</v>
      </c>
      <c r="M2318">
        <v>0.97908269999999997</v>
      </c>
      <c r="N2318">
        <v>0</v>
      </c>
      <c r="O2318">
        <v>-0.20293420000000001</v>
      </c>
      <c r="P2318">
        <v>0.98412279999999996</v>
      </c>
      <c r="Q2318">
        <v>0.1243298</v>
      </c>
      <c r="R2318">
        <v>-0.1266669</v>
      </c>
      <c r="S2318">
        <v>3.0852360000000001</v>
      </c>
      <c r="T2318">
        <v>-0.27503440000000001</v>
      </c>
      <c r="U2318">
        <v>1.5014649999999999E-2</v>
      </c>
      <c r="V2318">
        <v>-7.7587399999999904E-2</v>
      </c>
      <c r="W2318">
        <v>0.137773799999999</v>
      </c>
      <c r="X2318">
        <v>0.98742010000000002</v>
      </c>
      <c r="Y2318">
        <v>-0.2061048</v>
      </c>
      <c r="Z2318">
        <v>2.713219E-2</v>
      </c>
      <c r="AA2318">
        <v>0.97815370000000001</v>
      </c>
      <c r="AB2318">
        <v>23</v>
      </c>
      <c r="AC2318">
        <v>12.2827</v>
      </c>
      <c r="AD2318">
        <v>-1.1161040511865901</v>
      </c>
      <c r="AE2318">
        <v>0.10089999999999499</v>
      </c>
      <c r="AF2318">
        <v>-2.57042513230116</v>
      </c>
      <c r="AG2318">
        <v>-1.1161040511865901</v>
      </c>
      <c r="AH2318">
        <v>11.9082726226448</v>
      </c>
      <c r="AI2318">
        <v>95.234547650660602</v>
      </c>
      <c r="AJ2318">
        <v>102.18053425662001</v>
      </c>
      <c r="AK2318">
        <v>12.2335493814785</v>
      </c>
      <c r="AL2318">
        <v>82.080953460598195</v>
      </c>
      <c r="AM2318">
        <v>94.4928347734553</v>
      </c>
      <c r="AN2318">
        <v>0.99999993924460295</v>
      </c>
    </row>
    <row r="2319" spans="1:40" x14ac:dyDescent="0.25">
      <c r="A2319" t="str">
        <f>"20190312164309546"</f>
        <v>20190312164309546</v>
      </c>
      <c r="B2319" t="str">
        <f>"1552380189536411"</f>
        <v>1552380189536411</v>
      </c>
      <c r="C2319" t="s">
        <v>40</v>
      </c>
      <c r="D2319">
        <v>4.8541670000000003</v>
      </c>
      <c r="E2319">
        <v>0.455372</v>
      </c>
      <c r="F2319" t="s">
        <v>46</v>
      </c>
      <c r="G2319">
        <v>-464.13380000000001</v>
      </c>
      <c r="H2319" s="1">
        <v>6.7707550000000001E-7</v>
      </c>
      <c r="I2319">
        <v>214.29429999999999</v>
      </c>
      <c r="J2319">
        <v>-476.71120000000002</v>
      </c>
      <c r="K2319">
        <v>1.115856</v>
      </c>
      <c r="L2319">
        <v>214.1748</v>
      </c>
      <c r="M2319">
        <v>0.98084629999999995</v>
      </c>
      <c r="N2319">
        <v>0</v>
      </c>
      <c r="O2319">
        <v>-0.19423550000000001</v>
      </c>
      <c r="P2319">
        <v>0.98417069999999995</v>
      </c>
      <c r="Q2319">
        <v>0.12647410000000001</v>
      </c>
      <c r="R2319">
        <v>-0.12414749999999999</v>
      </c>
      <c r="S2319">
        <v>3.0850219999999999</v>
      </c>
      <c r="T2319">
        <v>-0.2691134</v>
      </c>
      <c r="U2319">
        <v>2.053833E-2</v>
      </c>
      <c r="V2319">
        <v>-7.1225479999999994E-2</v>
      </c>
      <c r="W2319">
        <v>0.13999420000000001</v>
      </c>
      <c r="X2319">
        <v>0.9875872</v>
      </c>
      <c r="Y2319">
        <v>-0.19929450000000001</v>
      </c>
      <c r="Z2319">
        <v>2.5510250000000002E-2</v>
      </c>
      <c r="AA2319">
        <v>0.97960749999999996</v>
      </c>
      <c r="AB2319">
        <v>23</v>
      </c>
      <c r="AC2319">
        <v>12.577400000000001</v>
      </c>
      <c r="AD2319">
        <v>-1.1158553229244901</v>
      </c>
      <c r="AE2319">
        <v>0.11949999999998701</v>
      </c>
      <c r="AF2319">
        <v>-2.54046714864509</v>
      </c>
      <c r="AG2319">
        <v>-1.1158553229244901</v>
      </c>
      <c r="AH2319">
        <v>12.2184338163948</v>
      </c>
      <c r="AI2319">
        <v>95.109417085063001</v>
      </c>
      <c r="AJ2319">
        <v>101.745636623785</v>
      </c>
      <c r="AK2319">
        <v>12.529534363281901</v>
      </c>
      <c r="AL2319">
        <v>81.952489060085497</v>
      </c>
      <c r="AM2319">
        <v>94.125069569376805</v>
      </c>
      <c r="AN2319">
        <v>0.99999996131935398</v>
      </c>
    </row>
    <row r="2320" spans="1:40" x14ac:dyDescent="0.25">
      <c r="A2320" t="str">
        <f>"20190312164309567"</f>
        <v>20190312164309567</v>
      </c>
      <c r="B2320" t="str">
        <f>"1552380189556496"</f>
        <v>1552380189556496</v>
      </c>
      <c r="C2320" t="s">
        <v>40</v>
      </c>
      <c r="D2320">
        <v>4.8262830000000001</v>
      </c>
      <c r="E2320">
        <v>0.45591399999999999</v>
      </c>
      <c r="F2320" t="s">
        <v>46</v>
      </c>
      <c r="G2320">
        <v>-463.75569999999999</v>
      </c>
      <c r="H2320" s="1">
        <v>4.7698059999999998E-7</v>
      </c>
      <c r="I2320">
        <v>214.26939999999999</v>
      </c>
      <c r="J2320">
        <v>-476.5059</v>
      </c>
      <c r="K2320">
        <v>1.115645</v>
      </c>
      <c r="L2320">
        <v>214.1438</v>
      </c>
      <c r="M2320">
        <v>0.98238769999999997</v>
      </c>
      <c r="N2320">
        <v>0</v>
      </c>
      <c r="O2320">
        <v>-0.18628719999999999</v>
      </c>
      <c r="P2320">
        <v>0.98419089999999998</v>
      </c>
      <c r="Q2320">
        <v>0.12801569999999901</v>
      </c>
      <c r="R2320">
        <v>-0.1223945</v>
      </c>
      <c r="S2320">
        <v>3.0852360000000001</v>
      </c>
      <c r="T2320">
        <v>-0.26573039999999998</v>
      </c>
      <c r="U2320">
        <v>2.2537229999999998E-2</v>
      </c>
      <c r="V2320">
        <v>-6.4883700000000002E-2</v>
      </c>
      <c r="W2320">
        <v>0.14160210000000001</v>
      </c>
      <c r="X2320">
        <v>0.98779499999999998</v>
      </c>
      <c r="Y2320">
        <v>-0.19208349999999999</v>
      </c>
      <c r="Z2320">
        <v>2.4205210000000001E-2</v>
      </c>
      <c r="AA2320">
        <v>0.98108010000000001</v>
      </c>
      <c r="AB2320">
        <v>23</v>
      </c>
      <c r="AC2320">
        <v>12.7502</v>
      </c>
      <c r="AD2320">
        <v>-1.1156445230193901</v>
      </c>
      <c r="AE2320">
        <v>0.125599999999991</v>
      </c>
      <c r="AF2320">
        <v>-2.4798664980799998</v>
      </c>
      <c r="AG2320">
        <v>-1.1156445230193901</v>
      </c>
      <c r="AH2320">
        <v>12.4085699742693</v>
      </c>
      <c r="AI2320">
        <v>95.038496761818394</v>
      </c>
      <c r="AJ2320">
        <v>101.30172964461001</v>
      </c>
      <c r="AK2320">
        <v>12.703031502613101</v>
      </c>
      <c r="AL2320">
        <v>81.859436562508606</v>
      </c>
      <c r="AM2320">
        <v>93.758096979852894</v>
      </c>
      <c r="AN2320">
        <v>1.00000000563755</v>
      </c>
    </row>
    <row r="2321" spans="1:40" x14ac:dyDescent="0.25">
      <c r="A2321" t="str">
        <f>"20190312164309617"</f>
        <v>20190312164309617</v>
      </c>
      <c r="B2321" t="str">
        <f>"1552380189606272"</f>
        <v>1552380189606272</v>
      </c>
      <c r="C2321" t="s">
        <v>40</v>
      </c>
      <c r="D2321">
        <v>4.76288</v>
      </c>
      <c r="E2321">
        <v>0.45708470000000001</v>
      </c>
      <c r="F2321" t="s">
        <v>46</v>
      </c>
      <c r="G2321">
        <v>-463.36579999999998</v>
      </c>
      <c r="H2321" s="1">
        <v>2.7063329999999999E-7</v>
      </c>
      <c r="I2321">
        <v>214.24289999999999</v>
      </c>
      <c r="J2321">
        <v>-476.01760000000002</v>
      </c>
      <c r="K2321">
        <v>1.115245</v>
      </c>
      <c r="L2321">
        <v>214.0754</v>
      </c>
      <c r="M2321">
        <v>0.98560970000000003</v>
      </c>
      <c r="N2321">
        <v>0</v>
      </c>
      <c r="O2321">
        <v>-0.1684194</v>
      </c>
      <c r="P2321">
        <v>0.98467590000000005</v>
      </c>
      <c r="Q2321">
        <v>0.1301504</v>
      </c>
      <c r="R2321">
        <v>-0.1160794</v>
      </c>
      <c r="S2321">
        <v>3.085175</v>
      </c>
      <c r="T2321">
        <v>-0.26194299999999998</v>
      </c>
      <c r="U2321">
        <v>2.3284909999999999E-2</v>
      </c>
      <c r="V2321">
        <v>-5.3086220000000003E-2</v>
      </c>
      <c r="W2321">
        <v>0.14383170000000001</v>
      </c>
      <c r="X2321">
        <v>0.98817719999999998</v>
      </c>
      <c r="Y2321">
        <v>-0.1746412</v>
      </c>
      <c r="Z2321">
        <v>2.1626300000000001E-2</v>
      </c>
      <c r="AA2321">
        <v>0.98439460000000001</v>
      </c>
      <c r="AB2321">
        <v>22</v>
      </c>
      <c r="AC2321">
        <v>12.6518</v>
      </c>
      <c r="AD2321">
        <v>-1.1152447293666901</v>
      </c>
      <c r="AE2321">
        <v>0.16749999999998899</v>
      </c>
      <c r="AF2321">
        <v>-2.2784365395827901</v>
      </c>
      <c r="AG2321">
        <v>-1.1152447293666901</v>
      </c>
      <c r="AH2321">
        <v>12.3469014584345</v>
      </c>
      <c r="AI2321">
        <v>95.076040386422306</v>
      </c>
      <c r="AJ2321">
        <v>100.45545997328701</v>
      </c>
      <c r="AK2321">
        <v>12.604801446099</v>
      </c>
      <c r="AL2321">
        <v>81.730368134646397</v>
      </c>
      <c r="AM2321">
        <v>93.075051107888697</v>
      </c>
      <c r="AN2321">
        <v>0.99999994163930706</v>
      </c>
    </row>
    <row r="2322" spans="1:40" x14ac:dyDescent="0.25">
      <c r="A2322" t="str">
        <f>"20190312164309645"</f>
        <v>20190312164309645</v>
      </c>
      <c r="B2322" t="str">
        <f>"1552380189636527"</f>
        <v>1552380189636527</v>
      </c>
      <c r="C2322" t="s">
        <v>40</v>
      </c>
      <c r="D2322">
        <v>4.8950480000000001</v>
      </c>
      <c r="E2322">
        <v>0.45775450000000001</v>
      </c>
      <c r="F2322" t="s">
        <v>46</v>
      </c>
      <c r="G2322">
        <v>-462.41210000000001</v>
      </c>
      <c r="H2322" s="1">
        <v>-2.3671969999999999E-7</v>
      </c>
      <c r="I2322">
        <v>214.24</v>
      </c>
      <c r="J2322">
        <v>-475.74470000000002</v>
      </c>
      <c r="K2322">
        <v>1.115046</v>
      </c>
      <c r="L2322">
        <v>214.04050000000001</v>
      </c>
      <c r="M2322">
        <v>0.98717299999999997</v>
      </c>
      <c r="N2322">
        <v>0</v>
      </c>
      <c r="O2322">
        <v>-0.1590056</v>
      </c>
      <c r="P2322">
        <v>0.98458330000000005</v>
      </c>
      <c r="Q2322">
        <v>0.13298380000000001</v>
      </c>
      <c r="R2322">
        <v>-0.11362750000000001</v>
      </c>
      <c r="S2322">
        <v>3.084473</v>
      </c>
      <c r="T2322">
        <v>-0.25283529999999999</v>
      </c>
      <c r="U2322">
        <v>3.7307739999999999E-2</v>
      </c>
      <c r="V2322">
        <v>-4.6000569999999998E-2</v>
      </c>
      <c r="W2322">
        <v>0.14670899999999901</v>
      </c>
      <c r="X2322">
        <v>0.98810949999999997</v>
      </c>
      <c r="Y2322">
        <v>-0.169851</v>
      </c>
      <c r="Z2322">
        <v>1.9923659999999999E-2</v>
      </c>
      <c r="AA2322">
        <v>0.98526829999999999</v>
      </c>
      <c r="AB2322">
        <v>22</v>
      </c>
      <c r="AC2322">
        <v>13.332599999999999</v>
      </c>
      <c r="AD2322">
        <v>-1.1150462367197</v>
      </c>
      <c r="AE2322">
        <v>0.19950000000000001</v>
      </c>
      <c r="AF2322">
        <v>-2.3010474990208598</v>
      </c>
      <c r="AG2322">
        <v>-1.1150462367197</v>
      </c>
      <c r="AH2322">
        <v>13.0400302761688</v>
      </c>
      <c r="AI2322">
        <v>94.813434509579807</v>
      </c>
      <c r="AJ2322">
        <v>100.00740746813401</v>
      </c>
      <c r="AK2322">
        <v>13.2883609713979</v>
      </c>
      <c r="AL2322">
        <v>81.563743716808602</v>
      </c>
      <c r="AM2322">
        <v>92.665430225408699</v>
      </c>
      <c r="AN2322">
        <v>0.99999998355578701</v>
      </c>
    </row>
    <row r="2323" spans="1:40" x14ac:dyDescent="0.25">
      <c r="A2323" t="str">
        <f>"20190312164309667"</f>
        <v>20190312164309667</v>
      </c>
      <c r="B2323" t="str">
        <f>"1552380189657025"</f>
        <v>1552380189657025</v>
      </c>
      <c r="C2323" t="s">
        <v>40</v>
      </c>
      <c r="D2323">
        <v>4.6967290000000004</v>
      </c>
      <c r="E2323">
        <v>0.45817160000000001</v>
      </c>
      <c r="F2323" t="s">
        <v>46</v>
      </c>
      <c r="G2323">
        <v>-461.88350000000003</v>
      </c>
      <c r="H2323" s="1">
        <v>-5.1684990000000003E-7</v>
      </c>
      <c r="I2323">
        <v>214.2131</v>
      </c>
      <c r="J2323">
        <v>-475.5222</v>
      </c>
      <c r="K2323">
        <v>1.1148739999999999</v>
      </c>
      <c r="L2323">
        <v>214.0136</v>
      </c>
      <c r="M2323">
        <v>0.98833249999999995</v>
      </c>
      <c r="N2323">
        <v>0</v>
      </c>
      <c r="O2323">
        <v>-0.1516361</v>
      </c>
      <c r="P2323">
        <v>0.98459940000000001</v>
      </c>
      <c r="Q2323">
        <v>0.13428180000000001</v>
      </c>
      <c r="R2323">
        <v>-0.1119482</v>
      </c>
      <c r="S2323">
        <v>3.0849609999999998</v>
      </c>
      <c r="T2323">
        <v>-0.2481662</v>
      </c>
      <c r="U2323">
        <v>3.8421629999999998E-2</v>
      </c>
      <c r="V2323">
        <v>-4.02256E-2</v>
      </c>
      <c r="W2323">
        <v>0.14804139999999999</v>
      </c>
      <c r="X2323">
        <v>0.98816280000000001</v>
      </c>
      <c r="Y2323">
        <v>-0.16293569999999999</v>
      </c>
      <c r="Z2323">
        <v>1.8689460000000001E-2</v>
      </c>
      <c r="AA2323">
        <v>0.98645970000000005</v>
      </c>
      <c r="AB2323">
        <v>22</v>
      </c>
      <c r="AC2323">
        <v>13.638699999999901</v>
      </c>
      <c r="AD2323">
        <v>-1.1148745168498999</v>
      </c>
      <c r="AE2323">
        <v>0.19950000000000001</v>
      </c>
      <c r="AF2323">
        <v>-2.2504897098482801</v>
      </c>
      <c r="AG2323">
        <v>-1.1148745168498999</v>
      </c>
      <c r="AH2323">
        <v>13.3614383320357</v>
      </c>
      <c r="AI2323">
        <v>94.703743805428701</v>
      </c>
      <c r="AJ2323">
        <v>99.560689439869407</v>
      </c>
      <c r="AK2323">
        <v>13.5954287693786</v>
      </c>
      <c r="AL2323">
        <v>81.486560477345904</v>
      </c>
      <c r="AM2323">
        <v>92.331078748936406</v>
      </c>
      <c r="AN2323">
        <v>1.00000003715657</v>
      </c>
    </row>
    <row r="2324" spans="1:40" x14ac:dyDescent="0.25">
      <c r="A2324" t="str">
        <f>"20190312164309690"</f>
        <v>20190312164309690</v>
      </c>
      <c r="B2324" t="str">
        <f>"1552380189686305"</f>
        <v>1552380189686305</v>
      </c>
      <c r="C2324" t="s">
        <v>40</v>
      </c>
      <c r="D2324">
        <v>4.6749580000000002</v>
      </c>
      <c r="E2324">
        <v>0.45881260000000001</v>
      </c>
      <c r="F2324" t="s">
        <v>46</v>
      </c>
      <c r="G2324">
        <v>-461.41329999999999</v>
      </c>
      <c r="H2324" s="1">
        <v>-7.6658729999999998E-7</v>
      </c>
      <c r="I2324">
        <v>214.20230000000001</v>
      </c>
      <c r="J2324">
        <v>-475.3048</v>
      </c>
      <c r="K2324">
        <v>1.114708</v>
      </c>
      <c r="L2324">
        <v>213.98869999999999</v>
      </c>
      <c r="M2324">
        <v>0.98937649999999999</v>
      </c>
      <c r="N2324">
        <v>0</v>
      </c>
      <c r="O2324">
        <v>-0.14467269999999999</v>
      </c>
      <c r="P2324">
        <v>0.98465000000000003</v>
      </c>
      <c r="Q2324">
        <v>0.13553970000000001</v>
      </c>
      <c r="R2324">
        <v>-0.1099707</v>
      </c>
      <c r="S2324">
        <v>3.0849000000000002</v>
      </c>
      <c r="T2324">
        <v>-0.2437677</v>
      </c>
      <c r="U2324">
        <v>4.1259770000000001E-2</v>
      </c>
      <c r="V2324">
        <v>-3.5166589999999998E-2</v>
      </c>
      <c r="W2324">
        <v>0.14932400000000001</v>
      </c>
      <c r="X2324">
        <v>0.98816280000000001</v>
      </c>
      <c r="Y2324">
        <v>-0.1569691</v>
      </c>
      <c r="Z2324">
        <v>1.7579279999999999E-2</v>
      </c>
      <c r="AA2324">
        <v>0.98744699999999996</v>
      </c>
      <c r="AB2324">
        <v>22</v>
      </c>
      <c r="AC2324">
        <v>13.891500000000001</v>
      </c>
      <c r="AD2324">
        <v>-1.1147087665872999</v>
      </c>
      <c r="AE2324">
        <v>0.213600000000013</v>
      </c>
      <c r="AF2324">
        <v>-2.2070699953176298</v>
      </c>
      <c r="AG2324">
        <v>-1.1147087665872999</v>
      </c>
      <c r="AH2324">
        <v>13.626697367277099</v>
      </c>
      <c r="AI2324">
        <v>94.6166728172022</v>
      </c>
      <c r="AJ2324">
        <v>99.200109046310104</v>
      </c>
      <c r="AK2324">
        <v>13.8492098957989</v>
      </c>
      <c r="AL2324">
        <v>81.412246870343793</v>
      </c>
      <c r="AM2324">
        <v>92.038173480650499</v>
      </c>
      <c r="AN2324">
        <v>1.0000000326660301</v>
      </c>
    </row>
    <row r="2325" spans="1:40" x14ac:dyDescent="0.25">
      <c r="A2325" t="str">
        <f>"20190312164309712"</f>
        <v>20190312164309712</v>
      </c>
      <c r="B2325" t="str">
        <f>"1552380189706801"</f>
        <v>1552380189706801</v>
      </c>
      <c r="C2325" t="s">
        <v>40</v>
      </c>
      <c r="D2325">
        <v>4.6870320000000003</v>
      </c>
      <c r="E2325">
        <v>0.45922439999999998</v>
      </c>
      <c r="F2325" t="s">
        <v>46</v>
      </c>
      <c r="G2325">
        <v>-460.99209999999999</v>
      </c>
      <c r="H2325" s="1">
        <v>-9.9041519999999995E-7</v>
      </c>
      <c r="I2325">
        <v>214.1943</v>
      </c>
      <c r="J2325">
        <v>-475.08159999999998</v>
      </c>
      <c r="K2325">
        <v>1.1145309999999999</v>
      </c>
      <c r="L2325">
        <v>213.96440000000001</v>
      </c>
      <c r="M2325">
        <v>0.99036150000000001</v>
      </c>
      <c r="N2325">
        <v>0</v>
      </c>
      <c r="O2325">
        <v>-0.1377729</v>
      </c>
      <c r="P2325">
        <v>0.98496700000000004</v>
      </c>
      <c r="Q2325">
        <v>0.13553589999999999</v>
      </c>
      <c r="R2325">
        <v>-0.1070996</v>
      </c>
      <c r="S2325">
        <v>3.084778</v>
      </c>
      <c r="T2325">
        <v>-0.2402495</v>
      </c>
      <c r="U2325">
        <v>4.431152E-2</v>
      </c>
      <c r="V2325">
        <v>-3.108619E-2</v>
      </c>
      <c r="W2325">
        <v>0.14933379999999999</v>
      </c>
      <c r="X2325">
        <v>0.98829809999999996</v>
      </c>
      <c r="Y2325">
        <v>-0.1511256</v>
      </c>
      <c r="Z2325">
        <v>1.6567120000000001E-2</v>
      </c>
      <c r="AA2325">
        <v>0.98837569999999997</v>
      </c>
      <c r="AB2325">
        <v>22</v>
      </c>
      <c r="AC2325">
        <v>14.0894999999999</v>
      </c>
      <c r="AD2325">
        <v>-1.1145319904152</v>
      </c>
      <c r="AE2325">
        <v>0.229899999999986</v>
      </c>
      <c r="AF2325">
        <v>-2.15557058097703</v>
      </c>
      <c r="AG2325">
        <v>-1.1145319904152</v>
      </c>
      <c r="AH2325">
        <v>13.836875946206</v>
      </c>
      <c r="AI2325">
        <v>94.550463984981704</v>
      </c>
      <c r="AJ2325">
        <v>98.854620863012002</v>
      </c>
      <c r="AK2325">
        <v>14.0480533184469</v>
      </c>
      <c r="AL2325">
        <v>81.411679022584593</v>
      </c>
      <c r="AM2325">
        <v>91.801602618371604</v>
      </c>
      <c r="AN2325">
        <v>1.0000000347473801</v>
      </c>
    </row>
    <row r="2326" spans="1:40" x14ac:dyDescent="0.25">
      <c r="A2326" t="str">
        <f>"20190312164309757"</f>
        <v>20190312164309757</v>
      </c>
      <c r="B2326" t="str">
        <f>"1552380189746360"</f>
        <v>1552380189746360</v>
      </c>
      <c r="C2326" t="s">
        <v>40</v>
      </c>
      <c r="D2326">
        <v>4.688123</v>
      </c>
      <c r="E2326">
        <v>0.45993020000000001</v>
      </c>
      <c r="F2326" t="s">
        <v>46</v>
      </c>
      <c r="G2326">
        <v>-460.78960000000001</v>
      </c>
      <c r="H2326" s="1">
        <v>-1.0982539999999999E-6</v>
      </c>
      <c r="I2326">
        <v>214.19579999999999</v>
      </c>
      <c r="J2326">
        <v>-474.6508</v>
      </c>
      <c r="K2326">
        <v>1.114168</v>
      </c>
      <c r="L2326">
        <v>213.92089999999999</v>
      </c>
      <c r="M2326">
        <v>0.99202780000000002</v>
      </c>
      <c r="N2326">
        <v>0</v>
      </c>
      <c r="O2326">
        <v>-0.12522079999999999</v>
      </c>
      <c r="P2326">
        <v>0.98591079999999998</v>
      </c>
      <c r="Q2326">
        <v>0.13171070000000001</v>
      </c>
      <c r="R2326">
        <v>-0.10311339999999999</v>
      </c>
      <c r="S2326">
        <v>3.0842900000000002</v>
      </c>
      <c r="T2326">
        <v>-0.24052080000000001</v>
      </c>
      <c r="U2326">
        <v>4.9942019999999997E-2</v>
      </c>
      <c r="V2326">
        <v>-2.2455550000000001E-2</v>
      </c>
      <c r="W2326">
        <v>0.14554339999999999</v>
      </c>
      <c r="X2326">
        <v>0.989097</v>
      </c>
      <c r="Y2326">
        <v>-0.1404744</v>
      </c>
      <c r="Z2326">
        <v>1.520238E-2</v>
      </c>
      <c r="AA2326">
        <v>0.98996759999999995</v>
      </c>
      <c r="AB2326">
        <v>22</v>
      </c>
      <c r="AC2326">
        <v>13.861199999999901</v>
      </c>
      <c r="AD2326">
        <v>-1.114169098254</v>
      </c>
      <c r="AE2326">
        <v>0.27490000000000198</v>
      </c>
      <c r="AF2326">
        <v>-1.99573109199106</v>
      </c>
      <c r="AG2326">
        <v>-1.114169098254</v>
      </c>
      <c r="AH2326">
        <v>13.629621929916601</v>
      </c>
      <c r="AI2326">
        <v>94.624225223767098</v>
      </c>
      <c r="AJ2326">
        <v>98.330392601311402</v>
      </c>
      <c r="AK2326">
        <v>13.8199460680391</v>
      </c>
      <c r="AL2326">
        <v>81.631252497011104</v>
      </c>
      <c r="AM2326">
        <v>91.300567343602097</v>
      </c>
      <c r="AN2326">
        <v>1.0000000042091799</v>
      </c>
    </row>
    <row r="2327" spans="1:40" x14ac:dyDescent="0.25">
      <c r="A2327" t="str">
        <f>"20190312164309778"</f>
        <v>20190312164309778</v>
      </c>
      <c r="B2327" t="str">
        <f>"1552380189766842"</f>
        <v>1552380189766842</v>
      </c>
      <c r="C2327" t="s">
        <v>40</v>
      </c>
      <c r="D2327">
        <v>4.6809269999999996</v>
      </c>
      <c r="E2327">
        <v>0.46014129999999998</v>
      </c>
      <c r="F2327" t="s">
        <v>46</v>
      </c>
      <c r="G2327">
        <v>-461.04489999999998</v>
      </c>
      <c r="H2327" s="1">
        <v>-9.616086000000001E-7</v>
      </c>
      <c r="I2327">
        <v>214.17830000000001</v>
      </c>
      <c r="J2327">
        <v>-474.4409</v>
      </c>
      <c r="K2327">
        <v>1.114007</v>
      </c>
      <c r="L2327">
        <v>213.90129999999999</v>
      </c>
      <c r="M2327">
        <v>0.99273920000000004</v>
      </c>
      <c r="N2327">
        <v>0</v>
      </c>
      <c r="O2327">
        <v>-0.1194544</v>
      </c>
      <c r="P2327">
        <v>0.98626599999999998</v>
      </c>
      <c r="Q2327">
        <v>0.1303232</v>
      </c>
      <c r="R2327">
        <v>-0.1014656</v>
      </c>
      <c r="S2327">
        <v>3.0827330000000002</v>
      </c>
      <c r="T2327">
        <v>-0.25243949999999998</v>
      </c>
      <c r="U2327">
        <v>5.8303830000000001E-2</v>
      </c>
      <c r="V2327">
        <v>-1.83082E-2</v>
      </c>
      <c r="W2327">
        <v>0.14416709999999999</v>
      </c>
      <c r="X2327">
        <v>0.98938400000000004</v>
      </c>
      <c r="Y2327">
        <v>-0.1373607</v>
      </c>
      <c r="Z2327">
        <v>1.536506E-2</v>
      </c>
      <c r="AA2327">
        <v>0.99040189999999995</v>
      </c>
      <c r="AB2327">
        <v>22</v>
      </c>
      <c r="AC2327">
        <v>13.396000000000001</v>
      </c>
      <c r="AD2327">
        <v>-1.1140079616086001</v>
      </c>
      <c r="AE2327">
        <v>0.27700000000001501</v>
      </c>
      <c r="AF2327">
        <v>-1.8625122261520499</v>
      </c>
      <c r="AG2327">
        <v>-1.1140079616086001</v>
      </c>
      <c r="AH2327">
        <v>13.1758895870661</v>
      </c>
      <c r="AI2327">
        <v>94.785454794211205</v>
      </c>
      <c r="AJ2327">
        <v>98.045886017677702</v>
      </c>
      <c r="AK2327">
        <v>13.353427722560699</v>
      </c>
      <c r="AL2327">
        <v>81.710949399587804</v>
      </c>
      <c r="AM2327">
        <v>91.060117086528507</v>
      </c>
      <c r="AN2327">
        <v>1.0000000211828199</v>
      </c>
    </row>
    <row r="2328" spans="1:40" x14ac:dyDescent="0.25">
      <c r="A2328" t="str">
        <f>"20190312164309805"</f>
        <v>20190312164309805</v>
      </c>
      <c r="B2328" t="str">
        <f>"1552380189797100"</f>
        <v>1552380189797100</v>
      </c>
      <c r="C2328" t="s">
        <v>40</v>
      </c>
      <c r="D2328">
        <v>4.7375509999999998</v>
      </c>
      <c r="E2328">
        <v>0.48753419999999997</v>
      </c>
      <c r="F2328" t="s">
        <v>46</v>
      </c>
      <c r="G2328">
        <v>-461.12630000000001</v>
      </c>
      <c r="H2328" s="1">
        <v>-9.1823980000000001E-7</v>
      </c>
      <c r="I2328">
        <v>214.1772</v>
      </c>
      <c r="J2328">
        <v>-474.17849999999999</v>
      </c>
      <c r="K2328">
        <v>1.11382</v>
      </c>
      <c r="L2328">
        <v>213.87809999999999</v>
      </c>
      <c r="M2328">
        <v>0.99353930000000001</v>
      </c>
      <c r="N2328">
        <v>0</v>
      </c>
      <c r="O2328">
        <v>-0.11261119999999999</v>
      </c>
      <c r="P2328">
        <v>0.98666549999999997</v>
      </c>
      <c r="Q2328">
        <v>0.12988259999999999</v>
      </c>
      <c r="R2328">
        <v>-9.8090430000000006E-2</v>
      </c>
      <c r="S2328">
        <v>3.0824579999999999</v>
      </c>
      <c r="T2328">
        <v>-0.25790419999999997</v>
      </c>
      <c r="U2328">
        <v>6.3888550000000002E-2</v>
      </c>
      <c r="V2328">
        <v>-1.4803770000000001E-2</v>
      </c>
      <c r="W2328">
        <v>0.14372270000000001</v>
      </c>
      <c r="X2328">
        <v>0.98950729999999998</v>
      </c>
      <c r="Y2328">
        <v>-0.1323336</v>
      </c>
      <c r="Z2328">
        <v>1.491902E-2</v>
      </c>
      <c r="AA2328">
        <v>0.991093</v>
      </c>
      <c r="AB2328">
        <v>22</v>
      </c>
      <c r="AC2328">
        <v>13.0521999999999</v>
      </c>
      <c r="AD2328">
        <v>-1.1138209182398</v>
      </c>
      <c r="AE2328">
        <v>0.29910000000000903</v>
      </c>
      <c r="AF2328">
        <v>-1.75439761123018</v>
      </c>
      <c r="AG2328">
        <v>-1.1138209182398</v>
      </c>
      <c r="AH2328">
        <v>12.842005635038699</v>
      </c>
      <c r="AI2328">
        <v>94.911613178668603</v>
      </c>
      <c r="AJ2328">
        <v>97.779247811534404</v>
      </c>
      <c r="AK2328">
        <v>13.009059026177299</v>
      </c>
      <c r="AL2328">
        <v>81.736679690905802</v>
      </c>
      <c r="AM2328">
        <v>90.857123811371196</v>
      </c>
      <c r="AN2328">
        <v>1.00000003142739</v>
      </c>
    </row>
    <row r="2329" spans="1:40" x14ac:dyDescent="0.25">
      <c r="A2329" t="str">
        <f>"20190312164309846"</f>
        <v>20190312164309846</v>
      </c>
      <c r="B2329" t="str">
        <f>"1552380189837115"</f>
        <v>1552380189837115</v>
      </c>
      <c r="C2329" t="s">
        <v>40</v>
      </c>
      <c r="D2329">
        <v>4.751824</v>
      </c>
      <c r="E2329">
        <v>0.49424829999999997</v>
      </c>
      <c r="F2329" t="s">
        <v>41</v>
      </c>
      <c r="G2329">
        <v>-473.30180000000001</v>
      </c>
      <c r="H2329">
        <v>1.0090440000000001</v>
      </c>
      <c r="I2329">
        <v>213.83930000000001</v>
      </c>
      <c r="J2329">
        <v>-473.77769999999998</v>
      </c>
      <c r="K2329">
        <v>1.1135219999999999</v>
      </c>
      <c r="L2329">
        <v>213.84530000000001</v>
      </c>
      <c r="M2329">
        <v>0.9945908</v>
      </c>
      <c r="N2329">
        <v>0</v>
      </c>
      <c r="O2329">
        <v>-0.1029216</v>
      </c>
      <c r="P2329">
        <v>0.98675579999999996</v>
      </c>
      <c r="Q2329">
        <v>0.1310992</v>
      </c>
      <c r="R2329">
        <v>-9.5532660000000005E-2</v>
      </c>
      <c r="S2329">
        <v>3.0755309999999998</v>
      </c>
      <c r="T2329">
        <v>-0.3679539</v>
      </c>
      <c r="U2329">
        <v>-0.1356812</v>
      </c>
      <c r="V2329">
        <v>-7.5924649999999996E-3</v>
      </c>
      <c r="W2329">
        <v>0.14493809999999999</v>
      </c>
      <c r="X2329">
        <v>0.98941159999999995</v>
      </c>
      <c r="Y2329">
        <v>-5.7851180000000002E-2</v>
      </c>
      <c r="Z2329">
        <v>1.568837E-2</v>
      </c>
      <c r="AA2329">
        <v>0.99820200000000003</v>
      </c>
      <c r="AB2329">
        <v>22</v>
      </c>
      <c r="AC2329">
        <v>0.47589999999996702</v>
      </c>
      <c r="AD2329">
        <v>-0.104477999999999</v>
      </c>
      <c r="AE2329">
        <v>-6.0000000000002196E-3</v>
      </c>
      <c r="AF2329">
        <v>-4.1039412261332398E-2</v>
      </c>
      <c r="AG2329">
        <v>-0.104477999999999</v>
      </c>
      <c r="AH2329">
        <v>0.452198739324638</v>
      </c>
      <c r="AI2329">
        <v>102.95813902150999</v>
      </c>
      <c r="AJ2329">
        <v>95.1856869309849</v>
      </c>
      <c r="AK2329">
        <v>0.46592229576351901</v>
      </c>
      <c r="AL2329">
        <v>81.666305338306799</v>
      </c>
      <c r="AM2329">
        <v>90.439662989723701</v>
      </c>
      <c r="AN2329">
        <v>1.0000000062854699</v>
      </c>
    </row>
    <row r="2330" spans="1:40" x14ac:dyDescent="0.25">
      <c r="A2330" t="str">
        <f>"20190312164309868"</f>
        <v>20190312164309868</v>
      </c>
      <c r="B2330" t="str">
        <f>"1552380189856634"</f>
        <v>1552380189856634</v>
      </c>
      <c r="C2330" t="s">
        <v>40</v>
      </c>
      <c r="D2330">
        <v>4.7482139999999999</v>
      </c>
      <c r="E2330">
        <v>0.49539339999999998</v>
      </c>
      <c r="F2330" t="s">
        <v>41</v>
      </c>
      <c r="G2330">
        <v>-472.91489999999999</v>
      </c>
      <c r="H2330">
        <v>1.0138210000000001</v>
      </c>
      <c r="I2330">
        <v>213.79429999999999</v>
      </c>
      <c r="J2330">
        <v>-473.56299999999999</v>
      </c>
      <c r="K2330">
        <v>1.113381</v>
      </c>
      <c r="L2330">
        <v>213.82900000000001</v>
      </c>
      <c r="M2330">
        <v>0.99508149999999995</v>
      </c>
      <c r="N2330">
        <v>0</v>
      </c>
      <c r="O2330">
        <v>-9.80655E-2</v>
      </c>
      <c r="P2330">
        <v>0.98670539999999995</v>
      </c>
      <c r="Q2330">
        <v>0.13200509999999999</v>
      </c>
      <c r="R2330">
        <v>-9.4801629999999998E-2</v>
      </c>
      <c r="S2330">
        <v>3.0697939999999999</v>
      </c>
      <c r="T2330">
        <v>-0.35488370000000002</v>
      </c>
      <c r="U2330">
        <v>-0.1814423</v>
      </c>
      <c r="V2330">
        <v>-3.4274739999999998E-3</v>
      </c>
      <c r="W2330">
        <v>0.14584339999999901</v>
      </c>
      <c r="X2330">
        <v>0.98930169999999995</v>
      </c>
      <c r="Y2330">
        <v>-3.8283869999999998E-2</v>
      </c>
      <c r="Z2330">
        <v>1.3472430000000001E-2</v>
      </c>
      <c r="AA2330">
        <v>0.99917610000000001</v>
      </c>
      <c r="AB2330">
        <v>22</v>
      </c>
      <c r="AC2330">
        <v>0.64810000000005596</v>
      </c>
      <c r="AD2330">
        <v>-9.9559999999999996E-2</v>
      </c>
      <c r="AE2330">
        <v>-3.4700000000014997E-2</v>
      </c>
      <c r="AF2330">
        <v>-2.8362368844560799E-2</v>
      </c>
      <c r="AG2330">
        <v>-9.9559999999999996E-2</v>
      </c>
      <c r="AH2330">
        <v>0.63347241277149702</v>
      </c>
      <c r="AI2330">
        <v>98.923060330630904</v>
      </c>
      <c r="AJ2330">
        <v>92.563583581753406</v>
      </c>
      <c r="AK2330">
        <v>0.64187531134093101</v>
      </c>
      <c r="AL2330">
        <v>81.613877913546503</v>
      </c>
      <c r="AM2330">
        <v>90.198502649777097</v>
      </c>
      <c r="AN2330">
        <v>0.99999994926223401</v>
      </c>
    </row>
    <row r="2331" spans="1:40" x14ac:dyDescent="0.25">
      <c r="A2331" t="str">
        <f>"20190312164309893"</f>
        <v>20190312164309893</v>
      </c>
      <c r="B2331" t="str">
        <f>"1552380189886890"</f>
        <v>1552380189886890</v>
      </c>
      <c r="C2331" t="s">
        <v>40</v>
      </c>
      <c r="D2331">
        <v>4.7782669999999996</v>
      </c>
      <c r="E2331">
        <v>0.49609399999999998</v>
      </c>
      <c r="F2331" t="s">
        <v>41</v>
      </c>
      <c r="G2331">
        <v>-472.71870000000001</v>
      </c>
      <c r="H2331">
        <v>1.017325</v>
      </c>
      <c r="I2331">
        <v>213.7774</v>
      </c>
      <c r="J2331">
        <v>-473.31990000000002</v>
      </c>
      <c r="K2331">
        <v>1.113227</v>
      </c>
      <c r="L2331">
        <v>213.81139999999999</v>
      </c>
      <c r="M2331">
        <v>0.99558369999999996</v>
      </c>
      <c r="N2331">
        <v>0</v>
      </c>
      <c r="O2331">
        <v>-9.2835870000000001E-2</v>
      </c>
      <c r="P2331">
        <v>0.98679360000000005</v>
      </c>
      <c r="Q2331">
        <v>0.13263839999999999</v>
      </c>
      <c r="R2331">
        <v>-9.2982919999999997E-2</v>
      </c>
      <c r="S2331">
        <v>3.0692439999999999</v>
      </c>
      <c r="T2331">
        <v>-0.3495393</v>
      </c>
      <c r="U2331">
        <v>-0.186615</v>
      </c>
      <c r="V2331" s="1">
        <v>1.5931199999999899E-5</v>
      </c>
      <c r="W2331">
        <v>0.14646609999999999</v>
      </c>
      <c r="X2331">
        <v>0.98921570000000003</v>
      </c>
      <c r="Y2331">
        <v>-3.1448329999999997E-2</v>
      </c>
      <c r="Z2331">
        <v>1.229442E-2</v>
      </c>
      <c r="AA2331">
        <v>0.99942980000000003</v>
      </c>
      <c r="AB2331">
        <v>22</v>
      </c>
      <c r="AC2331">
        <v>0.60120000000000495</v>
      </c>
      <c r="AD2331">
        <v>-9.5901999999999904E-2</v>
      </c>
      <c r="AE2331">
        <v>-3.3999999999991801E-2</v>
      </c>
      <c r="AF2331">
        <v>-2.1421856490973602E-2</v>
      </c>
      <c r="AG2331">
        <v>-9.5901999999999904E-2</v>
      </c>
      <c r="AH2331">
        <v>0.58687398124519596</v>
      </c>
      <c r="AI2331">
        <v>99.274695272424495</v>
      </c>
      <c r="AJ2331">
        <v>92.090461210233997</v>
      </c>
      <c r="AK2331">
        <v>0.59504382981601101</v>
      </c>
      <c r="AL2331">
        <v>81.577813064431197</v>
      </c>
      <c r="AM2331">
        <v>89.999077258354703</v>
      </c>
      <c r="AN2331">
        <v>1.0000000099147499</v>
      </c>
    </row>
    <row r="2332" spans="1:40" x14ac:dyDescent="0.25">
      <c r="A2332" t="str">
        <f>"20190312164309914"</f>
        <v>20190312164309914</v>
      </c>
      <c r="B2332" t="str">
        <f>"1552380189906411"</f>
        <v>1552380189906411</v>
      </c>
      <c r="C2332" t="s">
        <v>40</v>
      </c>
      <c r="D2332">
        <v>4.7755530000000004</v>
      </c>
      <c r="E2332">
        <v>0.49651980000000001</v>
      </c>
      <c r="F2332" t="s">
        <v>41</v>
      </c>
      <c r="G2332">
        <v>-472.5206</v>
      </c>
      <c r="H2332">
        <v>1.022988</v>
      </c>
      <c r="I2332">
        <v>213.7627</v>
      </c>
      <c r="J2332">
        <v>-473.1112</v>
      </c>
      <c r="K2332">
        <v>1.1130770000000001</v>
      </c>
      <c r="L2332">
        <v>213.797</v>
      </c>
      <c r="M2332">
        <v>0.99596689999999999</v>
      </c>
      <c r="N2332">
        <v>0</v>
      </c>
      <c r="O2332">
        <v>-8.8632890000000006E-2</v>
      </c>
      <c r="P2332">
        <v>0.98678719999999998</v>
      </c>
      <c r="Q2332">
        <v>0.133279799999999</v>
      </c>
      <c r="R2332">
        <v>-9.2128650000000006E-2</v>
      </c>
      <c r="S2332">
        <v>3.0692140000000001</v>
      </c>
      <c r="T2332">
        <v>-0.34670970000000001</v>
      </c>
      <c r="U2332">
        <v>-0.18620300000000001</v>
      </c>
      <c r="V2332">
        <v>3.4014280000000002E-3</v>
      </c>
      <c r="W2332">
        <v>0.14709910000000001</v>
      </c>
      <c r="X2332">
        <v>0.98911590000000005</v>
      </c>
      <c r="Y2332">
        <v>-2.7427130000000001E-2</v>
      </c>
      <c r="Z2332">
        <v>1.149874E-2</v>
      </c>
      <c r="AA2332">
        <v>0.99955769999999999</v>
      </c>
      <c r="AB2332">
        <v>22</v>
      </c>
      <c r="AC2332">
        <v>0.59059999999999402</v>
      </c>
      <c r="AD2332">
        <v>-9.0089000000000002E-2</v>
      </c>
      <c r="AE2332">
        <v>-3.4300000000001697E-2</v>
      </c>
      <c r="AF2332">
        <v>-1.7774501127313599E-2</v>
      </c>
      <c r="AG2332">
        <v>-9.0089000000000002E-2</v>
      </c>
      <c r="AH2332">
        <v>0.57791393768286903</v>
      </c>
      <c r="AI2332">
        <v>98.856207849710103</v>
      </c>
      <c r="AJ2332">
        <v>91.761651507839204</v>
      </c>
      <c r="AK2332">
        <v>0.58516363538709704</v>
      </c>
      <c r="AL2332">
        <v>81.541147529203499</v>
      </c>
      <c r="AM2332">
        <v>89.802968792136696</v>
      </c>
      <c r="AN2332">
        <v>0.99999998928302902</v>
      </c>
    </row>
    <row r="2333" spans="1:40" x14ac:dyDescent="0.25">
      <c r="A2333" t="str">
        <f>"20190312164309935"</f>
        <v>20190312164309935</v>
      </c>
      <c r="B2333" t="str">
        <f>"1552380189926906"</f>
        <v>1552380189926906</v>
      </c>
      <c r="C2333" t="s">
        <v>40</v>
      </c>
      <c r="D2333">
        <v>4.7952659999999998</v>
      </c>
      <c r="E2333">
        <v>0.49689919999999999</v>
      </c>
      <c r="F2333" t="s">
        <v>41</v>
      </c>
      <c r="G2333">
        <v>-472.32479999999998</v>
      </c>
      <c r="H2333">
        <v>1.025201</v>
      </c>
      <c r="I2333">
        <v>213.74879999999999</v>
      </c>
      <c r="J2333">
        <v>-472.90539999999999</v>
      </c>
      <c r="K2333">
        <v>1.1128960000000001</v>
      </c>
      <c r="L2333">
        <v>213.7834</v>
      </c>
      <c r="M2333">
        <v>0.99630300000000005</v>
      </c>
      <c r="N2333">
        <v>0</v>
      </c>
      <c r="O2333">
        <v>-8.4775199999999995E-2</v>
      </c>
      <c r="P2333">
        <v>0.98689059999999995</v>
      </c>
      <c r="Q2333">
        <v>0.13298009999999999</v>
      </c>
      <c r="R2333">
        <v>-9.1451350000000001E-2</v>
      </c>
      <c r="S2333">
        <v>3.069153</v>
      </c>
      <c r="T2333">
        <v>-0.34359050000000002</v>
      </c>
      <c r="U2333">
        <v>-0.18659970000000001</v>
      </c>
      <c r="V2333">
        <v>6.6230560000000004E-3</v>
      </c>
      <c r="W2333">
        <v>0.1467897</v>
      </c>
      <c r="X2333">
        <v>0.98914559999999996</v>
      </c>
      <c r="Y2333">
        <v>-2.348722E-2</v>
      </c>
      <c r="Z2333">
        <v>1.074806E-2</v>
      </c>
      <c r="AA2333">
        <v>0.99966630000000001</v>
      </c>
      <c r="AB2333">
        <v>22</v>
      </c>
      <c r="AC2333">
        <v>0.580600000000004</v>
      </c>
      <c r="AD2333">
        <v>-8.7694999999999801E-2</v>
      </c>
      <c r="AE2333">
        <v>-3.4600000000011698E-2</v>
      </c>
      <c r="AF2333">
        <v>-1.44219703437317E-2</v>
      </c>
      <c r="AG2333">
        <v>-8.7694999999999801E-2</v>
      </c>
      <c r="AH2333">
        <v>0.56851888339112899</v>
      </c>
      <c r="AI2333">
        <v>98.766083012531496</v>
      </c>
      <c r="AJ2333">
        <v>91.453145842383194</v>
      </c>
      <c r="AK2333">
        <v>0.57542343280917196</v>
      </c>
      <c r="AL2333">
        <v>81.559069901427506</v>
      </c>
      <c r="AM2333">
        <v>89.616368423944607</v>
      </c>
      <c r="AN2333">
        <v>1.0000000494481101</v>
      </c>
    </row>
    <row r="2334" spans="1:40" x14ac:dyDescent="0.25">
      <c r="A2334" t="str">
        <f>"20190312164309958"</f>
        <v>20190312164309958</v>
      </c>
      <c r="B2334" t="str">
        <f>"1552380189946426"</f>
        <v>1552380189946426</v>
      </c>
      <c r="C2334" t="s">
        <v>40</v>
      </c>
      <c r="D2334">
        <v>4.8443969999999998</v>
      </c>
      <c r="E2334">
        <v>0.49702410000000002</v>
      </c>
      <c r="F2334" t="s">
        <v>41</v>
      </c>
      <c r="G2334">
        <v>-472.13</v>
      </c>
      <c r="H2334">
        <v>1.025876</v>
      </c>
      <c r="I2334">
        <v>213.7363</v>
      </c>
      <c r="J2334">
        <v>-472.68669999999997</v>
      </c>
      <c r="K2334">
        <v>1.11267</v>
      </c>
      <c r="L2334">
        <v>213.76949999999999</v>
      </c>
      <c r="M2334">
        <v>0.99661929999999999</v>
      </c>
      <c r="N2334">
        <v>0</v>
      </c>
      <c r="O2334">
        <v>-8.0978620000000001E-2</v>
      </c>
      <c r="P2334">
        <v>0.9869173</v>
      </c>
      <c r="Q2334">
        <v>0.13331779999999999</v>
      </c>
      <c r="R2334">
        <v>-9.0669169999999993E-2</v>
      </c>
      <c r="S2334">
        <v>3.0689389999999999</v>
      </c>
      <c r="T2334">
        <v>-0.3442558</v>
      </c>
      <c r="U2334">
        <v>-0.1870117</v>
      </c>
      <c r="V2334">
        <v>9.6926830000000005E-3</v>
      </c>
      <c r="W2334">
        <v>0.1471094</v>
      </c>
      <c r="X2334">
        <v>0.98907270000000003</v>
      </c>
      <c r="Y2334">
        <v>-1.958532E-2</v>
      </c>
      <c r="Z2334">
        <v>1.01289E-2</v>
      </c>
      <c r="AA2334">
        <v>0.99975689999999995</v>
      </c>
      <c r="AB2334">
        <v>22</v>
      </c>
      <c r="AC2334">
        <v>0.55669999999997799</v>
      </c>
      <c r="AD2334">
        <v>-8.6793999999999996E-2</v>
      </c>
      <c r="AE2334">
        <v>-3.3199999999993603E-2</v>
      </c>
      <c r="AF2334">
        <v>-1.17105479350105E-2</v>
      </c>
      <c r="AG2334">
        <v>-8.6793999999999996E-2</v>
      </c>
      <c r="AH2334">
        <v>0.54437471198440102</v>
      </c>
      <c r="AI2334">
        <v>99.056815523817093</v>
      </c>
      <c r="AJ2334">
        <v>91.232352435161502</v>
      </c>
      <c r="AK2334">
        <v>0.55137479305553805</v>
      </c>
      <c r="AL2334">
        <v>81.540550683033601</v>
      </c>
      <c r="AM2334">
        <v>89.438532626241596</v>
      </c>
      <c r="AN2334">
        <v>0.99999996477869302</v>
      </c>
    </row>
    <row r="2335" spans="1:40" x14ac:dyDescent="0.25">
      <c r="A2335" t="str">
        <f>"20190312164309980"</f>
        <v>20190312164309980</v>
      </c>
      <c r="B2335" t="str">
        <f>"1552380189976683"</f>
        <v>1552380189976683</v>
      </c>
      <c r="C2335" t="s">
        <v>40</v>
      </c>
      <c r="D2335">
        <v>5.0665579999999997</v>
      </c>
      <c r="E2335">
        <v>0.49769570000000002</v>
      </c>
      <c r="F2335" t="s">
        <v>41</v>
      </c>
      <c r="G2335">
        <v>-471.93360000000001</v>
      </c>
      <c r="H2335">
        <v>1.028651</v>
      </c>
      <c r="I2335">
        <v>213.72370000000001</v>
      </c>
      <c r="J2335">
        <v>-472.46710000000002</v>
      </c>
      <c r="K2335">
        <v>1.1124559999999999</v>
      </c>
      <c r="L2335">
        <v>213.756</v>
      </c>
      <c r="M2335">
        <v>0.99689939999999999</v>
      </c>
      <c r="N2335">
        <v>0</v>
      </c>
      <c r="O2335">
        <v>-7.7459829999999993E-2</v>
      </c>
      <c r="P2335">
        <v>0.98708099999999999</v>
      </c>
      <c r="Q2335">
        <v>0.1326319</v>
      </c>
      <c r="R2335">
        <v>-8.9889650000000001E-2</v>
      </c>
      <c r="S2335">
        <v>3.0690309999999998</v>
      </c>
      <c r="T2335">
        <v>-0.34273799999999999</v>
      </c>
      <c r="U2335">
        <v>-0.18539430000000001</v>
      </c>
      <c r="V2335">
        <v>1.2482170000000001E-2</v>
      </c>
      <c r="W2335">
        <v>0.146404799999999</v>
      </c>
      <c r="X2335">
        <v>0.98914599999999997</v>
      </c>
      <c r="Y2335">
        <v>-1.6627920000000001E-2</v>
      </c>
      <c r="Z2335">
        <v>9.5299129999999992E-3</v>
      </c>
      <c r="AA2335">
        <v>0.99981640000000005</v>
      </c>
      <c r="AB2335">
        <v>22</v>
      </c>
      <c r="AC2335">
        <v>0.53350000000000297</v>
      </c>
      <c r="AD2335">
        <v>-8.3804999999999893E-2</v>
      </c>
      <c r="AE2335">
        <v>-3.2299999999963802E-2</v>
      </c>
      <c r="AF2335">
        <v>-8.9068616640974908E-3</v>
      </c>
      <c r="AG2335">
        <v>-8.3804999999999893E-2</v>
      </c>
      <c r="AH2335">
        <v>0.52157568345838901</v>
      </c>
      <c r="AI2335">
        <v>99.126762537279205</v>
      </c>
      <c r="AJ2335">
        <v>90.978335455744599</v>
      </c>
      <c r="AK2335">
        <v>0.52834061341599403</v>
      </c>
      <c r="AL2335">
        <v>81.581363397673499</v>
      </c>
      <c r="AM2335">
        <v>89.277015019383896</v>
      </c>
      <c r="AN2335">
        <v>0.99999998967347403</v>
      </c>
    </row>
    <row r="2336" spans="1:40" x14ac:dyDescent="0.25">
      <c r="A2336" t="str">
        <f>"20190312164310009"</f>
        <v>20190312164310009</v>
      </c>
      <c r="B2336" t="str">
        <f>"1552380189997178"</f>
        <v>1552380189997178</v>
      </c>
      <c r="C2336" t="s">
        <v>40</v>
      </c>
      <c r="D2336">
        <v>4.8338859999999997</v>
      </c>
      <c r="E2336">
        <v>0.49828030000000001</v>
      </c>
      <c r="F2336" t="s">
        <v>41</v>
      </c>
      <c r="G2336">
        <v>-471.74430000000001</v>
      </c>
      <c r="H2336">
        <v>1.0200929999999999</v>
      </c>
      <c r="I2336">
        <v>213.7124</v>
      </c>
      <c r="J2336">
        <v>-472.20139999999998</v>
      </c>
      <c r="K2336">
        <v>1.112231</v>
      </c>
      <c r="L2336">
        <v>213.74010000000001</v>
      </c>
      <c r="M2336">
        <v>0.9971913</v>
      </c>
      <c r="N2336">
        <v>0</v>
      </c>
      <c r="O2336">
        <v>-7.3610309999999998E-2</v>
      </c>
      <c r="P2336">
        <v>0.98747439999999997</v>
      </c>
      <c r="Q2336">
        <v>0.13047</v>
      </c>
      <c r="R2336">
        <v>-8.8725440000000003E-2</v>
      </c>
      <c r="S2336">
        <v>3.075256</v>
      </c>
      <c r="T2336">
        <v>-0.39315630000000001</v>
      </c>
      <c r="U2336">
        <v>-0.1847229</v>
      </c>
      <c r="V2336">
        <v>1.5205730000000001E-2</v>
      </c>
      <c r="W2336">
        <v>0.1442224</v>
      </c>
      <c r="X2336">
        <v>0.98942850000000004</v>
      </c>
      <c r="Y2336">
        <v>-1.298742E-2</v>
      </c>
      <c r="Z2336">
        <v>1.017969E-2</v>
      </c>
      <c r="AA2336">
        <v>0.99986390000000003</v>
      </c>
      <c r="AB2336">
        <v>22</v>
      </c>
      <c r="AC2336">
        <v>0.45709999999996798</v>
      </c>
      <c r="AD2336">
        <v>-9.2137999999999803E-2</v>
      </c>
      <c r="AE2336">
        <v>-2.7700000000010001E-2</v>
      </c>
      <c r="AF2336">
        <v>-5.7912088896264601E-3</v>
      </c>
      <c r="AG2336">
        <v>-9.2137999999999803E-2</v>
      </c>
      <c r="AH2336">
        <v>0.44008338220929399</v>
      </c>
      <c r="AI2336">
        <v>101.82392652003</v>
      </c>
      <c r="AJ2336">
        <v>90.753931391083199</v>
      </c>
      <c r="AK2336">
        <v>0.44966246501256302</v>
      </c>
      <c r="AL2336">
        <v>81.707747602489206</v>
      </c>
      <c r="AM2336">
        <v>89.1195366070924</v>
      </c>
      <c r="AN2336">
        <v>1.0000000357494201</v>
      </c>
    </row>
    <row r="2337" spans="1:40" x14ac:dyDescent="0.25">
      <c r="A2337" t="str">
        <f>"20190312164310048"</f>
        <v>20190312164310048</v>
      </c>
      <c r="B2337" t="str">
        <f>"1552380190037194"</f>
        <v>1552380190037194</v>
      </c>
      <c r="C2337" t="s">
        <v>40</v>
      </c>
      <c r="D2337">
        <v>4.8546120000000004</v>
      </c>
      <c r="E2337">
        <v>0.49855100000000002</v>
      </c>
      <c r="F2337" t="s">
        <v>41</v>
      </c>
      <c r="G2337">
        <v>-471.36239999999998</v>
      </c>
      <c r="H2337">
        <v>1.006807</v>
      </c>
      <c r="I2337">
        <v>213.68879999999999</v>
      </c>
      <c r="J2337">
        <v>-471.81180000000001</v>
      </c>
      <c r="K2337">
        <v>1.111998</v>
      </c>
      <c r="L2337">
        <v>213.71809999999999</v>
      </c>
      <c r="M2337">
        <v>0.99755450000000001</v>
      </c>
      <c r="N2337">
        <v>0</v>
      </c>
      <c r="O2337">
        <v>-6.852134E-2</v>
      </c>
      <c r="P2337">
        <v>0.98798470000000005</v>
      </c>
      <c r="Q2337">
        <v>0.12655710000000001</v>
      </c>
      <c r="R2337">
        <v>-8.8712199999999894E-2</v>
      </c>
      <c r="S2337">
        <v>3.0722049999999999</v>
      </c>
      <c r="T2337">
        <v>-0.38610640000000002</v>
      </c>
      <c r="U2337">
        <v>-0.1876678</v>
      </c>
      <c r="V2337">
        <v>2.0297900000000001E-2</v>
      </c>
      <c r="W2337">
        <v>0.1402902</v>
      </c>
      <c r="X2337">
        <v>0.98990230000000001</v>
      </c>
      <c r="Y2337">
        <v>-6.9810779999999999E-3</v>
      </c>
      <c r="Z2337">
        <v>8.9977990000000008E-3</v>
      </c>
      <c r="AA2337">
        <v>0.99993520000000002</v>
      </c>
      <c r="AB2337">
        <v>22</v>
      </c>
      <c r="AC2337">
        <v>0.449400000000025</v>
      </c>
      <c r="AD2337">
        <v>-0.10519100000000001</v>
      </c>
      <c r="AE2337">
        <v>-2.93000000000063E-2</v>
      </c>
      <c r="AF2337">
        <v>-1.4843125963868E-3</v>
      </c>
      <c r="AG2337">
        <v>-0.10519100000000001</v>
      </c>
      <c r="AH2337">
        <v>0.42705278672054398</v>
      </c>
      <c r="AI2337">
        <v>103.837465035916</v>
      </c>
      <c r="AJ2337">
        <v>90.199142840029296</v>
      </c>
      <c r="AK2337">
        <v>0.43981977253264298</v>
      </c>
      <c r="AL2337">
        <v>81.935360415852799</v>
      </c>
      <c r="AM2337">
        <v>88.825317356391295</v>
      </c>
      <c r="AN2337">
        <v>0.99999995425286903</v>
      </c>
    </row>
    <row r="2338" spans="1:40" x14ac:dyDescent="0.25">
      <c r="A2338" t="str">
        <f>"20190312164310070"</f>
        <v>20190312164310070</v>
      </c>
      <c r="B2338" t="str">
        <f>"1552380190066475"</f>
        <v>1552380190066475</v>
      </c>
      <c r="C2338" t="s">
        <v>40</v>
      </c>
      <c r="D2338">
        <v>4.8505449999999897</v>
      </c>
      <c r="E2338">
        <v>0.4987357</v>
      </c>
      <c r="F2338" t="s">
        <v>41</v>
      </c>
      <c r="G2338">
        <v>-470.97789999999998</v>
      </c>
      <c r="H2338">
        <v>0.99991560000000002</v>
      </c>
      <c r="I2338">
        <v>213.6669</v>
      </c>
      <c r="J2338">
        <v>-471.59890000000001</v>
      </c>
      <c r="K2338">
        <v>1.1119559999999999</v>
      </c>
      <c r="L2338">
        <v>213.70660000000001</v>
      </c>
      <c r="M2338">
        <v>0.99773040000000002</v>
      </c>
      <c r="N2338">
        <v>0</v>
      </c>
      <c r="O2338">
        <v>-6.5914500000000001E-2</v>
      </c>
      <c r="P2338">
        <v>0.98810520000000002</v>
      </c>
      <c r="Q2338">
        <v>0.12612269999999901</v>
      </c>
      <c r="R2338">
        <v>-8.7985980000000005E-2</v>
      </c>
      <c r="S2338">
        <v>3.072479</v>
      </c>
      <c r="T2338">
        <v>-0.41306900000000002</v>
      </c>
      <c r="U2338">
        <v>-0.1881256</v>
      </c>
      <c r="V2338">
        <v>2.2171469999999999E-2</v>
      </c>
      <c r="W2338">
        <v>0.139844</v>
      </c>
      <c r="X2338">
        <v>0.98992530000000001</v>
      </c>
      <c r="Y2338">
        <v>-4.1885129999999996E-3</v>
      </c>
      <c r="Z2338">
        <v>9.0854569999999999E-3</v>
      </c>
      <c r="AA2338">
        <v>0.99994989999999995</v>
      </c>
      <c r="AB2338">
        <v>22</v>
      </c>
      <c r="AC2338">
        <v>0.62100000000003697</v>
      </c>
      <c r="AD2338">
        <v>-0.1120404</v>
      </c>
      <c r="AE2338">
        <v>-3.9700000000010498E-2</v>
      </c>
      <c r="AF2338">
        <v>-1.2815856166712399E-3</v>
      </c>
      <c r="AG2338">
        <v>-0.1120404</v>
      </c>
      <c r="AH2338">
        <v>0.60272671293456903</v>
      </c>
      <c r="AI2338">
        <v>100.530449701422</v>
      </c>
      <c r="AJ2338">
        <v>90.121828574511795</v>
      </c>
      <c r="AK2338">
        <v>0.61305316586635705</v>
      </c>
      <c r="AL2338">
        <v>81.961180769420906</v>
      </c>
      <c r="AM2338">
        <v>88.716954392370397</v>
      </c>
      <c r="AN2338">
        <v>1.00000000899902</v>
      </c>
    </row>
    <row r="2339" spans="1:40" x14ac:dyDescent="0.25">
      <c r="A2339" t="str">
        <f>"20190312164310092"</f>
        <v>20190312164310092</v>
      </c>
      <c r="B2339" t="str">
        <f>"1552380190086970"</f>
        <v>1552380190086970</v>
      </c>
      <c r="C2339" t="s">
        <v>40</v>
      </c>
      <c r="D2339">
        <v>5.0504819999999997</v>
      </c>
      <c r="E2339">
        <v>0.49965150000000003</v>
      </c>
      <c r="F2339" t="s">
        <v>41</v>
      </c>
      <c r="G2339">
        <v>-470.78250000000003</v>
      </c>
      <c r="H2339">
        <v>1.003884</v>
      </c>
      <c r="I2339">
        <v>213.6559</v>
      </c>
      <c r="J2339">
        <v>-471.38299999999998</v>
      </c>
      <c r="K2339">
        <v>1.1119410000000001</v>
      </c>
      <c r="L2339">
        <v>213.69550000000001</v>
      </c>
      <c r="M2339">
        <v>0.99789930000000004</v>
      </c>
      <c r="N2339">
        <v>0</v>
      </c>
      <c r="O2339">
        <v>-6.3309260000000006E-2</v>
      </c>
      <c r="P2339">
        <v>0.98822659999999996</v>
      </c>
      <c r="Q2339">
        <v>0.12557209999999999</v>
      </c>
      <c r="R2339">
        <v>-8.7409539999999994E-2</v>
      </c>
      <c r="S2339">
        <v>3.0713499999999998</v>
      </c>
      <c r="T2339">
        <v>-0.40738170000000001</v>
      </c>
      <c r="U2339">
        <v>-0.1884613</v>
      </c>
      <c r="V2339">
        <v>2.41812E-2</v>
      </c>
      <c r="W2339">
        <v>0.13928270000000001</v>
      </c>
      <c r="X2339">
        <v>0.98995739999999999</v>
      </c>
      <c r="Y2339">
        <v>-1.508873E-3</v>
      </c>
      <c r="Z2339">
        <v>8.4450129999999995E-3</v>
      </c>
      <c r="AA2339">
        <v>0.99996320000000005</v>
      </c>
      <c r="AB2339">
        <v>22</v>
      </c>
      <c r="AC2339">
        <v>0.60050000000001003</v>
      </c>
      <c r="AD2339">
        <v>-0.108057</v>
      </c>
      <c r="AE2339">
        <v>-3.9600000000007102E-2</v>
      </c>
      <c r="AF2339">
        <v>1.45290175059729E-3</v>
      </c>
      <c r="AG2339">
        <v>-0.108057</v>
      </c>
      <c r="AH2339">
        <v>0.58300629456063502</v>
      </c>
      <c r="AI2339">
        <v>100.50026932607901</v>
      </c>
      <c r="AJ2339">
        <v>89.857214292877103</v>
      </c>
      <c r="AK2339">
        <v>0.59293740451233001</v>
      </c>
      <c r="AL2339">
        <v>81.993658896068297</v>
      </c>
      <c r="AM2339">
        <v>88.600742566078793</v>
      </c>
      <c r="AN2339">
        <v>1.0000000273837399</v>
      </c>
    </row>
    <row r="2340" spans="1:40" x14ac:dyDescent="0.25">
      <c r="A2340" t="str">
        <f>"20190312164310114"</f>
        <v>20190312164310114</v>
      </c>
      <c r="B2340" t="str">
        <f>"1552380190106490"</f>
        <v>1552380190106490</v>
      </c>
      <c r="C2340" t="s">
        <v>40</v>
      </c>
      <c r="D2340">
        <v>4.8283239999999896</v>
      </c>
      <c r="E2340">
        <v>0.49976199999999998</v>
      </c>
      <c r="F2340" t="s">
        <v>41</v>
      </c>
      <c r="G2340">
        <v>-470.5883</v>
      </c>
      <c r="H2340">
        <v>1.005671</v>
      </c>
      <c r="I2340">
        <v>213.64500000000001</v>
      </c>
      <c r="J2340">
        <v>-471.17070000000001</v>
      </c>
      <c r="K2340">
        <v>1.1119490000000001</v>
      </c>
      <c r="L2340">
        <v>213.68510000000001</v>
      </c>
      <c r="M2340">
        <v>0.99805929999999998</v>
      </c>
      <c r="N2340">
        <v>0</v>
      </c>
      <c r="O2340">
        <v>-6.0738540000000001E-2</v>
      </c>
      <c r="P2340">
        <v>0.9882611</v>
      </c>
      <c r="Q2340">
        <v>0.12538659999999999</v>
      </c>
      <c r="R2340">
        <v>-8.7283579999999999E-2</v>
      </c>
      <c r="S2340">
        <v>3.0707089999999999</v>
      </c>
      <c r="T2340">
        <v>-0.41076560000000001</v>
      </c>
      <c r="U2340">
        <v>-0.1947479</v>
      </c>
      <c r="V2340">
        <v>2.660301E-2</v>
      </c>
      <c r="W2340">
        <v>0.1390834</v>
      </c>
      <c r="X2340">
        <v>0.98992329999999995</v>
      </c>
      <c r="Y2340">
        <v>3.0653640000000001E-3</v>
      </c>
      <c r="Z2340">
        <v>7.8701269999999993E-3</v>
      </c>
      <c r="AA2340">
        <v>0.99996439999999998</v>
      </c>
      <c r="AB2340">
        <v>22</v>
      </c>
      <c r="AC2340">
        <v>0.58240000000000602</v>
      </c>
      <c r="AD2340">
        <v>-0.106278</v>
      </c>
      <c r="AE2340">
        <v>-4.0099999999995299E-2</v>
      </c>
      <c r="AF2340">
        <v>4.4993683479689602E-3</v>
      </c>
      <c r="AG2340">
        <v>-0.106278</v>
      </c>
      <c r="AH2340">
        <v>0.56503353492969799</v>
      </c>
      <c r="AI2340">
        <v>100.652060732148</v>
      </c>
      <c r="AJ2340">
        <v>89.543762711059998</v>
      </c>
      <c r="AK2340">
        <v>0.57495926220444604</v>
      </c>
      <c r="AL2340">
        <v>82.005190172024299</v>
      </c>
      <c r="AM2340">
        <v>88.460614657707495</v>
      </c>
      <c r="AN2340">
        <v>1.0000000260897499</v>
      </c>
    </row>
    <row r="2341" spans="1:40" x14ac:dyDescent="0.25">
      <c r="A2341" t="str">
        <f>"20190312164310136"</f>
        <v>20190312164310136</v>
      </c>
      <c r="B2341" t="str">
        <f>"1552380190126986"</f>
        <v>1552380190126986</v>
      </c>
      <c r="C2341" t="s">
        <v>40</v>
      </c>
      <c r="D2341">
        <v>4.79847</v>
      </c>
      <c r="E2341">
        <v>0.49933939999999999</v>
      </c>
      <c r="F2341" t="s">
        <v>41</v>
      </c>
      <c r="G2341">
        <v>-470.39330000000001</v>
      </c>
      <c r="H2341">
        <v>1.009328</v>
      </c>
      <c r="I2341">
        <v>213.63579999999999</v>
      </c>
      <c r="J2341">
        <v>-470.9606</v>
      </c>
      <c r="K2341">
        <v>1.1119699999999999</v>
      </c>
      <c r="L2341">
        <v>213.6754</v>
      </c>
      <c r="M2341">
        <v>0.99821340000000003</v>
      </c>
      <c r="N2341">
        <v>0</v>
      </c>
      <c r="O2341">
        <v>-5.815675E-2</v>
      </c>
      <c r="P2341">
        <v>0.98829049999999996</v>
      </c>
      <c r="Q2341">
        <v>0.1247598</v>
      </c>
      <c r="R2341">
        <v>-8.7845960000000001E-2</v>
      </c>
      <c r="S2341">
        <v>3.0699770000000002</v>
      </c>
      <c r="T2341">
        <v>-0.40559289999999998</v>
      </c>
      <c r="U2341">
        <v>-0.19396969999999999</v>
      </c>
      <c r="V2341">
        <v>2.9721270000000001E-2</v>
      </c>
      <c r="W2341">
        <v>0.13844589999999901</v>
      </c>
      <c r="X2341">
        <v>0.98992400000000003</v>
      </c>
      <c r="Y2341">
        <v>5.3600130000000003E-3</v>
      </c>
      <c r="Z2341">
        <v>7.2844579999999997E-3</v>
      </c>
      <c r="AA2341">
        <v>0.99995909999999999</v>
      </c>
      <c r="AB2341">
        <v>22</v>
      </c>
      <c r="AC2341">
        <v>0.56729999999998804</v>
      </c>
      <c r="AD2341">
        <v>-0.102642</v>
      </c>
      <c r="AE2341">
        <v>-3.9600000000007102E-2</v>
      </c>
      <c r="AF2341">
        <v>6.3312848027020701E-3</v>
      </c>
      <c r="AG2341">
        <v>-0.102642</v>
      </c>
      <c r="AH2341">
        <v>0.55070252650941698</v>
      </c>
      <c r="AI2341">
        <v>100.55717630359899</v>
      </c>
      <c r="AJ2341">
        <v>89.3413142314282</v>
      </c>
      <c r="AK2341">
        <v>0.56022204351052396</v>
      </c>
      <c r="AL2341">
        <v>82.042073438124902</v>
      </c>
      <c r="AM2341">
        <v>88.280280175261197</v>
      </c>
      <c r="AN2341">
        <v>1.0000000734465999</v>
      </c>
    </row>
    <row r="2342" spans="1:40" x14ac:dyDescent="0.25">
      <c r="A2342" t="str">
        <f>"20190312164310159"</f>
        <v>20190312164310159</v>
      </c>
      <c r="B2342" t="str">
        <f>"1552380190146507"</f>
        <v>1552380190146507</v>
      </c>
      <c r="C2342" t="s">
        <v>40</v>
      </c>
      <c r="D2342">
        <v>4.8456149999999996</v>
      </c>
      <c r="E2342">
        <v>0.4722211</v>
      </c>
      <c r="F2342" t="s">
        <v>41</v>
      </c>
      <c r="G2342">
        <v>-470.1995</v>
      </c>
      <c r="H2342">
        <v>1.010921</v>
      </c>
      <c r="I2342">
        <v>213.6283</v>
      </c>
      <c r="J2342">
        <v>-470.74209999999999</v>
      </c>
      <c r="K2342">
        <v>1.111996</v>
      </c>
      <c r="L2342">
        <v>213.66589999999999</v>
      </c>
      <c r="M2342">
        <v>0.99836939999999996</v>
      </c>
      <c r="N2342">
        <v>0</v>
      </c>
      <c r="O2342">
        <v>-5.5423519999999997E-2</v>
      </c>
      <c r="P2342">
        <v>0.98829089999999997</v>
      </c>
      <c r="Q2342">
        <v>0.1246876</v>
      </c>
      <c r="R2342">
        <v>-8.7945770000000006E-2</v>
      </c>
      <c r="S2342">
        <v>3.0701900000000002</v>
      </c>
      <c r="T2342">
        <v>-0.40801559999999998</v>
      </c>
      <c r="U2342">
        <v>-0.18926999999999999</v>
      </c>
      <c r="V2342">
        <v>3.2526340000000001E-2</v>
      </c>
      <c r="W2342">
        <v>0.1383585</v>
      </c>
      <c r="X2342">
        <v>0.98984799999999995</v>
      </c>
      <c r="Y2342">
        <v>6.5400429999999997E-3</v>
      </c>
      <c r="Z2342">
        <v>6.8889340000000002E-3</v>
      </c>
      <c r="AA2342">
        <v>0.99995489999999998</v>
      </c>
      <c r="AB2342">
        <v>22</v>
      </c>
      <c r="AC2342">
        <v>0.54259999999999298</v>
      </c>
      <c r="AD2342">
        <v>-0.101075</v>
      </c>
      <c r="AE2342">
        <v>-3.7599999999997601E-2</v>
      </c>
      <c r="AF2342">
        <v>7.2173408268125603E-3</v>
      </c>
      <c r="AG2342">
        <v>-0.101075</v>
      </c>
      <c r="AH2342">
        <v>0.525695557437725</v>
      </c>
      <c r="AI2342">
        <v>100.882392424632</v>
      </c>
      <c r="AJ2342">
        <v>89.213428410683093</v>
      </c>
      <c r="AK2342">
        <v>0.53537282779701401</v>
      </c>
      <c r="AL2342">
        <v>82.047129564300704</v>
      </c>
      <c r="AM2342">
        <v>88.1179416689004</v>
      </c>
      <c r="AN2342">
        <v>1.0000000502100199</v>
      </c>
    </row>
    <row r="2343" spans="1:40" x14ac:dyDescent="0.25">
      <c r="A2343" t="str">
        <f>"20190312164310184"</f>
        <v>20190312164310184</v>
      </c>
      <c r="B2343" t="str">
        <f>"1552380190176762"</f>
        <v>1552380190176762</v>
      </c>
      <c r="C2343" t="s">
        <v>40</v>
      </c>
      <c r="D2343">
        <v>4.8445780000000003</v>
      </c>
      <c r="E2343">
        <v>0.47152450000000001</v>
      </c>
      <c r="F2343" t="s">
        <v>46</v>
      </c>
      <c r="G2343">
        <v>-459.85750000000002</v>
      </c>
      <c r="H2343" s="1">
        <v>3.7473429999999998E-6</v>
      </c>
      <c r="I2343">
        <v>213.73660000000001</v>
      </c>
      <c r="J2343">
        <v>-470.5034</v>
      </c>
      <c r="K2343">
        <v>1.1120239999999999</v>
      </c>
      <c r="L2343">
        <v>213.65620000000001</v>
      </c>
      <c r="M2343">
        <v>0.99853400000000003</v>
      </c>
      <c r="N2343">
        <v>0</v>
      </c>
      <c r="O2343">
        <v>-5.2380419999999997E-2</v>
      </c>
      <c r="P2343">
        <v>0.988182</v>
      </c>
      <c r="Q2343">
        <v>0.12537499999999999</v>
      </c>
      <c r="R2343">
        <v>-8.8189509999999999E-2</v>
      </c>
      <c r="S2343">
        <v>3.076965</v>
      </c>
      <c r="T2343">
        <v>-0.3143493</v>
      </c>
      <c r="U2343">
        <v>1.9989010000000001E-2</v>
      </c>
      <c r="V2343">
        <v>3.5785579999999997E-2</v>
      </c>
      <c r="W2343">
        <v>0.13902059999999999</v>
      </c>
      <c r="X2343">
        <v>0.98964269999999999</v>
      </c>
      <c r="Y2343">
        <v>-5.8295550000000002E-2</v>
      </c>
      <c r="Z2343">
        <v>8.3062710000000005E-3</v>
      </c>
      <c r="AA2343">
        <v>0.99826479999999995</v>
      </c>
      <c r="AB2343">
        <v>22</v>
      </c>
      <c r="AC2343">
        <v>10.6458999999999</v>
      </c>
      <c r="AD2343">
        <v>-1.112020252657</v>
      </c>
      <c r="AE2343">
        <v>8.0399999999997293E-2</v>
      </c>
      <c r="AF2343">
        <v>-0.63109282818039403</v>
      </c>
      <c r="AG2343">
        <v>-1.112020252657</v>
      </c>
      <c r="AH2343">
        <v>10.512377869097101</v>
      </c>
      <c r="AI2343">
        <v>96.027633578810097</v>
      </c>
      <c r="AJ2343">
        <v>93.435531973826599</v>
      </c>
      <c r="AK2343">
        <v>10.5898515411115</v>
      </c>
      <c r="AL2343">
        <v>82.008823470617799</v>
      </c>
      <c r="AM2343">
        <v>87.929081122607798</v>
      </c>
      <c r="AN2343">
        <v>1.00000000431179</v>
      </c>
    </row>
    <row r="2344" spans="1:40" x14ac:dyDescent="0.25">
      <c r="A2344" t="str">
        <f>"20190312164310205"</f>
        <v>20190312164310205</v>
      </c>
      <c r="B2344" t="str">
        <f>"1552380190196282"</f>
        <v>1552380190196282</v>
      </c>
      <c r="C2344" t="s">
        <v>40</v>
      </c>
      <c r="D2344">
        <v>4.9920999999999998</v>
      </c>
      <c r="E2344">
        <v>0.47223690000000001</v>
      </c>
      <c r="F2344" t="s">
        <v>46</v>
      </c>
      <c r="G2344">
        <v>-458.9837</v>
      </c>
      <c r="H2344" s="1">
        <v>3.2819899999999998E-6</v>
      </c>
      <c r="I2344">
        <v>213.74430000000001</v>
      </c>
      <c r="J2344">
        <v>-470.29910000000001</v>
      </c>
      <c r="K2344">
        <v>1.1120429999999999</v>
      </c>
      <c r="L2344">
        <v>213.64859999999999</v>
      </c>
      <c r="M2344">
        <v>0.99866949999999999</v>
      </c>
      <c r="N2344">
        <v>0</v>
      </c>
      <c r="O2344">
        <v>-4.9745209999999998E-2</v>
      </c>
      <c r="P2344">
        <v>0.98814669999999905</v>
      </c>
      <c r="Q2344">
        <v>0.12537770000000001</v>
      </c>
      <c r="R2344">
        <v>-8.8583090000000003E-2</v>
      </c>
      <c r="S2344">
        <v>3.075653</v>
      </c>
      <c r="T2344">
        <v>-0.29689789999999999</v>
      </c>
      <c r="U2344">
        <v>2.3529049999999999E-2</v>
      </c>
      <c r="V2344">
        <v>3.878964E-2</v>
      </c>
      <c r="W2344">
        <v>0.1389927</v>
      </c>
      <c r="X2344">
        <v>0.98953340000000001</v>
      </c>
      <c r="Y2344">
        <v>-5.689317E-2</v>
      </c>
      <c r="Z2344">
        <v>7.5295550000000003E-3</v>
      </c>
      <c r="AA2344">
        <v>0.99835189999999996</v>
      </c>
      <c r="AB2344">
        <v>22</v>
      </c>
      <c r="AC2344">
        <v>11.3154</v>
      </c>
      <c r="AD2344">
        <v>-1.1120397180099999</v>
      </c>
      <c r="AE2344">
        <v>9.5700000000022101E-2</v>
      </c>
      <c r="AF2344">
        <v>-0.65222151730609201</v>
      </c>
      <c r="AG2344">
        <v>-1.1120397180099999</v>
      </c>
      <c r="AH2344">
        <v>11.1885723379515</v>
      </c>
      <c r="AI2344">
        <v>95.666467977501995</v>
      </c>
      <c r="AJ2344">
        <v>93.336198424268304</v>
      </c>
      <c r="AK2344">
        <v>11.2626007744057</v>
      </c>
      <c r="AL2344">
        <v>82.010437485216698</v>
      </c>
      <c r="AM2344">
        <v>87.755158817215104</v>
      </c>
      <c r="AN2344">
        <v>0.99999997827008902</v>
      </c>
    </row>
    <row r="2345" spans="1:40" x14ac:dyDescent="0.25">
      <c r="A2345" t="str">
        <f>"20190312164310248"</f>
        <v>20190312164310248</v>
      </c>
      <c r="B2345" t="str">
        <f>"1552380190236299"</f>
        <v>1552380190236299</v>
      </c>
      <c r="C2345" t="s">
        <v>40</v>
      </c>
      <c r="D2345">
        <v>4.7139689999999996</v>
      </c>
      <c r="E2345">
        <v>0.4715743</v>
      </c>
      <c r="F2345" t="s">
        <v>46</v>
      </c>
      <c r="G2345">
        <v>-458.60390000000001</v>
      </c>
      <c r="H2345" s="1">
        <v>3.0812240000000001E-6</v>
      </c>
      <c r="I2345">
        <v>213.7133</v>
      </c>
      <c r="J2345">
        <v>-469.88490000000002</v>
      </c>
      <c r="K2345">
        <v>1.112052</v>
      </c>
      <c r="L2345">
        <v>213.63460000000001</v>
      </c>
      <c r="M2345">
        <v>0.99892320000000001</v>
      </c>
      <c r="N2345">
        <v>0</v>
      </c>
      <c r="O2345">
        <v>-4.4386769999999999E-2</v>
      </c>
      <c r="P2345">
        <v>0.98855249999999995</v>
      </c>
      <c r="Q2345">
        <v>0.12293030000000001</v>
      </c>
      <c r="R2345">
        <v>-8.7477189999999996E-2</v>
      </c>
      <c r="S2345">
        <v>3.0746150000000001</v>
      </c>
      <c r="T2345">
        <v>-0.29234969999999999</v>
      </c>
      <c r="U2345">
        <v>1.7028809999999998E-2</v>
      </c>
      <c r="V2345">
        <v>4.2987409999999997E-2</v>
      </c>
      <c r="W2345">
        <v>0.1364707</v>
      </c>
      <c r="X2345">
        <v>0.98971100000000001</v>
      </c>
      <c r="Y2345">
        <v>-4.9499719999999997E-2</v>
      </c>
      <c r="Z2345">
        <v>6.5584850000000002E-3</v>
      </c>
      <c r="AA2345">
        <v>0.99875259999999999</v>
      </c>
      <c r="AB2345">
        <v>22</v>
      </c>
      <c r="AC2345">
        <v>11.281000000000001</v>
      </c>
      <c r="AD2345">
        <v>-1.1120489187760001</v>
      </c>
      <c r="AE2345">
        <v>7.8699999999997702E-2</v>
      </c>
      <c r="AF2345">
        <v>-0.57381941590074204</v>
      </c>
      <c r="AG2345">
        <v>-1.1120489187760001</v>
      </c>
      <c r="AH2345">
        <v>11.1579643540103</v>
      </c>
      <c r="AI2345">
        <v>95.684077494506596</v>
      </c>
      <c r="AJ2345">
        <v>92.943950318836301</v>
      </c>
      <c r="AK2345">
        <v>11.2279156589805</v>
      </c>
      <c r="AL2345">
        <v>82.156328184507004</v>
      </c>
      <c r="AM2345">
        <v>87.512960784147396</v>
      </c>
      <c r="AN2345">
        <v>1.0000000164489899</v>
      </c>
    </row>
    <row r="2346" spans="1:40" x14ac:dyDescent="0.25">
      <c r="A2346" t="str">
        <f>"20190312164310271"</f>
        <v>20190312164310271</v>
      </c>
      <c r="B2346" t="str">
        <f>"1552380190266555"</f>
        <v>1552380190266555</v>
      </c>
      <c r="C2346" t="s">
        <v>40</v>
      </c>
      <c r="D2346">
        <v>4.8558940000000002</v>
      </c>
      <c r="E2346">
        <v>0.47144219999999998</v>
      </c>
      <c r="F2346" t="s">
        <v>46</v>
      </c>
      <c r="G2346">
        <v>-458.16750000000002</v>
      </c>
      <c r="H2346" s="1">
        <v>2.848389E-6</v>
      </c>
      <c r="I2346">
        <v>213.72839999999999</v>
      </c>
      <c r="J2346">
        <v>-469.66359999999997</v>
      </c>
      <c r="K2346">
        <v>1.1120219999999901</v>
      </c>
      <c r="L2346">
        <v>213.62809999999999</v>
      </c>
      <c r="M2346">
        <v>0.99904559999999998</v>
      </c>
      <c r="N2346">
        <v>0</v>
      </c>
      <c r="O2346">
        <v>-4.1560989999999999E-2</v>
      </c>
      <c r="P2346">
        <v>0.98878100000000002</v>
      </c>
      <c r="Q2346">
        <v>0.12180439999999999</v>
      </c>
      <c r="R2346">
        <v>-8.6465349999999996E-2</v>
      </c>
      <c r="S2346">
        <v>3.0731809999999999</v>
      </c>
      <c r="T2346">
        <v>-0.29166500000000001</v>
      </c>
      <c r="U2346">
        <v>2.4581909999999998E-2</v>
      </c>
      <c r="V2346">
        <v>4.4778770000000002E-2</v>
      </c>
      <c r="W2346">
        <v>0.13529289999999999</v>
      </c>
      <c r="X2346">
        <v>0.98979320000000004</v>
      </c>
      <c r="Y2346">
        <v>-4.9147549999999998E-2</v>
      </c>
      <c r="Z2346">
        <v>6.2621169999999898E-3</v>
      </c>
      <c r="AA2346">
        <v>0.99877190000000005</v>
      </c>
      <c r="AB2346">
        <v>22</v>
      </c>
      <c r="AC2346">
        <v>11.496099999999901</v>
      </c>
      <c r="AD2346">
        <v>-1.1120191516109901</v>
      </c>
      <c r="AE2346">
        <v>0.100300000000004</v>
      </c>
      <c r="AF2346">
        <v>-0.572687694465151</v>
      </c>
      <c r="AG2346">
        <v>-1.1120191516109901</v>
      </c>
      <c r="AH2346">
        <v>11.3755664243903</v>
      </c>
      <c r="AI2346">
        <v>95.576195507629706</v>
      </c>
      <c r="AJ2346">
        <v>92.882046284918999</v>
      </c>
      <c r="AK2346">
        <v>11.444128156598801</v>
      </c>
      <c r="AL2346">
        <v>82.224442341596003</v>
      </c>
      <c r="AM2346">
        <v>87.409674755384202</v>
      </c>
      <c r="AN2346">
        <v>0.99999994289967897</v>
      </c>
    </row>
    <row r="2347" spans="1:40" x14ac:dyDescent="0.25">
      <c r="A2347" t="str">
        <f>"20190312164310297"</f>
        <v>20190312164310297</v>
      </c>
      <c r="B2347" t="str">
        <f>"1552380190287051"</f>
        <v>1552380190287051</v>
      </c>
      <c r="C2347" t="s">
        <v>40</v>
      </c>
      <c r="D2347">
        <v>4.7305089999999996</v>
      </c>
      <c r="E2347">
        <v>0.47123910000000002</v>
      </c>
      <c r="F2347" t="s">
        <v>46</v>
      </c>
      <c r="G2347">
        <v>-458.06369999999998</v>
      </c>
      <c r="H2347" s="1">
        <v>2.7927060000000001E-6</v>
      </c>
      <c r="I2347">
        <v>213.73820000000001</v>
      </c>
      <c r="J2347">
        <v>-469.40570000000002</v>
      </c>
      <c r="K2347">
        <v>1.1119680000000001</v>
      </c>
      <c r="L2347">
        <v>213.62129999999999</v>
      </c>
      <c r="M2347">
        <v>0.99917500000000004</v>
      </c>
      <c r="N2347">
        <v>0</v>
      </c>
      <c r="O2347">
        <v>-3.835044E-2</v>
      </c>
      <c r="P2347">
        <v>0.98919089999999998</v>
      </c>
      <c r="Q2347">
        <v>0.1201806</v>
      </c>
      <c r="R2347">
        <v>-8.4010210000000002E-2</v>
      </c>
      <c r="S2347">
        <v>3.0728759999999999</v>
      </c>
      <c r="T2347">
        <v>-0.29457949999999999</v>
      </c>
      <c r="U2347">
        <v>2.9159549999999999E-2</v>
      </c>
      <c r="V2347">
        <v>4.551521E-2</v>
      </c>
      <c r="W2347">
        <v>0.1335933</v>
      </c>
      <c r="X2347">
        <v>0.9899905</v>
      </c>
      <c r="Y2347">
        <v>-4.744081E-2</v>
      </c>
      <c r="Z2347">
        <v>5.9364630000000003E-3</v>
      </c>
      <c r="AA2347">
        <v>0.99885639999999998</v>
      </c>
      <c r="AB2347">
        <v>22</v>
      </c>
      <c r="AC2347">
        <v>11.342000000000001</v>
      </c>
      <c r="AD2347">
        <v>-1.1119652072939901</v>
      </c>
      <c r="AE2347">
        <v>0.11690000000001501</v>
      </c>
      <c r="AF2347">
        <v>-0.54657056840622298</v>
      </c>
      <c r="AG2347">
        <v>-1.1119652072939901</v>
      </c>
      <c r="AH2347">
        <v>11.221325931590499</v>
      </c>
      <c r="AI2347">
        <v>95.652530317387402</v>
      </c>
      <c r="AJ2347">
        <v>92.788570298698502</v>
      </c>
      <c r="AK2347">
        <v>11.2895244218464</v>
      </c>
      <c r="AL2347">
        <v>82.322714866958606</v>
      </c>
      <c r="AM2347">
        <v>87.367657223816394</v>
      </c>
      <c r="AN2347">
        <v>0.99999999711824195</v>
      </c>
    </row>
    <row r="2348" spans="1:40" x14ac:dyDescent="0.25">
      <c r="A2348" t="str">
        <f>"20190312164310319"</f>
        <v>20190312164310319</v>
      </c>
      <c r="B2348" t="str">
        <f>"1552380190306572"</f>
        <v>1552380190306572</v>
      </c>
      <c r="C2348" t="s">
        <v>40</v>
      </c>
      <c r="D2348">
        <v>4.7711980000000001</v>
      </c>
      <c r="E2348">
        <v>0.47128229999999999</v>
      </c>
      <c r="F2348" t="s">
        <v>46</v>
      </c>
      <c r="G2348">
        <v>-458.05329999999998</v>
      </c>
      <c r="H2348" s="1">
        <v>2.7858819999999998E-6</v>
      </c>
      <c r="I2348">
        <v>213.7672</v>
      </c>
      <c r="J2348">
        <v>-469.2072</v>
      </c>
      <c r="K2348">
        <v>1.1118889999999999</v>
      </c>
      <c r="L2348">
        <v>213.6164</v>
      </c>
      <c r="M2348">
        <v>0.99926300000000001</v>
      </c>
      <c r="N2348">
        <v>0</v>
      </c>
      <c r="O2348">
        <v>-3.601091E-2</v>
      </c>
      <c r="P2348">
        <v>0.98963590000000001</v>
      </c>
      <c r="Q2348">
        <v>0.1183819</v>
      </c>
      <c r="R2348">
        <v>-8.1280459999999999E-2</v>
      </c>
      <c r="S2348">
        <v>3.0726619999999998</v>
      </c>
      <c r="T2348">
        <v>-0.30096689999999998</v>
      </c>
      <c r="U2348">
        <v>3.9504999999999998E-2</v>
      </c>
      <c r="V2348">
        <v>4.51219E-2</v>
      </c>
      <c r="W2348">
        <v>0.1317132</v>
      </c>
      <c r="X2348">
        <v>0.99026040000000004</v>
      </c>
      <c r="Y2348">
        <v>-4.8454490000000003E-2</v>
      </c>
      <c r="Z2348">
        <v>5.8859350000000001E-3</v>
      </c>
      <c r="AA2348">
        <v>0.99880800000000003</v>
      </c>
      <c r="AB2348">
        <v>22</v>
      </c>
      <c r="AC2348">
        <v>11.1539</v>
      </c>
      <c r="AD2348">
        <v>-1.1118862141179999</v>
      </c>
      <c r="AE2348">
        <v>0.15080000000000299</v>
      </c>
      <c r="AF2348">
        <v>-0.54696539731485505</v>
      </c>
      <c r="AG2348">
        <v>-1.1118862141179999</v>
      </c>
      <c r="AH2348">
        <v>11.031629071903399</v>
      </c>
      <c r="AI2348">
        <v>95.748433849062906</v>
      </c>
      <c r="AJ2348">
        <v>92.838489766361405</v>
      </c>
      <c r="AK2348">
        <v>11.1010045527002</v>
      </c>
      <c r="AL2348">
        <v>82.431397228709599</v>
      </c>
      <c r="AM2348">
        <v>87.3910827542703</v>
      </c>
      <c r="AN2348">
        <v>1.0000000063609999</v>
      </c>
    </row>
    <row r="2349" spans="1:40" x14ac:dyDescent="0.25">
      <c r="A2349" t="str">
        <f>"20190312164310338"</f>
        <v>20190312164310338</v>
      </c>
      <c r="B2349" t="str">
        <f>"1552380190327068"</f>
        <v>1552380190327068</v>
      </c>
      <c r="C2349" t="s">
        <v>40</v>
      </c>
      <c r="D2349">
        <v>4.9240490000000001</v>
      </c>
      <c r="E2349">
        <v>0.47121299999999999</v>
      </c>
      <c r="F2349" t="s">
        <v>46</v>
      </c>
      <c r="G2349">
        <v>-458.24329999999998</v>
      </c>
      <c r="H2349" s="1">
        <v>2.8860789999999998E-6</v>
      </c>
      <c r="I2349">
        <v>213.7878</v>
      </c>
      <c r="J2349">
        <v>-469.01350000000002</v>
      </c>
      <c r="K2349">
        <v>1.1117669999999999</v>
      </c>
      <c r="L2349">
        <v>213.61199999999999</v>
      </c>
      <c r="M2349">
        <v>0.99933859999999997</v>
      </c>
      <c r="N2349">
        <v>0</v>
      </c>
      <c r="O2349">
        <v>-3.3887300000000002E-2</v>
      </c>
      <c r="P2349">
        <v>0.98996039999999996</v>
      </c>
      <c r="Q2349">
        <v>0.11729630000000001</v>
      </c>
      <c r="R2349">
        <v>-7.8869519999999999E-2</v>
      </c>
      <c r="S2349">
        <v>3.0726930000000001</v>
      </c>
      <c r="T2349">
        <v>-0.31161060000000002</v>
      </c>
      <c r="U2349">
        <v>4.8034670000000002E-2</v>
      </c>
      <c r="V2349">
        <v>4.4847329999999998E-2</v>
      </c>
      <c r="W2349">
        <v>0.13053049999999999</v>
      </c>
      <c r="X2349">
        <v>0.99042949999999996</v>
      </c>
      <c r="Y2349">
        <v>-4.9082500000000001E-2</v>
      </c>
      <c r="Z2349">
        <v>5.9099230000000001E-3</v>
      </c>
      <c r="AA2349">
        <v>0.99877729999999998</v>
      </c>
      <c r="AB2349">
        <v>22</v>
      </c>
      <c r="AC2349">
        <v>10.770200000000001</v>
      </c>
      <c r="AD2349">
        <v>-1.1117641139209999</v>
      </c>
      <c r="AE2349">
        <v>0.175800000000009</v>
      </c>
      <c r="AF2349">
        <v>-0.53500449767547198</v>
      </c>
      <c r="AG2349">
        <v>-1.1117641139209999</v>
      </c>
      <c r="AH2349">
        <v>10.644660273725201</v>
      </c>
      <c r="AI2349">
        <v>95.955083229829</v>
      </c>
      <c r="AJ2349">
        <v>92.877285576935094</v>
      </c>
      <c r="AK2349">
        <v>10.715924673146899</v>
      </c>
      <c r="AL2349">
        <v>82.499751387875193</v>
      </c>
      <c r="AM2349">
        <v>87.407378587820304</v>
      </c>
      <c r="AN2349">
        <v>1.00000004445431</v>
      </c>
    </row>
    <row r="2350" spans="1:40" x14ac:dyDescent="0.25">
      <c r="A2350" t="str">
        <f>"20190312164310384"</f>
        <v>20190312164310384</v>
      </c>
      <c r="B2350" t="str">
        <f>"1552380190376843"</f>
        <v>1552380190376843</v>
      </c>
      <c r="C2350" t="s">
        <v>40</v>
      </c>
      <c r="D2350">
        <v>4.7254610000000001</v>
      </c>
      <c r="E2350">
        <v>0.4713367</v>
      </c>
      <c r="F2350" t="s">
        <v>46</v>
      </c>
      <c r="G2350">
        <v>-458.18579999999997</v>
      </c>
      <c r="H2350" s="1">
        <v>2.8546810000000001E-6</v>
      </c>
      <c r="I2350">
        <v>213.80690000000001</v>
      </c>
      <c r="J2350">
        <v>-468.57839999999999</v>
      </c>
      <c r="K2350">
        <v>1.111424</v>
      </c>
      <c r="L2350">
        <v>213.60290000000001</v>
      </c>
      <c r="M2350">
        <v>0.99947370000000002</v>
      </c>
      <c r="N2350">
        <v>0</v>
      </c>
      <c r="O2350">
        <v>-2.9725069999999999E-2</v>
      </c>
      <c r="P2350">
        <v>0.99061339999999998</v>
      </c>
      <c r="Q2350">
        <v>0.11502759999999999</v>
      </c>
      <c r="R2350">
        <v>-7.3853059999999998E-2</v>
      </c>
      <c r="S2350">
        <v>3.0722049999999999</v>
      </c>
      <c r="T2350">
        <v>-0.31544820000000001</v>
      </c>
      <c r="U2350">
        <v>5.5297850000000003E-2</v>
      </c>
      <c r="V2350">
        <v>4.4047790000000003E-2</v>
      </c>
      <c r="W2350">
        <v>0.12803719999999999</v>
      </c>
      <c r="X2350">
        <v>0.99079070000000002</v>
      </c>
      <c r="Y2350">
        <v>-4.7306399999999998E-2</v>
      </c>
      <c r="Z2350">
        <v>5.466093E-3</v>
      </c>
      <c r="AA2350">
        <v>0.99886549999999996</v>
      </c>
      <c r="AB2350">
        <v>22</v>
      </c>
      <c r="AC2350">
        <v>10.3926</v>
      </c>
      <c r="AD2350">
        <v>-1.1114211453189999</v>
      </c>
      <c r="AE2350">
        <v>0.20400000000000701</v>
      </c>
      <c r="AF2350">
        <v>-0.50705970464208505</v>
      </c>
      <c r="AG2350">
        <v>-1.1114211453189999</v>
      </c>
      <c r="AH2350">
        <v>10.264592386136799</v>
      </c>
      <c r="AI2350">
        <v>96.172282097506397</v>
      </c>
      <c r="AJ2350">
        <v>92.828050327701405</v>
      </c>
      <c r="AK2350">
        <v>10.337031651294801</v>
      </c>
      <c r="AL2350">
        <v>82.643815494808294</v>
      </c>
      <c r="AM2350">
        <v>87.4544656625241</v>
      </c>
      <c r="AN2350">
        <v>0.99999997179710598</v>
      </c>
    </row>
    <row r="2351" spans="1:40" x14ac:dyDescent="0.25">
      <c r="A2351" t="str">
        <f>"20190312164310408"</f>
        <v>20190312164310408</v>
      </c>
      <c r="B2351" t="str">
        <f>"1552380190396363"</f>
        <v>1552380190396363</v>
      </c>
      <c r="C2351" t="s">
        <v>40</v>
      </c>
      <c r="D2351">
        <v>4.7916999999999996</v>
      </c>
      <c r="E2351">
        <v>0.47137370000000001</v>
      </c>
      <c r="F2351" t="s">
        <v>41</v>
      </c>
      <c r="G2351">
        <v>-467.68869999999998</v>
      </c>
      <c r="H2351">
        <v>1.0182990000000001</v>
      </c>
      <c r="I2351">
        <v>213.6223</v>
      </c>
      <c r="J2351">
        <v>-468.35050000000001</v>
      </c>
      <c r="K2351">
        <v>1.1112919999999999</v>
      </c>
      <c r="L2351">
        <v>213.5984</v>
      </c>
      <c r="M2351">
        <v>0.99952949999999996</v>
      </c>
      <c r="N2351">
        <v>0</v>
      </c>
      <c r="O2351">
        <v>-2.7818659999999999E-2</v>
      </c>
      <c r="P2351">
        <v>0.99075619999999998</v>
      </c>
      <c r="Q2351">
        <v>0.1146322</v>
      </c>
      <c r="R2351">
        <v>-7.2540240000000006E-2</v>
      </c>
      <c r="S2351">
        <v>3.070862</v>
      </c>
      <c r="T2351">
        <v>-0.32179730000000001</v>
      </c>
      <c r="U2351">
        <v>6.852722E-2</v>
      </c>
      <c r="V2351">
        <v>4.4660720000000001E-2</v>
      </c>
      <c r="W2351">
        <v>0.12753689999999901</v>
      </c>
      <c r="X2351">
        <v>0.99082780000000004</v>
      </c>
      <c r="Y2351">
        <v>-4.9690930000000001E-2</v>
      </c>
      <c r="Z2351">
        <v>5.5031389999999998E-3</v>
      </c>
      <c r="AA2351">
        <v>0.99874949999999996</v>
      </c>
      <c r="AB2351">
        <v>22</v>
      </c>
      <c r="AC2351">
        <v>0.66180000000002703</v>
      </c>
      <c r="AD2351">
        <v>-9.2992999999999798E-2</v>
      </c>
      <c r="AE2351">
        <v>2.38999999999975E-2</v>
      </c>
      <c r="AF2351">
        <v>-4.1484646225568599E-2</v>
      </c>
      <c r="AG2351">
        <v>-9.2992999999999798E-2</v>
      </c>
      <c r="AH2351">
        <v>0.64809915840324805</v>
      </c>
      <c r="AI2351">
        <v>98.148943609745899</v>
      </c>
      <c r="AJ2351">
        <v>93.662490267986897</v>
      </c>
      <c r="AK2351">
        <v>0.656049687938695</v>
      </c>
      <c r="AL2351">
        <v>82.672717621384294</v>
      </c>
      <c r="AM2351">
        <v>87.419188338459705</v>
      </c>
      <c r="AN2351">
        <v>0.99999998501268395</v>
      </c>
    </row>
    <row r="2352" spans="1:40" x14ac:dyDescent="0.25">
      <c r="A2352" t="str">
        <f>"20190312164310449"</f>
        <v>20190312164310449</v>
      </c>
      <c r="B2352" t="str">
        <f>"1552380190437355"</f>
        <v>1552380190437355</v>
      </c>
      <c r="C2352" t="s">
        <v>40</v>
      </c>
      <c r="D2352">
        <v>4.9270990000000001</v>
      </c>
      <c r="E2352">
        <v>0.47144619999999998</v>
      </c>
      <c r="F2352" t="s">
        <v>46</v>
      </c>
      <c r="G2352">
        <v>-457.71660000000003</v>
      </c>
      <c r="H2352" s="1">
        <v>2.603195E-6</v>
      </c>
      <c r="I2352">
        <v>213.84780000000001</v>
      </c>
      <c r="J2352">
        <v>-467.9581</v>
      </c>
      <c r="K2352">
        <v>1.111181</v>
      </c>
      <c r="L2352">
        <v>213.5915</v>
      </c>
      <c r="M2352">
        <v>0.99961089999999997</v>
      </c>
      <c r="N2352">
        <v>0</v>
      </c>
      <c r="O2352">
        <v>-2.4811079999999999E-2</v>
      </c>
      <c r="P2352">
        <v>0.99143979999999998</v>
      </c>
      <c r="Q2352">
        <v>0.10894810000000001</v>
      </c>
      <c r="R2352">
        <v>-7.1954939999999995E-2</v>
      </c>
      <c r="S2352">
        <v>3.0704039999999999</v>
      </c>
      <c r="T2352">
        <v>-0.32087179999999998</v>
      </c>
      <c r="U2352">
        <v>7.2006230000000004E-2</v>
      </c>
      <c r="V2352">
        <v>4.7078130000000003E-2</v>
      </c>
      <c r="W2352">
        <v>0.1217038</v>
      </c>
      <c r="X2352">
        <v>0.99144940000000004</v>
      </c>
      <c r="Y2352">
        <v>-4.7848790000000002E-2</v>
      </c>
      <c r="Z2352">
        <v>5.0787640000000004E-3</v>
      </c>
      <c r="AA2352">
        <v>0.99884170000000005</v>
      </c>
      <c r="AB2352">
        <v>22</v>
      </c>
      <c r="AC2352">
        <v>10.241499999999901</v>
      </c>
      <c r="AD2352">
        <v>-1.111178396805</v>
      </c>
      <c r="AE2352">
        <v>0.25630000000001002</v>
      </c>
      <c r="AF2352">
        <v>-0.50441033824301995</v>
      </c>
      <c r="AG2352">
        <v>-1.111178396805</v>
      </c>
      <c r="AH2352">
        <v>10.1130139259401</v>
      </c>
      <c r="AI2352">
        <v>96.262560543286696</v>
      </c>
      <c r="AJ2352">
        <v>92.855395397958205</v>
      </c>
      <c r="AK2352">
        <v>10.186373146763801</v>
      </c>
      <c r="AL2352">
        <v>83.009556344925301</v>
      </c>
      <c r="AM2352">
        <v>87.281400750016502</v>
      </c>
      <c r="AN2352">
        <v>1.00000003900954</v>
      </c>
    </row>
    <row r="2353" spans="1:40" x14ac:dyDescent="0.25">
      <c r="A2353" t="str">
        <f>"20190312164310473"</f>
        <v>20190312164310473</v>
      </c>
      <c r="B2353" t="str">
        <f>"1552380190466635"</f>
        <v>1552380190466635</v>
      </c>
      <c r="C2353" t="s">
        <v>40</v>
      </c>
      <c r="D2353">
        <v>4.8680110000000001</v>
      </c>
      <c r="E2353">
        <v>0.47166960000000002</v>
      </c>
      <c r="F2353" t="s">
        <v>41</v>
      </c>
      <c r="G2353">
        <v>-467.11489999999998</v>
      </c>
      <c r="H2353">
        <v>1.0194259999999999</v>
      </c>
      <c r="I2353">
        <v>213.61189999999999</v>
      </c>
      <c r="J2353">
        <v>-467.72739999999999</v>
      </c>
      <c r="K2353">
        <v>1.111157</v>
      </c>
      <c r="L2353">
        <v>213.58789999999999</v>
      </c>
      <c r="M2353">
        <v>0.99965199999999999</v>
      </c>
      <c r="N2353">
        <v>0</v>
      </c>
      <c r="O2353">
        <v>-2.3141020000000002E-2</v>
      </c>
      <c r="P2353">
        <v>0.99209570000000002</v>
      </c>
      <c r="Q2353">
        <v>0.1041209</v>
      </c>
      <c r="R2353">
        <v>-7.0037920000000004E-2</v>
      </c>
      <c r="S2353">
        <v>3.067993</v>
      </c>
      <c r="T2353">
        <v>-0.33399030000000002</v>
      </c>
      <c r="U2353">
        <v>7.4691770000000005E-2</v>
      </c>
      <c r="V2353">
        <v>4.6814260000000003E-2</v>
      </c>
      <c r="W2353">
        <v>0.1167985</v>
      </c>
      <c r="X2353">
        <v>0.99205169999999998</v>
      </c>
      <c r="Y2353">
        <v>-4.7053240000000003E-2</v>
      </c>
      <c r="Z2353">
        <v>5.0648719999999998E-3</v>
      </c>
      <c r="AA2353">
        <v>0.99887959999999998</v>
      </c>
      <c r="AB2353">
        <v>22</v>
      </c>
      <c r="AC2353">
        <v>0.61250000000001104</v>
      </c>
      <c r="AD2353">
        <v>-9.1730999999999993E-2</v>
      </c>
      <c r="AE2353">
        <v>2.4000000000000899E-2</v>
      </c>
      <c r="AF2353">
        <v>-3.7332516524381298E-2</v>
      </c>
      <c r="AG2353">
        <v>-9.1730999999999993E-2</v>
      </c>
      <c r="AH2353">
        <v>0.59837972597949296</v>
      </c>
      <c r="AI2353">
        <v>98.698879722004094</v>
      </c>
      <c r="AJ2353">
        <v>93.570018684668895</v>
      </c>
      <c r="AK2353">
        <v>0.60652006530232405</v>
      </c>
      <c r="AL2353">
        <v>83.292629467623797</v>
      </c>
      <c r="AM2353">
        <v>87.298254523109605</v>
      </c>
      <c r="AN2353">
        <v>1.0000000200072401</v>
      </c>
    </row>
    <row r="2354" spans="1:40" x14ac:dyDescent="0.25">
      <c r="A2354" t="str">
        <f>"20190312164310493"</f>
        <v>20190312164310493</v>
      </c>
      <c r="B2354" t="str">
        <f>"1552380190487131"</f>
        <v>1552380190487131</v>
      </c>
      <c r="C2354" t="s">
        <v>40</v>
      </c>
      <c r="D2354">
        <v>4.9023459999999996</v>
      </c>
      <c r="E2354">
        <v>0.47189039999999999</v>
      </c>
      <c r="F2354" t="s">
        <v>41</v>
      </c>
      <c r="G2354">
        <v>-466.923</v>
      </c>
      <c r="H2354">
        <v>1.0201039999999999</v>
      </c>
      <c r="I2354">
        <v>213.6079</v>
      </c>
      <c r="J2354">
        <v>-467.52100000000002</v>
      </c>
      <c r="K2354">
        <v>1.111137</v>
      </c>
      <c r="L2354">
        <v>213.58500000000001</v>
      </c>
      <c r="M2354">
        <v>0.99968639999999998</v>
      </c>
      <c r="N2354">
        <v>0</v>
      </c>
      <c r="O2354">
        <v>-2.1646180000000001E-2</v>
      </c>
      <c r="P2354">
        <v>0.99271419999999999</v>
      </c>
      <c r="Q2354">
        <v>9.9317069999999993E-2</v>
      </c>
      <c r="R2354">
        <v>-6.8227479999999993E-2</v>
      </c>
      <c r="S2354">
        <v>3.0657960000000002</v>
      </c>
      <c r="T2354">
        <v>-0.34724189999999999</v>
      </c>
      <c r="U2354">
        <v>7.7331540000000004E-2</v>
      </c>
      <c r="V2354">
        <v>4.6484129999999999E-2</v>
      </c>
      <c r="W2354">
        <v>0.11193119999999999</v>
      </c>
      <c r="X2354">
        <v>0.99262819999999996</v>
      </c>
      <c r="Y2354">
        <v>-4.6416100000000002E-2</v>
      </c>
      <c r="Z2354">
        <v>5.0635630000000001E-3</v>
      </c>
      <c r="AA2354">
        <v>0.99890939999999995</v>
      </c>
      <c r="AB2354">
        <v>22</v>
      </c>
      <c r="AC2354">
        <v>0.59799999999995601</v>
      </c>
      <c r="AD2354">
        <v>-9.1032999999999906E-2</v>
      </c>
      <c r="AE2354">
        <v>2.2899999999992801E-2</v>
      </c>
      <c r="AF2354">
        <v>-3.5029501030429101E-2</v>
      </c>
      <c r="AG2354">
        <v>-9.1032999999999906E-2</v>
      </c>
      <c r="AH2354">
        <v>0.58385388454255505</v>
      </c>
      <c r="AI2354">
        <v>98.846402372002302</v>
      </c>
      <c r="AJ2354">
        <v>93.433461000310402</v>
      </c>
      <c r="AK2354">
        <v>0.59194546330457898</v>
      </c>
      <c r="AL2354">
        <v>83.573347571304893</v>
      </c>
      <c r="AM2354">
        <v>87.318834859662005</v>
      </c>
      <c r="AN2354">
        <v>1.00000005565526</v>
      </c>
    </row>
    <row r="2355" spans="1:40" x14ac:dyDescent="0.25">
      <c r="A2355" t="str">
        <f>"20190312164310516"</f>
        <v>20190312164310516</v>
      </c>
      <c r="B2355" t="str">
        <f>"1552380190506651"</f>
        <v>1552380190506651</v>
      </c>
      <c r="C2355" t="s">
        <v>40</v>
      </c>
      <c r="D2355">
        <v>4.7672179999999997</v>
      </c>
      <c r="E2355">
        <v>0.4719566</v>
      </c>
      <c r="F2355" t="s">
        <v>41</v>
      </c>
      <c r="G2355">
        <v>-466.73289999999997</v>
      </c>
      <c r="H2355">
        <v>1.0182420000000001</v>
      </c>
      <c r="I2355">
        <v>213.6053</v>
      </c>
      <c r="J2355">
        <v>-467.3107</v>
      </c>
      <c r="K2355">
        <v>1.111116</v>
      </c>
      <c r="L2355">
        <v>213.5823</v>
      </c>
      <c r="M2355">
        <v>0.99971969999999999</v>
      </c>
      <c r="N2355">
        <v>0</v>
      </c>
      <c r="O2355">
        <v>-2.009273E-2</v>
      </c>
      <c r="P2355">
        <v>0.99312460000000002</v>
      </c>
      <c r="Q2355">
        <v>9.5930699999999994E-2</v>
      </c>
      <c r="R2355">
        <v>-6.7087640000000004E-2</v>
      </c>
      <c r="S2355">
        <v>3.0636290000000002</v>
      </c>
      <c r="T2355">
        <v>-0.36131750000000001</v>
      </c>
      <c r="U2355">
        <v>7.9360959999999994E-2</v>
      </c>
      <c r="V2355">
        <v>4.6886240000000003E-2</v>
      </c>
      <c r="W2355">
        <v>0.10848099999999999</v>
      </c>
      <c r="X2355">
        <v>0.99299219999999999</v>
      </c>
      <c r="Y2355">
        <v>-4.5523380000000002E-2</v>
      </c>
      <c r="Z2355">
        <v>5.0360830000000002E-3</v>
      </c>
      <c r="AA2355">
        <v>0.99895060000000002</v>
      </c>
      <c r="AB2355">
        <v>22</v>
      </c>
      <c r="AC2355">
        <v>0.57780000000002396</v>
      </c>
      <c r="AD2355">
        <v>-9.2873999999999901E-2</v>
      </c>
      <c r="AE2355">
        <v>2.29999999999961E-2</v>
      </c>
      <c r="AF2355">
        <v>-3.3735615353979898E-2</v>
      </c>
      <c r="AG2355">
        <v>-9.2873999999999901E-2</v>
      </c>
      <c r="AH2355">
        <v>0.56270583278368402</v>
      </c>
      <c r="AI2355">
        <v>99.355614110926197</v>
      </c>
      <c r="AJ2355">
        <v>93.430917950191201</v>
      </c>
      <c r="AK2355">
        <v>0.57131560968355399</v>
      </c>
      <c r="AL2355">
        <v>83.772240585218398</v>
      </c>
      <c r="AM2355">
        <v>87.296665630355605</v>
      </c>
      <c r="AN2355">
        <v>0.99999997806158802</v>
      </c>
    </row>
    <row r="2356" spans="1:40" x14ac:dyDescent="0.25">
      <c r="A2356" t="str">
        <f>"20190312164310538"</f>
        <v>20190312164310538</v>
      </c>
      <c r="B2356" t="str">
        <f>"1552380190527147"</f>
        <v>1552380190527147</v>
      </c>
      <c r="C2356" t="s">
        <v>40</v>
      </c>
      <c r="D2356">
        <v>4.7112339999999904</v>
      </c>
      <c r="E2356">
        <v>0.47185890000000003</v>
      </c>
      <c r="F2356" t="s">
        <v>41</v>
      </c>
      <c r="G2356">
        <v>-466.54140000000001</v>
      </c>
      <c r="H2356">
        <v>1.018216</v>
      </c>
      <c r="I2356">
        <v>213.60239999999999</v>
      </c>
      <c r="J2356">
        <v>-467.09620000000001</v>
      </c>
      <c r="K2356">
        <v>1.1110979999999999</v>
      </c>
      <c r="L2356">
        <v>213.57990000000001</v>
      </c>
      <c r="M2356">
        <v>0.99975159999999996</v>
      </c>
      <c r="N2356">
        <v>0</v>
      </c>
      <c r="O2356">
        <v>-1.8477839999999999E-2</v>
      </c>
      <c r="P2356">
        <v>0.99351080000000003</v>
      </c>
      <c r="Q2356">
        <v>9.2627470000000003E-2</v>
      </c>
      <c r="R2356">
        <v>-6.6004880000000002E-2</v>
      </c>
      <c r="S2356">
        <v>3.0620419999999999</v>
      </c>
      <c r="T2356">
        <v>-0.37021959999999998</v>
      </c>
      <c r="U2356">
        <v>8.1298830000000002E-2</v>
      </c>
      <c r="V2356">
        <v>4.7409050000000001E-2</v>
      </c>
      <c r="W2356">
        <v>0.1051129</v>
      </c>
      <c r="X2356">
        <v>0.99332960000000003</v>
      </c>
      <c r="Y2356">
        <v>-4.4550670000000001E-2</v>
      </c>
      <c r="Z2356">
        <v>4.9087890000000002E-3</v>
      </c>
      <c r="AA2356">
        <v>0.99899510000000002</v>
      </c>
      <c r="AB2356">
        <v>22</v>
      </c>
      <c r="AC2356">
        <v>0.55479999999999996</v>
      </c>
      <c r="AD2356">
        <v>-9.2881999999999895E-2</v>
      </c>
      <c r="AE2356">
        <v>2.2499999999979502E-2</v>
      </c>
      <c r="AF2356">
        <v>-3.1857040674400698E-2</v>
      </c>
      <c r="AG2356">
        <v>-9.2881999999999895E-2</v>
      </c>
      <c r="AH2356">
        <v>0.53920161901866603</v>
      </c>
      <c r="AI2356">
        <v>99.757072984394</v>
      </c>
      <c r="AJ2356">
        <v>93.381211300116803</v>
      </c>
      <c r="AK2356">
        <v>0.54806963327380298</v>
      </c>
      <c r="AL2356">
        <v>83.966328854068706</v>
      </c>
      <c r="AM2356">
        <v>87.267494325076598</v>
      </c>
      <c r="AN2356">
        <v>1.0000000170022301</v>
      </c>
    </row>
    <row r="2357" spans="1:40" x14ac:dyDescent="0.25">
      <c r="A2357" t="str">
        <f>"20190312164310562"</f>
        <v>20190312164310562</v>
      </c>
      <c r="B2357" t="str">
        <f>"1552380190556427"</f>
        <v>1552380190556427</v>
      </c>
      <c r="C2357" t="s">
        <v>40</v>
      </c>
      <c r="D2357">
        <v>4.7955949999999996</v>
      </c>
      <c r="E2357">
        <v>0.47176649999999998</v>
      </c>
      <c r="F2357" t="s">
        <v>41</v>
      </c>
      <c r="G2357">
        <v>-466.3494</v>
      </c>
      <c r="H2357">
        <v>1.0188090000000001</v>
      </c>
      <c r="I2357">
        <v>213.6003</v>
      </c>
      <c r="J2357">
        <v>-466.87400000000002</v>
      </c>
      <c r="K2357">
        <v>1.111065</v>
      </c>
      <c r="L2357">
        <v>213.5778</v>
      </c>
      <c r="M2357">
        <v>0.99978210000000001</v>
      </c>
      <c r="N2357">
        <v>0</v>
      </c>
      <c r="O2357">
        <v>-1.680272E-2</v>
      </c>
      <c r="P2357">
        <v>0.9938555</v>
      </c>
      <c r="Q2357">
        <v>8.9595629999999996E-2</v>
      </c>
      <c r="R2357">
        <v>-6.4993190000000006E-2</v>
      </c>
      <c r="S2357">
        <v>3.0605159999999998</v>
      </c>
      <c r="T2357">
        <v>-0.37843749999999998</v>
      </c>
      <c r="U2357">
        <v>8.4365839999999998E-2</v>
      </c>
      <c r="V2357">
        <v>4.8066499999999998E-2</v>
      </c>
      <c r="W2357">
        <v>0.1020088</v>
      </c>
      <c r="X2357">
        <v>0.99362159999999999</v>
      </c>
      <c r="Y2357">
        <v>-4.3887250000000003E-2</v>
      </c>
      <c r="Z2357">
        <v>4.77218E-3</v>
      </c>
      <c r="AA2357">
        <v>0.9990251</v>
      </c>
      <c r="AB2357">
        <v>22</v>
      </c>
      <c r="AC2357">
        <v>0.52460000000002005</v>
      </c>
      <c r="AD2357">
        <v>-9.2255999999999894E-2</v>
      </c>
      <c r="AE2357">
        <v>2.2500000000007899E-2</v>
      </c>
      <c r="AF2357">
        <v>-3.03745485114503E-2</v>
      </c>
      <c r="AG2357">
        <v>-9.2255999999999894E-2</v>
      </c>
      <c r="AH2357">
        <v>0.508452001280706</v>
      </c>
      <c r="AI2357">
        <v>100.266227189633</v>
      </c>
      <c r="AJ2357">
        <v>93.418744665842695</v>
      </c>
      <c r="AK2357">
        <v>0.51764584451111895</v>
      </c>
      <c r="AL2357">
        <v>84.145142311685404</v>
      </c>
      <c r="AM2357">
        <v>87.230472508506693</v>
      </c>
      <c r="AN2357">
        <v>1.0000000338431201</v>
      </c>
    </row>
    <row r="2358" spans="1:40" x14ac:dyDescent="0.25">
      <c r="A2358" t="str">
        <f>"20190312164310584"</f>
        <v>20190312164310584</v>
      </c>
      <c r="B2358" t="str">
        <f>"1552380190576923"</f>
        <v>1552380190576923</v>
      </c>
      <c r="C2358" t="s">
        <v>40</v>
      </c>
      <c r="D2358">
        <v>4.7165010000000001</v>
      </c>
      <c r="E2358">
        <v>0.47172310000000001</v>
      </c>
      <c r="F2358" t="s">
        <v>41</v>
      </c>
      <c r="G2358">
        <v>-465.97660000000002</v>
      </c>
      <c r="H2358">
        <v>0.9987296</v>
      </c>
      <c r="I2358">
        <v>213.6037</v>
      </c>
      <c r="J2358">
        <v>-466.65789999999998</v>
      </c>
      <c r="K2358">
        <v>1.1110279999999999</v>
      </c>
      <c r="L2358">
        <v>213.5761</v>
      </c>
      <c r="M2358">
        <v>0.99980869999999999</v>
      </c>
      <c r="N2358">
        <v>0</v>
      </c>
      <c r="O2358">
        <v>-1.521E-2</v>
      </c>
      <c r="P2358">
        <v>0.99420030000000004</v>
      </c>
      <c r="Q2358">
        <v>8.620469E-2</v>
      </c>
      <c r="R2358">
        <v>-6.4302150000000002E-2</v>
      </c>
      <c r="S2358">
        <v>3.0587770000000001</v>
      </c>
      <c r="T2358">
        <v>-0.3827779</v>
      </c>
      <c r="U2358">
        <v>8.7554930000000003E-2</v>
      </c>
      <c r="V2358">
        <v>4.8967480000000001E-2</v>
      </c>
      <c r="W2358">
        <v>9.8541599999999993E-2</v>
      </c>
      <c r="X2358">
        <v>0.99392740000000002</v>
      </c>
      <c r="Y2358">
        <v>-4.3357569999999998E-2</v>
      </c>
      <c r="Z2358">
        <v>4.5976209999999997E-3</v>
      </c>
      <c r="AA2358">
        <v>0.99904910000000002</v>
      </c>
      <c r="AB2358">
        <v>22</v>
      </c>
      <c r="AC2358">
        <v>0.68129999999996405</v>
      </c>
      <c r="AD2358">
        <v>-0.11229840000000001</v>
      </c>
      <c r="AE2358">
        <v>2.7600000000006699E-2</v>
      </c>
      <c r="AF2358">
        <v>-3.6957712067927202E-2</v>
      </c>
      <c r="AG2358">
        <v>-0.11229840000000001</v>
      </c>
      <c r="AH2358">
        <v>0.66282275858316198</v>
      </c>
      <c r="AI2358">
        <v>99.601358231114801</v>
      </c>
      <c r="AJ2358">
        <v>93.191397019268294</v>
      </c>
      <c r="AK2358">
        <v>0.67328360474591098</v>
      </c>
      <c r="AL2358">
        <v>84.344804316155304</v>
      </c>
      <c r="AM2358">
        <v>87.179508993773297</v>
      </c>
      <c r="AN2358">
        <v>0.99999996874943398</v>
      </c>
    </row>
    <row r="2359" spans="1:40" x14ac:dyDescent="0.25">
      <c r="A2359" t="str">
        <f>"20190312164310606"</f>
        <v>20190312164310606</v>
      </c>
      <c r="B2359" t="str">
        <f>"1552380190596442"</f>
        <v>1552380190596442</v>
      </c>
      <c r="C2359" t="s">
        <v>40</v>
      </c>
      <c r="D2359">
        <v>4.7373240000000001</v>
      </c>
      <c r="E2359">
        <v>0.4726322</v>
      </c>
      <c r="F2359" t="s">
        <v>41</v>
      </c>
      <c r="G2359">
        <v>-465.78390000000002</v>
      </c>
      <c r="H2359">
        <v>1.0000979999999999</v>
      </c>
      <c r="I2359">
        <v>213.60140000000001</v>
      </c>
      <c r="J2359">
        <v>-466.44560000000001</v>
      </c>
      <c r="K2359">
        <v>1.110992</v>
      </c>
      <c r="L2359">
        <v>213.57470000000001</v>
      </c>
      <c r="M2359">
        <v>0.99983160000000004</v>
      </c>
      <c r="N2359">
        <v>0</v>
      </c>
      <c r="O2359">
        <v>-1.369009E-2</v>
      </c>
      <c r="P2359">
        <v>0.99437790000000004</v>
      </c>
      <c r="Q2359">
        <v>8.3998290000000003E-2</v>
      </c>
      <c r="R2359">
        <v>-6.4475130000000005E-2</v>
      </c>
      <c r="S2359">
        <v>3.0569760000000001</v>
      </c>
      <c r="T2359">
        <v>-0.38828889999999999</v>
      </c>
      <c r="U2359">
        <v>8.9813229999999994E-2</v>
      </c>
      <c r="V2359">
        <v>5.0661810000000002E-2</v>
      </c>
      <c r="W2359">
        <v>9.6259869999999997E-2</v>
      </c>
      <c r="X2359">
        <v>0.99406609999999995</v>
      </c>
      <c r="Y2359">
        <v>-4.2597650000000001E-2</v>
      </c>
      <c r="Z2359">
        <v>4.4256469999999996E-3</v>
      </c>
      <c r="AA2359">
        <v>0.99908249999999998</v>
      </c>
      <c r="AB2359">
        <v>22</v>
      </c>
      <c r="AC2359">
        <v>0.66169999999999596</v>
      </c>
      <c r="AD2359">
        <v>-0.11089400000000001</v>
      </c>
      <c r="AE2359">
        <v>2.6700000000005199E-2</v>
      </c>
      <c r="AF2359">
        <v>-3.4781609388892597E-2</v>
      </c>
      <c r="AG2359">
        <v>-0.11089400000000001</v>
      </c>
      <c r="AH2359">
        <v>0.64323571256735801</v>
      </c>
      <c r="AI2359">
        <v>99.767659832940197</v>
      </c>
      <c r="AJ2359">
        <v>93.095133730615004</v>
      </c>
      <c r="AK2359">
        <v>0.65365084067085699</v>
      </c>
      <c r="AL2359">
        <v>84.476162577431694</v>
      </c>
      <c r="AM2359">
        <v>87.082489095765695</v>
      </c>
      <c r="AN2359">
        <v>0.99999999636705095</v>
      </c>
    </row>
    <row r="2360" spans="1:40" x14ac:dyDescent="0.25">
      <c r="A2360" t="str">
        <f>"20190312164310651"</f>
        <v>20190312164310651</v>
      </c>
      <c r="B2360" t="str">
        <f>"1552380190647196"</f>
        <v>1552380190647196</v>
      </c>
      <c r="C2360" t="s">
        <v>40</v>
      </c>
      <c r="D2360">
        <v>4.7410360000000003</v>
      </c>
      <c r="E2360">
        <v>0.47231469999999998</v>
      </c>
      <c r="F2360" t="s">
        <v>46</v>
      </c>
      <c r="G2360">
        <v>-452.65499999999997</v>
      </c>
      <c r="H2360" s="1">
        <v>-9.1972269999999998E-8</v>
      </c>
      <c r="I2360">
        <v>213.88470000000001</v>
      </c>
      <c r="J2360">
        <v>-466.02359999999999</v>
      </c>
      <c r="K2360">
        <v>1.110865</v>
      </c>
      <c r="L2360">
        <v>213.57249999999999</v>
      </c>
      <c r="M2360">
        <v>0.99986739999999996</v>
      </c>
      <c r="N2360">
        <v>0</v>
      </c>
      <c r="O2360">
        <v>-1.092546E-2</v>
      </c>
      <c r="P2360">
        <v>0.99463330000000005</v>
      </c>
      <c r="Q2360">
        <v>7.9371869999999997E-2</v>
      </c>
      <c r="R2360">
        <v>-6.6370700000000005E-2</v>
      </c>
      <c r="S2360">
        <v>3.0421450000000001</v>
      </c>
      <c r="T2360">
        <v>-0.24507880000000001</v>
      </c>
      <c r="U2360">
        <v>6.8389889999999995E-2</v>
      </c>
      <c r="V2360">
        <v>5.5336740000000002E-2</v>
      </c>
      <c r="W2360">
        <v>9.1484549999999998E-2</v>
      </c>
      <c r="X2360">
        <v>0.99426780000000003</v>
      </c>
      <c r="Y2360">
        <v>-3.3254220000000001E-2</v>
      </c>
      <c r="Z2360">
        <v>2.2158770000000002E-3</v>
      </c>
      <c r="AA2360">
        <v>0.99944449999999996</v>
      </c>
      <c r="AB2360">
        <v>22</v>
      </c>
      <c r="AC2360">
        <v>13.368600000000001</v>
      </c>
      <c r="AD2360">
        <v>-1.11086509197227</v>
      </c>
      <c r="AE2360">
        <v>0.31220000000001802</v>
      </c>
      <c r="AF2360">
        <v>-0.455109394178489</v>
      </c>
      <c r="AG2360">
        <v>-1.11086509197227</v>
      </c>
      <c r="AH2360">
        <v>13.2727948347649</v>
      </c>
      <c r="AI2360">
        <v>94.781416870846002</v>
      </c>
      <c r="AJ2360">
        <v>91.963839241341901</v>
      </c>
      <c r="AK2360">
        <v>13.3269737202034</v>
      </c>
      <c r="AL2360">
        <v>84.750982175727302</v>
      </c>
      <c r="AM2360">
        <v>86.814445714213505</v>
      </c>
      <c r="AN2360">
        <v>1.00000001789968</v>
      </c>
    </row>
    <row r="2361" spans="1:40" x14ac:dyDescent="0.25">
      <c r="A2361" t="str">
        <f>"20190312164310673"</f>
        <v>20190312164310673</v>
      </c>
      <c r="B2361" t="str">
        <f>"1552380190666716"</f>
        <v>1552380190666716</v>
      </c>
      <c r="C2361" t="s">
        <v>40</v>
      </c>
      <c r="D2361">
        <v>4.7710749999999997</v>
      </c>
      <c r="E2361">
        <v>0.47298829999999997</v>
      </c>
      <c r="F2361" t="s">
        <v>46</v>
      </c>
      <c r="G2361">
        <v>-453.3673</v>
      </c>
      <c r="H2361" s="1">
        <v>2.8898599999999999E-7</v>
      </c>
      <c r="I2361">
        <v>213.84219999999999</v>
      </c>
      <c r="J2361">
        <v>-465.80130000000003</v>
      </c>
      <c r="K2361">
        <v>1.110778</v>
      </c>
      <c r="L2361">
        <v>213.57159999999999</v>
      </c>
      <c r="M2361">
        <v>0.99988140000000003</v>
      </c>
      <c r="N2361">
        <v>0</v>
      </c>
      <c r="O2361">
        <v>-9.6594620000000006E-3</v>
      </c>
      <c r="P2361">
        <v>0.99474079999999998</v>
      </c>
      <c r="Q2361">
        <v>7.7482540000000003E-2</v>
      </c>
      <c r="R2361">
        <v>-6.6989190000000004E-2</v>
      </c>
      <c r="S2361">
        <v>3.0418090000000002</v>
      </c>
      <c r="T2361">
        <v>-0.26698529999999998</v>
      </c>
      <c r="U2361">
        <v>6.4819340000000003E-2</v>
      </c>
      <c r="V2361">
        <v>5.7234409999999999E-2</v>
      </c>
      <c r="W2361">
        <v>8.9511419999999994E-2</v>
      </c>
      <c r="X2361">
        <v>0.99433990000000005</v>
      </c>
      <c r="Y2361">
        <v>-3.0806090000000001E-2</v>
      </c>
      <c r="Z2361">
        <v>2.1953879999999999E-3</v>
      </c>
      <c r="AA2361">
        <v>0.99952300000000005</v>
      </c>
      <c r="AB2361">
        <v>22</v>
      </c>
      <c r="AC2361">
        <v>12.433999999999999</v>
      </c>
      <c r="AD2361">
        <v>-1.110777711014</v>
      </c>
      <c r="AE2361">
        <v>0.27060000000000101</v>
      </c>
      <c r="AF2361">
        <v>-0.387609891532466</v>
      </c>
      <c r="AG2361">
        <v>-1.110777711014</v>
      </c>
      <c r="AH2361">
        <v>12.332432834439301</v>
      </c>
      <c r="AI2361">
        <v>95.144195619810702</v>
      </c>
      <c r="AJ2361">
        <v>91.800220818738893</v>
      </c>
      <c r="AK2361">
        <v>12.388420729344601</v>
      </c>
      <c r="AL2361">
        <v>84.864499691647694</v>
      </c>
      <c r="AM2361">
        <v>86.705678113610304</v>
      </c>
      <c r="AN2361">
        <v>0.99999995436523603</v>
      </c>
    </row>
    <row r="2362" spans="1:40" x14ac:dyDescent="0.25">
      <c r="A2362" t="str">
        <f>"20190312164310695"</f>
        <v>20190312164310695</v>
      </c>
      <c r="B2362" t="str">
        <f>"1552380190686235"</f>
        <v>1552380190686235</v>
      </c>
      <c r="C2362" t="s">
        <v>40</v>
      </c>
      <c r="D2362">
        <v>4.7573879999999997</v>
      </c>
      <c r="E2362">
        <v>0.47331109999999998</v>
      </c>
      <c r="F2362" t="s">
        <v>46</v>
      </c>
      <c r="G2362">
        <v>-453.57170000000002</v>
      </c>
      <c r="H2362" s="1">
        <v>3.9945660000000001E-7</v>
      </c>
      <c r="I2362">
        <v>213.80199999999999</v>
      </c>
      <c r="J2362">
        <v>-465.59030000000001</v>
      </c>
      <c r="K2362">
        <v>1.110676</v>
      </c>
      <c r="L2362">
        <v>213.57089999999999</v>
      </c>
      <c r="M2362">
        <v>0.99989189999999994</v>
      </c>
      <c r="N2362">
        <v>0</v>
      </c>
      <c r="O2362">
        <v>-8.6051240000000005E-3</v>
      </c>
      <c r="P2362">
        <v>0.99478500000000003</v>
      </c>
      <c r="Q2362">
        <v>7.5363169999999993E-2</v>
      </c>
      <c r="R2362">
        <v>-6.8728049999999999E-2</v>
      </c>
      <c r="S2362">
        <v>3.041229</v>
      </c>
      <c r="T2362">
        <v>-0.27622350000000001</v>
      </c>
      <c r="U2362">
        <v>5.7281489999999997E-2</v>
      </c>
      <c r="V2362">
        <v>6.0044710000000001E-2</v>
      </c>
      <c r="W2362">
        <v>8.7311360000000005E-2</v>
      </c>
      <c r="X2362">
        <v>0.99436979999999997</v>
      </c>
      <c r="Y2362">
        <v>-2.7287459999999999E-2</v>
      </c>
      <c r="Z2362">
        <v>2.0165169999999998E-3</v>
      </c>
      <c r="AA2362">
        <v>0.9996256</v>
      </c>
      <c r="AB2362">
        <v>22</v>
      </c>
      <c r="AC2362">
        <v>12.0185999999999</v>
      </c>
      <c r="AD2362">
        <v>-1.1106756005434</v>
      </c>
      <c r="AE2362">
        <v>0.23110000000002601</v>
      </c>
      <c r="AF2362">
        <v>-0.33168870446033299</v>
      </c>
      <c r="AG2362">
        <v>-1.1106756005434</v>
      </c>
      <c r="AH2362">
        <v>11.9144522816162</v>
      </c>
      <c r="AI2362">
        <v>95.323720017001904</v>
      </c>
      <c r="AJ2362">
        <v>91.594656230939904</v>
      </c>
      <c r="AK2362">
        <v>11.970705528799</v>
      </c>
      <c r="AL2362">
        <v>84.991049517730005</v>
      </c>
      <c r="AM2362">
        <v>86.544408215286097</v>
      </c>
      <c r="AN2362">
        <v>0.99999996996803597</v>
      </c>
    </row>
    <row r="2363" spans="1:40" x14ac:dyDescent="0.25">
      <c r="A2363" t="str">
        <f>"20190312164310716"</f>
        <v>20190312164310716</v>
      </c>
      <c r="B2363" t="str">
        <f>"1552380190706732"</f>
        <v>1552380190706732</v>
      </c>
      <c r="C2363" t="s">
        <v>40</v>
      </c>
      <c r="D2363">
        <v>4.8028490000000001</v>
      </c>
      <c r="E2363">
        <v>0.47349140000000001</v>
      </c>
      <c r="F2363" t="s">
        <v>46</v>
      </c>
      <c r="G2363">
        <v>-453.70150000000001</v>
      </c>
      <c r="H2363" s="1">
        <v>4.7028120000000001E-7</v>
      </c>
      <c r="I2363">
        <v>213.76249999999999</v>
      </c>
      <c r="J2363">
        <v>-465.38229999999999</v>
      </c>
      <c r="K2363">
        <v>1.11054599999999</v>
      </c>
      <c r="L2363">
        <v>213.5702</v>
      </c>
      <c r="M2363">
        <v>0.99989989999999995</v>
      </c>
      <c r="N2363">
        <v>0</v>
      </c>
      <c r="O2363">
        <v>-7.7505179999999996E-3</v>
      </c>
      <c r="P2363">
        <v>0.9948475</v>
      </c>
      <c r="Q2363">
        <v>7.3026720000000003E-2</v>
      </c>
      <c r="R2363">
        <v>-7.0327120000000007E-2</v>
      </c>
      <c r="S2363">
        <v>3.0405880000000001</v>
      </c>
      <c r="T2363">
        <v>-0.28405740000000002</v>
      </c>
      <c r="U2363">
        <v>4.899597E-2</v>
      </c>
      <c r="V2363">
        <v>6.252009E-2</v>
      </c>
      <c r="W2363">
        <v>8.4888530000000004E-2</v>
      </c>
      <c r="X2363">
        <v>0.99442710000000001</v>
      </c>
      <c r="Y2363">
        <v>-2.3724439999999999E-2</v>
      </c>
      <c r="Z2363">
        <v>1.8282159999999999E-3</v>
      </c>
      <c r="AA2363">
        <v>0.99971690000000002</v>
      </c>
      <c r="AB2363">
        <v>22</v>
      </c>
      <c r="AC2363">
        <v>11.6807999999999</v>
      </c>
      <c r="AD2363">
        <v>-1.1105455297187901</v>
      </c>
      <c r="AE2363">
        <v>0.19229999999998801</v>
      </c>
      <c r="AF2363">
        <v>-0.28029983178303802</v>
      </c>
      <c r="AG2363">
        <v>-1.1105455297187901</v>
      </c>
      <c r="AH2363">
        <v>11.574364519300399</v>
      </c>
      <c r="AI2363">
        <v>95.479082809128002</v>
      </c>
      <c r="AJ2363">
        <v>91.387277792042497</v>
      </c>
      <c r="AK2363">
        <v>11.630898219609501</v>
      </c>
      <c r="AL2363">
        <v>85.130385256963507</v>
      </c>
      <c r="AM2363">
        <v>86.402522864613005</v>
      </c>
      <c r="AN2363">
        <v>1.0000000406967799</v>
      </c>
    </row>
    <row r="2364" spans="1:40" x14ac:dyDescent="0.25">
      <c r="A2364" t="str">
        <f>"20190312164310739"</f>
        <v>20190312164310739</v>
      </c>
      <c r="B2364" t="str">
        <f>"1552380190736987"</f>
        <v>1552380190736987</v>
      </c>
      <c r="C2364" t="s">
        <v>40</v>
      </c>
      <c r="D2364">
        <v>4.8496709999999998</v>
      </c>
      <c r="E2364">
        <v>0.47369709999999998</v>
      </c>
      <c r="F2364" t="s">
        <v>41</v>
      </c>
      <c r="G2364">
        <v>-464.60449999999997</v>
      </c>
      <c r="H2364">
        <v>1.036019</v>
      </c>
      <c r="I2364">
        <v>213.58070000000001</v>
      </c>
      <c r="J2364">
        <v>-465.15839999999997</v>
      </c>
      <c r="K2364">
        <v>1.1103860000000001</v>
      </c>
      <c r="L2364">
        <v>213.56950000000001</v>
      </c>
      <c r="M2364">
        <v>0.99990579999999996</v>
      </c>
      <c r="N2364">
        <v>0</v>
      </c>
      <c r="O2364">
        <v>-7.054874E-3</v>
      </c>
      <c r="P2364">
        <v>0.9949424</v>
      </c>
      <c r="Q2364">
        <v>7.0116300000000006E-2</v>
      </c>
      <c r="R2364">
        <v>-7.1929750000000001E-2</v>
      </c>
      <c r="S2364">
        <v>3.0398860000000001</v>
      </c>
      <c r="T2364">
        <v>-0.29143970000000002</v>
      </c>
      <c r="U2364">
        <v>4.2068479999999998E-2</v>
      </c>
      <c r="V2364">
        <v>6.4846360000000006E-2</v>
      </c>
      <c r="W2364">
        <v>8.1879240000000006E-2</v>
      </c>
      <c r="X2364">
        <v>0.99453040000000004</v>
      </c>
      <c r="Y2364">
        <v>-2.0764310000000001E-2</v>
      </c>
      <c r="Z2364">
        <v>1.667869E-3</v>
      </c>
      <c r="AA2364">
        <v>0.99978299999999998</v>
      </c>
      <c r="AB2364">
        <v>22</v>
      </c>
      <c r="AC2364">
        <v>0.55389999999999795</v>
      </c>
      <c r="AD2364">
        <v>-7.4367000000000003E-2</v>
      </c>
      <c r="AE2364">
        <v>1.12000000000023E-2</v>
      </c>
      <c r="AF2364">
        <v>-1.48402861179984E-2</v>
      </c>
      <c r="AG2364">
        <v>-7.4367000000000003E-2</v>
      </c>
      <c r="AH2364">
        <v>0.54400500274633701</v>
      </c>
      <c r="AI2364">
        <v>97.781382952355798</v>
      </c>
      <c r="AJ2364">
        <v>91.562623374613295</v>
      </c>
      <c r="AK2364">
        <v>0.54926507971479999</v>
      </c>
      <c r="AL2364">
        <v>85.3034072370301</v>
      </c>
      <c r="AM2364">
        <v>86.269424395689001</v>
      </c>
      <c r="AN2364">
        <v>0.99999998843619298</v>
      </c>
    </row>
    <row r="2365" spans="1:40" x14ac:dyDescent="0.25">
      <c r="A2365" t="str">
        <f>"20190312164310764"</f>
        <v>20190312164310764</v>
      </c>
      <c r="B2365" t="str">
        <f>"1552380190756507"</f>
        <v>1552380190756507</v>
      </c>
      <c r="C2365" t="s">
        <v>40</v>
      </c>
      <c r="D2365">
        <v>5.7745629999999997</v>
      </c>
      <c r="E2365">
        <v>0.47377429999999898</v>
      </c>
      <c r="F2365" t="s">
        <v>41</v>
      </c>
      <c r="G2365">
        <v>-464.41120000000001</v>
      </c>
      <c r="H2365">
        <v>1.037102</v>
      </c>
      <c r="I2365">
        <v>213.578</v>
      </c>
      <c r="J2365">
        <v>-464.9289</v>
      </c>
      <c r="K2365">
        <v>1.1102050000000001</v>
      </c>
      <c r="L2365">
        <v>213.5685</v>
      </c>
      <c r="M2365">
        <v>0.99990990000000002</v>
      </c>
      <c r="N2365">
        <v>0</v>
      </c>
      <c r="O2365">
        <v>-6.6136709999999998E-3</v>
      </c>
      <c r="P2365">
        <v>0.99499899999999997</v>
      </c>
      <c r="Q2365">
        <v>6.7270709999999997E-2</v>
      </c>
      <c r="R2365">
        <v>-7.3840059999999999E-2</v>
      </c>
      <c r="S2365">
        <v>3.038818</v>
      </c>
      <c r="T2365">
        <v>-0.29805779999999998</v>
      </c>
      <c r="U2365">
        <v>3.5202030000000002E-2</v>
      </c>
      <c r="V2365">
        <v>6.7229059999999993E-2</v>
      </c>
      <c r="W2365">
        <v>7.8928620000000005E-2</v>
      </c>
      <c r="X2365">
        <v>0.99461069999999996</v>
      </c>
      <c r="Y2365">
        <v>-1.807829E-2</v>
      </c>
      <c r="Z2365">
        <v>1.5316030000000001E-3</v>
      </c>
      <c r="AA2365">
        <v>0.99983540000000004</v>
      </c>
      <c r="AB2365">
        <v>22</v>
      </c>
      <c r="AC2365">
        <v>0.51769999999998995</v>
      </c>
      <c r="AD2365">
        <v>-7.3102999999999904E-2</v>
      </c>
      <c r="AE2365">
        <v>9.5000000000027198E-3</v>
      </c>
      <c r="AF2365">
        <v>-1.26713481179219E-2</v>
      </c>
      <c r="AG2365">
        <v>-7.3102999999999904E-2</v>
      </c>
      <c r="AH2365">
        <v>0.50750976198332898</v>
      </c>
      <c r="AI2365">
        <v>98.194132739535902</v>
      </c>
      <c r="AJ2365">
        <v>91.430246305120207</v>
      </c>
      <c r="AK2365">
        <v>0.51290425049954602</v>
      </c>
      <c r="AL2365">
        <v>85.473014368385194</v>
      </c>
      <c r="AM2365">
        <v>86.133068846778102</v>
      </c>
      <c r="AN2365">
        <v>0.99999995905903805</v>
      </c>
    </row>
    <row r="2366" spans="1:40" x14ac:dyDescent="0.25">
      <c r="A2366" t="str">
        <f>"20190312164310785"</f>
        <v>20190312164310785</v>
      </c>
      <c r="B2366" t="str">
        <f>"1552380190777004"</f>
        <v>1552380190777004</v>
      </c>
      <c r="C2366" t="s">
        <v>40</v>
      </c>
      <c r="D2366">
        <v>4.8184239999999896</v>
      </c>
      <c r="E2366">
        <v>0.49668709999999999</v>
      </c>
      <c r="F2366" t="s">
        <v>41</v>
      </c>
      <c r="G2366">
        <v>-464.04</v>
      </c>
      <c r="H2366">
        <v>1.0204979999999999</v>
      </c>
      <c r="I2366">
        <v>213.57669999999999</v>
      </c>
      <c r="J2366">
        <v>-464.71550000000002</v>
      </c>
      <c r="K2366">
        <v>1.110033</v>
      </c>
      <c r="L2366">
        <v>213.5675</v>
      </c>
      <c r="M2366">
        <v>0.99991200000000002</v>
      </c>
      <c r="N2366">
        <v>0</v>
      </c>
      <c r="O2366">
        <v>-6.4229760000000004E-3</v>
      </c>
      <c r="P2366">
        <v>0.99506950000000005</v>
      </c>
      <c r="Q2366">
        <v>6.4370269999999993E-2</v>
      </c>
      <c r="R2366">
        <v>-7.5455930000000004E-2</v>
      </c>
      <c r="S2366">
        <v>3.0379330000000002</v>
      </c>
      <c r="T2366">
        <v>-0.30667689999999997</v>
      </c>
      <c r="U2366">
        <v>2.8762820000000001E-2</v>
      </c>
      <c r="V2366">
        <v>6.9062189999999996E-2</v>
      </c>
      <c r="W2366">
        <v>7.5928809999999999E-2</v>
      </c>
      <c r="X2366">
        <v>0.99471869999999996</v>
      </c>
      <c r="Y2366">
        <v>-1.5777570000000001E-2</v>
      </c>
      <c r="Z2366">
        <v>1.4411109999999999E-3</v>
      </c>
      <c r="AA2366">
        <v>0.9998745</v>
      </c>
      <c r="AB2366">
        <v>22</v>
      </c>
      <c r="AC2366">
        <v>0.67549999999999899</v>
      </c>
      <c r="AD2366">
        <v>-8.9535000000000101E-2</v>
      </c>
      <c r="AE2366">
        <v>9.1999999999927695E-3</v>
      </c>
      <c r="AF2366">
        <v>-1.3305115095495E-2</v>
      </c>
      <c r="AG2366">
        <v>-8.9535000000000101E-2</v>
      </c>
      <c r="AH2366">
        <v>0.66376772068039802</v>
      </c>
      <c r="AI2366">
        <v>97.680680272242796</v>
      </c>
      <c r="AJ2366">
        <v>91.148330721628298</v>
      </c>
      <c r="AK2366">
        <v>0.66991128467130301</v>
      </c>
      <c r="AL2366">
        <v>85.645408754416906</v>
      </c>
      <c r="AM2366">
        <v>86.0283924317323</v>
      </c>
      <c r="AN2366">
        <v>1.00000003120265</v>
      </c>
    </row>
    <row r="2367" spans="1:40" x14ac:dyDescent="0.25">
      <c r="A2367" t="str">
        <f>"20190312164310808"</f>
        <v>20190312164310808</v>
      </c>
      <c r="B2367" t="str">
        <f>"1552380190796524"</f>
        <v>1552380190796524</v>
      </c>
      <c r="C2367" t="s">
        <v>40</v>
      </c>
      <c r="D2367">
        <v>5.4783480000000004</v>
      </c>
      <c r="E2367">
        <v>0.50238279999999902</v>
      </c>
      <c r="F2367" t="s">
        <v>41</v>
      </c>
      <c r="G2367">
        <v>-463.84010000000001</v>
      </c>
      <c r="H2367">
        <v>1.035962</v>
      </c>
      <c r="I2367">
        <v>213.51939999999999</v>
      </c>
      <c r="J2367">
        <v>-464.50119999999998</v>
      </c>
      <c r="K2367">
        <v>1.1099030000000001</v>
      </c>
      <c r="L2367">
        <v>213.56630000000001</v>
      </c>
      <c r="M2367">
        <v>0.99991300000000005</v>
      </c>
      <c r="N2367">
        <v>0</v>
      </c>
      <c r="O2367">
        <v>-6.4023789999999997E-3</v>
      </c>
      <c r="P2367">
        <v>0.99514389999999997</v>
      </c>
      <c r="Q2367">
        <v>6.141456E-2</v>
      </c>
      <c r="R2367">
        <v>-7.6922470000000007E-2</v>
      </c>
      <c r="S2367">
        <v>3.0189210000000002</v>
      </c>
      <c r="T2367">
        <v>-0.25553199999999998</v>
      </c>
      <c r="U2367">
        <v>-0.16459660000000001</v>
      </c>
      <c r="V2367">
        <v>7.0569489999999999E-2</v>
      </c>
      <c r="W2367">
        <v>7.2877890000000001E-2</v>
      </c>
      <c r="X2367">
        <v>0.99484110000000003</v>
      </c>
      <c r="Y2367">
        <v>4.789844E-2</v>
      </c>
      <c r="Z2367">
        <v>-1.481471E-3</v>
      </c>
      <c r="AA2367">
        <v>0.99885109999999999</v>
      </c>
      <c r="AB2367">
        <v>22</v>
      </c>
      <c r="AC2367">
        <v>0.66109999999997604</v>
      </c>
      <c r="AD2367">
        <v>-7.3941000000000007E-2</v>
      </c>
      <c r="AE2367">
        <v>-4.6900000000022098E-2</v>
      </c>
      <c r="AF2367">
        <v>4.21416180551549E-2</v>
      </c>
      <c r="AG2367">
        <v>-7.3941000000000007E-2</v>
      </c>
      <c r="AH2367">
        <v>0.65325582610805799</v>
      </c>
      <c r="AI2367">
        <v>96.444452272920998</v>
      </c>
      <c r="AJ2367">
        <v>86.308956326538706</v>
      </c>
      <c r="AK2367">
        <v>0.65877641259947095</v>
      </c>
      <c r="AL2367">
        <v>85.8206995061214</v>
      </c>
      <c r="AM2367">
        <v>85.942495195847698</v>
      </c>
      <c r="AN2367">
        <v>1.00000002700946</v>
      </c>
    </row>
    <row r="2368" spans="1:40" x14ac:dyDescent="0.25">
      <c r="A2368" t="str">
        <f>"20190312164310832"</f>
        <v>20190312164310832</v>
      </c>
      <c r="B2368" t="str">
        <f>"1552380190826779"</f>
        <v>1552380190826779</v>
      </c>
      <c r="C2368" t="s">
        <v>40</v>
      </c>
      <c r="D2368">
        <v>5.0075770000000004</v>
      </c>
      <c r="E2368">
        <v>0.5049884</v>
      </c>
      <c r="F2368" t="s">
        <v>41</v>
      </c>
      <c r="G2368">
        <v>-463.64620000000002</v>
      </c>
      <c r="H2368">
        <v>1.036227</v>
      </c>
      <c r="I2368">
        <v>213.50479999999999</v>
      </c>
      <c r="J2368">
        <v>-464.26780000000002</v>
      </c>
      <c r="K2368">
        <v>1.1097859999999999</v>
      </c>
      <c r="L2368">
        <v>213.56469999999999</v>
      </c>
      <c r="M2368">
        <v>0.99991300000000005</v>
      </c>
      <c r="N2368">
        <v>0</v>
      </c>
      <c r="O2368">
        <v>-6.5510339999999999E-3</v>
      </c>
      <c r="P2368">
        <v>0.99514669999999905</v>
      </c>
      <c r="Q2368">
        <v>5.9294300000000001E-2</v>
      </c>
      <c r="R2368">
        <v>-7.8531879999999998E-2</v>
      </c>
      <c r="S2368">
        <v>3.0139770000000001</v>
      </c>
      <c r="T2368">
        <v>-0.25972030000000002</v>
      </c>
      <c r="U2368">
        <v>-0.21621699999999999</v>
      </c>
      <c r="V2368">
        <v>7.204634E-2</v>
      </c>
      <c r="W2368">
        <v>7.0653949999999993E-2</v>
      </c>
      <c r="X2368">
        <v>0.99489559999999999</v>
      </c>
      <c r="Y2368">
        <v>6.480329E-2</v>
      </c>
      <c r="Z2368">
        <v>-2.2206399999999999E-3</v>
      </c>
      <c r="AA2368">
        <v>0.99789559999999999</v>
      </c>
      <c r="AB2368">
        <v>22</v>
      </c>
      <c r="AC2368">
        <v>0.62160000000000004</v>
      </c>
      <c r="AD2368">
        <v>-7.3559000000000097E-2</v>
      </c>
      <c r="AE2368">
        <v>-5.9899999999998899E-2</v>
      </c>
      <c r="AF2368">
        <v>5.5062330861069098E-2</v>
      </c>
      <c r="AG2368">
        <v>-7.3559000000000097E-2</v>
      </c>
      <c r="AH2368">
        <v>0.61346718908259701</v>
      </c>
      <c r="AI2368">
        <v>96.810400516678399</v>
      </c>
      <c r="AJ2368">
        <v>84.871106379171806</v>
      </c>
      <c r="AK2368">
        <v>0.62031022790355195</v>
      </c>
      <c r="AL2368">
        <v>85.948451022228198</v>
      </c>
      <c r="AM2368">
        <v>85.858100015849104</v>
      </c>
      <c r="AN2368">
        <v>0.99999995532867803</v>
      </c>
    </row>
    <row r="2369" spans="1:40" x14ac:dyDescent="0.25">
      <c r="A2369" t="str">
        <f>"20190312164310874"</f>
        <v>20190312164310874</v>
      </c>
      <c r="B2369" t="str">
        <f>"1552380190866795"</f>
        <v>1552380190866795</v>
      </c>
      <c r="C2369" t="s">
        <v>40</v>
      </c>
      <c r="D2369">
        <v>4.8164230000000003</v>
      </c>
      <c r="E2369">
        <v>0.50592479999999995</v>
      </c>
      <c r="F2369" t="s">
        <v>41</v>
      </c>
      <c r="G2369">
        <v>-463.44940000000003</v>
      </c>
      <c r="H2369">
        <v>1.041614</v>
      </c>
      <c r="I2369">
        <v>213.49809999999999</v>
      </c>
      <c r="J2369">
        <v>-463.85199999999998</v>
      </c>
      <c r="K2369">
        <v>1.109618</v>
      </c>
      <c r="L2369">
        <v>213.5615</v>
      </c>
      <c r="M2369">
        <v>0.99991070000000004</v>
      </c>
      <c r="N2369">
        <v>0</v>
      </c>
      <c r="O2369">
        <v>-7.189951E-3</v>
      </c>
      <c r="P2369">
        <v>0.99506510000000004</v>
      </c>
      <c r="Q2369">
        <v>5.6651130000000001E-2</v>
      </c>
      <c r="R2369">
        <v>-8.1461549999999994E-2</v>
      </c>
      <c r="S2369">
        <v>3.0103149999999999</v>
      </c>
      <c r="T2369">
        <v>-0.25074049999999998</v>
      </c>
      <c r="U2369">
        <v>-0.24412539999999999</v>
      </c>
      <c r="V2369">
        <v>7.435899E-2</v>
      </c>
      <c r="W2369">
        <v>6.7807409999999999E-2</v>
      </c>
      <c r="X2369">
        <v>0.99492360000000002</v>
      </c>
      <c r="Y2369">
        <v>7.3434089999999994E-2</v>
      </c>
      <c r="Z2369">
        <v>-2.4511789999999999E-3</v>
      </c>
      <c r="AA2369">
        <v>0.99729699999999999</v>
      </c>
      <c r="AB2369">
        <v>22</v>
      </c>
      <c r="AC2369">
        <v>0.402599999999949</v>
      </c>
      <c r="AD2369">
        <v>-6.8003999999999898E-2</v>
      </c>
      <c r="AE2369">
        <v>-6.34000000000014E-2</v>
      </c>
      <c r="AF2369">
        <v>5.8864659888765998E-2</v>
      </c>
      <c r="AG2369">
        <v>-6.8003999999999898E-2</v>
      </c>
      <c r="AH2369">
        <v>0.39212827286336099</v>
      </c>
      <c r="AI2369">
        <v>99.7316231786168</v>
      </c>
      <c r="AJ2369">
        <v>81.462744147065905</v>
      </c>
      <c r="AK2369">
        <v>0.40231104207891599</v>
      </c>
      <c r="AL2369">
        <v>86.111938390141404</v>
      </c>
      <c r="AM2369">
        <v>85.725752155779702</v>
      </c>
      <c r="AN2369">
        <v>1.00000003704084</v>
      </c>
    </row>
    <row r="2370" spans="1:40" x14ac:dyDescent="0.25">
      <c r="A2370" t="str">
        <f>"20190312164310896"</f>
        <v>20190312164310896</v>
      </c>
      <c r="B2370" t="str">
        <f>"1552380190886316"</f>
        <v>1552380190886316</v>
      </c>
      <c r="C2370" t="s">
        <v>40</v>
      </c>
      <c r="D2370">
        <v>4.8235449999999904</v>
      </c>
      <c r="E2370">
        <v>0.50620849999999995</v>
      </c>
      <c r="F2370" t="s">
        <v>41</v>
      </c>
      <c r="G2370">
        <v>-463.05900000000003</v>
      </c>
      <c r="H2370">
        <v>1.0443929999999999</v>
      </c>
      <c r="I2370">
        <v>213.4922</v>
      </c>
      <c r="J2370">
        <v>-463.64089999999999</v>
      </c>
      <c r="K2370">
        <v>1.1095600000000001</v>
      </c>
      <c r="L2370">
        <v>213.55959999999999</v>
      </c>
      <c r="M2370">
        <v>0.99990829999999997</v>
      </c>
      <c r="N2370">
        <v>0</v>
      </c>
      <c r="O2370">
        <v>-7.6375929999999998E-3</v>
      </c>
      <c r="P2370">
        <v>0.99489780000000005</v>
      </c>
      <c r="Q2370">
        <v>5.8056860000000002E-2</v>
      </c>
      <c r="R2370">
        <v>-8.2508789999999999E-2</v>
      </c>
      <c r="S2370">
        <v>3.0075069999999999</v>
      </c>
      <c r="T2370">
        <v>-0.2473494</v>
      </c>
      <c r="U2370">
        <v>-0.26190190000000002</v>
      </c>
      <c r="V2370">
        <v>7.4970759999999997E-2</v>
      </c>
      <c r="W2370">
        <v>6.9109439999999994E-2</v>
      </c>
      <c r="X2370">
        <v>0.99478809999999995</v>
      </c>
      <c r="Y2370">
        <v>7.8903799999999996E-2</v>
      </c>
      <c r="Z2370">
        <v>-2.6072339999999999E-3</v>
      </c>
      <c r="AA2370">
        <v>0.99687879999999995</v>
      </c>
      <c r="AB2370">
        <v>22</v>
      </c>
      <c r="AC2370">
        <v>0.581899999999961</v>
      </c>
      <c r="AD2370">
        <v>-6.5166999999999906E-2</v>
      </c>
      <c r="AE2370">
        <v>-6.7399999999992105E-2</v>
      </c>
      <c r="AF2370">
        <v>6.2183869553386999E-2</v>
      </c>
      <c r="AG2370">
        <v>-6.5166999999999906E-2</v>
      </c>
      <c r="AH2370">
        <v>0.57527833963116104</v>
      </c>
      <c r="AI2370">
        <v>96.425747816782604</v>
      </c>
      <c r="AJ2370">
        <v>83.830650216853698</v>
      </c>
      <c r="AK2370">
        <v>0.58228750593707401</v>
      </c>
      <c r="AL2370">
        <v>86.037162174867106</v>
      </c>
      <c r="AM2370">
        <v>85.690134021156098</v>
      </c>
      <c r="AN2370">
        <v>1.00000004672684</v>
      </c>
    </row>
    <row r="2371" spans="1:40" x14ac:dyDescent="0.25">
      <c r="A2371" t="str">
        <f>"20190312164310918"</f>
        <v>20190312164310918</v>
      </c>
      <c r="B2371" t="str">
        <f>"1552380190906812"</f>
        <v>1552380190906812</v>
      </c>
      <c r="C2371" t="s">
        <v>40</v>
      </c>
      <c r="D2371">
        <v>4.8378920000000001</v>
      </c>
      <c r="E2371">
        <v>0.50588580000000005</v>
      </c>
      <c r="F2371" t="s">
        <v>41</v>
      </c>
      <c r="G2371">
        <v>-462.8612</v>
      </c>
      <c r="H2371">
        <v>1.048027</v>
      </c>
      <c r="I2371">
        <v>213.49010000000001</v>
      </c>
      <c r="J2371">
        <v>-463.42599999999999</v>
      </c>
      <c r="K2371">
        <v>1.1095189999999999</v>
      </c>
      <c r="L2371">
        <v>213.5574</v>
      </c>
      <c r="M2371">
        <v>0.99990559999999995</v>
      </c>
      <c r="N2371">
        <v>0</v>
      </c>
      <c r="O2371">
        <v>-8.1379260000000002E-3</v>
      </c>
      <c r="P2371">
        <v>0.99465440000000005</v>
      </c>
      <c r="Q2371">
        <v>6.0541030000000003E-2</v>
      </c>
      <c r="R2371">
        <v>-8.3653149999999996E-2</v>
      </c>
      <c r="S2371">
        <v>3.0070190000000001</v>
      </c>
      <c r="T2371">
        <v>-0.23728589999999999</v>
      </c>
      <c r="U2371">
        <v>-0.26797490000000002</v>
      </c>
      <c r="V2371">
        <v>7.5627280000000005E-2</v>
      </c>
      <c r="W2371">
        <v>7.1480130000000003E-2</v>
      </c>
      <c r="X2371">
        <v>0.99457079999999998</v>
      </c>
      <c r="Y2371">
        <v>8.0432500000000004E-2</v>
      </c>
      <c r="Z2371">
        <v>-2.5224420000000002E-3</v>
      </c>
      <c r="AA2371">
        <v>0.99675689999999995</v>
      </c>
      <c r="AB2371">
        <v>22</v>
      </c>
      <c r="AC2371">
        <v>0.56479999999999098</v>
      </c>
      <c r="AD2371">
        <v>-6.1492000000000102E-2</v>
      </c>
      <c r="AE2371">
        <v>-6.7299999999988799E-2</v>
      </c>
      <c r="AF2371">
        <v>6.1976829195833402E-2</v>
      </c>
      <c r="AG2371">
        <v>-6.1492000000000102E-2</v>
      </c>
      <c r="AH2371">
        <v>0.55879800988349904</v>
      </c>
      <c r="AI2371">
        <v>96.241783402342904</v>
      </c>
      <c r="AJ2371">
        <v>83.671135910933998</v>
      </c>
      <c r="AK2371">
        <v>0.56557723546031202</v>
      </c>
      <c r="AL2371">
        <v>85.900994522725497</v>
      </c>
      <c r="AM2371">
        <v>85.651590317448694</v>
      </c>
      <c r="AN2371">
        <v>0.99999998533882695</v>
      </c>
    </row>
    <row r="2372" spans="1:40" x14ac:dyDescent="0.25">
      <c r="A2372" t="str">
        <f>"20190312164310941"</f>
        <v>20190312164310941</v>
      </c>
      <c r="B2372" t="str">
        <f>"1552380190937067"</f>
        <v>1552380190937067</v>
      </c>
      <c r="C2372" t="s">
        <v>40</v>
      </c>
      <c r="D2372">
        <v>5.1598259999999998</v>
      </c>
      <c r="E2372">
        <v>0.50555810000000001</v>
      </c>
      <c r="F2372" t="s">
        <v>41</v>
      </c>
      <c r="G2372">
        <v>-462.66329999999999</v>
      </c>
      <c r="H2372">
        <v>1.0510250000000001</v>
      </c>
      <c r="I2372">
        <v>213.4888</v>
      </c>
      <c r="J2372">
        <v>-463.19819999999999</v>
      </c>
      <c r="K2372">
        <v>1.1094820000000001</v>
      </c>
      <c r="L2372">
        <v>213.5549</v>
      </c>
      <c r="M2372">
        <v>0.99990230000000002</v>
      </c>
      <c r="N2372">
        <v>0</v>
      </c>
      <c r="O2372">
        <v>-8.698674E-3</v>
      </c>
      <c r="P2372">
        <v>0.99442680000000006</v>
      </c>
      <c r="Q2372">
        <v>6.2785460000000001E-2</v>
      </c>
      <c r="R2372">
        <v>-8.4696270000000004E-2</v>
      </c>
      <c r="S2372">
        <v>3.0075379999999998</v>
      </c>
      <c r="T2372">
        <v>-0.23068949999999999</v>
      </c>
      <c r="U2372">
        <v>-0.26863100000000001</v>
      </c>
      <c r="V2372">
        <v>7.6120019999999997E-2</v>
      </c>
      <c r="W2372">
        <v>7.3590760000000005E-2</v>
      </c>
      <c r="X2372">
        <v>0.99437929999999997</v>
      </c>
      <c r="Y2372">
        <v>8.0088999999999994E-2</v>
      </c>
      <c r="Z2372">
        <v>-2.3960990000000001E-3</v>
      </c>
      <c r="AA2372">
        <v>0.99678489999999997</v>
      </c>
      <c r="AB2372">
        <v>22</v>
      </c>
      <c r="AC2372">
        <v>0.53489999999999305</v>
      </c>
      <c r="AD2372">
        <v>-5.8456999999999898E-2</v>
      </c>
      <c r="AE2372">
        <v>-6.6100000000005807E-2</v>
      </c>
      <c r="AF2372">
        <v>6.0729887982438703E-2</v>
      </c>
      <c r="AG2372">
        <v>-5.8456999999999898E-2</v>
      </c>
      <c r="AH2372">
        <v>0.52922905524280806</v>
      </c>
      <c r="AI2372">
        <v>96.262395739567097</v>
      </c>
      <c r="AJ2372">
        <v>83.453849740212107</v>
      </c>
      <c r="AK2372">
        <v>0.53589992821099997</v>
      </c>
      <c r="AL2372">
        <v>85.7797450824457</v>
      </c>
      <c r="AM2372">
        <v>85.622528941660093</v>
      </c>
      <c r="AN2372">
        <v>1.00000002483533</v>
      </c>
    </row>
    <row r="2373" spans="1:40" x14ac:dyDescent="0.25">
      <c r="A2373" t="str">
        <f>"20190312164310963"</f>
        <v>20190312164310963</v>
      </c>
      <c r="B2373" t="str">
        <f>"1552380190956587"</f>
        <v>1552380190956587</v>
      </c>
      <c r="C2373" t="s">
        <v>40</v>
      </c>
      <c r="D2373">
        <v>5.0003590000000004</v>
      </c>
      <c r="E2373">
        <v>0.50567640000000003</v>
      </c>
      <c r="F2373" t="s">
        <v>41</v>
      </c>
      <c r="G2373">
        <v>-462.27910000000003</v>
      </c>
      <c r="H2373">
        <v>1.0412629999999901</v>
      </c>
      <c r="I2373">
        <v>213.4727</v>
      </c>
      <c r="J2373">
        <v>-462.99020000000002</v>
      </c>
      <c r="K2373">
        <v>1.109469</v>
      </c>
      <c r="L2373">
        <v>213.55250000000001</v>
      </c>
      <c r="M2373">
        <v>0.99989910000000004</v>
      </c>
      <c r="N2373">
        <v>0</v>
      </c>
      <c r="O2373">
        <v>-9.2270540000000002E-3</v>
      </c>
      <c r="P2373">
        <v>0.99411729999999998</v>
      </c>
      <c r="Q2373">
        <v>6.650913E-2</v>
      </c>
      <c r="R2373">
        <v>-8.5485939999999996E-2</v>
      </c>
      <c r="S2373">
        <v>3.0079959999999999</v>
      </c>
      <c r="T2373">
        <v>-0.22328039999999999</v>
      </c>
      <c r="U2373">
        <v>-0.26861570000000001</v>
      </c>
      <c r="V2373">
        <v>7.6390280000000005E-2</v>
      </c>
      <c r="W2373">
        <v>7.7181589999999994E-2</v>
      </c>
      <c r="X2373">
        <v>0.99408629999999998</v>
      </c>
      <c r="Y2373">
        <v>7.9559879999999999E-2</v>
      </c>
      <c r="Z2373">
        <v>-2.2603520000000002E-3</v>
      </c>
      <c r="AA2373">
        <v>0.99682749999999998</v>
      </c>
      <c r="AB2373">
        <v>22</v>
      </c>
      <c r="AC2373">
        <v>0.71109999999998696</v>
      </c>
      <c r="AD2373">
        <v>-6.8206000000000197E-2</v>
      </c>
      <c r="AE2373">
        <v>-7.9800000000005797E-2</v>
      </c>
      <c r="AF2373">
        <v>7.2575477386671305E-2</v>
      </c>
      <c r="AG2373">
        <v>-6.8206000000000197E-2</v>
      </c>
      <c r="AH2373">
        <v>0.70539720244462201</v>
      </c>
      <c r="AI2373">
        <v>95.494029841275193</v>
      </c>
      <c r="AJ2373">
        <v>84.125737182238396</v>
      </c>
      <c r="AK2373">
        <v>0.71239348085914</v>
      </c>
      <c r="AL2373">
        <v>85.573418438979601</v>
      </c>
      <c r="AM2373">
        <v>85.605757977409596</v>
      </c>
      <c r="AN2373">
        <v>1.0000000222805401</v>
      </c>
    </row>
    <row r="2374" spans="1:40" x14ac:dyDescent="0.25">
      <c r="A2374" t="str">
        <f>"20190312164310986"</f>
        <v>20190312164310986</v>
      </c>
      <c r="B2374" t="str">
        <f>"1552380190977083"</f>
        <v>1552380190977083</v>
      </c>
      <c r="C2374" t="s">
        <v>40</v>
      </c>
      <c r="D2374">
        <v>4.9066609999999997</v>
      </c>
      <c r="E2374">
        <v>0.50567019999999996</v>
      </c>
      <c r="F2374" t="s">
        <v>41</v>
      </c>
      <c r="G2374">
        <v>-462.08049999999997</v>
      </c>
      <c r="H2374">
        <v>1.046116</v>
      </c>
      <c r="I2374">
        <v>213.47049999999999</v>
      </c>
      <c r="J2374">
        <v>-462.75869999999998</v>
      </c>
      <c r="K2374">
        <v>1.1094809999999999</v>
      </c>
      <c r="L2374">
        <v>213.5497</v>
      </c>
      <c r="M2374">
        <v>0.99989499999999998</v>
      </c>
      <c r="N2374">
        <v>0</v>
      </c>
      <c r="O2374">
        <v>-9.8178640000000008E-3</v>
      </c>
      <c r="P2374">
        <v>0.99386300000000005</v>
      </c>
      <c r="Q2374">
        <v>6.9263959999999999E-2</v>
      </c>
      <c r="R2374">
        <v>-8.6250569999999999E-2</v>
      </c>
      <c r="S2374">
        <v>3.0084230000000001</v>
      </c>
      <c r="T2374">
        <v>-0.20947060000000001</v>
      </c>
      <c r="U2374">
        <v>-0.27119450000000001</v>
      </c>
      <c r="V2374">
        <v>7.656955E-2</v>
      </c>
      <c r="W2374">
        <v>7.9795149999999995E-2</v>
      </c>
      <c r="X2374">
        <v>0.99386609999999997</v>
      </c>
      <c r="Y2374">
        <v>7.9829819999999996E-2</v>
      </c>
      <c r="Z2374">
        <v>-2.0888899999999999E-3</v>
      </c>
      <c r="AA2374">
        <v>0.99680630000000003</v>
      </c>
      <c r="AB2374">
        <v>22</v>
      </c>
      <c r="AC2374">
        <v>0.67820000000000302</v>
      </c>
      <c r="AD2374">
        <v>-6.3364999999999894E-2</v>
      </c>
      <c r="AE2374">
        <v>-7.9200000000014301E-2</v>
      </c>
      <c r="AF2374">
        <v>7.1917976033996994E-2</v>
      </c>
      <c r="AG2374">
        <v>-6.3364999999999894E-2</v>
      </c>
      <c r="AH2374">
        <v>0.67314782458780598</v>
      </c>
      <c r="AI2374">
        <v>95.347287958531993</v>
      </c>
      <c r="AJ2374">
        <v>83.901748212313393</v>
      </c>
      <c r="AK2374">
        <v>0.67993772674350295</v>
      </c>
      <c r="AL2374">
        <v>85.423208916858499</v>
      </c>
      <c r="AM2374">
        <v>85.594514239238904</v>
      </c>
      <c r="AN2374">
        <v>0.99999999333996703</v>
      </c>
    </row>
    <row r="2375" spans="1:40" x14ac:dyDescent="0.25">
      <c r="A2375" t="str">
        <f>"20190312164311033"</f>
        <v>20190312164311033</v>
      </c>
      <c r="B2375" t="str">
        <f>"1552380191026859"</f>
        <v>1552380191026859</v>
      </c>
      <c r="C2375" t="s">
        <v>40</v>
      </c>
      <c r="D2375">
        <v>4.9717580000000003</v>
      </c>
      <c r="E2375">
        <v>0.50561610000000001</v>
      </c>
      <c r="F2375" t="s">
        <v>41</v>
      </c>
      <c r="G2375">
        <v>-461.87939999999998</v>
      </c>
      <c r="H2375">
        <v>1.05111</v>
      </c>
      <c r="I2375">
        <v>213.46969999999999</v>
      </c>
      <c r="J2375">
        <v>-462.30119999999999</v>
      </c>
      <c r="K2375">
        <v>1.109494</v>
      </c>
      <c r="L2375">
        <v>213.5438</v>
      </c>
      <c r="M2375">
        <v>0.99988630000000001</v>
      </c>
      <c r="N2375">
        <v>0</v>
      </c>
      <c r="O2375">
        <v>-1.0952180000000001E-2</v>
      </c>
      <c r="P2375">
        <v>0.99330350000000001</v>
      </c>
      <c r="Q2375">
        <v>7.5054330000000002E-2</v>
      </c>
      <c r="R2375">
        <v>-8.7836559999999994E-2</v>
      </c>
      <c r="S2375">
        <v>3.008759</v>
      </c>
      <c r="T2375">
        <v>-0.199824</v>
      </c>
      <c r="U2375">
        <v>-0.27337650000000002</v>
      </c>
      <c r="V2375">
        <v>7.7029719999999996E-2</v>
      </c>
      <c r="W2375">
        <v>8.5290950000000004E-2</v>
      </c>
      <c r="X2375">
        <v>0.99337399999999998</v>
      </c>
      <c r="Y2375">
        <v>7.9424659999999994E-2</v>
      </c>
      <c r="Z2375">
        <v>-1.9041310000000001E-3</v>
      </c>
      <c r="AA2375">
        <v>0.99683900000000003</v>
      </c>
      <c r="AB2375">
        <v>22</v>
      </c>
      <c r="AC2375">
        <v>0.42180000000001799</v>
      </c>
      <c r="AD2375">
        <v>-5.8383999999999901E-2</v>
      </c>
      <c r="AE2375">
        <v>-7.4100000000015598E-2</v>
      </c>
      <c r="AF2375">
        <v>6.8207998402201306E-2</v>
      </c>
      <c r="AG2375">
        <v>-5.8383999999999901E-2</v>
      </c>
      <c r="AH2375">
        <v>0.414875631910608</v>
      </c>
      <c r="AI2375">
        <v>97.905670767207695</v>
      </c>
      <c r="AJ2375">
        <v>80.6637557600843</v>
      </c>
      <c r="AK2375">
        <v>0.42447946058114699</v>
      </c>
      <c r="AL2375">
        <v>85.1072442334371</v>
      </c>
      <c r="AM2375">
        <v>85.565956473951701</v>
      </c>
      <c r="AN2375">
        <v>1.00000001389559</v>
      </c>
    </row>
    <row r="2376" spans="1:40" x14ac:dyDescent="0.25">
      <c r="A2376" t="str">
        <f>"20190312164311054"</f>
        <v>20190312164311054</v>
      </c>
      <c r="B2376" t="str">
        <f>"1552380191046380"</f>
        <v>1552380191046380</v>
      </c>
      <c r="C2376" t="s">
        <v>40</v>
      </c>
      <c r="D2376">
        <v>4.863899</v>
      </c>
      <c r="E2376">
        <v>0.50563100000000005</v>
      </c>
      <c r="F2376" t="s">
        <v>46</v>
      </c>
      <c r="G2376">
        <v>-444.61360000000002</v>
      </c>
      <c r="H2376" s="1">
        <v>1.0364579999999901E-6</v>
      </c>
      <c r="I2376">
        <v>211.9135</v>
      </c>
      <c r="J2376">
        <v>-462.08769999999998</v>
      </c>
      <c r="K2376">
        <v>1.1094919999999999</v>
      </c>
      <c r="L2376">
        <v>213.54089999999999</v>
      </c>
      <c r="M2376">
        <v>0.99988220000000005</v>
      </c>
      <c r="N2376">
        <v>0</v>
      </c>
      <c r="O2376">
        <v>-1.145415E-2</v>
      </c>
      <c r="P2376">
        <v>0.99319310000000005</v>
      </c>
      <c r="Q2376">
        <v>7.6322340000000002E-2</v>
      </c>
      <c r="R2376">
        <v>-8.799237E-2</v>
      </c>
      <c r="S2376">
        <v>3.0099490000000002</v>
      </c>
      <c r="T2376">
        <v>-0.188805</v>
      </c>
      <c r="U2376">
        <v>-0.2774353</v>
      </c>
      <c r="V2376">
        <v>7.6684810000000006E-2</v>
      </c>
      <c r="W2376">
        <v>8.6412600000000006E-2</v>
      </c>
      <c r="X2376">
        <v>0.99330370000000001</v>
      </c>
      <c r="Y2376">
        <v>8.0237279999999994E-2</v>
      </c>
      <c r="Z2376">
        <v>-1.792552E-3</v>
      </c>
      <c r="AA2376">
        <v>0.99677420000000005</v>
      </c>
      <c r="AB2376">
        <v>22</v>
      </c>
      <c r="AC2376">
        <v>17.4740999999999</v>
      </c>
      <c r="AD2376">
        <v>-1.1094909635419901</v>
      </c>
      <c r="AE2376">
        <v>-1.62739999999999</v>
      </c>
      <c r="AF2376">
        <v>1.42145063347148</v>
      </c>
      <c r="AG2376">
        <v>-1.1094909635419901</v>
      </c>
      <c r="AH2376">
        <v>17.421963742836699</v>
      </c>
      <c r="AI2376">
        <v>93.631837094139996</v>
      </c>
      <c r="AJ2376">
        <v>85.335593436985803</v>
      </c>
      <c r="AK2376">
        <v>17.515031052164701</v>
      </c>
      <c r="AL2376">
        <v>85.042740042787102</v>
      </c>
      <c r="AM2376">
        <v>85.585420619438196</v>
      </c>
      <c r="AN2376">
        <v>0.999999968978592</v>
      </c>
    </row>
    <row r="2377" spans="1:40" x14ac:dyDescent="0.25">
      <c r="A2377" t="str">
        <f>"20190312164311074"</f>
        <v>20190312164311074</v>
      </c>
      <c r="B2377" t="str">
        <f>"1552380191066875"</f>
        <v>1552380191066875</v>
      </c>
      <c r="C2377" t="s">
        <v>40</v>
      </c>
      <c r="D2377">
        <v>4.8926470000000002</v>
      </c>
      <c r="E2377">
        <v>0.5055248</v>
      </c>
      <c r="F2377" t="s">
        <v>46</v>
      </c>
      <c r="G2377">
        <v>-444.28379999999999</v>
      </c>
      <c r="H2377" s="1">
        <v>8.6193809999999999E-7</v>
      </c>
      <c r="I2377">
        <v>211.8921</v>
      </c>
      <c r="J2377">
        <v>-461.88709999999998</v>
      </c>
      <c r="K2377">
        <v>1.1094919999999999</v>
      </c>
      <c r="L2377">
        <v>213.53809999999999</v>
      </c>
      <c r="M2377">
        <v>0.9998785</v>
      </c>
      <c r="N2377">
        <v>0</v>
      </c>
      <c r="O2377">
        <v>-1.1902650000000001E-2</v>
      </c>
      <c r="P2377">
        <v>0.9931622</v>
      </c>
      <c r="Q2377">
        <v>7.6969350000000006E-2</v>
      </c>
      <c r="R2377">
        <v>-8.7778919999999996E-2</v>
      </c>
      <c r="S2377">
        <v>3.010284</v>
      </c>
      <c r="T2377">
        <v>-0.18759290000000001</v>
      </c>
      <c r="U2377">
        <v>-0.27877809999999997</v>
      </c>
      <c r="V2377">
        <v>7.6022430000000002E-2</v>
      </c>
      <c r="W2377">
        <v>8.6917560000000005E-2</v>
      </c>
      <c r="X2377">
        <v>0.99331060000000004</v>
      </c>
      <c r="Y2377">
        <v>8.0223530000000001E-2</v>
      </c>
      <c r="Z2377">
        <v>-1.7525520000000001E-3</v>
      </c>
      <c r="AA2377">
        <v>0.99677530000000003</v>
      </c>
      <c r="AB2377">
        <v>22</v>
      </c>
      <c r="AC2377">
        <v>17.603299999999901</v>
      </c>
      <c r="AD2377">
        <v>-1.1094911380618999</v>
      </c>
      <c r="AE2377">
        <v>-1.6459999999999799</v>
      </c>
      <c r="AF2377">
        <v>1.43071266640949</v>
      </c>
      <c r="AG2377">
        <v>-1.1094911380618999</v>
      </c>
      <c r="AH2377">
        <v>17.552523288450502</v>
      </c>
      <c r="AI2377">
        <v>93.604917825129505</v>
      </c>
      <c r="AJ2377">
        <v>85.340101624799303</v>
      </c>
      <c r="AK2377">
        <v>17.6456505437136</v>
      </c>
      <c r="AL2377">
        <v>85.013698902280694</v>
      </c>
      <c r="AM2377">
        <v>85.623433896877103</v>
      </c>
      <c r="AN2377">
        <v>1.0000000100858999</v>
      </c>
    </row>
    <row r="2378" spans="1:40" x14ac:dyDescent="0.25">
      <c r="A2378" t="str">
        <f>"20190312164311096"</f>
        <v>20190312164311096</v>
      </c>
      <c r="B2378" t="str">
        <f>"1552380191086396"</f>
        <v>1552380191086396</v>
      </c>
      <c r="C2378" t="s">
        <v>40</v>
      </c>
      <c r="D2378">
        <v>5.4723009999999999</v>
      </c>
      <c r="E2378">
        <v>0.50566420000000001</v>
      </c>
      <c r="F2378" t="s">
        <v>46</v>
      </c>
      <c r="G2378">
        <v>-444.21530000000001</v>
      </c>
      <c r="H2378" s="1">
        <v>8.2479740000000002E-7</v>
      </c>
      <c r="I2378">
        <v>211.90719999999999</v>
      </c>
      <c r="J2378">
        <v>-461.67250000000001</v>
      </c>
      <c r="K2378">
        <v>1.1094949999999999</v>
      </c>
      <c r="L2378">
        <v>213.535</v>
      </c>
      <c r="M2378">
        <v>0.99987470000000001</v>
      </c>
      <c r="N2378">
        <v>0</v>
      </c>
      <c r="O2378">
        <v>-1.2346559999999999E-2</v>
      </c>
      <c r="P2378">
        <v>0.99300429999999995</v>
      </c>
      <c r="Q2378">
        <v>7.8581529999999997E-2</v>
      </c>
      <c r="R2378">
        <v>-8.8134560000000001E-2</v>
      </c>
      <c r="S2378">
        <v>3.010742</v>
      </c>
      <c r="T2378">
        <v>-0.18902330000000001</v>
      </c>
      <c r="U2378">
        <v>-0.27784730000000002</v>
      </c>
      <c r="V2378">
        <v>7.5934719999999997E-2</v>
      </c>
      <c r="W2378">
        <v>8.8369180000000006E-2</v>
      </c>
      <c r="X2378">
        <v>0.99318919999999999</v>
      </c>
      <c r="Y2378">
        <v>7.9461920000000005E-2</v>
      </c>
      <c r="Z2378">
        <v>-1.714038E-3</v>
      </c>
      <c r="AA2378">
        <v>0.99683639999999996</v>
      </c>
      <c r="AB2378">
        <v>22</v>
      </c>
      <c r="AC2378">
        <v>17.4572</v>
      </c>
      <c r="AD2378">
        <v>-1.1094941752026</v>
      </c>
      <c r="AE2378">
        <v>-1.6277999999999999</v>
      </c>
      <c r="AF2378">
        <v>1.4064967455016</v>
      </c>
      <c r="AG2378">
        <v>-1.1094941752026</v>
      </c>
      <c r="AH2378">
        <v>17.406265724563699</v>
      </c>
      <c r="AI2378">
        <v>93.635343946294299</v>
      </c>
      <c r="AJ2378">
        <v>85.380306035186607</v>
      </c>
      <c r="AK2378">
        <v>17.498208390976298</v>
      </c>
      <c r="AL2378">
        <v>84.930205807691806</v>
      </c>
      <c r="AM2378">
        <v>85.627931452660206</v>
      </c>
      <c r="AN2378">
        <v>0.99999999033599496</v>
      </c>
    </row>
    <row r="2379" spans="1:40" x14ac:dyDescent="0.25">
      <c r="A2379" t="str">
        <f>"20190312164311118"</f>
        <v>20190312164311118</v>
      </c>
      <c r="B2379" t="str">
        <f>"1552380191106891"</f>
        <v>1552380191106891</v>
      </c>
      <c r="C2379" t="s">
        <v>40</v>
      </c>
      <c r="D2379">
        <v>4.9137329999999997</v>
      </c>
      <c r="E2379">
        <v>0.50580219999999998</v>
      </c>
      <c r="F2379" t="s">
        <v>46</v>
      </c>
      <c r="G2379">
        <v>-443.86880000000002</v>
      </c>
      <c r="H2379" s="1">
        <v>6.417018E-7</v>
      </c>
      <c r="I2379">
        <v>211.8783</v>
      </c>
      <c r="J2379">
        <v>-461.44889999999998</v>
      </c>
      <c r="K2379">
        <v>1.1095219999999999</v>
      </c>
      <c r="L2379">
        <v>213.5317</v>
      </c>
      <c r="M2379">
        <v>0.99987130000000002</v>
      </c>
      <c r="N2379">
        <v>0</v>
      </c>
      <c r="O2379">
        <v>-1.2753550000000001E-2</v>
      </c>
      <c r="P2379">
        <v>0.99278180000000005</v>
      </c>
      <c r="Q2379">
        <v>8.147298E-2</v>
      </c>
      <c r="R2379">
        <v>-8.8014159999999994E-2</v>
      </c>
      <c r="S2379">
        <v>3.0110779999999999</v>
      </c>
      <c r="T2379">
        <v>-0.1876459</v>
      </c>
      <c r="U2379">
        <v>-0.28019709999999998</v>
      </c>
      <c r="V2379">
        <v>7.5406109999999998E-2</v>
      </c>
      <c r="W2379">
        <v>9.1091850000000002E-2</v>
      </c>
      <c r="X2379">
        <v>0.99298350000000002</v>
      </c>
      <c r="Y2379">
        <v>7.9819360000000006E-2</v>
      </c>
      <c r="Z2379">
        <v>-1.6871519999999999E-3</v>
      </c>
      <c r="AA2379">
        <v>0.99680789999999997</v>
      </c>
      <c r="AB2379">
        <v>22</v>
      </c>
      <c r="AC2379">
        <v>17.580099999999899</v>
      </c>
      <c r="AD2379">
        <v>-1.1095213582982</v>
      </c>
      <c r="AE2379">
        <v>-1.6534</v>
      </c>
      <c r="AF2379">
        <v>1.4234261767407601</v>
      </c>
      <c r="AG2379">
        <v>-1.1095213582982</v>
      </c>
      <c r="AH2379">
        <v>17.530542921726099</v>
      </c>
      <c r="AI2379">
        <v>93.609615097305607</v>
      </c>
      <c r="AJ2379">
        <v>85.357942623793605</v>
      </c>
      <c r="AK2379">
        <v>17.6231982016781</v>
      </c>
      <c r="AL2379">
        <v>84.773576575975795</v>
      </c>
      <c r="AM2379">
        <v>85.657354304568003</v>
      </c>
      <c r="AN2379">
        <v>1.000000018917</v>
      </c>
    </row>
    <row r="2380" spans="1:40" x14ac:dyDescent="0.25">
      <c r="A2380" t="str">
        <f>"20190312164311143"</f>
        <v>20190312164311143</v>
      </c>
      <c r="B2380" t="str">
        <f>"1552380191137148"</f>
        <v>1552380191137148</v>
      </c>
      <c r="C2380" t="s">
        <v>40</v>
      </c>
      <c r="D2380">
        <v>4.84849</v>
      </c>
      <c r="E2380">
        <v>0.50615100000000002</v>
      </c>
      <c r="F2380" t="s">
        <v>46</v>
      </c>
      <c r="G2380">
        <v>-442.9443</v>
      </c>
      <c r="H2380" s="1">
        <v>1.530782E-7</v>
      </c>
      <c r="I2380">
        <v>211.80119999999999</v>
      </c>
      <c r="J2380">
        <v>-461.20510000000002</v>
      </c>
      <c r="K2380">
        <v>1.1095710000000001</v>
      </c>
      <c r="L2380">
        <v>213.5282</v>
      </c>
      <c r="M2380">
        <v>0.9998686</v>
      </c>
      <c r="N2380">
        <v>0</v>
      </c>
      <c r="O2380">
        <v>-1.31139E-2</v>
      </c>
      <c r="P2380">
        <v>0.99240669999999997</v>
      </c>
      <c r="Q2380">
        <v>8.6287569999999994E-2</v>
      </c>
      <c r="R2380">
        <v>-8.7658769999999997E-2</v>
      </c>
      <c r="S2380">
        <v>3.0116269999999998</v>
      </c>
      <c r="T2380">
        <v>-0.1805755</v>
      </c>
      <c r="U2380">
        <v>-0.28164670000000003</v>
      </c>
      <c r="V2380">
        <v>7.468677E-2</v>
      </c>
      <c r="W2380">
        <v>9.5727809999999997E-2</v>
      </c>
      <c r="X2380">
        <v>0.99260170000000003</v>
      </c>
      <c r="Y2380">
        <v>7.9929050000000001E-2</v>
      </c>
      <c r="Z2380">
        <v>-1.6051129999999901E-3</v>
      </c>
      <c r="AA2380">
        <v>0.99679930000000005</v>
      </c>
      <c r="AB2380">
        <v>22</v>
      </c>
      <c r="AC2380">
        <v>18.2608</v>
      </c>
      <c r="AD2380">
        <v>-1.1095708469218</v>
      </c>
      <c r="AE2380">
        <v>-1.7270000000000001</v>
      </c>
      <c r="AF2380">
        <v>1.48194734559508</v>
      </c>
      <c r="AG2380">
        <v>-1.1095708469218</v>
      </c>
      <c r="AH2380">
        <v>18.2152225545112</v>
      </c>
      <c r="AI2380">
        <v>93.4743841446777</v>
      </c>
      <c r="AJ2380">
        <v>85.348795298777304</v>
      </c>
      <c r="AK2380">
        <v>18.309059181449701</v>
      </c>
      <c r="AL2380">
        <v>84.506788995490098</v>
      </c>
      <c r="AM2380">
        <v>85.696976654512</v>
      </c>
      <c r="AN2380">
        <v>1.0000000310316499</v>
      </c>
    </row>
    <row r="2381" spans="1:40" x14ac:dyDescent="0.25">
      <c r="A2381" t="str">
        <f>"20190312164311164"</f>
        <v>20190312164311164</v>
      </c>
      <c r="B2381" t="str">
        <f>"1552380191157214"</f>
        <v>1552380191157214</v>
      </c>
      <c r="C2381" t="s">
        <v>40</v>
      </c>
      <c r="D2381">
        <v>4.9122329999999996</v>
      </c>
      <c r="E2381">
        <v>0.5183371</v>
      </c>
      <c r="F2381" t="s">
        <v>46</v>
      </c>
      <c r="G2381">
        <v>-441.20359999999999</v>
      </c>
      <c r="H2381" s="1">
        <v>-7.6637369999999902E-7</v>
      </c>
      <c r="I2381">
        <v>211.64449999999999</v>
      </c>
      <c r="J2381">
        <v>-460.99329999999998</v>
      </c>
      <c r="K2381">
        <v>1.1096280000000001</v>
      </c>
      <c r="L2381">
        <v>213.52510000000001</v>
      </c>
      <c r="M2381">
        <v>0.9998669</v>
      </c>
      <c r="N2381">
        <v>0</v>
      </c>
      <c r="O2381">
        <v>-1.33507E-2</v>
      </c>
      <c r="P2381">
        <v>0.99192139999999995</v>
      </c>
      <c r="Q2381">
        <v>9.2117770000000002E-2</v>
      </c>
      <c r="R2381">
        <v>-8.7216199999999994E-2</v>
      </c>
      <c r="S2381">
        <v>3.0123899999999999</v>
      </c>
      <c r="T2381">
        <v>-0.1671107</v>
      </c>
      <c r="U2381">
        <v>-0.28369139999999998</v>
      </c>
      <c r="V2381">
        <v>7.4004029999999998E-2</v>
      </c>
      <c r="W2381">
        <v>0.10140490000000001</v>
      </c>
      <c r="X2381">
        <v>0.99208890000000005</v>
      </c>
      <c r="Y2381">
        <v>8.0357090000000006E-2</v>
      </c>
      <c r="Z2381">
        <v>-1.4839409999999999E-3</v>
      </c>
      <c r="AA2381">
        <v>0.99676500000000001</v>
      </c>
      <c r="AB2381">
        <v>22</v>
      </c>
      <c r="AC2381">
        <v>19.7896999999999</v>
      </c>
      <c r="AD2381">
        <v>-1.1096287663736999</v>
      </c>
      <c r="AE2381">
        <v>-1.88060000000001</v>
      </c>
      <c r="AF2381">
        <v>1.6111942169428499</v>
      </c>
      <c r="AG2381">
        <v>-1.1096287663736999</v>
      </c>
      <c r="AH2381">
        <v>19.7515023562603</v>
      </c>
      <c r="AI2381">
        <v>93.204843224496301</v>
      </c>
      <c r="AJ2381">
        <v>85.336522724077298</v>
      </c>
      <c r="AK2381">
        <v>19.8481502446256</v>
      </c>
      <c r="AL2381">
        <v>84.179923208254095</v>
      </c>
      <c r="AM2381">
        <v>85.733970690484796</v>
      </c>
      <c r="AN2381">
        <v>0.99999996785172995</v>
      </c>
    </row>
    <row r="2382" spans="1:40" x14ac:dyDescent="0.25">
      <c r="A2382" t="str">
        <f>"20190312164311186"</f>
        <v>20190312164311186</v>
      </c>
      <c r="B2382" t="str">
        <f>"1552380191176733"</f>
        <v>1552380191176733</v>
      </c>
      <c r="C2382" t="s">
        <v>40</v>
      </c>
      <c r="D2382">
        <v>4.879397</v>
      </c>
      <c r="E2382">
        <v>0.51468420000000004</v>
      </c>
      <c r="F2382" t="s">
        <v>46</v>
      </c>
      <c r="G2382">
        <v>-441.51560000000001</v>
      </c>
      <c r="H2382" s="1">
        <v>-5.7559360000000002E-7</v>
      </c>
      <c r="I2382">
        <v>211.07839999999999</v>
      </c>
      <c r="J2382">
        <v>-460.76949999999999</v>
      </c>
      <c r="K2382">
        <v>1.109691</v>
      </c>
      <c r="L2382">
        <v>213.52189999999999</v>
      </c>
      <c r="M2382">
        <v>0.99986589999999997</v>
      </c>
      <c r="N2382">
        <v>0</v>
      </c>
      <c r="O2382">
        <v>-1.353355E-2</v>
      </c>
      <c r="P2382">
        <v>0.99137989999999998</v>
      </c>
      <c r="Q2382">
        <v>9.8210039999999998E-2</v>
      </c>
      <c r="R2382">
        <v>-8.6725399999999994E-2</v>
      </c>
      <c r="S2382">
        <v>3.0071409999999998</v>
      </c>
      <c r="T2382">
        <v>-0.17131459999999901</v>
      </c>
      <c r="U2382">
        <v>-0.37774659999999999</v>
      </c>
      <c r="V2382">
        <v>7.3326649999999993E-2</v>
      </c>
      <c r="W2382">
        <v>0.1073375</v>
      </c>
      <c r="X2382">
        <v>0.99151489999999998</v>
      </c>
      <c r="Y2382">
        <v>0.1110414</v>
      </c>
      <c r="Z2382">
        <v>-2.3808549999999999E-3</v>
      </c>
      <c r="AA2382">
        <v>0.9938129</v>
      </c>
      <c r="AB2382">
        <v>22</v>
      </c>
      <c r="AC2382">
        <v>19.253899999999899</v>
      </c>
      <c r="AD2382">
        <v>-1.1096915755936001</v>
      </c>
      <c r="AE2382">
        <v>-2.4434999999999998</v>
      </c>
      <c r="AF2382">
        <v>2.17557931663855</v>
      </c>
      <c r="AG2382">
        <v>-1.1096915755936001</v>
      </c>
      <c r="AH2382">
        <v>19.222367329319699</v>
      </c>
      <c r="AI2382">
        <v>93.283057350463395</v>
      </c>
      <c r="AJ2382">
        <v>83.542766175268397</v>
      </c>
      <c r="AK2382">
        <v>19.376892591414801</v>
      </c>
      <c r="AL2382">
        <v>83.838143065664397</v>
      </c>
      <c r="AM2382">
        <v>85.770438428223798</v>
      </c>
      <c r="AN2382">
        <v>0.99999996671423996</v>
      </c>
    </row>
    <row r="2383" spans="1:40" x14ac:dyDescent="0.25">
      <c r="A2383" t="str">
        <f>"20190312164311208"</f>
        <v>20190312164311208</v>
      </c>
      <c r="B2383" t="str">
        <f>"1552380191197230"</f>
        <v>1552380191197230</v>
      </c>
      <c r="C2383" t="s">
        <v>40</v>
      </c>
      <c r="D2383">
        <v>5.4451489999999998</v>
      </c>
      <c r="E2383">
        <v>0.51479259999999905</v>
      </c>
      <c r="F2383" t="s">
        <v>41</v>
      </c>
      <c r="G2383">
        <v>-459.89120000000003</v>
      </c>
      <c r="H2383">
        <v>1.0465629999999999</v>
      </c>
      <c r="I2383">
        <v>213.42169999999999</v>
      </c>
      <c r="J2383">
        <v>-460.54730000000001</v>
      </c>
      <c r="K2383">
        <v>1.1097349999999999</v>
      </c>
      <c r="L2383">
        <v>213.5187</v>
      </c>
      <c r="M2383">
        <v>0.99986589999999997</v>
      </c>
      <c r="N2383">
        <v>0</v>
      </c>
      <c r="O2383">
        <v>-1.3649369999999999E-2</v>
      </c>
      <c r="P2383">
        <v>0.99104170000000003</v>
      </c>
      <c r="Q2383">
        <v>0.1025604</v>
      </c>
      <c r="R2383">
        <v>-8.5544090000000003E-2</v>
      </c>
      <c r="S2383">
        <v>3.0175480000000001</v>
      </c>
      <c r="T2383">
        <v>-0.21700810000000001</v>
      </c>
      <c r="U2383">
        <v>-0.3429565</v>
      </c>
      <c r="V2383">
        <v>7.2024039999999998E-2</v>
      </c>
      <c r="W2383">
        <v>0.11153689999999999</v>
      </c>
      <c r="X2383">
        <v>0.99114690000000005</v>
      </c>
      <c r="Y2383">
        <v>9.9136020000000005E-2</v>
      </c>
      <c r="Z2383">
        <v>-2.5716979999999999E-3</v>
      </c>
      <c r="AA2383">
        <v>0.99507060000000003</v>
      </c>
      <c r="AB2383">
        <v>23</v>
      </c>
      <c r="AC2383">
        <v>0.65609999999998003</v>
      </c>
      <c r="AD2383">
        <v>-6.31720000000002E-2</v>
      </c>
      <c r="AE2383">
        <v>-9.7000000000008399E-2</v>
      </c>
      <c r="AF2383">
        <v>8.7243740837363803E-2</v>
      </c>
      <c r="AG2383">
        <v>-6.31720000000002E-2</v>
      </c>
      <c r="AH2383">
        <v>0.65145272451099501</v>
      </c>
      <c r="AI2383">
        <v>95.490000061021405</v>
      </c>
      <c r="AJ2383">
        <v>82.372229797243307</v>
      </c>
      <c r="AK2383">
        <v>0.66029752700740596</v>
      </c>
      <c r="AL2383">
        <v>83.596081680789496</v>
      </c>
      <c r="AM2383">
        <v>85.843771750529001</v>
      </c>
      <c r="AN2383">
        <v>1.00000005988956</v>
      </c>
    </row>
    <row r="2384" spans="1:40" x14ac:dyDescent="0.25">
      <c r="A2384" t="str">
        <f>"20190312164311233"</f>
        <v>20190312164311233</v>
      </c>
      <c r="B2384" t="str">
        <f>"1552380191226509"</f>
        <v>1552380191226509</v>
      </c>
      <c r="C2384" t="s">
        <v>40</v>
      </c>
      <c r="D2384">
        <v>5.1553360000000001</v>
      </c>
      <c r="E2384">
        <v>0.51831139999999998</v>
      </c>
      <c r="F2384" t="s">
        <v>41</v>
      </c>
      <c r="G2384">
        <v>-459.68329999999997</v>
      </c>
      <c r="H2384">
        <v>1.0529379999999999</v>
      </c>
      <c r="I2384">
        <v>213.4211</v>
      </c>
      <c r="J2384">
        <v>-460.30029999999999</v>
      </c>
      <c r="K2384">
        <v>1.1097589999999999</v>
      </c>
      <c r="L2384">
        <v>213.5153</v>
      </c>
      <c r="M2384">
        <v>0.99986660000000005</v>
      </c>
      <c r="N2384">
        <v>0</v>
      </c>
      <c r="O2384">
        <v>-1.370827E-2</v>
      </c>
      <c r="P2384">
        <v>0.99093770000000003</v>
      </c>
      <c r="Q2384">
        <v>0.10470459999999999</v>
      </c>
      <c r="R2384">
        <v>-8.4140409999999999E-2</v>
      </c>
      <c r="S2384">
        <v>3.0181879999999999</v>
      </c>
      <c r="T2384">
        <v>-0.19840440000000001</v>
      </c>
      <c r="U2384">
        <v>-0.34077449999999998</v>
      </c>
      <c r="V2384">
        <v>7.0553699999999997E-2</v>
      </c>
      <c r="W2384">
        <v>0.11351459999999999</v>
      </c>
      <c r="X2384">
        <v>0.99102809999999997</v>
      </c>
      <c r="Y2384">
        <v>9.838094E-2</v>
      </c>
      <c r="Z2384">
        <v>-2.3227569999999999E-3</v>
      </c>
      <c r="AA2384">
        <v>0.99514610000000003</v>
      </c>
      <c r="AB2384">
        <v>23</v>
      </c>
      <c r="AC2384">
        <v>0.61700000000001798</v>
      </c>
      <c r="AD2384">
        <v>-5.6821000000000003E-2</v>
      </c>
      <c r="AE2384">
        <v>-9.42000000000007E-2</v>
      </c>
      <c r="AF2384">
        <v>8.5028113956721399E-2</v>
      </c>
      <c r="AG2384">
        <v>-5.6821000000000003E-2</v>
      </c>
      <c r="AH2384">
        <v>0.61315169788737001</v>
      </c>
      <c r="AI2384">
        <v>95.244596162549797</v>
      </c>
      <c r="AJ2384">
        <v>82.104924623285598</v>
      </c>
      <c r="AK2384">
        <v>0.62162159777971204</v>
      </c>
      <c r="AL2384">
        <v>83.482043409844906</v>
      </c>
      <c r="AM2384">
        <v>85.927844594788198</v>
      </c>
      <c r="AN2384">
        <v>1.00000004199322</v>
      </c>
    </row>
    <row r="2385" spans="1:40" x14ac:dyDescent="0.25">
      <c r="A2385" t="str">
        <f>"20190312164311275"</f>
        <v>20190312164311275</v>
      </c>
      <c r="B2385" t="str">
        <f>"1552380191266951"</f>
        <v>1552380191266951</v>
      </c>
      <c r="C2385" t="s">
        <v>40</v>
      </c>
      <c r="D2385">
        <v>5.0350799999999998</v>
      </c>
      <c r="E2385">
        <v>0.47025149999999999</v>
      </c>
      <c r="F2385" t="s">
        <v>41</v>
      </c>
      <c r="G2385">
        <v>-459.47519999999997</v>
      </c>
      <c r="H2385">
        <v>1.0552589999999999</v>
      </c>
      <c r="I2385">
        <v>213.41550000000001</v>
      </c>
      <c r="J2385">
        <v>-459.86470000000003</v>
      </c>
      <c r="K2385">
        <v>1.10975</v>
      </c>
      <c r="L2385">
        <v>213.5093</v>
      </c>
      <c r="M2385">
        <v>0.99986960000000003</v>
      </c>
      <c r="N2385">
        <v>0</v>
      </c>
      <c r="O2385">
        <v>-1.3703170000000001E-2</v>
      </c>
      <c r="P2385">
        <v>0.99097659999999999</v>
      </c>
      <c r="Q2385">
        <v>0.1077017</v>
      </c>
      <c r="R2385">
        <v>-7.9788869999999998E-2</v>
      </c>
      <c r="S2385">
        <v>3.0175779999999999</v>
      </c>
      <c r="T2385">
        <v>-0.19931470000000001</v>
      </c>
      <c r="U2385">
        <v>-0.36419679999999999</v>
      </c>
      <c r="V2385">
        <v>6.6198489999999999E-2</v>
      </c>
      <c r="W2385">
        <v>0.1161867</v>
      </c>
      <c r="X2385">
        <v>0.99101890000000004</v>
      </c>
      <c r="Y2385">
        <v>0.1060079</v>
      </c>
      <c r="Z2385">
        <v>-2.5838660000000002E-3</v>
      </c>
      <c r="AA2385">
        <v>0.99436190000000002</v>
      </c>
      <c r="AB2385">
        <v>23</v>
      </c>
      <c r="AC2385">
        <v>0.38950000000005403</v>
      </c>
      <c r="AD2385">
        <v>-5.4490999999999998E-2</v>
      </c>
      <c r="AE2385">
        <v>-9.3799999999987393E-2</v>
      </c>
      <c r="AF2385">
        <v>8.6847019453383204E-2</v>
      </c>
      <c r="AG2385">
        <v>-5.4490999999999998E-2</v>
      </c>
      <c r="AH2385">
        <v>0.38365161413089699</v>
      </c>
      <c r="AI2385">
        <v>97.886850435474699</v>
      </c>
      <c r="AJ2385">
        <v>77.244953492697803</v>
      </c>
      <c r="AK2385">
        <v>0.397114888784316</v>
      </c>
      <c r="AL2385">
        <v>83.327923353257404</v>
      </c>
      <c r="AM2385">
        <v>86.178410110015903</v>
      </c>
      <c r="AN2385">
        <v>1.00000002474618</v>
      </c>
    </row>
    <row r="2386" spans="1:40" x14ac:dyDescent="0.25">
      <c r="A2386" t="str">
        <f>"20190312164311298"</f>
        <v>20190312164311298</v>
      </c>
      <c r="B2386" t="str">
        <f>"1552380191286471"</f>
        <v>1552380191286471</v>
      </c>
      <c r="C2386" t="s">
        <v>40</v>
      </c>
      <c r="D2386">
        <v>4.8938990000000002</v>
      </c>
      <c r="E2386">
        <v>0.46706940000000002</v>
      </c>
      <c r="F2386" t="s">
        <v>46</v>
      </c>
      <c r="G2386">
        <v>-441.59309999999999</v>
      </c>
      <c r="H2386" s="1">
        <v>-6.4797780000000002E-7</v>
      </c>
      <c r="I2386">
        <v>213.67760000000001</v>
      </c>
      <c r="J2386">
        <v>-459.63229999999999</v>
      </c>
      <c r="K2386">
        <v>1.1097319999999999</v>
      </c>
      <c r="L2386">
        <v>213.5061</v>
      </c>
      <c r="M2386">
        <v>0.99987150000000002</v>
      </c>
      <c r="N2386">
        <v>0</v>
      </c>
      <c r="O2386">
        <v>-1.368165E-2</v>
      </c>
      <c r="P2386">
        <v>0.99105589999999999</v>
      </c>
      <c r="Q2386">
        <v>0.10926379999999999</v>
      </c>
      <c r="R2386">
        <v>-7.6615900000000001E-2</v>
      </c>
      <c r="S2386">
        <v>3.0497130000000001</v>
      </c>
      <c r="T2386">
        <v>-0.18522849999999999</v>
      </c>
      <c r="U2386">
        <v>2.8091430000000001E-2</v>
      </c>
      <c r="V2386">
        <v>6.3045340000000005E-2</v>
      </c>
      <c r="W2386">
        <v>0.1175699</v>
      </c>
      <c r="X2386">
        <v>0.99106130000000003</v>
      </c>
      <c r="Y2386">
        <v>-2.2824199999999999E-2</v>
      </c>
      <c r="Z2386">
        <v>1.5226910000000001E-3</v>
      </c>
      <c r="AA2386">
        <v>0.99973829999999997</v>
      </c>
      <c r="AB2386">
        <v>23</v>
      </c>
      <c r="AC2386">
        <v>18.039199999999902</v>
      </c>
      <c r="AD2386">
        <v>-1.1097326479778</v>
      </c>
      <c r="AE2386">
        <v>0.17150000000000801</v>
      </c>
      <c r="AF2386">
        <v>-0.41672166333920102</v>
      </c>
      <c r="AG2386">
        <v>-1.1097326479778</v>
      </c>
      <c r="AH2386">
        <v>17.967175322842198</v>
      </c>
      <c r="AI2386">
        <v>93.533404521515195</v>
      </c>
      <c r="AJ2386">
        <v>91.328651396260895</v>
      </c>
      <c r="AK2386">
        <v>18.006236491183699</v>
      </c>
      <c r="AL2386">
        <v>83.248124388890901</v>
      </c>
      <c r="AM2386">
        <v>86.360092849022195</v>
      </c>
      <c r="AN2386">
        <v>0.99999994831970596</v>
      </c>
    </row>
    <row r="2387" spans="1:40" x14ac:dyDescent="0.25">
      <c r="A2387" t="str">
        <f>"20190312164311321"</f>
        <v>20190312164311321</v>
      </c>
      <c r="B2387" t="str">
        <f>"1552380191316728"</f>
        <v>1552380191316728</v>
      </c>
      <c r="C2387" t="s">
        <v>40</v>
      </c>
      <c r="D2387">
        <v>4.8634500000000003</v>
      </c>
      <c r="E2387">
        <v>0.4663292</v>
      </c>
      <c r="F2387" t="s">
        <v>46</v>
      </c>
      <c r="G2387">
        <v>-441.25380000000001</v>
      </c>
      <c r="H2387" s="1">
        <v>-8.3735669999999997E-7</v>
      </c>
      <c r="I2387">
        <v>213.8785</v>
      </c>
      <c r="J2387">
        <v>-459.3997</v>
      </c>
      <c r="K2387">
        <v>1.1097090000000001</v>
      </c>
      <c r="L2387">
        <v>213.50299999999999</v>
      </c>
      <c r="M2387">
        <v>0.99987320000000002</v>
      </c>
      <c r="N2387">
        <v>0</v>
      </c>
      <c r="O2387">
        <v>-1.3662209999999999E-2</v>
      </c>
      <c r="P2387">
        <v>0.991093</v>
      </c>
      <c r="Q2387">
        <v>0.111163</v>
      </c>
      <c r="R2387">
        <v>-7.3332670000000003E-2</v>
      </c>
      <c r="S2387">
        <v>3.052155</v>
      </c>
      <c r="T2387">
        <v>-0.18429519999999999</v>
      </c>
      <c r="U2387">
        <v>6.1843870000000002E-2</v>
      </c>
      <c r="V2387">
        <v>5.9781889999999997E-2</v>
      </c>
      <c r="W2387">
        <v>0.1192863</v>
      </c>
      <c r="X2387">
        <v>0.99105849999999995</v>
      </c>
      <c r="Y2387">
        <v>-3.3829720000000001E-2</v>
      </c>
      <c r="Z2387">
        <v>1.8444729999999999E-3</v>
      </c>
      <c r="AA2387">
        <v>0.99942589999999998</v>
      </c>
      <c r="AB2387">
        <v>23</v>
      </c>
      <c r="AC2387">
        <v>18.145899999999902</v>
      </c>
      <c r="AD2387">
        <v>-1.1097098373567</v>
      </c>
      <c r="AE2387">
        <v>0.37550000000001599</v>
      </c>
      <c r="AF2387">
        <v>-0.62106460911769101</v>
      </c>
      <c r="AG2387">
        <v>-1.1097098373567</v>
      </c>
      <c r="AH2387">
        <v>18.071518922270698</v>
      </c>
      <c r="AI2387">
        <v>93.511856399892693</v>
      </c>
      <c r="AJ2387">
        <v>91.968311655882204</v>
      </c>
      <c r="AK2387">
        <v>18.1162074764508</v>
      </c>
      <c r="AL2387">
        <v>83.149085432275896</v>
      </c>
      <c r="AM2387">
        <v>86.548029604596394</v>
      </c>
      <c r="AN2387">
        <v>1.00000002308095</v>
      </c>
    </row>
    <row r="2388" spans="1:40" x14ac:dyDescent="0.25">
      <c r="A2388" t="str">
        <f>"20190312164311345"</f>
        <v>20190312164311345</v>
      </c>
      <c r="B2388" t="str">
        <f>"1552380191337224"</f>
        <v>1552380191337224</v>
      </c>
      <c r="C2388" t="s">
        <v>40</v>
      </c>
      <c r="D2388">
        <v>4.8789179999999996</v>
      </c>
      <c r="E2388">
        <v>0.46577410000000002</v>
      </c>
      <c r="F2388" t="s">
        <v>46</v>
      </c>
      <c r="G2388">
        <v>-441.0976</v>
      </c>
      <c r="H2388" s="1">
        <v>-9.2435159999999997E-7</v>
      </c>
      <c r="I2388">
        <v>213.96799999999999</v>
      </c>
      <c r="J2388">
        <v>-459.15390000000002</v>
      </c>
      <c r="K2388">
        <v>1.1096839999999999</v>
      </c>
      <c r="L2388">
        <v>213.49959999999999</v>
      </c>
      <c r="M2388">
        <v>0.99987479999999995</v>
      </c>
      <c r="N2388">
        <v>0</v>
      </c>
      <c r="O2388">
        <v>-1.3652050000000001E-2</v>
      </c>
      <c r="P2388">
        <v>0.99103059999999998</v>
      </c>
      <c r="Q2388">
        <v>0.1138038</v>
      </c>
      <c r="R2388">
        <v>-7.0049790000000001E-2</v>
      </c>
      <c r="S2388">
        <v>3.0534669999999999</v>
      </c>
      <c r="T2388">
        <v>-0.185141</v>
      </c>
      <c r="U2388">
        <v>7.7575679999999994E-2</v>
      </c>
      <c r="V2388">
        <v>5.6512090000000001E-2</v>
      </c>
      <c r="W2388">
        <v>0.1217256</v>
      </c>
      <c r="X2388">
        <v>0.99095370000000005</v>
      </c>
      <c r="Y2388">
        <v>-3.8946759999999997E-2</v>
      </c>
      <c r="Z2388">
        <v>2.0063730000000001E-3</v>
      </c>
      <c r="AA2388">
        <v>0.99923930000000005</v>
      </c>
      <c r="AB2388">
        <v>23</v>
      </c>
      <c r="AC2388">
        <v>18.0563</v>
      </c>
      <c r="AD2388">
        <v>-1.1096849243516</v>
      </c>
      <c r="AE2388">
        <v>0.46840000000000198</v>
      </c>
      <c r="AF2388">
        <v>-0.712181675560556</v>
      </c>
      <c r="AG2388">
        <v>-1.1096849243516</v>
      </c>
      <c r="AH2388">
        <v>17.980357000325501</v>
      </c>
      <c r="AI2388">
        <v>93.528856276580797</v>
      </c>
      <c r="AJ2388">
        <v>92.268235562208403</v>
      </c>
      <c r="AK2388">
        <v>18.028639472502899</v>
      </c>
      <c r="AL2388">
        <v>83.008297573893898</v>
      </c>
      <c r="AM2388">
        <v>86.736072545266694</v>
      </c>
      <c r="AN2388">
        <v>0.99999998677760904</v>
      </c>
    </row>
    <row r="2389" spans="1:40" x14ac:dyDescent="0.25">
      <c r="A2389" t="str">
        <f>"20190312164311367"</f>
        <v>20190312164311367</v>
      </c>
      <c r="B2389" t="str">
        <f>"1552380191357251"</f>
        <v>1552380191357251</v>
      </c>
      <c r="C2389" t="s">
        <v>40</v>
      </c>
      <c r="D2389">
        <v>4.8583179999999997</v>
      </c>
      <c r="E2389">
        <v>0.46555439999999998</v>
      </c>
      <c r="F2389" t="s">
        <v>46</v>
      </c>
      <c r="G2389">
        <v>-440.23020000000002</v>
      </c>
      <c r="H2389" s="1">
        <v>-1.3900959999999999E-6</v>
      </c>
      <c r="I2389">
        <v>214.06319999999999</v>
      </c>
      <c r="J2389">
        <v>-458.92349999999999</v>
      </c>
      <c r="K2389">
        <v>1.1096629999999901</v>
      </c>
      <c r="L2389">
        <v>213.4965</v>
      </c>
      <c r="M2389">
        <v>0.9998766</v>
      </c>
      <c r="N2389">
        <v>0</v>
      </c>
      <c r="O2389">
        <v>-1.365303E-2</v>
      </c>
      <c r="P2389">
        <v>0.99086419999999997</v>
      </c>
      <c r="Q2389">
        <v>0.11726880000000001</v>
      </c>
      <c r="R2389">
        <v>-6.6607520000000003E-2</v>
      </c>
      <c r="S2389">
        <v>3.0541689999999999</v>
      </c>
      <c r="T2389">
        <v>-0.1790967</v>
      </c>
      <c r="U2389">
        <v>9.0957640000000006E-2</v>
      </c>
      <c r="V2389">
        <v>5.3073210000000003E-2</v>
      </c>
      <c r="W2389">
        <v>0.1249986</v>
      </c>
      <c r="X2389">
        <v>0.99073639999999996</v>
      </c>
      <c r="Y2389">
        <v>-4.3315119999999999E-2</v>
      </c>
      <c r="Z2389">
        <v>2.0684280000000002E-3</v>
      </c>
      <c r="AA2389">
        <v>0.99905929999999998</v>
      </c>
      <c r="AB2389">
        <v>23</v>
      </c>
      <c r="AC2389">
        <v>18.693299999999901</v>
      </c>
      <c r="AD2389">
        <v>-1.1096643900959999</v>
      </c>
      <c r="AE2389">
        <v>0.56669999999999698</v>
      </c>
      <c r="AF2389">
        <v>-0.81899175361620702</v>
      </c>
      <c r="AG2389">
        <v>-1.1096643900959999</v>
      </c>
      <c r="AH2389">
        <v>18.618273297694699</v>
      </c>
      <c r="AI2389">
        <v>93.407553204860093</v>
      </c>
      <c r="AJ2389">
        <v>92.518737309935204</v>
      </c>
      <c r="AK2389">
        <v>18.669285019485599</v>
      </c>
      <c r="AL2389">
        <v>82.819325174679804</v>
      </c>
      <c r="AM2389">
        <v>86.933627194749207</v>
      </c>
      <c r="AN2389">
        <v>1.0000000149533099</v>
      </c>
    </row>
    <row r="2390" spans="1:40" x14ac:dyDescent="0.25">
      <c r="A2390" t="str">
        <f>"20190312164311409"</f>
        <v>20190312164311409</v>
      </c>
      <c r="B2390" t="str">
        <f>"1552380191407027"</f>
        <v>1552380191407027</v>
      </c>
      <c r="C2390" t="s">
        <v>40</v>
      </c>
      <c r="D2390">
        <v>4.8397480000000002</v>
      </c>
      <c r="E2390">
        <v>0.46620780000000001</v>
      </c>
      <c r="F2390" t="s">
        <v>47</v>
      </c>
      <c r="G2390">
        <v>-439.3673</v>
      </c>
      <c r="H2390" s="1">
        <v>6.4112999999999999E-6</v>
      </c>
      <c r="I2390">
        <v>214.15530000000001</v>
      </c>
      <c r="J2390">
        <v>-458.47719999999998</v>
      </c>
      <c r="K2390">
        <v>1.1096280000000001</v>
      </c>
      <c r="L2390">
        <v>213.49039999999999</v>
      </c>
      <c r="M2390">
        <v>0.99987870000000001</v>
      </c>
      <c r="N2390">
        <v>0</v>
      </c>
      <c r="O2390">
        <v>-1.367841E-2</v>
      </c>
      <c r="P2390">
        <v>0.99041570000000001</v>
      </c>
      <c r="Q2390">
        <v>0.12410739999999899</v>
      </c>
      <c r="R2390">
        <v>-6.0615870000000002E-2</v>
      </c>
      <c r="S2390">
        <v>3.0550839999999999</v>
      </c>
      <c r="T2390">
        <v>-0.17335130000000001</v>
      </c>
      <c r="U2390">
        <v>0.1029205</v>
      </c>
      <c r="V2390">
        <v>4.7066360000000002E-2</v>
      </c>
      <c r="W2390">
        <v>0.1314882</v>
      </c>
      <c r="X2390">
        <v>0.99019979999999996</v>
      </c>
      <c r="Y2390">
        <v>-4.7239179999999999E-2</v>
      </c>
      <c r="Z2390">
        <v>2.114108E-3</v>
      </c>
      <c r="AA2390">
        <v>0.99888129999999997</v>
      </c>
      <c r="AB2390">
        <v>23</v>
      </c>
      <c r="AC2390">
        <v>19.1098999999999</v>
      </c>
      <c r="AD2390">
        <v>-1.1096215887</v>
      </c>
      <c r="AE2390">
        <v>0.66490000000001703</v>
      </c>
      <c r="AF2390">
        <v>-0.92312945411828295</v>
      </c>
      <c r="AG2390">
        <v>-1.1096215887</v>
      </c>
      <c r="AH2390">
        <v>19.034916996863402</v>
      </c>
      <c r="AI2390">
        <v>93.332317423376693</v>
      </c>
      <c r="AJ2390">
        <v>92.776477279066299</v>
      </c>
      <c r="AK2390">
        <v>19.089565032672901</v>
      </c>
      <c r="AL2390">
        <v>82.444401959714796</v>
      </c>
      <c r="AM2390">
        <v>87.278654632826601</v>
      </c>
      <c r="AN2390">
        <v>1.00000001645146</v>
      </c>
    </row>
    <row r="2391" spans="1:40" x14ac:dyDescent="0.25">
      <c r="A2391" t="str">
        <f>"20190312164311433"</f>
        <v>20190312164311433</v>
      </c>
      <c r="B2391" t="str">
        <f>"1552380191426547"</f>
        <v>1552380191426547</v>
      </c>
      <c r="C2391" t="s">
        <v>40</v>
      </c>
      <c r="D2391">
        <v>4.8894849999999996</v>
      </c>
      <c r="E2391">
        <v>0.46677109999999999</v>
      </c>
      <c r="F2391" t="s">
        <v>47</v>
      </c>
      <c r="G2391">
        <v>-437.10250000000002</v>
      </c>
      <c r="H2391" s="1">
        <v>5.3942339999999996E-6</v>
      </c>
      <c r="I2391">
        <v>214.30099999999999</v>
      </c>
      <c r="J2391">
        <v>-458.22379999999998</v>
      </c>
      <c r="K2391">
        <v>1.1096109999999999</v>
      </c>
      <c r="L2391">
        <v>213.48699999999999</v>
      </c>
      <c r="M2391">
        <v>0.99987979999999999</v>
      </c>
      <c r="N2391">
        <v>0</v>
      </c>
      <c r="O2391">
        <v>-1.3701970000000001E-2</v>
      </c>
      <c r="P2391">
        <v>0.99027270000000001</v>
      </c>
      <c r="Q2391">
        <v>0.1265058</v>
      </c>
      <c r="R2391">
        <v>-5.7936120000000001E-2</v>
      </c>
      <c r="S2391">
        <v>3.056</v>
      </c>
      <c r="T2391">
        <v>-0.15864589999999901</v>
      </c>
      <c r="U2391">
        <v>0.11589049999999999</v>
      </c>
      <c r="V2391">
        <v>4.4367209999999997E-2</v>
      </c>
      <c r="W2391">
        <v>0.1336997</v>
      </c>
      <c r="X2391">
        <v>0.99002829999999997</v>
      </c>
      <c r="Y2391">
        <v>-5.1496300000000002E-2</v>
      </c>
      <c r="Z2391">
        <v>2.045907E-3</v>
      </c>
      <c r="AA2391">
        <v>0.99867110000000003</v>
      </c>
      <c r="AB2391">
        <v>23</v>
      </c>
      <c r="AC2391">
        <v>21.121299999999898</v>
      </c>
      <c r="AD2391">
        <v>-1.109605605766</v>
      </c>
      <c r="AE2391">
        <v>0.81399999999999195</v>
      </c>
      <c r="AF2391">
        <v>-1.1003023778479799</v>
      </c>
      <c r="AG2391">
        <v>-1.109605605766</v>
      </c>
      <c r="AH2391">
        <v>21.0501528974549</v>
      </c>
      <c r="AI2391">
        <v>93.013303460636806</v>
      </c>
      <c r="AJ2391">
        <v>92.992156943750601</v>
      </c>
      <c r="AK2391">
        <v>21.108074922391001</v>
      </c>
      <c r="AL2391">
        <v>82.316563796915901</v>
      </c>
      <c r="AM2391">
        <v>87.434059014173201</v>
      </c>
      <c r="AN2391">
        <v>1.00000004695208</v>
      </c>
    </row>
    <row r="2392" spans="1:40" x14ac:dyDescent="0.25">
      <c r="A2392" t="str">
        <f>"20190312164311456"</f>
        <v>20190312164311456</v>
      </c>
      <c r="B2392" t="str">
        <f>"1552380191447043"</f>
        <v>1552380191447043</v>
      </c>
      <c r="C2392" t="s">
        <v>40</v>
      </c>
      <c r="D2392">
        <v>5.0016179999999997</v>
      </c>
      <c r="E2392">
        <v>0.4741765</v>
      </c>
      <c r="F2392" t="s">
        <v>47</v>
      </c>
      <c r="G2392">
        <v>-436.48079999999999</v>
      </c>
      <c r="H2392" s="1">
        <v>5.1156450000000004E-6</v>
      </c>
      <c r="I2392">
        <v>214.3339</v>
      </c>
      <c r="J2392">
        <v>-457.98180000000002</v>
      </c>
      <c r="K2392">
        <v>1.109586</v>
      </c>
      <c r="L2392">
        <v>213.4837</v>
      </c>
      <c r="M2392">
        <v>0.99988080000000001</v>
      </c>
      <c r="N2392">
        <v>0</v>
      </c>
      <c r="O2392">
        <v>-1.372666E-2</v>
      </c>
      <c r="P2392">
        <v>0.99020200000000003</v>
      </c>
      <c r="Q2392">
        <v>0.1282153</v>
      </c>
      <c r="R2392">
        <v>-5.5324949999999998E-2</v>
      </c>
      <c r="S2392">
        <v>3.0563660000000001</v>
      </c>
      <c r="T2392">
        <v>-0.15597520000000001</v>
      </c>
      <c r="U2392">
        <v>0.1190491</v>
      </c>
      <c r="V2392">
        <v>4.1734359999999998E-2</v>
      </c>
      <c r="W2392">
        <v>0.1352362</v>
      </c>
      <c r="X2392">
        <v>0.98993399999999998</v>
      </c>
      <c r="Y2392">
        <v>-5.254847E-2</v>
      </c>
      <c r="Z2392">
        <v>2.0393109999999998E-3</v>
      </c>
      <c r="AA2392">
        <v>0.99861630000000001</v>
      </c>
      <c r="AB2392">
        <v>24</v>
      </c>
      <c r="AC2392">
        <v>21.501000000000001</v>
      </c>
      <c r="AD2392">
        <v>-1.1095808843549999</v>
      </c>
      <c r="AE2392">
        <v>0.85020000000000095</v>
      </c>
      <c r="AF2392">
        <v>-1.1422269767847499</v>
      </c>
      <c r="AG2392">
        <v>-1.1095808843549999</v>
      </c>
      <c r="AH2392">
        <v>21.430319771698599</v>
      </c>
      <c r="AI2392">
        <v>92.959718484817301</v>
      </c>
      <c r="AJ2392">
        <v>93.050953896332501</v>
      </c>
      <c r="AK2392">
        <v>21.489403382194599</v>
      </c>
      <c r="AL2392">
        <v>82.2277212446253</v>
      </c>
      <c r="AM2392">
        <v>87.585912270188899</v>
      </c>
      <c r="AN2392">
        <v>0.99999995547552301</v>
      </c>
    </row>
    <row r="2393" spans="1:40" x14ac:dyDescent="0.25">
      <c r="A2393" t="str">
        <f>"20190312164311477"</f>
        <v>20190312164311477</v>
      </c>
      <c r="B2393" t="str">
        <f>"1552380191466563"</f>
        <v>1552380191466563</v>
      </c>
      <c r="C2393" t="s">
        <v>40</v>
      </c>
      <c r="D2393">
        <v>4.8683489999999896</v>
      </c>
      <c r="E2393">
        <v>0.47251759999999898</v>
      </c>
      <c r="F2393" t="s">
        <v>47</v>
      </c>
      <c r="G2393">
        <v>-439.90629999999999</v>
      </c>
      <c r="H2393" s="1">
        <v>6.6738179999999996E-6</v>
      </c>
      <c r="I2393">
        <v>213.88669999999999</v>
      </c>
      <c r="J2393">
        <v>-457.75990000000002</v>
      </c>
      <c r="K2393">
        <v>1.109572</v>
      </c>
      <c r="L2393">
        <v>213.48060000000001</v>
      </c>
      <c r="M2393">
        <v>0.99988140000000003</v>
      </c>
      <c r="N2393">
        <v>0</v>
      </c>
      <c r="O2393">
        <v>-1.374975E-2</v>
      </c>
      <c r="P2393">
        <v>0.99021700000000001</v>
      </c>
      <c r="Q2393">
        <v>0.12918550000000001</v>
      </c>
      <c r="R2393">
        <v>-5.273829E-2</v>
      </c>
      <c r="S2393">
        <v>3.0577999999999999</v>
      </c>
      <c r="T2393">
        <v>-0.18770539999999999</v>
      </c>
      <c r="U2393">
        <v>6.8176269999999997E-2</v>
      </c>
      <c r="V2393">
        <v>3.9125890000000003E-2</v>
      </c>
      <c r="W2393">
        <v>0.1360555</v>
      </c>
      <c r="X2393">
        <v>0.98992829999999998</v>
      </c>
      <c r="Y2393">
        <v>-3.5941380000000002E-2</v>
      </c>
      <c r="Z2393">
        <v>1.945144E-3</v>
      </c>
      <c r="AA2393">
        <v>0.99935200000000002</v>
      </c>
      <c r="AB2393">
        <v>24</v>
      </c>
      <c r="AC2393">
        <v>17.8536</v>
      </c>
      <c r="AD2393">
        <v>-1.109565326182</v>
      </c>
      <c r="AE2393">
        <v>0.40609999999997998</v>
      </c>
      <c r="AF2393">
        <v>-0.64904449772275596</v>
      </c>
      <c r="AG2393">
        <v>-1.109565326182</v>
      </c>
      <c r="AH2393">
        <v>17.7776996790863</v>
      </c>
      <c r="AI2393">
        <v>93.569015862802004</v>
      </c>
      <c r="AJ2393">
        <v>92.090878003763706</v>
      </c>
      <c r="AK2393">
        <v>17.824112877023499</v>
      </c>
      <c r="AL2393">
        <v>82.180341136780697</v>
      </c>
      <c r="AM2393">
        <v>87.736621785077006</v>
      </c>
      <c r="AN2393">
        <v>0.99999998674471602</v>
      </c>
    </row>
    <row r="2394" spans="1:40" x14ac:dyDescent="0.25">
      <c r="A2394" t="str">
        <f>"20190312164311499"</f>
        <v>20190312164311499</v>
      </c>
      <c r="B2394" t="str">
        <f>"1552380191487060"</f>
        <v>1552380191487060</v>
      </c>
      <c r="C2394" t="s">
        <v>40</v>
      </c>
      <c r="D2394">
        <v>4.8622610000000002</v>
      </c>
      <c r="E2394">
        <v>0.47177429999999898</v>
      </c>
      <c r="F2394" t="s">
        <v>46</v>
      </c>
      <c r="G2394">
        <v>-440.98169999999999</v>
      </c>
      <c r="H2394" s="1">
        <v>-9.8604790000000008E-7</v>
      </c>
      <c r="I2394">
        <v>213.96789999999999</v>
      </c>
      <c r="J2394">
        <v>-457.52519999999998</v>
      </c>
      <c r="K2394">
        <v>1.109553</v>
      </c>
      <c r="L2394">
        <v>213.47739999999999</v>
      </c>
      <c r="M2394">
        <v>0.99988220000000005</v>
      </c>
      <c r="N2394">
        <v>0</v>
      </c>
      <c r="O2394">
        <v>-1.3773809999999999E-2</v>
      </c>
      <c r="P2394">
        <v>0.99014380000000002</v>
      </c>
      <c r="Q2394">
        <v>0.13035339999999901</v>
      </c>
      <c r="R2394">
        <v>-5.1220849999999998E-2</v>
      </c>
      <c r="S2394">
        <v>3.0607600000000001</v>
      </c>
      <c r="T2394">
        <v>-0.2024136</v>
      </c>
      <c r="U2394">
        <v>8.8897710000000005E-2</v>
      </c>
      <c r="V2394">
        <v>3.7586370000000001E-2</v>
      </c>
      <c r="W2394">
        <v>0.13707150000000001</v>
      </c>
      <c r="X2394">
        <v>0.98984780000000006</v>
      </c>
      <c r="Y2394">
        <v>-4.2674440000000001E-2</v>
      </c>
      <c r="Z2394">
        <v>2.31898E-3</v>
      </c>
      <c r="AA2394">
        <v>0.99908629999999998</v>
      </c>
      <c r="AB2394">
        <v>24</v>
      </c>
      <c r="AC2394">
        <v>16.543499999999899</v>
      </c>
      <c r="AD2394">
        <v>-1.10955398604789</v>
      </c>
      <c r="AE2394">
        <v>0.49049999999999699</v>
      </c>
      <c r="AF2394">
        <v>-0.71511180393187701</v>
      </c>
      <c r="AG2394">
        <v>-1.10955398604789</v>
      </c>
      <c r="AH2394">
        <v>16.461193075662599</v>
      </c>
      <c r="AI2394">
        <v>93.852522213677901</v>
      </c>
      <c r="AJ2394">
        <v>92.487495413584796</v>
      </c>
      <c r="AK2394">
        <v>16.5140356186585</v>
      </c>
      <c r="AL2394">
        <v>82.121578188167703</v>
      </c>
      <c r="AM2394">
        <v>87.825416972011396</v>
      </c>
      <c r="AN2394">
        <v>0.99999999924343297</v>
      </c>
    </row>
    <row r="2395" spans="1:40" x14ac:dyDescent="0.25">
      <c r="A2395" t="str">
        <f>"20190312164311521"</f>
        <v>20190312164311521</v>
      </c>
      <c r="B2395" t="str">
        <f>"1552380191517316"</f>
        <v>1552380191517316</v>
      </c>
      <c r="C2395" t="s">
        <v>40</v>
      </c>
      <c r="D2395">
        <v>4.8655879999999998</v>
      </c>
      <c r="E2395">
        <v>0.47211379999999997</v>
      </c>
      <c r="F2395" t="s">
        <v>46</v>
      </c>
      <c r="G2395">
        <v>-440.7953</v>
      </c>
      <c r="H2395" s="1">
        <v>-1.087602E-6</v>
      </c>
      <c r="I2395">
        <v>214.02199999999999</v>
      </c>
      <c r="J2395">
        <v>-457.28919999999999</v>
      </c>
      <c r="K2395">
        <v>1.109532</v>
      </c>
      <c r="L2395">
        <v>213.47409999999999</v>
      </c>
      <c r="M2395">
        <v>0.99988279999999996</v>
      </c>
      <c r="N2395">
        <v>0</v>
      </c>
      <c r="O2395">
        <v>-1.379705E-2</v>
      </c>
      <c r="P2395">
        <v>0.99009389999999997</v>
      </c>
      <c r="Q2395">
        <v>0.13134999999999999</v>
      </c>
      <c r="R2395">
        <v>-4.9609229999999997E-2</v>
      </c>
      <c r="S2395">
        <v>3.061798</v>
      </c>
      <c r="T2395">
        <v>-0.20306279999999999</v>
      </c>
      <c r="U2395">
        <v>9.9670410000000001E-2</v>
      </c>
      <c r="V2395">
        <v>3.595338E-2</v>
      </c>
      <c r="W2395">
        <v>0.13791929999999999</v>
      </c>
      <c r="X2395">
        <v>0.98979070000000002</v>
      </c>
      <c r="Y2395">
        <v>-4.6190960000000003E-2</v>
      </c>
      <c r="Z2395">
        <v>2.443485E-3</v>
      </c>
      <c r="AA2395">
        <v>0.99892959999999997</v>
      </c>
      <c r="AB2395">
        <v>24</v>
      </c>
      <c r="AC2395">
        <v>16.493899999999901</v>
      </c>
      <c r="AD2395">
        <v>-1.109533087602</v>
      </c>
      <c r="AE2395">
        <v>0.54790000000002603</v>
      </c>
      <c r="AF2395">
        <v>-0.77193076043477404</v>
      </c>
      <c r="AG2395">
        <v>-1.109533087602</v>
      </c>
      <c r="AH2395">
        <v>16.410591731666099</v>
      </c>
      <c r="AI2395">
        <v>93.863667322531398</v>
      </c>
      <c r="AJ2395">
        <v>92.693126385111398</v>
      </c>
      <c r="AK2395">
        <v>16.466161111650099</v>
      </c>
      <c r="AL2395">
        <v>82.072537092408595</v>
      </c>
      <c r="AM2395">
        <v>87.919689851502199</v>
      </c>
      <c r="AN2395">
        <v>1.0000000043262001</v>
      </c>
    </row>
    <row r="2396" spans="1:40" x14ac:dyDescent="0.25">
      <c r="A2396" t="str">
        <f>"20190312164311544"</f>
        <v>20190312164311544</v>
      </c>
      <c r="B2396" t="str">
        <f>"1552380191536836"</f>
        <v>1552380191536836</v>
      </c>
      <c r="C2396" t="s">
        <v>40</v>
      </c>
      <c r="D2396">
        <v>4.8837449999999896</v>
      </c>
      <c r="E2396">
        <v>0.4726243</v>
      </c>
      <c r="F2396" t="s">
        <v>46</v>
      </c>
      <c r="G2396">
        <v>-440.32670000000002</v>
      </c>
      <c r="H2396" s="1">
        <v>-1.337686E-6</v>
      </c>
      <c r="I2396">
        <v>214.0386</v>
      </c>
      <c r="J2396">
        <v>-457.0367</v>
      </c>
      <c r="K2396">
        <v>1.109505</v>
      </c>
      <c r="L2396">
        <v>213.47059999999999</v>
      </c>
      <c r="M2396">
        <v>0.99988370000000004</v>
      </c>
      <c r="N2396">
        <v>0</v>
      </c>
      <c r="O2396">
        <v>-1.3821089999999999E-2</v>
      </c>
      <c r="P2396">
        <v>0.99018220000000001</v>
      </c>
      <c r="Q2396">
        <v>0.1311948</v>
      </c>
      <c r="R2396">
        <v>-4.8244710000000003E-2</v>
      </c>
      <c r="S2396">
        <v>3.0616759999999998</v>
      </c>
      <c r="T2396">
        <v>-0.20026679999999999</v>
      </c>
      <c r="U2396">
        <v>0.1018829</v>
      </c>
      <c r="V2396">
        <v>3.4564339999999999E-2</v>
      </c>
      <c r="W2396">
        <v>0.1376066</v>
      </c>
      <c r="X2396">
        <v>0.98988370000000003</v>
      </c>
      <c r="Y2396">
        <v>-4.693928E-2</v>
      </c>
      <c r="Z2396">
        <v>2.4359920000000001E-3</v>
      </c>
      <c r="AA2396">
        <v>0.99889479999999997</v>
      </c>
      <c r="AB2396">
        <v>24</v>
      </c>
      <c r="AC2396">
        <v>16.709999999999901</v>
      </c>
      <c r="AD2396">
        <v>-1.1095063376859999</v>
      </c>
      <c r="AE2396">
        <v>0.56800000000001205</v>
      </c>
      <c r="AF2396">
        <v>-0.79539836391461305</v>
      </c>
      <c r="AG2396">
        <v>-1.1095063376859999</v>
      </c>
      <c r="AH2396">
        <v>16.627333649920399</v>
      </c>
      <c r="AI2396">
        <v>93.813217614219397</v>
      </c>
      <c r="AJ2396">
        <v>92.738758688290503</v>
      </c>
      <c r="AK2396">
        <v>16.683281666880099</v>
      </c>
      <c r="AL2396">
        <v>82.090625959163901</v>
      </c>
      <c r="AM2396">
        <v>88.000182711792505</v>
      </c>
      <c r="AN2396">
        <v>1.00000000474444</v>
      </c>
    </row>
    <row r="2397" spans="1:40" x14ac:dyDescent="0.25">
      <c r="A2397" t="str">
        <f>"20190312164311565"</f>
        <v>20190312164311565</v>
      </c>
      <c r="B2397" t="str">
        <f>"1552380191556354"</f>
        <v>1552380191556354</v>
      </c>
      <c r="C2397" t="s">
        <v>40</v>
      </c>
      <c r="D2397">
        <v>4.8833089999999997</v>
      </c>
      <c r="E2397">
        <v>0.47296480000000002</v>
      </c>
      <c r="F2397" t="s">
        <v>46</v>
      </c>
      <c r="G2397">
        <v>-440.09980000000002</v>
      </c>
      <c r="H2397" s="1">
        <v>-1.4581989999999901E-6</v>
      </c>
      <c r="I2397">
        <v>214.03319999999999</v>
      </c>
      <c r="J2397">
        <v>-456.81290000000001</v>
      </c>
      <c r="K2397">
        <v>1.1094820000000001</v>
      </c>
      <c r="L2397">
        <v>213.4675</v>
      </c>
      <c r="M2397">
        <v>0.9998842</v>
      </c>
      <c r="N2397">
        <v>0</v>
      </c>
      <c r="O2397">
        <v>-1.3841269999999999E-2</v>
      </c>
      <c r="P2397">
        <v>0.99035550000000006</v>
      </c>
      <c r="Q2397">
        <v>0.13018199999999999</v>
      </c>
      <c r="R2397">
        <v>-4.7422010000000001E-2</v>
      </c>
      <c r="S2397">
        <v>3.0612789999999999</v>
      </c>
      <c r="T2397">
        <v>-0.2005391</v>
      </c>
      <c r="U2397">
        <v>0.1016846</v>
      </c>
      <c r="V2397">
        <v>3.3719619999999999E-2</v>
      </c>
      <c r="W2397">
        <v>0.13645460000000001</v>
      </c>
      <c r="X2397">
        <v>0.99007230000000002</v>
      </c>
      <c r="Y2397">
        <v>-4.6898740000000001E-2</v>
      </c>
      <c r="Z2397">
        <v>2.4396090000000001E-3</v>
      </c>
      <c r="AA2397">
        <v>0.99889669999999997</v>
      </c>
      <c r="AB2397">
        <v>24</v>
      </c>
      <c r="AC2397">
        <v>16.713099999999901</v>
      </c>
      <c r="AD2397">
        <v>-1.1094834581990001</v>
      </c>
      <c r="AE2397">
        <v>0.56569999999999199</v>
      </c>
      <c r="AF2397">
        <v>-0.79348818688489098</v>
      </c>
      <c r="AG2397">
        <v>-1.1094834581990001</v>
      </c>
      <c r="AH2397">
        <v>16.630464751911401</v>
      </c>
      <c r="AI2397">
        <v>93.812445854040106</v>
      </c>
      <c r="AJ2397">
        <v>92.731677817262593</v>
      </c>
      <c r="AK2397">
        <v>16.686309805086001</v>
      </c>
      <c r="AL2397">
        <v>82.157259345480497</v>
      </c>
      <c r="AM2397">
        <v>88.049389483092199</v>
      </c>
      <c r="AN2397">
        <v>1.00000001493069</v>
      </c>
    </row>
    <row r="2398" spans="1:40" x14ac:dyDescent="0.25">
      <c r="A2398" t="str">
        <f>"20190312164311588"</f>
        <v>20190312164311588</v>
      </c>
      <c r="B2398" t="str">
        <f>"1552380191576851"</f>
        <v>1552380191576851</v>
      </c>
      <c r="C2398" t="s">
        <v>40</v>
      </c>
      <c r="D2398">
        <v>4.9858880000000001</v>
      </c>
      <c r="E2398">
        <v>0.4733116</v>
      </c>
      <c r="F2398" t="s">
        <v>46</v>
      </c>
      <c r="G2398">
        <v>-440.05959999999999</v>
      </c>
      <c r="H2398" s="1">
        <v>-1.4789839999999999E-6</v>
      </c>
      <c r="I2398">
        <v>214.01929999999999</v>
      </c>
      <c r="J2398">
        <v>-456.56130000000002</v>
      </c>
      <c r="K2398">
        <v>1.109453</v>
      </c>
      <c r="L2398">
        <v>213.464</v>
      </c>
      <c r="M2398">
        <v>0.99988489999999997</v>
      </c>
      <c r="N2398">
        <v>0</v>
      </c>
      <c r="O2398">
        <v>-1.386368E-2</v>
      </c>
      <c r="P2398">
        <v>0.99059759999999997</v>
      </c>
      <c r="Q2398">
        <v>0.1285878</v>
      </c>
      <c r="R2398">
        <v>-4.6708819999999998E-2</v>
      </c>
      <c r="S2398">
        <v>3.0606990000000001</v>
      </c>
      <c r="T2398">
        <v>-0.20269390000000001</v>
      </c>
      <c r="U2398">
        <v>0.1008148</v>
      </c>
      <c r="V2398">
        <v>3.298077E-2</v>
      </c>
      <c r="W2398">
        <v>0.13470989999999999</v>
      </c>
      <c r="X2398">
        <v>0.99033610000000005</v>
      </c>
      <c r="Y2398">
        <v>-4.6641509999999997E-2</v>
      </c>
      <c r="Z2398">
        <v>2.459218E-3</v>
      </c>
      <c r="AA2398">
        <v>0.99890860000000004</v>
      </c>
      <c r="AB2398">
        <v>24</v>
      </c>
      <c r="AC2398">
        <v>16.5017</v>
      </c>
      <c r="AD2398">
        <v>-1.109454478984</v>
      </c>
      <c r="AE2398">
        <v>0.55529999999995905</v>
      </c>
      <c r="AF2398">
        <v>-0.78050120103352805</v>
      </c>
      <c r="AG2398">
        <v>-1.109454478984</v>
      </c>
      <c r="AH2398">
        <v>16.418284728661899</v>
      </c>
      <c r="AI2398">
        <v>93.861498834613002</v>
      </c>
      <c r="AJ2398">
        <v>92.721708372177503</v>
      </c>
      <c r="AK2398">
        <v>16.474226682826899</v>
      </c>
      <c r="AL2398">
        <v>82.2581551573479</v>
      </c>
      <c r="AM2398">
        <v>88.092606331570806</v>
      </c>
      <c r="AN2398">
        <v>1.0000000396555</v>
      </c>
    </row>
    <row r="2399" spans="1:40" x14ac:dyDescent="0.25">
      <c r="A2399" t="str">
        <f>"20190312164311611"</f>
        <v>20190312164311611</v>
      </c>
      <c r="B2399" t="str">
        <f>"1552380191607107"</f>
        <v>1552380191607107</v>
      </c>
      <c r="C2399" t="s">
        <v>40</v>
      </c>
      <c r="D2399">
        <v>4.8553050000000004</v>
      </c>
      <c r="E2399">
        <v>0.47381309999999899</v>
      </c>
      <c r="F2399" t="s">
        <v>46</v>
      </c>
      <c r="G2399">
        <v>-439.98349999999999</v>
      </c>
      <c r="H2399" s="1">
        <v>-1.5189279999999999E-6</v>
      </c>
      <c r="I2399">
        <v>214.00700000000001</v>
      </c>
      <c r="J2399">
        <v>-456.30399999999997</v>
      </c>
      <c r="K2399">
        <v>1.1094189999999999</v>
      </c>
      <c r="L2399">
        <v>213.46039999999999</v>
      </c>
      <c r="M2399">
        <v>0.99988540000000004</v>
      </c>
      <c r="N2399">
        <v>0</v>
      </c>
      <c r="O2399">
        <v>-1.388635E-2</v>
      </c>
      <c r="P2399">
        <v>0.99067879999999997</v>
      </c>
      <c r="Q2399">
        <v>0.1279777</v>
      </c>
      <c r="R2399">
        <v>-4.6659630000000001E-2</v>
      </c>
      <c r="S2399">
        <v>3.059723</v>
      </c>
      <c r="T2399">
        <v>-0.2047697</v>
      </c>
      <c r="U2399">
        <v>0.10021969999999999</v>
      </c>
      <c r="V2399">
        <v>3.2908109999999997E-2</v>
      </c>
      <c r="W2399">
        <v>0.1339534</v>
      </c>
      <c r="X2399">
        <v>0.99044109999999996</v>
      </c>
      <c r="Y2399">
        <v>-4.6478070000000003E-2</v>
      </c>
      <c r="Z2399">
        <v>2.481198E-3</v>
      </c>
      <c r="AA2399">
        <v>0.99891620000000003</v>
      </c>
      <c r="AB2399">
        <v>24</v>
      </c>
      <c r="AC2399">
        <v>16.320499999999999</v>
      </c>
      <c r="AD2399">
        <v>-1.109420518928</v>
      </c>
      <c r="AE2399">
        <v>0.54660000000001197</v>
      </c>
      <c r="AF2399">
        <v>-0.76963119484787401</v>
      </c>
      <c r="AG2399">
        <v>-1.109420518928</v>
      </c>
      <c r="AH2399">
        <v>16.236393405383701</v>
      </c>
      <c r="AI2399">
        <v>93.904531037385297</v>
      </c>
      <c r="AJ2399">
        <v>92.713880817993797</v>
      </c>
      <c r="AK2399">
        <v>16.2924404825763</v>
      </c>
      <c r="AL2399">
        <v>82.301895668521098</v>
      </c>
      <c r="AM2399">
        <v>88.097007036305598</v>
      </c>
      <c r="AN2399">
        <v>1.0000000148222701</v>
      </c>
    </row>
    <row r="2400" spans="1:40" x14ac:dyDescent="0.25">
      <c r="A2400" t="str">
        <f>"20190312164311636"</f>
        <v>20190312164311636</v>
      </c>
      <c r="B2400" t="str">
        <f>"1552380191626628"</f>
        <v>1552380191626628</v>
      </c>
      <c r="C2400" t="s">
        <v>40</v>
      </c>
      <c r="D2400">
        <v>4.8631630000000001</v>
      </c>
      <c r="E2400">
        <v>0.47408149999999899</v>
      </c>
      <c r="F2400" t="s">
        <v>47</v>
      </c>
      <c r="G2400">
        <v>-439.57709999999997</v>
      </c>
      <c r="H2400" s="1">
        <v>6.5190480000000002E-6</v>
      </c>
      <c r="I2400">
        <v>213.98699999999999</v>
      </c>
      <c r="J2400">
        <v>-456.03089999999997</v>
      </c>
      <c r="K2400">
        <v>1.109397</v>
      </c>
      <c r="L2400">
        <v>213.45660000000001</v>
      </c>
      <c r="M2400">
        <v>0.99988600000000005</v>
      </c>
      <c r="N2400">
        <v>0</v>
      </c>
      <c r="O2400">
        <v>-1.390986E-2</v>
      </c>
      <c r="P2400">
        <v>0.99065049999999999</v>
      </c>
      <c r="Q2400">
        <v>0.12797449999999999</v>
      </c>
      <c r="R2400">
        <v>-4.7267730000000001E-2</v>
      </c>
      <c r="S2400">
        <v>3.0589599999999999</v>
      </c>
      <c r="T2400">
        <v>-0.20288500000000001</v>
      </c>
      <c r="U2400">
        <v>9.6298220000000004E-2</v>
      </c>
      <c r="V2400">
        <v>3.349303E-2</v>
      </c>
      <c r="W2400">
        <v>0.1337989</v>
      </c>
      <c r="X2400">
        <v>0.9904423</v>
      </c>
      <c r="Y2400">
        <v>-4.5235459999999998E-2</v>
      </c>
      <c r="Z2400">
        <v>2.4194749999999999E-3</v>
      </c>
      <c r="AA2400">
        <v>0.99897340000000001</v>
      </c>
      <c r="AB2400">
        <v>25</v>
      </c>
      <c r="AC2400">
        <v>16.453800000000001</v>
      </c>
      <c r="AD2400">
        <v>-1.1093904809520001</v>
      </c>
      <c r="AE2400">
        <v>0.53039999999998599</v>
      </c>
      <c r="AF2400">
        <v>-0.75579037478338795</v>
      </c>
      <c r="AG2400">
        <v>-1.1093904809520001</v>
      </c>
      <c r="AH2400">
        <v>16.370485999220001</v>
      </c>
      <c r="AI2400">
        <v>93.872764108549504</v>
      </c>
      <c r="AJ2400">
        <v>92.643346762150301</v>
      </c>
      <c r="AK2400">
        <v>16.425430836982699</v>
      </c>
      <c r="AL2400">
        <v>82.310827691777504</v>
      </c>
      <c r="AM2400">
        <v>88.0632104696505</v>
      </c>
      <c r="AN2400">
        <v>0.999999939164538</v>
      </c>
    </row>
    <row r="2401" spans="1:40" x14ac:dyDescent="0.25">
      <c r="A2401" t="str">
        <f>"20190312164311659"</f>
        <v>20190312164311659</v>
      </c>
      <c r="B2401" t="str">
        <f>"1552380191647123"</f>
        <v>1552380191647123</v>
      </c>
      <c r="C2401" t="s">
        <v>40</v>
      </c>
      <c r="D2401">
        <v>4.959219</v>
      </c>
      <c r="E2401">
        <v>0.47424379999999999</v>
      </c>
      <c r="F2401" t="s">
        <v>47</v>
      </c>
      <c r="G2401">
        <v>-439.18490000000003</v>
      </c>
      <c r="H2401" s="1">
        <v>6.3469920000000002E-6</v>
      </c>
      <c r="I2401">
        <v>213.96549999999999</v>
      </c>
      <c r="J2401">
        <v>-455.78800000000001</v>
      </c>
      <c r="K2401">
        <v>1.1093729999999999</v>
      </c>
      <c r="L2401">
        <v>213.45320000000001</v>
      </c>
      <c r="M2401">
        <v>0.99988650000000001</v>
      </c>
      <c r="N2401">
        <v>0</v>
      </c>
      <c r="O2401">
        <v>-1.393058E-2</v>
      </c>
      <c r="P2401">
        <v>0.99064059999999998</v>
      </c>
      <c r="Q2401">
        <v>0.1278328</v>
      </c>
      <c r="R2401">
        <v>-4.7855700000000001E-2</v>
      </c>
      <c r="S2401">
        <v>3.0587460000000002</v>
      </c>
      <c r="T2401">
        <v>-0.20143269999999999</v>
      </c>
      <c r="U2401">
        <v>9.2407230000000007E-2</v>
      </c>
      <c r="V2401">
        <v>3.4060609999999998E-2</v>
      </c>
      <c r="W2401">
        <v>0.13352720000000001</v>
      </c>
      <c r="X2401">
        <v>0.99045970000000005</v>
      </c>
      <c r="Y2401">
        <v>-4.3993200000000003E-2</v>
      </c>
      <c r="Z2401">
        <v>2.362917E-3</v>
      </c>
      <c r="AA2401">
        <v>0.99902899999999994</v>
      </c>
      <c r="AB2401">
        <v>25</v>
      </c>
      <c r="AC2401">
        <v>16.603099999999898</v>
      </c>
      <c r="AD2401">
        <v>-1.109366653008</v>
      </c>
      <c r="AE2401">
        <v>0.51229999999998199</v>
      </c>
      <c r="AF2401">
        <v>-0.74024324278081099</v>
      </c>
      <c r="AG2401">
        <v>-1.109366653008</v>
      </c>
      <c r="AH2401">
        <v>16.5206659157517</v>
      </c>
      <c r="AI2401">
        <v>93.8378188708202</v>
      </c>
      <c r="AJ2401">
        <v>92.565542105981294</v>
      </c>
      <c r="AK2401">
        <v>16.5744096947423</v>
      </c>
      <c r="AL2401">
        <v>82.326536592800906</v>
      </c>
      <c r="AM2401">
        <v>88.030449431720498</v>
      </c>
      <c r="AN2401">
        <v>1.00000002780875</v>
      </c>
    </row>
    <row r="2402" spans="1:40" x14ac:dyDescent="0.25">
      <c r="A2402" t="str">
        <f>"20190312164311680"</f>
        <v>20190312164311680</v>
      </c>
      <c r="B2402" t="str">
        <f>"1552380191676403"</f>
        <v>1552380191676403</v>
      </c>
      <c r="C2402" t="s">
        <v>40</v>
      </c>
      <c r="D2402">
        <v>4.9612360000000004</v>
      </c>
      <c r="E2402">
        <v>0.47461690000000001</v>
      </c>
      <c r="F2402" t="s">
        <v>47</v>
      </c>
      <c r="G2402">
        <v>-438.88249999999999</v>
      </c>
      <c r="H2402" s="1">
        <v>6.2144899999999997E-6</v>
      </c>
      <c r="I2402">
        <v>213.94739999999999</v>
      </c>
      <c r="J2402">
        <v>-455.54</v>
      </c>
      <c r="K2402">
        <v>1.1093599999999999</v>
      </c>
      <c r="L2402">
        <v>213.44970000000001</v>
      </c>
      <c r="M2402">
        <v>0.99988690000000002</v>
      </c>
      <c r="N2402">
        <v>0</v>
      </c>
      <c r="O2402">
        <v>-1.395156E-2</v>
      </c>
      <c r="P2402">
        <v>0.99066659999999995</v>
      </c>
      <c r="Q2402">
        <v>0.1270347</v>
      </c>
      <c r="R2402">
        <v>-4.9417450000000002E-2</v>
      </c>
      <c r="S2402">
        <v>3.0585330000000002</v>
      </c>
      <c r="T2402">
        <v>-0.20070579999999999</v>
      </c>
      <c r="U2402">
        <v>8.9416499999999996E-2</v>
      </c>
      <c r="V2402">
        <v>3.5600859999999998E-2</v>
      </c>
      <c r="W2402">
        <v>0.13260279999999999</v>
      </c>
      <c r="X2402">
        <v>0.99052969999999896</v>
      </c>
      <c r="Y2402">
        <v>-4.3043089999999999E-2</v>
      </c>
      <c r="Z2402">
        <v>2.324844E-3</v>
      </c>
      <c r="AA2402">
        <v>0.99907049999999997</v>
      </c>
      <c r="AB2402">
        <v>25</v>
      </c>
      <c r="AC2402">
        <v>16.657499999999999</v>
      </c>
      <c r="AD2402">
        <v>-1.10935378551</v>
      </c>
      <c r="AE2402">
        <v>0.49769999999997999</v>
      </c>
      <c r="AF2402">
        <v>-0.72683250796359899</v>
      </c>
      <c r="AG2402">
        <v>-1.10935378551</v>
      </c>
      <c r="AH2402">
        <v>16.575483663756302</v>
      </c>
      <c r="AI2402">
        <v>93.825281620725704</v>
      </c>
      <c r="AJ2402">
        <v>92.510803019435897</v>
      </c>
      <c r="AK2402">
        <v>16.6284578359964</v>
      </c>
      <c r="AL2402">
        <v>82.379975858748494</v>
      </c>
      <c r="AM2402">
        <v>87.941604986578199</v>
      </c>
      <c r="AN2402">
        <v>1.00000000519133</v>
      </c>
    </row>
    <row r="2403" spans="1:40" x14ac:dyDescent="0.25">
      <c r="A2403" t="str">
        <f>"20190312164311700"</f>
        <v>20190312164311700</v>
      </c>
      <c r="B2403" t="str">
        <f>"1552380191696899"</f>
        <v>1552380191696899</v>
      </c>
      <c r="C2403" t="s">
        <v>40</v>
      </c>
      <c r="D2403">
        <v>4.9428330000000003</v>
      </c>
      <c r="E2403">
        <v>0.47494360000000002</v>
      </c>
      <c r="F2403" t="s">
        <v>47</v>
      </c>
      <c r="G2403">
        <v>-439.01490000000001</v>
      </c>
      <c r="H2403" s="1">
        <v>6.27805799999999E-6</v>
      </c>
      <c r="I2403">
        <v>213.89160000000001</v>
      </c>
      <c r="J2403">
        <v>-455.31360000000001</v>
      </c>
      <c r="K2403">
        <v>1.1093409999999999</v>
      </c>
      <c r="L2403">
        <v>213.44659999999999</v>
      </c>
      <c r="M2403">
        <v>0.99988730000000003</v>
      </c>
      <c r="N2403">
        <v>0</v>
      </c>
      <c r="O2403">
        <v>-1.397092E-2</v>
      </c>
      <c r="P2403">
        <v>0.99063970000000001</v>
      </c>
      <c r="Q2403">
        <v>0.1269023</v>
      </c>
      <c r="R2403">
        <v>-5.0284160000000001E-2</v>
      </c>
      <c r="S2403">
        <v>3.0586549999999999</v>
      </c>
      <c r="T2403">
        <v>-0.2053316</v>
      </c>
      <c r="U2403">
        <v>8.1787109999999996E-2</v>
      </c>
      <c r="V2403">
        <v>3.6448939999999999E-2</v>
      </c>
      <c r="W2403">
        <v>0.1323617</v>
      </c>
      <c r="X2403">
        <v>0.9905311</v>
      </c>
      <c r="Y2403">
        <v>-4.057086E-2</v>
      </c>
      <c r="Z2403">
        <v>2.296715E-3</v>
      </c>
      <c r="AA2403">
        <v>0.99917400000000001</v>
      </c>
      <c r="AB2403">
        <v>25</v>
      </c>
      <c r="AC2403">
        <v>16.298699999999901</v>
      </c>
      <c r="AD2403">
        <v>-1.109334721942</v>
      </c>
      <c r="AE2403">
        <v>0.44500000000002099</v>
      </c>
      <c r="AF2403">
        <v>-0.66956834750290295</v>
      </c>
      <c r="AG2403">
        <v>-1.109334721942</v>
      </c>
      <c r="AH2403">
        <v>16.215827545808398</v>
      </c>
      <c r="AI2403">
        <v>93.910220330370393</v>
      </c>
      <c r="AJ2403">
        <v>92.364459044436799</v>
      </c>
      <c r="AK2403">
        <v>16.267513894036799</v>
      </c>
      <c r="AL2403">
        <v>82.393912698417594</v>
      </c>
      <c r="AM2403">
        <v>87.892616787882304</v>
      </c>
      <c r="AN2403">
        <v>1.0000000024606099</v>
      </c>
    </row>
    <row r="2404" spans="1:40" x14ac:dyDescent="0.25">
      <c r="A2404" t="str">
        <f>"20190312164311723"</f>
        <v>20190312164311723</v>
      </c>
      <c r="B2404" t="str">
        <f>"1552380191716419"</f>
        <v>1552380191716419</v>
      </c>
      <c r="C2404" t="s">
        <v>40</v>
      </c>
      <c r="D2404">
        <v>5.0960549999999998</v>
      </c>
      <c r="E2404">
        <v>0.47515380000000002</v>
      </c>
      <c r="F2404" t="s">
        <v>47</v>
      </c>
      <c r="G2404">
        <v>-438.81099999999998</v>
      </c>
      <c r="H2404" s="1">
        <v>6.1904599999999899E-6</v>
      </c>
      <c r="I2404">
        <v>213.8596</v>
      </c>
      <c r="J2404">
        <v>-455.0659</v>
      </c>
      <c r="K2404">
        <v>1.109329</v>
      </c>
      <c r="L2404">
        <v>213.44309999999999</v>
      </c>
      <c r="M2404">
        <v>0.99988759999999999</v>
      </c>
      <c r="N2404">
        <v>0</v>
      </c>
      <c r="O2404">
        <v>-1.399184E-2</v>
      </c>
      <c r="P2404">
        <v>0.99056250000000001</v>
      </c>
      <c r="Q2404">
        <v>0.12718940000000001</v>
      </c>
      <c r="R2404">
        <v>-5.1076870000000003E-2</v>
      </c>
      <c r="S2404">
        <v>3.0585629999999999</v>
      </c>
      <c r="T2404">
        <v>-0.20560239999999999</v>
      </c>
      <c r="U2404">
        <v>7.6553339999999998E-2</v>
      </c>
      <c r="V2404">
        <v>3.7221730000000001E-2</v>
      </c>
      <c r="W2404">
        <v>0.1325385</v>
      </c>
      <c r="X2404">
        <v>0.99047870000000005</v>
      </c>
      <c r="Y2404">
        <v>-3.8887280000000003E-2</v>
      </c>
      <c r="Z2404">
        <v>2.2447439999999999E-3</v>
      </c>
      <c r="AA2404">
        <v>0.99924109999999999</v>
      </c>
      <c r="AB2404">
        <v>25</v>
      </c>
      <c r="AC2404">
        <v>16.254899999999999</v>
      </c>
      <c r="AD2404">
        <v>-1.1093228095400001</v>
      </c>
      <c r="AE2404">
        <v>0.41650000000001303</v>
      </c>
      <c r="AF2404">
        <v>-0.64091542039130001</v>
      </c>
      <c r="AG2404">
        <v>-1.1093228095400001</v>
      </c>
      <c r="AH2404">
        <v>16.172209388013901</v>
      </c>
      <c r="AI2404">
        <v>93.9209539392957</v>
      </c>
      <c r="AJ2404">
        <v>92.269482226969998</v>
      </c>
      <c r="AK2404">
        <v>16.2228766302905</v>
      </c>
      <c r="AL2404">
        <v>82.383692615789101</v>
      </c>
      <c r="AM2404">
        <v>87.847863905449699</v>
      </c>
      <c r="AN2404">
        <v>0.999999983160066</v>
      </c>
    </row>
    <row r="2405" spans="1:40" x14ac:dyDescent="0.25">
      <c r="A2405" t="str">
        <f>"20190312164311743"</f>
        <v>20190312164311743</v>
      </c>
      <c r="B2405" t="str">
        <f>"1552380191736915"</f>
        <v>1552380191736915</v>
      </c>
      <c r="C2405" t="s">
        <v>40</v>
      </c>
      <c r="D2405">
        <v>4.8094720000000004</v>
      </c>
      <c r="E2405">
        <v>0.4753269</v>
      </c>
      <c r="F2405" t="s">
        <v>47</v>
      </c>
      <c r="G2405">
        <v>-438.4873</v>
      </c>
      <c r="H2405" s="1">
        <v>6.0493410000000003E-6</v>
      </c>
      <c r="I2405">
        <v>213.83199999999999</v>
      </c>
      <c r="J2405">
        <v>-454.81990000000002</v>
      </c>
      <c r="K2405">
        <v>1.109318</v>
      </c>
      <c r="L2405">
        <v>213.43960000000001</v>
      </c>
      <c r="M2405">
        <v>0.99988790000000005</v>
      </c>
      <c r="N2405">
        <v>0</v>
      </c>
      <c r="O2405">
        <v>-1.401326E-2</v>
      </c>
      <c r="P2405">
        <v>0.99054390000000003</v>
      </c>
      <c r="Q2405">
        <v>0.12708</v>
      </c>
      <c r="R2405">
        <v>-5.1708999999999998E-2</v>
      </c>
      <c r="S2405">
        <v>3.0585330000000002</v>
      </c>
      <c r="T2405">
        <v>-0.2046558</v>
      </c>
      <c r="U2405">
        <v>7.1746829999999998E-2</v>
      </c>
      <c r="V2405">
        <v>3.7832829999999998E-2</v>
      </c>
      <c r="W2405">
        <v>0.13232629999999901</v>
      </c>
      <c r="X2405">
        <v>0.99048389999999997</v>
      </c>
      <c r="Y2405">
        <v>-3.7343979999999999E-2</v>
      </c>
      <c r="Z2405">
        <v>2.1843560000000001E-3</v>
      </c>
      <c r="AA2405">
        <v>0.99930010000000002</v>
      </c>
      <c r="AB2405">
        <v>25</v>
      </c>
      <c r="AC2405">
        <v>16.332599999999999</v>
      </c>
      <c r="AD2405">
        <v>-1.1093119506589999</v>
      </c>
      <c r="AE2405">
        <v>0.39239999999997999</v>
      </c>
      <c r="AF2405">
        <v>-0.61838656374502698</v>
      </c>
      <c r="AG2405">
        <v>-1.1093119506589999</v>
      </c>
      <c r="AH2405">
        <v>16.250574424756898</v>
      </c>
      <c r="AI2405">
        <v>93.902304417794497</v>
      </c>
      <c r="AJ2405">
        <v>92.179237006582795</v>
      </c>
      <c r="AK2405">
        <v>16.3001271185429</v>
      </c>
      <c r="AL2405">
        <v>82.395958677402305</v>
      </c>
      <c r="AM2405">
        <v>87.812576022568095</v>
      </c>
      <c r="AN2405">
        <v>0.99999996442835304</v>
      </c>
    </row>
    <row r="2406" spans="1:40" x14ac:dyDescent="0.25">
      <c r="A2406" t="str">
        <f>"20190312164311766"</f>
        <v>20190312164311766</v>
      </c>
      <c r="B2406" t="str">
        <f>"1552380191756436"</f>
        <v>1552380191756436</v>
      </c>
      <c r="C2406" t="s">
        <v>40</v>
      </c>
      <c r="D2406">
        <v>4.8179100000000004</v>
      </c>
      <c r="E2406">
        <v>0.47526689999999999</v>
      </c>
      <c r="F2406" t="s">
        <v>47</v>
      </c>
      <c r="G2406">
        <v>-438.17770000000002</v>
      </c>
      <c r="H2406" s="1">
        <v>5.9140249999999997E-6</v>
      </c>
      <c r="I2406">
        <v>213.80940000000001</v>
      </c>
      <c r="J2406">
        <v>-454.56790000000001</v>
      </c>
      <c r="K2406">
        <v>1.109302</v>
      </c>
      <c r="L2406">
        <v>213.43610000000001</v>
      </c>
      <c r="M2406">
        <v>0.999888</v>
      </c>
      <c r="N2406">
        <v>0</v>
      </c>
      <c r="O2406">
        <v>-1.403458E-2</v>
      </c>
      <c r="P2406">
        <v>0.99053650000000004</v>
      </c>
      <c r="Q2406">
        <v>0.12688279999999999</v>
      </c>
      <c r="R2406">
        <v>-5.2326940000000002E-2</v>
      </c>
      <c r="S2406">
        <v>3.0583499999999999</v>
      </c>
      <c r="T2406">
        <v>-0.20385980000000001</v>
      </c>
      <c r="U2406">
        <v>6.7947389999999996E-2</v>
      </c>
      <c r="V2406">
        <v>3.8429770000000002E-2</v>
      </c>
      <c r="W2406">
        <v>0.13203280000000001</v>
      </c>
      <c r="X2406">
        <v>0.99050020000000005</v>
      </c>
      <c r="Y2406">
        <v>-3.6129370000000001E-2</v>
      </c>
      <c r="Z2406">
        <v>2.1370260000000002E-3</v>
      </c>
      <c r="AA2406">
        <v>0.99934480000000003</v>
      </c>
      <c r="AB2406">
        <v>25</v>
      </c>
      <c r="AC2406">
        <v>16.390199999999901</v>
      </c>
      <c r="AD2406">
        <v>-1.1092960859750001</v>
      </c>
      <c r="AE2406">
        <v>0.37330000000000002</v>
      </c>
      <c r="AF2406">
        <v>-0.60054645079404101</v>
      </c>
      <c r="AG2406">
        <v>-1.1092960859750001</v>
      </c>
      <c r="AH2406">
        <v>16.3086809978684</v>
      </c>
      <c r="AI2406">
        <v>93.888566284325904</v>
      </c>
      <c r="AJ2406">
        <v>92.108891397128701</v>
      </c>
      <c r="AK2406">
        <v>16.357391898959801</v>
      </c>
      <c r="AL2406">
        <v>82.412924703275607</v>
      </c>
      <c r="AM2406">
        <v>87.778132911937604</v>
      </c>
      <c r="AN2406">
        <v>1.00000007684906</v>
      </c>
    </row>
    <row r="2407" spans="1:40" x14ac:dyDescent="0.25">
      <c r="A2407" t="str">
        <f>"20190312164311788"</f>
        <v>20190312164311788</v>
      </c>
      <c r="B2407" t="str">
        <f>"1552380191776932"</f>
        <v>1552380191776932</v>
      </c>
      <c r="C2407" t="s">
        <v>40</v>
      </c>
      <c r="D2407">
        <v>4.7894690000000004</v>
      </c>
      <c r="E2407">
        <v>0.46690989999999999</v>
      </c>
      <c r="F2407" t="s">
        <v>47</v>
      </c>
      <c r="G2407">
        <v>-438.02870000000001</v>
      </c>
      <c r="H2407" s="1">
        <v>5.8491319999999997E-6</v>
      </c>
      <c r="I2407">
        <v>213.79589999999999</v>
      </c>
      <c r="J2407">
        <v>-454.31380000000001</v>
      </c>
      <c r="K2407">
        <v>1.1092759999999999</v>
      </c>
      <c r="L2407">
        <v>213.4325</v>
      </c>
      <c r="M2407">
        <v>0.99988809999999995</v>
      </c>
      <c r="N2407">
        <v>0</v>
      </c>
      <c r="O2407">
        <v>-1.4056290000000001E-2</v>
      </c>
      <c r="P2407">
        <v>0.99061630000000001</v>
      </c>
      <c r="Q2407">
        <v>0.12620490000000001</v>
      </c>
      <c r="R2407">
        <v>-5.2461109999999998E-2</v>
      </c>
      <c r="S2407">
        <v>3.0584720000000001</v>
      </c>
      <c r="T2407">
        <v>-0.20513419999999999</v>
      </c>
      <c r="U2407">
        <v>6.6543580000000005E-2</v>
      </c>
      <c r="V2407">
        <v>3.854105E-2</v>
      </c>
      <c r="W2407">
        <v>0.13126750000000001</v>
      </c>
      <c r="X2407">
        <v>0.99059750000000002</v>
      </c>
      <c r="Y2407">
        <v>-3.5691260000000002E-2</v>
      </c>
      <c r="Z2407">
        <v>2.1370590000000002E-3</v>
      </c>
      <c r="AA2407">
        <v>0.99936060000000004</v>
      </c>
      <c r="AB2407">
        <v>26</v>
      </c>
      <c r="AC2407">
        <v>16.2851</v>
      </c>
      <c r="AD2407">
        <v>-1.1092701508679901</v>
      </c>
      <c r="AE2407">
        <v>0.36339999999998401</v>
      </c>
      <c r="AF2407">
        <v>-0.58954122752634996</v>
      </c>
      <c r="AG2407">
        <v>-1.1092701508679901</v>
      </c>
      <c r="AH2407">
        <v>16.2032415196268</v>
      </c>
      <c r="AI2407">
        <v>93.913763468168298</v>
      </c>
      <c r="AJ2407">
        <v>92.083739274892906</v>
      </c>
      <c r="AK2407">
        <v>16.251863735274199</v>
      </c>
      <c r="AL2407">
        <v>82.457157484671399</v>
      </c>
      <c r="AM2407">
        <v>87.771924240693096</v>
      </c>
      <c r="AN2407">
        <v>0.99999998804880097</v>
      </c>
    </row>
    <row r="2408" spans="1:40" x14ac:dyDescent="0.25">
      <c r="A2408" t="str">
        <f>"20190312164311812"</f>
        <v>20190312164311812</v>
      </c>
      <c r="B2408" t="str">
        <f>"1552380191807187"</f>
        <v>1552380191807187</v>
      </c>
      <c r="C2408" t="s">
        <v>40</v>
      </c>
      <c r="D2408">
        <v>4.7429709999999998</v>
      </c>
      <c r="E2408">
        <v>0.4675107</v>
      </c>
      <c r="F2408" t="s">
        <v>47</v>
      </c>
      <c r="G2408">
        <v>-438.31130000000002</v>
      </c>
      <c r="H2408" s="1">
        <v>5.9453749999999998E-6</v>
      </c>
      <c r="I2408">
        <v>214.12809999999999</v>
      </c>
      <c r="J2408">
        <v>-454.0444</v>
      </c>
      <c r="K2408">
        <v>1.1092599999999999</v>
      </c>
      <c r="L2408">
        <v>213.42869999999999</v>
      </c>
      <c r="M2408">
        <v>0.99988829999999995</v>
      </c>
      <c r="N2408">
        <v>0</v>
      </c>
      <c r="O2408">
        <v>-1.4079319999999999E-2</v>
      </c>
      <c r="P2408">
        <v>0.99068809999999996</v>
      </c>
      <c r="Q2408">
        <v>0.12599569999999999</v>
      </c>
      <c r="R2408">
        <v>-5.1601040000000001E-2</v>
      </c>
      <c r="S2408">
        <v>3.0625</v>
      </c>
      <c r="T2408">
        <v>-0.21228720000000001</v>
      </c>
      <c r="U2408">
        <v>0.1331329</v>
      </c>
      <c r="V2408">
        <v>3.7657309999999999E-2</v>
      </c>
      <c r="W2408">
        <v>0.13097819999999999</v>
      </c>
      <c r="X2408">
        <v>0.99066980000000004</v>
      </c>
      <c r="Y2408">
        <v>-5.7321839999999999E-2</v>
      </c>
      <c r="Z2408">
        <v>2.9578E-3</v>
      </c>
      <c r="AA2408">
        <v>0.9983514</v>
      </c>
      <c r="AB2408">
        <v>26</v>
      </c>
      <c r="AC2408">
        <v>15.733099999999901</v>
      </c>
      <c r="AD2408">
        <v>-1.109254054625</v>
      </c>
      <c r="AE2408">
        <v>0.69939999999999702</v>
      </c>
      <c r="AF2408">
        <v>-0.91629898023796996</v>
      </c>
      <c r="AG2408">
        <v>-1.109254054625</v>
      </c>
      <c r="AH2408">
        <v>15.6440818087269</v>
      </c>
      <c r="AI2408">
        <v>94.048891492049194</v>
      </c>
      <c r="AJ2408">
        <v>93.352076018687796</v>
      </c>
      <c r="AK2408">
        <v>15.7101032465425</v>
      </c>
      <c r="AL2408">
        <v>82.473877657903003</v>
      </c>
      <c r="AM2408">
        <v>87.823122649653499</v>
      </c>
      <c r="AN2408">
        <v>1.00000000725185</v>
      </c>
    </row>
    <row r="2409" spans="1:40" x14ac:dyDescent="0.25">
      <c r="A2409" t="str">
        <f>"20190312164311834"</f>
        <v>20190312164311834</v>
      </c>
      <c r="B2409" t="str">
        <f>"1552380191826708"</f>
        <v>1552380191826708</v>
      </c>
      <c r="C2409" t="s">
        <v>40</v>
      </c>
      <c r="D2409">
        <v>4.9488440000000002</v>
      </c>
      <c r="E2409">
        <v>0.4669893</v>
      </c>
      <c r="F2409" t="s">
        <v>47</v>
      </c>
      <c r="G2409">
        <v>-439.2747</v>
      </c>
      <c r="H2409" s="1">
        <v>6.3783399999999998E-6</v>
      </c>
      <c r="I2409">
        <v>214.06280000000001</v>
      </c>
      <c r="J2409">
        <v>-453.78219999999999</v>
      </c>
      <c r="K2409">
        <v>1.1092439999999999</v>
      </c>
      <c r="L2409">
        <v>213.42500000000001</v>
      </c>
      <c r="M2409">
        <v>0.99988840000000001</v>
      </c>
      <c r="N2409">
        <v>0</v>
      </c>
      <c r="O2409">
        <v>-1.4101209999999999E-2</v>
      </c>
      <c r="P2409">
        <v>0.9907475</v>
      </c>
      <c r="Q2409">
        <v>0.1255146</v>
      </c>
      <c r="R2409">
        <v>-5.16316E-2</v>
      </c>
      <c r="S2409">
        <v>3.064362</v>
      </c>
      <c r="T2409">
        <v>-0.2301444</v>
      </c>
      <c r="U2409">
        <v>0.13157650000000001</v>
      </c>
      <c r="V2409">
        <v>3.7665490000000003E-2</v>
      </c>
      <c r="W2409">
        <v>0.13042980000000001</v>
      </c>
      <c r="X2409">
        <v>0.99074180000000001</v>
      </c>
      <c r="Y2409">
        <v>-5.6782979999999997E-2</v>
      </c>
      <c r="Z2409">
        <v>3.1854689999999998E-3</v>
      </c>
      <c r="AA2409">
        <v>0.99838139999999997</v>
      </c>
      <c r="AB2409">
        <v>26</v>
      </c>
      <c r="AC2409">
        <v>14.507499999999901</v>
      </c>
      <c r="AD2409">
        <v>-1.10923762166</v>
      </c>
      <c r="AE2409">
        <v>0.63779999999999804</v>
      </c>
      <c r="AF2409">
        <v>-0.83742616988987195</v>
      </c>
      <c r="AG2409">
        <v>-1.10923762166</v>
      </c>
      <c r="AH2409">
        <v>14.4129669910032</v>
      </c>
      <c r="AI2409">
        <v>94.393489813017794</v>
      </c>
      <c r="AJ2409">
        <v>93.325276587838303</v>
      </c>
      <c r="AK2409">
        <v>14.479824176248499</v>
      </c>
      <c r="AL2409">
        <v>82.5055702476497</v>
      </c>
      <c r="AM2409">
        <v>87.822808320723695</v>
      </c>
      <c r="AN2409">
        <v>0.99999996806610902</v>
      </c>
    </row>
    <row r="2410" spans="1:40" x14ac:dyDescent="0.25">
      <c r="A2410" t="str">
        <f>"20190312164311857"</f>
        <v>20190312164311857</v>
      </c>
      <c r="B2410" t="str">
        <f>"1552380191847203"</f>
        <v>1552380191847203</v>
      </c>
      <c r="C2410" t="s">
        <v>40</v>
      </c>
      <c r="D2410">
        <v>4.8253069999999996</v>
      </c>
      <c r="E2410">
        <v>0.46675670000000002</v>
      </c>
      <c r="F2410" t="s">
        <v>47</v>
      </c>
      <c r="G2410">
        <v>-438.65629999999999</v>
      </c>
      <c r="H2410" s="1">
        <v>6.1014749999999999E-6</v>
      </c>
      <c r="I2410">
        <v>214.0924</v>
      </c>
      <c r="J2410">
        <v>-453.50810000000001</v>
      </c>
      <c r="K2410">
        <v>1.109237</v>
      </c>
      <c r="L2410">
        <v>213.4211</v>
      </c>
      <c r="M2410">
        <v>0.99988840000000001</v>
      </c>
      <c r="N2410">
        <v>0</v>
      </c>
      <c r="O2410">
        <v>-1.4123709999999999E-2</v>
      </c>
      <c r="P2410">
        <v>0.9908264</v>
      </c>
      <c r="Q2410">
        <v>0.12514459999999999</v>
      </c>
      <c r="R2410">
        <v>-5.1014509999999999E-2</v>
      </c>
      <c r="S2410">
        <v>3.0635379999999999</v>
      </c>
      <c r="T2410">
        <v>-0.2246602</v>
      </c>
      <c r="U2410">
        <v>0.13517760000000001</v>
      </c>
      <c r="V2410">
        <v>3.7024649999999999E-2</v>
      </c>
      <c r="W2410">
        <v>0.12999959999999999</v>
      </c>
      <c r="X2410">
        <v>0.9908226</v>
      </c>
      <c r="Y2410">
        <v>-5.7994219999999999E-2</v>
      </c>
      <c r="Z2410">
        <v>3.1565009999999999E-3</v>
      </c>
      <c r="AA2410">
        <v>0.99831190000000003</v>
      </c>
      <c r="AB2410">
        <v>26</v>
      </c>
      <c r="AC2410">
        <v>14.851800000000001</v>
      </c>
      <c r="AD2410">
        <v>-1.1092308985249999</v>
      </c>
      <c r="AE2410">
        <v>0.67130000000000201</v>
      </c>
      <c r="AF2410">
        <v>-0.87612092299205002</v>
      </c>
      <c r="AG2410">
        <v>-1.1092308985249999</v>
      </c>
      <c r="AH2410">
        <v>14.7586797848173</v>
      </c>
      <c r="AI2410">
        <v>94.2906226670883</v>
      </c>
      <c r="AJ2410">
        <v>93.397267963863399</v>
      </c>
      <c r="AK2410">
        <v>14.8262136113278</v>
      </c>
      <c r="AL2410">
        <v>82.530431344098304</v>
      </c>
      <c r="AM2410">
        <v>87.859990644537007</v>
      </c>
      <c r="AN2410">
        <v>1.0000000726892599</v>
      </c>
    </row>
    <row r="2411" spans="1:40" x14ac:dyDescent="0.25">
      <c r="A2411" t="str">
        <f>"20190312164311900"</f>
        <v>20190312164311900</v>
      </c>
      <c r="B2411" t="str">
        <f>"1552380191896979"</f>
        <v>1552380191896979</v>
      </c>
      <c r="C2411" t="s">
        <v>40</v>
      </c>
      <c r="D2411">
        <v>4.8877600000000001</v>
      </c>
      <c r="E2411">
        <v>0.46614929999999899</v>
      </c>
      <c r="F2411" t="s">
        <v>47</v>
      </c>
      <c r="G2411">
        <v>-438.49770000000001</v>
      </c>
      <c r="H2411" s="1">
        <v>6.0302299999999999E-6</v>
      </c>
      <c r="I2411">
        <v>214.10329999999999</v>
      </c>
      <c r="J2411">
        <v>-453.00790000000001</v>
      </c>
      <c r="K2411">
        <v>1.109216</v>
      </c>
      <c r="L2411">
        <v>213.41399999999999</v>
      </c>
      <c r="M2411">
        <v>0.9998882</v>
      </c>
      <c r="N2411">
        <v>0</v>
      </c>
      <c r="O2411">
        <v>-1.416414E-2</v>
      </c>
      <c r="P2411">
        <v>0.99094470000000001</v>
      </c>
      <c r="Q2411">
        <v>0.12377920000000001</v>
      </c>
      <c r="R2411">
        <v>-5.2035699999999997E-2</v>
      </c>
      <c r="S2411">
        <v>3.0635680000000001</v>
      </c>
      <c r="T2411">
        <v>-0.22639010000000001</v>
      </c>
      <c r="U2411">
        <v>0.13923650000000001</v>
      </c>
      <c r="V2411">
        <v>3.8003990000000001E-2</v>
      </c>
      <c r="W2411">
        <v>0.12854839999999901</v>
      </c>
      <c r="X2411">
        <v>0.99097480000000004</v>
      </c>
      <c r="Y2411">
        <v>-5.9347339999999998E-2</v>
      </c>
      <c r="Z2411">
        <v>3.2335039999999999E-3</v>
      </c>
      <c r="AA2411">
        <v>0.99823220000000001</v>
      </c>
      <c r="AB2411">
        <v>26</v>
      </c>
      <c r="AC2411">
        <v>14.5101999999999</v>
      </c>
      <c r="AD2411">
        <v>-1.10920996977</v>
      </c>
      <c r="AE2411">
        <v>0.68929999999997404</v>
      </c>
      <c r="AF2411">
        <v>-0.88957111812812595</v>
      </c>
      <c r="AG2411">
        <v>-1.10920996977</v>
      </c>
      <c r="AH2411">
        <v>14.414935399271</v>
      </c>
      <c r="AI2411">
        <v>94.391840471356602</v>
      </c>
      <c r="AJ2411">
        <v>93.531345416073094</v>
      </c>
      <c r="AK2411">
        <v>14.4848902687042</v>
      </c>
      <c r="AL2411">
        <v>82.614282224916707</v>
      </c>
      <c r="AM2411">
        <v>87.803776965020603</v>
      </c>
      <c r="AN2411">
        <v>1.0000000243167599</v>
      </c>
    </row>
    <row r="2412" spans="1:40" x14ac:dyDescent="0.25">
      <c r="A2412" t="str">
        <f>"20190312164311922"</f>
        <v>20190312164311922</v>
      </c>
      <c r="B2412" t="str">
        <f>"1552380191916499"</f>
        <v>1552380191916499</v>
      </c>
      <c r="C2412" t="s">
        <v>40</v>
      </c>
      <c r="D2412">
        <v>4.8762449999999999</v>
      </c>
      <c r="E2412">
        <v>0.46652300000000002</v>
      </c>
      <c r="F2412" t="s">
        <v>47</v>
      </c>
      <c r="G2412">
        <v>-438.82420000000002</v>
      </c>
      <c r="H2412" s="1">
        <v>6.1780939999999996E-6</v>
      </c>
      <c r="I2412">
        <v>214.06819999999999</v>
      </c>
      <c r="J2412">
        <v>-452.75700000000001</v>
      </c>
      <c r="K2412">
        <v>1.10921</v>
      </c>
      <c r="L2412">
        <v>213.41040000000001</v>
      </c>
      <c r="M2412">
        <v>0.99988809999999995</v>
      </c>
      <c r="N2412">
        <v>0</v>
      </c>
      <c r="O2412">
        <v>-1.4183609999999999E-2</v>
      </c>
      <c r="P2412">
        <v>0.99099230000000005</v>
      </c>
      <c r="Q2412">
        <v>0.1233384</v>
      </c>
      <c r="R2412">
        <v>-5.2172259999999998E-2</v>
      </c>
      <c r="S2412">
        <v>3.0647890000000002</v>
      </c>
      <c r="T2412">
        <v>-0.23967720000000001</v>
      </c>
      <c r="U2412">
        <v>0.14135739999999999</v>
      </c>
      <c r="V2412">
        <v>3.8120550000000003E-2</v>
      </c>
      <c r="W2412">
        <v>0.1280741</v>
      </c>
      <c r="X2412">
        <v>0.99103169999999996</v>
      </c>
      <c r="Y2412">
        <v>-6.0012049999999997E-2</v>
      </c>
      <c r="Z2412">
        <v>3.4487670000000002E-3</v>
      </c>
      <c r="AA2412">
        <v>0.99819170000000002</v>
      </c>
      <c r="AB2412">
        <v>26</v>
      </c>
      <c r="AC2412">
        <v>13.932799999999901</v>
      </c>
      <c r="AD2412">
        <v>-1.1092038219059901</v>
      </c>
      <c r="AE2412">
        <v>0.65779999999997996</v>
      </c>
      <c r="AF2412">
        <v>-0.84997836130998405</v>
      </c>
      <c r="AG2412">
        <v>-1.1092038219059901</v>
      </c>
      <c r="AH2412">
        <v>13.834581061628</v>
      </c>
      <c r="AI2412">
        <v>94.575360667930397</v>
      </c>
      <c r="AJ2412">
        <v>93.515757695205394</v>
      </c>
      <c r="AK2412">
        <v>13.9049785862468</v>
      </c>
      <c r="AL2412">
        <v>82.641683871073297</v>
      </c>
      <c r="AM2412">
        <v>87.797174031236906</v>
      </c>
      <c r="AN2412">
        <v>0.99999999091400105</v>
      </c>
    </row>
    <row r="2413" spans="1:40" x14ac:dyDescent="0.25">
      <c r="A2413" t="str">
        <f>"20190312164311944"</f>
        <v>20190312164311944</v>
      </c>
      <c r="B2413" t="str">
        <f>"1552380191936996"</f>
        <v>1552380191936996</v>
      </c>
      <c r="C2413" t="s">
        <v>40</v>
      </c>
      <c r="D2413">
        <v>4.7792949999999896</v>
      </c>
      <c r="E2413">
        <v>0.47967949999999998</v>
      </c>
      <c r="F2413" t="s">
        <v>47</v>
      </c>
      <c r="G2413">
        <v>-438.73009999999999</v>
      </c>
      <c r="H2413" s="1">
        <v>6.1385270000000003E-6</v>
      </c>
      <c r="I2413">
        <v>214.04310000000001</v>
      </c>
      <c r="J2413">
        <v>-452.4735</v>
      </c>
      <c r="K2413">
        <v>1.1092029999999999</v>
      </c>
      <c r="L2413">
        <v>213.40629999999999</v>
      </c>
      <c r="M2413">
        <v>0.99988790000000005</v>
      </c>
      <c r="N2413">
        <v>0</v>
      </c>
      <c r="O2413">
        <v>-1.420594E-2</v>
      </c>
      <c r="P2413">
        <v>0.99098889999999995</v>
      </c>
      <c r="Q2413">
        <v>0.1232618</v>
      </c>
      <c r="R2413">
        <v>-5.2416190000000001E-2</v>
      </c>
      <c r="S2413">
        <v>3.0646969999999998</v>
      </c>
      <c r="T2413">
        <v>-0.24234559999999999</v>
      </c>
      <c r="U2413">
        <v>0.1382446</v>
      </c>
      <c r="V2413">
        <v>3.8342460000000002E-2</v>
      </c>
      <c r="W2413">
        <v>0.1279621</v>
      </c>
      <c r="X2413">
        <v>0.99103759999999996</v>
      </c>
      <c r="Y2413">
        <v>-5.9021869999999997E-2</v>
      </c>
      <c r="Z2413">
        <v>3.4499180000000002E-3</v>
      </c>
      <c r="AA2413">
        <v>0.99825070000000005</v>
      </c>
      <c r="AB2413">
        <v>26</v>
      </c>
      <c r="AC2413">
        <v>13.743399999999999</v>
      </c>
      <c r="AD2413">
        <v>-1.1091968614729999</v>
      </c>
      <c r="AE2413">
        <v>0.63680000000002202</v>
      </c>
      <c r="AF2413">
        <v>-0.82660311587087099</v>
      </c>
      <c r="AG2413">
        <v>-1.1091968614729999</v>
      </c>
      <c r="AH2413">
        <v>13.6442820924996</v>
      </c>
      <c r="AI2413">
        <v>94.6391087652095</v>
      </c>
      <c r="AJ2413">
        <v>93.466877563002697</v>
      </c>
      <c r="AK2413">
        <v>13.7142270729478</v>
      </c>
      <c r="AL2413">
        <v>82.648154186185806</v>
      </c>
      <c r="AM2413">
        <v>87.784376707659007</v>
      </c>
      <c r="AN2413">
        <v>0.99999998394450995</v>
      </c>
    </row>
    <row r="2414" spans="1:40" x14ac:dyDescent="0.25">
      <c r="A2414" t="str">
        <f>"20190312164311967"</f>
        <v>20190312164311967</v>
      </c>
      <c r="B2414" t="str">
        <f>"1552380191956516"</f>
        <v>1552380191956516</v>
      </c>
      <c r="C2414" t="s">
        <v>40</v>
      </c>
      <c r="D2414">
        <v>5.0362660000000004</v>
      </c>
      <c r="E2414">
        <v>0.4867358</v>
      </c>
      <c r="F2414" t="s">
        <v>41</v>
      </c>
      <c r="G2414">
        <v>-451.54669999999999</v>
      </c>
      <c r="H2414">
        <v>1.036203</v>
      </c>
      <c r="I2414">
        <v>213.41560000000001</v>
      </c>
      <c r="J2414">
        <v>-452.209</v>
      </c>
      <c r="K2414">
        <v>1.109197</v>
      </c>
      <c r="L2414">
        <v>213.4025</v>
      </c>
      <c r="M2414">
        <v>0.99988779999999999</v>
      </c>
      <c r="N2414">
        <v>0</v>
      </c>
      <c r="O2414">
        <v>-1.422696E-2</v>
      </c>
      <c r="P2414">
        <v>0.9910523</v>
      </c>
      <c r="Q2414">
        <v>0.1227525</v>
      </c>
      <c r="R2414">
        <v>-5.241316E-2</v>
      </c>
      <c r="S2414">
        <v>3.0589599999999999</v>
      </c>
      <c r="T2414">
        <v>-0.24109939999999999</v>
      </c>
      <c r="U2414">
        <v>3.2348630000000003E-2</v>
      </c>
      <c r="V2414">
        <v>3.8317730000000001E-2</v>
      </c>
      <c r="W2414">
        <v>0.12742149999999999</v>
      </c>
      <c r="X2414">
        <v>0.99110819999999999</v>
      </c>
      <c r="Y2414">
        <v>-2.4679059999999999E-2</v>
      </c>
      <c r="Z2414">
        <v>2.0906079999999999E-3</v>
      </c>
      <c r="AA2414">
        <v>0.99969319999999895</v>
      </c>
      <c r="AB2414">
        <v>27</v>
      </c>
      <c r="AC2414">
        <v>0.66230000000001599</v>
      </c>
      <c r="AD2414">
        <v>-7.2994000000000003E-2</v>
      </c>
      <c r="AE2414">
        <v>1.3100000000008501E-2</v>
      </c>
      <c r="AF2414">
        <v>-2.22511173123572E-2</v>
      </c>
      <c r="AG2414">
        <v>-7.2994000000000003E-2</v>
      </c>
      <c r="AH2414">
        <v>0.65410437158972501</v>
      </c>
      <c r="AI2414">
        <v>96.363858872025105</v>
      </c>
      <c r="AJ2414">
        <v>91.948318551531599</v>
      </c>
      <c r="AK2414">
        <v>0.65854063290767195</v>
      </c>
      <c r="AL2414">
        <v>82.679383874060804</v>
      </c>
      <c r="AM2414">
        <v>87.785961878339506</v>
      </c>
      <c r="AN2414">
        <v>0.99999997560092102</v>
      </c>
    </row>
    <row r="2415" spans="1:40" x14ac:dyDescent="0.25">
      <c r="A2415" t="str">
        <f>"20190312164311992"</f>
        <v>20190312164311992</v>
      </c>
      <c r="B2415" t="str">
        <f>"1552380191986772"</f>
        <v>1552380191986772</v>
      </c>
      <c r="C2415" t="s">
        <v>40</v>
      </c>
      <c r="D2415">
        <v>4.8122449999999999</v>
      </c>
      <c r="E2415">
        <v>0.4900098</v>
      </c>
      <c r="F2415" t="s">
        <v>41</v>
      </c>
      <c r="G2415">
        <v>-451.3039</v>
      </c>
      <c r="H2415">
        <v>1.04512</v>
      </c>
      <c r="I2415">
        <v>213.39510000000001</v>
      </c>
      <c r="J2415">
        <v>-451.91219999999998</v>
      </c>
      <c r="K2415">
        <v>1.1091839999999999</v>
      </c>
      <c r="L2415">
        <v>213.39830000000001</v>
      </c>
      <c r="M2415">
        <v>0.99988750000000004</v>
      </c>
      <c r="N2415">
        <v>0</v>
      </c>
      <c r="O2415">
        <v>-1.425002E-2</v>
      </c>
      <c r="P2415">
        <v>0.99103680000000005</v>
      </c>
      <c r="Q2415">
        <v>0.1227195</v>
      </c>
      <c r="R2415">
        <v>-5.2782250000000003E-2</v>
      </c>
      <c r="S2415">
        <v>3.0525509999999998</v>
      </c>
      <c r="T2415">
        <v>-0.21615090000000001</v>
      </c>
      <c r="U2415">
        <v>-2.4917600000000002E-2</v>
      </c>
      <c r="V2415">
        <v>3.8664169999999998E-2</v>
      </c>
      <c r="W2415">
        <v>0.1273581</v>
      </c>
      <c r="X2415">
        <v>0.99110290000000001</v>
      </c>
      <c r="Y2415">
        <v>-6.0371340000000004E-3</v>
      </c>
      <c r="Z2415">
        <v>1.221209E-3</v>
      </c>
      <c r="AA2415">
        <v>0.99998100000000001</v>
      </c>
      <c r="AB2415">
        <v>27</v>
      </c>
      <c r="AC2415">
        <v>0.60829999999998496</v>
      </c>
      <c r="AD2415">
        <v>-6.4063999999999899E-2</v>
      </c>
      <c r="AE2415">
        <v>-3.19999999999254E-3</v>
      </c>
      <c r="AF2415">
        <v>-5.40871768098658E-3</v>
      </c>
      <c r="AG2415">
        <v>-6.4063999999999899E-2</v>
      </c>
      <c r="AH2415">
        <v>0.60161121471381096</v>
      </c>
      <c r="AI2415">
        <v>96.078127168538202</v>
      </c>
      <c r="AJ2415">
        <v>90.515097357193298</v>
      </c>
      <c r="AK2415">
        <v>0.60503677904106001</v>
      </c>
      <c r="AL2415">
        <v>82.683046305022501</v>
      </c>
      <c r="AM2415">
        <v>87.765952473726998</v>
      </c>
      <c r="AN2415">
        <v>0.999999981032904</v>
      </c>
    </row>
    <row r="2416" spans="1:40" x14ac:dyDescent="0.25">
      <c r="A2416" t="str">
        <f>"20190312164312035"</f>
        <v>20190312164312035</v>
      </c>
      <c r="B2416" t="str">
        <f>"1552380192026788"</f>
        <v>1552380192026788</v>
      </c>
      <c r="C2416" t="s">
        <v>40</v>
      </c>
      <c r="D2416">
        <v>4.958774</v>
      </c>
      <c r="E2416">
        <v>0.4914058</v>
      </c>
      <c r="F2416" t="s">
        <v>47</v>
      </c>
      <c r="G2416">
        <v>-435.49169999999998</v>
      </c>
      <c r="H2416" s="1">
        <v>4.7836619999999998E-6</v>
      </c>
      <c r="I2416">
        <v>213.11410000000001</v>
      </c>
      <c r="J2416">
        <v>-451.39490000000001</v>
      </c>
      <c r="K2416">
        <v>1.1091580000000001</v>
      </c>
      <c r="L2416">
        <v>213.39089999999999</v>
      </c>
      <c r="M2416">
        <v>0.99988730000000003</v>
      </c>
      <c r="N2416">
        <v>0</v>
      </c>
      <c r="O2416">
        <v>-1.4290560000000001E-2</v>
      </c>
      <c r="P2416">
        <v>0.99098719999999996</v>
      </c>
      <c r="Q2416">
        <v>0.1231464</v>
      </c>
      <c r="R2416">
        <v>-5.2721530000000003E-2</v>
      </c>
      <c r="S2416">
        <v>3.0498050000000001</v>
      </c>
      <c r="T2416">
        <v>-0.20600940000000001</v>
      </c>
      <c r="U2416">
        <v>-5.2780149999999998E-2</v>
      </c>
      <c r="V2416">
        <v>3.856424E-2</v>
      </c>
      <c r="W2416">
        <v>0.1277365</v>
      </c>
      <c r="X2416">
        <v>0.99105810000000005</v>
      </c>
      <c r="Y2416">
        <v>3.0387809999999999E-3</v>
      </c>
      <c r="Z2416">
        <v>8.6158139999999996E-4</v>
      </c>
      <c r="AA2416">
        <v>0.99999499999999997</v>
      </c>
      <c r="AB2416">
        <v>27</v>
      </c>
      <c r="AC2416">
        <v>15.9032</v>
      </c>
      <c r="AD2416">
        <v>-1.109153216338</v>
      </c>
      <c r="AE2416">
        <v>-0.27679999999998001</v>
      </c>
      <c r="AF2416">
        <v>4.9264135298013198E-2</v>
      </c>
      <c r="AG2416">
        <v>-1.109153216338</v>
      </c>
      <c r="AH2416">
        <v>15.8285612405144</v>
      </c>
      <c r="AI2416">
        <v>94.008310163290901</v>
      </c>
      <c r="AJ2416">
        <v>89.821675648401794</v>
      </c>
      <c r="AK2416">
        <v>15.8674509218416</v>
      </c>
      <c r="AL2416">
        <v>82.661187080989905</v>
      </c>
      <c r="AM2416">
        <v>87.771620057303295</v>
      </c>
      <c r="AN2416">
        <v>0.99999998580731797</v>
      </c>
    </row>
    <row r="2417" spans="1:40" x14ac:dyDescent="0.25">
      <c r="A2417" t="str">
        <f>"20190312164312058"</f>
        <v>20190312164312058</v>
      </c>
      <c r="B2417" t="str">
        <f>"1552380192047284"</f>
        <v>1552380192047284</v>
      </c>
      <c r="C2417" t="s">
        <v>40</v>
      </c>
      <c r="D2417">
        <v>4.9809749999999999</v>
      </c>
      <c r="E2417">
        <v>0.4917763</v>
      </c>
      <c r="F2417" t="s">
        <v>47</v>
      </c>
      <c r="G2417">
        <v>-434.36349999999999</v>
      </c>
      <c r="H2417" s="1">
        <v>4.2906419999999999E-6</v>
      </c>
      <c r="I2417">
        <v>213.0307</v>
      </c>
      <c r="J2417">
        <v>-451.1028</v>
      </c>
      <c r="K2417">
        <v>1.1091500000000001</v>
      </c>
      <c r="L2417">
        <v>213.38669999999999</v>
      </c>
      <c r="M2417">
        <v>0.99988699999999997</v>
      </c>
      <c r="N2417">
        <v>0</v>
      </c>
      <c r="O2417">
        <v>-1.431374E-2</v>
      </c>
      <c r="P2417">
        <v>0.99098520000000001</v>
      </c>
      <c r="Q2417">
        <v>0.1231767</v>
      </c>
      <c r="R2417">
        <v>-5.2691679999999998E-2</v>
      </c>
      <c r="S2417">
        <v>3.0484619999999998</v>
      </c>
      <c r="T2417">
        <v>-0.1985286</v>
      </c>
      <c r="U2417">
        <v>-6.4468380000000006E-2</v>
      </c>
      <c r="V2417">
        <v>3.8511089999999998E-2</v>
      </c>
      <c r="W2417">
        <v>0.12774069999999901</v>
      </c>
      <c r="X2417">
        <v>0.99105969999999999</v>
      </c>
      <c r="Y2417">
        <v>6.8460609999999996E-3</v>
      </c>
      <c r="Z2417">
        <v>7.0837039999999997E-4</v>
      </c>
      <c r="AA2417">
        <v>0.99997630000000004</v>
      </c>
      <c r="AB2417">
        <v>27</v>
      </c>
      <c r="AC2417">
        <v>16.7393</v>
      </c>
      <c r="AD2417">
        <v>-1.1091457093579999</v>
      </c>
      <c r="AE2417">
        <v>-0.35599999999999399</v>
      </c>
      <c r="AF2417">
        <v>0.11585061298586501</v>
      </c>
      <c r="AG2417">
        <v>-1.1091457093579999</v>
      </c>
      <c r="AH2417">
        <v>16.669528258277001</v>
      </c>
      <c r="AI2417">
        <v>93.806604795215605</v>
      </c>
      <c r="AJ2417">
        <v>89.601809708719102</v>
      </c>
      <c r="AK2417">
        <v>16.706788977018</v>
      </c>
      <c r="AL2417">
        <v>82.660944996542</v>
      </c>
      <c r="AM2417">
        <v>87.774691753984499</v>
      </c>
      <c r="AN2417">
        <v>1.00000005972678</v>
      </c>
    </row>
    <row r="2418" spans="1:40" x14ac:dyDescent="0.25">
      <c r="A2418" t="str">
        <f>"20190312164312082"</f>
        <v>20190312164312082</v>
      </c>
      <c r="B2418" t="str">
        <f>"1552380192076564"</f>
        <v>1552380192076564</v>
      </c>
      <c r="C2418" t="s">
        <v>40</v>
      </c>
      <c r="D2418">
        <v>5.3120430000000001</v>
      </c>
      <c r="E2418">
        <v>0.4921701</v>
      </c>
      <c r="F2418" t="s">
        <v>47</v>
      </c>
      <c r="G2418">
        <v>-434.23009999999999</v>
      </c>
      <c r="H2418" s="1">
        <v>4.2326230000000004E-6</v>
      </c>
      <c r="I2418">
        <v>213.01759999999999</v>
      </c>
      <c r="J2418">
        <v>-450.82220000000001</v>
      </c>
      <c r="K2418">
        <v>1.1091390000000001</v>
      </c>
      <c r="L2418">
        <v>213.3826</v>
      </c>
      <c r="M2418">
        <v>0.99988679999999996</v>
      </c>
      <c r="N2418">
        <v>0</v>
      </c>
      <c r="O2418">
        <v>-1.433562E-2</v>
      </c>
      <c r="P2418">
        <v>0.99112730000000004</v>
      </c>
      <c r="Q2418">
        <v>0.12198000000000001</v>
      </c>
      <c r="R2418">
        <v>-5.2799029999999997E-2</v>
      </c>
      <c r="S2418">
        <v>3.048645</v>
      </c>
      <c r="T2418">
        <v>-0.20040669999999999</v>
      </c>
      <c r="U2418">
        <v>-6.6680909999999996E-2</v>
      </c>
      <c r="V2418">
        <v>3.8594829999999997E-2</v>
      </c>
      <c r="W2418">
        <v>0.12652040000000001</v>
      </c>
      <c r="X2418">
        <v>0.99121289999999995</v>
      </c>
      <c r="Y2418">
        <v>7.5471319999999998E-3</v>
      </c>
      <c r="Z2418">
        <v>6.9342820000000002E-4</v>
      </c>
      <c r="AA2418">
        <v>0.99997130000000001</v>
      </c>
      <c r="AB2418">
        <v>27</v>
      </c>
      <c r="AC2418">
        <v>16.592099999999999</v>
      </c>
      <c r="AD2418">
        <v>-1.10913476737699</v>
      </c>
      <c r="AE2418">
        <v>-0.36500000000000898</v>
      </c>
      <c r="AF2418">
        <v>0.12653680652977201</v>
      </c>
      <c r="AG2418">
        <v>-1.10913476737699</v>
      </c>
      <c r="AH2418">
        <v>16.521834696073</v>
      </c>
      <c r="AI2418">
        <v>93.840474173837407</v>
      </c>
      <c r="AJ2418">
        <v>89.561193817058793</v>
      </c>
      <c r="AK2418">
        <v>16.559505222680102</v>
      </c>
      <c r="AL2418">
        <v>82.731434504060701</v>
      </c>
      <c r="AM2418">
        <v>87.770202176987496</v>
      </c>
      <c r="AN2418">
        <v>0.99999999282264895</v>
      </c>
    </row>
    <row r="2419" spans="1:40" x14ac:dyDescent="0.25">
      <c r="A2419" t="str">
        <f>"20190312164312104"</f>
        <v>20190312164312104</v>
      </c>
      <c r="B2419" t="str">
        <f>"1552380192097059"</f>
        <v>1552380192097059</v>
      </c>
      <c r="C2419" t="s">
        <v>40</v>
      </c>
      <c r="D2419">
        <v>4.8681999999999999</v>
      </c>
      <c r="E2419">
        <v>0.49222500000000002</v>
      </c>
      <c r="F2419" t="s">
        <v>41</v>
      </c>
      <c r="G2419">
        <v>-449.84730000000002</v>
      </c>
      <c r="H2419">
        <v>1.0440210000000001</v>
      </c>
      <c r="I2419">
        <v>213.36019999999999</v>
      </c>
      <c r="J2419">
        <v>-450.53370000000001</v>
      </c>
      <c r="K2419">
        <v>1.1091230000000001</v>
      </c>
      <c r="L2419">
        <v>213.3785</v>
      </c>
      <c r="M2419">
        <v>0.99988650000000001</v>
      </c>
      <c r="N2419">
        <v>0</v>
      </c>
      <c r="O2419">
        <v>-1.4357959999999999E-2</v>
      </c>
      <c r="P2419">
        <v>0.99127980000000004</v>
      </c>
      <c r="Q2419">
        <v>0.1205748</v>
      </c>
      <c r="R2419">
        <v>-5.3161090000000001E-2</v>
      </c>
      <c r="S2419">
        <v>3.048187</v>
      </c>
      <c r="T2419">
        <v>-0.20365369999999999</v>
      </c>
      <c r="U2419">
        <v>-6.9808960000000003E-2</v>
      </c>
      <c r="V2419">
        <v>3.893245E-2</v>
      </c>
      <c r="W2419">
        <v>0.1250848</v>
      </c>
      <c r="X2419">
        <v>0.99138190000000004</v>
      </c>
      <c r="Y2419">
        <v>8.5520189999999992E-3</v>
      </c>
      <c r="Z2419">
        <v>6.7269770000000001E-4</v>
      </c>
      <c r="AA2419">
        <v>0.99996320000000005</v>
      </c>
      <c r="AB2419">
        <v>27</v>
      </c>
      <c r="AC2419">
        <v>0.68639999999999102</v>
      </c>
      <c r="AD2419">
        <v>-6.5101999999999993E-2</v>
      </c>
      <c r="AE2419">
        <v>-1.8300000000010599E-2</v>
      </c>
      <c r="AF2419">
        <v>8.3674893515432794E-3</v>
      </c>
      <c r="AG2419">
        <v>-6.5101999999999993E-2</v>
      </c>
      <c r="AH2419">
        <v>0.68047500818860296</v>
      </c>
      <c r="AI2419">
        <v>95.464524058080897</v>
      </c>
      <c r="AJ2419">
        <v>89.2954955615741</v>
      </c>
      <c r="AK2419">
        <v>0.683633324269178</v>
      </c>
      <c r="AL2419">
        <v>82.814347153291095</v>
      </c>
      <c r="AM2419">
        <v>87.751099330795398</v>
      </c>
      <c r="AN2419">
        <v>1.0000000072508199</v>
      </c>
    </row>
    <row r="2420" spans="1:40" x14ac:dyDescent="0.25">
      <c r="A2420" t="str">
        <f>"20190312164312124"</f>
        <v>20190312164312124</v>
      </c>
      <c r="B2420" t="str">
        <f>"1552380192116580"</f>
        <v>1552380192116580</v>
      </c>
      <c r="C2420" t="s">
        <v>40</v>
      </c>
      <c r="D2420">
        <v>5.0987559999999998</v>
      </c>
      <c r="E2420">
        <v>0.49253849999999999</v>
      </c>
      <c r="F2420" t="s">
        <v>41</v>
      </c>
      <c r="G2420">
        <v>-449.59780000000001</v>
      </c>
      <c r="H2420">
        <v>1.045717</v>
      </c>
      <c r="I2420">
        <v>213.35599999999999</v>
      </c>
      <c r="J2420">
        <v>-450.2867</v>
      </c>
      <c r="K2420">
        <v>1.109108</v>
      </c>
      <c r="L2420">
        <v>213.3749</v>
      </c>
      <c r="M2420">
        <v>0.99988650000000001</v>
      </c>
      <c r="N2420">
        <v>0</v>
      </c>
      <c r="O2420">
        <v>-1.4377569999999999E-2</v>
      </c>
      <c r="P2420">
        <v>0.99129199999999995</v>
      </c>
      <c r="Q2420">
        <v>0.12022089999999901</v>
      </c>
      <c r="R2420">
        <v>-5.3731969999999997E-2</v>
      </c>
      <c r="S2420">
        <v>3.0477289999999999</v>
      </c>
      <c r="T2420">
        <v>-0.20671129999999999</v>
      </c>
      <c r="U2420">
        <v>-7.1212769999999995E-2</v>
      </c>
      <c r="V2420">
        <v>3.9483619999999997E-2</v>
      </c>
      <c r="W2420">
        <v>0.12470299999999999</v>
      </c>
      <c r="X2420">
        <v>0.99140819999999996</v>
      </c>
      <c r="Y2420">
        <v>8.9956169999999992E-3</v>
      </c>
      <c r="Z2420">
        <v>6.6917539999999996E-4</v>
      </c>
      <c r="AA2420">
        <v>0.9999593</v>
      </c>
      <c r="AB2420">
        <v>28</v>
      </c>
      <c r="AC2420">
        <v>0.68889999999998897</v>
      </c>
      <c r="AD2420">
        <v>-6.3390999999999906E-2</v>
      </c>
      <c r="AE2420">
        <v>-1.8900000000002099E-2</v>
      </c>
      <c r="AF2420">
        <v>8.9177856280403204E-3</v>
      </c>
      <c r="AG2420">
        <v>-6.3390999999999906E-2</v>
      </c>
      <c r="AH2420">
        <v>0.68331904329530702</v>
      </c>
      <c r="AI2420">
        <v>95.299668397241206</v>
      </c>
      <c r="AJ2420">
        <v>89.252292939064205</v>
      </c>
      <c r="AK2420">
        <v>0.68631105244744595</v>
      </c>
      <c r="AL2420">
        <v>82.836395313070994</v>
      </c>
      <c r="AM2420">
        <v>87.719355278115103</v>
      </c>
      <c r="AN2420">
        <v>1.0000000067422701</v>
      </c>
    </row>
    <row r="2421" spans="1:40" x14ac:dyDescent="0.25">
      <c r="A2421" t="str">
        <f>"20190312164312146"</f>
        <v>20190312164312146</v>
      </c>
      <c r="B2421" t="str">
        <f>"1552380192137076"</f>
        <v>1552380192137076</v>
      </c>
      <c r="C2421" t="s">
        <v>40</v>
      </c>
      <c r="D2421">
        <v>4.8215029999999999</v>
      </c>
      <c r="E2421">
        <v>0.49275180000000002</v>
      </c>
      <c r="F2421" t="s">
        <v>41</v>
      </c>
      <c r="G2421">
        <v>-449.3492</v>
      </c>
      <c r="H2421">
        <v>1.044988</v>
      </c>
      <c r="I2421">
        <v>213.35169999999999</v>
      </c>
      <c r="J2421">
        <v>-450.01429999999999</v>
      </c>
      <c r="K2421">
        <v>1.109094</v>
      </c>
      <c r="L2421">
        <v>213.37090000000001</v>
      </c>
      <c r="M2421">
        <v>0.99988630000000001</v>
      </c>
      <c r="N2421">
        <v>0</v>
      </c>
      <c r="O2421">
        <v>-1.4398960000000001E-2</v>
      </c>
      <c r="P2421">
        <v>0.99131159999999996</v>
      </c>
      <c r="Q2421">
        <v>0.11958009999999999</v>
      </c>
      <c r="R2421">
        <v>-5.479585E-2</v>
      </c>
      <c r="S2421">
        <v>3.047577</v>
      </c>
      <c r="T2421">
        <v>-0.20849599999999999</v>
      </c>
      <c r="U2421">
        <v>-7.4874880000000005E-2</v>
      </c>
      <c r="V2421">
        <v>4.0525760000000001E-2</v>
      </c>
      <c r="W2421">
        <v>0.1240335</v>
      </c>
      <c r="X2421">
        <v>0.9914501</v>
      </c>
      <c r="Y2421">
        <v>1.017381E-2</v>
      </c>
      <c r="Z2421">
        <v>6.3617380000000002E-4</v>
      </c>
      <c r="AA2421">
        <v>0.99994799999999995</v>
      </c>
      <c r="AB2421">
        <v>28</v>
      </c>
      <c r="AC2421">
        <v>0.66509999999999503</v>
      </c>
      <c r="AD2421">
        <v>-6.4105999999999996E-2</v>
      </c>
      <c r="AE2421">
        <v>-1.9200000000011999E-2</v>
      </c>
      <c r="AF2421">
        <v>9.5326787253664294E-3</v>
      </c>
      <c r="AG2421">
        <v>-6.4105999999999996E-2</v>
      </c>
      <c r="AH2421">
        <v>0.65918863770696101</v>
      </c>
      <c r="AI2421">
        <v>95.5539624137229</v>
      </c>
      <c r="AJ2421">
        <v>89.171490286541101</v>
      </c>
      <c r="AK2421">
        <v>0.66236705177842303</v>
      </c>
      <c r="AL2421">
        <v>82.875054749028607</v>
      </c>
      <c r="AM2421">
        <v>87.659324315262893</v>
      </c>
      <c r="AN2421">
        <v>0.99999997356791803</v>
      </c>
    </row>
    <row r="2422" spans="1:40" x14ac:dyDescent="0.25">
      <c r="A2422" t="str">
        <f>"20190312164312168"</f>
        <v>20190312164312168</v>
      </c>
      <c r="B2422" t="str">
        <f>"1552380192156596"</f>
        <v>1552380192156596</v>
      </c>
      <c r="C2422" t="s">
        <v>40</v>
      </c>
      <c r="D2422">
        <v>4.8782009999999998</v>
      </c>
      <c r="E2422">
        <v>0.4927031</v>
      </c>
      <c r="F2422" t="s">
        <v>41</v>
      </c>
      <c r="G2422">
        <v>-449.09809999999999</v>
      </c>
      <c r="H2422">
        <v>1.0461</v>
      </c>
      <c r="I2422">
        <v>213.34639999999999</v>
      </c>
      <c r="J2422">
        <v>-449.74180000000001</v>
      </c>
      <c r="K2422">
        <v>1.109083</v>
      </c>
      <c r="L2422">
        <v>213.36699999999999</v>
      </c>
      <c r="M2422">
        <v>0.99988600000000005</v>
      </c>
      <c r="N2422">
        <v>0</v>
      </c>
      <c r="O2422">
        <v>-1.4420479999999999E-2</v>
      </c>
      <c r="P2422">
        <v>0.99133599999999999</v>
      </c>
      <c r="Q2422">
        <v>0.1191909</v>
      </c>
      <c r="R2422">
        <v>-5.519512E-2</v>
      </c>
      <c r="S2422">
        <v>3.0471499999999998</v>
      </c>
      <c r="T2422">
        <v>-0.20971300000000001</v>
      </c>
      <c r="U2422">
        <v>-7.9559329999999998E-2</v>
      </c>
      <c r="V2422">
        <v>4.0903509999999997E-2</v>
      </c>
      <c r="W2422">
        <v>0.1236194</v>
      </c>
      <c r="X2422">
        <v>0.99148630000000004</v>
      </c>
      <c r="Y2422">
        <v>1.1688560000000001E-2</v>
      </c>
      <c r="Z2422">
        <v>5.8937750000000004E-4</v>
      </c>
      <c r="AA2422">
        <v>0.99993149999999997</v>
      </c>
      <c r="AB2422">
        <v>28</v>
      </c>
      <c r="AC2422">
        <v>0.64370000000002303</v>
      </c>
      <c r="AD2422">
        <v>-6.2982999999999997E-2</v>
      </c>
      <c r="AE2422">
        <v>-2.0600000000030101E-2</v>
      </c>
      <c r="AF2422">
        <v>1.1208108734147199E-2</v>
      </c>
      <c r="AG2422">
        <v>-6.2982999999999997E-2</v>
      </c>
      <c r="AH2422">
        <v>0.63782998787946699</v>
      </c>
      <c r="AI2422">
        <v>95.638567704224897</v>
      </c>
      <c r="AJ2422">
        <v>88.993287783256505</v>
      </c>
      <c r="AK2422">
        <v>0.64103008777179704</v>
      </c>
      <c r="AL2422">
        <v>82.898964908896303</v>
      </c>
      <c r="AM2422">
        <v>87.637617099669001</v>
      </c>
      <c r="AN2422">
        <v>0.99999996813718395</v>
      </c>
    </row>
    <row r="2423" spans="1:40" x14ac:dyDescent="0.25">
      <c r="A2423" t="str">
        <f>"20190312164312191"</f>
        <v>20190312164312191</v>
      </c>
      <c r="B2423" t="str">
        <f>"1552380192186852"</f>
        <v>1552380192186852</v>
      </c>
      <c r="C2423" t="s">
        <v>40</v>
      </c>
      <c r="D2423">
        <v>5.0542420000000003</v>
      </c>
      <c r="E2423">
        <v>0.49254930000000002</v>
      </c>
      <c r="F2423" t="s">
        <v>41</v>
      </c>
      <c r="G2423">
        <v>-448.8467</v>
      </c>
      <c r="H2423">
        <v>1.045752</v>
      </c>
      <c r="I2423">
        <v>213.3432</v>
      </c>
      <c r="J2423">
        <v>-449.44819999999999</v>
      </c>
      <c r="K2423">
        <v>1.1090770000000001</v>
      </c>
      <c r="L2423">
        <v>213.36269999999999</v>
      </c>
      <c r="M2423">
        <v>0.99988580000000005</v>
      </c>
      <c r="N2423">
        <v>0</v>
      </c>
      <c r="O2423">
        <v>-1.44432E-2</v>
      </c>
      <c r="P2423">
        <v>0.99130030000000002</v>
      </c>
      <c r="Q2423">
        <v>0.1190986</v>
      </c>
      <c r="R2423">
        <v>-5.6026449999999998E-2</v>
      </c>
      <c r="S2423">
        <v>3.0477289999999999</v>
      </c>
      <c r="T2423">
        <v>-0.21570149999999999</v>
      </c>
      <c r="U2423">
        <v>-8.0108639999999995E-2</v>
      </c>
      <c r="V2423">
        <v>4.1712920000000001E-2</v>
      </c>
      <c r="W2423">
        <v>0.1235045</v>
      </c>
      <c r="X2423">
        <v>0.99146690000000004</v>
      </c>
      <c r="Y2423">
        <v>1.1841020000000001E-2</v>
      </c>
      <c r="Z2423">
        <v>6.0226699999999997E-4</v>
      </c>
      <c r="AA2423">
        <v>0.99992970000000003</v>
      </c>
      <c r="AB2423">
        <v>28</v>
      </c>
      <c r="AC2423">
        <v>0.60149999999998705</v>
      </c>
      <c r="AD2423">
        <v>-6.3325000000000006E-2</v>
      </c>
      <c r="AE2423">
        <v>-1.9499999999993599E-2</v>
      </c>
      <c r="AF2423">
        <v>1.0691915190932299E-2</v>
      </c>
      <c r="AG2423">
        <v>-6.3325000000000006E-2</v>
      </c>
      <c r="AH2423">
        <v>0.59512967433234998</v>
      </c>
      <c r="AI2423">
        <v>96.072752985146806</v>
      </c>
      <c r="AJ2423">
        <v>88.970752517413104</v>
      </c>
      <c r="AK2423">
        <v>0.59858474917623705</v>
      </c>
      <c r="AL2423">
        <v>82.905599056412001</v>
      </c>
      <c r="AM2423">
        <v>87.590877072368997</v>
      </c>
      <c r="AN2423">
        <v>0.99999997150539199</v>
      </c>
    </row>
    <row r="2424" spans="1:40" x14ac:dyDescent="0.25">
      <c r="A2424" t="str">
        <f>"20190312164312212"</f>
        <v>20190312164312212</v>
      </c>
      <c r="B2424" t="str">
        <f>"1552380192206372"</f>
        <v>1552380192206372</v>
      </c>
      <c r="C2424" t="s">
        <v>40</v>
      </c>
      <c r="D2424">
        <v>4.8111379999999997</v>
      </c>
      <c r="E2424">
        <v>0.49232789999999998</v>
      </c>
      <c r="F2424" t="s">
        <v>41</v>
      </c>
      <c r="G2424">
        <v>-448.59210000000002</v>
      </c>
      <c r="H2424">
        <v>1.047884</v>
      </c>
      <c r="I2424">
        <v>213.33940000000001</v>
      </c>
      <c r="J2424">
        <v>-449.18470000000002</v>
      </c>
      <c r="K2424">
        <v>1.1090789999999999</v>
      </c>
      <c r="L2424">
        <v>213.35890000000001</v>
      </c>
      <c r="M2424">
        <v>0.99988580000000005</v>
      </c>
      <c r="N2424">
        <v>0</v>
      </c>
      <c r="O2424">
        <v>-1.4463790000000001E-2</v>
      </c>
      <c r="P2424">
        <v>0.99128550000000004</v>
      </c>
      <c r="Q2424">
        <v>0.1191195</v>
      </c>
      <c r="R2424">
        <v>-5.6251120000000002E-2</v>
      </c>
      <c r="S2424">
        <v>3.0479129999999999</v>
      </c>
      <c r="T2424">
        <v>-0.218055</v>
      </c>
      <c r="U2424">
        <v>-8.169556E-2</v>
      </c>
      <c r="V2424">
        <v>4.1917210000000003E-2</v>
      </c>
      <c r="W2424">
        <v>0.1235083</v>
      </c>
      <c r="X2424">
        <v>0.99145779999999994</v>
      </c>
      <c r="Y2424">
        <v>1.233804E-2</v>
      </c>
      <c r="Z2424">
        <v>5.9249689999999995E-4</v>
      </c>
      <c r="AA2424">
        <v>0.99992369999999997</v>
      </c>
      <c r="AB2424">
        <v>28</v>
      </c>
      <c r="AC2424">
        <v>0.59260000000000401</v>
      </c>
      <c r="AD2424">
        <v>-6.1195000000000097E-2</v>
      </c>
      <c r="AE2424">
        <v>-1.9499999999993599E-2</v>
      </c>
      <c r="AF2424">
        <v>1.0811470213555999E-2</v>
      </c>
      <c r="AG2424">
        <v>-6.1195000000000097E-2</v>
      </c>
      <c r="AH2424">
        <v>0.586571786307448</v>
      </c>
      <c r="AI2424">
        <v>95.954920008476407</v>
      </c>
      <c r="AJ2424">
        <v>88.944065339242997</v>
      </c>
      <c r="AK2424">
        <v>0.58985436881071596</v>
      </c>
      <c r="AL2424">
        <v>82.905379577167494</v>
      </c>
      <c r="AM2424">
        <v>87.579070146628098</v>
      </c>
      <c r="AN2424">
        <v>0.99999996092195598</v>
      </c>
    </row>
    <row r="2425" spans="1:40" x14ac:dyDescent="0.25">
      <c r="A2425" t="str">
        <f>"20190312164312236"</f>
        <v>20190312164312236</v>
      </c>
      <c r="B2425" t="str">
        <f>"1552380192226868"</f>
        <v>1552380192226868</v>
      </c>
      <c r="C2425" t="s">
        <v>40</v>
      </c>
      <c r="D2425">
        <v>4.7425269999999999</v>
      </c>
      <c r="E2425">
        <v>0.49213509999999999</v>
      </c>
      <c r="F2425" t="s">
        <v>41</v>
      </c>
      <c r="G2425">
        <v>-448.33819999999997</v>
      </c>
      <c r="H2425">
        <v>1.047839</v>
      </c>
      <c r="I2425">
        <v>213.3365</v>
      </c>
      <c r="J2425">
        <v>-448.88479999999998</v>
      </c>
      <c r="K2425">
        <v>1.1090690000000001</v>
      </c>
      <c r="L2425">
        <v>213.3545</v>
      </c>
      <c r="M2425">
        <v>0.99988540000000004</v>
      </c>
      <c r="N2425">
        <v>0</v>
      </c>
      <c r="O2425">
        <v>-1.4487119999999999E-2</v>
      </c>
      <c r="P2425">
        <v>0.99123660000000002</v>
      </c>
      <c r="Q2425">
        <v>0.11935510000000001</v>
      </c>
      <c r="R2425">
        <v>-5.6607480000000002E-2</v>
      </c>
      <c r="S2425">
        <v>3.0483699999999998</v>
      </c>
      <c r="T2425">
        <v>-0.22049569999999999</v>
      </c>
      <c r="U2425">
        <v>-8.0062869999999994E-2</v>
      </c>
      <c r="V2425">
        <v>4.2251230000000001E-2</v>
      </c>
      <c r="W2425">
        <v>0.1237278</v>
      </c>
      <c r="X2425">
        <v>0.99141630000000003</v>
      </c>
      <c r="Y2425">
        <v>1.177715E-2</v>
      </c>
      <c r="Z2425">
        <v>6.2096739999999997E-4</v>
      </c>
      <c r="AA2425">
        <v>0.9999304</v>
      </c>
      <c r="AB2425">
        <v>28</v>
      </c>
      <c r="AC2425">
        <v>0.54660000000001197</v>
      </c>
      <c r="AD2425">
        <v>-6.1230000000000097E-2</v>
      </c>
      <c r="AE2425">
        <v>-1.8000000000000599E-2</v>
      </c>
      <c r="AF2425">
        <v>9.9545955332103891E-3</v>
      </c>
      <c r="AG2425">
        <v>-6.1230000000000097E-2</v>
      </c>
      <c r="AH2425">
        <v>0.54003416914046398</v>
      </c>
      <c r="AI2425">
        <v>96.467579578894899</v>
      </c>
      <c r="AJ2425">
        <v>88.943971035576894</v>
      </c>
      <c r="AK2425">
        <v>0.54358542172455404</v>
      </c>
      <c r="AL2425">
        <v>82.892706276836293</v>
      </c>
      <c r="AM2425">
        <v>87.559700016389598</v>
      </c>
      <c r="AN2425">
        <v>1.0000000074175199</v>
      </c>
    </row>
    <row r="2426" spans="1:40" x14ac:dyDescent="0.25">
      <c r="A2426" t="str">
        <f>"20190312164312260"</f>
        <v>20190312164312260</v>
      </c>
      <c r="B2426" t="str">
        <f>"1552380192257124"</f>
        <v>1552380192257124</v>
      </c>
      <c r="C2426" t="s">
        <v>40</v>
      </c>
      <c r="D2426">
        <v>5.0382509999999998</v>
      </c>
      <c r="E2426">
        <v>0.49251630000000002</v>
      </c>
      <c r="F2426" t="s">
        <v>41</v>
      </c>
      <c r="G2426">
        <v>-448.07339999999999</v>
      </c>
      <c r="H2426">
        <v>1.050143</v>
      </c>
      <c r="I2426">
        <v>213.3329</v>
      </c>
      <c r="J2426">
        <v>-448.57709999999997</v>
      </c>
      <c r="K2426">
        <v>1.109065</v>
      </c>
      <c r="L2426">
        <v>213.3501</v>
      </c>
      <c r="M2426">
        <v>0.99988509999999997</v>
      </c>
      <c r="N2426">
        <v>0</v>
      </c>
      <c r="O2426">
        <v>-1.4510820000000001E-2</v>
      </c>
      <c r="P2426">
        <v>0.99109689999999995</v>
      </c>
      <c r="Q2426">
        <v>0.1203782</v>
      </c>
      <c r="R2426">
        <v>-5.688737E-2</v>
      </c>
      <c r="S2426">
        <v>3.0486759999999999</v>
      </c>
      <c r="T2426">
        <v>-0.22164010000000001</v>
      </c>
      <c r="U2426">
        <v>-7.91626E-2</v>
      </c>
      <c r="V2426">
        <v>4.2509789999999999E-2</v>
      </c>
      <c r="W2426">
        <v>0.1247384</v>
      </c>
      <c r="X2426">
        <v>0.99127860000000001</v>
      </c>
      <c r="Y2426">
        <v>1.145673E-2</v>
      </c>
      <c r="Z2426">
        <v>6.3747260000000003E-4</v>
      </c>
      <c r="AA2426">
        <v>0.99993410000000005</v>
      </c>
      <c r="AB2426">
        <v>28</v>
      </c>
      <c r="AC2426">
        <v>0.50369999999998005</v>
      </c>
      <c r="AD2426">
        <v>-5.8921999999999898E-2</v>
      </c>
      <c r="AE2426">
        <v>-1.7200000000002501E-2</v>
      </c>
      <c r="AF2426">
        <v>9.7556781321702299E-3</v>
      </c>
      <c r="AG2426">
        <v>-5.8921999999999898E-2</v>
      </c>
      <c r="AH2426">
        <v>0.49710216215832798</v>
      </c>
      <c r="AI2426">
        <v>96.758495162337994</v>
      </c>
      <c r="AJ2426">
        <v>88.875709094871794</v>
      </c>
      <c r="AK2426">
        <v>0.50067707652967597</v>
      </c>
      <c r="AL2426">
        <v>82.834351080950597</v>
      </c>
      <c r="AM2426">
        <v>87.544443971769994</v>
      </c>
      <c r="AN2426">
        <v>1.0000000067491801</v>
      </c>
    </row>
    <row r="2427" spans="1:40" x14ac:dyDescent="0.25">
      <c r="A2427" t="str">
        <f>"20190312164312287"</f>
        <v>20190312164312287</v>
      </c>
      <c r="B2427" t="str">
        <f>"1552380192276644"</f>
        <v>1552380192276644</v>
      </c>
      <c r="C2427" t="s">
        <v>40</v>
      </c>
      <c r="D2427">
        <v>4.9164490000000001</v>
      </c>
      <c r="E2427">
        <v>0.49263970000000001</v>
      </c>
      <c r="F2427" t="s">
        <v>47</v>
      </c>
      <c r="G2427">
        <v>-433.02260000000001</v>
      </c>
      <c r="H2427" s="1">
        <v>3.705148E-6</v>
      </c>
      <c r="I2427">
        <v>212.92609999999999</v>
      </c>
      <c r="J2427">
        <v>-448.2405</v>
      </c>
      <c r="K2427">
        <v>1.1090610000000001</v>
      </c>
      <c r="L2427">
        <v>213.3451</v>
      </c>
      <c r="M2427">
        <v>0.99988480000000002</v>
      </c>
      <c r="N2427">
        <v>0</v>
      </c>
      <c r="O2427">
        <v>-1.453726E-2</v>
      </c>
      <c r="P2427">
        <v>0.99104009999999998</v>
      </c>
      <c r="Q2427">
        <v>0.1209604</v>
      </c>
      <c r="R2427">
        <v>-5.6642699999999997E-2</v>
      </c>
      <c r="S2427">
        <v>3.048584</v>
      </c>
      <c r="T2427">
        <v>-0.21736839999999999</v>
      </c>
      <c r="U2427">
        <v>-8.3084110000000003E-2</v>
      </c>
      <c r="V2427">
        <v>4.2239690000000003E-2</v>
      </c>
      <c r="W2427">
        <v>0.12531229999999999</v>
      </c>
      <c r="X2427">
        <v>0.99121769999999998</v>
      </c>
      <c r="Y2427">
        <v>1.2712970000000001E-2</v>
      </c>
      <c r="Z2427">
        <v>5.823852E-4</v>
      </c>
      <c r="AA2427">
        <v>0.999919</v>
      </c>
      <c r="AB2427">
        <v>29</v>
      </c>
      <c r="AC2427">
        <v>15.217899999999901</v>
      </c>
      <c r="AD2427">
        <v>-1.1090572948520001</v>
      </c>
      <c r="AE2427">
        <v>-0.41900000000001097</v>
      </c>
      <c r="AF2427">
        <v>0.19668319950562901</v>
      </c>
      <c r="AG2427">
        <v>-1.1090572948520001</v>
      </c>
      <c r="AH2427">
        <v>15.142020577484001</v>
      </c>
      <c r="AI2427">
        <v>94.188721329897405</v>
      </c>
      <c r="AJ2427">
        <v>89.2558137493142</v>
      </c>
      <c r="AK2427">
        <v>15.183855884892401</v>
      </c>
      <c r="AL2427">
        <v>82.801208547978106</v>
      </c>
      <c r="AM2427">
        <v>87.559877512150706</v>
      </c>
      <c r="AN2427">
        <v>0.99999994636793599</v>
      </c>
    </row>
    <row r="2428" spans="1:40" x14ac:dyDescent="0.25">
      <c r="A2428" t="str">
        <f>"20190312164312308"</f>
        <v>20190312164312308</v>
      </c>
      <c r="B2428" t="str">
        <f>"1552380192297140"</f>
        <v>1552380192297140</v>
      </c>
      <c r="C2428" t="s">
        <v>40</v>
      </c>
      <c r="D2428">
        <v>4.7246949999999996</v>
      </c>
      <c r="E2428">
        <v>0.49262250000000002</v>
      </c>
      <c r="F2428" t="s">
        <v>41</v>
      </c>
      <c r="G2428">
        <v>-447.31529999999998</v>
      </c>
      <c r="H2428">
        <v>1.0434540000000001</v>
      </c>
      <c r="I2428">
        <v>213.31960000000001</v>
      </c>
      <c r="J2428">
        <v>-447.94760000000002</v>
      </c>
      <c r="K2428">
        <v>1.109062</v>
      </c>
      <c r="L2428">
        <v>213.3409</v>
      </c>
      <c r="M2428">
        <v>0.99988440000000001</v>
      </c>
      <c r="N2428">
        <v>0</v>
      </c>
      <c r="O2428">
        <v>-1.456002E-2</v>
      </c>
      <c r="P2428">
        <v>0.99097009999999996</v>
      </c>
      <c r="Q2428">
        <v>0.121494699999999</v>
      </c>
      <c r="R2428">
        <v>-5.6721000000000001E-2</v>
      </c>
      <c r="S2428">
        <v>3.0487060000000001</v>
      </c>
      <c r="T2428">
        <v>-0.21618589999999999</v>
      </c>
      <c r="U2428">
        <v>-8.3282469999999997E-2</v>
      </c>
      <c r="V2428">
        <v>4.2296670000000001E-2</v>
      </c>
      <c r="W2428">
        <v>0.12584210000000001</v>
      </c>
      <c r="X2428">
        <v>0.99114820000000003</v>
      </c>
      <c r="Y2428">
        <v>1.2754039999999999E-2</v>
      </c>
      <c r="Z2428">
        <v>5.7935889999999996E-4</v>
      </c>
      <c r="AA2428">
        <v>0.99991850000000004</v>
      </c>
      <c r="AB2428">
        <v>29</v>
      </c>
      <c r="AC2428">
        <v>0.63230000000004305</v>
      </c>
      <c r="AD2428">
        <v>-6.5607999999999805E-2</v>
      </c>
      <c r="AE2428">
        <v>-2.1299999999996499E-2</v>
      </c>
      <c r="AF2428">
        <v>1.19627048006482E-2</v>
      </c>
      <c r="AG2428">
        <v>-6.5607999999999805E-2</v>
      </c>
      <c r="AH2428">
        <v>0.62581303909965103</v>
      </c>
      <c r="AI2428">
        <v>95.983737480199594</v>
      </c>
      <c r="AJ2428">
        <v>88.904898126627003</v>
      </c>
      <c r="AK2428">
        <v>0.62935639813804201</v>
      </c>
      <c r="AL2428">
        <v>82.770611405547399</v>
      </c>
      <c r="AM2428">
        <v>87.556418725243702</v>
      </c>
      <c r="AN2428">
        <v>0.99999999839436904</v>
      </c>
    </row>
    <row r="2429" spans="1:40" x14ac:dyDescent="0.25">
      <c r="A2429" t="str">
        <f>"20190312164312348"</f>
        <v>20190312164312348</v>
      </c>
      <c r="B2429" t="str">
        <f>"1552380192337158"</f>
        <v>1552380192337158</v>
      </c>
      <c r="C2429" t="s">
        <v>40</v>
      </c>
      <c r="D2429">
        <v>4.7592220000000003</v>
      </c>
      <c r="E2429">
        <v>0.49264760000000002</v>
      </c>
      <c r="F2429" t="s">
        <v>41</v>
      </c>
      <c r="G2429">
        <v>-447.05309999999997</v>
      </c>
      <c r="H2429">
        <v>1.046473</v>
      </c>
      <c r="I2429">
        <v>213.3159</v>
      </c>
      <c r="J2429">
        <v>-447.43599999999998</v>
      </c>
      <c r="K2429">
        <v>1.109059</v>
      </c>
      <c r="L2429">
        <v>213.33330000000001</v>
      </c>
      <c r="M2429">
        <v>0.99988379999999999</v>
      </c>
      <c r="N2429">
        <v>0</v>
      </c>
      <c r="O2429">
        <v>-1.459972E-2</v>
      </c>
      <c r="P2429">
        <v>0.99093600000000004</v>
      </c>
      <c r="Q2429">
        <v>0.12180059999999999</v>
      </c>
      <c r="R2429">
        <v>-5.6663699999999997E-2</v>
      </c>
      <c r="S2429">
        <v>3.0487060000000001</v>
      </c>
      <c r="T2429">
        <v>-0.2134838</v>
      </c>
      <c r="U2429">
        <v>-8.3587649999999999E-2</v>
      </c>
      <c r="V2429">
        <v>4.2200479999999999E-2</v>
      </c>
      <c r="W2429">
        <v>0.1261468</v>
      </c>
      <c r="X2429">
        <v>0.99111360000000004</v>
      </c>
      <c r="Y2429">
        <v>1.281419E-2</v>
      </c>
      <c r="Z2429">
        <v>5.7280619999999999E-4</v>
      </c>
      <c r="AA2429">
        <v>0.99991770000000002</v>
      </c>
      <c r="AB2429">
        <v>29</v>
      </c>
      <c r="AC2429">
        <v>0.38290000000000601</v>
      </c>
      <c r="AD2429">
        <v>-6.2586000000000003E-2</v>
      </c>
      <c r="AE2429">
        <v>-1.7400000000009099E-2</v>
      </c>
      <c r="AF2429">
        <v>1.15012169585278E-2</v>
      </c>
      <c r="AG2429">
        <v>-6.2586000000000003E-2</v>
      </c>
      <c r="AH2429">
        <v>0.37316404099450201</v>
      </c>
      <c r="AI2429">
        <v>99.516436199736305</v>
      </c>
      <c r="AJ2429">
        <v>88.234656664760607</v>
      </c>
      <c r="AK2429">
        <v>0.378550771864057</v>
      </c>
      <c r="AL2429">
        <v>82.753013383906193</v>
      </c>
      <c r="AM2429">
        <v>87.561884132294296</v>
      </c>
      <c r="AN2429">
        <v>1.0000000318837099</v>
      </c>
    </row>
    <row r="2430" spans="1:40" x14ac:dyDescent="0.25">
      <c r="A2430" t="str">
        <f>"20190312164312369"</f>
        <v>20190312164312369</v>
      </c>
      <c r="B2430" t="str">
        <f>"1552380192356676"</f>
        <v>1552380192356676</v>
      </c>
      <c r="C2430" t="s">
        <v>40</v>
      </c>
      <c r="D2430">
        <v>4.7398300000000004</v>
      </c>
      <c r="E2430">
        <v>0.49271209999999999</v>
      </c>
      <c r="F2430" t="s">
        <v>41</v>
      </c>
      <c r="G2430">
        <v>-446.53039999999999</v>
      </c>
      <c r="H2430">
        <v>1.0466219999999999</v>
      </c>
      <c r="I2430">
        <v>213.3083</v>
      </c>
      <c r="J2430">
        <v>-447.15750000000003</v>
      </c>
      <c r="K2430">
        <v>1.109051</v>
      </c>
      <c r="L2430">
        <v>213.32929999999999</v>
      </c>
      <c r="M2430">
        <v>0.99988350000000004</v>
      </c>
      <c r="N2430">
        <v>0</v>
      </c>
      <c r="O2430">
        <v>-1.46213E-2</v>
      </c>
      <c r="P2430">
        <v>0.99092219999999998</v>
      </c>
      <c r="Q2430">
        <v>0.122043</v>
      </c>
      <c r="R2430">
        <v>-5.6385419999999999E-2</v>
      </c>
      <c r="S2430">
        <v>3.048584</v>
      </c>
      <c r="T2430">
        <v>-0.21043500000000001</v>
      </c>
      <c r="U2430">
        <v>-8.2962040000000001E-2</v>
      </c>
      <c r="V2430">
        <v>4.1901000000000001E-2</v>
      </c>
      <c r="W2430">
        <v>0.12639130000000001</v>
      </c>
      <c r="X2430">
        <v>0.99109510000000001</v>
      </c>
      <c r="Y2430">
        <v>1.2589120000000001E-2</v>
      </c>
      <c r="Z2430">
        <v>5.7391479999999997E-4</v>
      </c>
      <c r="AA2430">
        <v>0.99992060000000005</v>
      </c>
      <c r="AB2430">
        <v>29</v>
      </c>
      <c r="AC2430">
        <v>0.62710000000004096</v>
      </c>
      <c r="AD2430">
        <v>-6.2428999999999998E-2</v>
      </c>
      <c r="AE2430">
        <v>-2.0999999999986502E-2</v>
      </c>
      <c r="AF2430">
        <v>1.17127002018583E-2</v>
      </c>
      <c r="AG2430">
        <v>-6.2428999999999998E-2</v>
      </c>
      <c r="AH2430">
        <v>0.62119055015348201</v>
      </c>
      <c r="AI2430">
        <v>95.737883529003696</v>
      </c>
      <c r="AJ2430">
        <v>88.919802021191202</v>
      </c>
      <c r="AK2430">
        <v>0.62442955326201799</v>
      </c>
      <c r="AL2430">
        <v>82.738891126567296</v>
      </c>
      <c r="AM2430">
        <v>87.579120677489499</v>
      </c>
      <c r="AN2430">
        <v>0.99999997588034895</v>
      </c>
    </row>
    <row r="2431" spans="1:40" x14ac:dyDescent="0.25">
      <c r="A2431" t="str">
        <f>"20190312164312392"</f>
        <v>20190312164312392</v>
      </c>
      <c r="B2431" t="str">
        <f>"1552380192386932"</f>
        <v>1552380192386932</v>
      </c>
      <c r="C2431" t="s">
        <v>40</v>
      </c>
      <c r="D2431">
        <v>4.7096809999999998</v>
      </c>
      <c r="E2431">
        <v>0.50589470000000003</v>
      </c>
      <c r="F2431" t="s">
        <v>41</v>
      </c>
      <c r="G2431">
        <v>-446.2663</v>
      </c>
      <c r="H2431">
        <v>1.047803</v>
      </c>
      <c r="I2431">
        <v>213.3048</v>
      </c>
      <c r="J2431">
        <v>-446.8433</v>
      </c>
      <c r="K2431">
        <v>1.1090500000000001</v>
      </c>
      <c r="L2431">
        <v>213.3246</v>
      </c>
      <c r="M2431">
        <v>0.99988310000000002</v>
      </c>
      <c r="N2431">
        <v>0</v>
      </c>
      <c r="O2431">
        <v>-1.464551E-2</v>
      </c>
      <c r="P2431">
        <v>0.99094090000000001</v>
      </c>
      <c r="Q2431">
        <v>0.1217789</v>
      </c>
      <c r="R2431">
        <v>-5.6622529999999997E-2</v>
      </c>
      <c r="S2431">
        <v>3.048584</v>
      </c>
      <c r="T2431">
        <v>-0.2096198</v>
      </c>
      <c r="U2431">
        <v>-8.2748409999999994E-2</v>
      </c>
      <c r="V2431">
        <v>4.2114060000000002E-2</v>
      </c>
      <c r="W2431">
        <v>0.1261321</v>
      </c>
      <c r="X2431">
        <v>0.99111910000000003</v>
      </c>
      <c r="Y2431">
        <v>1.249514E-2</v>
      </c>
      <c r="Z2431">
        <v>5.7658649999999998E-4</v>
      </c>
      <c r="AA2431">
        <v>0.99992170000000002</v>
      </c>
      <c r="AB2431">
        <v>29</v>
      </c>
      <c r="AC2431">
        <v>0.57699999999999796</v>
      </c>
      <c r="AD2431">
        <v>-6.1247000000000003E-2</v>
      </c>
      <c r="AE2431">
        <v>-1.9800000000003599E-2</v>
      </c>
      <c r="AF2431">
        <v>1.1221053845247299E-2</v>
      </c>
      <c r="AG2431">
        <v>-6.1247000000000003E-2</v>
      </c>
      <c r="AH2431">
        <v>0.57080426747142499</v>
      </c>
      <c r="AI2431">
        <v>96.123201243446204</v>
      </c>
      <c r="AJ2431">
        <v>88.873806198987495</v>
      </c>
      <c r="AK2431">
        <v>0.57419040293441703</v>
      </c>
      <c r="AL2431">
        <v>82.753862075847493</v>
      </c>
      <c r="AM2431">
        <v>87.566884492495504</v>
      </c>
      <c r="AN2431">
        <v>0.99999998554245095</v>
      </c>
    </row>
    <row r="2432" spans="1:40" x14ac:dyDescent="0.25">
      <c r="A2432" t="str">
        <f>"20190312164312414"</f>
        <v>20190312164312414</v>
      </c>
      <c r="B2432" t="str">
        <f>"1552380192406452"</f>
        <v>1552380192406452</v>
      </c>
      <c r="C2432" t="s">
        <v>40</v>
      </c>
      <c r="D2432">
        <v>4.7115650000000002</v>
      </c>
      <c r="E2432">
        <v>0.50655870000000003</v>
      </c>
      <c r="F2432" t="s">
        <v>41</v>
      </c>
      <c r="G2432">
        <v>-446.00920000000002</v>
      </c>
      <c r="H2432">
        <v>1.0408980000000001</v>
      </c>
      <c r="I2432">
        <v>213.2732</v>
      </c>
      <c r="J2432">
        <v>-446.5668</v>
      </c>
      <c r="K2432">
        <v>1.1090500000000001</v>
      </c>
      <c r="L2432">
        <v>213.32060000000001</v>
      </c>
      <c r="M2432">
        <v>0.99988279999999996</v>
      </c>
      <c r="N2432">
        <v>0</v>
      </c>
      <c r="O2432">
        <v>-1.4667100000000001E-2</v>
      </c>
      <c r="P2432">
        <v>0.99094970000000004</v>
      </c>
      <c r="Q2432">
        <v>0.12160839999999901</v>
      </c>
      <c r="R2432">
        <v>-5.683585E-2</v>
      </c>
      <c r="S2432">
        <v>3.0473940000000002</v>
      </c>
      <c r="T2432">
        <v>-0.24916779999999999</v>
      </c>
      <c r="U2432">
        <v>-0.18658449999999999</v>
      </c>
      <c r="V2432">
        <v>4.2305660000000002E-2</v>
      </c>
      <c r="W2432">
        <v>0.125967</v>
      </c>
      <c r="X2432">
        <v>0.99113200000000001</v>
      </c>
      <c r="Y2432">
        <v>4.6361359999999997E-2</v>
      </c>
      <c r="Z2432">
        <v>-6.9445429999999897E-4</v>
      </c>
      <c r="AA2432">
        <v>0.99892449999999999</v>
      </c>
      <c r="AB2432">
        <v>29</v>
      </c>
      <c r="AC2432">
        <v>0.557599999999979</v>
      </c>
      <c r="AD2432">
        <v>-6.8152000000000199E-2</v>
      </c>
      <c r="AE2432">
        <v>-4.7400000000010302E-2</v>
      </c>
      <c r="AF2432">
        <v>3.86433097674031E-2</v>
      </c>
      <c r="AG2432">
        <v>-6.8152000000000199E-2</v>
      </c>
      <c r="AH2432">
        <v>0.55007679027712797</v>
      </c>
      <c r="AI2432">
        <v>97.045505471186502</v>
      </c>
      <c r="AJ2432">
        <v>85.981530168108407</v>
      </c>
      <c r="AK2432">
        <v>0.55562800118007605</v>
      </c>
      <c r="AL2432">
        <v>82.763398117714402</v>
      </c>
      <c r="AM2432">
        <v>87.555860080650305</v>
      </c>
      <c r="AN2432">
        <v>1.00000004769051</v>
      </c>
    </row>
    <row r="2433" spans="1:40" x14ac:dyDescent="0.25">
      <c r="A2433" t="str">
        <f>"20190312164312438"</f>
        <v>20190312164312438</v>
      </c>
      <c r="B2433" t="str">
        <f>"1552380192426948"</f>
        <v>1552380192426948</v>
      </c>
      <c r="C2433" t="s">
        <v>40</v>
      </c>
      <c r="D2433">
        <v>4.8328920000000002</v>
      </c>
      <c r="E2433">
        <v>0.50720799999999999</v>
      </c>
      <c r="F2433" t="s">
        <v>41</v>
      </c>
      <c r="G2433">
        <v>-445.7439</v>
      </c>
      <c r="H2433">
        <v>1.0409299999999999</v>
      </c>
      <c r="I2433">
        <v>213.26840000000001</v>
      </c>
      <c r="J2433">
        <v>-446.24689999999998</v>
      </c>
      <c r="K2433">
        <v>1.1090469999999999</v>
      </c>
      <c r="L2433">
        <v>213.3158</v>
      </c>
      <c r="M2433">
        <v>0.99988250000000001</v>
      </c>
      <c r="N2433">
        <v>0</v>
      </c>
      <c r="O2433">
        <v>-1.469204E-2</v>
      </c>
      <c r="P2433">
        <v>0.99091739999999995</v>
      </c>
      <c r="Q2433">
        <v>0.121758199999999</v>
      </c>
      <c r="R2433">
        <v>-5.7076979999999999E-2</v>
      </c>
      <c r="S2433">
        <v>3.0474239999999999</v>
      </c>
      <c r="T2433">
        <v>-0.25248900000000002</v>
      </c>
      <c r="U2433">
        <v>-0.191803</v>
      </c>
      <c r="V2433">
        <v>4.2522829999999998E-2</v>
      </c>
      <c r="W2433">
        <v>0.12612499999999999</v>
      </c>
      <c r="X2433">
        <v>0.99110259999999994</v>
      </c>
      <c r="Y2433">
        <v>4.8031379999999999E-2</v>
      </c>
      <c r="Z2433">
        <v>-7.7057649999999998E-4</v>
      </c>
      <c r="AA2433">
        <v>0.99884550000000005</v>
      </c>
      <c r="AB2433">
        <v>30</v>
      </c>
      <c r="AC2433">
        <v>0.50299999999998501</v>
      </c>
      <c r="AD2433">
        <v>-6.81169999999999E-2</v>
      </c>
      <c r="AE2433">
        <v>-4.7399999999981901E-2</v>
      </c>
      <c r="AF2433">
        <v>3.9290511583565398E-2</v>
      </c>
      <c r="AG2433">
        <v>-6.81169999999999E-2</v>
      </c>
      <c r="AH2433">
        <v>0.49465057934241902</v>
      </c>
      <c r="AI2433">
        <v>97.816420298467705</v>
      </c>
      <c r="AJ2433">
        <v>85.458483224399401</v>
      </c>
      <c r="AK2433">
        <v>0.50086212237829397</v>
      </c>
      <c r="AL2433">
        <v>82.754272512604302</v>
      </c>
      <c r="AM2433">
        <v>87.543255988519505</v>
      </c>
      <c r="AN2433">
        <v>1.00000003521148</v>
      </c>
    </row>
    <row r="2434" spans="1:40" x14ac:dyDescent="0.25">
      <c r="A2434" t="str">
        <f>"20190312164312460"</f>
        <v>20190312164312460</v>
      </c>
      <c r="B2434" t="str">
        <f>"1552380192457205"</f>
        <v>1552380192457205</v>
      </c>
      <c r="C2434" t="s">
        <v>40</v>
      </c>
      <c r="D2434">
        <v>4.7174889999999996</v>
      </c>
      <c r="E2434">
        <v>0.50778670000000004</v>
      </c>
      <c r="F2434" t="s">
        <v>41</v>
      </c>
      <c r="G2434">
        <v>-445.47489999999999</v>
      </c>
      <c r="H2434">
        <v>1.046319</v>
      </c>
      <c r="I2434">
        <v>213.2654</v>
      </c>
      <c r="J2434">
        <v>-445.95049999999998</v>
      </c>
      <c r="K2434">
        <v>1.1090469999999999</v>
      </c>
      <c r="L2434">
        <v>213.3115</v>
      </c>
      <c r="M2434">
        <v>0.99988200000000005</v>
      </c>
      <c r="N2434">
        <v>0</v>
      </c>
      <c r="O2434">
        <v>-1.471518E-2</v>
      </c>
      <c r="P2434">
        <v>0.99092829999999998</v>
      </c>
      <c r="Q2434">
        <v>0.1216078</v>
      </c>
      <c r="R2434">
        <v>-5.720865E-2</v>
      </c>
      <c r="S2434">
        <v>3.0465390000000001</v>
      </c>
      <c r="T2434">
        <v>-0.2477086</v>
      </c>
      <c r="U2434">
        <v>-0.197937</v>
      </c>
      <c r="V2434">
        <v>4.2631290000000002E-2</v>
      </c>
      <c r="W2434">
        <v>0.1259836</v>
      </c>
      <c r="X2434">
        <v>0.99111590000000005</v>
      </c>
      <c r="Y2434">
        <v>5.0027009999999997E-2</v>
      </c>
      <c r="Z2434">
        <v>-8.3524499999999998E-4</v>
      </c>
      <c r="AA2434">
        <v>0.99874750000000001</v>
      </c>
      <c r="AB2434">
        <v>30</v>
      </c>
      <c r="AC2434">
        <v>0.47559999999998498</v>
      </c>
      <c r="AD2434">
        <v>-6.2727999999999895E-2</v>
      </c>
      <c r="AE2434">
        <v>-4.6099999999995499E-2</v>
      </c>
      <c r="AF2434">
        <v>3.8434041110898001E-2</v>
      </c>
      <c r="AG2434">
        <v>-6.2727999999999895E-2</v>
      </c>
      <c r="AH2434">
        <v>0.46815878492912699</v>
      </c>
      <c r="AI2434">
        <v>97.606247522977199</v>
      </c>
      <c r="AJ2434">
        <v>85.306761116133103</v>
      </c>
      <c r="AK2434">
        <v>0.47390360349593402</v>
      </c>
      <c r="AL2434">
        <v>82.762439101371797</v>
      </c>
      <c r="AM2434">
        <v>87.537030461799105</v>
      </c>
      <c r="AN2434">
        <v>1.00000001079441</v>
      </c>
    </row>
    <row r="2435" spans="1:40" x14ac:dyDescent="0.25">
      <c r="A2435" t="str">
        <f>"20190312164312483"</f>
        <v>20190312164312483</v>
      </c>
      <c r="B2435" t="str">
        <f>"1552380192476724"</f>
        <v>1552380192476724</v>
      </c>
      <c r="C2435" t="s">
        <v>40</v>
      </c>
      <c r="D2435">
        <v>4.6820810000000002</v>
      </c>
      <c r="E2435">
        <v>0.50763170000000002</v>
      </c>
      <c r="F2435" t="s">
        <v>41</v>
      </c>
      <c r="G2435">
        <v>-445.20600000000002</v>
      </c>
      <c r="H2435">
        <v>1.048478</v>
      </c>
      <c r="I2435">
        <v>213.26169999999999</v>
      </c>
      <c r="J2435">
        <v>-445.63940000000002</v>
      </c>
      <c r="K2435">
        <v>1.1090439999999999</v>
      </c>
      <c r="L2435">
        <v>213.30690000000001</v>
      </c>
      <c r="M2435">
        <v>0.99988169999999998</v>
      </c>
      <c r="N2435">
        <v>0</v>
      </c>
      <c r="O2435">
        <v>-1.4738930000000001E-2</v>
      </c>
      <c r="P2435">
        <v>0.99091739999999995</v>
      </c>
      <c r="Q2435">
        <v>0.121530399999999</v>
      </c>
      <c r="R2435">
        <v>-5.7560809999999997E-2</v>
      </c>
      <c r="S2435">
        <v>3.046173</v>
      </c>
      <c r="T2435">
        <v>-0.24786710000000001</v>
      </c>
      <c r="U2435">
        <v>-0.2029572</v>
      </c>
      <c r="V2435">
        <v>4.2959919999999999E-2</v>
      </c>
      <c r="W2435">
        <v>0.12591640000000001</v>
      </c>
      <c r="X2435">
        <v>0.9911103</v>
      </c>
      <c r="Y2435">
        <v>5.164444E-2</v>
      </c>
      <c r="Z2435">
        <v>-8.9953440000000004E-4</v>
      </c>
      <c r="AA2435">
        <v>0.99866520000000003</v>
      </c>
      <c r="AB2435">
        <v>30</v>
      </c>
      <c r="AC2435">
        <v>0.43340000000006201</v>
      </c>
      <c r="AD2435">
        <v>-6.0566000000000099E-2</v>
      </c>
      <c r="AE2435">
        <v>-4.52000000000225E-2</v>
      </c>
      <c r="AF2435">
        <v>3.8071674239386802E-2</v>
      </c>
      <c r="AG2435">
        <v>-6.0566000000000099E-2</v>
      </c>
      <c r="AH2435">
        <v>0.42579328168180403</v>
      </c>
      <c r="AI2435">
        <v>98.063855790313795</v>
      </c>
      <c r="AJ2435">
        <v>84.890570265932794</v>
      </c>
      <c r="AK2435">
        <v>0.43176105829584699</v>
      </c>
      <c r="AL2435">
        <v>82.766320647668607</v>
      </c>
      <c r="AM2435">
        <v>87.518053919433498</v>
      </c>
      <c r="AN2435">
        <v>1.00000006064072</v>
      </c>
    </row>
    <row r="2436" spans="1:40" x14ac:dyDescent="0.25">
      <c r="A2436" t="str">
        <f>"20190312164312504"</f>
        <v>20190312164312504</v>
      </c>
      <c r="B2436" t="str">
        <f>"1552380192497221"</f>
        <v>1552380192497221</v>
      </c>
      <c r="C2436" t="s">
        <v>40</v>
      </c>
      <c r="D2436">
        <v>4.6961740000000001</v>
      </c>
      <c r="E2436">
        <v>0.50794349999999999</v>
      </c>
      <c r="F2436" t="s">
        <v>41</v>
      </c>
      <c r="G2436">
        <v>-444.67680000000001</v>
      </c>
      <c r="H2436">
        <v>1.030807</v>
      </c>
      <c r="I2436">
        <v>213.24250000000001</v>
      </c>
      <c r="J2436">
        <v>-445.35129999999998</v>
      </c>
      <c r="K2436">
        <v>1.1090409999999999</v>
      </c>
      <c r="L2436">
        <v>213.30260000000001</v>
      </c>
      <c r="M2436">
        <v>0.99988120000000003</v>
      </c>
      <c r="N2436">
        <v>0</v>
      </c>
      <c r="O2436">
        <v>-1.476101E-2</v>
      </c>
      <c r="P2436">
        <v>0.99089729999999998</v>
      </c>
      <c r="Q2436">
        <v>0.1216863</v>
      </c>
      <c r="R2436">
        <v>-5.7576090000000003E-2</v>
      </c>
      <c r="S2436">
        <v>3.0460509999999998</v>
      </c>
      <c r="T2436">
        <v>-0.2476585</v>
      </c>
      <c r="U2436">
        <v>-0.20269780000000001</v>
      </c>
      <c r="V2436">
        <v>4.2953749999999999E-2</v>
      </c>
      <c r="W2436">
        <v>0.1260829</v>
      </c>
      <c r="X2436">
        <v>0.99108929999999995</v>
      </c>
      <c r="Y2436">
        <v>5.1540969999999998E-2</v>
      </c>
      <c r="Z2436">
        <v>-8.9283399999999903E-4</v>
      </c>
      <c r="AA2436">
        <v>0.99867050000000002</v>
      </c>
      <c r="AB2436">
        <v>30</v>
      </c>
      <c r="AC2436">
        <v>0.67449999999996602</v>
      </c>
      <c r="AD2436">
        <v>-7.8233999999999901E-2</v>
      </c>
      <c r="AE2436">
        <v>-6.0100000000005503E-2</v>
      </c>
      <c r="AF2436">
        <v>4.9476673685469201E-2</v>
      </c>
      <c r="AG2436">
        <v>-7.8233999999999901E-2</v>
      </c>
      <c r="AH2436">
        <v>0.66641877959089701</v>
      </c>
      <c r="AI2436">
        <v>96.677361138635902</v>
      </c>
      <c r="AJ2436">
        <v>85.754001264613507</v>
      </c>
      <c r="AK2436">
        <v>0.672816832270417</v>
      </c>
      <c r="AL2436">
        <v>82.756703538733504</v>
      </c>
      <c r="AM2436">
        <v>87.518357420234494</v>
      </c>
      <c r="AN2436">
        <v>0.99999996144297998</v>
      </c>
    </row>
    <row r="2437" spans="1:40" x14ac:dyDescent="0.25">
      <c r="A2437" t="str">
        <f>"20190312164312526"</f>
        <v>20190312164312526</v>
      </c>
      <c r="B2437" t="str">
        <f>"1552380192516740"</f>
        <v>1552380192516740</v>
      </c>
      <c r="C2437" t="s">
        <v>40</v>
      </c>
      <c r="D2437">
        <v>4.8044570000000002</v>
      </c>
      <c r="E2437">
        <v>0.50786969999999998</v>
      </c>
      <c r="F2437" t="s">
        <v>41</v>
      </c>
      <c r="G2437">
        <v>-444.40570000000002</v>
      </c>
      <c r="H2437">
        <v>1.031253</v>
      </c>
      <c r="I2437">
        <v>213.23840000000001</v>
      </c>
      <c r="J2437">
        <v>-445.05900000000003</v>
      </c>
      <c r="K2437">
        <v>1.109038</v>
      </c>
      <c r="L2437">
        <v>213.29820000000001</v>
      </c>
      <c r="M2437">
        <v>0.99988080000000001</v>
      </c>
      <c r="N2437">
        <v>0</v>
      </c>
      <c r="O2437">
        <v>-1.478369E-2</v>
      </c>
      <c r="P2437">
        <v>0.99087150000000002</v>
      </c>
      <c r="Q2437">
        <v>0.12184929999999999</v>
      </c>
      <c r="R2437">
        <v>-5.767369E-2</v>
      </c>
      <c r="S2437">
        <v>3.046478</v>
      </c>
      <c r="T2437">
        <v>-0.25076009999999999</v>
      </c>
      <c r="U2437">
        <v>-0.2051086</v>
      </c>
      <c r="V2437">
        <v>4.3029379999999999E-2</v>
      </c>
      <c r="W2437">
        <v>0.12625749999999999</v>
      </c>
      <c r="X2437">
        <v>0.99106380000000005</v>
      </c>
      <c r="Y2437">
        <v>5.2290389999999999E-2</v>
      </c>
      <c r="Z2437">
        <v>-9.3272540000000005E-4</v>
      </c>
      <c r="AA2437">
        <v>0.99863150000000001</v>
      </c>
      <c r="AB2437">
        <v>30</v>
      </c>
      <c r="AC2437">
        <v>0.65330000000000099</v>
      </c>
      <c r="AD2437">
        <v>-7.7784999999999896E-2</v>
      </c>
      <c r="AE2437">
        <v>-5.97999999999956E-2</v>
      </c>
      <c r="AF2437">
        <v>4.9440124235338501E-2</v>
      </c>
      <c r="AG2437">
        <v>-7.7784999999999896E-2</v>
      </c>
      <c r="AH2437">
        <v>0.64504424363785695</v>
      </c>
      <c r="AI2437">
        <v>96.856101428858494</v>
      </c>
      <c r="AJ2437">
        <v>85.617071357548397</v>
      </c>
      <c r="AK2437">
        <v>0.65159566324503704</v>
      </c>
      <c r="AL2437">
        <v>82.746619167236602</v>
      </c>
      <c r="AM2437">
        <v>87.513929507812605</v>
      </c>
      <c r="AN2437">
        <v>0.99999996975993599</v>
      </c>
    </row>
    <row r="2438" spans="1:40" x14ac:dyDescent="0.25">
      <c r="A2438" t="str">
        <f>"20190312164312549"</f>
        <v>20190312164312549</v>
      </c>
      <c r="B2438" t="str">
        <f>"1552380192546996"</f>
        <v>1552380192546996</v>
      </c>
      <c r="C2438" t="s">
        <v>40</v>
      </c>
      <c r="D2438">
        <v>4.7055999999999996</v>
      </c>
      <c r="E2438">
        <v>0.50763789999999998</v>
      </c>
      <c r="F2438" t="s">
        <v>41</v>
      </c>
      <c r="G2438">
        <v>-444.1327</v>
      </c>
      <c r="H2438">
        <v>1.0333889999999999</v>
      </c>
      <c r="I2438">
        <v>213.23560000000001</v>
      </c>
      <c r="J2438">
        <v>-444.74509999999998</v>
      </c>
      <c r="K2438">
        <v>1.109029</v>
      </c>
      <c r="L2438">
        <v>213.2936</v>
      </c>
      <c r="M2438">
        <v>0.9998804</v>
      </c>
      <c r="N2438">
        <v>0</v>
      </c>
      <c r="O2438">
        <v>-1.4807809999999999E-2</v>
      </c>
      <c r="P2438">
        <v>0.99081269999999999</v>
      </c>
      <c r="Q2438">
        <v>0.122085</v>
      </c>
      <c r="R2438">
        <v>-5.8187290000000003E-2</v>
      </c>
      <c r="S2438">
        <v>3.0463559999999998</v>
      </c>
      <c r="T2438">
        <v>-0.24882389999999999</v>
      </c>
      <c r="U2438">
        <v>-0.2047882</v>
      </c>
      <c r="V2438">
        <v>4.3519769999999999E-2</v>
      </c>
      <c r="W2438">
        <v>0.1265115</v>
      </c>
      <c r="X2438">
        <v>0.99100999999999995</v>
      </c>
      <c r="Y2438">
        <v>5.2166810000000001E-2</v>
      </c>
      <c r="Z2438">
        <v>-9.1859000000000005E-4</v>
      </c>
      <c r="AA2438">
        <v>0.99863800000000003</v>
      </c>
      <c r="AB2438">
        <v>30</v>
      </c>
      <c r="AC2438">
        <v>0.61239999999997896</v>
      </c>
      <c r="AD2438">
        <v>-7.5640000000000096E-2</v>
      </c>
      <c r="AE2438">
        <v>-5.7999999999992703E-2</v>
      </c>
      <c r="AF2438">
        <v>4.8196511743116399E-2</v>
      </c>
      <c r="AG2438">
        <v>-7.5640000000000096E-2</v>
      </c>
      <c r="AH2438">
        <v>0.604058297580646</v>
      </c>
      <c r="AI2438">
        <v>97.115031610209897</v>
      </c>
      <c r="AJ2438">
        <v>85.438157047281607</v>
      </c>
      <c r="AK2438">
        <v>0.61068055497144602</v>
      </c>
      <c r="AL2438">
        <v>82.731948437396994</v>
      </c>
      <c r="AM2438">
        <v>87.485496510113407</v>
      </c>
      <c r="AN2438">
        <v>0.99999997505655103</v>
      </c>
    </row>
    <row r="2439" spans="1:40" x14ac:dyDescent="0.25">
      <c r="A2439" t="str">
        <f>"20190312164312572"</f>
        <v>20190312164312572</v>
      </c>
      <c r="B2439" t="str">
        <f>"1552380192566516"</f>
        <v>1552380192566516</v>
      </c>
      <c r="C2439" t="s">
        <v>40</v>
      </c>
      <c r="D2439">
        <v>4.7007960000000004</v>
      </c>
      <c r="E2439">
        <v>0.50746139999999995</v>
      </c>
      <c r="F2439" t="s">
        <v>41</v>
      </c>
      <c r="G2439">
        <v>-443.85759999999999</v>
      </c>
      <c r="H2439">
        <v>1.037452</v>
      </c>
      <c r="I2439">
        <v>213.2336</v>
      </c>
      <c r="J2439">
        <v>-444.43400000000003</v>
      </c>
      <c r="K2439">
        <v>1.1090340000000001</v>
      </c>
      <c r="L2439">
        <v>213.28890000000001</v>
      </c>
      <c r="M2439">
        <v>0.99988010000000005</v>
      </c>
      <c r="N2439">
        <v>0</v>
      </c>
      <c r="O2439">
        <v>-1.4831820000000001E-2</v>
      </c>
      <c r="P2439">
        <v>0.99081240000000004</v>
      </c>
      <c r="Q2439">
        <v>0.1221637</v>
      </c>
      <c r="R2439">
        <v>-5.802599E-2</v>
      </c>
      <c r="S2439">
        <v>3.0460820000000002</v>
      </c>
      <c r="T2439">
        <v>-0.24587229999999999</v>
      </c>
      <c r="U2439">
        <v>-0.20420840000000001</v>
      </c>
      <c r="V2439">
        <v>4.3334869999999998E-2</v>
      </c>
      <c r="W2439">
        <v>0.12661220000000001</v>
      </c>
      <c r="X2439">
        <v>0.99100520000000003</v>
      </c>
      <c r="Y2439">
        <v>5.1963240000000001E-2</v>
      </c>
      <c r="Z2439">
        <v>-8.9769019999999999E-4</v>
      </c>
      <c r="AA2439">
        <v>0.9986486</v>
      </c>
      <c r="AB2439">
        <v>30</v>
      </c>
      <c r="AC2439">
        <v>0.576400000000035</v>
      </c>
      <c r="AD2439">
        <v>-7.1582000000000007E-2</v>
      </c>
      <c r="AE2439">
        <v>-5.5300000000016697E-2</v>
      </c>
      <c r="AF2439">
        <v>4.60411696493256E-2</v>
      </c>
      <c r="AG2439">
        <v>-7.1582000000000007E-2</v>
      </c>
      <c r="AH2439">
        <v>0.56846944746940997</v>
      </c>
      <c r="AI2439">
        <v>97.153763328988106</v>
      </c>
      <c r="AJ2439">
        <v>85.369638069243294</v>
      </c>
      <c r="AK2439">
        <v>0.57480543206623802</v>
      </c>
      <c r="AL2439">
        <v>82.726131675010706</v>
      </c>
      <c r="AM2439">
        <v>87.496154002718697</v>
      </c>
      <c r="AN2439">
        <v>0.99999993328689596</v>
      </c>
    </row>
    <row r="2440" spans="1:40" x14ac:dyDescent="0.25">
      <c r="A2440" t="str">
        <f>"20190312164312593"</f>
        <v>20190312164312593</v>
      </c>
      <c r="B2440" t="str">
        <f>"1552380192587012"</f>
        <v>1552380192587012</v>
      </c>
      <c r="C2440" t="s">
        <v>40</v>
      </c>
      <c r="D2440">
        <v>4.8554029999999999</v>
      </c>
      <c r="E2440">
        <v>0.50780809999999998</v>
      </c>
      <c r="F2440" t="s">
        <v>41</v>
      </c>
      <c r="G2440">
        <v>-443.58199999999999</v>
      </c>
      <c r="H2440">
        <v>1.0404089999999999</v>
      </c>
      <c r="I2440">
        <v>213.2319</v>
      </c>
      <c r="J2440">
        <v>-444.13240000000002</v>
      </c>
      <c r="K2440">
        <v>1.109038</v>
      </c>
      <c r="L2440">
        <v>213.28450000000001</v>
      </c>
      <c r="M2440">
        <v>0.99987950000000003</v>
      </c>
      <c r="N2440">
        <v>0</v>
      </c>
      <c r="O2440">
        <v>-1.4855E-2</v>
      </c>
      <c r="P2440">
        <v>0.99087259999999999</v>
      </c>
      <c r="Q2440">
        <v>0.1218467</v>
      </c>
      <c r="R2440">
        <v>-5.7660929999999999E-2</v>
      </c>
      <c r="S2440">
        <v>3.0462039999999999</v>
      </c>
      <c r="T2440">
        <v>-0.2454538</v>
      </c>
      <c r="U2440">
        <v>-0.2024994</v>
      </c>
      <c r="V2440">
        <v>4.2946030000000003E-2</v>
      </c>
      <c r="W2440">
        <v>0.1263175</v>
      </c>
      <c r="X2440">
        <v>0.99105980000000005</v>
      </c>
      <c r="Y2440">
        <v>5.1381999999999997E-2</v>
      </c>
      <c r="Z2440">
        <v>-8.7093070000000003E-4</v>
      </c>
      <c r="AA2440">
        <v>0.99867870000000003</v>
      </c>
      <c r="AB2440">
        <v>31</v>
      </c>
      <c r="AC2440">
        <v>0.55040000000002398</v>
      </c>
      <c r="AD2440">
        <v>-6.8628999999999996E-2</v>
      </c>
      <c r="AE2440">
        <v>-5.2600000000012401E-2</v>
      </c>
      <c r="AF2440">
        <v>4.3743969951296403E-2</v>
      </c>
      <c r="AG2440">
        <v>-6.8628999999999996E-2</v>
      </c>
      <c r="AH2440">
        <v>0.54275852138765501</v>
      </c>
      <c r="AI2440">
        <v>97.183461561202904</v>
      </c>
      <c r="AJ2440">
        <v>85.392169766226004</v>
      </c>
      <c r="AK2440">
        <v>0.54882628133774203</v>
      </c>
      <c r="AL2440">
        <v>82.743153893240404</v>
      </c>
      <c r="AM2440">
        <v>87.518729120619994</v>
      </c>
      <c r="AN2440">
        <v>0.99999999973752496</v>
      </c>
    </row>
    <row r="2441" spans="1:40" x14ac:dyDescent="0.25">
      <c r="A2441" t="str">
        <f>"20190312164312616"</f>
        <v>20190312164312616</v>
      </c>
      <c r="B2441" t="str">
        <f>"1552380192606533"</f>
        <v>1552380192606533</v>
      </c>
      <c r="C2441" t="s">
        <v>40</v>
      </c>
      <c r="D2441">
        <v>4.7002649999999999</v>
      </c>
      <c r="E2441">
        <v>0.50773259999999998</v>
      </c>
      <c r="F2441" t="s">
        <v>41</v>
      </c>
      <c r="G2441">
        <v>-443.30579999999998</v>
      </c>
      <c r="H2441">
        <v>1.0424850000000001</v>
      </c>
      <c r="I2441">
        <v>213.22880000000001</v>
      </c>
      <c r="J2441">
        <v>-443.82979999999998</v>
      </c>
      <c r="K2441">
        <v>1.1090409999999999</v>
      </c>
      <c r="L2441">
        <v>213.2799</v>
      </c>
      <c r="M2441">
        <v>0.99987910000000002</v>
      </c>
      <c r="N2441">
        <v>0</v>
      </c>
      <c r="O2441">
        <v>-1.487806E-2</v>
      </c>
      <c r="P2441">
        <v>0.99094749999999998</v>
      </c>
      <c r="Q2441">
        <v>0.1214508</v>
      </c>
      <c r="R2441">
        <v>-5.7211449999999997E-2</v>
      </c>
      <c r="S2441">
        <v>3.0459589999999999</v>
      </c>
      <c r="T2441">
        <v>-0.24533340000000001</v>
      </c>
      <c r="U2441">
        <v>-0.20426939999999999</v>
      </c>
      <c r="V2441">
        <v>4.2472330000000003E-2</v>
      </c>
      <c r="W2441">
        <v>0.12594759999999999</v>
      </c>
      <c r="X2441">
        <v>0.99112730000000004</v>
      </c>
      <c r="Y2441">
        <v>5.1940390000000003E-2</v>
      </c>
      <c r="Z2441">
        <v>-8.9113250000000005E-4</v>
      </c>
      <c r="AA2441">
        <v>0.99864980000000003</v>
      </c>
      <c r="AB2441">
        <v>31</v>
      </c>
      <c r="AC2441">
        <v>0.52400000000000002</v>
      </c>
      <c r="AD2441">
        <v>-6.6555999999999796E-2</v>
      </c>
      <c r="AE2441">
        <v>-5.1099999999991E-2</v>
      </c>
      <c r="AF2441">
        <v>4.2617101194685501E-2</v>
      </c>
      <c r="AG2441">
        <v>-6.6555999999999796E-2</v>
      </c>
      <c r="AH2441">
        <v>0.51644895754768005</v>
      </c>
      <c r="AI2441">
        <v>97.318763085101196</v>
      </c>
      <c r="AJ2441">
        <v>85.282669995712396</v>
      </c>
      <c r="AK2441">
        <v>0.52246094993054104</v>
      </c>
      <c r="AL2441">
        <v>82.764518311047595</v>
      </c>
      <c r="AM2441">
        <v>87.546231120171399</v>
      </c>
      <c r="AN2441">
        <v>1.00000001078333</v>
      </c>
    </row>
    <row r="2442" spans="1:40" x14ac:dyDescent="0.25">
      <c r="A2442" t="str">
        <f>"20190312164312638"</f>
        <v>20190312164312638</v>
      </c>
      <c r="B2442" t="str">
        <f>"1552380192627028"</f>
        <v>1552380192627028</v>
      </c>
      <c r="C2442" t="s">
        <v>40</v>
      </c>
      <c r="D2442">
        <v>4.6804249999999996</v>
      </c>
      <c r="E2442">
        <v>0.50792820000000005</v>
      </c>
      <c r="F2442" t="s">
        <v>41</v>
      </c>
      <c r="G2442">
        <v>-443.02870000000001</v>
      </c>
      <c r="H2442">
        <v>1.0441659999999999</v>
      </c>
      <c r="I2442">
        <v>213.22620000000001</v>
      </c>
      <c r="J2442">
        <v>-443.51620000000003</v>
      </c>
      <c r="K2442">
        <v>1.1090439999999999</v>
      </c>
      <c r="L2442">
        <v>213.27520000000001</v>
      </c>
      <c r="M2442">
        <v>0.99987859999999995</v>
      </c>
      <c r="N2442">
        <v>0</v>
      </c>
      <c r="O2442">
        <v>-1.4900299999999899E-2</v>
      </c>
      <c r="P2442">
        <v>0.99096289999999998</v>
      </c>
      <c r="Q2442">
        <v>0.1217606</v>
      </c>
      <c r="R2442">
        <v>-5.6276430000000002E-2</v>
      </c>
      <c r="S2442">
        <v>3.0459290000000001</v>
      </c>
      <c r="T2442">
        <v>-0.2467337</v>
      </c>
      <c r="U2442">
        <v>-0.20252990000000001</v>
      </c>
      <c r="V2442">
        <v>4.1515129999999997E-2</v>
      </c>
      <c r="W2442">
        <v>0.1262877</v>
      </c>
      <c r="X2442">
        <v>0.99112460000000002</v>
      </c>
      <c r="Y2442">
        <v>5.1351670000000002E-2</v>
      </c>
      <c r="Z2442">
        <v>-8.7065160000000005E-4</v>
      </c>
      <c r="AA2442">
        <v>0.99868020000000002</v>
      </c>
      <c r="AB2442">
        <v>31</v>
      </c>
      <c r="AC2442">
        <v>0.48750000000001098</v>
      </c>
      <c r="AD2442">
        <v>-6.4878000000000199E-2</v>
      </c>
      <c r="AE2442">
        <v>-4.9000000000006497E-2</v>
      </c>
      <c r="AF2442">
        <v>4.1011494431203402E-2</v>
      </c>
      <c r="AG2442">
        <v>-6.4878000000000199E-2</v>
      </c>
      <c r="AH2442">
        <v>0.47976383973240599</v>
      </c>
      <c r="AI2442">
        <v>97.673684501084395</v>
      </c>
      <c r="AJ2442">
        <v>85.114081568959904</v>
      </c>
      <c r="AK2442">
        <v>0.485864630812187</v>
      </c>
      <c r="AL2442">
        <v>82.744875318960496</v>
      </c>
      <c r="AM2442">
        <v>87.601459918143206</v>
      </c>
      <c r="AN2442">
        <v>1.00000003095768</v>
      </c>
    </row>
    <row r="2443" spans="1:40" x14ac:dyDescent="0.25">
      <c r="A2443" t="str">
        <f>"20190312164312664"</f>
        <v>20190312164312664</v>
      </c>
      <c r="B2443" t="str">
        <f>"1552380192657284"</f>
        <v>1552380192657284</v>
      </c>
      <c r="C2443" t="s">
        <v>40</v>
      </c>
      <c r="D2443">
        <v>4.8902239999999999</v>
      </c>
      <c r="E2443">
        <v>0.50823679999999904</v>
      </c>
      <c r="F2443" t="s">
        <v>41</v>
      </c>
      <c r="G2443">
        <v>-442.74950000000001</v>
      </c>
      <c r="H2443">
        <v>1.047604</v>
      </c>
      <c r="I2443">
        <v>213.22409999999999</v>
      </c>
      <c r="J2443">
        <v>-443.18520000000001</v>
      </c>
      <c r="K2443">
        <v>1.1090500000000001</v>
      </c>
      <c r="L2443">
        <v>213.27029999999999</v>
      </c>
      <c r="M2443">
        <v>0.99987820000000005</v>
      </c>
      <c r="N2443">
        <v>0</v>
      </c>
      <c r="O2443">
        <v>-1.491777E-2</v>
      </c>
      <c r="P2443">
        <v>0.9910137</v>
      </c>
      <c r="Q2443">
        <v>0.1216288</v>
      </c>
      <c r="R2443">
        <v>-5.5663270000000001E-2</v>
      </c>
      <c r="S2443">
        <v>3.0459290000000001</v>
      </c>
      <c r="T2443">
        <v>-0.2442811</v>
      </c>
      <c r="U2443">
        <v>-0.2012939</v>
      </c>
      <c r="V2443">
        <v>4.0882780000000001E-2</v>
      </c>
      <c r="W2443">
        <v>0.12619079999999999</v>
      </c>
      <c r="X2443">
        <v>0.99116320000000002</v>
      </c>
      <c r="Y2443">
        <v>5.0934470000000003E-2</v>
      </c>
      <c r="Z2443">
        <v>-8.4395450000000001E-4</v>
      </c>
      <c r="AA2443">
        <v>0.99870159999999997</v>
      </c>
      <c r="AB2443">
        <v>31</v>
      </c>
      <c r="AC2443">
        <v>0.43569999999999698</v>
      </c>
      <c r="AD2443">
        <v>-6.1446000000000098E-2</v>
      </c>
      <c r="AE2443">
        <v>-4.6199999999998902E-2</v>
      </c>
      <c r="AF2443">
        <v>3.8929460418303898E-2</v>
      </c>
      <c r="AG2443">
        <v>-6.1446000000000098E-2</v>
      </c>
      <c r="AH2443">
        <v>0.427924383219218</v>
      </c>
      <c r="AI2443">
        <v>98.138138793650995</v>
      </c>
      <c r="AJ2443">
        <v>84.801953282530803</v>
      </c>
      <c r="AK2443">
        <v>0.43406265856211201</v>
      </c>
      <c r="AL2443">
        <v>82.750471860905606</v>
      </c>
      <c r="AM2443">
        <v>87.638044176112203</v>
      </c>
      <c r="AN2443">
        <v>1.0000000043696999</v>
      </c>
    </row>
    <row r="2444" spans="1:40" x14ac:dyDescent="0.25">
      <c r="A2444" t="str">
        <f>"20190312164312686"</f>
        <v>20190312164312686</v>
      </c>
      <c r="B2444" t="str">
        <f>"1552380192676804"</f>
        <v>1552380192676804</v>
      </c>
      <c r="C2444" t="s">
        <v>40</v>
      </c>
      <c r="D2444">
        <v>4.6831449999999997</v>
      </c>
      <c r="E2444">
        <v>0.50837869999999996</v>
      </c>
      <c r="F2444" t="s">
        <v>41</v>
      </c>
      <c r="G2444">
        <v>-442.2002</v>
      </c>
      <c r="H2444">
        <v>1.0301800000000001</v>
      </c>
      <c r="I2444">
        <v>213.20429999999999</v>
      </c>
      <c r="J2444">
        <v>-442.85140000000001</v>
      </c>
      <c r="K2444">
        <v>1.109049</v>
      </c>
      <c r="L2444">
        <v>213.2653</v>
      </c>
      <c r="M2444">
        <v>0.99987780000000004</v>
      </c>
      <c r="N2444">
        <v>0</v>
      </c>
      <c r="O2444">
        <v>-1.4928800000000001E-2</v>
      </c>
      <c r="P2444">
        <v>0.9909616</v>
      </c>
      <c r="Q2444">
        <v>0.1218264</v>
      </c>
      <c r="R2444">
        <v>-5.6156310000000001E-2</v>
      </c>
      <c r="S2444">
        <v>3.0458370000000001</v>
      </c>
      <c r="T2444">
        <v>-0.24405589999999999</v>
      </c>
      <c r="U2444">
        <v>-0.2016754</v>
      </c>
      <c r="V2444">
        <v>4.1364400000000003E-2</v>
      </c>
      <c r="W2444">
        <v>0.12642719999999999</v>
      </c>
      <c r="X2444">
        <v>0.99111309999999997</v>
      </c>
      <c r="Y2444">
        <v>5.1049839999999999E-2</v>
      </c>
      <c r="Z2444">
        <v>-8.4692879999999999E-4</v>
      </c>
      <c r="AA2444">
        <v>0.99869569999999996</v>
      </c>
      <c r="AB2444">
        <v>31</v>
      </c>
      <c r="AC2444">
        <v>0.65120000000001699</v>
      </c>
      <c r="AD2444">
        <v>-7.8868999999999995E-2</v>
      </c>
      <c r="AE2444">
        <v>-6.1000000000007E-2</v>
      </c>
      <c r="AF2444">
        <v>5.0536617579276501E-2</v>
      </c>
      <c r="AG2444">
        <v>-7.8868999999999995E-2</v>
      </c>
      <c r="AH2444">
        <v>0.64269279696627002</v>
      </c>
      <c r="AI2444">
        <v>96.974840594504499</v>
      </c>
      <c r="AJ2444">
        <v>85.503934117446093</v>
      </c>
      <c r="AK2444">
        <v>0.64948310228186901</v>
      </c>
      <c r="AL2444">
        <v>82.736817850820998</v>
      </c>
      <c r="AM2444">
        <v>87.610130543617103</v>
      </c>
      <c r="AN2444">
        <v>1.0000000137394001</v>
      </c>
    </row>
    <row r="2445" spans="1:40" x14ac:dyDescent="0.25">
      <c r="A2445" t="str">
        <f>"20190312164312705"</f>
        <v>20190312164312705</v>
      </c>
      <c r="B2445" t="str">
        <f>"1552380192697301"</f>
        <v>1552380192697301</v>
      </c>
      <c r="C2445" t="s">
        <v>40</v>
      </c>
      <c r="D2445">
        <v>4.6971339999999904</v>
      </c>
      <c r="E2445">
        <v>0.50846769999999997</v>
      </c>
      <c r="F2445" t="s">
        <v>41</v>
      </c>
      <c r="G2445">
        <v>-441.9169</v>
      </c>
      <c r="H2445">
        <v>1.035709</v>
      </c>
      <c r="I2445">
        <v>213.20259999999999</v>
      </c>
      <c r="J2445">
        <v>-442.58300000000003</v>
      </c>
      <c r="K2445">
        <v>1.109059</v>
      </c>
      <c r="L2445">
        <v>213.26130000000001</v>
      </c>
      <c r="M2445">
        <v>0.99987760000000003</v>
      </c>
      <c r="N2445">
        <v>0</v>
      </c>
      <c r="O2445">
        <v>-1.49347E-2</v>
      </c>
      <c r="P2445">
        <v>0.9909616</v>
      </c>
      <c r="Q2445">
        <v>0.12175080000000001</v>
      </c>
      <c r="R2445">
        <v>-5.6321910000000003E-2</v>
      </c>
      <c r="S2445">
        <v>3.0452270000000001</v>
      </c>
      <c r="T2445">
        <v>-0.2390437</v>
      </c>
      <c r="U2445">
        <v>-0.2039185</v>
      </c>
      <c r="V2445">
        <v>4.1522990000000003E-2</v>
      </c>
      <c r="W2445">
        <v>0.126385199999999</v>
      </c>
      <c r="X2445">
        <v>0.99111179999999999</v>
      </c>
      <c r="Y2445">
        <v>5.1791879999999998E-2</v>
      </c>
      <c r="Z2445">
        <v>-8.5832179999999897E-4</v>
      </c>
      <c r="AA2445">
        <v>0.99865749999999998</v>
      </c>
      <c r="AB2445">
        <v>31</v>
      </c>
      <c r="AC2445">
        <v>0.666100000000028</v>
      </c>
      <c r="AD2445">
        <v>-7.3349999999999999E-2</v>
      </c>
      <c r="AE2445">
        <v>-5.8700000000015899E-2</v>
      </c>
      <c r="AF2445">
        <v>4.8165778838827097E-2</v>
      </c>
      <c r="AG2445">
        <v>-7.3349999999999999E-2</v>
      </c>
      <c r="AH2445">
        <v>0.65897318475109401</v>
      </c>
      <c r="AI2445">
        <v>96.3346609203208</v>
      </c>
      <c r="AJ2445">
        <v>85.819561287895993</v>
      </c>
      <c r="AK2445">
        <v>0.66479005932109902</v>
      </c>
      <c r="AL2445">
        <v>82.739243550441799</v>
      </c>
      <c r="AM2445">
        <v>87.600975390199494</v>
      </c>
      <c r="AN2445">
        <v>0.99999998878841001</v>
      </c>
    </row>
    <row r="2446" spans="1:40" x14ac:dyDescent="0.25">
      <c r="A2446" t="str">
        <f>"20190312164312727"</f>
        <v>20190312164312727</v>
      </c>
      <c r="B2446" t="str">
        <f>"1552380192716822"</f>
        <v>1552380192716822</v>
      </c>
      <c r="C2446" t="s">
        <v>40</v>
      </c>
      <c r="D2446">
        <v>4.6206959999999997</v>
      </c>
      <c r="E2446">
        <v>0.50845980000000002</v>
      </c>
      <c r="F2446" t="s">
        <v>41</v>
      </c>
      <c r="G2446">
        <v>-441.63560000000001</v>
      </c>
      <c r="H2446">
        <v>1.0352250000000001</v>
      </c>
      <c r="I2446">
        <v>213.19730000000001</v>
      </c>
      <c r="J2446">
        <v>-442.274</v>
      </c>
      <c r="K2446">
        <v>1.1090599999999999</v>
      </c>
      <c r="L2446">
        <v>213.2567</v>
      </c>
      <c r="M2446">
        <v>0.99987749999999997</v>
      </c>
      <c r="N2446">
        <v>0</v>
      </c>
      <c r="O2446">
        <v>-1.493835E-2</v>
      </c>
      <c r="P2446">
        <v>0.9909249</v>
      </c>
      <c r="Q2446">
        <v>0.12174550000000001</v>
      </c>
      <c r="R2446">
        <v>-5.697762E-2</v>
      </c>
      <c r="S2446">
        <v>3.0448909999999998</v>
      </c>
      <c r="T2446">
        <v>-0.23747840000000001</v>
      </c>
      <c r="U2446">
        <v>-0.20436099999999999</v>
      </c>
      <c r="V2446">
        <v>4.2174789999999997E-2</v>
      </c>
      <c r="W2446">
        <v>0.12641920000000001</v>
      </c>
      <c r="X2446">
        <v>0.99107990000000001</v>
      </c>
      <c r="Y2446">
        <v>5.1941069999999999E-2</v>
      </c>
      <c r="Z2446">
        <v>-8.5832599999999997E-4</v>
      </c>
      <c r="AA2446">
        <v>0.99864980000000003</v>
      </c>
      <c r="AB2446">
        <v>31</v>
      </c>
      <c r="AC2446">
        <v>0.63839999999998998</v>
      </c>
      <c r="AD2446">
        <v>-7.3834999999999804E-2</v>
      </c>
      <c r="AE2446">
        <v>-5.93999999999823E-2</v>
      </c>
      <c r="AF2446">
        <v>4.9204101157535401E-2</v>
      </c>
      <c r="AG2446">
        <v>-7.3834999999999804E-2</v>
      </c>
      <c r="AH2446">
        <v>0.63085004571446501</v>
      </c>
      <c r="AI2446">
        <v>96.655523722856699</v>
      </c>
      <c r="AJ2446">
        <v>85.540158352135805</v>
      </c>
      <c r="AK2446">
        <v>0.63705920523422599</v>
      </c>
      <c r="AL2446">
        <v>82.737279441693204</v>
      </c>
      <c r="AM2446">
        <v>87.563283818584495</v>
      </c>
      <c r="AN2446">
        <v>0.99999994761209499</v>
      </c>
    </row>
    <row r="2447" spans="1:40" x14ac:dyDescent="0.25">
      <c r="A2447" t="str">
        <f>"20190312164312750"</f>
        <v>20190312164312750</v>
      </c>
      <c r="B2447" t="str">
        <f>"1552380192747076"</f>
        <v>1552380192747076</v>
      </c>
      <c r="C2447" t="s">
        <v>40</v>
      </c>
      <c r="D2447">
        <v>4.5961670000000003</v>
      </c>
      <c r="E2447">
        <v>0.50843170000000004</v>
      </c>
      <c r="F2447" t="s">
        <v>41</v>
      </c>
      <c r="G2447">
        <v>-441.35199999999998</v>
      </c>
      <c r="H2447">
        <v>1.0371870000000001</v>
      </c>
      <c r="I2447">
        <v>213.19370000000001</v>
      </c>
      <c r="J2447">
        <v>-441.95139999999998</v>
      </c>
      <c r="K2447">
        <v>1.109067</v>
      </c>
      <c r="L2447">
        <v>213.2518</v>
      </c>
      <c r="M2447">
        <v>0.99987729999999997</v>
      </c>
      <c r="N2447">
        <v>0</v>
      </c>
      <c r="O2447">
        <v>-1.4936649999999999E-2</v>
      </c>
      <c r="P2447">
        <v>0.99096220000000002</v>
      </c>
      <c r="Q2447">
        <v>0.1215297</v>
      </c>
      <c r="R2447">
        <v>-5.6786549999999998E-2</v>
      </c>
      <c r="S2447">
        <v>3.044708</v>
      </c>
      <c r="T2447">
        <v>-0.23743010000000001</v>
      </c>
      <c r="U2447">
        <v>-0.20683289999999999</v>
      </c>
      <c r="V2447">
        <v>4.198387E-2</v>
      </c>
      <c r="W2447">
        <v>0.12625029999999901</v>
      </c>
      <c r="X2447">
        <v>0.99110960000000004</v>
      </c>
      <c r="Y2447">
        <v>5.2751439999999997E-2</v>
      </c>
      <c r="Z2447">
        <v>-8.8982609999999995E-4</v>
      </c>
      <c r="AA2447">
        <v>0.99860729999999998</v>
      </c>
      <c r="AB2447">
        <v>31</v>
      </c>
      <c r="AC2447">
        <v>0.59940000000000204</v>
      </c>
      <c r="AD2447">
        <v>-7.1879999999999902E-2</v>
      </c>
      <c r="AE2447">
        <v>-5.8099999999996002E-2</v>
      </c>
      <c r="AF2447">
        <v>4.8450125018316297E-2</v>
      </c>
      <c r="AG2447">
        <v>-7.1879999999999902E-2</v>
      </c>
      <c r="AH2447">
        <v>0.59177005287523599</v>
      </c>
      <c r="AI2447">
        <v>96.902695271901493</v>
      </c>
      <c r="AJ2447">
        <v>85.319449160379193</v>
      </c>
      <c r="AK2447">
        <v>0.59808523179748396</v>
      </c>
      <c r="AL2447">
        <v>82.747035328215205</v>
      </c>
      <c r="AM2447">
        <v>87.574373924729201</v>
      </c>
      <c r="AN2447">
        <v>1.00000001140121</v>
      </c>
    </row>
    <row r="2448" spans="1:40" x14ac:dyDescent="0.25">
      <c r="A2448" t="str">
        <f>"20190312164312772"</f>
        <v>20190312164312772</v>
      </c>
      <c r="B2448" t="str">
        <f>"1552380192767290"</f>
        <v>1552380192767290</v>
      </c>
      <c r="C2448" t="s">
        <v>40</v>
      </c>
      <c r="D2448">
        <v>4.6290389999999997</v>
      </c>
      <c r="E2448">
        <v>0.50844369999999905</v>
      </c>
      <c r="F2448" t="s">
        <v>41</v>
      </c>
      <c r="G2448">
        <v>-441.06670000000003</v>
      </c>
      <c r="H2448">
        <v>1.0401609999999999</v>
      </c>
      <c r="I2448">
        <v>213.19159999999999</v>
      </c>
      <c r="J2448">
        <v>-441.63459999999998</v>
      </c>
      <c r="K2448">
        <v>1.109075</v>
      </c>
      <c r="L2448">
        <v>213.24709999999999</v>
      </c>
      <c r="M2448">
        <v>0.99987700000000002</v>
      </c>
      <c r="N2448">
        <v>0</v>
      </c>
      <c r="O2448">
        <v>-1.4924700000000001E-2</v>
      </c>
      <c r="P2448">
        <v>0.99105189999999999</v>
      </c>
      <c r="Q2448">
        <v>0.1209142</v>
      </c>
      <c r="R2448">
        <v>-5.653271E-2</v>
      </c>
      <c r="S2448">
        <v>3.0446469999999999</v>
      </c>
      <c r="T2448">
        <v>-0.2373372</v>
      </c>
      <c r="U2448">
        <v>-0.20643619999999999</v>
      </c>
      <c r="V2448">
        <v>4.1738770000000001E-2</v>
      </c>
      <c r="W2448">
        <v>0.12568599999999999</v>
      </c>
      <c r="X2448">
        <v>0.99119170000000001</v>
      </c>
      <c r="Y2448">
        <v>5.2635599999999998E-2</v>
      </c>
      <c r="Z2448">
        <v>-8.8592619999999995E-4</v>
      </c>
      <c r="AA2448">
        <v>0.99861339999999998</v>
      </c>
      <c r="AB2448">
        <v>32</v>
      </c>
      <c r="AC2448">
        <v>0.567899999999951</v>
      </c>
      <c r="AD2448">
        <v>-6.8913999999999906E-2</v>
      </c>
      <c r="AE2448">
        <v>-5.5499999999994998E-2</v>
      </c>
      <c r="AF2448">
        <v>4.6342027332419801E-2</v>
      </c>
      <c r="AG2448">
        <v>-6.8913999999999906E-2</v>
      </c>
      <c r="AH2448">
        <v>0.56048964713389104</v>
      </c>
      <c r="AI2448">
        <v>96.985917886904105</v>
      </c>
      <c r="AJ2448">
        <v>85.273459928179307</v>
      </c>
      <c r="AK2448">
        <v>0.56660865457346499</v>
      </c>
      <c r="AL2448">
        <v>82.779627165863403</v>
      </c>
      <c r="AM2448">
        <v>87.588717364003898</v>
      </c>
      <c r="AN2448">
        <v>1.0000000408330001</v>
      </c>
    </row>
    <row r="2449" spans="1:40" x14ac:dyDescent="0.25">
      <c r="A2449" t="str">
        <f>"20190312164312793"</f>
        <v>20190312164312793</v>
      </c>
      <c r="B2449" t="str">
        <f>"1552380192786810"</f>
        <v>1552380192786810</v>
      </c>
      <c r="C2449" t="s">
        <v>40</v>
      </c>
      <c r="D2449">
        <v>4.6242409999999996</v>
      </c>
      <c r="E2449">
        <v>0.51280619999999999</v>
      </c>
      <c r="F2449" t="s">
        <v>41</v>
      </c>
      <c r="G2449">
        <v>-440.78140000000002</v>
      </c>
      <c r="H2449">
        <v>1.041595</v>
      </c>
      <c r="I2449">
        <v>213.1892</v>
      </c>
      <c r="J2449">
        <v>-441.32319999999999</v>
      </c>
      <c r="K2449">
        <v>1.1090819999999999</v>
      </c>
      <c r="L2449">
        <v>213.24250000000001</v>
      </c>
      <c r="M2449">
        <v>0.99987720000000002</v>
      </c>
      <c r="N2449">
        <v>0</v>
      </c>
      <c r="O2449">
        <v>-1.4902E-2</v>
      </c>
      <c r="P2449">
        <v>0.991089</v>
      </c>
      <c r="Q2449">
        <v>0.1208071</v>
      </c>
      <c r="R2449">
        <v>-5.6108789999999999E-2</v>
      </c>
      <c r="S2449">
        <v>3.0446780000000002</v>
      </c>
      <c r="T2449">
        <v>-0.24090449999999999</v>
      </c>
      <c r="U2449">
        <v>-0.20645140000000001</v>
      </c>
      <c r="V2449">
        <v>4.1334299999999997E-2</v>
      </c>
      <c r="W2449">
        <v>0.12563070000000001</v>
      </c>
      <c r="X2449">
        <v>0.99121559999999997</v>
      </c>
      <c r="Y2449">
        <v>5.2658990000000003E-2</v>
      </c>
      <c r="Z2449">
        <v>-9.0190470000000005E-4</v>
      </c>
      <c r="AA2449">
        <v>0.99861219999999995</v>
      </c>
      <c r="AB2449">
        <v>32</v>
      </c>
      <c r="AC2449">
        <v>0.54179999999996598</v>
      </c>
      <c r="AD2449">
        <v>-6.7486999999999797E-2</v>
      </c>
      <c r="AE2449">
        <v>-5.3300000000007203E-2</v>
      </c>
      <c r="AF2449">
        <v>4.4535717681961302E-2</v>
      </c>
      <c r="AG2449">
        <v>-6.7486999999999797E-2</v>
      </c>
      <c r="AH2449">
        <v>0.53432335797235797</v>
      </c>
      <c r="AI2449">
        <v>97.173934367330801</v>
      </c>
      <c r="AJ2449">
        <v>85.235424258236193</v>
      </c>
      <c r="AK2449">
        <v>0.54040667667350695</v>
      </c>
      <c r="AL2449">
        <v>82.782820506389001</v>
      </c>
      <c r="AM2449">
        <v>87.6121142539684</v>
      </c>
      <c r="AN2449">
        <v>0.99999998141116897</v>
      </c>
    </row>
    <row r="2450" spans="1:40" x14ac:dyDescent="0.25">
      <c r="A2450" t="str">
        <f>"20190312164312816"</f>
        <v>20190312164312816</v>
      </c>
      <c r="B2450" t="str">
        <f>"1552380192807306"</f>
        <v>1552380192807306</v>
      </c>
      <c r="C2450" t="s">
        <v>40</v>
      </c>
      <c r="D2450">
        <v>4.5561559999999997</v>
      </c>
      <c r="E2450">
        <v>0.51704039999999996</v>
      </c>
      <c r="F2450" t="s">
        <v>41</v>
      </c>
      <c r="G2450">
        <v>-440.5181</v>
      </c>
      <c r="H2450">
        <v>0.99569379999999996</v>
      </c>
      <c r="I2450">
        <v>213.1814</v>
      </c>
      <c r="J2450">
        <v>-441.01350000000002</v>
      </c>
      <c r="K2450">
        <v>1.1090850000000001</v>
      </c>
      <c r="L2450">
        <v>213.2379</v>
      </c>
      <c r="M2450">
        <v>0.99987740000000003</v>
      </c>
      <c r="N2450">
        <v>0</v>
      </c>
      <c r="O2450">
        <v>-1.487025E-2</v>
      </c>
      <c r="P2450">
        <v>0.99123819999999996</v>
      </c>
      <c r="Q2450">
        <v>0.12009309999999999</v>
      </c>
      <c r="R2450">
        <v>-5.4994519999999998E-2</v>
      </c>
      <c r="S2450">
        <v>3.066589</v>
      </c>
      <c r="T2450">
        <v>-0.43202750000000001</v>
      </c>
      <c r="U2450">
        <v>-0.23112489999999999</v>
      </c>
      <c r="V2450">
        <v>4.0246589999999999E-2</v>
      </c>
      <c r="W2450">
        <v>0.12497030000000001</v>
      </c>
      <c r="X2450">
        <v>0.99134389999999994</v>
      </c>
      <c r="Y2450">
        <v>5.9877050000000001E-2</v>
      </c>
      <c r="Z2450">
        <v>-2.1097949999999998E-3</v>
      </c>
      <c r="AA2450">
        <v>0.99820350000000002</v>
      </c>
      <c r="AB2450">
        <v>32</v>
      </c>
      <c r="AC2450">
        <v>0.49540000000001699</v>
      </c>
      <c r="AD2450">
        <v>-0.1133912</v>
      </c>
      <c r="AE2450">
        <v>-5.6499999999999703E-2</v>
      </c>
      <c r="AF2450">
        <v>4.6711175782723303E-2</v>
      </c>
      <c r="AG2450">
        <v>-0.1133912</v>
      </c>
      <c r="AH2450">
        <v>0.47178599934401799</v>
      </c>
      <c r="AI2450">
        <v>103.451037122664</v>
      </c>
      <c r="AJ2450">
        <v>84.345616375572106</v>
      </c>
      <c r="AK2450">
        <v>0.48746438573241302</v>
      </c>
      <c r="AL2450">
        <v>82.820959684037106</v>
      </c>
      <c r="AM2450">
        <v>87.675182038160102</v>
      </c>
      <c r="AN2450">
        <v>1.0000000459779601</v>
      </c>
    </row>
    <row r="2451" spans="1:40" x14ac:dyDescent="0.25">
      <c r="A2451" t="str">
        <f>"20190312164312838"</f>
        <v>20190312164312838</v>
      </c>
      <c r="B2451" t="str">
        <f>"1552380192826826"</f>
        <v>1552380192826826</v>
      </c>
      <c r="C2451" t="s">
        <v>40</v>
      </c>
      <c r="D2451">
        <v>4.5534299999999996</v>
      </c>
      <c r="E2451">
        <v>0.51822889999999999</v>
      </c>
      <c r="F2451" t="s">
        <v>41</v>
      </c>
      <c r="G2451">
        <v>-440.23140000000001</v>
      </c>
      <c r="H2451">
        <v>0.9959308</v>
      </c>
      <c r="I2451">
        <v>213.17099999999999</v>
      </c>
      <c r="J2451">
        <v>-440.69060000000002</v>
      </c>
      <c r="K2451">
        <v>1.1090960000000001</v>
      </c>
      <c r="L2451">
        <v>213.23320000000001</v>
      </c>
      <c r="M2451">
        <v>0.99987780000000004</v>
      </c>
      <c r="N2451">
        <v>0</v>
      </c>
      <c r="O2451">
        <v>-1.483016E-2</v>
      </c>
      <c r="P2451">
        <v>0.99124659999999998</v>
      </c>
      <c r="Q2451">
        <v>0.1200971</v>
      </c>
      <c r="R2451">
        <v>-5.4838530000000003E-2</v>
      </c>
      <c r="S2451">
        <v>3.065674</v>
      </c>
      <c r="T2451">
        <v>-0.443579</v>
      </c>
      <c r="U2451">
        <v>-0.26263429999999999</v>
      </c>
      <c r="V2451">
        <v>4.0127879999999998E-2</v>
      </c>
      <c r="W2451">
        <v>0.12503130000000001</v>
      </c>
      <c r="X2451">
        <v>0.99134100000000003</v>
      </c>
      <c r="Y2451">
        <v>7.0000899999999894E-2</v>
      </c>
      <c r="Z2451">
        <v>-2.8985080000000002E-3</v>
      </c>
      <c r="AA2451">
        <v>0.9975427</v>
      </c>
      <c r="AB2451">
        <v>32</v>
      </c>
      <c r="AC2451">
        <v>0.45920000000000899</v>
      </c>
      <c r="AD2451">
        <v>-0.11316519999999899</v>
      </c>
      <c r="AE2451">
        <v>-6.22000000000184E-2</v>
      </c>
      <c r="AF2451">
        <v>5.2266005524957498E-2</v>
      </c>
      <c r="AG2451">
        <v>-0.11316519999999899</v>
      </c>
      <c r="AH2451">
        <v>0.43417824777699998</v>
      </c>
      <c r="AI2451">
        <v>104.508401918247</v>
      </c>
      <c r="AJ2451">
        <v>83.135812610616895</v>
      </c>
      <c r="AK2451">
        <v>0.45171766477223502</v>
      </c>
      <c r="AL2451">
        <v>82.817436864258895</v>
      </c>
      <c r="AM2451">
        <v>87.682024979550206</v>
      </c>
      <c r="AN2451">
        <v>1.0000000255069901</v>
      </c>
    </row>
    <row r="2452" spans="1:40" x14ac:dyDescent="0.25">
      <c r="A2452" t="str">
        <f>"20190312164312863"</f>
        <v>20190312164312863</v>
      </c>
      <c r="B2452" t="str">
        <f>"1552380192857082"</f>
        <v>1552380192857082</v>
      </c>
      <c r="C2452" t="s">
        <v>40</v>
      </c>
      <c r="D2452">
        <v>4.4919200000000004</v>
      </c>
      <c r="E2452">
        <v>0.51916030000000002</v>
      </c>
      <c r="F2452" t="s">
        <v>41</v>
      </c>
      <c r="G2452">
        <v>-439.94299999999998</v>
      </c>
      <c r="H2452">
        <v>0.99765590000000004</v>
      </c>
      <c r="I2452">
        <v>213.16659999999999</v>
      </c>
      <c r="J2452">
        <v>-440.32740000000001</v>
      </c>
      <c r="K2452">
        <v>1.109113</v>
      </c>
      <c r="L2452">
        <v>213.2278</v>
      </c>
      <c r="M2452">
        <v>0.99987820000000005</v>
      </c>
      <c r="N2452">
        <v>0</v>
      </c>
      <c r="O2452">
        <v>-1.477794E-2</v>
      </c>
      <c r="P2452">
        <v>0.99125030000000003</v>
      </c>
      <c r="Q2452">
        <v>0.1201174</v>
      </c>
      <c r="R2452">
        <v>-5.4726509999999999E-2</v>
      </c>
      <c r="S2452">
        <v>3.0668950000000001</v>
      </c>
      <c r="T2452">
        <v>-0.4572811</v>
      </c>
      <c r="U2452">
        <v>-0.27093509999999998</v>
      </c>
      <c r="V2452">
        <v>4.0065539999999997E-2</v>
      </c>
      <c r="W2452">
        <v>0.12511359999999999</v>
      </c>
      <c r="X2452">
        <v>0.99133309999999997</v>
      </c>
      <c r="Y2452">
        <v>7.2634240000000003E-2</v>
      </c>
      <c r="Z2452">
        <v>-3.1881679999999999E-3</v>
      </c>
      <c r="AA2452">
        <v>0.99735359999999995</v>
      </c>
      <c r="AB2452">
        <v>32</v>
      </c>
      <c r="AC2452">
        <v>0.38439999999997099</v>
      </c>
      <c r="AD2452">
        <v>-0.111457099999999</v>
      </c>
      <c r="AE2452">
        <v>-6.1200000000013598E-2</v>
      </c>
      <c r="AF2452">
        <v>5.1305874382177499E-2</v>
      </c>
      <c r="AG2452">
        <v>-0.111457099999999</v>
      </c>
      <c r="AH2452">
        <v>0.35606735648962101</v>
      </c>
      <c r="AI2452">
        <v>107.214171198659</v>
      </c>
      <c r="AJ2452">
        <v>81.800664531566696</v>
      </c>
      <c r="AK2452">
        <v>0.37661510888974797</v>
      </c>
      <c r="AL2452">
        <v>82.812683828580504</v>
      </c>
      <c r="AM2452">
        <v>87.685603688847607</v>
      </c>
      <c r="AN2452">
        <v>0.99999998777803001</v>
      </c>
    </row>
    <row r="2453" spans="1:40" x14ac:dyDescent="0.25">
      <c r="A2453" t="str">
        <f>"20190312164312886"</f>
        <v>20190312164312886</v>
      </c>
      <c r="B2453" t="str">
        <f>"1552380192877238"</f>
        <v>1552380192877238</v>
      </c>
      <c r="C2453" t="s">
        <v>40</v>
      </c>
      <c r="D2453">
        <v>4.4562929999999996</v>
      </c>
      <c r="E2453">
        <v>0.51956539999999996</v>
      </c>
      <c r="F2453" t="s">
        <v>41</v>
      </c>
      <c r="G2453">
        <v>-439.38099999999997</v>
      </c>
      <c r="H2453">
        <v>0.96456019999999998</v>
      </c>
      <c r="I2453">
        <v>213.14250000000001</v>
      </c>
      <c r="J2453">
        <v>-440.00529999999998</v>
      </c>
      <c r="K2453">
        <v>1.1091329999999999</v>
      </c>
      <c r="L2453">
        <v>213.22309999999999</v>
      </c>
      <c r="M2453">
        <v>0.99987859999999995</v>
      </c>
      <c r="N2453">
        <v>0</v>
      </c>
      <c r="O2453">
        <v>-1.472739E-2</v>
      </c>
      <c r="P2453">
        <v>0.99121219999999999</v>
      </c>
      <c r="Q2453">
        <v>0.1207609</v>
      </c>
      <c r="R2453">
        <v>-5.3995649999999999E-2</v>
      </c>
      <c r="S2453">
        <v>3.068085</v>
      </c>
      <c r="T2453">
        <v>-0.4687537</v>
      </c>
      <c r="U2453">
        <v>-0.27584839999999999</v>
      </c>
      <c r="V2453">
        <v>3.9384280000000001E-2</v>
      </c>
      <c r="W2453">
        <v>0.12580810000000001</v>
      </c>
      <c r="X2453">
        <v>0.9912725</v>
      </c>
      <c r="Y2453">
        <v>7.4185420000000002E-2</v>
      </c>
      <c r="Z2453">
        <v>-3.3910250000000002E-3</v>
      </c>
      <c r="AA2453">
        <v>0.99723870000000003</v>
      </c>
      <c r="AB2453">
        <v>32</v>
      </c>
      <c r="AC2453">
        <v>0.62430000000000496</v>
      </c>
      <c r="AD2453">
        <v>-0.1445728</v>
      </c>
      <c r="AE2453">
        <v>-8.0599999999975497E-2</v>
      </c>
      <c r="AF2453">
        <v>6.7819476794695494E-2</v>
      </c>
      <c r="AG2453">
        <v>-0.1445728</v>
      </c>
      <c r="AH2453">
        <v>0.59408256776308299</v>
      </c>
      <c r="AI2453">
        <v>103.592361350339</v>
      </c>
      <c r="AJ2453">
        <v>83.487402551025099</v>
      </c>
      <c r="AK2453">
        <v>0.61517060499712195</v>
      </c>
      <c r="AL2453">
        <v>82.772574966673105</v>
      </c>
      <c r="AM2453">
        <v>87.724776202132304</v>
      </c>
      <c r="AN2453">
        <v>0.99999998439648896</v>
      </c>
    </row>
    <row r="2454" spans="1:40" x14ac:dyDescent="0.25">
      <c r="A2454" t="str">
        <f>"20190312164312927"</f>
        <v>20190312164312927</v>
      </c>
      <c r="B2454" t="str">
        <f>"1552380192917254"</f>
        <v>1552380192917254</v>
      </c>
      <c r="C2454" t="s">
        <v>40</v>
      </c>
      <c r="D2454">
        <v>4.4248240000000001</v>
      </c>
      <c r="E2454">
        <v>0.51791790000000004</v>
      </c>
      <c r="F2454" t="s">
        <v>41</v>
      </c>
      <c r="G2454">
        <v>-439.08819999999997</v>
      </c>
      <c r="H2454">
        <v>0.96927390000000002</v>
      </c>
      <c r="I2454">
        <v>213.14009999999999</v>
      </c>
      <c r="J2454">
        <v>-439.39600000000002</v>
      </c>
      <c r="K2454">
        <v>1.109145</v>
      </c>
      <c r="L2454">
        <v>213.21420000000001</v>
      </c>
      <c r="M2454">
        <v>0.99987979999999999</v>
      </c>
      <c r="N2454">
        <v>0</v>
      </c>
      <c r="O2454">
        <v>-1.462746E-2</v>
      </c>
      <c r="P2454">
        <v>0.99123320000000004</v>
      </c>
      <c r="Q2454">
        <v>0.1210581</v>
      </c>
      <c r="R2454">
        <v>-5.2932489999999999E-2</v>
      </c>
      <c r="S2454">
        <v>3.0684809999999998</v>
      </c>
      <c r="T2454">
        <v>-0.46791670000000002</v>
      </c>
      <c r="U2454">
        <v>-0.27755740000000001</v>
      </c>
      <c r="V2454">
        <v>3.8419450000000001E-2</v>
      </c>
      <c r="W2454">
        <v>0.1261941</v>
      </c>
      <c r="X2454">
        <v>0.99126130000000001</v>
      </c>
      <c r="Y2454">
        <v>7.481873E-2</v>
      </c>
      <c r="Z2454">
        <v>-3.4475550000000002E-3</v>
      </c>
      <c r="AA2454">
        <v>0.99719120000000006</v>
      </c>
      <c r="AB2454">
        <v>32</v>
      </c>
      <c r="AC2454">
        <v>0.30779999999998597</v>
      </c>
      <c r="AD2454">
        <v>-0.1398711</v>
      </c>
      <c r="AE2454">
        <v>-7.4100000000015598E-2</v>
      </c>
      <c r="AF2454">
        <v>5.8224926170779401E-2</v>
      </c>
      <c r="AG2454">
        <v>-0.1398711</v>
      </c>
      <c r="AH2454">
        <v>0.25841224261947299</v>
      </c>
      <c r="AI2454">
        <v>117.83555322059399</v>
      </c>
      <c r="AJ2454">
        <v>77.302276317287493</v>
      </c>
      <c r="AK2454">
        <v>0.29955125400910598</v>
      </c>
      <c r="AL2454">
        <v>82.750281119560299</v>
      </c>
      <c r="AM2454">
        <v>87.780432785293399</v>
      </c>
      <c r="AN2454">
        <v>0.99999998494540099</v>
      </c>
    </row>
    <row r="2455" spans="1:40" x14ac:dyDescent="0.25">
      <c r="A2455" t="str">
        <f>"20190312164312950"</f>
        <v>20190312164312950</v>
      </c>
      <c r="B2455" t="str">
        <f>"1552380192946534"</f>
        <v>1552380192946534</v>
      </c>
      <c r="C2455" t="s">
        <v>40</v>
      </c>
      <c r="D2455">
        <v>4.4772119999999997</v>
      </c>
      <c r="E2455">
        <v>0.51965299999999903</v>
      </c>
      <c r="F2455" t="s">
        <v>41</v>
      </c>
      <c r="G2455">
        <v>-438.51389999999998</v>
      </c>
      <c r="H2455">
        <v>0.94848529999999998</v>
      </c>
      <c r="I2455">
        <v>213.14019999999999</v>
      </c>
      <c r="J2455">
        <v>-439.06619999999998</v>
      </c>
      <c r="K2455">
        <v>1.109151</v>
      </c>
      <c r="L2455">
        <v>213.20949999999999</v>
      </c>
      <c r="M2455">
        <v>0.99988030000000006</v>
      </c>
      <c r="N2455">
        <v>0</v>
      </c>
      <c r="O2455">
        <v>-1.4572720000000001E-2</v>
      </c>
      <c r="P2455">
        <v>0.99130419999999997</v>
      </c>
      <c r="Q2455">
        <v>0.1207411</v>
      </c>
      <c r="R2455">
        <v>-5.2321579999999999E-2</v>
      </c>
      <c r="S2455">
        <v>3.0812680000000001</v>
      </c>
      <c r="T2455">
        <v>-0.56122119999999998</v>
      </c>
      <c r="U2455">
        <v>-0.25799559999999999</v>
      </c>
      <c r="V2455">
        <v>3.7861470000000001E-2</v>
      </c>
      <c r="W2455">
        <v>0.12592110000000001</v>
      </c>
      <c r="X2455">
        <v>0.99131749999999996</v>
      </c>
      <c r="Y2455">
        <v>6.803418E-2</v>
      </c>
      <c r="Z2455">
        <v>-3.5071400000000002E-3</v>
      </c>
      <c r="AA2455">
        <v>0.99767680000000003</v>
      </c>
      <c r="AB2455">
        <v>33</v>
      </c>
      <c r="AC2455">
        <v>0.55230000000000201</v>
      </c>
      <c r="AD2455">
        <v>-0.160665699999999</v>
      </c>
      <c r="AE2455">
        <v>-6.9299999999998294E-2</v>
      </c>
      <c r="AF2455">
        <v>5.6534009760478503E-2</v>
      </c>
      <c r="AG2455">
        <v>-0.160665699999999</v>
      </c>
      <c r="AH2455">
        <v>0.51070312354741398</v>
      </c>
      <c r="AI2455">
        <v>107.36378713539401</v>
      </c>
      <c r="AJ2455">
        <v>83.683168527940495</v>
      </c>
      <c r="AK2455">
        <v>0.53835605487184202</v>
      </c>
      <c r="AL2455">
        <v>82.766048756423601</v>
      </c>
      <c r="AM2455">
        <v>87.812760731110501</v>
      </c>
      <c r="AN2455">
        <v>1.0000000000710101</v>
      </c>
    </row>
    <row r="2456" spans="1:40" x14ac:dyDescent="0.25">
      <c r="A2456" t="str">
        <f>"20190312164312971"</f>
        <v>20190312164312971</v>
      </c>
      <c r="B2456" t="str">
        <f>"1552380192967030"</f>
        <v>1552380192967030</v>
      </c>
      <c r="C2456" t="s">
        <v>40</v>
      </c>
      <c r="D2456">
        <v>4.3967669999999996</v>
      </c>
      <c r="E2456">
        <v>0.51953939999999998</v>
      </c>
      <c r="F2456" t="s">
        <v>41</v>
      </c>
      <c r="G2456">
        <v>-438.21839999999997</v>
      </c>
      <c r="H2456">
        <v>0.95259830000000001</v>
      </c>
      <c r="I2456">
        <v>213.13489999999999</v>
      </c>
      <c r="J2456">
        <v>-438.75049999999999</v>
      </c>
      <c r="K2456">
        <v>1.109151</v>
      </c>
      <c r="L2456">
        <v>213.20490000000001</v>
      </c>
      <c r="M2456">
        <v>0.99988089999999996</v>
      </c>
      <c r="N2456">
        <v>0</v>
      </c>
      <c r="O2456">
        <v>-1.452084E-2</v>
      </c>
      <c r="P2456">
        <v>0.99127050000000005</v>
      </c>
      <c r="Q2456">
        <v>0.121361</v>
      </c>
      <c r="R2456">
        <v>-5.1521450000000003E-2</v>
      </c>
      <c r="S2456">
        <v>3.0814210000000002</v>
      </c>
      <c r="T2456">
        <v>-0.56908990000000004</v>
      </c>
      <c r="U2456">
        <v>-0.2700958</v>
      </c>
      <c r="V2456">
        <v>3.7112869999999999E-2</v>
      </c>
      <c r="W2456">
        <v>0.12657959999999999</v>
      </c>
      <c r="X2456">
        <v>0.99126199999999998</v>
      </c>
      <c r="Y2456">
        <v>7.1881050000000002E-2</v>
      </c>
      <c r="Z2456">
        <v>-3.9158420000000001E-3</v>
      </c>
      <c r="AA2456">
        <v>0.99740549999999994</v>
      </c>
      <c r="AB2456">
        <v>33</v>
      </c>
      <c r="AC2456">
        <v>0.53210000000001401</v>
      </c>
      <c r="AD2456">
        <v>-0.15655269999999999</v>
      </c>
      <c r="AE2456">
        <v>-7.00000000000216E-2</v>
      </c>
      <c r="AF2456">
        <v>5.7383191316882201E-2</v>
      </c>
      <c r="AG2456">
        <v>-0.15655269999999999</v>
      </c>
      <c r="AH2456">
        <v>0.49125875314258899</v>
      </c>
      <c r="AI2456">
        <v>107.563861159955</v>
      </c>
      <c r="AJ2456">
        <v>83.337558534866702</v>
      </c>
      <c r="AK2456">
        <v>0.51878390593985402</v>
      </c>
      <c r="AL2456">
        <v>82.728015567883901</v>
      </c>
      <c r="AM2456">
        <v>87.855846302681698</v>
      </c>
      <c r="AN2456">
        <v>1.0000000564498901</v>
      </c>
    </row>
    <row r="2457" spans="1:40" x14ac:dyDescent="0.25">
      <c r="A2457" t="str">
        <f>"20190312164312995"</f>
        <v>20190312164312995</v>
      </c>
      <c r="B2457" t="str">
        <f>"1552380192986551"</f>
        <v>1552380192986551</v>
      </c>
      <c r="C2457" t="s">
        <v>40</v>
      </c>
      <c r="D2457">
        <v>4.4054460000000004</v>
      </c>
      <c r="E2457">
        <v>0.51967479999999999</v>
      </c>
      <c r="F2457" t="s">
        <v>41</v>
      </c>
      <c r="G2457">
        <v>-437.9221</v>
      </c>
      <c r="H2457">
        <v>0.95627810000000002</v>
      </c>
      <c r="I2457">
        <v>213.13310000000001</v>
      </c>
      <c r="J2457">
        <v>-438.3931</v>
      </c>
      <c r="K2457">
        <v>1.1091549999999999</v>
      </c>
      <c r="L2457">
        <v>213.19980000000001</v>
      </c>
      <c r="M2457">
        <v>0.99988140000000003</v>
      </c>
      <c r="N2457">
        <v>0</v>
      </c>
      <c r="O2457">
        <v>-1.4462650000000001E-2</v>
      </c>
      <c r="P2457">
        <v>0.9912687</v>
      </c>
      <c r="Q2457">
        <v>0.121535</v>
      </c>
      <c r="R2457">
        <v>-5.1146650000000002E-2</v>
      </c>
      <c r="S2457">
        <v>3.0821529999999999</v>
      </c>
      <c r="T2457">
        <v>-0.56867440000000002</v>
      </c>
      <c r="U2457">
        <v>-0.26748660000000002</v>
      </c>
      <c r="V2457">
        <v>3.6795420000000002E-2</v>
      </c>
      <c r="W2457">
        <v>0.1267943</v>
      </c>
      <c r="X2457">
        <v>0.99124630000000002</v>
      </c>
      <c r="Y2457">
        <v>7.1094400000000002E-2</v>
      </c>
      <c r="Z2457">
        <v>-3.8510469999999998E-3</v>
      </c>
      <c r="AA2457">
        <v>0.99746219999999997</v>
      </c>
      <c r="AB2457">
        <v>33</v>
      </c>
      <c r="AC2457">
        <v>0.47100000000000303</v>
      </c>
      <c r="AD2457">
        <v>-0.15287689999999901</v>
      </c>
      <c r="AE2457">
        <v>-6.6699999999997303E-2</v>
      </c>
      <c r="AF2457">
        <v>5.4275423924513198E-2</v>
      </c>
      <c r="AG2457">
        <v>-0.15287689999999901</v>
      </c>
      <c r="AH2457">
        <v>0.42773835261439302</v>
      </c>
      <c r="AI2457">
        <v>109.52269994076001</v>
      </c>
      <c r="AJ2457">
        <v>82.768424505630193</v>
      </c>
      <c r="AK2457">
        <v>0.45746832293949202</v>
      </c>
      <c r="AL2457">
        <v>82.715613554977296</v>
      </c>
      <c r="AM2457">
        <v>87.874136075136207</v>
      </c>
      <c r="AN2457">
        <v>0.999999962354577</v>
      </c>
    </row>
    <row r="2458" spans="1:40" x14ac:dyDescent="0.25">
      <c r="A2458" t="str">
        <f>"20190312164313016"</f>
        <v>20190312164313016</v>
      </c>
      <c r="B2458" t="str">
        <f>"1552380193007046"</f>
        <v>1552380193007046</v>
      </c>
      <c r="C2458" t="s">
        <v>40</v>
      </c>
      <c r="D2458">
        <v>4.4007519999999998</v>
      </c>
      <c r="E2458">
        <v>0.51994659999999904</v>
      </c>
      <c r="F2458" t="s">
        <v>41</v>
      </c>
      <c r="G2458">
        <v>-437.6216</v>
      </c>
      <c r="H2458">
        <v>0.96644819999999998</v>
      </c>
      <c r="I2458">
        <v>213.13229999999999</v>
      </c>
      <c r="J2458">
        <v>-438.08589999999998</v>
      </c>
      <c r="K2458">
        <v>1.1091599999999999</v>
      </c>
      <c r="L2458">
        <v>213.19540000000001</v>
      </c>
      <c r="M2458">
        <v>0.9998821</v>
      </c>
      <c r="N2458">
        <v>0</v>
      </c>
      <c r="O2458">
        <v>-1.4411820000000001E-2</v>
      </c>
      <c r="P2458">
        <v>0.99135079999999998</v>
      </c>
      <c r="Q2458">
        <v>0.1211319</v>
      </c>
      <c r="R2458">
        <v>-5.0509859999999997E-2</v>
      </c>
      <c r="S2458">
        <v>3.0825499999999999</v>
      </c>
      <c r="T2458">
        <v>-0.57039259999999903</v>
      </c>
      <c r="U2458">
        <v>-0.26786799999999999</v>
      </c>
      <c r="V2458">
        <v>3.6207610000000001E-2</v>
      </c>
      <c r="W2458">
        <v>0.12642439999999999</v>
      </c>
      <c r="X2458">
        <v>0.99131519999999995</v>
      </c>
      <c r="Y2458">
        <v>7.1247669999999999E-2</v>
      </c>
      <c r="Z2458">
        <v>-3.885323E-3</v>
      </c>
      <c r="AA2458">
        <v>0.99745110000000003</v>
      </c>
      <c r="AB2458">
        <v>33</v>
      </c>
      <c r="AC2458">
        <v>0.46429999999998001</v>
      </c>
      <c r="AD2458">
        <v>-0.1427118</v>
      </c>
      <c r="AE2458">
        <v>-6.3100000000019904E-2</v>
      </c>
      <c r="AF2458">
        <v>5.1614073978418398E-2</v>
      </c>
      <c r="AG2458">
        <v>-0.1427118</v>
      </c>
      <c r="AH2458">
        <v>0.425674391292439</v>
      </c>
      <c r="AI2458">
        <v>108.408618415625</v>
      </c>
      <c r="AJ2458">
        <v>83.086494203613398</v>
      </c>
      <c r="AK2458">
        <v>0.45191742375579902</v>
      </c>
      <c r="AL2458">
        <v>82.736979278054605</v>
      </c>
      <c r="AM2458">
        <v>87.908211784196894</v>
      </c>
      <c r="AN2458">
        <v>0.99999997284415498</v>
      </c>
    </row>
    <row r="2459" spans="1:40" x14ac:dyDescent="0.25">
      <c r="A2459" t="str">
        <f>"20190312164313039"</f>
        <v>20190312164313039</v>
      </c>
      <c r="B2459" t="str">
        <f>"1552380193026570"</f>
        <v>1552380193026570</v>
      </c>
      <c r="C2459" t="s">
        <v>40</v>
      </c>
      <c r="D2459">
        <v>4.3686489999999996</v>
      </c>
      <c r="E2459">
        <v>0.5196885</v>
      </c>
      <c r="F2459" t="s">
        <v>41</v>
      </c>
      <c r="G2459">
        <v>-437.3245</v>
      </c>
      <c r="H2459">
        <v>0.96769369999999999</v>
      </c>
      <c r="I2459">
        <v>213.12889999999999</v>
      </c>
      <c r="J2459">
        <v>-437.75200000000001</v>
      </c>
      <c r="K2459">
        <v>1.109156</v>
      </c>
      <c r="L2459">
        <v>213.19069999999999</v>
      </c>
      <c r="M2459">
        <v>0.99988279999999996</v>
      </c>
      <c r="N2459">
        <v>0</v>
      </c>
      <c r="O2459">
        <v>-1.43524E-2</v>
      </c>
      <c r="P2459">
        <v>0.99137180000000003</v>
      </c>
      <c r="Q2459">
        <v>0.1213091</v>
      </c>
      <c r="R2459">
        <v>-4.9665330000000001E-2</v>
      </c>
      <c r="S2459">
        <v>3.0825200000000001</v>
      </c>
      <c r="T2459">
        <v>-0.57281079999999995</v>
      </c>
      <c r="U2459">
        <v>-0.267547599999999</v>
      </c>
      <c r="V2459">
        <v>3.542066E-2</v>
      </c>
      <c r="W2459">
        <v>0.1266359</v>
      </c>
      <c r="X2459">
        <v>0.99131670000000005</v>
      </c>
      <c r="Y2459">
        <v>7.119665E-2</v>
      </c>
      <c r="Z2459">
        <v>-3.9078029999999996E-3</v>
      </c>
      <c r="AA2459">
        <v>0.99745459999999997</v>
      </c>
      <c r="AB2459">
        <v>33</v>
      </c>
      <c r="AC2459">
        <v>0.42749999999995197</v>
      </c>
      <c r="AD2459">
        <v>-0.14146230000000001</v>
      </c>
      <c r="AE2459">
        <v>-6.1800000000005101E-2</v>
      </c>
      <c r="AF2459">
        <v>5.0266452530822001E-2</v>
      </c>
      <c r="AG2459">
        <v>-0.14146230000000001</v>
      </c>
      <c r="AH2459">
        <v>0.38685042652046397</v>
      </c>
      <c r="AI2459">
        <v>109.932089310398</v>
      </c>
      <c r="AJ2459">
        <v>82.596598415062999</v>
      </c>
      <c r="AK2459">
        <v>0.41495969812788902</v>
      </c>
      <c r="AL2459">
        <v>82.724763504835806</v>
      </c>
      <c r="AM2459">
        <v>87.953639518789799</v>
      </c>
      <c r="AN2459">
        <v>1.0000000370112601</v>
      </c>
    </row>
    <row r="2460" spans="1:40" x14ac:dyDescent="0.25">
      <c r="A2460" t="str">
        <f>"20190312164313063"</f>
        <v>20190312164313063</v>
      </c>
      <c r="B2460" t="str">
        <f>"1552380193056823"</f>
        <v>1552380193056823</v>
      </c>
      <c r="C2460" t="s">
        <v>40</v>
      </c>
      <c r="D2460">
        <v>4.3706829999999997</v>
      </c>
      <c r="E2460">
        <v>0.51972629999999997</v>
      </c>
      <c r="F2460" t="s">
        <v>41</v>
      </c>
      <c r="G2460">
        <v>-437.02370000000002</v>
      </c>
      <c r="H2460">
        <v>0.97448599999999996</v>
      </c>
      <c r="I2460">
        <v>213.12799999999999</v>
      </c>
      <c r="J2460">
        <v>-437.39370000000002</v>
      </c>
      <c r="K2460">
        <v>1.109167</v>
      </c>
      <c r="L2460">
        <v>213.18559999999999</v>
      </c>
      <c r="M2460">
        <v>0.99988350000000004</v>
      </c>
      <c r="N2460">
        <v>0</v>
      </c>
      <c r="O2460">
        <v>-1.4277939999999999E-2</v>
      </c>
      <c r="P2460">
        <v>0.99138649999999995</v>
      </c>
      <c r="Q2460">
        <v>0.1214191</v>
      </c>
      <c r="R2460">
        <v>-4.9096239999999999E-2</v>
      </c>
      <c r="S2460">
        <v>3.082703</v>
      </c>
      <c r="T2460">
        <v>-0.57013459999999905</v>
      </c>
      <c r="U2460">
        <v>-0.26304630000000001</v>
      </c>
      <c r="V2460">
        <v>3.4923290000000003E-2</v>
      </c>
      <c r="W2460">
        <v>0.12678010000000001</v>
      </c>
      <c r="X2460">
        <v>0.99131590000000003</v>
      </c>
      <c r="Y2460">
        <v>6.9850289999999995E-2</v>
      </c>
      <c r="Z2460">
        <v>-3.7802420000000001E-3</v>
      </c>
      <c r="AA2460">
        <v>0.9975503</v>
      </c>
      <c r="AB2460">
        <v>33</v>
      </c>
      <c r="AC2460">
        <v>0.37000000000000399</v>
      </c>
      <c r="AD2460">
        <v>-0.134680999999999</v>
      </c>
      <c r="AE2460">
        <v>-5.7600000000007798E-2</v>
      </c>
      <c r="AF2460">
        <v>4.6319225696174401E-2</v>
      </c>
      <c r="AG2460">
        <v>-0.134680999999999</v>
      </c>
      <c r="AH2460">
        <v>0.32831317051209102</v>
      </c>
      <c r="AI2460">
        <v>112.10691600988299</v>
      </c>
      <c r="AJ2460">
        <v>81.969571203545996</v>
      </c>
      <c r="AK2460">
        <v>0.35787425216379298</v>
      </c>
      <c r="AL2460">
        <v>82.716434209374398</v>
      </c>
      <c r="AM2460">
        <v>87.982348568394698</v>
      </c>
      <c r="AN2460">
        <v>1.0000000217666201</v>
      </c>
    </row>
    <row r="2461" spans="1:40" x14ac:dyDescent="0.25">
      <c r="A2461" t="str">
        <f>"20190312164313085"</f>
        <v>20190312164313085</v>
      </c>
      <c r="B2461" t="str">
        <f>"1552380193076850"</f>
        <v>1552380193076850</v>
      </c>
      <c r="C2461" t="s">
        <v>40</v>
      </c>
      <c r="D2461">
        <v>4.3577180000000002</v>
      </c>
      <c r="E2461">
        <v>0.51951369999999997</v>
      </c>
      <c r="F2461" t="s">
        <v>41</v>
      </c>
      <c r="G2461">
        <v>-436.4461</v>
      </c>
      <c r="H2461">
        <v>0.93368969999999996</v>
      </c>
      <c r="I2461">
        <v>213.10489999999999</v>
      </c>
      <c r="J2461">
        <v>-437.05160000000001</v>
      </c>
      <c r="K2461">
        <v>1.1091789999999999</v>
      </c>
      <c r="L2461">
        <v>213.1808</v>
      </c>
      <c r="M2461">
        <v>0.99988469999999996</v>
      </c>
      <c r="N2461">
        <v>0</v>
      </c>
      <c r="O2461">
        <v>-1.418902E-2</v>
      </c>
      <c r="P2461">
        <v>0.99138749999999998</v>
      </c>
      <c r="Q2461">
        <v>0.1215778</v>
      </c>
      <c r="R2461">
        <v>-4.8681099999999998E-2</v>
      </c>
      <c r="S2461">
        <v>3.0830989999999998</v>
      </c>
      <c r="T2461">
        <v>-0.57102749999999902</v>
      </c>
      <c r="U2461">
        <v>-0.2611694</v>
      </c>
      <c r="V2461">
        <v>3.4592659999999997E-2</v>
      </c>
      <c r="W2461">
        <v>0.12696979999999999</v>
      </c>
      <c r="X2461">
        <v>0.99130320000000005</v>
      </c>
      <c r="Y2461">
        <v>6.9329730000000006E-2</v>
      </c>
      <c r="Z2461">
        <v>-3.7542600000000001E-3</v>
      </c>
      <c r="AA2461">
        <v>0.99758670000000005</v>
      </c>
      <c r="AB2461">
        <v>33</v>
      </c>
      <c r="AC2461">
        <v>0.60550000000000603</v>
      </c>
      <c r="AD2461">
        <v>-0.17548929999999999</v>
      </c>
      <c r="AE2461">
        <v>-7.5900000000018494E-2</v>
      </c>
      <c r="AF2461">
        <v>6.2160176215452702E-2</v>
      </c>
      <c r="AG2461">
        <v>-0.17548929999999999</v>
      </c>
      <c r="AH2461">
        <v>0.56018876495135905</v>
      </c>
      <c r="AI2461">
        <v>107.29435217510201</v>
      </c>
      <c r="AJ2461">
        <v>83.668196064789598</v>
      </c>
      <c r="AK2461">
        <v>0.59031502970816796</v>
      </c>
      <c r="AL2461">
        <v>82.705476550227502</v>
      </c>
      <c r="AM2461">
        <v>88.001409174145493</v>
      </c>
      <c r="AN2461">
        <v>1.0000000082840701</v>
      </c>
    </row>
    <row r="2462" spans="1:40" x14ac:dyDescent="0.25">
      <c r="A2462" t="str">
        <f>"20190312164313106"</f>
        <v>20190312164313106</v>
      </c>
      <c r="B2462" t="str">
        <f>"1552380193097346"</f>
        <v>1552380193097346</v>
      </c>
      <c r="C2462" t="s">
        <v>40</v>
      </c>
      <c r="D2462">
        <v>4.3429869999999999</v>
      </c>
      <c r="E2462">
        <v>0.4995136</v>
      </c>
      <c r="F2462" t="s">
        <v>41</v>
      </c>
      <c r="G2462">
        <v>-436.142</v>
      </c>
      <c r="H2462">
        <v>0.94150769999999995</v>
      </c>
      <c r="I2462">
        <v>213.10419999999999</v>
      </c>
      <c r="J2462">
        <v>-436.74630000000002</v>
      </c>
      <c r="K2462">
        <v>1.109194</v>
      </c>
      <c r="L2462">
        <v>213.1765</v>
      </c>
      <c r="M2462">
        <v>0.99988580000000005</v>
      </c>
      <c r="N2462">
        <v>0</v>
      </c>
      <c r="O2462">
        <v>-1.409411E-2</v>
      </c>
      <c r="P2462">
        <v>0.99127730000000003</v>
      </c>
      <c r="Q2462">
        <v>0.122503</v>
      </c>
      <c r="R2462">
        <v>-4.8606400000000001E-2</v>
      </c>
      <c r="S2462">
        <v>3.0830380000000002</v>
      </c>
      <c r="T2462">
        <v>-0.56828339999999999</v>
      </c>
      <c r="U2462">
        <v>-0.25869750000000002</v>
      </c>
      <c r="V2462">
        <v>3.4609609999999999E-2</v>
      </c>
      <c r="W2462">
        <v>0.127920899999999</v>
      </c>
      <c r="X2462">
        <v>0.99118030000000001</v>
      </c>
      <c r="Y2462">
        <v>6.8650379999999997E-2</v>
      </c>
      <c r="Z2462">
        <v>-3.692037E-3</v>
      </c>
      <c r="AA2462">
        <v>0.99763389999999996</v>
      </c>
      <c r="AB2462">
        <v>33</v>
      </c>
      <c r="AC2462">
        <v>0.60430000000002304</v>
      </c>
      <c r="AD2462">
        <v>-0.16768630000000001</v>
      </c>
      <c r="AE2462">
        <v>-7.2300000000012604E-2</v>
      </c>
      <c r="AF2462">
        <v>5.9275804005185999E-2</v>
      </c>
      <c r="AG2462">
        <v>-0.16768630000000001</v>
      </c>
      <c r="AH2462">
        <v>0.56255372962940398</v>
      </c>
      <c r="AI2462">
        <v>106.51189940883501</v>
      </c>
      <c r="AJ2462">
        <v>83.984988195518298</v>
      </c>
      <c r="AK2462">
        <v>0.58999916514187001</v>
      </c>
      <c r="AL2462">
        <v>82.650534336684998</v>
      </c>
      <c r="AM2462">
        <v>88.000182950234603</v>
      </c>
      <c r="AN2462">
        <v>0.99999998443462601</v>
      </c>
    </row>
    <row r="2463" spans="1:40" x14ac:dyDescent="0.25">
      <c r="A2463" t="str">
        <f>"20190312164313128"</f>
        <v>20190312164313128</v>
      </c>
      <c r="B2463" t="str">
        <f>"1552380193116866"</f>
        <v>1552380193116866</v>
      </c>
      <c r="C2463" t="s">
        <v>40</v>
      </c>
      <c r="D2463">
        <v>4.2680720000000001</v>
      </c>
      <c r="E2463">
        <v>0.49302699999999999</v>
      </c>
      <c r="F2463" t="s">
        <v>41</v>
      </c>
      <c r="G2463">
        <v>-435.81549999999999</v>
      </c>
      <c r="H2463">
        <v>0.99103459999999999</v>
      </c>
      <c r="I2463">
        <v>213.14400000000001</v>
      </c>
      <c r="J2463">
        <v>-436.41570000000002</v>
      </c>
      <c r="K2463">
        <v>1.109216</v>
      </c>
      <c r="L2463">
        <v>213.172</v>
      </c>
      <c r="M2463">
        <v>0.99988750000000004</v>
      </c>
      <c r="N2463">
        <v>0</v>
      </c>
      <c r="O2463">
        <v>-1.396734E-2</v>
      </c>
      <c r="P2463">
        <v>0.9911913</v>
      </c>
      <c r="Q2463">
        <v>0.1230387</v>
      </c>
      <c r="R2463">
        <v>-4.9002480000000001E-2</v>
      </c>
      <c r="S2463">
        <v>3.069366</v>
      </c>
      <c r="T2463">
        <v>-0.38974110000000001</v>
      </c>
      <c r="U2463">
        <v>-0.1064758</v>
      </c>
      <c r="V2463">
        <v>3.5126770000000002E-2</v>
      </c>
      <c r="W2463">
        <v>0.12848409999999999</v>
      </c>
      <c r="X2463">
        <v>0.99108929999999995</v>
      </c>
      <c r="Y2463">
        <v>2.065283E-2</v>
      </c>
      <c r="Z2463">
        <v>4.602079E-4</v>
      </c>
      <c r="AA2463">
        <v>0.99978659999999997</v>
      </c>
      <c r="AB2463">
        <v>34</v>
      </c>
      <c r="AC2463">
        <v>0.60020000000002904</v>
      </c>
      <c r="AD2463">
        <v>-0.11818140000000001</v>
      </c>
      <c r="AE2463">
        <v>-2.79999999999915E-2</v>
      </c>
      <c r="AF2463">
        <v>1.8883408257378401E-2</v>
      </c>
      <c r="AG2463">
        <v>-0.11818140000000001</v>
      </c>
      <c r="AH2463">
        <v>0.57816521375539398</v>
      </c>
      <c r="AI2463">
        <v>101.546561301145</v>
      </c>
      <c r="AJ2463">
        <v>88.129332063333493</v>
      </c>
      <c r="AK2463">
        <v>0.59042225636420198</v>
      </c>
      <c r="AL2463">
        <v>82.617997171589593</v>
      </c>
      <c r="AM2463">
        <v>87.9701389474682</v>
      </c>
      <c r="AN2463">
        <v>1.00000002724896</v>
      </c>
    </row>
    <row r="2464" spans="1:40" x14ac:dyDescent="0.25">
      <c r="A2464" t="str">
        <f>"20190312164313151"</f>
        <v>20190312164313151</v>
      </c>
      <c r="B2464" t="str">
        <f>"1552380193147122"</f>
        <v>1552380193147122</v>
      </c>
      <c r="C2464" t="s">
        <v>40</v>
      </c>
      <c r="D2464">
        <v>4.2591789999999996</v>
      </c>
      <c r="E2464">
        <v>0.49225580000000002</v>
      </c>
      <c r="F2464" t="s">
        <v>41</v>
      </c>
      <c r="G2464">
        <v>-435.50409999999999</v>
      </c>
      <c r="H2464">
        <v>1.00936</v>
      </c>
      <c r="I2464">
        <v>213.1549</v>
      </c>
      <c r="J2464">
        <v>-436.07569999999998</v>
      </c>
      <c r="K2464">
        <v>1.109254</v>
      </c>
      <c r="L2464">
        <v>213.16739999999999</v>
      </c>
      <c r="M2464">
        <v>0.99988960000000005</v>
      </c>
      <c r="N2464">
        <v>0</v>
      </c>
      <c r="O2464">
        <v>-1.380263E-2</v>
      </c>
      <c r="P2464">
        <v>0.99113890000000004</v>
      </c>
      <c r="Q2464">
        <v>0.12356350000000001</v>
      </c>
      <c r="R2464">
        <v>-4.8745749999999997E-2</v>
      </c>
      <c r="S2464">
        <v>3.0655209999999999</v>
      </c>
      <c r="T2464">
        <v>-0.33581729999999999</v>
      </c>
      <c r="U2464">
        <v>-5.6961060000000001E-2</v>
      </c>
      <c r="V2464">
        <v>3.5026199999999903E-2</v>
      </c>
      <c r="W2464">
        <v>0.1290364</v>
      </c>
      <c r="X2464">
        <v>0.99102109999999999</v>
      </c>
      <c r="Y2464">
        <v>4.8294260000000004E-3</v>
      </c>
      <c r="Z2464">
        <v>1.2436189999999901E-3</v>
      </c>
      <c r="AA2464">
        <v>0.99998750000000003</v>
      </c>
      <c r="AB2464">
        <v>34</v>
      </c>
      <c r="AC2464">
        <v>0.57159999999998901</v>
      </c>
      <c r="AD2464">
        <v>-9.9894000000000094E-2</v>
      </c>
      <c r="AE2464">
        <v>-1.24999999999886E-2</v>
      </c>
      <c r="AF2464">
        <v>4.4725714576985603E-3</v>
      </c>
      <c r="AG2464">
        <v>-9.9894000000000094E-2</v>
      </c>
      <c r="AH2464">
        <v>0.55478214683459903</v>
      </c>
      <c r="AI2464">
        <v>100.206971493615</v>
      </c>
      <c r="AJ2464">
        <v>89.538099922562296</v>
      </c>
      <c r="AK2464">
        <v>0.56372160290151296</v>
      </c>
      <c r="AL2464">
        <v>82.586087060799201</v>
      </c>
      <c r="AM2464">
        <v>87.975806542431499</v>
      </c>
      <c r="AN2464">
        <v>1.0000000239283</v>
      </c>
    </row>
    <row r="2465" spans="1:40" x14ac:dyDescent="0.25">
      <c r="A2465" t="str">
        <f>"20190312164313172"</f>
        <v>20190312164313172</v>
      </c>
      <c r="B2465" t="str">
        <f>"1552380193166642"</f>
        <v>1552380193166642</v>
      </c>
      <c r="C2465" t="s">
        <v>40</v>
      </c>
      <c r="D2465">
        <v>4.3767360000000002</v>
      </c>
      <c r="E2465">
        <v>0.49189939999999999</v>
      </c>
      <c r="F2465" t="s">
        <v>41</v>
      </c>
      <c r="G2465">
        <v>-435.19200000000001</v>
      </c>
      <c r="H2465">
        <v>1.0280769999999999</v>
      </c>
      <c r="I2465">
        <v>213.15190000000001</v>
      </c>
      <c r="J2465">
        <v>-435.73820000000001</v>
      </c>
      <c r="K2465">
        <v>1.1092869999999999</v>
      </c>
      <c r="L2465">
        <v>213.16290000000001</v>
      </c>
      <c r="M2465">
        <v>0.99989220000000001</v>
      </c>
      <c r="N2465">
        <v>0</v>
      </c>
      <c r="O2465">
        <v>-1.3598529999999999E-2</v>
      </c>
      <c r="P2465">
        <v>0.991174</v>
      </c>
      <c r="Q2465">
        <v>0.1233332</v>
      </c>
      <c r="R2465">
        <v>-4.8611630000000003E-2</v>
      </c>
      <c r="S2465">
        <v>3.0592649999999999</v>
      </c>
      <c r="T2465">
        <v>-0.28112379999999998</v>
      </c>
      <c r="U2465">
        <v>-5.3314210000000001E-2</v>
      </c>
      <c r="V2465">
        <v>3.5084690000000002E-2</v>
      </c>
      <c r="W2465">
        <v>0.12883359999999999</v>
      </c>
      <c r="X2465">
        <v>0.99104539999999997</v>
      </c>
      <c r="Y2465">
        <v>3.8671809999999999E-3</v>
      </c>
      <c r="Z2465">
        <v>1.069541E-3</v>
      </c>
      <c r="AA2465">
        <v>0.99999199999999999</v>
      </c>
      <c r="AB2465">
        <v>34</v>
      </c>
      <c r="AC2465">
        <v>0.54620000000005497</v>
      </c>
      <c r="AD2465">
        <v>-8.1210000000000004E-2</v>
      </c>
      <c r="AE2465">
        <v>-1.09999999999956E-2</v>
      </c>
      <c r="AF2465">
        <v>3.4941407467544601E-3</v>
      </c>
      <c r="AG2465">
        <v>-8.1210000000000004E-2</v>
      </c>
      <c r="AH2465">
        <v>0.53448832332873097</v>
      </c>
      <c r="AI2465">
        <v>98.639244285619</v>
      </c>
      <c r="AJ2465">
        <v>89.625442395705804</v>
      </c>
      <c r="AK2465">
        <v>0.54063392503089902</v>
      </c>
      <c r="AL2465">
        <v>82.597804333608096</v>
      </c>
      <c r="AM2465">
        <v>87.972478848900195</v>
      </c>
      <c r="AN2465">
        <v>1.0000000084112499</v>
      </c>
    </row>
    <row r="2466" spans="1:40" x14ac:dyDescent="0.25">
      <c r="A2466" t="str">
        <f>"20190312164313195"</f>
        <v>20190312164313195</v>
      </c>
      <c r="B2466" t="str">
        <f>"1552380193187138"</f>
        <v>1552380193187138</v>
      </c>
      <c r="C2466" t="s">
        <v>40</v>
      </c>
      <c r="D2466">
        <v>4.2599839999999896</v>
      </c>
      <c r="E2466">
        <v>0.49198589999999998</v>
      </c>
      <c r="F2466" t="s">
        <v>41</v>
      </c>
      <c r="G2466">
        <v>-434.88499999999999</v>
      </c>
      <c r="H2466">
        <v>1.0341340000000001</v>
      </c>
      <c r="I2466">
        <v>213.14830000000001</v>
      </c>
      <c r="J2466">
        <v>-435.39100000000002</v>
      </c>
      <c r="K2466">
        <v>1.109321</v>
      </c>
      <c r="L2466">
        <v>213.1584</v>
      </c>
      <c r="M2466">
        <v>0.9998956</v>
      </c>
      <c r="N2466">
        <v>0</v>
      </c>
      <c r="O2466">
        <v>-1.334363E-2</v>
      </c>
      <c r="P2466">
        <v>0.99125529999999995</v>
      </c>
      <c r="Q2466">
        <v>0.1229411</v>
      </c>
      <c r="R2466">
        <v>-4.7943649999999997E-2</v>
      </c>
      <c r="S2466">
        <v>3.057709</v>
      </c>
      <c r="T2466">
        <v>-0.2695208</v>
      </c>
      <c r="U2466">
        <v>-5.1574710000000003E-2</v>
      </c>
      <c r="V2466">
        <v>3.4657439999999998E-2</v>
      </c>
      <c r="W2466">
        <v>0.12847229999999901</v>
      </c>
      <c r="X2466">
        <v>0.99110730000000002</v>
      </c>
      <c r="Y2466">
        <v>3.5591960000000001E-3</v>
      </c>
      <c r="Z2466">
        <v>1.017223E-3</v>
      </c>
      <c r="AA2466">
        <v>0.99999309999999997</v>
      </c>
      <c r="AB2466">
        <v>34</v>
      </c>
      <c r="AC2466">
        <v>0.50599999999997103</v>
      </c>
      <c r="AD2466">
        <v>-7.5186999999999796E-2</v>
      </c>
      <c r="AE2466">
        <v>-1.00999999999942E-2</v>
      </c>
      <c r="AF2466">
        <v>3.2748429142856398E-3</v>
      </c>
      <c r="AG2466">
        <v>-7.5186999999999796E-2</v>
      </c>
      <c r="AH2466">
        <v>0.49516128235051299</v>
      </c>
      <c r="AI2466">
        <v>98.633849590439397</v>
      </c>
      <c r="AJ2466">
        <v>89.621069036397699</v>
      </c>
      <c r="AK2466">
        <v>0.50084778636240201</v>
      </c>
      <c r="AL2466">
        <v>82.618678524465295</v>
      </c>
      <c r="AM2466">
        <v>87.997274099768305</v>
      </c>
      <c r="AN2466">
        <v>0.99999997506396598</v>
      </c>
    </row>
    <row r="2467" spans="1:40" x14ac:dyDescent="0.25">
      <c r="A2467" t="str">
        <f>"20190312164313218"</f>
        <v>20190312164313218</v>
      </c>
      <c r="B2467" t="str">
        <f>"1552380193206658"</f>
        <v>1552380193206658</v>
      </c>
      <c r="C2467" t="s">
        <v>40</v>
      </c>
      <c r="D2467">
        <v>4.2727870000000001</v>
      </c>
      <c r="E2467">
        <v>0.49140650000000002</v>
      </c>
      <c r="F2467" t="s">
        <v>41</v>
      </c>
      <c r="G2467">
        <v>-434.57560000000001</v>
      </c>
      <c r="H2467">
        <v>1.0404389999999999</v>
      </c>
      <c r="I2467">
        <v>213.14429999999999</v>
      </c>
      <c r="J2467">
        <v>-435.04950000000002</v>
      </c>
      <c r="K2467">
        <v>1.109354</v>
      </c>
      <c r="L2467">
        <v>213.1541</v>
      </c>
      <c r="M2467">
        <v>0.99989919999999999</v>
      </c>
      <c r="N2467">
        <v>0</v>
      </c>
      <c r="O2467">
        <v>-1.304759E-2</v>
      </c>
      <c r="P2467">
        <v>0.99130079999999998</v>
      </c>
      <c r="Q2467">
        <v>0.122852</v>
      </c>
      <c r="R2467">
        <v>-4.7227949999999998E-2</v>
      </c>
      <c r="S2467">
        <v>3.0560610000000001</v>
      </c>
      <c r="T2467">
        <v>-0.25846039999999998</v>
      </c>
      <c r="U2467">
        <v>-5.0994869999999998E-2</v>
      </c>
      <c r="V2467">
        <v>3.422273E-2</v>
      </c>
      <c r="W2467">
        <v>0.12841549999999999</v>
      </c>
      <c r="X2467">
        <v>0.99112979999999995</v>
      </c>
      <c r="Y2467">
        <v>3.6702089999999998E-3</v>
      </c>
      <c r="Z2467">
        <v>9.4648330000000002E-4</v>
      </c>
      <c r="AA2467">
        <v>0.99999280000000002</v>
      </c>
      <c r="AB2467">
        <v>34</v>
      </c>
      <c r="AC2467">
        <v>0.47390000000001398</v>
      </c>
      <c r="AD2467">
        <v>-6.8915000000000198E-2</v>
      </c>
      <c r="AE2467">
        <v>-9.8000000000126805E-3</v>
      </c>
      <c r="AF2467">
        <v>3.5409662136121202E-3</v>
      </c>
      <c r="AG2467">
        <v>-6.8915000000000198E-2</v>
      </c>
      <c r="AH2467">
        <v>0.46417567932544102</v>
      </c>
      <c r="AI2467">
        <v>98.444630249008199</v>
      </c>
      <c r="AJ2467">
        <v>89.562927371912096</v>
      </c>
      <c r="AK2467">
        <v>0.46927697252684503</v>
      </c>
      <c r="AL2467">
        <v>82.621960352511294</v>
      </c>
      <c r="AM2467">
        <v>88.022419176561101</v>
      </c>
      <c r="AN2467">
        <v>1.0000000081684699</v>
      </c>
    </row>
    <row r="2468" spans="1:40" x14ac:dyDescent="0.25">
      <c r="A2468" t="str">
        <f>"20190312164313242"</f>
        <v>20190312164313242</v>
      </c>
      <c r="B2468" t="str">
        <f>"1552380193236914"</f>
        <v>1552380193236914</v>
      </c>
      <c r="C2468" t="s">
        <v>40</v>
      </c>
      <c r="D2468">
        <v>4.2882870000000004</v>
      </c>
      <c r="E2468">
        <v>0.49096030000000002</v>
      </c>
      <c r="F2468" t="s">
        <v>41</v>
      </c>
      <c r="G2468">
        <v>-434.26639999999998</v>
      </c>
      <c r="H2468">
        <v>1.0439769999999999</v>
      </c>
      <c r="I2468">
        <v>213.14240000000001</v>
      </c>
      <c r="J2468">
        <v>-434.67869999999999</v>
      </c>
      <c r="K2468">
        <v>1.10938799999999</v>
      </c>
      <c r="L2468">
        <v>213.14959999999999</v>
      </c>
      <c r="M2468">
        <v>0.99990380000000001</v>
      </c>
      <c r="N2468">
        <v>0</v>
      </c>
      <c r="O2468">
        <v>-1.267896E-2</v>
      </c>
      <c r="P2468">
        <v>0.99130949999999995</v>
      </c>
      <c r="Q2468">
        <v>0.1230723</v>
      </c>
      <c r="R2468">
        <v>-4.6464350000000001E-2</v>
      </c>
      <c r="S2468">
        <v>3.055847</v>
      </c>
      <c r="T2468">
        <v>-0.25534089999999998</v>
      </c>
      <c r="U2468">
        <v>-4.431152E-2</v>
      </c>
      <c r="V2468">
        <v>3.3812509999999997E-2</v>
      </c>
      <c r="W2468">
        <v>0.12867229999999999</v>
      </c>
      <c r="X2468">
        <v>0.99111059999999995</v>
      </c>
      <c r="Y2468">
        <v>1.857748E-3</v>
      </c>
      <c r="Z2468">
        <v>9.8002799999999998E-4</v>
      </c>
      <c r="AA2468">
        <v>0.99999780000000005</v>
      </c>
      <c r="AB2468">
        <v>34</v>
      </c>
      <c r="AC2468">
        <v>0.41230000000001599</v>
      </c>
      <c r="AD2468">
        <v>-6.5410999999999803E-2</v>
      </c>
      <c r="AE2468">
        <v>-7.1999999999832198E-3</v>
      </c>
      <c r="AF2468">
        <v>1.9234068748357901E-3</v>
      </c>
      <c r="AG2468">
        <v>-6.5410999999999803E-2</v>
      </c>
      <c r="AH2468">
        <v>0.402237119568708</v>
      </c>
      <c r="AI2468">
        <v>99.2363698772714</v>
      </c>
      <c r="AJ2468">
        <v>89.726026637223896</v>
      </c>
      <c r="AK2468">
        <v>0.407525457823112</v>
      </c>
      <c r="AL2468">
        <v>82.607123901169501</v>
      </c>
      <c r="AM2468">
        <v>88.046067676318998</v>
      </c>
      <c r="AN2468">
        <v>1.00000003402607</v>
      </c>
    </row>
    <row r="2469" spans="1:40" x14ac:dyDescent="0.25">
      <c r="A2469" t="str">
        <f>"20190312164313264"</f>
        <v>20190312164313264</v>
      </c>
      <c r="B2469" t="str">
        <f>"1552380193256434"</f>
        <v>1552380193256434</v>
      </c>
      <c r="C2469" t="s">
        <v>40</v>
      </c>
      <c r="D2469">
        <v>4.3008189999999997</v>
      </c>
      <c r="E2469">
        <v>0.490757</v>
      </c>
      <c r="F2469" t="s">
        <v>41</v>
      </c>
      <c r="G2469">
        <v>-433.6635</v>
      </c>
      <c r="H2469">
        <v>1.02573</v>
      </c>
      <c r="I2469">
        <v>213.13640000000001</v>
      </c>
      <c r="J2469">
        <v>-434.34109999999998</v>
      </c>
      <c r="K2469">
        <v>1.109421</v>
      </c>
      <c r="L2469">
        <v>213.1456</v>
      </c>
      <c r="M2469">
        <v>0.99990840000000003</v>
      </c>
      <c r="N2469">
        <v>0</v>
      </c>
      <c r="O2469">
        <v>-1.2306320000000001E-2</v>
      </c>
      <c r="P2469">
        <v>0.99132830000000005</v>
      </c>
      <c r="Q2469">
        <v>0.1232405</v>
      </c>
      <c r="R2469">
        <v>-4.5613899999999999E-2</v>
      </c>
      <c r="S2469">
        <v>3.0557249999999998</v>
      </c>
      <c r="T2469">
        <v>-0.25197120000000001</v>
      </c>
      <c r="U2469">
        <v>-3.898621E-2</v>
      </c>
      <c r="V2469">
        <v>3.3321400000000001E-2</v>
      </c>
      <c r="W2469">
        <v>0.1288733</v>
      </c>
      <c r="X2469">
        <v>0.99110109999999996</v>
      </c>
      <c r="Y2469">
        <v>4.9098550000000005E-4</v>
      </c>
      <c r="Z2469">
        <v>9.9277289999999993E-4</v>
      </c>
      <c r="AA2469">
        <v>0.99999939999999998</v>
      </c>
      <c r="AB2469">
        <v>34</v>
      </c>
      <c r="AC2469">
        <v>0.67759999999998399</v>
      </c>
      <c r="AD2469">
        <v>-8.3690999999999904E-2</v>
      </c>
      <c r="AE2469">
        <v>-9.1999999999927695E-3</v>
      </c>
      <c r="AF2469">
        <v>8.4748258580031905E-4</v>
      </c>
      <c r="AG2469">
        <v>-8.3690999999999904E-2</v>
      </c>
      <c r="AH2469">
        <v>0.667481389734778</v>
      </c>
      <c r="AI2469">
        <v>97.146631596562003</v>
      </c>
      <c r="AJ2469">
        <v>89.927253178842804</v>
      </c>
      <c r="AK2469">
        <v>0.67270818885309003</v>
      </c>
      <c r="AL2469">
        <v>82.595510631911907</v>
      </c>
      <c r="AM2469">
        <v>88.074407612575897</v>
      </c>
      <c r="AN2469">
        <v>1.0000000167860299</v>
      </c>
    </row>
    <row r="2470" spans="1:40" x14ac:dyDescent="0.25">
      <c r="A2470" t="str">
        <f>"20190312164313286"</f>
        <v>20190312164313286</v>
      </c>
      <c r="B2470" t="str">
        <f>"1552380193276929"</f>
        <v>1552380193276929</v>
      </c>
      <c r="C2470" t="s">
        <v>40</v>
      </c>
      <c r="D2470">
        <v>4.3134050000000004</v>
      </c>
      <c r="E2470">
        <v>0.4906664</v>
      </c>
      <c r="F2470" t="s">
        <v>41</v>
      </c>
      <c r="G2470">
        <v>-433.35359999999997</v>
      </c>
      <c r="H2470">
        <v>1.0282629999999999</v>
      </c>
      <c r="I2470">
        <v>213.13380000000001</v>
      </c>
      <c r="J2470">
        <v>-433.98840000000001</v>
      </c>
      <c r="K2470">
        <v>1.1094520000000001</v>
      </c>
      <c r="L2470">
        <v>213.14169999999999</v>
      </c>
      <c r="M2470">
        <v>0.99991319999999995</v>
      </c>
      <c r="N2470">
        <v>0</v>
      </c>
      <c r="O2470">
        <v>-1.189223E-2</v>
      </c>
      <c r="P2470">
        <v>0.99136009999999997</v>
      </c>
      <c r="Q2470">
        <v>0.1233284</v>
      </c>
      <c r="R2470">
        <v>-4.4672000000000003E-2</v>
      </c>
      <c r="S2470">
        <v>3.0559080000000001</v>
      </c>
      <c r="T2470">
        <v>-0.25134410000000001</v>
      </c>
      <c r="U2470">
        <v>-3.5308840000000001E-2</v>
      </c>
      <c r="V2470">
        <v>3.2781900000000003E-2</v>
      </c>
      <c r="W2470">
        <v>0.12899340000000001</v>
      </c>
      <c r="X2470">
        <v>0.99110350000000003</v>
      </c>
      <c r="Y2470">
        <v>-2.9777949999999998E-4</v>
      </c>
      <c r="Z2470">
        <v>9.8864489999999998E-4</v>
      </c>
      <c r="AA2470">
        <v>0.99999950000000004</v>
      </c>
      <c r="AB2470">
        <v>34</v>
      </c>
      <c r="AC2470">
        <v>0.634800000000041</v>
      </c>
      <c r="AD2470">
        <v>-8.1189000000000094E-2</v>
      </c>
      <c r="AE2470">
        <v>-7.8999999999780305E-3</v>
      </c>
      <c r="AF2470">
        <v>3.4449800693276501E-4</v>
      </c>
      <c r="AG2470">
        <v>-8.1189000000000094E-2</v>
      </c>
      <c r="AH2470">
        <v>0.624633119544447</v>
      </c>
      <c r="AI2470">
        <v>97.405710816153302</v>
      </c>
      <c r="AJ2470">
        <v>89.968400202888603</v>
      </c>
      <c r="AK2470">
        <v>0.62988753474862902</v>
      </c>
      <c r="AL2470">
        <v>82.588571729507393</v>
      </c>
      <c r="AM2470">
        <v>88.105566166515899</v>
      </c>
      <c r="AN2470">
        <v>1.0000000489617</v>
      </c>
    </row>
    <row r="2471" spans="1:40" x14ac:dyDescent="0.25">
      <c r="A2471" t="str">
        <f>"20190312164313308"</f>
        <v>20190312164313308</v>
      </c>
      <c r="B2471" t="str">
        <f>"1552380193296451"</f>
        <v>1552380193296451</v>
      </c>
      <c r="C2471" t="s">
        <v>40</v>
      </c>
      <c r="D2471">
        <v>4.3338400000000004</v>
      </c>
      <c r="E2471">
        <v>0.49054779999999998</v>
      </c>
      <c r="F2471" t="s">
        <v>41</v>
      </c>
      <c r="G2471">
        <v>-433.04230000000001</v>
      </c>
      <c r="H2471">
        <v>1.031603</v>
      </c>
      <c r="I2471">
        <v>213.13149999999999</v>
      </c>
      <c r="J2471">
        <v>-433.65730000000002</v>
      </c>
      <c r="K2471">
        <v>1.109477</v>
      </c>
      <c r="L2471">
        <v>213.13810000000001</v>
      </c>
      <c r="M2471">
        <v>0.99991770000000002</v>
      </c>
      <c r="N2471">
        <v>0</v>
      </c>
      <c r="O2471">
        <v>-1.148712E-2</v>
      </c>
      <c r="P2471">
        <v>0.9914229</v>
      </c>
      <c r="Q2471">
        <v>0.12305190000000001</v>
      </c>
      <c r="R2471">
        <v>-4.403522E-2</v>
      </c>
      <c r="S2471">
        <v>3.0559690000000002</v>
      </c>
      <c r="T2471">
        <v>-0.2516234</v>
      </c>
      <c r="U2471">
        <v>-3.184509E-2</v>
      </c>
      <c r="V2471">
        <v>3.2540489999999998E-2</v>
      </c>
      <c r="W2471">
        <v>0.12874659999999999</v>
      </c>
      <c r="X2471">
        <v>0.99114349999999996</v>
      </c>
      <c r="Y2471">
        <v>-1.0249809999999999E-3</v>
      </c>
      <c r="Z2471">
        <v>9.8631780000000007E-4</v>
      </c>
      <c r="AA2471">
        <v>0.99999899999999997</v>
      </c>
      <c r="AB2471">
        <v>35</v>
      </c>
      <c r="AC2471">
        <v>0.61500000000000898</v>
      </c>
      <c r="AD2471">
        <v>-7.7873999999999999E-2</v>
      </c>
      <c r="AE2471">
        <v>-6.6000000000201401E-3</v>
      </c>
      <c r="AF2471">
        <v>-4.5779032671567401E-4</v>
      </c>
      <c r="AG2471">
        <v>-7.7873999999999999E-2</v>
      </c>
      <c r="AH2471">
        <v>0.60533064355234401</v>
      </c>
      <c r="AI2471">
        <v>97.330666729674405</v>
      </c>
      <c r="AJ2471">
        <v>90.043330779469898</v>
      </c>
      <c r="AK2471">
        <v>0.61031938972269095</v>
      </c>
      <c r="AL2471">
        <v>82.602830896022496</v>
      </c>
      <c r="AM2471">
        <v>88.119582797337898</v>
      </c>
      <c r="AN2471">
        <v>1.0000000040466199</v>
      </c>
    </row>
    <row r="2472" spans="1:40" x14ac:dyDescent="0.25">
      <c r="A2472" t="str">
        <f>"20190312164313331"</f>
        <v>20190312164313331</v>
      </c>
      <c r="B2472" t="str">
        <f>"1552380193326706"</f>
        <v>1552380193326706</v>
      </c>
      <c r="C2472" t="s">
        <v>40</v>
      </c>
      <c r="D2472">
        <v>4.3905430000000001</v>
      </c>
      <c r="E2472">
        <v>0.49092950000000002</v>
      </c>
      <c r="F2472" t="s">
        <v>41</v>
      </c>
      <c r="G2472">
        <v>-432.73110000000003</v>
      </c>
      <c r="H2472">
        <v>1.033039</v>
      </c>
      <c r="I2472">
        <v>213.12880000000001</v>
      </c>
      <c r="J2472">
        <v>-433.30439999999999</v>
      </c>
      <c r="K2472">
        <v>1.109497</v>
      </c>
      <c r="L2472">
        <v>213.1344</v>
      </c>
      <c r="M2472">
        <v>0.99992259999999999</v>
      </c>
      <c r="N2472">
        <v>0</v>
      </c>
      <c r="O2472">
        <v>-1.1044119999999999E-2</v>
      </c>
      <c r="P2472">
        <v>0.99146849999999997</v>
      </c>
      <c r="Q2472">
        <v>0.1230738</v>
      </c>
      <c r="R2472">
        <v>-4.2934409999999999E-2</v>
      </c>
      <c r="S2472">
        <v>3.056</v>
      </c>
      <c r="T2472">
        <v>-0.25250699999999998</v>
      </c>
      <c r="U2472">
        <v>-2.9006959999999998E-2</v>
      </c>
      <c r="V2472">
        <v>3.1873569999999997E-2</v>
      </c>
      <c r="W2472">
        <v>0.1287991</v>
      </c>
      <c r="X2472">
        <v>0.99115839999999999</v>
      </c>
      <c r="Y2472">
        <v>-1.5102270000000001E-3</v>
      </c>
      <c r="Z2472">
        <v>9.7323980000000004E-4</v>
      </c>
      <c r="AA2472">
        <v>0.99999839999999995</v>
      </c>
      <c r="AB2472">
        <v>35</v>
      </c>
      <c r="AC2472">
        <v>0.57329999999995995</v>
      </c>
      <c r="AD2472">
        <v>-7.6457999999999901E-2</v>
      </c>
      <c r="AE2472">
        <v>-5.5999999999869496E-3</v>
      </c>
      <c r="AF2472">
        <v>-7.1924801581854799E-4</v>
      </c>
      <c r="AG2472">
        <v>-7.6457999999999901E-2</v>
      </c>
      <c r="AH2472">
        <v>0.56330874373289097</v>
      </c>
      <c r="AI2472">
        <v>97.729525256631405</v>
      </c>
      <c r="AJ2472">
        <v>90.073156779108004</v>
      </c>
      <c r="AK2472">
        <v>0.56847434757219795</v>
      </c>
      <c r="AL2472">
        <v>82.599797979059801</v>
      </c>
      <c r="AM2472">
        <v>88.158122947395</v>
      </c>
      <c r="AN2472">
        <v>1.0000000532579501</v>
      </c>
    </row>
    <row r="2473" spans="1:40" x14ac:dyDescent="0.25">
      <c r="A2473" t="str">
        <f>"20190312164313353"</f>
        <v>20190312164313353</v>
      </c>
      <c r="B2473" t="str">
        <f>"1552380193347202"</f>
        <v>1552380193347202</v>
      </c>
      <c r="C2473" t="s">
        <v>40</v>
      </c>
      <c r="D2473">
        <v>4.3756919999999999</v>
      </c>
      <c r="E2473">
        <v>0.4704643</v>
      </c>
      <c r="F2473" t="s">
        <v>41</v>
      </c>
      <c r="G2473">
        <v>-432.41750000000002</v>
      </c>
      <c r="H2473">
        <v>1.0366089999999999</v>
      </c>
      <c r="I2473">
        <v>213.126</v>
      </c>
      <c r="J2473">
        <v>-432.96769999999998</v>
      </c>
      <c r="K2473">
        <v>1.1095139999999999</v>
      </c>
      <c r="L2473">
        <v>213.1311</v>
      </c>
      <c r="M2473">
        <v>0.99992709999999996</v>
      </c>
      <c r="N2473">
        <v>0</v>
      </c>
      <c r="O2473">
        <v>-1.061557E-2</v>
      </c>
      <c r="P2473">
        <v>0.99149370000000003</v>
      </c>
      <c r="Q2473">
        <v>0.1231978</v>
      </c>
      <c r="R2473">
        <v>-4.1985660000000001E-2</v>
      </c>
      <c r="S2473">
        <v>3.0557859999999999</v>
      </c>
      <c r="T2473">
        <v>-0.2511526</v>
      </c>
      <c r="U2473">
        <v>-2.9174800000000001E-2</v>
      </c>
      <c r="V2473">
        <v>3.1345890000000001E-2</v>
      </c>
      <c r="W2473">
        <v>0.12895509999999999</v>
      </c>
      <c r="X2473">
        <v>0.99115489999999995</v>
      </c>
      <c r="Y2473">
        <v>-1.029578E-3</v>
      </c>
      <c r="Z2473">
        <v>9.1322609999999998E-4</v>
      </c>
      <c r="AA2473">
        <v>0.99999899999999997</v>
      </c>
      <c r="AB2473">
        <v>35</v>
      </c>
      <c r="AC2473">
        <v>0.55019999999996105</v>
      </c>
      <c r="AD2473">
        <v>-7.2904999999999706E-2</v>
      </c>
      <c r="AE2473">
        <v>-5.1000000000271904E-3</v>
      </c>
      <c r="AF2473">
        <v>-7.2828459484680001E-4</v>
      </c>
      <c r="AG2473">
        <v>-7.2904999999999706E-2</v>
      </c>
      <c r="AH2473">
        <v>0.54072985292867703</v>
      </c>
      <c r="AI2473">
        <v>97.6787075886797</v>
      </c>
      <c r="AJ2473">
        <v>90.077169048669205</v>
      </c>
      <c r="AK2473">
        <v>0.54562298638503104</v>
      </c>
      <c r="AL2473">
        <v>82.590784343964302</v>
      </c>
      <c r="AM2473">
        <v>88.188589098414795</v>
      </c>
      <c r="AN2473">
        <v>1.0000000092149499</v>
      </c>
    </row>
    <row r="2474" spans="1:40" x14ac:dyDescent="0.25">
      <c r="A2474" t="str">
        <f>"20190312164313375"</f>
        <v>20190312164313375</v>
      </c>
      <c r="B2474" t="str">
        <f>"1552380193366722"</f>
        <v>1552380193366722</v>
      </c>
      <c r="C2474" t="s">
        <v>40</v>
      </c>
      <c r="D2474">
        <v>4.4210890000000003</v>
      </c>
      <c r="E2474">
        <v>0.46745910000000002</v>
      </c>
      <c r="F2474" t="s">
        <v>47</v>
      </c>
      <c r="G2474">
        <v>-419.73489999999998</v>
      </c>
      <c r="H2474" s="1">
        <v>4.0105669999999999E-6</v>
      </c>
      <c r="I2474">
        <v>213.72409999999999</v>
      </c>
      <c r="J2474">
        <v>-432.60399999999998</v>
      </c>
      <c r="K2474">
        <v>1.109532</v>
      </c>
      <c r="L2474">
        <v>213.1276</v>
      </c>
      <c r="M2474">
        <v>0.99993160000000003</v>
      </c>
      <c r="N2474">
        <v>0</v>
      </c>
      <c r="O2474">
        <v>-1.01496E-2</v>
      </c>
      <c r="P2474">
        <v>0.99155490000000002</v>
      </c>
      <c r="Q2474">
        <v>0.12307899999999999</v>
      </c>
      <c r="R2474">
        <v>-4.0873060000000003E-2</v>
      </c>
      <c r="S2474">
        <v>3.0634769999999998</v>
      </c>
      <c r="T2474">
        <v>-0.25685829999999998</v>
      </c>
      <c r="U2474">
        <v>0.1372833</v>
      </c>
      <c r="V2474">
        <v>3.0691179999999998E-2</v>
      </c>
      <c r="W2474">
        <v>0.12887280000000001</v>
      </c>
      <c r="X2474">
        <v>0.99118609999999896</v>
      </c>
      <c r="Y2474">
        <v>-5.4678240000000003E-2</v>
      </c>
      <c r="Z2474">
        <v>3.1362370000000001E-3</v>
      </c>
      <c r="AA2474">
        <v>0.99849909999999997</v>
      </c>
      <c r="AB2474">
        <v>35</v>
      </c>
      <c r="AC2474">
        <v>12.8691</v>
      </c>
      <c r="AD2474">
        <v>-1.1095279894329999</v>
      </c>
      <c r="AE2474">
        <v>0.59649999999999104</v>
      </c>
      <c r="AF2474">
        <v>-0.72173434953041005</v>
      </c>
      <c r="AG2474">
        <v>-1.1095279894329999</v>
      </c>
      <c r="AH2474">
        <v>12.767680558431399</v>
      </c>
      <c r="AI2474">
        <v>94.958723497554701</v>
      </c>
      <c r="AJ2474">
        <v>93.2353856222595</v>
      </c>
      <c r="AK2474">
        <v>12.8361060946369</v>
      </c>
      <c r="AL2474">
        <v>82.5955395146364</v>
      </c>
      <c r="AM2474">
        <v>88.226454738132503</v>
      </c>
      <c r="AN2474">
        <v>1.00000001597142</v>
      </c>
    </row>
    <row r="2475" spans="1:40" x14ac:dyDescent="0.25">
      <c r="A2475" t="str">
        <f>"20190312164313419"</f>
        <v>20190312164313419</v>
      </c>
      <c r="B2475" t="str">
        <f>"1552380193406742"</f>
        <v>1552380193406742</v>
      </c>
      <c r="C2475" t="s">
        <v>40</v>
      </c>
      <c r="D2475">
        <v>4.6701769999999998</v>
      </c>
      <c r="E2475">
        <v>0.46623429999999999</v>
      </c>
      <c r="F2475" t="s">
        <v>47</v>
      </c>
      <c r="G2475">
        <v>-419.79509999999999</v>
      </c>
      <c r="H2475" s="1">
        <v>4.0132120000000003E-6</v>
      </c>
      <c r="I2475">
        <v>213.8159</v>
      </c>
      <c r="J2475">
        <v>-431.92599999999999</v>
      </c>
      <c r="K2475">
        <v>1.1095549999999901</v>
      </c>
      <c r="L2475">
        <v>213.1216</v>
      </c>
      <c r="M2475">
        <v>0.99993980000000005</v>
      </c>
      <c r="N2475">
        <v>0</v>
      </c>
      <c r="O2475">
        <v>-9.2691560000000006E-3</v>
      </c>
      <c r="P2475">
        <v>0.991676</v>
      </c>
      <c r="Q2475">
        <v>0.12281400000000001</v>
      </c>
      <c r="R2475">
        <v>-3.8674260000000002E-2</v>
      </c>
      <c r="S2475">
        <v>3.0653079999999999</v>
      </c>
      <c r="T2475">
        <v>-0.2655207</v>
      </c>
      <c r="U2475">
        <v>0.1647034</v>
      </c>
      <c r="V2475">
        <v>2.935807E-2</v>
      </c>
      <c r="W2475">
        <v>0.1286728</v>
      </c>
      <c r="X2475">
        <v>0.99125240000000003</v>
      </c>
      <c r="Y2475">
        <v>-6.2639169999999994E-2</v>
      </c>
      <c r="Z2475">
        <v>3.5068159999999998E-3</v>
      </c>
      <c r="AA2475">
        <v>0.99803010000000003</v>
      </c>
      <c r="AB2475">
        <v>35</v>
      </c>
      <c r="AC2475">
        <v>12.130899999999899</v>
      </c>
      <c r="AD2475">
        <v>-1.10955098678799</v>
      </c>
      <c r="AE2475">
        <v>0.69429999999999803</v>
      </c>
      <c r="AF2475">
        <v>-0.80004414338414298</v>
      </c>
      <c r="AG2475">
        <v>-1.10955098678799</v>
      </c>
      <c r="AH2475">
        <v>12.0236836162609</v>
      </c>
      <c r="AI2475">
        <v>95.260780966491794</v>
      </c>
      <c r="AJ2475">
        <v>93.806793607542204</v>
      </c>
      <c r="AK2475">
        <v>12.1012454618352</v>
      </c>
      <c r="AL2475">
        <v>82.607094411664804</v>
      </c>
      <c r="AM2475">
        <v>88.303558272414605</v>
      </c>
      <c r="AN2475">
        <v>0.99999995311986101</v>
      </c>
    </row>
    <row r="2476" spans="1:40" x14ac:dyDescent="0.25">
      <c r="A2476" t="str">
        <f>"20190312164313440"</f>
        <v>20190312164313440</v>
      </c>
      <c r="B2476" t="str">
        <f>"1552380193436994"</f>
        <v>1552380193436994</v>
      </c>
      <c r="C2476" t="s">
        <v>40</v>
      </c>
      <c r="D2476">
        <v>4.4701959999999996</v>
      </c>
      <c r="E2476">
        <v>0.46586</v>
      </c>
      <c r="F2476" t="s">
        <v>47</v>
      </c>
      <c r="G2476">
        <v>-419.08609999999999</v>
      </c>
      <c r="H2476" s="1">
        <v>3.8818739999999998E-6</v>
      </c>
      <c r="I2476">
        <v>213.87960000000001</v>
      </c>
      <c r="J2476">
        <v>-431.59059999999999</v>
      </c>
      <c r="K2476">
        <v>1.109561</v>
      </c>
      <c r="L2476">
        <v>213.1189</v>
      </c>
      <c r="M2476">
        <v>0.99994369999999999</v>
      </c>
      <c r="N2476">
        <v>0</v>
      </c>
      <c r="O2476">
        <v>-8.8227199999999992E-3</v>
      </c>
      <c r="P2476">
        <v>0.99177539999999997</v>
      </c>
      <c r="Q2476">
        <v>0.12233719999999999</v>
      </c>
      <c r="R2476">
        <v>-3.7620710000000002E-2</v>
      </c>
      <c r="S2476">
        <v>3.0650019999999998</v>
      </c>
      <c r="T2476">
        <v>-0.26485969999999998</v>
      </c>
      <c r="U2476">
        <v>0.18093870000000001</v>
      </c>
      <c r="V2476">
        <v>2.8743250000000001E-2</v>
      </c>
      <c r="W2476">
        <v>0.12822729999999999</v>
      </c>
      <c r="X2476">
        <v>0.99132819999999999</v>
      </c>
      <c r="Y2476">
        <v>-6.745313E-2</v>
      </c>
      <c r="Z2476">
        <v>3.6669039999999999E-3</v>
      </c>
      <c r="AA2476">
        <v>0.99771569999999998</v>
      </c>
      <c r="AB2476">
        <v>35</v>
      </c>
      <c r="AC2476">
        <v>12.5045</v>
      </c>
      <c r="AD2476">
        <v>-1.109557118126</v>
      </c>
      <c r="AE2476">
        <v>0.76070000000001403</v>
      </c>
      <c r="AF2476">
        <v>-0.86421670809912998</v>
      </c>
      <c r="AG2476">
        <v>-1.109557118126</v>
      </c>
      <c r="AH2476">
        <v>12.400030340287101</v>
      </c>
      <c r="AI2476">
        <v>95.100911841922198</v>
      </c>
      <c r="AJ2476">
        <v>93.986766906134804</v>
      </c>
      <c r="AK2476">
        <v>12.4795328420972</v>
      </c>
      <c r="AL2476">
        <v>82.632833303899304</v>
      </c>
      <c r="AM2476">
        <v>88.339192161967802</v>
      </c>
      <c r="AN2476">
        <v>1.00000000750054</v>
      </c>
    </row>
    <row r="2477" spans="1:40" x14ac:dyDescent="0.25">
      <c r="A2477" t="str">
        <f>"20190312164313464"</f>
        <v>20190312164313464</v>
      </c>
      <c r="B2477" t="str">
        <f>"1552380193456514"</f>
        <v>1552380193456514</v>
      </c>
      <c r="C2477" t="s">
        <v>40</v>
      </c>
      <c r="D2477">
        <v>4.5033139999999996</v>
      </c>
      <c r="E2477">
        <v>0.46566439999999998</v>
      </c>
      <c r="F2477" t="s">
        <v>47</v>
      </c>
      <c r="G2477">
        <v>-418.6386</v>
      </c>
      <c r="H2477" s="1">
        <v>3.7997799999999999E-6</v>
      </c>
      <c r="I2477">
        <v>213.91079999999999</v>
      </c>
      <c r="J2477">
        <v>-431.221</v>
      </c>
      <c r="K2477">
        <v>1.1095820000000001</v>
      </c>
      <c r="L2477">
        <v>213.11609999999999</v>
      </c>
      <c r="M2477">
        <v>0.99994769999999999</v>
      </c>
      <c r="N2477">
        <v>0</v>
      </c>
      <c r="O2477">
        <v>-8.3106969999999902E-3</v>
      </c>
      <c r="P2477">
        <v>0.99181229999999998</v>
      </c>
      <c r="Q2477">
        <v>0.12209730000000001</v>
      </c>
      <c r="R2477">
        <v>-3.742521E-2</v>
      </c>
      <c r="S2477">
        <v>3.064362</v>
      </c>
      <c r="T2477">
        <v>-0.26251419999999998</v>
      </c>
      <c r="U2477">
        <v>0.1873474</v>
      </c>
      <c r="V2477">
        <v>2.904957E-2</v>
      </c>
      <c r="W2477">
        <v>0.1280259</v>
      </c>
      <c r="X2477">
        <v>0.99134529999999998</v>
      </c>
      <c r="Y2477">
        <v>-6.903455E-2</v>
      </c>
      <c r="Z2477">
        <v>3.6588860000000001E-3</v>
      </c>
      <c r="AA2477">
        <v>0.99760760000000004</v>
      </c>
      <c r="AB2477">
        <v>35</v>
      </c>
      <c r="AC2477">
        <v>12.5824</v>
      </c>
      <c r="AD2477">
        <v>-1.1095782002200001</v>
      </c>
      <c r="AE2477">
        <v>0.79470000000000596</v>
      </c>
      <c r="AF2477">
        <v>-0.892331209515139</v>
      </c>
      <c r="AG2477">
        <v>-1.1095782002200001</v>
      </c>
      <c r="AH2477">
        <v>12.478704712241701</v>
      </c>
      <c r="AI2477">
        <v>95.068373626148698</v>
      </c>
      <c r="AJ2477">
        <v>94.090162815504399</v>
      </c>
      <c r="AK2477">
        <v>12.559677148127699</v>
      </c>
      <c r="AL2477">
        <v>82.644468564265196</v>
      </c>
      <c r="AM2477">
        <v>88.321531756665394</v>
      </c>
      <c r="AN2477">
        <v>1.00000000621004</v>
      </c>
    </row>
    <row r="2478" spans="1:40" x14ac:dyDescent="0.25">
      <c r="A2478" t="str">
        <f>"20190312164313486"</f>
        <v>20190312164313486</v>
      </c>
      <c r="B2478" t="str">
        <f>"1552380193477009"</f>
        <v>1552380193477009</v>
      </c>
      <c r="C2478" t="s">
        <v>40</v>
      </c>
      <c r="D2478">
        <v>4.6818249999999999</v>
      </c>
      <c r="E2478">
        <v>0.46550829999999999</v>
      </c>
      <c r="F2478" t="s">
        <v>47</v>
      </c>
      <c r="G2478">
        <v>-418.29669999999999</v>
      </c>
      <c r="H2478" s="1">
        <v>3.7386020000000001E-6</v>
      </c>
      <c r="I2478">
        <v>213.91679999999999</v>
      </c>
      <c r="J2478">
        <v>-430.85550000000001</v>
      </c>
      <c r="K2478">
        <v>1.109604</v>
      </c>
      <c r="L2478">
        <v>213.11349999999999</v>
      </c>
      <c r="M2478">
        <v>0.9999519</v>
      </c>
      <c r="N2478">
        <v>0</v>
      </c>
      <c r="O2478">
        <v>-7.7760080000000001E-3</v>
      </c>
      <c r="P2478">
        <v>0.99178840000000001</v>
      </c>
      <c r="Q2478">
        <v>0.1222858</v>
      </c>
      <c r="R2478">
        <v>-3.7448210000000003E-2</v>
      </c>
      <c r="S2478">
        <v>3.0643009999999999</v>
      </c>
      <c r="T2478">
        <v>-0.26307709999999901</v>
      </c>
      <c r="U2478">
        <v>0.18984989999999999</v>
      </c>
      <c r="V2478">
        <v>2.9595340000000001E-2</v>
      </c>
      <c r="W2478">
        <v>0.1282595</v>
      </c>
      <c r="X2478">
        <v>0.99129900000000004</v>
      </c>
      <c r="Y2478">
        <v>-6.9313669999999994E-2</v>
      </c>
      <c r="Z2478">
        <v>3.63285E-3</v>
      </c>
      <c r="AA2478">
        <v>0.99758829999999998</v>
      </c>
      <c r="AB2478">
        <v>35</v>
      </c>
      <c r="AC2478">
        <v>12.5588</v>
      </c>
      <c r="AD2478">
        <v>-1.1096002613980001</v>
      </c>
      <c r="AE2478">
        <v>0.80330000000000701</v>
      </c>
      <c r="AF2478">
        <v>-0.89398464454287396</v>
      </c>
      <c r="AG2478">
        <v>-1.1096002613980001</v>
      </c>
      <c r="AH2478">
        <v>12.4553416298474</v>
      </c>
      <c r="AI2478">
        <v>95.077835306020106</v>
      </c>
      <c r="AJ2478">
        <v>94.105375869254303</v>
      </c>
      <c r="AK2478">
        <v>12.5365847183746</v>
      </c>
      <c r="AL2478">
        <v>82.630973300095505</v>
      </c>
      <c r="AM2478">
        <v>88.289936194814999</v>
      </c>
      <c r="AN2478">
        <v>1.00000004544548</v>
      </c>
    </row>
    <row r="2479" spans="1:40" x14ac:dyDescent="0.25">
      <c r="A2479" t="str">
        <f>"20190312164313509"</f>
        <v>20190312164313509</v>
      </c>
      <c r="B2479" t="str">
        <f>"1552380193497507"</f>
        <v>1552380193497507</v>
      </c>
      <c r="C2479" t="s">
        <v>40</v>
      </c>
      <c r="D2479">
        <v>4.7112100000000003</v>
      </c>
      <c r="E2479">
        <v>0.46557900000000002</v>
      </c>
      <c r="F2479" t="s">
        <v>47</v>
      </c>
      <c r="G2479">
        <v>-417.80500000000001</v>
      </c>
      <c r="H2479" s="1">
        <v>3.650353E-6</v>
      </c>
      <c r="I2479">
        <v>213.92850000000001</v>
      </c>
      <c r="J2479">
        <v>-430.50080000000003</v>
      </c>
      <c r="K2479">
        <v>1.109637</v>
      </c>
      <c r="L2479">
        <v>213.1113</v>
      </c>
      <c r="M2479">
        <v>0.99995560000000006</v>
      </c>
      <c r="N2479">
        <v>0</v>
      </c>
      <c r="O2479">
        <v>-7.2326129999999997E-3</v>
      </c>
      <c r="P2479">
        <v>0.99176509999999996</v>
      </c>
      <c r="Q2479">
        <v>0.1225238</v>
      </c>
      <c r="R2479">
        <v>-3.7283200000000002E-2</v>
      </c>
      <c r="S2479">
        <v>3.064209</v>
      </c>
      <c r="T2479">
        <v>-0.26052979999999998</v>
      </c>
      <c r="U2479">
        <v>0.19136049999999999</v>
      </c>
      <c r="V2479">
        <v>2.9961379999999999E-2</v>
      </c>
      <c r="W2479">
        <v>0.12854369999999901</v>
      </c>
      <c r="X2479">
        <v>0.9912512</v>
      </c>
      <c r="Y2479">
        <v>-6.9270849999999995E-2</v>
      </c>
      <c r="Z2479">
        <v>3.54996E-3</v>
      </c>
      <c r="AA2479">
        <v>0.99759160000000002</v>
      </c>
      <c r="AB2479">
        <v>36</v>
      </c>
      <c r="AC2479">
        <v>12.6958</v>
      </c>
      <c r="AD2479">
        <v>-1.1096333496469999</v>
      </c>
      <c r="AE2479">
        <v>0.81720000000001303</v>
      </c>
      <c r="AF2479">
        <v>-0.90214105050182103</v>
      </c>
      <c r="AG2479">
        <v>-1.1096333496469999</v>
      </c>
      <c r="AH2479">
        <v>12.5937500935575</v>
      </c>
      <c r="AI2479">
        <v>95.022514944181495</v>
      </c>
      <c r="AJ2479">
        <v>94.097328664555306</v>
      </c>
      <c r="AK2479">
        <v>12.674686823138</v>
      </c>
      <c r="AL2479">
        <v>82.614553990603198</v>
      </c>
      <c r="AM2479">
        <v>88.268715207318394</v>
      </c>
      <c r="AN2479">
        <v>1.0000000543013099</v>
      </c>
    </row>
    <row r="2480" spans="1:40" x14ac:dyDescent="0.25">
      <c r="A2480" t="str">
        <f>"20190312164313529"</f>
        <v>20190312164313529</v>
      </c>
      <c r="B2480" t="str">
        <f>"1552380193526786"</f>
        <v>1552380193526786</v>
      </c>
      <c r="C2480" t="s">
        <v>40</v>
      </c>
      <c r="D2480">
        <v>4.6571389999999999</v>
      </c>
      <c r="E2480">
        <v>0.46560030000000002</v>
      </c>
      <c r="F2480" t="s">
        <v>47</v>
      </c>
      <c r="G2480">
        <v>-417.53320000000002</v>
      </c>
      <c r="H2480" s="1">
        <v>3.6029420000000002E-6</v>
      </c>
      <c r="I2480">
        <v>213.91929999999999</v>
      </c>
      <c r="J2480">
        <v>-430.16160000000002</v>
      </c>
      <c r="K2480">
        <v>1.109667</v>
      </c>
      <c r="L2480">
        <v>213.10929999999999</v>
      </c>
      <c r="M2480">
        <v>0.99995919999999905</v>
      </c>
      <c r="N2480">
        <v>0</v>
      </c>
      <c r="O2480">
        <v>-6.6886219999999904E-3</v>
      </c>
      <c r="P2480">
        <v>0.99184519999999998</v>
      </c>
      <c r="Q2480">
        <v>0.122057</v>
      </c>
      <c r="R2480">
        <v>-3.6679440000000001E-2</v>
      </c>
      <c r="S2480">
        <v>3.0644529999999999</v>
      </c>
      <c r="T2480">
        <v>-0.2622237</v>
      </c>
      <c r="U2480">
        <v>0.19096369999999999</v>
      </c>
      <c r="V2480">
        <v>2.9889490000000001E-2</v>
      </c>
      <c r="W2480">
        <v>0.1281205</v>
      </c>
      <c r="X2480">
        <v>0.99130810000000003</v>
      </c>
      <c r="Y2480">
        <v>-6.8595450000000002E-2</v>
      </c>
      <c r="Z2480">
        <v>3.4974479999999998E-3</v>
      </c>
      <c r="AA2480">
        <v>0.99763840000000004</v>
      </c>
      <c r="AB2480">
        <v>36</v>
      </c>
      <c r="AC2480">
        <v>12.628399999999999</v>
      </c>
      <c r="AD2480">
        <v>-1.1096633970580001</v>
      </c>
      <c r="AE2480">
        <v>0.81000000000000205</v>
      </c>
      <c r="AF2480">
        <v>-0.88762456822227498</v>
      </c>
      <c r="AG2480">
        <v>-1.1096633970580001</v>
      </c>
      <c r="AH2480">
        <v>12.5263770014682</v>
      </c>
      <c r="AI2480">
        <v>95.049800752482795</v>
      </c>
      <c r="AJ2480">
        <v>94.053229098332906</v>
      </c>
      <c r="AK2480">
        <v>12.6067184870526</v>
      </c>
      <c r="AL2480">
        <v>82.639003305273803</v>
      </c>
      <c r="AM2480">
        <v>88.272965846957803</v>
      </c>
      <c r="AN2480">
        <v>0.99999999662915995</v>
      </c>
    </row>
    <row r="2481" spans="1:40" x14ac:dyDescent="0.25">
      <c r="A2481" t="str">
        <f>"20190312164313552"</f>
        <v>20190312164313552</v>
      </c>
      <c r="B2481" t="str">
        <f>"1552380193547282"</f>
        <v>1552380193547282</v>
      </c>
      <c r="C2481" t="s">
        <v>40</v>
      </c>
      <c r="D2481">
        <v>4.6518569999999997</v>
      </c>
      <c r="E2481">
        <v>0.46596789999999999</v>
      </c>
      <c r="F2481" t="s">
        <v>47</v>
      </c>
      <c r="G2481">
        <v>-417.25659999999999</v>
      </c>
      <c r="H2481" s="1">
        <v>3.5539610000000002E-6</v>
      </c>
      <c r="I2481">
        <v>213.91839999999999</v>
      </c>
      <c r="J2481">
        <v>-429.80860000000001</v>
      </c>
      <c r="K2481">
        <v>1.1096950000000001</v>
      </c>
      <c r="L2481">
        <v>213.10740000000001</v>
      </c>
      <c r="M2481">
        <v>0.99996269999999998</v>
      </c>
      <c r="N2481">
        <v>0</v>
      </c>
      <c r="O2481">
        <v>-6.0987359999999996E-3</v>
      </c>
      <c r="P2481">
        <v>0.99192950000000002</v>
      </c>
      <c r="Q2481">
        <v>0.12174359999999999</v>
      </c>
      <c r="R2481">
        <v>-3.541913E-2</v>
      </c>
      <c r="S2481">
        <v>3.0641780000000001</v>
      </c>
      <c r="T2481">
        <v>-0.26347910000000002</v>
      </c>
      <c r="U2481">
        <v>0.1921234</v>
      </c>
      <c r="V2481">
        <v>2.9206650000000001E-2</v>
      </c>
      <c r="W2481">
        <v>0.1278504</v>
      </c>
      <c r="X2481">
        <v>0.99136329999999995</v>
      </c>
      <c r="Y2481">
        <v>-6.8388840000000006E-2</v>
      </c>
      <c r="Z2481">
        <v>3.4549609999999999E-3</v>
      </c>
      <c r="AA2481">
        <v>0.99765280000000001</v>
      </c>
      <c r="AB2481">
        <v>36</v>
      </c>
      <c r="AC2481">
        <v>12.552</v>
      </c>
      <c r="AD2481">
        <v>-1.1096914460389999</v>
      </c>
      <c r="AE2481">
        <v>0.81099999999997796</v>
      </c>
      <c r="AF2481">
        <v>-0.88068297454066502</v>
      </c>
      <c r="AG2481">
        <v>-1.1096914460389999</v>
      </c>
      <c r="AH2481">
        <v>12.449917692571701</v>
      </c>
      <c r="AI2481">
        <v>95.080822851639496</v>
      </c>
      <c r="AJ2481">
        <v>94.046252063473503</v>
      </c>
      <c r="AK2481">
        <v>12.530262094579999</v>
      </c>
      <c r="AL2481">
        <v>82.654607045950499</v>
      </c>
      <c r="AM2481">
        <v>88.312491616774807</v>
      </c>
      <c r="AN2481">
        <v>0.99999997288563502</v>
      </c>
    </row>
    <row r="2482" spans="1:40" x14ac:dyDescent="0.25">
      <c r="A2482" t="str">
        <f>"20190312164313574"</f>
        <v>20190312164313574</v>
      </c>
      <c r="B2482" t="str">
        <f>"1552380193566803"</f>
        <v>1552380193566803</v>
      </c>
      <c r="C2482" t="s">
        <v>40</v>
      </c>
      <c r="D2482">
        <v>4.6682110000000003</v>
      </c>
      <c r="E2482">
        <v>0.49459500000000001</v>
      </c>
      <c r="F2482" t="s">
        <v>47</v>
      </c>
      <c r="G2482">
        <v>-416.96089999999998</v>
      </c>
      <c r="H2482" s="1">
        <v>3.5019840000000001E-6</v>
      </c>
      <c r="I2482">
        <v>213.91309999999999</v>
      </c>
      <c r="J2482">
        <v>-429.43509999999998</v>
      </c>
      <c r="K2482">
        <v>1.109718</v>
      </c>
      <c r="L2482">
        <v>213.10570000000001</v>
      </c>
      <c r="M2482">
        <v>0.99996609999999997</v>
      </c>
      <c r="N2482">
        <v>0</v>
      </c>
      <c r="O2482">
        <v>-5.4521169999999898E-3</v>
      </c>
      <c r="P2482">
        <v>0.99201539999999999</v>
      </c>
      <c r="Q2482">
        <v>0.1213417</v>
      </c>
      <c r="R2482">
        <v>-3.4374920000000003E-2</v>
      </c>
      <c r="S2482">
        <v>3.0637509999999999</v>
      </c>
      <c r="T2482">
        <v>-0.26462550000000001</v>
      </c>
      <c r="U2482">
        <v>0.1921234</v>
      </c>
      <c r="V2482">
        <v>2.8796860000000001E-2</v>
      </c>
      <c r="W2482">
        <v>0.12749240000000001</v>
      </c>
      <c r="X2482">
        <v>0.99142140000000001</v>
      </c>
      <c r="Y2482">
        <v>-6.7754709999999996E-2</v>
      </c>
      <c r="Z2482">
        <v>3.3874130000000001E-3</v>
      </c>
      <c r="AA2482">
        <v>0.99769629999999998</v>
      </c>
      <c r="AB2482">
        <v>36</v>
      </c>
      <c r="AC2482">
        <v>12.4741999999999</v>
      </c>
      <c r="AD2482">
        <v>-1.1097144980159901</v>
      </c>
      <c r="AE2482">
        <v>0.80739999999997203</v>
      </c>
      <c r="AF2482">
        <v>-0.86855500742878999</v>
      </c>
      <c r="AG2482">
        <v>-1.1097144980159901</v>
      </c>
      <c r="AH2482">
        <v>12.3721078507781</v>
      </c>
      <c r="AI2482">
        <v>95.112904575189702</v>
      </c>
      <c r="AJ2482">
        <v>94.015728303828297</v>
      </c>
      <c r="AK2482">
        <v>12.452104510456101</v>
      </c>
      <c r="AL2482">
        <v>82.675288244880306</v>
      </c>
      <c r="AM2482">
        <v>88.336252602989106</v>
      </c>
      <c r="AN2482">
        <v>0.99999998179078897</v>
      </c>
    </row>
    <row r="2483" spans="1:40" x14ac:dyDescent="0.25">
      <c r="A2483" t="str">
        <f>"20190312164313596"</f>
        <v>20190312164313596</v>
      </c>
      <c r="B2483" t="str">
        <f>"1552380193587298"</f>
        <v>1552380193587298</v>
      </c>
      <c r="C2483" t="s">
        <v>40</v>
      </c>
      <c r="D2483">
        <v>4.7889819999999999</v>
      </c>
      <c r="E2483">
        <v>0.49794640000000001</v>
      </c>
      <c r="F2483" t="s">
        <v>41</v>
      </c>
      <c r="G2483">
        <v>-428.61189999999999</v>
      </c>
      <c r="H2483">
        <v>1.036368</v>
      </c>
      <c r="I2483">
        <v>213.09649999999999</v>
      </c>
      <c r="J2483">
        <v>-429.09289999999999</v>
      </c>
      <c r="K2483">
        <v>1.109734</v>
      </c>
      <c r="L2483">
        <v>213.1044</v>
      </c>
      <c r="M2483">
        <v>0.99996910000000006</v>
      </c>
      <c r="N2483">
        <v>0</v>
      </c>
      <c r="O2483">
        <v>-4.8449829999999998E-3</v>
      </c>
      <c r="P2483">
        <v>0.9920447</v>
      </c>
      <c r="Q2483">
        <v>0.12135460000000001</v>
      </c>
      <c r="R2483">
        <v>-3.3474289999999997E-2</v>
      </c>
      <c r="S2483">
        <v>3.056305</v>
      </c>
      <c r="T2483">
        <v>-0.27242729999999998</v>
      </c>
      <c r="U2483">
        <v>-3.3447270000000001E-2</v>
      </c>
      <c r="V2483">
        <v>2.849285E-2</v>
      </c>
      <c r="W2483">
        <v>0.12754589999999999</v>
      </c>
      <c r="X2483">
        <v>0.99142330000000001</v>
      </c>
      <c r="Y2483">
        <v>6.0931769999999904E-3</v>
      </c>
      <c r="Z2483">
        <v>1.599843E-4</v>
      </c>
      <c r="AA2483">
        <v>0.99998140000000002</v>
      </c>
      <c r="AB2483">
        <v>36</v>
      </c>
      <c r="AC2483">
        <v>0.48099999999999399</v>
      </c>
      <c r="AD2483">
        <v>-7.3366000000000001E-2</v>
      </c>
      <c r="AE2483">
        <v>-7.9000000000064505E-3</v>
      </c>
      <c r="AF2483">
        <v>5.4428334492234798E-3</v>
      </c>
      <c r="AG2483">
        <v>-7.3366000000000001E-2</v>
      </c>
      <c r="AH2483">
        <v>0.47009881957349497</v>
      </c>
      <c r="AI2483">
        <v>98.869730025656494</v>
      </c>
      <c r="AJ2483">
        <v>89.336655531450802</v>
      </c>
      <c r="AK2483">
        <v>0.47582044360908798</v>
      </c>
      <c r="AL2483">
        <v>82.672197672381401</v>
      </c>
      <c r="AM2483">
        <v>88.353810310740101</v>
      </c>
      <c r="AN2483">
        <v>0.99999997944541097</v>
      </c>
    </row>
    <row r="2484" spans="1:40" x14ac:dyDescent="0.25">
      <c r="A2484" t="str">
        <f>"20190312164313620"</f>
        <v>20190312164313620</v>
      </c>
      <c r="B2484" t="str">
        <f>"1552380193616578"</f>
        <v>1552380193616578</v>
      </c>
      <c r="C2484" t="s">
        <v>40</v>
      </c>
      <c r="D2484">
        <v>4.6842059999999996</v>
      </c>
      <c r="E2484">
        <v>0.50106410000000001</v>
      </c>
      <c r="F2484" t="s">
        <v>41</v>
      </c>
      <c r="G2484">
        <v>-428.28910000000002</v>
      </c>
      <c r="H2484">
        <v>1.036867</v>
      </c>
      <c r="I2484">
        <v>213.089</v>
      </c>
      <c r="J2484">
        <v>-428.7</v>
      </c>
      <c r="K2484">
        <v>1.1097629999999901</v>
      </c>
      <c r="L2484">
        <v>213.10310000000001</v>
      </c>
      <c r="M2484">
        <v>0.99997199999999997</v>
      </c>
      <c r="N2484">
        <v>0</v>
      </c>
      <c r="O2484">
        <v>-4.1370249999999999E-3</v>
      </c>
      <c r="P2484">
        <v>0.99202389999999996</v>
      </c>
      <c r="Q2484">
        <v>0.12176579999999999</v>
      </c>
      <c r="R2484">
        <v>-3.2587390000000001E-2</v>
      </c>
      <c r="S2484">
        <v>3.0560299999999998</v>
      </c>
      <c r="T2484">
        <v>-0.27728550000000002</v>
      </c>
      <c r="U2484">
        <v>-5.680847E-2</v>
      </c>
      <c r="V2484">
        <v>2.8302870000000001E-2</v>
      </c>
      <c r="W2484">
        <v>0.12800410000000001</v>
      </c>
      <c r="X2484">
        <v>0.99136970000000002</v>
      </c>
      <c r="Y2484">
        <v>1.4407039999999999E-2</v>
      </c>
      <c r="Z2484">
        <v>-2.7763799999999997E-4</v>
      </c>
      <c r="AA2484">
        <v>0.99989620000000001</v>
      </c>
      <c r="AB2484">
        <v>36</v>
      </c>
      <c r="AC2484">
        <v>0.41089999999996901</v>
      </c>
      <c r="AD2484">
        <v>-7.2895999999999794E-2</v>
      </c>
      <c r="AE2484">
        <v>-1.4099999999984901E-2</v>
      </c>
      <c r="AF2484">
        <v>1.20220212810534E-2</v>
      </c>
      <c r="AG2484">
        <v>-7.2895999999999794E-2</v>
      </c>
      <c r="AH2484">
        <v>0.398429869219669</v>
      </c>
      <c r="AI2484">
        <v>100.363445874609</v>
      </c>
      <c r="AJ2484">
        <v>88.271710512670893</v>
      </c>
      <c r="AK2484">
        <v>0.40522181147870701</v>
      </c>
      <c r="AL2484">
        <v>82.645727869839703</v>
      </c>
      <c r="AM2484">
        <v>88.364692165051594</v>
      </c>
      <c r="AN2484">
        <v>0.99999999207256796</v>
      </c>
    </row>
    <row r="2485" spans="1:40" x14ac:dyDescent="0.25">
      <c r="A2485" t="str">
        <f>"20190312164313642"</f>
        <v>20190312164313642</v>
      </c>
      <c r="B2485" t="str">
        <f>"1552380193637074"</f>
        <v>1552380193637074</v>
      </c>
      <c r="C2485" t="s">
        <v>40</v>
      </c>
      <c r="D2485">
        <v>5.0042269999999904</v>
      </c>
      <c r="E2485">
        <v>0.50211289999999997</v>
      </c>
      <c r="F2485" t="s">
        <v>41</v>
      </c>
      <c r="G2485">
        <v>-427.95650000000001</v>
      </c>
      <c r="H2485">
        <v>1.049329</v>
      </c>
      <c r="I2485">
        <v>213.08369999999999</v>
      </c>
      <c r="J2485">
        <v>-428.3492</v>
      </c>
      <c r="K2485">
        <v>1.1097840000000001</v>
      </c>
      <c r="L2485">
        <v>213.10210000000001</v>
      </c>
      <c r="M2485">
        <v>0.99997409999999998</v>
      </c>
      <c r="N2485">
        <v>0</v>
      </c>
      <c r="O2485">
        <v>-3.4981050000000001E-3</v>
      </c>
      <c r="P2485">
        <v>0.99197829999999998</v>
      </c>
      <c r="Q2485">
        <v>0.1222657</v>
      </c>
      <c r="R2485">
        <v>-3.2102299999999903E-2</v>
      </c>
      <c r="S2485">
        <v>3.051971</v>
      </c>
      <c r="T2485">
        <v>-0.24815110000000001</v>
      </c>
      <c r="U2485">
        <v>-7.9620360000000001E-2</v>
      </c>
      <c r="V2485">
        <v>2.8447569999999998E-2</v>
      </c>
      <c r="W2485">
        <v>0.1285461</v>
      </c>
      <c r="X2485">
        <v>0.9912955</v>
      </c>
      <c r="Y2485">
        <v>2.251943E-2</v>
      </c>
      <c r="Z2485">
        <v>-6.2993649999999995E-4</v>
      </c>
      <c r="AA2485">
        <v>0.99974620000000003</v>
      </c>
      <c r="AB2485">
        <v>36</v>
      </c>
      <c r="AC2485">
        <v>0.39269999999999</v>
      </c>
      <c r="AD2485">
        <v>-6.0454999999999898E-2</v>
      </c>
      <c r="AE2485">
        <v>-1.8400000000013898E-2</v>
      </c>
      <c r="AF2485">
        <v>1.6632825140328E-2</v>
      </c>
      <c r="AG2485">
        <v>-6.0454999999999898E-2</v>
      </c>
      <c r="AH2485">
        <v>0.38368858320159599</v>
      </c>
      <c r="AI2485">
        <v>98.945797292842002</v>
      </c>
      <c r="AJ2485">
        <v>87.517793229550094</v>
      </c>
      <c r="AK2485">
        <v>0.38877806879554999</v>
      </c>
      <c r="AL2485">
        <v>82.614415418682299</v>
      </c>
      <c r="AM2485">
        <v>88.356213173910803</v>
      </c>
      <c r="AN2485">
        <v>1.00000006619218</v>
      </c>
    </row>
    <row r="2486" spans="1:40" x14ac:dyDescent="0.25">
      <c r="A2486" t="str">
        <f>"20190312164313666"</f>
        <v>20190312164313666</v>
      </c>
      <c r="B2486" t="str">
        <f>"1552380193656594"</f>
        <v>1552380193656594</v>
      </c>
      <c r="C2486" t="s">
        <v>40</v>
      </c>
      <c r="D2486">
        <v>4.7301570000000002</v>
      </c>
      <c r="E2486">
        <v>0.50278590000000001</v>
      </c>
      <c r="F2486" t="s">
        <v>41</v>
      </c>
      <c r="G2486">
        <v>-427.31939999999997</v>
      </c>
      <c r="H2486">
        <v>1.0301009999999999</v>
      </c>
      <c r="I2486">
        <v>213.07259999999999</v>
      </c>
      <c r="J2486">
        <v>-427.96839999999997</v>
      </c>
      <c r="K2486">
        <v>1.109796</v>
      </c>
      <c r="L2486">
        <v>213.10140000000001</v>
      </c>
      <c r="M2486">
        <v>0.99997599999999998</v>
      </c>
      <c r="N2486">
        <v>0</v>
      </c>
      <c r="O2486">
        <v>-2.8013790000000001E-3</v>
      </c>
      <c r="P2486">
        <v>0.99193679999999995</v>
      </c>
      <c r="Q2486">
        <v>0.1225392</v>
      </c>
      <c r="R2486">
        <v>-3.2333349999999997E-2</v>
      </c>
      <c r="S2486">
        <v>3.0505680000000002</v>
      </c>
      <c r="T2486">
        <v>-0.23614180000000001</v>
      </c>
      <c r="U2486">
        <v>-8.6837769999999995E-2</v>
      </c>
      <c r="V2486">
        <v>2.9366650000000001E-2</v>
      </c>
      <c r="W2486">
        <v>0.1288648</v>
      </c>
      <c r="X2486">
        <v>0.99122730000000003</v>
      </c>
      <c r="Y2486">
        <v>2.5586060000000001E-2</v>
      </c>
      <c r="Z2486">
        <v>-7.7213229999999904E-4</v>
      </c>
      <c r="AA2486">
        <v>0.99967240000000002</v>
      </c>
      <c r="AB2486">
        <v>36</v>
      </c>
      <c r="AC2486">
        <v>0.64900000000000002</v>
      </c>
      <c r="AD2486">
        <v>-7.9695000000000002E-2</v>
      </c>
      <c r="AE2486">
        <v>-2.8800000000018099E-2</v>
      </c>
      <c r="AF2486">
        <v>2.6581717366971298E-2</v>
      </c>
      <c r="AG2486">
        <v>-7.9695000000000002E-2</v>
      </c>
      <c r="AH2486">
        <v>0.63945474243881595</v>
      </c>
      <c r="AI2486">
        <v>97.098053028640905</v>
      </c>
      <c r="AJ2486">
        <v>87.619622219317407</v>
      </c>
      <c r="AK2486">
        <v>0.64494980296971205</v>
      </c>
      <c r="AL2486">
        <v>82.596001977495405</v>
      </c>
      <c r="AM2486">
        <v>88.303019826181497</v>
      </c>
      <c r="AN2486">
        <v>1.0000000485382701</v>
      </c>
    </row>
    <row r="2487" spans="1:40" x14ac:dyDescent="0.25">
      <c r="A2487" t="str">
        <f>"20190312164313689"</f>
        <v>20190312164313689</v>
      </c>
      <c r="B2487" t="str">
        <f>"1552380193677090"</f>
        <v>1552380193677090</v>
      </c>
      <c r="C2487" t="s">
        <v>40</v>
      </c>
      <c r="D2487">
        <v>4.7648570000000001</v>
      </c>
      <c r="E2487">
        <v>0.50292250000000005</v>
      </c>
      <c r="F2487" t="s">
        <v>41</v>
      </c>
      <c r="G2487">
        <v>-426.99</v>
      </c>
      <c r="H2487">
        <v>1.036983</v>
      </c>
      <c r="I2487">
        <v>213.07159999999999</v>
      </c>
      <c r="J2487">
        <v>-427.59010000000001</v>
      </c>
      <c r="K2487">
        <v>1.1098030000000001</v>
      </c>
      <c r="L2487">
        <v>213.101</v>
      </c>
      <c r="M2487">
        <v>0.99997749999999996</v>
      </c>
      <c r="N2487">
        <v>0</v>
      </c>
      <c r="O2487">
        <v>-2.108707E-3</v>
      </c>
      <c r="P2487">
        <v>0.99196850000000003</v>
      </c>
      <c r="Q2487">
        <v>0.1221361</v>
      </c>
      <c r="R2487">
        <v>-3.2884499999999997E-2</v>
      </c>
      <c r="S2487">
        <v>3.0494379999999999</v>
      </c>
      <c r="T2487">
        <v>-0.22708800000000001</v>
      </c>
      <c r="U2487">
        <v>-9.2041020000000001E-2</v>
      </c>
      <c r="V2487">
        <v>3.060264E-2</v>
      </c>
      <c r="W2487">
        <v>0.12850439999999999</v>
      </c>
      <c r="X2487">
        <v>0.99123660000000002</v>
      </c>
      <c r="Y2487">
        <v>2.7989750000000001E-2</v>
      </c>
      <c r="Z2487">
        <v>-8.8372229999999997E-4</v>
      </c>
      <c r="AA2487">
        <v>0.99960780000000005</v>
      </c>
      <c r="AB2487">
        <v>36</v>
      </c>
      <c r="AC2487">
        <v>0.60009999999999697</v>
      </c>
      <c r="AD2487">
        <v>-7.2820000000000107E-2</v>
      </c>
      <c r="AE2487">
        <v>-2.9400000000009599E-2</v>
      </c>
      <c r="AF2487">
        <v>2.7727170068424699E-2</v>
      </c>
      <c r="AG2487">
        <v>-7.2820000000000107E-2</v>
      </c>
      <c r="AH2487">
        <v>0.59147211455860604</v>
      </c>
      <c r="AI2487">
        <v>97.011114999040004</v>
      </c>
      <c r="AJ2487">
        <v>87.316039770765897</v>
      </c>
      <c r="AK2487">
        <v>0.59658261008885605</v>
      </c>
      <c r="AL2487">
        <v>82.616823769759506</v>
      </c>
      <c r="AM2487">
        <v>88.231657966569799</v>
      </c>
      <c r="AN2487">
        <v>0.99999994978694295</v>
      </c>
    </row>
    <row r="2488" spans="1:40" x14ac:dyDescent="0.25">
      <c r="A2488" t="str">
        <f>"20190312164313731"</f>
        <v>20190312164313731</v>
      </c>
      <c r="B2488" t="str">
        <f>"1552380193726866"</f>
        <v>1552380193726866</v>
      </c>
      <c r="C2488" t="s">
        <v>40</v>
      </c>
      <c r="D2488">
        <v>5.6599490000000001</v>
      </c>
      <c r="E2488">
        <v>0.50337670000000001</v>
      </c>
      <c r="F2488" t="s">
        <v>41</v>
      </c>
      <c r="G2488">
        <v>-426.66199999999998</v>
      </c>
      <c r="H2488">
        <v>1.0391999999999999</v>
      </c>
      <c r="I2488">
        <v>213.07230000000001</v>
      </c>
      <c r="J2488">
        <v>-426.89269999999999</v>
      </c>
      <c r="K2488">
        <v>1.1098110000000001</v>
      </c>
      <c r="L2488">
        <v>213.10079999999999</v>
      </c>
      <c r="M2488">
        <v>0.9999789</v>
      </c>
      <c r="N2488">
        <v>0</v>
      </c>
      <c r="O2488">
        <v>-8.3328630000000002E-4</v>
      </c>
      <c r="P2488">
        <v>0.99197409999999997</v>
      </c>
      <c r="Q2488">
        <v>0.1218042</v>
      </c>
      <c r="R2488">
        <v>-3.3929979999999998E-2</v>
      </c>
      <c r="S2488">
        <v>3.049744</v>
      </c>
      <c r="T2488">
        <v>-0.23208419999999999</v>
      </c>
      <c r="U2488">
        <v>-9.4512940000000004E-2</v>
      </c>
      <c r="V2488">
        <v>3.2909220000000003E-2</v>
      </c>
      <c r="W2488">
        <v>0.1282538</v>
      </c>
      <c r="X2488">
        <v>0.99119520000000005</v>
      </c>
      <c r="Y2488">
        <v>3.0058250000000002E-2</v>
      </c>
      <c r="Z2488">
        <v>-1.078479E-3</v>
      </c>
      <c r="AA2488">
        <v>0.99954750000000003</v>
      </c>
      <c r="AB2488">
        <v>36</v>
      </c>
      <c r="AC2488">
        <v>0.23070000000001301</v>
      </c>
      <c r="AD2488">
        <v>-7.0611000000000201E-2</v>
      </c>
      <c r="AE2488">
        <v>-2.8499999999979701E-2</v>
      </c>
      <c r="AF2488">
        <v>2.5916381151639498E-2</v>
      </c>
      <c r="AG2488">
        <v>-7.0611000000000201E-2</v>
      </c>
      <c r="AH2488">
        <v>0.21123272562523501</v>
      </c>
      <c r="AI2488">
        <v>108.355465513415</v>
      </c>
      <c r="AJ2488">
        <v>83.005273922833396</v>
      </c>
      <c r="AK2488">
        <v>0.22422496852059701</v>
      </c>
      <c r="AL2488">
        <v>82.631302189290295</v>
      </c>
      <c r="AM2488">
        <v>88.098389674936001</v>
      </c>
      <c r="AN2488">
        <v>0.99999998923924405</v>
      </c>
    </row>
    <row r="2489" spans="1:40" x14ac:dyDescent="0.25">
      <c r="A2489" t="str">
        <f>"20190312164313752"</f>
        <v>20190312164313752</v>
      </c>
      <c r="B2489" t="str">
        <f>"1552380193747362"</f>
        <v>1552380193747362</v>
      </c>
      <c r="C2489" t="s">
        <v>40</v>
      </c>
      <c r="D2489">
        <v>5.1557110000000002</v>
      </c>
      <c r="E2489">
        <v>0.50367519999999999</v>
      </c>
      <c r="F2489" t="s">
        <v>41</v>
      </c>
      <c r="G2489">
        <v>-426.00540000000001</v>
      </c>
      <c r="H2489">
        <v>1.0400830000000001</v>
      </c>
      <c r="I2489">
        <v>213.0712</v>
      </c>
      <c r="J2489">
        <v>-426.54320000000001</v>
      </c>
      <c r="K2489">
        <v>1.1098170000000001</v>
      </c>
      <c r="L2489">
        <v>213.101</v>
      </c>
      <c r="M2489">
        <v>0.99997899999999995</v>
      </c>
      <c r="N2489">
        <v>0</v>
      </c>
      <c r="O2489">
        <v>-1.9583360000000001E-4</v>
      </c>
      <c r="P2489">
        <v>0.9920968</v>
      </c>
      <c r="Q2489">
        <v>0.12078179999999999</v>
      </c>
      <c r="R2489">
        <v>-3.3996489999999997E-2</v>
      </c>
      <c r="S2489">
        <v>3.0502009999999999</v>
      </c>
      <c r="T2489">
        <v>-0.2397261</v>
      </c>
      <c r="U2489">
        <v>-0.1016846</v>
      </c>
      <c r="V2489">
        <v>3.3607829999999998E-2</v>
      </c>
      <c r="W2489">
        <v>0.12727720000000001</v>
      </c>
      <c r="X2489">
        <v>0.99129769999999995</v>
      </c>
      <c r="Y2489">
        <v>3.302165E-2</v>
      </c>
      <c r="Z2489">
        <v>-1.279924E-3</v>
      </c>
      <c r="AA2489">
        <v>0.99945379999999995</v>
      </c>
      <c r="AB2489">
        <v>37</v>
      </c>
      <c r="AC2489">
        <v>0.53780000000000405</v>
      </c>
      <c r="AD2489">
        <v>-6.9733999999999893E-2</v>
      </c>
      <c r="AE2489">
        <v>-2.97999999999944E-2</v>
      </c>
      <c r="AF2489">
        <v>2.92051520608212E-2</v>
      </c>
      <c r="AG2489">
        <v>-6.9733999999999893E-2</v>
      </c>
      <c r="AH2489">
        <v>0.52893993211853496</v>
      </c>
      <c r="AI2489">
        <v>97.499114363614595</v>
      </c>
      <c r="AJ2489">
        <v>86.839651361664906</v>
      </c>
      <c r="AK2489">
        <v>0.534315658999862</v>
      </c>
      <c r="AL2489">
        <v>82.687720078745301</v>
      </c>
      <c r="AM2489">
        <v>88.058252766216796</v>
      </c>
      <c r="AN2489">
        <v>1.0000000509512099</v>
      </c>
    </row>
    <row r="2490" spans="1:40" x14ac:dyDescent="0.25">
      <c r="A2490" t="str">
        <f>"20190312164313775"</f>
        <v>20190312164313775</v>
      </c>
      <c r="B2490" t="str">
        <f>"1552380193766882"</f>
        <v>1552380193766882</v>
      </c>
      <c r="C2490" t="s">
        <v>40</v>
      </c>
      <c r="D2490">
        <v>5.0297280000000004</v>
      </c>
      <c r="E2490">
        <v>0.50390649999999904</v>
      </c>
      <c r="F2490" t="s">
        <v>41</v>
      </c>
      <c r="G2490">
        <v>-425.67529999999999</v>
      </c>
      <c r="H2490">
        <v>1.0420119999999999</v>
      </c>
      <c r="I2490">
        <v>213.0712</v>
      </c>
      <c r="J2490">
        <v>-426.16379999999998</v>
      </c>
      <c r="K2490">
        <v>1.1098250000000001</v>
      </c>
      <c r="L2490">
        <v>213.10149999999999</v>
      </c>
      <c r="M2490">
        <v>0.99997849999999999</v>
      </c>
      <c r="N2490">
        <v>0</v>
      </c>
      <c r="O2490">
        <v>4.8849349999999995E-4</v>
      </c>
      <c r="P2490">
        <v>0.99212219999999995</v>
      </c>
      <c r="Q2490">
        <v>0.12060849999999999</v>
      </c>
      <c r="R2490">
        <v>-3.3875820000000001E-2</v>
      </c>
      <c r="S2490">
        <v>3.0493769999999998</v>
      </c>
      <c r="T2490">
        <v>-0.23830809999999999</v>
      </c>
      <c r="U2490">
        <v>-0.1042175</v>
      </c>
      <c r="V2490">
        <v>3.4165099999999997E-2</v>
      </c>
      <c r="W2490">
        <v>0.12715470000000001</v>
      </c>
      <c r="X2490">
        <v>0.99129429999999996</v>
      </c>
      <c r="Y2490">
        <v>3.4538260000000001E-2</v>
      </c>
      <c r="Z2490">
        <v>-1.38524E-3</v>
      </c>
      <c r="AA2490">
        <v>0.99940240000000002</v>
      </c>
      <c r="AB2490">
        <v>37</v>
      </c>
      <c r="AC2490">
        <v>0.488499999999987</v>
      </c>
      <c r="AD2490">
        <v>-6.7812999999999901E-2</v>
      </c>
      <c r="AE2490">
        <v>-3.0299999999982601E-2</v>
      </c>
      <c r="AF2490">
        <v>2.9963428246684399E-2</v>
      </c>
      <c r="AG2490">
        <v>-6.7812999999999901E-2</v>
      </c>
      <c r="AH2490">
        <v>0.479284407130317</v>
      </c>
      <c r="AI2490">
        <v>98.037725138940004</v>
      </c>
      <c r="AJ2490">
        <v>86.422694796410497</v>
      </c>
      <c r="AK2490">
        <v>0.48498448729784499</v>
      </c>
      <c r="AL2490">
        <v>82.694795787952003</v>
      </c>
      <c r="AM2490">
        <v>88.026074080472696</v>
      </c>
      <c r="AN2490">
        <v>0.99999998050129402</v>
      </c>
    </row>
    <row r="2491" spans="1:40" x14ac:dyDescent="0.25">
      <c r="A2491" t="str">
        <f>"20190312164313798"</f>
        <v>20190312164313798</v>
      </c>
      <c r="B2491" t="str">
        <f>"1552380193787379"</f>
        <v>1552380193787379</v>
      </c>
      <c r="C2491" t="s">
        <v>40</v>
      </c>
      <c r="D2491">
        <v>4.8347959999999999</v>
      </c>
      <c r="E2491">
        <v>0.50411209999999995</v>
      </c>
      <c r="F2491" t="s">
        <v>41</v>
      </c>
      <c r="G2491">
        <v>-425.3426</v>
      </c>
      <c r="H2491">
        <v>1.04626</v>
      </c>
      <c r="I2491">
        <v>213.07300000000001</v>
      </c>
      <c r="J2491">
        <v>-425.79270000000002</v>
      </c>
      <c r="K2491">
        <v>1.109823</v>
      </c>
      <c r="L2491">
        <v>213.10220000000001</v>
      </c>
      <c r="M2491">
        <v>0.99997769999999997</v>
      </c>
      <c r="N2491">
        <v>0</v>
      </c>
      <c r="O2491">
        <v>1.1365850000000001E-3</v>
      </c>
      <c r="P2491">
        <v>0.99214100000000005</v>
      </c>
      <c r="Q2491">
        <v>0.120421</v>
      </c>
      <c r="R2491">
        <v>-3.3988360000000002E-2</v>
      </c>
      <c r="S2491">
        <v>3.048889</v>
      </c>
      <c r="T2491">
        <v>-0.23601720000000001</v>
      </c>
      <c r="U2491">
        <v>-0.10536189999999999</v>
      </c>
      <c r="V2491">
        <v>3.4922809999999999E-2</v>
      </c>
      <c r="W2491">
        <v>0.12701760000000001</v>
      </c>
      <c r="X2491">
        <v>0.99128550000000004</v>
      </c>
      <c r="Y2491">
        <v>3.5563119999999997E-2</v>
      </c>
      <c r="Z2491">
        <v>-1.4618509999999999E-3</v>
      </c>
      <c r="AA2491">
        <v>0.99936630000000004</v>
      </c>
      <c r="AB2491">
        <v>37</v>
      </c>
      <c r="AC2491">
        <v>0.45010000000001998</v>
      </c>
      <c r="AD2491">
        <v>-6.3562999999999995E-2</v>
      </c>
      <c r="AE2491">
        <v>-2.9200000000031399E-2</v>
      </c>
      <c r="AF2491">
        <v>2.9133004279824699E-2</v>
      </c>
      <c r="AG2491">
        <v>-6.3562999999999995E-2</v>
      </c>
      <c r="AH2491">
        <v>0.44130250428065698</v>
      </c>
      <c r="AI2491">
        <v>98.178666396908795</v>
      </c>
      <c r="AJ2491">
        <v>86.223045083173702</v>
      </c>
      <c r="AK2491">
        <v>0.44680743860386601</v>
      </c>
      <c r="AL2491">
        <v>82.702715454331596</v>
      </c>
      <c r="AM2491">
        <v>87.982314453073002</v>
      </c>
      <c r="AN2491">
        <v>1.00000000793915</v>
      </c>
    </row>
    <row r="2492" spans="1:40" x14ac:dyDescent="0.25">
      <c r="A2492" t="str">
        <f>"20190312164313820"</f>
        <v>20190312164313820</v>
      </c>
      <c r="B2492" t="str">
        <f>"1552380193816659"</f>
        <v>1552380193816659</v>
      </c>
      <c r="C2492" t="s">
        <v>40</v>
      </c>
      <c r="D2492">
        <v>4.8179759999999998</v>
      </c>
      <c r="E2492">
        <v>0.50426669999999996</v>
      </c>
      <c r="F2492" t="s">
        <v>41</v>
      </c>
      <c r="G2492">
        <v>-425.0086</v>
      </c>
      <c r="H2492">
        <v>1.049714</v>
      </c>
      <c r="I2492">
        <v>213.0745</v>
      </c>
      <c r="J2492">
        <v>-425.42290000000003</v>
      </c>
      <c r="K2492">
        <v>1.1098059999999901</v>
      </c>
      <c r="L2492">
        <v>213.10310000000001</v>
      </c>
      <c r="M2492">
        <v>0.99997639999999999</v>
      </c>
      <c r="N2492">
        <v>0</v>
      </c>
      <c r="O2492">
        <v>1.749076E-3</v>
      </c>
      <c r="P2492">
        <v>0.99206780000000006</v>
      </c>
      <c r="Q2492">
        <v>0.12100370000000001</v>
      </c>
      <c r="R2492">
        <v>-3.4055139999999998E-2</v>
      </c>
      <c r="S2492">
        <v>3.048492</v>
      </c>
      <c r="T2492">
        <v>-0.23389850000000001</v>
      </c>
      <c r="U2492">
        <v>-0.1074524</v>
      </c>
      <c r="V2492">
        <v>3.5601479999999998E-2</v>
      </c>
      <c r="W2492">
        <v>0.1276494</v>
      </c>
      <c r="X2492">
        <v>0.99118019999999996</v>
      </c>
      <c r="Y2492">
        <v>3.6860480000000001E-2</v>
      </c>
      <c r="Z2492">
        <v>-1.5455320000000001E-3</v>
      </c>
      <c r="AA2492">
        <v>0.99931930000000002</v>
      </c>
      <c r="AB2492">
        <v>37</v>
      </c>
      <c r="AC2492">
        <v>0.41430000000002498</v>
      </c>
      <c r="AD2492">
        <v>-6.0091999999999798E-2</v>
      </c>
      <c r="AE2492">
        <v>-2.8600000000011502E-2</v>
      </c>
      <c r="AF2492">
        <v>2.8723203060972001E-2</v>
      </c>
      <c r="AG2492">
        <v>-6.0091999999999798E-2</v>
      </c>
      <c r="AH2492">
        <v>0.40575360278935102</v>
      </c>
      <c r="AI2492">
        <v>98.403526439062006</v>
      </c>
      <c r="AJ2492">
        <v>85.950799866733604</v>
      </c>
      <c r="AK2492">
        <v>0.411183726616972</v>
      </c>
      <c r="AL2492">
        <v>82.666218925402006</v>
      </c>
      <c r="AM2492">
        <v>87.942918932977193</v>
      </c>
      <c r="AN2492">
        <v>1.0000000117852901</v>
      </c>
    </row>
    <row r="2493" spans="1:40" x14ac:dyDescent="0.25">
      <c r="A2493" t="str">
        <f>"20190312164313842"</f>
        <v>20190312164313842</v>
      </c>
      <c r="B2493" t="str">
        <f>"1552380193837156"</f>
        <v>1552380193837156</v>
      </c>
      <c r="C2493" t="s">
        <v>40</v>
      </c>
      <c r="D2493">
        <v>4.8260360000000002</v>
      </c>
      <c r="E2493">
        <v>0.50429609999999903</v>
      </c>
      <c r="F2493" t="s">
        <v>41</v>
      </c>
      <c r="G2493">
        <v>-424.67450000000002</v>
      </c>
      <c r="H2493">
        <v>1.0525420000000001</v>
      </c>
      <c r="I2493">
        <v>213.07640000000001</v>
      </c>
      <c r="J2493">
        <v>-425.06630000000001</v>
      </c>
      <c r="K2493">
        <v>1.109788</v>
      </c>
      <c r="L2493">
        <v>213.10419999999999</v>
      </c>
      <c r="M2493">
        <v>0.99997499999999995</v>
      </c>
      <c r="N2493">
        <v>0</v>
      </c>
      <c r="O2493">
        <v>2.2946220000000001E-3</v>
      </c>
      <c r="P2493">
        <v>0.99205080000000001</v>
      </c>
      <c r="Q2493">
        <v>0.12105009999999999</v>
      </c>
      <c r="R2493">
        <v>-3.4384610000000003E-2</v>
      </c>
      <c r="S2493">
        <v>3.048737</v>
      </c>
      <c r="T2493">
        <v>-0.23327120000000001</v>
      </c>
      <c r="U2493">
        <v>-0.1085052</v>
      </c>
      <c r="V2493">
        <v>3.6480739999999998E-2</v>
      </c>
      <c r="W2493">
        <v>0.1277422</v>
      </c>
      <c r="X2493">
        <v>0.99113629999999997</v>
      </c>
      <c r="Y2493">
        <v>3.774396E-2</v>
      </c>
      <c r="Z2493">
        <v>-1.6166760000000001E-3</v>
      </c>
      <c r="AA2493">
        <v>0.99928609999999896</v>
      </c>
      <c r="AB2493">
        <v>37</v>
      </c>
      <c r="AC2493">
        <v>0.39179999999998899</v>
      </c>
      <c r="AD2493">
        <v>-5.7245999999999901E-2</v>
      </c>
      <c r="AE2493">
        <v>-2.7799999999984899E-2</v>
      </c>
      <c r="AF2493">
        <v>2.8102056506344598E-2</v>
      </c>
      <c r="AG2493">
        <v>-5.7245999999999901E-2</v>
      </c>
      <c r="AH2493">
        <v>0.38358729603297897</v>
      </c>
      <c r="AI2493">
        <v>98.465733108242901</v>
      </c>
      <c r="AJ2493">
        <v>85.809929414526394</v>
      </c>
      <c r="AK2493">
        <v>0.38885221328131597</v>
      </c>
      <c r="AL2493">
        <v>82.660858194550997</v>
      </c>
      <c r="AM2493">
        <v>87.892066607778901</v>
      </c>
      <c r="AN2493">
        <v>1.0000000396147299</v>
      </c>
    </row>
    <row r="2494" spans="1:40" x14ac:dyDescent="0.25">
      <c r="A2494" t="str">
        <f>"20190312164313865"</f>
        <v>20190312164313865</v>
      </c>
      <c r="B2494" t="str">
        <f>"1552380193856674"</f>
        <v>1552380193856674</v>
      </c>
      <c r="C2494" t="s">
        <v>40</v>
      </c>
      <c r="D2494">
        <v>4.8597400000000004</v>
      </c>
      <c r="E2494">
        <v>0.50439750000000005</v>
      </c>
      <c r="F2494" t="s">
        <v>41</v>
      </c>
      <c r="G2494">
        <v>-424.02339999999998</v>
      </c>
      <c r="H2494">
        <v>1.0290539999999999</v>
      </c>
      <c r="I2494">
        <v>213.0669</v>
      </c>
      <c r="J2494">
        <v>-424.68009999999998</v>
      </c>
      <c r="K2494">
        <v>1.1097520000000001</v>
      </c>
      <c r="L2494">
        <v>213.10560000000001</v>
      </c>
      <c r="M2494">
        <v>0.99997340000000001</v>
      </c>
      <c r="N2494">
        <v>0</v>
      </c>
      <c r="O2494">
        <v>2.8245729999999999E-3</v>
      </c>
      <c r="P2494">
        <v>0.99200750000000004</v>
      </c>
      <c r="Q2494">
        <v>0.12118080000000001</v>
      </c>
      <c r="R2494">
        <v>-3.5171250000000001E-2</v>
      </c>
      <c r="S2494">
        <v>3.049042</v>
      </c>
      <c r="T2494">
        <v>-0.23604620000000001</v>
      </c>
      <c r="U2494">
        <v>-0.1094208</v>
      </c>
      <c r="V2494">
        <v>3.7805619999999998E-2</v>
      </c>
      <c r="W2494">
        <v>0.12792000000000001</v>
      </c>
      <c r="X2494">
        <v>0.99106369999999999</v>
      </c>
      <c r="Y2494">
        <v>3.8562850000000003E-2</v>
      </c>
      <c r="Z2494">
        <v>-1.708273E-3</v>
      </c>
      <c r="AA2494">
        <v>0.99925469999999905</v>
      </c>
      <c r="AB2494">
        <v>37</v>
      </c>
      <c r="AC2494">
        <v>0.65669999999999995</v>
      </c>
      <c r="AD2494">
        <v>-8.0697999999999895E-2</v>
      </c>
      <c r="AE2494">
        <v>-3.8700000000005702E-2</v>
      </c>
      <c r="AF2494">
        <v>3.99535537467995E-2</v>
      </c>
      <c r="AG2494">
        <v>-8.0697999999999895E-2</v>
      </c>
      <c r="AH2494">
        <v>0.64685404805722102</v>
      </c>
      <c r="AI2494">
        <v>97.097782391733006</v>
      </c>
      <c r="AJ2494">
        <v>86.465561941467698</v>
      </c>
      <c r="AK2494">
        <v>0.65309158098157405</v>
      </c>
      <c r="AL2494">
        <v>82.650586625242894</v>
      </c>
      <c r="AM2494">
        <v>87.815425273031096</v>
      </c>
      <c r="AN2494">
        <v>1.00000002438063</v>
      </c>
    </row>
    <row r="2495" spans="1:40" x14ac:dyDescent="0.25">
      <c r="A2495" t="str">
        <f>"20190312164313888"</f>
        <v>20190312164313888</v>
      </c>
      <c r="B2495" t="str">
        <f>"1552380193877171"</f>
        <v>1552380193877171</v>
      </c>
      <c r="C2495" t="s">
        <v>40</v>
      </c>
      <c r="D2495">
        <v>4.8345379999999896</v>
      </c>
      <c r="E2495">
        <v>0.50448420000000005</v>
      </c>
      <c r="F2495" t="s">
        <v>41</v>
      </c>
      <c r="G2495">
        <v>-423.68759999999997</v>
      </c>
      <c r="H2495">
        <v>1.0327519999999999</v>
      </c>
      <c r="I2495">
        <v>213.06870000000001</v>
      </c>
      <c r="J2495">
        <v>-424.28230000000002</v>
      </c>
      <c r="K2495">
        <v>1.109712</v>
      </c>
      <c r="L2495">
        <v>213.1071</v>
      </c>
      <c r="M2495">
        <v>0.99997139999999995</v>
      </c>
      <c r="N2495">
        <v>0</v>
      </c>
      <c r="O2495">
        <v>3.3117519999999998E-3</v>
      </c>
      <c r="P2495">
        <v>0.99192880000000005</v>
      </c>
      <c r="Q2495">
        <v>0.121583399999999</v>
      </c>
      <c r="R2495">
        <v>-3.5985699999999898E-2</v>
      </c>
      <c r="S2495">
        <v>3.0491030000000001</v>
      </c>
      <c r="T2495">
        <v>-0.23671600000000001</v>
      </c>
      <c r="U2495">
        <v>-0.1126099</v>
      </c>
      <c r="V2495">
        <v>3.9116579999999998E-2</v>
      </c>
      <c r="W2495">
        <v>0.12836829999999999</v>
      </c>
      <c r="X2495">
        <v>0.99095480000000002</v>
      </c>
      <c r="Y2495">
        <v>4.008594E-2</v>
      </c>
      <c r="Z2495">
        <v>-1.8098070000000001E-3</v>
      </c>
      <c r="AA2495">
        <v>0.99919460000000004</v>
      </c>
      <c r="AB2495">
        <v>37</v>
      </c>
      <c r="AC2495">
        <v>0.59470000000004497</v>
      </c>
      <c r="AD2495">
        <v>-7.6959999999999903E-2</v>
      </c>
      <c r="AE2495">
        <v>-3.8399999999995701E-2</v>
      </c>
      <c r="AF2495">
        <v>3.9707123877946102E-2</v>
      </c>
      <c r="AG2495">
        <v>-7.6959999999999903E-2</v>
      </c>
      <c r="AH2495">
        <v>0.58481637158611899</v>
      </c>
      <c r="AI2495">
        <v>97.479841240439299</v>
      </c>
      <c r="AJ2495">
        <v>86.115764889968304</v>
      </c>
      <c r="AK2495">
        <v>0.59119344191373802</v>
      </c>
      <c r="AL2495">
        <v>82.624687010446706</v>
      </c>
      <c r="AM2495">
        <v>87.739501370285794</v>
      </c>
      <c r="AN2495">
        <v>0.999999971459412</v>
      </c>
    </row>
    <row r="2496" spans="1:40" x14ac:dyDescent="0.25">
      <c r="A2496" t="str">
        <f>"20190312164313912"</f>
        <v>20190312164313912</v>
      </c>
      <c r="B2496" t="str">
        <f>"1552380193907426"</f>
        <v>1552380193907426</v>
      </c>
      <c r="C2496" t="s">
        <v>40</v>
      </c>
      <c r="D2496">
        <v>4.8320220000000003</v>
      </c>
      <c r="E2496">
        <v>0.51792780000000005</v>
      </c>
      <c r="F2496" t="s">
        <v>41</v>
      </c>
      <c r="G2496">
        <v>-423.35019999999997</v>
      </c>
      <c r="H2496">
        <v>1.0382309999999999</v>
      </c>
      <c r="I2496">
        <v>213.07149999999999</v>
      </c>
      <c r="J2496">
        <v>-423.89049999999997</v>
      </c>
      <c r="K2496">
        <v>1.109666</v>
      </c>
      <c r="L2496">
        <v>213.1087</v>
      </c>
      <c r="M2496">
        <v>0.99996969999999996</v>
      </c>
      <c r="N2496">
        <v>0</v>
      </c>
      <c r="O2496">
        <v>3.7261310000000001E-3</v>
      </c>
      <c r="P2496">
        <v>0.99187020000000004</v>
      </c>
      <c r="Q2496">
        <v>0.12196700000000001</v>
      </c>
      <c r="R2496">
        <v>-3.6303059999999998E-2</v>
      </c>
      <c r="S2496">
        <v>3.0489199999999999</v>
      </c>
      <c r="T2496">
        <v>-0.23390079999999999</v>
      </c>
      <c r="U2496">
        <v>-0.11601259999999999</v>
      </c>
      <c r="V2496">
        <v>3.98588E-2</v>
      </c>
      <c r="W2496">
        <v>0.1287972</v>
      </c>
      <c r="X2496">
        <v>0.99086960000000002</v>
      </c>
      <c r="Y2496">
        <v>4.1613110000000002E-2</v>
      </c>
      <c r="Z2496">
        <v>-1.8786219999999999E-3</v>
      </c>
      <c r="AA2496">
        <v>0.99913200000000002</v>
      </c>
      <c r="AB2496">
        <v>37</v>
      </c>
      <c r="AC2496">
        <v>0.540300000000002</v>
      </c>
      <c r="AD2496">
        <v>-7.1435000000000096E-2</v>
      </c>
      <c r="AE2496">
        <v>-3.7200000000012702E-2</v>
      </c>
      <c r="AF2496">
        <v>3.8542457272438699E-2</v>
      </c>
      <c r="AG2496">
        <v>-7.1435000000000096E-2</v>
      </c>
      <c r="AH2496">
        <v>0.53092069740744796</v>
      </c>
      <c r="AI2496">
        <v>97.643209281426394</v>
      </c>
      <c r="AJ2496">
        <v>85.847867668884206</v>
      </c>
      <c r="AK2496">
        <v>0.53708962676001104</v>
      </c>
      <c r="AL2496">
        <v>82.599907384620096</v>
      </c>
      <c r="AM2496">
        <v>87.696457325300003</v>
      </c>
      <c r="AN2496">
        <v>1.0000000034347101</v>
      </c>
    </row>
    <row r="2497" spans="1:40" x14ac:dyDescent="0.25">
      <c r="A2497" t="str">
        <f>"20190312164313932"</f>
        <v>20190312164313932</v>
      </c>
      <c r="B2497" t="str">
        <f>"1552380193926947"</f>
        <v>1552380193926947</v>
      </c>
      <c r="C2497" t="s">
        <v>40</v>
      </c>
      <c r="D2497">
        <v>5.0171320000000001</v>
      </c>
      <c r="E2497">
        <v>0.51775629999999995</v>
      </c>
      <c r="F2497" t="s">
        <v>41</v>
      </c>
      <c r="G2497">
        <v>-423.00900000000001</v>
      </c>
      <c r="H2497">
        <v>1.0494939999999999</v>
      </c>
      <c r="I2497">
        <v>213.0436</v>
      </c>
      <c r="J2497">
        <v>-423.5564</v>
      </c>
      <c r="K2497">
        <v>1.1096269999999999</v>
      </c>
      <c r="L2497">
        <v>213.11019999999999</v>
      </c>
      <c r="M2497">
        <v>0.99996830000000003</v>
      </c>
      <c r="N2497">
        <v>0</v>
      </c>
      <c r="O2497">
        <v>4.0230090000000001E-3</v>
      </c>
      <c r="P2497">
        <v>0.99176050000000004</v>
      </c>
      <c r="Q2497">
        <v>0.1227636</v>
      </c>
      <c r="R2497">
        <v>-3.6611619999999997E-2</v>
      </c>
      <c r="S2497">
        <v>3.0418699999999999</v>
      </c>
      <c r="T2497">
        <v>-0.20765539999999999</v>
      </c>
      <c r="U2497">
        <v>-0.2245636</v>
      </c>
      <c r="V2497">
        <v>4.0474009999999998E-2</v>
      </c>
      <c r="W2497">
        <v>0.1296313</v>
      </c>
      <c r="X2497">
        <v>0.9907359</v>
      </c>
      <c r="Y2497">
        <v>7.7446829999999994E-2</v>
      </c>
      <c r="Z2497">
        <v>-2.9107920000000002E-3</v>
      </c>
      <c r="AA2497">
        <v>0.9969922</v>
      </c>
      <c r="AB2497">
        <v>37</v>
      </c>
      <c r="AC2497">
        <v>0.54739999999998101</v>
      </c>
      <c r="AD2497">
        <v>-6.0132999999999902E-2</v>
      </c>
      <c r="AE2497">
        <v>-6.6599999999993997E-2</v>
      </c>
      <c r="AF2497">
        <v>6.7993171196205404E-2</v>
      </c>
      <c r="AG2497">
        <v>-6.0132999999999902E-2</v>
      </c>
      <c r="AH2497">
        <v>0.54069795224177397</v>
      </c>
      <c r="AI2497">
        <v>96.296807631940197</v>
      </c>
      <c r="AJ2497">
        <v>82.832634721683306</v>
      </c>
      <c r="AK2497">
        <v>0.54826391872597602</v>
      </c>
      <c r="AL2497">
        <v>82.551713080339297</v>
      </c>
      <c r="AM2497">
        <v>87.660626640997705</v>
      </c>
      <c r="AN2497">
        <v>1.00000002148698</v>
      </c>
    </row>
    <row r="2498" spans="1:40" x14ac:dyDescent="0.25">
      <c r="A2498" t="str">
        <f>"20190312164313955"</f>
        <v>20190312164313955</v>
      </c>
      <c r="B2498" t="str">
        <f>"1552380193947443"</f>
        <v>1552380193947443</v>
      </c>
      <c r="C2498" t="s">
        <v>40</v>
      </c>
      <c r="D2498">
        <v>4.8390969999999998</v>
      </c>
      <c r="E2498">
        <v>0.51742630000000001</v>
      </c>
      <c r="F2498" t="s">
        <v>41</v>
      </c>
      <c r="G2498">
        <v>-422.67349999999999</v>
      </c>
      <c r="H2498">
        <v>1.048368</v>
      </c>
      <c r="I2498">
        <v>213.04519999999999</v>
      </c>
      <c r="J2498">
        <v>-423.17500000000001</v>
      </c>
      <c r="K2498">
        <v>1.109578</v>
      </c>
      <c r="L2498">
        <v>213.11199999999999</v>
      </c>
      <c r="M2498">
        <v>0.99996680000000004</v>
      </c>
      <c r="N2498">
        <v>0</v>
      </c>
      <c r="O2498">
        <v>4.2998919999999996E-3</v>
      </c>
      <c r="P2498">
        <v>0.99171580000000004</v>
      </c>
      <c r="Q2498">
        <v>0.1229668</v>
      </c>
      <c r="R2498">
        <v>-3.7137290000000003E-2</v>
      </c>
      <c r="S2498">
        <v>3.0428470000000001</v>
      </c>
      <c r="T2498">
        <v>-0.21125189999999999</v>
      </c>
      <c r="U2498">
        <v>-0.22319030000000001</v>
      </c>
      <c r="V2498">
        <v>4.129004E-2</v>
      </c>
      <c r="W2498">
        <v>0.12987570000000001</v>
      </c>
      <c r="X2498">
        <v>0.99067019999999995</v>
      </c>
      <c r="Y2498">
        <v>7.7245209999999995E-2</v>
      </c>
      <c r="Z2498">
        <v>-2.9723839999999998E-3</v>
      </c>
      <c r="AA2498">
        <v>0.99700770000000005</v>
      </c>
      <c r="AB2498">
        <v>38</v>
      </c>
      <c r="AC2498">
        <v>0.50150000000002104</v>
      </c>
      <c r="AD2498">
        <v>-6.1210000000000202E-2</v>
      </c>
      <c r="AE2498">
        <v>-6.6800000000000595E-2</v>
      </c>
      <c r="AF2498">
        <v>6.7961054277373506E-2</v>
      </c>
      <c r="AG2498">
        <v>-6.1210000000000202E-2</v>
      </c>
      <c r="AH2498">
        <v>0.49397755855605702</v>
      </c>
      <c r="AI2498">
        <v>96.998398625346198</v>
      </c>
      <c r="AJ2498">
        <v>82.166467983288697</v>
      </c>
      <c r="AK2498">
        <v>0.50237356355156104</v>
      </c>
      <c r="AL2498">
        <v>82.537590481015897</v>
      </c>
      <c r="AM2498">
        <v>87.613356508777898</v>
      </c>
      <c r="AN2498">
        <v>1.0000000050108599</v>
      </c>
    </row>
    <row r="2499" spans="1:40" x14ac:dyDescent="0.25">
      <c r="A2499" t="str">
        <f>"20190312164313976"</f>
        <v>20190312164313976</v>
      </c>
      <c r="B2499" t="str">
        <f>"1552380193966964"</f>
        <v>1552380193966964</v>
      </c>
      <c r="C2499" t="s">
        <v>40</v>
      </c>
      <c r="D2499">
        <v>4.8578799999999998</v>
      </c>
      <c r="E2499">
        <v>0.51677980000000001</v>
      </c>
      <c r="F2499" t="s">
        <v>41</v>
      </c>
      <c r="G2499">
        <v>-422.33409999999998</v>
      </c>
      <c r="H2499">
        <v>1.0511809999999999</v>
      </c>
      <c r="I2499">
        <v>213.0504</v>
      </c>
      <c r="J2499">
        <v>-422.8064</v>
      </c>
      <c r="K2499">
        <v>1.109523</v>
      </c>
      <c r="L2499">
        <v>213.11369999999999</v>
      </c>
      <c r="M2499">
        <v>0.99996549999999995</v>
      </c>
      <c r="N2499">
        <v>0</v>
      </c>
      <c r="O2499">
        <v>4.5106870000000002E-3</v>
      </c>
      <c r="P2499">
        <v>0.99173180000000005</v>
      </c>
      <c r="Q2499">
        <v>0.1227302</v>
      </c>
      <c r="R2499">
        <v>-3.7492440000000002E-2</v>
      </c>
      <c r="S2499">
        <v>3.0429689999999998</v>
      </c>
      <c r="T2499">
        <v>-0.21154709999999999</v>
      </c>
      <c r="U2499">
        <v>-0.22108459999999999</v>
      </c>
      <c r="V2499">
        <v>4.1869869999999997E-2</v>
      </c>
      <c r="W2499">
        <v>0.12967619999999999</v>
      </c>
      <c r="X2499">
        <v>0.990672</v>
      </c>
      <c r="Y2499">
        <v>7.6766290000000001E-2</v>
      </c>
      <c r="Z2499">
        <v>-2.9744979999999999E-3</v>
      </c>
      <c r="AA2499">
        <v>0.99704470000000001</v>
      </c>
      <c r="AB2499">
        <v>38</v>
      </c>
      <c r="AC2499">
        <v>0.47230000000001798</v>
      </c>
      <c r="AD2499">
        <v>-5.8342000000000102E-2</v>
      </c>
      <c r="AE2499">
        <v>-6.3299999999998094E-2</v>
      </c>
      <c r="AF2499">
        <v>6.4463512296730599E-2</v>
      </c>
      <c r="AG2499">
        <v>-5.8342000000000102E-2</v>
      </c>
      <c r="AH2499">
        <v>0.46503883788073902</v>
      </c>
      <c r="AI2499">
        <v>97.083713981001296</v>
      </c>
      <c r="AJ2499">
        <v>82.107973206500006</v>
      </c>
      <c r="AK2499">
        <v>0.47309666466706302</v>
      </c>
      <c r="AL2499">
        <v>82.549118493860405</v>
      </c>
      <c r="AM2499">
        <v>87.579885189160294</v>
      </c>
      <c r="AN2499">
        <v>1.00000000722212</v>
      </c>
    </row>
    <row r="2500" spans="1:40" x14ac:dyDescent="0.25">
      <c r="A2500" t="str">
        <f>"20190312164314001"</f>
        <v>20190312164314001</v>
      </c>
      <c r="B2500" t="str">
        <f>"1552380193997219"</f>
        <v>1552380193997219</v>
      </c>
      <c r="C2500" t="s">
        <v>40</v>
      </c>
      <c r="D2500">
        <v>4.8674119999999998</v>
      </c>
      <c r="E2500">
        <v>0.51654820000000001</v>
      </c>
      <c r="F2500" t="s">
        <v>41</v>
      </c>
      <c r="G2500">
        <v>-421.99380000000002</v>
      </c>
      <c r="H2500">
        <v>1.0537719999999999</v>
      </c>
      <c r="I2500">
        <v>213.0558</v>
      </c>
      <c r="J2500">
        <v>-422.40300000000002</v>
      </c>
      <c r="K2500">
        <v>1.1094759999999999</v>
      </c>
      <c r="L2500">
        <v>213.1157</v>
      </c>
      <c r="M2500">
        <v>0.99996450000000003</v>
      </c>
      <c r="N2500">
        <v>0</v>
      </c>
      <c r="O2500">
        <v>4.6882399999999998E-3</v>
      </c>
      <c r="P2500">
        <v>0.99172740000000004</v>
      </c>
      <c r="Q2500">
        <v>0.1224671</v>
      </c>
      <c r="R2500">
        <v>-3.8453929999999997E-2</v>
      </c>
      <c r="S2500">
        <v>3.0426639999999998</v>
      </c>
      <c r="T2500">
        <v>-0.2088054</v>
      </c>
      <c r="U2500">
        <v>-0.2168274</v>
      </c>
      <c r="V2500">
        <v>4.3023909999999999E-2</v>
      </c>
      <c r="W2500">
        <v>0.12945490000000001</v>
      </c>
      <c r="X2500">
        <v>0.99065150000000002</v>
      </c>
      <c r="Y2500">
        <v>7.5569999999999998E-2</v>
      </c>
      <c r="Z2500">
        <v>-2.907686E-3</v>
      </c>
      <c r="AA2500">
        <v>0.99713620000000003</v>
      </c>
      <c r="AB2500">
        <v>38</v>
      </c>
      <c r="AC2500">
        <v>0.40919999999999801</v>
      </c>
      <c r="AD2500">
        <v>-5.5704000000000198E-2</v>
      </c>
      <c r="AE2500">
        <v>-5.9899999999998899E-2</v>
      </c>
      <c r="AF2500">
        <v>6.0716279998913901E-2</v>
      </c>
      <c r="AG2500">
        <v>-5.5704000000000198E-2</v>
      </c>
      <c r="AH2500">
        <v>0.40162818778750098</v>
      </c>
      <c r="AI2500">
        <v>97.8086760494771</v>
      </c>
      <c r="AJ2500">
        <v>81.403385304299405</v>
      </c>
      <c r="AK2500">
        <v>0.40999341884764301</v>
      </c>
      <c r="AL2500">
        <v>82.561905865935302</v>
      </c>
      <c r="AM2500">
        <v>87.513211897018607</v>
      </c>
      <c r="AN2500">
        <v>1.00000001120897</v>
      </c>
    </row>
    <row r="2501" spans="1:40" x14ac:dyDescent="0.25">
      <c r="A2501" t="str">
        <f>"20190312164314022"</f>
        <v>20190312164314022</v>
      </c>
      <c r="B2501" t="str">
        <f>"1552380194016739"</f>
        <v>1552380194016739</v>
      </c>
      <c r="C2501" t="s">
        <v>40</v>
      </c>
      <c r="D2501">
        <v>4.8916719999999998</v>
      </c>
      <c r="E2501">
        <v>0.51644000000000001</v>
      </c>
      <c r="F2501" t="s">
        <v>41</v>
      </c>
      <c r="G2501">
        <v>-421.64109999999999</v>
      </c>
      <c r="H2501">
        <v>1.0575399999999999</v>
      </c>
      <c r="I2501">
        <v>213.0608</v>
      </c>
      <c r="J2501">
        <v>-422.04349999999999</v>
      </c>
      <c r="K2501">
        <v>1.1094379999999999</v>
      </c>
      <c r="L2501">
        <v>213.11750000000001</v>
      </c>
      <c r="M2501">
        <v>0.99996350000000001</v>
      </c>
      <c r="N2501">
        <v>0</v>
      </c>
      <c r="O2501">
        <v>4.8048429999999996E-3</v>
      </c>
      <c r="P2501">
        <v>0.9916374</v>
      </c>
      <c r="Q2501">
        <v>0.1228045</v>
      </c>
      <c r="R2501">
        <v>-3.9680060000000003E-2</v>
      </c>
      <c r="S2501">
        <v>3.0422060000000002</v>
      </c>
      <c r="T2501">
        <v>-0.20759240000000001</v>
      </c>
      <c r="U2501">
        <v>-0.21797179999999999</v>
      </c>
      <c r="V2501">
        <v>4.4377590000000001E-2</v>
      </c>
      <c r="W2501">
        <v>0.1298298</v>
      </c>
      <c r="X2501">
        <v>0.9905427</v>
      </c>
      <c r="Y2501">
        <v>7.6070789999999999E-2</v>
      </c>
      <c r="Z2501">
        <v>-2.9162099999999998E-3</v>
      </c>
      <c r="AA2501">
        <v>0.99709809999999999</v>
      </c>
      <c r="AB2501">
        <v>38</v>
      </c>
      <c r="AC2501">
        <v>0.40239999999999998</v>
      </c>
      <c r="AD2501">
        <v>-5.1898E-2</v>
      </c>
      <c r="AE2501">
        <v>-5.6700000000006398E-2</v>
      </c>
      <c r="AF2501">
        <v>5.7691921824757901E-2</v>
      </c>
      <c r="AG2501">
        <v>-5.1898E-2</v>
      </c>
      <c r="AH2501">
        <v>0.39566964115552</v>
      </c>
      <c r="AI2501">
        <v>97.395222554626898</v>
      </c>
      <c r="AJ2501">
        <v>81.704258891487399</v>
      </c>
      <c r="AK2501">
        <v>0.40320742202986798</v>
      </c>
      <c r="AL2501">
        <v>82.540242731157605</v>
      </c>
      <c r="AM2501">
        <v>87.434790550675103</v>
      </c>
      <c r="AN2501">
        <v>0.99999999399276895</v>
      </c>
    </row>
    <row r="2502" spans="1:40" x14ac:dyDescent="0.25">
      <c r="A2502" t="str">
        <f>"20190312164314043"</f>
        <v>20190312164314043</v>
      </c>
      <c r="B2502" t="str">
        <f>"1552380194037235"</f>
        <v>1552380194037235</v>
      </c>
      <c r="C2502" t="s">
        <v>40</v>
      </c>
      <c r="D2502">
        <v>4.8644129999999999</v>
      </c>
      <c r="E2502">
        <v>0.51629190000000003</v>
      </c>
      <c r="F2502" t="s">
        <v>41</v>
      </c>
      <c r="G2502">
        <v>-420.98570000000001</v>
      </c>
      <c r="H2502">
        <v>1.038106</v>
      </c>
      <c r="I2502">
        <v>213.0403</v>
      </c>
      <c r="J2502">
        <v>-421.6703</v>
      </c>
      <c r="K2502">
        <v>1.109413</v>
      </c>
      <c r="L2502">
        <v>213.11940000000001</v>
      </c>
      <c r="M2502">
        <v>0.99996289999999999</v>
      </c>
      <c r="N2502">
        <v>0</v>
      </c>
      <c r="O2502">
        <v>4.8954259999999996E-3</v>
      </c>
      <c r="P2502">
        <v>0.99157910000000005</v>
      </c>
      <c r="Q2502">
        <v>0.1228091</v>
      </c>
      <c r="R2502">
        <v>-4.1097519999999998E-2</v>
      </c>
      <c r="S2502">
        <v>3.0419619999999998</v>
      </c>
      <c r="T2502">
        <v>-0.20533380000000001</v>
      </c>
      <c r="U2502">
        <v>-0.22053529999999999</v>
      </c>
      <c r="V2502">
        <v>4.5895949999999998E-2</v>
      </c>
      <c r="W2502">
        <v>0.1298733</v>
      </c>
      <c r="X2502">
        <v>0.99046780000000001</v>
      </c>
      <c r="Y2502">
        <v>7.7004400000000001E-2</v>
      </c>
      <c r="Z2502">
        <v>-2.922231E-3</v>
      </c>
      <c r="AA2502">
        <v>0.99702639999999998</v>
      </c>
      <c r="AB2502">
        <v>38</v>
      </c>
      <c r="AC2502">
        <v>0.684599999999989</v>
      </c>
      <c r="AD2502">
        <v>-7.1306999999999995E-2</v>
      </c>
      <c r="AE2502">
        <v>-7.9100000000010995E-2</v>
      </c>
      <c r="AF2502">
        <v>8.1577171981157201E-2</v>
      </c>
      <c r="AG2502">
        <v>-7.1306999999999995E-2</v>
      </c>
      <c r="AH2502">
        <v>0.67695699239028995</v>
      </c>
      <c r="AI2502">
        <v>95.970178129422493</v>
      </c>
      <c r="AJ2502">
        <v>83.1286654873673</v>
      </c>
      <c r="AK2502">
        <v>0.685572966782932</v>
      </c>
      <c r="AL2502">
        <v>82.537729034503499</v>
      </c>
      <c r="AM2502">
        <v>87.346946010561098</v>
      </c>
      <c r="AN2502">
        <v>0.99999998755806596</v>
      </c>
    </row>
    <row r="2503" spans="1:40" x14ac:dyDescent="0.25">
      <c r="A2503" t="str">
        <f>"20190312164314066"</f>
        <v>20190312164314066</v>
      </c>
      <c r="B2503" t="str">
        <f>"1552380194056754"</f>
        <v>1552380194056754</v>
      </c>
      <c r="C2503" t="s">
        <v>40</v>
      </c>
      <c r="D2503">
        <v>4.8377109999999997</v>
      </c>
      <c r="E2503">
        <v>0.51614599999999999</v>
      </c>
      <c r="F2503" t="s">
        <v>41</v>
      </c>
      <c r="G2503">
        <v>-420.64409999999998</v>
      </c>
      <c r="H2503">
        <v>1.0399499999999999</v>
      </c>
      <c r="I2503">
        <v>213.04400000000001</v>
      </c>
      <c r="J2503">
        <v>-421.27859999999998</v>
      </c>
      <c r="K2503">
        <v>1.1093869999999999</v>
      </c>
      <c r="L2503">
        <v>213.12139999999999</v>
      </c>
      <c r="M2503">
        <v>0.99996220000000002</v>
      </c>
      <c r="N2503">
        <v>0</v>
      </c>
      <c r="O2503">
        <v>4.9686449999999998E-3</v>
      </c>
      <c r="P2503">
        <v>0.99148820000000004</v>
      </c>
      <c r="Q2503">
        <v>0.1230598</v>
      </c>
      <c r="R2503">
        <v>-4.2519460000000002E-2</v>
      </c>
      <c r="S2503">
        <v>3.041687</v>
      </c>
      <c r="T2503">
        <v>-0.20587250000000001</v>
      </c>
      <c r="U2503">
        <v>-0.2231293</v>
      </c>
      <c r="V2503">
        <v>4.7399450000000003E-2</v>
      </c>
      <c r="W2503">
        <v>0.1301631</v>
      </c>
      <c r="X2503">
        <v>0.99035890000000004</v>
      </c>
      <c r="Y2503">
        <v>7.7926380000000003E-2</v>
      </c>
      <c r="Z2503">
        <v>-2.9661209999999999E-3</v>
      </c>
      <c r="AA2503">
        <v>0.99695469999999997</v>
      </c>
      <c r="AB2503">
        <v>38</v>
      </c>
      <c r="AC2503">
        <v>0.63450000000000195</v>
      </c>
      <c r="AD2503">
        <v>-6.9437000000000096E-2</v>
      </c>
      <c r="AE2503">
        <v>-7.7399999999982996E-2</v>
      </c>
      <c r="AF2503">
        <v>7.9612258430293695E-2</v>
      </c>
      <c r="AG2503">
        <v>-6.9437000000000096E-2</v>
      </c>
      <c r="AH2503">
        <v>0.62671201305578095</v>
      </c>
      <c r="AI2503">
        <v>96.272340733916593</v>
      </c>
      <c r="AJ2503">
        <v>82.760398570715907</v>
      </c>
      <c r="AK2503">
        <v>0.63555295292351599</v>
      </c>
      <c r="AL2503">
        <v>82.520982251403495</v>
      </c>
      <c r="AM2503">
        <v>87.259864450459702</v>
      </c>
      <c r="AN2503">
        <v>0.99999994563555905</v>
      </c>
    </row>
    <row r="2504" spans="1:40" x14ac:dyDescent="0.25">
      <c r="A2504" t="str">
        <f>"20190312164314113"</f>
        <v>20190312164314113</v>
      </c>
      <c r="B2504" t="str">
        <f>"1552380194106531"</f>
        <v>1552380194106531</v>
      </c>
      <c r="C2504" t="s">
        <v>40</v>
      </c>
      <c r="D2504">
        <v>4.8502190000000001</v>
      </c>
      <c r="E2504">
        <v>0.51573369999999996</v>
      </c>
      <c r="F2504" t="s">
        <v>41</v>
      </c>
      <c r="G2504">
        <v>-420.30110000000002</v>
      </c>
      <c r="H2504">
        <v>1.043239</v>
      </c>
      <c r="I2504">
        <v>213.04830000000001</v>
      </c>
      <c r="J2504">
        <v>-420.49149999999997</v>
      </c>
      <c r="K2504">
        <v>1.109343</v>
      </c>
      <c r="L2504">
        <v>213.12540000000001</v>
      </c>
      <c r="M2504">
        <v>0.99996099999999999</v>
      </c>
      <c r="N2504">
        <v>0</v>
      </c>
      <c r="O2504">
        <v>5.0748119999999997E-3</v>
      </c>
      <c r="P2504">
        <v>0.99139180000000005</v>
      </c>
      <c r="Q2504">
        <v>0.12286420000000001</v>
      </c>
      <c r="R2504">
        <v>-4.5243770000000003E-2</v>
      </c>
      <c r="S2504">
        <v>3.0416259999999999</v>
      </c>
      <c r="T2504">
        <v>-0.2060575</v>
      </c>
      <c r="U2504">
        <v>-0.22590640000000001</v>
      </c>
      <c r="V2504">
        <v>5.0242549999999997E-2</v>
      </c>
      <c r="W2504">
        <v>0.1300393</v>
      </c>
      <c r="X2504">
        <v>0.99023499999999998</v>
      </c>
      <c r="Y2504">
        <v>7.8936099999999995E-2</v>
      </c>
      <c r="Z2504">
        <v>-3.0100330000000001E-3</v>
      </c>
      <c r="AA2504">
        <v>0.99687510000000001</v>
      </c>
      <c r="AB2504">
        <v>38</v>
      </c>
      <c r="AC2504">
        <v>0.19039999999995399</v>
      </c>
      <c r="AD2504">
        <v>-6.6103999999999899E-2</v>
      </c>
      <c r="AE2504">
        <v>-7.7100000000001501E-2</v>
      </c>
      <c r="AF2504">
        <v>7.0739704125832595E-2</v>
      </c>
      <c r="AG2504">
        <v>-6.6103999999999899E-2</v>
      </c>
      <c r="AH2504">
        <v>0.17217625942678999</v>
      </c>
      <c r="AI2504">
        <v>109.55132988532399</v>
      </c>
      <c r="AJ2504">
        <v>67.6643806856206</v>
      </c>
      <c r="AK2504">
        <v>0.197531032665786</v>
      </c>
      <c r="AL2504">
        <v>82.528136263303793</v>
      </c>
      <c r="AM2504">
        <v>87.095417116612893</v>
      </c>
      <c r="AN2504">
        <v>0.99999994429999395</v>
      </c>
    </row>
    <row r="2505" spans="1:40" x14ac:dyDescent="0.25">
      <c r="A2505" t="str">
        <f>"20190312164314130"</f>
        <v>20190312164314130</v>
      </c>
      <c r="B2505" t="str">
        <f>"1552380194127027"</f>
        <v>1552380194127027</v>
      </c>
      <c r="C2505" t="s">
        <v>40</v>
      </c>
      <c r="D2505">
        <v>4.8283759999999996</v>
      </c>
      <c r="E2505">
        <v>0.51559840000000001</v>
      </c>
      <c r="F2505" t="s">
        <v>41</v>
      </c>
      <c r="G2505">
        <v>-419.61340000000001</v>
      </c>
      <c r="H2505">
        <v>1.0486709999999999</v>
      </c>
      <c r="I2505">
        <v>213.05850000000001</v>
      </c>
      <c r="J2505">
        <v>-420.17849999999999</v>
      </c>
      <c r="K2505">
        <v>1.109329</v>
      </c>
      <c r="L2505">
        <v>213.12700000000001</v>
      </c>
      <c r="M2505">
        <v>0.99996070000000004</v>
      </c>
      <c r="N2505">
        <v>0</v>
      </c>
      <c r="O2505">
        <v>5.1061800000000001E-3</v>
      </c>
      <c r="P2505">
        <v>0.99129659999999997</v>
      </c>
      <c r="Q2505">
        <v>0.1231265</v>
      </c>
      <c r="R2505">
        <v>-4.6593820000000001E-2</v>
      </c>
      <c r="S2505">
        <v>3.0415649999999999</v>
      </c>
      <c r="T2505">
        <v>-0.2102832</v>
      </c>
      <c r="U2505">
        <v>-0.23085020000000001</v>
      </c>
      <c r="V2505">
        <v>5.1627689999999997E-2</v>
      </c>
      <c r="W2505">
        <v>0.13032769999999999</v>
      </c>
      <c r="X2505">
        <v>0.9901259</v>
      </c>
      <c r="Y2505">
        <v>8.056816E-2</v>
      </c>
      <c r="Z2505">
        <v>-3.1299230000000002E-3</v>
      </c>
      <c r="AA2505">
        <v>0.99674419999999997</v>
      </c>
      <c r="AB2505">
        <v>38</v>
      </c>
      <c r="AC2505">
        <v>0.56509999999997196</v>
      </c>
      <c r="AD2505">
        <v>-6.0658000000000101E-2</v>
      </c>
      <c r="AE2505">
        <v>-6.85000000000002E-2</v>
      </c>
      <c r="AF2505">
        <v>7.0583206342667307E-2</v>
      </c>
      <c r="AG2505">
        <v>-6.0658000000000101E-2</v>
      </c>
      <c r="AH2505">
        <v>0.55840214316676196</v>
      </c>
      <c r="AI2505">
        <v>96.151041266683706</v>
      </c>
      <c r="AJ2505">
        <v>82.795898567302203</v>
      </c>
      <c r="AK2505">
        <v>0.56610452698670799</v>
      </c>
      <c r="AL2505">
        <v>82.511470846988303</v>
      </c>
      <c r="AM2505">
        <v>87.015155060735694</v>
      </c>
      <c r="AN2505">
        <v>1.0000000128064099</v>
      </c>
    </row>
    <row r="2506" spans="1:40" x14ac:dyDescent="0.25">
      <c r="A2506" t="str">
        <f>"20190312164314177"</f>
        <v>20190312164314177</v>
      </c>
      <c r="B2506" t="str">
        <f>"1552380194167043"</f>
        <v>1552380194167043</v>
      </c>
      <c r="C2506" t="s">
        <v>40</v>
      </c>
      <c r="D2506">
        <v>4.8186</v>
      </c>
      <c r="E2506">
        <v>0.5150747</v>
      </c>
      <c r="F2506" t="s">
        <v>41</v>
      </c>
      <c r="G2506">
        <v>-419.27080000000001</v>
      </c>
      <c r="H2506">
        <v>1.047034</v>
      </c>
      <c r="I2506">
        <v>213.05690000000001</v>
      </c>
      <c r="J2506">
        <v>-419.37139999999999</v>
      </c>
      <c r="K2506">
        <v>1.109289</v>
      </c>
      <c r="L2506">
        <v>213.13120000000001</v>
      </c>
      <c r="M2506">
        <v>0.99995999999999996</v>
      </c>
      <c r="N2506">
        <v>0</v>
      </c>
      <c r="O2506">
        <v>5.1636989999999999E-3</v>
      </c>
      <c r="P2506">
        <v>0.99110779999999998</v>
      </c>
      <c r="Q2506">
        <v>0.1239373</v>
      </c>
      <c r="R2506">
        <v>-4.8428510000000001E-2</v>
      </c>
      <c r="S2506">
        <v>3.0412599999999999</v>
      </c>
      <c r="T2506">
        <v>-0.20879139999999999</v>
      </c>
      <c r="U2506">
        <v>-0.23458860000000001</v>
      </c>
      <c r="V2506">
        <v>5.3529210000000001E-2</v>
      </c>
      <c r="W2506">
        <v>0.1311985</v>
      </c>
      <c r="X2506">
        <v>0.98990990000000001</v>
      </c>
      <c r="Y2506">
        <v>8.1850800000000001E-2</v>
      </c>
      <c r="Z2506">
        <v>-3.1557870000000002E-3</v>
      </c>
      <c r="AA2506">
        <v>0.99663959999999996</v>
      </c>
      <c r="AB2506">
        <v>38</v>
      </c>
      <c r="AC2506">
        <v>0.10059999999998499</v>
      </c>
      <c r="AD2506">
        <v>-6.2254999999999901E-2</v>
      </c>
      <c r="AE2506">
        <v>-7.4299999999993802E-2</v>
      </c>
      <c r="AF2506">
        <v>5.9960684567689597E-2</v>
      </c>
      <c r="AG2506">
        <v>-6.2254999999999901E-2</v>
      </c>
      <c r="AH2506">
        <v>8.0313823970763101E-2</v>
      </c>
      <c r="AI2506">
        <v>121.845887978391</v>
      </c>
      <c r="AJ2506">
        <v>53.255722006433601</v>
      </c>
      <c r="AK2506">
        <v>0.117988469943603</v>
      </c>
      <c r="AL2506">
        <v>82.461145597777303</v>
      </c>
      <c r="AM2506">
        <v>86.904755010825596</v>
      </c>
      <c r="AN2506">
        <v>1.00000001642174</v>
      </c>
    </row>
    <row r="2507" spans="1:40" x14ac:dyDescent="0.25">
      <c r="A2507" t="str">
        <f>"20190312164314200"</f>
        <v>20190312164314200</v>
      </c>
      <c r="B2507" t="str">
        <f>"1552380194197299"</f>
        <v>1552380194197299</v>
      </c>
      <c r="C2507" t="s">
        <v>40</v>
      </c>
      <c r="D2507">
        <v>5.0124839999999997</v>
      </c>
      <c r="E2507">
        <v>0.52041660000000001</v>
      </c>
      <c r="F2507" t="s">
        <v>41</v>
      </c>
      <c r="G2507">
        <v>-418.57530000000003</v>
      </c>
      <c r="H2507">
        <v>1.0547029999999999</v>
      </c>
      <c r="I2507">
        <v>213.0692</v>
      </c>
      <c r="J2507">
        <v>-418.98989999999998</v>
      </c>
      <c r="K2507">
        <v>1.109275</v>
      </c>
      <c r="L2507">
        <v>213.13319999999999</v>
      </c>
      <c r="M2507">
        <v>0.99995959999999995</v>
      </c>
      <c r="N2507">
        <v>0</v>
      </c>
      <c r="O2507">
        <v>5.1807529999999997E-3</v>
      </c>
      <c r="P2507">
        <v>0.99098149999999996</v>
      </c>
      <c r="Q2507">
        <v>0.1246689</v>
      </c>
      <c r="R2507">
        <v>-4.9128529999999997E-2</v>
      </c>
      <c r="S2507">
        <v>3.0414430000000001</v>
      </c>
      <c r="T2507">
        <v>-0.2086191</v>
      </c>
      <c r="U2507">
        <v>-0.2363586</v>
      </c>
      <c r="V2507">
        <v>5.4249980000000003E-2</v>
      </c>
      <c r="W2507">
        <v>0.13195519999999999</v>
      </c>
      <c r="X2507">
        <v>0.98977009999999999</v>
      </c>
      <c r="Y2507">
        <v>8.243868E-2</v>
      </c>
      <c r="Z2507">
        <v>-3.1742049999999998E-3</v>
      </c>
      <c r="AA2507">
        <v>0.99659109999999995</v>
      </c>
      <c r="AB2507">
        <v>39</v>
      </c>
      <c r="AC2507">
        <v>0.41459999999995001</v>
      </c>
      <c r="AD2507">
        <v>-5.4571999999999801E-2</v>
      </c>
      <c r="AE2507">
        <v>-6.3999999999992896E-2</v>
      </c>
      <c r="AF2507">
        <v>6.5046418313275595E-2</v>
      </c>
      <c r="AG2507">
        <v>-5.4571999999999801E-2</v>
      </c>
      <c r="AH2507">
        <v>0.40736932106180002</v>
      </c>
      <c r="AI2507">
        <v>97.535687781923698</v>
      </c>
      <c r="AJ2507">
        <v>80.927918457402896</v>
      </c>
      <c r="AK2507">
        <v>0.41612366366470599</v>
      </c>
      <c r="AL2507">
        <v>82.417409842125807</v>
      </c>
      <c r="AM2507">
        <v>86.862718086872803</v>
      </c>
      <c r="AN2507">
        <v>1.00000004299552</v>
      </c>
    </row>
    <row r="2508" spans="1:40" x14ac:dyDescent="0.25">
      <c r="A2508" t="str">
        <f>"20190312164314222"</f>
        <v>20190312164314222</v>
      </c>
      <c r="B2508" t="str">
        <f>"1552380194216819"</f>
        <v>1552380194216819</v>
      </c>
      <c r="C2508" t="s">
        <v>40</v>
      </c>
      <c r="D2508">
        <v>4.7805439999999999</v>
      </c>
      <c r="E2508">
        <v>0.51481849999999996</v>
      </c>
      <c r="F2508" t="s">
        <v>47</v>
      </c>
      <c r="G2508">
        <v>-400.31869999999998</v>
      </c>
      <c r="H2508" s="1">
        <v>8.9266000000000002E-6</v>
      </c>
      <c r="I2508">
        <v>211.3947</v>
      </c>
      <c r="J2508">
        <v>-418.60989999999998</v>
      </c>
      <c r="K2508">
        <v>1.10927</v>
      </c>
      <c r="L2508">
        <v>213.1352</v>
      </c>
      <c r="M2508">
        <v>0.99995940000000005</v>
      </c>
      <c r="N2508">
        <v>0</v>
      </c>
      <c r="O2508">
        <v>5.1903110000000004E-3</v>
      </c>
      <c r="P2508">
        <v>0.99085730000000005</v>
      </c>
      <c r="Q2508">
        <v>0.1256188</v>
      </c>
      <c r="R2508">
        <v>-4.9212110000000003E-2</v>
      </c>
      <c r="S2508">
        <v>3.0359500000000001</v>
      </c>
      <c r="T2508">
        <v>-0.18036779999999999</v>
      </c>
      <c r="U2508">
        <v>-0.2826843</v>
      </c>
      <c r="V2508">
        <v>5.4346680000000001E-2</v>
      </c>
      <c r="W2508">
        <v>0.132929399999999</v>
      </c>
      <c r="X2508">
        <v>0.98963440000000003</v>
      </c>
      <c r="Y2508">
        <v>9.769825E-2</v>
      </c>
      <c r="Z2508">
        <v>-3.2008129999999998E-3</v>
      </c>
      <c r="AA2508">
        <v>0.99521090000000001</v>
      </c>
      <c r="AB2508">
        <v>39</v>
      </c>
      <c r="AC2508">
        <v>18.2912</v>
      </c>
      <c r="AD2508">
        <v>-1.1092610733999999</v>
      </c>
      <c r="AE2508">
        <v>-1.7404999999999899</v>
      </c>
      <c r="AF2508">
        <v>1.82875079532828</v>
      </c>
      <c r="AG2508">
        <v>-1.1092610733999999</v>
      </c>
      <c r="AH2508">
        <v>18.215528459458898</v>
      </c>
      <c r="AI2508">
        <v>93.467418616965105</v>
      </c>
      <c r="AJ2508">
        <v>84.266991216553393</v>
      </c>
      <c r="AK2508">
        <v>18.340672470161302</v>
      </c>
      <c r="AL2508">
        <v>82.3610960062245</v>
      </c>
      <c r="AM2508">
        <v>86.856707027252398</v>
      </c>
      <c r="AN2508">
        <v>1.0000000163373699</v>
      </c>
    </row>
    <row r="2509" spans="1:40" x14ac:dyDescent="0.25">
      <c r="A2509" t="str">
        <f>"20190312164314244"</f>
        <v>20190312164314244</v>
      </c>
      <c r="B2509" t="str">
        <f>"1552380194237315"</f>
        <v>1552380194237315</v>
      </c>
      <c r="C2509" t="s">
        <v>40</v>
      </c>
      <c r="D2509">
        <v>4.9849019999999999</v>
      </c>
      <c r="E2509">
        <v>0.51320589999999999</v>
      </c>
      <c r="F2509" t="s">
        <v>41</v>
      </c>
      <c r="G2509">
        <v>-417.54570000000001</v>
      </c>
      <c r="H2509">
        <v>1.04013</v>
      </c>
      <c r="I2509">
        <v>213.05199999999999</v>
      </c>
      <c r="J2509">
        <v>-418.21440000000001</v>
      </c>
      <c r="K2509">
        <v>1.1092580000000001</v>
      </c>
      <c r="L2509">
        <v>213.13730000000001</v>
      </c>
      <c r="M2509">
        <v>0.99995919999999905</v>
      </c>
      <c r="N2509">
        <v>0</v>
      </c>
      <c r="O2509">
        <v>5.1811269999999998E-3</v>
      </c>
      <c r="P2509">
        <v>0.99080469999999998</v>
      </c>
      <c r="Q2509">
        <v>0.12643199999999999</v>
      </c>
      <c r="R2509">
        <v>-4.8178360000000003E-2</v>
      </c>
      <c r="S2509">
        <v>3.0409549999999999</v>
      </c>
      <c r="T2509">
        <v>-0.19768830000000001</v>
      </c>
      <c r="U2509">
        <v>-0.23712159999999999</v>
      </c>
      <c r="V2509">
        <v>5.3308830000000001E-2</v>
      </c>
      <c r="W2509">
        <v>0.13376540000000001</v>
      </c>
      <c r="X2509">
        <v>0.98957819999999996</v>
      </c>
      <c r="Y2509">
        <v>8.2720169999999996E-2</v>
      </c>
      <c r="Z2509">
        <v>-3.0178499999999999E-3</v>
      </c>
      <c r="AA2509">
        <v>0.99656829999999996</v>
      </c>
      <c r="AB2509">
        <v>39</v>
      </c>
      <c r="AC2509">
        <v>0.66870000000000096</v>
      </c>
      <c r="AD2509">
        <v>-6.9127999999999995E-2</v>
      </c>
      <c r="AE2509">
        <v>-8.5299999999989495E-2</v>
      </c>
      <c r="AF2509">
        <v>8.7839877498780902E-2</v>
      </c>
      <c r="AG2509">
        <v>-6.9127999999999995E-2</v>
      </c>
      <c r="AH2509">
        <v>0.66129512433919002</v>
      </c>
      <c r="AI2509">
        <v>95.916108228580896</v>
      </c>
      <c r="AJ2509">
        <v>82.433689709748705</v>
      </c>
      <c r="AK2509">
        <v>0.67067560410215099</v>
      </c>
      <c r="AL2509">
        <v>82.3127650878873</v>
      </c>
      <c r="AM2509">
        <v>86.916442273698493</v>
      </c>
      <c r="AN2509">
        <v>1.00000001375418</v>
      </c>
    </row>
    <row r="2510" spans="1:40" x14ac:dyDescent="0.25">
      <c r="A2510" t="str">
        <f>"20190312164314266"</f>
        <v>20190312164314266</v>
      </c>
      <c r="B2510" t="str">
        <f>"1552380194256835"</f>
        <v>1552380194256835</v>
      </c>
      <c r="C2510" t="s">
        <v>40</v>
      </c>
      <c r="D2510">
        <v>4.8304600000000004</v>
      </c>
      <c r="E2510">
        <v>0.48011890000000002</v>
      </c>
      <c r="F2510" t="s">
        <v>41</v>
      </c>
      <c r="G2510">
        <v>-417.1986</v>
      </c>
      <c r="H2510">
        <v>1.0388900000000001</v>
      </c>
      <c r="I2510">
        <v>213.0635</v>
      </c>
      <c r="J2510">
        <v>-417.82740000000001</v>
      </c>
      <c r="K2510">
        <v>1.1092500000000001</v>
      </c>
      <c r="L2510">
        <v>213.13929999999999</v>
      </c>
      <c r="M2510">
        <v>0.99995909999999999</v>
      </c>
      <c r="N2510">
        <v>0</v>
      </c>
      <c r="O2510">
        <v>5.1533359999999997E-3</v>
      </c>
      <c r="P2510">
        <v>0.99080199999999996</v>
      </c>
      <c r="Q2510">
        <v>0.12669540000000001</v>
      </c>
      <c r="R2510">
        <v>-4.7536849999999999E-2</v>
      </c>
      <c r="S2510">
        <v>3.044006</v>
      </c>
      <c r="T2510">
        <v>-0.2109463</v>
      </c>
      <c r="U2510">
        <v>-0.22051999999999999</v>
      </c>
      <c r="V2510">
        <v>5.26458E-2</v>
      </c>
      <c r="W2510">
        <v>0.13405029999999901</v>
      </c>
      <c r="X2510">
        <v>0.98957510000000004</v>
      </c>
      <c r="Y2510">
        <v>7.7197219999999997E-2</v>
      </c>
      <c r="Z2510">
        <v>-3.0244080000000001E-3</v>
      </c>
      <c r="AA2510">
        <v>0.99701119999999999</v>
      </c>
      <c r="AB2510">
        <v>39</v>
      </c>
      <c r="AC2510">
        <v>0.62880000000001202</v>
      </c>
      <c r="AD2510">
        <v>-7.03600000000002E-2</v>
      </c>
      <c r="AE2510">
        <v>-7.5799999999986697E-2</v>
      </c>
      <c r="AF2510">
        <v>7.8075941754674305E-2</v>
      </c>
      <c r="AG2510">
        <v>-7.03600000000002E-2</v>
      </c>
      <c r="AH2510">
        <v>0.62074027250466701</v>
      </c>
      <c r="AI2510">
        <v>96.416661053154399</v>
      </c>
      <c r="AJ2510">
        <v>82.831054665533301</v>
      </c>
      <c r="AK2510">
        <v>0.62957514896162103</v>
      </c>
      <c r="AL2510">
        <v>82.296292838475594</v>
      </c>
      <c r="AM2510">
        <v>86.954711943537006</v>
      </c>
      <c r="AN2510">
        <v>0.99999997086386905</v>
      </c>
    </row>
    <row r="2511" spans="1:40" x14ac:dyDescent="0.25">
      <c r="A2511" t="str">
        <f>"20190312164314291"</f>
        <v>20190312164314291</v>
      </c>
      <c r="B2511" t="str">
        <f>"1552380194287091"</f>
        <v>1552380194287091</v>
      </c>
      <c r="C2511" t="s">
        <v>40</v>
      </c>
      <c r="D2511">
        <v>4.6658350000000004</v>
      </c>
      <c r="E2511">
        <v>0.47289330000000002</v>
      </c>
      <c r="F2511" t="s">
        <v>47</v>
      </c>
      <c r="G2511">
        <v>-401.19839999999999</v>
      </c>
      <c r="H2511" s="1">
        <v>8.1250159999999997E-6</v>
      </c>
      <c r="I2511">
        <v>213.386</v>
      </c>
      <c r="J2511">
        <v>-417.3922</v>
      </c>
      <c r="K2511">
        <v>1.109227</v>
      </c>
      <c r="L2511">
        <v>213.14150000000001</v>
      </c>
      <c r="M2511">
        <v>0.9999593</v>
      </c>
      <c r="N2511">
        <v>0</v>
      </c>
      <c r="O2511">
        <v>5.0920970000000003E-3</v>
      </c>
      <c r="P2511">
        <v>0.99082190000000003</v>
      </c>
      <c r="Q2511">
        <v>0.1268772</v>
      </c>
      <c r="R2511">
        <v>-4.6628179999999998E-2</v>
      </c>
      <c r="S2511">
        <v>3.0561219999999998</v>
      </c>
      <c r="T2511">
        <v>-0.20386019999999999</v>
      </c>
      <c r="U2511">
        <v>4.534912E-2</v>
      </c>
      <c r="V2511">
        <v>5.1684769999999998E-2</v>
      </c>
      <c r="W2511">
        <v>0.13425490000000001</v>
      </c>
      <c r="X2511">
        <v>0.98959799999999998</v>
      </c>
      <c r="Y2511">
        <v>-9.7349640000000005E-3</v>
      </c>
      <c r="Z2511" s="1">
        <v>-1.497081E-5</v>
      </c>
      <c r="AA2511">
        <v>0.99995259999999997</v>
      </c>
      <c r="AB2511">
        <v>39</v>
      </c>
      <c r="AC2511">
        <v>16.1938</v>
      </c>
      <c r="AD2511">
        <v>-1.109218874984</v>
      </c>
      <c r="AE2511">
        <v>0.24449999999998701</v>
      </c>
      <c r="AF2511">
        <v>-0.161277636887867</v>
      </c>
      <c r="AG2511">
        <v>-1.109218874984</v>
      </c>
      <c r="AH2511">
        <v>16.119224590141702</v>
      </c>
      <c r="AI2511">
        <v>93.936316118216396</v>
      </c>
      <c r="AJ2511">
        <v>90.573242189556794</v>
      </c>
      <c r="AK2511">
        <v>16.158148977411098</v>
      </c>
      <c r="AL2511">
        <v>82.284463009222407</v>
      </c>
      <c r="AM2511">
        <v>87.010269840504506</v>
      </c>
      <c r="AN2511">
        <v>0.99999994761398003</v>
      </c>
    </row>
    <row r="2512" spans="1:40" x14ac:dyDescent="0.25">
      <c r="A2512" t="str">
        <f>"20190312164314313"</f>
        <v>20190312164314313</v>
      </c>
      <c r="B2512" t="str">
        <f>"1552380194306611"</f>
        <v>1552380194306611</v>
      </c>
      <c r="C2512" t="s">
        <v>40</v>
      </c>
      <c r="D2512">
        <v>4.6478789999999996</v>
      </c>
      <c r="E2512">
        <v>0.47142390000000001</v>
      </c>
      <c r="F2512" t="s">
        <v>47</v>
      </c>
      <c r="G2512">
        <v>-400.6044</v>
      </c>
      <c r="H2512" s="1">
        <v>8.3192710000000008E-6</v>
      </c>
      <c r="I2512">
        <v>213.7209</v>
      </c>
      <c r="J2512">
        <v>-417.01900000000001</v>
      </c>
      <c r="K2512">
        <v>1.109202</v>
      </c>
      <c r="L2512">
        <v>213.14330000000001</v>
      </c>
      <c r="M2512">
        <v>0.99995959999999995</v>
      </c>
      <c r="N2512">
        <v>0</v>
      </c>
      <c r="O2512">
        <v>5.0107859999999997E-3</v>
      </c>
      <c r="P2512">
        <v>0.99079200000000001</v>
      </c>
      <c r="Q2512">
        <v>0.1274303</v>
      </c>
      <c r="R2512">
        <v>-4.5746479999999999E-2</v>
      </c>
      <c r="S2512">
        <v>3.058624</v>
      </c>
      <c r="T2512">
        <v>-0.20209240000000001</v>
      </c>
      <c r="U2512">
        <v>0.1055603</v>
      </c>
      <c r="V2512">
        <v>5.0730560000000001E-2</v>
      </c>
      <c r="W2512">
        <v>0.1348261</v>
      </c>
      <c r="X2512">
        <v>0.98956980000000005</v>
      </c>
      <c r="Y2512">
        <v>-2.943026E-2</v>
      </c>
      <c r="Z2512">
        <v>6.4030580000000003E-4</v>
      </c>
      <c r="AA2512">
        <v>0.99956659999999997</v>
      </c>
      <c r="AB2512">
        <v>39</v>
      </c>
      <c r="AC2512">
        <v>16.4146</v>
      </c>
      <c r="AD2512">
        <v>-1.1091936807289999</v>
      </c>
      <c r="AE2512">
        <v>0.57759999999998901</v>
      </c>
      <c r="AF2512">
        <v>-0.49309164347015</v>
      </c>
      <c r="AG2512">
        <v>-1.1091936807289999</v>
      </c>
      <c r="AH2512">
        <v>16.342756352432399</v>
      </c>
      <c r="AI2512">
        <v>93.880987174811494</v>
      </c>
      <c r="AJ2512">
        <v>91.728196953889395</v>
      </c>
      <c r="AK2512">
        <v>16.387773954543</v>
      </c>
      <c r="AL2512">
        <v>82.251436000456906</v>
      </c>
      <c r="AM2512">
        <v>87.065285701217405</v>
      </c>
      <c r="AN2512">
        <v>1.0000000280155801</v>
      </c>
    </row>
    <row r="2513" spans="1:40" x14ac:dyDescent="0.25">
      <c r="A2513" t="str">
        <f>"20190312164314335"</f>
        <v>20190312164314335</v>
      </c>
      <c r="B2513" t="str">
        <f>"1552380194327107"</f>
        <v>1552380194327107</v>
      </c>
      <c r="C2513" t="s">
        <v>40</v>
      </c>
      <c r="D2513">
        <v>4.6499709999999999</v>
      </c>
      <c r="E2513">
        <v>0.4707403</v>
      </c>
      <c r="F2513" t="s">
        <v>47</v>
      </c>
      <c r="G2513">
        <v>-400.80869999999999</v>
      </c>
      <c r="H2513" s="1">
        <v>8.2160609999999907E-6</v>
      </c>
      <c r="I2513">
        <v>213.7818</v>
      </c>
      <c r="J2513">
        <v>-416.6259</v>
      </c>
      <c r="K2513">
        <v>1.1091770000000001</v>
      </c>
      <c r="L2513">
        <v>213.14519999999999</v>
      </c>
      <c r="M2513">
        <v>0.99995999999999996</v>
      </c>
      <c r="N2513">
        <v>0</v>
      </c>
      <c r="O2513">
        <v>4.8966030000000002E-3</v>
      </c>
      <c r="P2513">
        <v>0.99073529999999999</v>
      </c>
      <c r="Q2513">
        <v>0.12797430000000001</v>
      </c>
      <c r="R2513">
        <v>-4.546004E-2</v>
      </c>
      <c r="S2513">
        <v>3.060425</v>
      </c>
      <c r="T2513">
        <v>-0.20941100000000001</v>
      </c>
      <c r="U2513">
        <v>0.1205444</v>
      </c>
      <c r="V2513">
        <v>5.0339719999999998E-2</v>
      </c>
      <c r="W2513">
        <v>0.13538789999999901</v>
      </c>
      <c r="X2513">
        <v>0.98951299999999998</v>
      </c>
      <c r="Y2513">
        <v>-3.4395340000000003E-2</v>
      </c>
      <c r="Z2513">
        <v>8.4039839999999896E-4</v>
      </c>
      <c r="AA2513">
        <v>0.99940790000000002</v>
      </c>
      <c r="AB2513">
        <v>39</v>
      </c>
      <c r="AC2513">
        <v>15.8172</v>
      </c>
      <c r="AD2513">
        <v>-1.1091687839390001</v>
      </c>
      <c r="AE2513">
        <v>0.63660000000001504</v>
      </c>
      <c r="AF2513">
        <v>-0.556407990113166</v>
      </c>
      <c r="AG2513">
        <v>-1.1091687839390001</v>
      </c>
      <c r="AH2513">
        <v>15.742838896595201</v>
      </c>
      <c r="AI2513">
        <v>94.027633655517604</v>
      </c>
      <c r="AJ2513">
        <v>92.024194318238301</v>
      </c>
      <c r="AK2513">
        <v>15.7916693787223</v>
      </c>
      <c r="AL2513">
        <v>82.218948939740301</v>
      </c>
      <c r="AM2513">
        <v>87.0876894762836</v>
      </c>
      <c r="AN2513">
        <v>0.99999997402254304</v>
      </c>
    </row>
    <row r="2514" spans="1:40" x14ac:dyDescent="0.25">
      <c r="A2514" t="str">
        <f>"20190312164314357"</f>
        <v>20190312164314357</v>
      </c>
      <c r="B2514" t="str">
        <f>"1552380194346627"</f>
        <v>1552380194346627</v>
      </c>
      <c r="C2514" t="s">
        <v>40</v>
      </c>
      <c r="D2514">
        <v>4.6746679999999996</v>
      </c>
      <c r="E2514">
        <v>0.47010210000000002</v>
      </c>
      <c r="F2514" t="s">
        <v>47</v>
      </c>
      <c r="G2514">
        <v>-400.38749999999999</v>
      </c>
      <c r="H2514" s="1">
        <v>8.3950039999999994E-6</v>
      </c>
      <c r="I2514">
        <v>213.81970000000001</v>
      </c>
      <c r="J2514">
        <v>-416.24369999999999</v>
      </c>
      <c r="K2514">
        <v>1.109151</v>
      </c>
      <c r="L2514">
        <v>213.14689999999999</v>
      </c>
      <c r="M2514">
        <v>0.99996050000000003</v>
      </c>
      <c r="N2514">
        <v>0</v>
      </c>
      <c r="O2514">
        <v>4.7620609999999997E-3</v>
      </c>
      <c r="P2514">
        <v>0.99068120000000004</v>
      </c>
      <c r="Q2514">
        <v>0.12859100000000001</v>
      </c>
      <c r="R2514">
        <v>-4.4893339999999997E-2</v>
      </c>
      <c r="S2514">
        <v>3.060883</v>
      </c>
      <c r="T2514">
        <v>-0.20907529999999999</v>
      </c>
      <c r="U2514">
        <v>0.1271362</v>
      </c>
      <c r="V2514">
        <v>4.9647879999999998E-2</v>
      </c>
      <c r="W2514">
        <v>0.136020899999999</v>
      </c>
      <c r="X2514">
        <v>0.98946120000000004</v>
      </c>
      <c r="Y2514">
        <v>-3.666726E-2</v>
      </c>
      <c r="Z2514">
        <v>9.2553730000000003E-4</v>
      </c>
      <c r="AA2514">
        <v>0.99932710000000002</v>
      </c>
      <c r="AB2514">
        <v>39</v>
      </c>
      <c r="AC2514">
        <v>15.856199999999999</v>
      </c>
      <c r="AD2514">
        <v>-1.109142604996</v>
      </c>
      <c r="AE2514">
        <v>0.67280000000002305</v>
      </c>
      <c r="AF2514">
        <v>-0.59437897436537201</v>
      </c>
      <c r="AG2514">
        <v>-1.109142604996</v>
      </c>
      <c r="AH2514">
        <v>15.782140737884999</v>
      </c>
      <c r="AI2514">
        <v>94.017203771724994</v>
      </c>
      <c r="AJ2514">
        <v>92.156825215058603</v>
      </c>
      <c r="AK2514">
        <v>15.832228205587301</v>
      </c>
      <c r="AL2514">
        <v>82.1823425273856</v>
      </c>
      <c r="AM2514">
        <v>87.127496973840493</v>
      </c>
      <c r="AN2514">
        <v>1.0000000317653699</v>
      </c>
    </row>
    <row r="2515" spans="1:40" x14ac:dyDescent="0.25">
      <c r="A2515" t="str">
        <f>"20190312164314380"</f>
        <v>20190312164314380</v>
      </c>
      <c r="B2515" t="str">
        <f>"1552380194376885"</f>
        <v>1552380194376885</v>
      </c>
      <c r="C2515" t="s">
        <v>40</v>
      </c>
      <c r="D2515">
        <v>4.846082</v>
      </c>
      <c r="E2515">
        <v>0.46940939999999998</v>
      </c>
      <c r="F2515" t="s">
        <v>46</v>
      </c>
      <c r="G2515">
        <v>-399.71820000000002</v>
      </c>
      <c r="H2515" s="1">
        <v>3.6347640000000002E-6</v>
      </c>
      <c r="I2515">
        <v>213.8699</v>
      </c>
      <c r="J2515">
        <v>-415.834</v>
      </c>
      <c r="K2515">
        <v>1.1091409999999999</v>
      </c>
      <c r="L2515">
        <v>213.14869999999999</v>
      </c>
      <c r="M2515">
        <v>0.99996099999999999</v>
      </c>
      <c r="N2515">
        <v>0</v>
      </c>
      <c r="O2515">
        <v>4.5984509999999999E-3</v>
      </c>
      <c r="P2515">
        <v>0.99058590000000002</v>
      </c>
      <c r="Q2515">
        <v>0.12935269999999999</v>
      </c>
      <c r="R2515">
        <v>-4.4809969999999998E-2</v>
      </c>
      <c r="S2515">
        <v>3.0609130000000002</v>
      </c>
      <c r="T2515">
        <v>-0.20543990000000001</v>
      </c>
      <c r="U2515">
        <v>0.13391110000000001</v>
      </c>
      <c r="V2515">
        <v>4.9409649999999999E-2</v>
      </c>
      <c r="W2515">
        <v>0.13680039999999999</v>
      </c>
      <c r="X2515">
        <v>0.98936559999999996</v>
      </c>
      <c r="Y2515">
        <v>-3.9034970000000002E-2</v>
      </c>
      <c r="Z2515">
        <v>9.9972189999999995E-4</v>
      </c>
      <c r="AA2515">
        <v>0.99923740000000005</v>
      </c>
      <c r="AB2515">
        <v>39</v>
      </c>
      <c r="AC2515">
        <v>16.115799999999901</v>
      </c>
      <c r="AD2515">
        <v>-1.1091373652359999</v>
      </c>
      <c r="AE2515">
        <v>0.72120000000001006</v>
      </c>
      <c r="AF2515">
        <v>-0.64403809563958403</v>
      </c>
      <c r="AG2515">
        <v>-1.1091373652359999</v>
      </c>
      <c r="AH2515">
        <v>16.043108148773499</v>
      </c>
      <c r="AI2515">
        <v>93.951667634999495</v>
      </c>
      <c r="AJ2515">
        <v>92.298860108742005</v>
      </c>
      <c r="AK2515">
        <v>16.094293704193401</v>
      </c>
      <c r="AL2515">
        <v>82.137258608497802</v>
      </c>
      <c r="AM2515">
        <v>87.140981675825103</v>
      </c>
      <c r="AN2515">
        <v>0.99999997670832097</v>
      </c>
    </row>
    <row r="2516" spans="1:40" x14ac:dyDescent="0.25">
      <c r="A2516" t="str">
        <f>"20190312164314401"</f>
        <v>20190312164314401</v>
      </c>
      <c r="B2516" t="str">
        <f>"1552380194397379"</f>
        <v>1552380194397379</v>
      </c>
      <c r="C2516" t="s">
        <v>40</v>
      </c>
      <c r="D2516">
        <v>4.8551209999999996</v>
      </c>
      <c r="E2516">
        <v>0.4691283</v>
      </c>
      <c r="F2516" t="s">
        <v>46</v>
      </c>
      <c r="G2516">
        <v>-398.9323</v>
      </c>
      <c r="H2516" s="1">
        <v>3.2165259999999999E-6</v>
      </c>
      <c r="I2516">
        <v>213.9195</v>
      </c>
      <c r="J2516">
        <v>-415.4717</v>
      </c>
      <c r="K2516">
        <v>1.1091260000000001</v>
      </c>
      <c r="L2516">
        <v>213.15029999999999</v>
      </c>
      <c r="M2516">
        <v>0.99996169999999995</v>
      </c>
      <c r="N2516">
        <v>0</v>
      </c>
      <c r="O2516">
        <v>4.4398060000000001E-3</v>
      </c>
      <c r="P2516">
        <v>0.99051500000000003</v>
      </c>
      <c r="Q2516">
        <v>0.12968869999999999</v>
      </c>
      <c r="R2516">
        <v>-4.5402020000000001E-2</v>
      </c>
      <c r="S2516">
        <v>3.0610659999999998</v>
      </c>
      <c r="T2516">
        <v>-0.2008761</v>
      </c>
      <c r="U2516">
        <v>0.1395874</v>
      </c>
      <c r="V2516">
        <v>4.9849480000000002E-2</v>
      </c>
      <c r="W2516">
        <v>0.1371513</v>
      </c>
      <c r="X2516">
        <v>0.98929489999999998</v>
      </c>
      <c r="Y2516">
        <v>-4.1039260000000001E-2</v>
      </c>
      <c r="Z2516">
        <v>1.0535259999999999E-3</v>
      </c>
      <c r="AA2516">
        <v>0.99915699999999996</v>
      </c>
      <c r="AB2516">
        <v>39</v>
      </c>
      <c r="AC2516">
        <v>16.539400000000001</v>
      </c>
      <c r="AD2516">
        <v>-1.1091227834739901</v>
      </c>
      <c r="AE2516">
        <v>0.76920000000001199</v>
      </c>
      <c r="AF2516">
        <v>-0.69265049801324297</v>
      </c>
      <c r="AG2516">
        <v>-1.1091227834739901</v>
      </c>
      <c r="AH2516">
        <v>16.4687525673517</v>
      </c>
      <c r="AI2516">
        <v>93.849493765459499</v>
      </c>
      <c r="AJ2516">
        <v>92.408353304388896</v>
      </c>
      <c r="AK2516">
        <v>16.520585013427102</v>
      </c>
      <c r="AL2516">
        <v>82.116961798393405</v>
      </c>
      <c r="AM2516">
        <v>87.115368547578896</v>
      </c>
      <c r="AN2516">
        <v>0.99999992445698205</v>
      </c>
    </row>
    <row r="2517" spans="1:40" x14ac:dyDescent="0.25">
      <c r="A2517" t="str">
        <f>"20190312164314422"</f>
        <v>20190312164314422</v>
      </c>
      <c r="B2517" t="str">
        <f>"1552380194416899"</f>
        <v>1552380194416899</v>
      </c>
      <c r="C2517" t="s">
        <v>40</v>
      </c>
      <c r="D2517">
        <v>4.8205499999999999</v>
      </c>
      <c r="E2517">
        <v>0.46889779999999998</v>
      </c>
      <c r="F2517" t="s">
        <v>46</v>
      </c>
      <c r="G2517">
        <v>-398.45260000000002</v>
      </c>
      <c r="H2517" s="1">
        <v>2.9612449999999999E-6</v>
      </c>
      <c r="I2517">
        <v>213.9273</v>
      </c>
      <c r="J2517">
        <v>-415.09410000000003</v>
      </c>
      <c r="K2517">
        <v>1.1091139999999999</v>
      </c>
      <c r="L2517">
        <v>213.15180000000001</v>
      </c>
      <c r="M2517">
        <v>0.99996220000000002</v>
      </c>
      <c r="N2517">
        <v>0</v>
      </c>
      <c r="O2517">
        <v>4.2707179999999997E-3</v>
      </c>
      <c r="P2517">
        <v>0.99051369999999905</v>
      </c>
      <c r="Q2517">
        <v>0.12959780000000001</v>
      </c>
      <c r="R2517">
        <v>-4.5686329999999997E-2</v>
      </c>
      <c r="S2517">
        <v>3.0612490000000001</v>
      </c>
      <c r="T2517">
        <v>-0.19949890000000001</v>
      </c>
      <c r="U2517">
        <v>0.1397552</v>
      </c>
      <c r="V2517">
        <v>4.996975E-2</v>
      </c>
      <c r="W2517">
        <v>0.1370767</v>
      </c>
      <c r="X2517">
        <v>0.98929920000000005</v>
      </c>
      <c r="Y2517">
        <v>-4.1260419999999999E-2</v>
      </c>
      <c r="Z2517">
        <v>1.0644509999999999E-3</v>
      </c>
      <c r="AA2517">
        <v>0.99914780000000003</v>
      </c>
      <c r="AB2517">
        <v>39</v>
      </c>
      <c r="AC2517">
        <v>16.641500000000001</v>
      </c>
      <c r="AD2517">
        <v>-1.1091110387549901</v>
      </c>
      <c r="AE2517">
        <v>0.77549999999999297</v>
      </c>
      <c r="AF2517">
        <v>-0.70131135686343904</v>
      </c>
      <c r="AG2517">
        <v>-1.1091110387549901</v>
      </c>
      <c r="AH2517">
        <v>16.571212713858401</v>
      </c>
      <c r="AI2517">
        <v>93.825680594019403</v>
      </c>
      <c r="AJ2517">
        <v>92.423372240829494</v>
      </c>
      <c r="AK2517">
        <v>16.623088032116499</v>
      </c>
      <c r="AL2517">
        <v>82.121277039284095</v>
      </c>
      <c r="AM2517">
        <v>87.108433247896002</v>
      </c>
      <c r="AN2517">
        <v>0.99999995235929495</v>
      </c>
    </row>
    <row r="2518" spans="1:40" x14ac:dyDescent="0.25">
      <c r="A2518" t="str">
        <f>"20190312164314446"</f>
        <v>20190312164314446</v>
      </c>
      <c r="B2518" t="str">
        <f>"1552380194437395"</f>
        <v>1552380194437395</v>
      </c>
      <c r="C2518" t="s">
        <v>40</v>
      </c>
      <c r="D2518">
        <v>4.7796219999999998</v>
      </c>
      <c r="E2518">
        <v>0.46879199999999999</v>
      </c>
      <c r="F2518" t="s">
        <v>46</v>
      </c>
      <c r="G2518">
        <v>-398.15429999999998</v>
      </c>
      <c r="H2518" s="1">
        <v>2.8025209999999998E-6</v>
      </c>
      <c r="I2518">
        <v>213.93100000000001</v>
      </c>
      <c r="J2518">
        <v>-414.67660000000001</v>
      </c>
      <c r="K2518">
        <v>1.109111</v>
      </c>
      <c r="L2518">
        <v>213.15350000000001</v>
      </c>
      <c r="M2518">
        <v>0.99996289999999999</v>
      </c>
      <c r="N2518">
        <v>0</v>
      </c>
      <c r="O2518">
        <v>4.0852140000000002E-3</v>
      </c>
      <c r="P2518">
        <v>0.99049719999999997</v>
      </c>
      <c r="Q2518">
        <v>0.1298571</v>
      </c>
      <c r="R2518">
        <v>-4.5309330000000002E-2</v>
      </c>
      <c r="S2518">
        <v>3.0614319999999999</v>
      </c>
      <c r="T2518">
        <v>-0.2004427</v>
      </c>
      <c r="U2518">
        <v>0.14080809999999999</v>
      </c>
      <c r="V2518">
        <v>4.9411110000000001E-2</v>
      </c>
      <c r="W2518">
        <v>0.1373549</v>
      </c>
      <c r="X2518">
        <v>0.98928870000000002</v>
      </c>
      <c r="Y2518">
        <v>-4.1783689999999998E-2</v>
      </c>
      <c r="Z2518">
        <v>1.0986329999999999E-3</v>
      </c>
      <c r="AA2518">
        <v>0.99912610000000002</v>
      </c>
      <c r="AB2518">
        <v>40</v>
      </c>
      <c r="AC2518">
        <v>16.522300000000001</v>
      </c>
      <c r="AD2518">
        <v>-1.109108197479</v>
      </c>
      <c r="AE2518">
        <v>0.77749999999997499</v>
      </c>
      <c r="AF2518">
        <v>-0.70681644736221905</v>
      </c>
      <c r="AG2518">
        <v>-1.109108197479</v>
      </c>
      <c r="AH2518">
        <v>16.451369723453901</v>
      </c>
      <c r="AI2518">
        <v>93.853350820366501</v>
      </c>
      <c r="AJ2518">
        <v>92.460142184884205</v>
      </c>
      <c r="AK2518">
        <v>16.5038564057541</v>
      </c>
      <c r="AL2518">
        <v>82.105185355024304</v>
      </c>
      <c r="AM2518">
        <v>87.140675458462297</v>
      </c>
      <c r="AN2518">
        <v>0.99999997914656502</v>
      </c>
    </row>
    <row r="2519" spans="1:40" x14ac:dyDescent="0.25">
      <c r="A2519" t="str">
        <f>"20190312164314468"</f>
        <v>20190312164314468</v>
      </c>
      <c r="B2519" t="str">
        <f>"1552380194456916"</f>
        <v>1552380194456916</v>
      </c>
      <c r="C2519" t="s">
        <v>40</v>
      </c>
      <c r="D2519">
        <v>4.8185849999999997</v>
      </c>
      <c r="E2519">
        <v>0.4686341</v>
      </c>
      <c r="F2519" t="s">
        <v>46</v>
      </c>
      <c r="G2519">
        <v>-397.79910000000001</v>
      </c>
      <c r="H2519" s="1">
        <v>2.613491E-6</v>
      </c>
      <c r="I2519">
        <v>213.93700000000001</v>
      </c>
      <c r="J2519">
        <v>-414.27190000000002</v>
      </c>
      <c r="K2519">
        <v>1.109118</v>
      </c>
      <c r="L2519">
        <v>213.155</v>
      </c>
      <c r="M2519">
        <v>0.99996339999999995</v>
      </c>
      <c r="N2519">
        <v>0</v>
      </c>
      <c r="O2519">
        <v>3.9175399999999997E-3</v>
      </c>
      <c r="P2519">
        <v>0.9905427</v>
      </c>
      <c r="Q2519">
        <v>0.12964999999999999</v>
      </c>
      <c r="R2519">
        <v>-4.490355E-2</v>
      </c>
      <c r="S2519">
        <v>3.0617369999999999</v>
      </c>
      <c r="T2519">
        <v>-0.20120260000000001</v>
      </c>
      <c r="U2519">
        <v>0.1421509</v>
      </c>
      <c r="V2519">
        <v>4.883929E-2</v>
      </c>
      <c r="W2519">
        <v>0.13716689999999901</v>
      </c>
      <c r="X2519">
        <v>0.98934319999999998</v>
      </c>
      <c r="Y2519">
        <v>-4.238165E-2</v>
      </c>
      <c r="Z2519">
        <v>1.1332849999999999E-3</v>
      </c>
      <c r="AA2519">
        <v>0.99910089999999996</v>
      </c>
      <c r="AB2519">
        <v>40</v>
      </c>
      <c r="AC2519">
        <v>16.472799999999999</v>
      </c>
      <c r="AD2519">
        <v>-1.109115386509</v>
      </c>
      <c r="AE2519">
        <v>0.78200000000001002</v>
      </c>
      <c r="AF2519">
        <v>-0.71422871571033997</v>
      </c>
      <c r="AG2519">
        <v>-1.109115386509</v>
      </c>
      <c r="AH2519">
        <v>16.401550520575</v>
      </c>
      <c r="AI2519">
        <v>93.864947914922297</v>
      </c>
      <c r="AJ2519">
        <v>92.493450452151293</v>
      </c>
      <c r="AK2519">
        <v>16.454516677128801</v>
      </c>
      <c r="AL2519">
        <v>82.116060063808504</v>
      </c>
      <c r="AM2519">
        <v>87.173867040871698</v>
      </c>
      <c r="AN2519">
        <v>1.00000000104477</v>
      </c>
    </row>
    <row r="2520" spans="1:40" x14ac:dyDescent="0.25">
      <c r="A2520" t="str">
        <f>"20190312164314492"</f>
        <v>20190312164314492</v>
      </c>
      <c r="B2520" t="str">
        <f>"1552380194487171"</f>
        <v>1552380194487171</v>
      </c>
      <c r="C2520" t="s">
        <v>40</v>
      </c>
      <c r="D2520">
        <v>4.7718949999999998</v>
      </c>
      <c r="E2520">
        <v>0.46842349999999999</v>
      </c>
      <c r="F2520" t="s">
        <v>46</v>
      </c>
      <c r="G2520">
        <v>-397.4708</v>
      </c>
      <c r="H2520" s="1">
        <v>2.438797E-6</v>
      </c>
      <c r="I2520">
        <v>213.9495</v>
      </c>
      <c r="J2520">
        <v>-413.86489999999998</v>
      </c>
      <c r="K2520">
        <v>1.1091329999999999</v>
      </c>
      <c r="L2520">
        <v>213.15649999999999</v>
      </c>
      <c r="M2520">
        <v>0.99996379999999996</v>
      </c>
      <c r="N2520">
        <v>0</v>
      </c>
      <c r="O2520">
        <v>3.7743910000000002E-3</v>
      </c>
      <c r="P2520">
        <v>0.99061200000000005</v>
      </c>
      <c r="Q2520">
        <v>0.1292413</v>
      </c>
      <c r="R2520">
        <v>-4.4551840000000002E-2</v>
      </c>
      <c r="S2520">
        <v>3.0617070000000002</v>
      </c>
      <c r="T2520">
        <v>-0.20211670000000001</v>
      </c>
      <c r="U2520">
        <v>0.14479059999999999</v>
      </c>
      <c r="V2520">
        <v>4.8342570000000001E-2</v>
      </c>
      <c r="W2520">
        <v>0.13677819999999999</v>
      </c>
      <c r="X2520">
        <v>0.98942140000000001</v>
      </c>
      <c r="Y2520">
        <v>-4.3381410000000002E-2</v>
      </c>
      <c r="Z2520">
        <v>1.1807899999999999E-3</v>
      </c>
      <c r="AA2520">
        <v>0.99905790000000005</v>
      </c>
      <c r="AB2520">
        <v>40</v>
      </c>
      <c r="AC2520">
        <v>16.394099999999899</v>
      </c>
      <c r="AD2520">
        <v>-1.109130561203</v>
      </c>
      <c r="AE2520">
        <v>0.79300000000000603</v>
      </c>
      <c r="AF2520">
        <v>-0.72779141188952001</v>
      </c>
      <c r="AG2520">
        <v>-1.109130561203</v>
      </c>
      <c r="AH2520">
        <v>16.322441381287199</v>
      </c>
      <c r="AI2520">
        <v>93.883498314008193</v>
      </c>
      <c r="AJ2520">
        <v>92.553035645324101</v>
      </c>
      <c r="AK2520">
        <v>16.376261587632602</v>
      </c>
      <c r="AL2520">
        <v>82.138542776798104</v>
      </c>
      <c r="AM2520">
        <v>87.202785082009299</v>
      </c>
      <c r="AN2520">
        <v>0.99999999342370205</v>
      </c>
    </row>
    <row r="2521" spans="1:40" x14ac:dyDescent="0.25">
      <c r="A2521" t="str">
        <f>"20190312164314535"</f>
        <v>20190312164314535</v>
      </c>
      <c r="B2521" t="str">
        <f>"1552380194527187"</f>
        <v>1552380194527187</v>
      </c>
      <c r="C2521" t="s">
        <v>40</v>
      </c>
      <c r="D2521">
        <v>4.6530459999999998</v>
      </c>
      <c r="E2521">
        <v>0.45143539999999999</v>
      </c>
      <c r="F2521" t="s">
        <v>46</v>
      </c>
      <c r="G2521">
        <v>-397.30799999999999</v>
      </c>
      <c r="H2521" s="1">
        <v>2.3521919999999999E-6</v>
      </c>
      <c r="I2521">
        <v>213.96250000000001</v>
      </c>
      <c r="J2521">
        <v>-413.08409999999998</v>
      </c>
      <c r="K2521">
        <v>1.1091530000000001</v>
      </c>
      <c r="L2521">
        <v>213.1592</v>
      </c>
      <c r="M2521">
        <v>0.99996430000000003</v>
      </c>
      <c r="N2521">
        <v>0</v>
      </c>
      <c r="O2521">
        <v>3.595099E-3</v>
      </c>
      <c r="P2521">
        <v>0.9907629</v>
      </c>
      <c r="Q2521">
        <v>0.1279536</v>
      </c>
      <c r="R2521">
        <v>-4.4913170000000002E-2</v>
      </c>
      <c r="S2521">
        <v>3.06189</v>
      </c>
      <c r="T2521">
        <v>-0.20511409999999999</v>
      </c>
      <c r="U2521">
        <v>0.1490631</v>
      </c>
      <c r="V2521">
        <v>4.8513750000000001E-2</v>
      </c>
      <c r="W2521">
        <v>0.13553009999999999</v>
      </c>
      <c r="X2521">
        <v>0.98958469999999998</v>
      </c>
      <c r="Y2521">
        <v>-4.4942070000000001E-2</v>
      </c>
      <c r="Z2521">
        <v>1.262326E-3</v>
      </c>
      <c r="AA2521">
        <v>0.99898880000000001</v>
      </c>
      <c r="AB2521">
        <v>40</v>
      </c>
      <c r="AC2521">
        <v>15.7760999999999</v>
      </c>
      <c r="AD2521">
        <v>-1.109150647808</v>
      </c>
      <c r="AE2521">
        <v>0.80330000000000701</v>
      </c>
      <c r="AF2521">
        <v>-0.74291385660185405</v>
      </c>
      <c r="AG2521">
        <v>-1.109150647808</v>
      </c>
      <c r="AH2521">
        <v>15.7014759568212</v>
      </c>
      <c r="AI2521">
        <v>94.036155547366505</v>
      </c>
      <c r="AJ2521">
        <v>92.708924128881605</v>
      </c>
      <c r="AK2521">
        <v>15.758124361119201</v>
      </c>
      <c r="AL2521">
        <v>82.210725381346293</v>
      </c>
      <c r="AM2521">
        <v>87.193358502689605</v>
      </c>
      <c r="AN2521">
        <v>0.99999993520957897</v>
      </c>
    </row>
    <row r="2522" spans="1:40" x14ac:dyDescent="0.25">
      <c r="A2522" t="str">
        <f>"20190312164314557"</f>
        <v>20190312164314557</v>
      </c>
      <c r="B2522" t="str">
        <f>"1552380194547684"</f>
        <v>1552380194547684</v>
      </c>
      <c r="C2522" t="s">
        <v>40</v>
      </c>
      <c r="D2522">
        <v>4.6297030000000001</v>
      </c>
      <c r="E2522">
        <v>0.4496946</v>
      </c>
      <c r="F2522" t="s">
        <v>46</v>
      </c>
      <c r="G2522">
        <v>-393.6542</v>
      </c>
      <c r="H2522" s="1">
        <v>4.0778890000000001E-7</v>
      </c>
      <c r="I2522">
        <v>214.95249999999999</v>
      </c>
      <c r="J2522">
        <v>-412.69170000000003</v>
      </c>
      <c r="K2522">
        <v>1.1091690000000001</v>
      </c>
      <c r="L2522">
        <v>213.16059999999999</v>
      </c>
      <c r="M2522">
        <v>0.99996430000000003</v>
      </c>
      <c r="N2522">
        <v>0</v>
      </c>
      <c r="O2522">
        <v>3.5443810000000001E-3</v>
      </c>
      <c r="P2522">
        <v>0.99085780000000001</v>
      </c>
      <c r="Q2522">
        <v>0.1271639</v>
      </c>
      <c r="R2522">
        <v>-4.5060889999999999E-2</v>
      </c>
      <c r="S2522">
        <v>3.0634160000000001</v>
      </c>
      <c r="T2522">
        <v>-0.17487469999999999</v>
      </c>
      <c r="U2522">
        <v>0.28273009999999998</v>
      </c>
      <c r="V2522">
        <v>4.8604910000000001E-2</v>
      </c>
      <c r="W2522">
        <v>0.13475999999999999</v>
      </c>
      <c r="X2522">
        <v>0.9896855</v>
      </c>
      <c r="Y2522">
        <v>-8.823512E-2</v>
      </c>
      <c r="Z2522">
        <v>2.3093380000000002E-3</v>
      </c>
      <c r="AA2522">
        <v>0.99609700000000001</v>
      </c>
      <c r="AB2522">
        <v>40</v>
      </c>
      <c r="AC2522">
        <v>19.037500000000001</v>
      </c>
      <c r="AD2522">
        <v>-1.1091685922111001</v>
      </c>
      <c r="AE2522">
        <v>1.7918999999999901</v>
      </c>
      <c r="AF2522">
        <v>-1.7186279609352499</v>
      </c>
      <c r="AG2522">
        <v>-1.1091685922111001</v>
      </c>
      <c r="AH2522">
        <v>18.97987045923</v>
      </c>
      <c r="AI2522">
        <v>93.330919222219407</v>
      </c>
      <c r="AJ2522">
        <v>95.174024565475307</v>
      </c>
      <c r="AK2522">
        <v>19.089772646189498</v>
      </c>
      <c r="AL2522">
        <v>82.255258241163304</v>
      </c>
      <c r="AM2522">
        <v>87.188379060082497</v>
      </c>
      <c r="AN2522">
        <v>1.00000004189317</v>
      </c>
    </row>
    <row r="2523" spans="1:40" x14ac:dyDescent="0.25">
      <c r="A2523" t="str">
        <f>"20190312164314579"</f>
        <v>20190312164314579</v>
      </c>
      <c r="B2523" t="str">
        <f>"1552380194576963"</f>
        <v>1552380194576963</v>
      </c>
      <c r="C2523" t="s">
        <v>40</v>
      </c>
      <c r="D2523">
        <v>4.6153599999999999</v>
      </c>
      <c r="E2523">
        <v>0.45022509999999999</v>
      </c>
      <c r="F2523" t="s">
        <v>46</v>
      </c>
      <c r="G2523">
        <v>-394.8623</v>
      </c>
      <c r="H2523" s="1">
        <v>1.0506810000000001E-6</v>
      </c>
      <c r="I2523">
        <v>214.88929999999999</v>
      </c>
      <c r="J2523">
        <v>-412.2928</v>
      </c>
      <c r="K2523">
        <v>1.109186</v>
      </c>
      <c r="L2523">
        <v>213.16200000000001</v>
      </c>
      <c r="M2523">
        <v>0.99996410000000002</v>
      </c>
      <c r="N2523">
        <v>0</v>
      </c>
      <c r="O2523">
        <v>3.529042E-3</v>
      </c>
      <c r="P2523">
        <v>0.99085690000000004</v>
      </c>
      <c r="Q2523">
        <v>0.12704080000000001</v>
      </c>
      <c r="R2523">
        <v>-4.5424069999999997E-2</v>
      </c>
      <c r="S2523">
        <v>3.065674</v>
      </c>
      <c r="T2523">
        <v>-0.19071630000000001</v>
      </c>
      <c r="U2523">
        <v>0.29724119999999998</v>
      </c>
      <c r="V2523">
        <v>4.8945210000000003E-2</v>
      </c>
      <c r="W2523">
        <v>0.134657</v>
      </c>
      <c r="X2523">
        <v>0.98968270000000003</v>
      </c>
      <c r="Y2523">
        <v>-9.2821029999999999E-2</v>
      </c>
      <c r="Z2523">
        <v>2.658877E-3</v>
      </c>
      <c r="AA2523">
        <v>0.99567930000000004</v>
      </c>
      <c r="AB2523">
        <v>40</v>
      </c>
      <c r="AC2523">
        <v>17.430499999999899</v>
      </c>
      <c r="AD2523">
        <v>-1.109184949319</v>
      </c>
      <c r="AE2523">
        <v>1.7272999999999801</v>
      </c>
      <c r="AF2523">
        <v>-1.65912137680405</v>
      </c>
      <c r="AG2523">
        <v>-1.109184949319</v>
      </c>
      <c r="AH2523">
        <v>17.366846315738801</v>
      </c>
      <c r="AI2523">
        <v>93.637882256353905</v>
      </c>
      <c r="AJ2523">
        <v>95.4571237154248</v>
      </c>
      <c r="AK2523">
        <v>17.481142009298399</v>
      </c>
      <c r="AL2523">
        <v>82.261213617997996</v>
      </c>
      <c r="AM2523">
        <v>87.168717838573698</v>
      </c>
      <c r="AN2523">
        <v>0.99999999395511696</v>
      </c>
    </row>
    <row r="2524" spans="1:40" x14ac:dyDescent="0.25">
      <c r="A2524" t="str">
        <f>"20190312164314602"</f>
        <v>20190312164314602</v>
      </c>
      <c r="B2524" t="str">
        <f>"1552380194596484"</f>
        <v>1552380194596484</v>
      </c>
      <c r="C2524" t="s">
        <v>40</v>
      </c>
      <c r="D2524">
        <v>4.6494589999999896</v>
      </c>
      <c r="E2524">
        <v>0.45029839999999999</v>
      </c>
      <c r="F2524" t="s">
        <v>46</v>
      </c>
      <c r="G2524">
        <v>-394.92849999999999</v>
      </c>
      <c r="H2524" s="1">
        <v>1.0859179999999999E-6</v>
      </c>
      <c r="I2524">
        <v>214.8177</v>
      </c>
      <c r="J2524">
        <v>-411.9042</v>
      </c>
      <c r="K2524">
        <v>1.1092109999999999</v>
      </c>
      <c r="L2524">
        <v>213.1635</v>
      </c>
      <c r="M2524">
        <v>0.99996390000000002</v>
      </c>
      <c r="N2524">
        <v>0</v>
      </c>
      <c r="O2524">
        <v>3.561275E-3</v>
      </c>
      <c r="P2524">
        <v>0.99091620000000002</v>
      </c>
      <c r="Q2524">
        <v>0.12639729999999999</v>
      </c>
      <c r="R2524">
        <v>-4.5924569999999998E-2</v>
      </c>
      <c r="S2524">
        <v>3.0662539999999998</v>
      </c>
      <c r="T2524">
        <v>-0.1958647</v>
      </c>
      <c r="U2524">
        <v>0.29235840000000002</v>
      </c>
      <c r="V2524">
        <v>4.946772E-2</v>
      </c>
      <c r="W2524">
        <v>0.13403329999999999</v>
      </c>
      <c r="X2524">
        <v>0.98974139999999999</v>
      </c>
      <c r="Y2524">
        <v>-9.1193750000000004E-2</v>
      </c>
      <c r="Z2524">
        <v>2.6763490000000002E-3</v>
      </c>
      <c r="AA2524">
        <v>0.99582959999999998</v>
      </c>
      <c r="AB2524">
        <v>40</v>
      </c>
      <c r="AC2524">
        <v>16.9757</v>
      </c>
      <c r="AD2524">
        <v>-1.109209914082</v>
      </c>
      <c r="AE2524">
        <v>1.6541999999999999</v>
      </c>
      <c r="AF2524">
        <v>-1.5870206005779099</v>
      </c>
      <c r="AG2524">
        <v>-1.109209914082</v>
      </c>
      <c r="AH2524">
        <v>16.909966392548</v>
      </c>
      <c r="AI2524">
        <v>93.736569437821203</v>
      </c>
      <c r="AJ2524">
        <v>95.361572678405906</v>
      </c>
      <c r="AK2524">
        <v>17.020456645380001</v>
      </c>
      <c r="AL2524">
        <v>82.297276038886494</v>
      </c>
      <c r="AM2524">
        <v>87.138712146204298</v>
      </c>
      <c r="AN2524">
        <v>1.00000000985242</v>
      </c>
    </row>
    <row r="2525" spans="1:40" x14ac:dyDescent="0.25">
      <c r="A2525" t="str">
        <f>"20190312164314624"</f>
        <v>20190312164314624</v>
      </c>
      <c r="B2525" t="str">
        <f>"1552380194616979"</f>
        <v>1552380194616979</v>
      </c>
      <c r="C2525" t="s">
        <v>40</v>
      </c>
      <c r="D2525">
        <v>4.6463989999999997</v>
      </c>
      <c r="E2525">
        <v>0.45045010000000002</v>
      </c>
      <c r="F2525" t="s">
        <v>46</v>
      </c>
      <c r="G2525">
        <v>-393.85129999999998</v>
      </c>
      <c r="H2525" s="1">
        <v>5.1266759999999997E-7</v>
      </c>
      <c r="I2525">
        <v>214.86699999999999</v>
      </c>
      <c r="J2525">
        <v>-411.4873</v>
      </c>
      <c r="K2525">
        <v>1.1092489999999999</v>
      </c>
      <c r="L2525">
        <v>213.16499999999999</v>
      </c>
      <c r="M2525">
        <v>0.99996350000000001</v>
      </c>
      <c r="N2525">
        <v>0</v>
      </c>
      <c r="O2525">
        <v>3.6511099999999999E-3</v>
      </c>
      <c r="P2525">
        <v>0.99095789999999995</v>
      </c>
      <c r="Q2525">
        <v>0.12602189999999999</v>
      </c>
      <c r="R2525">
        <v>-4.6058809999999999E-2</v>
      </c>
      <c r="S2525">
        <v>3.0649410000000001</v>
      </c>
      <c r="T2525">
        <v>-0.1883166</v>
      </c>
      <c r="U2525">
        <v>0.2892151</v>
      </c>
      <c r="V2525">
        <v>4.9677989999999998E-2</v>
      </c>
      <c r="W2525">
        <v>0.1336803</v>
      </c>
      <c r="X2525">
        <v>0.98977859999999995</v>
      </c>
      <c r="Y2525">
        <v>-9.0147669999999999E-2</v>
      </c>
      <c r="Z2525">
        <v>2.5370879999999998E-3</v>
      </c>
      <c r="AA2525">
        <v>0.99592519999999995</v>
      </c>
      <c r="AB2525">
        <v>40</v>
      </c>
      <c r="AC2525">
        <v>17.635999999999999</v>
      </c>
      <c r="AD2525">
        <v>-1.1092484873324</v>
      </c>
      <c r="AE2525">
        <v>1.7020000000000199</v>
      </c>
      <c r="AF2525">
        <v>-1.6312022502752499</v>
      </c>
      <c r="AG2525">
        <v>-1.1092484873324</v>
      </c>
      <c r="AH2525">
        <v>17.5732184765466</v>
      </c>
      <c r="AI2525">
        <v>93.596386217010902</v>
      </c>
      <c r="AJ2525">
        <v>95.303181045503905</v>
      </c>
      <c r="AK2525">
        <v>17.683587323062898</v>
      </c>
      <c r="AL2525">
        <v>82.317685049495907</v>
      </c>
      <c r="AM2525">
        <v>87.126677965131293</v>
      </c>
      <c r="AN2525">
        <v>1.0000000011582399</v>
      </c>
    </row>
    <row r="2526" spans="1:40" x14ac:dyDescent="0.25">
      <c r="A2526" t="str">
        <f>"20190312164314646"</f>
        <v>20190312164314646</v>
      </c>
      <c r="B2526" t="str">
        <f>"1552380194637476"</f>
        <v>1552380194637476</v>
      </c>
      <c r="C2526" t="s">
        <v>40</v>
      </c>
      <c r="D2526">
        <v>4.7926609999999998</v>
      </c>
      <c r="E2526">
        <v>0.45052710000000001</v>
      </c>
      <c r="F2526" t="s">
        <v>46</v>
      </c>
      <c r="G2526">
        <v>-393.3032</v>
      </c>
      <c r="H2526" s="1">
        <v>2.2100300000000001E-7</v>
      </c>
      <c r="I2526">
        <v>214.86750000000001</v>
      </c>
      <c r="J2526">
        <v>-411.09100000000001</v>
      </c>
      <c r="K2526">
        <v>1.1092930000000001</v>
      </c>
      <c r="L2526">
        <v>213.16659999999999</v>
      </c>
      <c r="M2526">
        <v>0.99996289999999999</v>
      </c>
      <c r="N2526">
        <v>0</v>
      </c>
      <c r="O2526">
        <v>3.77509E-3</v>
      </c>
      <c r="P2526">
        <v>0.99089369999999999</v>
      </c>
      <c r="Q2526">
        <v>0.12639649999999999</v>
      </c>
      <c r="R2526">
        <v>-4.6406950000000002E-2</v>
      </c>
      <c r="S2526">
        <v>3.0644230000000001</v>
      </c>
      <c r="T2526">
        <v>-0.18693280000000001</v>
      </c>
      <c r="U2526">
        <v>0.28691100000000003</v>
      </c>
      <c r="V2526">
        <v>5.0136260000000002E-2</v>
      </c>
      <c r="W2526">
        <v>0.134075799999999</v>
      </c>
      <c r="X2526">
        <v>0.98970199999999997</v>
      </c>
      <c r="Y2526">
        <v>-8.9301759999999994E-2</v>
      </c>
      <c r="Z2526">
        <v>2.4857310000000001E-3</v>
      </c>
      <c r="AA2526">
        <v>0.99600149999999998</v>
      </c>
      <c r="AB2526">
        <v>40</v>
      </c>
      <c r="AC2526">
        <v>17.787800000000001</v>
      </c>
      <c r="AD2526">
        <v>-1.109292778997</v>
      </c>
      <c r="AE2526">
        <v>1.7009000000000101</v>
      </c>
      <c r="AF2526">
        <v>-1.62746331869613</v>
      </c>
      <c r="AG2526">
        <v>-1.109292778997</v>
      </c>
      <c r="AH2526">
        <v>17.7257819559042</v>
      </c>
      <c r="AI2526">
        <v>93.565983563533095</v>
      </c>
      <c r="AJ2526">
        <v>95.245809926743803</v>
      </c>
      <c r="AK2526">
        <v>17.834867907318301</v>
      </c>
      <c r="AL2526">
        <v>82.294818765045093</v>
      </c>
      <c r="AM2526">
        <v>87.0999930977665</v>
      </c>
      <c r="AN2526">
        <v>1.00000000675821</v>
      </c>
    </row>
    <row r="2527" spans="1:40" x14ac:dyDescent="0.25">
      <c r="A2527" t="str">
        <f>"20190312164314669"</f>
        <v>20190312164314669</v>
      </c>
      <c r="B2527" t="str">
        <f>"1552380194666755"</f>
        <v>1552380194666755</v>
      </c>
      <c r="C2527" t="s">
        <v>40</v>
      </c>
      <c r="D2527">
        <v>4.6150710000000004</v>
      </c>
      <c r="E2527">
        <v>0.4506096</v>
      </c>
      <c r="F2527" t="s">
        <v>46</v>
      </c>
      <c r="G2527">
        <v>-392.8048</v>
      </c>
      <c r="H2527" s="1">
        <v>-4.4201389999999998E-8</v>
      </c>
      <c r="I2527">
        <v>214.86660000000001</v>
      </c>
      <c r="J2527">
        <v>-410.68259999999998</v>
      </c>
      <c r="K2527">
        <v>1.1093309999999901</v>
      </c>
      <c r="L2527">
        <v>213.16829999999999</v>
      </c>
      <c r="M2527">
        <v>0.99996220000000002</v>
      </c>
      <c r="N2527">
        <v>0</v>
      </c>
      <c r="O2527">
        <v>3.9372000000000001E-3</v>
      </c>
      <c r="P2527">
        <v>0.99083410000000005</v>
      </c>
      <c r="Q2527">
        <v>0.12703229999999999</v>
      </c>
      <c r="R2527">
        <v>-4.5943680000000001E-2</v>
      </c>
      <c r="S2527">
        <v>3.0646360000000001</v>
      </c>
      <c r="T2527">
        <v>-0.1859094</v>
      </c>
      <c r="U2527">
        <v>0.284912099999999</v>
      </c>
      <c r="V2527">
        <v>4.982089E-2</v>
      </c>
      <c r="W2527">
        <v>0.13473209999999999</v>
      </c>
      <c r="X2527">
        <v>0.98962879999999998</v>
      </c>
      <c r="Y2527">
        <v>-8.8493269999999999E-2</v>
      </c>
      <c r="Z2527">
        <v>2.4377999999999999E-3</v>
      </c>
      <c r="AA2527">
        <v>0.99607380000000001</v>
      </c>
      <c r="AB2527">
        <v>40</v>
      </c>
      <c r="AC2527">
        <v>17.877799999999901</v>
      </c>
      <c r="AD2527">
        <v>-1.1093310442013899</v>
      </c>
      <c r="AE2527">
        <v>1.6983000000000099</v>
      </c>
      <c r="AF2527">
        <v>-1.6217080324425599</v>
      </c>
      <c r="AG2527">
        <v>-1.1093310442013899</v>
      </c>
      <c r="AH2527">
        <v>17.8163633858669</v>
      </c>
      <c r="AI2527">
        <v>93.548275416379099</v>
      </c>
      <c r="AJ2527">
        <v>95.200931160267203</v>
      </c>
      <c r="AK2527">
        <v>17.9243788345754</v>
      </c>
      <c r="AL2527">
        <v>82.256871263974404</v>
      </c>
      <c r="AM2527">
        <v>87.117991243423006</v>
      </c>
      <c r="AN2527">
        <v>1.0000000108201199</v>
      </c>
    </row>
    <row r="2528" spans="1:40" x14ac:dyDescent="0.25">
      <c r="A2528" t="str">
        <f>"20190312164314694"</f>
        <v>20190312164314694</v>
      </c>
      <c r="B2528" t="str">
        <f>"1552380194686857"</f>
        <v>1552380194686857</v>
      </c>
      <c r="C2528" t="s">
        <v>40</v>
      </c>
      <c r="D2528">
        <v>4.6773999999999996</v>
      </c>
      <c r="E2528">
        <v>0.45040010000000003</v>
      </c>
      <c r="F2528" t="s">
        <v>46</v>
      </c>
      <c r="G2528">
        <v>-392.10059999999999</v>
      </c>
      <c r="H2528" s="1">
        <v>-4.189829E-7</v>
      </c>
      <c r="I2528">
        <v>214.89689999999999</v>
      </c>
      <c r="J2528">
        <v>-410.2242</v>
      </c>
      <c r="K2528">
        <v>1.109369</v>
      </c>
      <c r="L2528">
        <v>213.17019999999999</v>
      </c>
      <c r="M2528">
        <v>0.99996110000000005</v>
      </c>
      <c r="N2528">
        <v>0</v>
      </c>
      <c r="O2528">
        <v>4.1519770000000003E-3</v>
      </c>
      <c r="P2528">
        <v>0.99087479999999994</v>
      </c>
      <c r="Q2528">
        <v>0.1270743</v>
      </c>
      <c r="R2528">
        <v>-4.4937089999999999E-2</v>
      </c>
      <c r="S2528">
        <v>3.0643919999999998</v>
      </c>
      <c r="T2528">
        <v>-0.18294179999999999</v>
      </c>
      <c r="U2528">
        <v>0.28508</v>
      </c>
      <c r="V2528">
        <v>4.9015370000000003E-2</v>
      </c>
      <c r="W2528">
        <v>0.13479730000000001</v>
      </c>
      <c r="X2528">
        <v>0.98966010000000004</v>
      </c>
      <c r="Y2528">
        <v>-8.8346240000000006E-2</v>
      </c>
      <c r="Z2528">
        <v>2.381981E-3</v>
      </c>
      <c r="AA2528">
        <v>0.99608699999999994</v>
      </c>
      <c r="AB2528">
        <v>40</v>
      </c>
      <c r="AC2528">
        <v>18.1236</v>
      </c>
      <c r="AD2528">
        <v>-1.1093694189829</v>
      </c>
      <c r="AE2528">
        <v>1.7266999999999899</v>
      </c>
      <c r="AF2528">
        <v>-1.64532477670487</v>
      </c>
      <c r="AG2528">
        <v>-1.1093694189829</v>
      </c>
      <c r="AH2528">
        <v>18.063541094572098</v>
      </c>
      <c r="AI2528">
        <v>93.499944339157395</v>
      </c>
      <c r="AJ2528">
        <v>95.204447432844404</v>
      </c>
      <c r="AK2528">
        <v>18.172212606171701</v>
      </c>
      <c r="AL2528">
        <v>82.253100838253005</v>
      </c>
      <c r="AM2528">
        <v>87.164601342124698</v>
      </c>
      <c r="AN2528">
        <v>0.99999996605776797</v>
      </c>
    </row>
    <row r="2529" spans="1:40" x14ac:dyDescent="0.25">
      <c r="A2529" t="str">
        <f>"20190312164314737"</f>
        <v>20190312164314737</v>
      </c>
      <c r="B2529" t="str">
        <f>"1552380194726872"</f>
        <v>1552380194726872</v>
      </c>
      <c r="C2529" t="s">
        <v>40</v>
      </c>
      <c r="D2529">
        <v>4.7082199999999998</v>
      </c>
      <c r="E2529">
        <v>0.45007760000000002</v>
      </c>
      <c r="F2529" t="s">
        <v>46</v>
      </c>
      <c r="G2529">
        <v>-391.82639999999998</v>
      </c>
      <c r="H2529" s="1">
        <v>-5.6486949999999999E-7</v>
      </c>
      <c r="I2529">
        <v>214.90729999999999</v>
      </c>
      <c r="J2529">
        <v>-409.44330000000002</v>
      </c>
      <c r="K2529">
        <v>1.109421</v>
      </c>
      <c r="L2529">
        <v>213.1739</v>
      </c>
      <c r="M2529">
        <v>0.99995900000000004</v>
      </c>
      <c r="N2529">
        <v>0</v>
      </c>
      <c r="O2529">
        <v>4.5718219999999997E-3</v>
      </c>
      <c r="P2529">
        <v>0.99089510000000003</v>
      </c>
      <c r="Q2529">
        <v>0.1274228</v>
      </c>
      <c r="R2529">
        <v>-4.3480240000000003E-2</v>
      </c>
      <c r="S2529">
        <v>3.0644840000000002</v>
      </c>
      <c r="T2529">
        <v>-0.18478559999999999</v>
      </c>
      <c r="U2529">
        <v>0.28933720000000002</v>
      </c>
      <c r="V2529">
        <v>4.7959559999999998E-2</v>
      </c>
      <c r="W2529">
        <v>0.13518150000000001</v>
      </c>
      <c r="X2529">
        <v>0.98965950000000003</v>
      </c>
      <c r="Y2529">
        <v>-8.9293049999999999E-2</v>
      </c>
      <c r="Z2529">
        <v>2.4089409999999999E-3</v>
      </c>
      <c r="AA2529">
        <v>0.99600250000000001</v>
      </c>
      <c r="AB2529">
        <v>41</v>
      </c>
      <c r="AC2529">
        <v>17.616900000000001</v>
      </c>
      <c r="AD2529">
        <v>-1.1094215648695001</v>
      </c>
      <c r="AE2529">
        <v>1.7333999999999801</v>
      </c>
      <c r="AF2529">
        <v>-1.6463714665772999</v>
      </c>
      <c r="AG2529">
        <v>-1.1094215648695001</v>
      </c>
      <c r="AH2529">
        <v>17.555685614071301</v>
      </c>
      <c r="AI2529">
        <v>93.6002109325498</v>
      </c>
      <c r="AJ2529">
        <v>95.357526573121106</v>
      </c>
      <c r="AK2529">
        <v>17.667581967962398</v>
      </c>
      <c r="AL2529">
        <v>82.230885044056805</v>
      </c>
      <c r="AM2529">
        <v>87.2255787700512</v>
      </c>
      <c r="AN2529">
        <v>1.0000000416389401</v>
      </c>
    </row>
    <row r="2530" spans="1:40" x14ac:dyDescent="0.25">
      <c r="A2530" t="str">
        <f>"20190312164314759"</f>
        <v>20190312164314759</v>
      </c>
      <c r="B2530" t="str">
        <f>"1552380194747368"</f>
        <v>1552380194747368</v>
      </c>
      <c r="C2530" t="s">
        <v>40</v>
      </c>
      <c r="D2530">
        <v>4.6999230000000001</v>
      </c>
      <c r="E2530">
        <v>0.44974510000000001</v>
      </c>
      <c r="F2530" t="s">
        <v>46</v>
      </c>
      <c r="G2530">
        <v>-391.56229999999999</v>
      </c>
      <c r="H2530" s="1">
        <v>-7.0539889999999998E-7</v>
      </c>
      <c r="I2530">
        <v>214.9093</v>
      </c>
      <c r="J2530">
        <v>-409.05689999999998</v>
      </c>
      <c r="K2530">
        <v>1.1094409999999999</v>
      </c>
      <c r="L2530">
        <v>213.17580000000001</v>
      </c>
      <c r="M2530">
        <v>0.99995789999999996</v>
      </c>
      <c r="N2530">
        <v>0</v>
      </c>
      <c r="O2530">
        <v>4.7935790000000001E-3</v>
      </c>
      <c r="P2530">
        <v>0.99091209999999996</v>
      </c>
      <c r="Q2530">
        <v>0.12756500000000001</v>
      </c>
      <c r="R2530">
        <v>-4.2670939999999997E-2</v>
      </c>
      <c r="S2530">
        <v>3.0650629999999999</v>
      </c>
      <c r="T2530">
        <v>-0.19017100000000001</v>
      </c>
      <c r="U2530">
        <v>0.29748540000000001</v>
      </c>
      <c r="V2530">
        <v>4.7364509999999999E-2</v>
      </c>
      <c r="W2530">
        <v>0.13534070000000001</v>
      </c>
      <c r="X2530">
        <v>0.9896663</v>
      </c>
      <c r="Y2530">
        <v>-9.1665010000000005E-2</v>
      </c>
      <c r="Z2530">
        <v>2.5378660000000002E-3</v>
      </c>
      <c r="AA2530">
        <v>0.99578670000000002</v>
      </c>
      <c r="AB2530">
        <v>41</v>
      </c>
      <c r="AC2530">
        <v>17.494599999999899</v>
      </c>
      <c r="AD2530">
        <v>-1.1094417053989001</v>
      </c>
      <c r="AE2530">
        <v>1.73349999999999</v>
      </c>
      <c r="AF2530">
        <v>-1.6430722043613399</v>
      </c>
      <c r="AG2530">
        <v>-1.1094417053989001</v>
      </c>
      <c r="AH2530">
        <v>17.4332805696245</v>
      </c>
      <c r="AI2530">
        <v>93.625329602390806</v>
      </c>
      <c r="AJ2530">
        <v>95.384174815416102</v>
      </c>
      <c r="AK2530">
        <v>17.545649562945002</v>
      </c>
      <c r="AL2530">
        <v>82.221678185109695</v>
      </c>
      <c r="AM2530">
        <v>87.259967933688401</v>
      </c>
      <c r="AN2530">
        <v>0.999999943619858</v>
      </c>
    </row>
    <row r="2531" spans="1:40" x14ac:dyDescent="0.25">
      <c r="A2531" t="str">
        <f>"20190312164314780"</f>
        <v>20190312164314780</v>
      </c>
      <c r="B2531" t="str">
        <f>"1552380194776649"</f>
        <v>1552380194776649</v>
      </c>
      <c r="C2531" t="s">
        <v>40</v>
      </c>
      <c r="D2531">
        <v>4.7283850000000003</v>
      </c>
      <c r="E2531">
        <v>0.44934099999999999</v>
      </c>
      <c r="F2531" t="s">
        <v>46</v>
      </c>
      <c r="G2531">
        <v>-391.4348</v>
      </c>
      <c r="H2531" s="1">
        <v>-7.7324489999999999E-7</v>
      </c>
      <c r="I2531">
        <v>214.91849999999999</v>
      </c>
      <c r="J2531">
        <v>-408.65460000000002</v>
      </c>
      <c r="K2531">
        <v>1.109459</v>
      </c>
      <c r="L2531">
        <v>213.17789999999999</v>
      </c>
      <c r="M2531">
        <v>0.99995659999999997</v>
      </c>
      <c r="N2531">
        <v>0</v>
      </c>
      <c r="O2531">
        <v>5.0287259999999999E-3</v>
      </c>
      <c r="P2531">
        <v>0.99094369999999998</v>
      </c>
      <c r="Q2531">
        <v>0.12730619999999901</v>
      </c>
      <c r="R2531">
        <v>-4.2708410000000002E-2</v>
      </c>
      <c r="S2531">
        <v>3.0653380000000001</v>
      </c>
      <c r="T2531">
        <v>-0.19298589999999999</v>
      </c>
      <c r="U2531">
        <v>0.30314639999999998</v>
      </c>
      <c r="V2531">
        <v>4.7630539999999999E-2</v>
      </c>
      <c r="W2531">
        <v>0.13509969999999999</v>
      </c>
      <c r="X2531">
        <v>0.98968650000000002</v>
      </c>
      <c r="Y2531">
        <v>-9.3236189999999997E-2</v>
      </c>
      <c r="Z2531">
        <v>2.6094360000000001E-3</v>
      </c>
      <c r="AA2531">
        <v>0.99564059999999999</v>
      </c>
      <c r="AB2531">
        <v>41</v>
      </c>
      <c r="AC2531">
        <v>17.219799999999999</v>
      </c>
      <c r="AD2531">
        <v>-1.1094597732448901</v>
      </c>
      <c r="AE2531">
        <v>1.7405999999999999</v>
      </c>
      <c r="AF2531">
        <v>-1.64721302464626</v>
      </c>
      <c r="AG2531">
        <v>-1.1094597732448901</v>
      </c>
      <c r="AH2531">
        <v>17.157831414148902</v>
      </c>
      <c r="AI2531">
        <v>93.682823452589801</v>
      </c>
      <c r="AJ2531">
        <v>95.483792974971905</v>
      </c>
      <c r="AK2531">
        <v>17.2723880969994</v>
      </c>
      <c r="AL2531">
        <v>82.235614771508494</v>
      </c>
      <c r="AM2531">
        <v>87.244657928946097</v>
      </c>
      <c r="AN2531">
        <v>0.99999998278151503</v>
      </c>
    </row>
    <row r="2532" spans="1:40" x14ac:dyDescent="0.25">
      <c r="A2532" t="str">
        <f>"20190312164314803"</f>
        <v>20190312164314803</v>
      </c>
      <c r="B2532" t="str">
        <f>"1552380194797144"</f>
        <v>1552380194797144</v>
      </c>
      <c r="C2532" t="s">
        <v>40</v>
      </c>
      <c r="D2532">
        <v>4.7531749999999997</v>
      </c>
      <c r="E2532">
        <v>0.44915670000000002</v>
      </c>
      <c r="F2532" t="s">
        <v>46</v>
      </c>
      <c r="G2532">
        <v>-391.48259999999999</v>
      </c>
      <c r="H2532" s="1">
        <v>-7.4780639999999999E-7</v>
      </c>
      <c r="I2532">
        <v>214.89070000000001</v>
      </c>
      <c r="J2532">
        <v>-408.23430000000002</v>
      </c>
      <c r="K2532">
        <v>1.1094660000000001</v>
      </c>
      <c r="L2532">
        <v>213.18020000000001</v>
      </c>
      <c r="M2532">
        <v>0.99995520000000004</v>
      </c>
      <c r="N2532">
        <v>0</v>
      </c>
      <c r="O2532">
        <v>5.2761359999999998E-3</v>
      </c>
      <c r="P2532">
        <v>0.9909616</v>
      </c>
      <c r="Q2532">
        <v>0.12707950000000001</v>
      </c>
      <c r="R2532">
        <v>-4.2965429999999999E-2</v>
      </c>
      <c r="S2532">
        <v>3.0660400000000001</v>
      </c>
      <c r="T2532">
        <v>-0.19809270000000001</v>
      </c>
      <c r="U2532">
        <v>0.3058167</v>
      </c>
      <c r="V2532">
        <v>4.8128709999999998E-2</v>
      </c>
      <c r="W2532">
        <v>0.13489089999999901</v>
      </c>
      <c r="X2532">
        <v>0.98969090000000004</v>
      </c>
      <c r="Y2532">
        <v>-9.3816330000000003E-2</v>
      </c>
      <c r="Z2532">
        <v>2.680371E-3</v>
      </c>
      <c r="AA2532">
        <v>0.99558590000000002</v>
      </c>
      <c r="AB2532">
        <v>41</v>
      </c>
      <c r="AC2532">
        <v>16.7517</v>
      </c>
      <c r="AD2532">
        <v>-1.1094667478064</v>
      </c>
      <c r="AE2532">
        <v>1.7104999999999899</v>
      </c>
      <c r="AF2532">
        <v>-1.6150778954877401</v>
      </c>
      <c r="AG2532">
        <v>-1.1094667478064</v>
      </c>
      <c r="AH2532">
        <v>16.6880463848799</v>
      </c>
      <c r="AI2532">
        <v>93.785944744634193</v>
      </c>
      <c r="AJ2532">
        <v>95.527899568494206</v>
      </c>
      <c r="AK2532">
        <v>16.802686845170999</v>
      </c>
      <c r="AL2532">
        <v>82.2476888063958</v>
      </c>
      <c r="AM2532">
        <v>87.215897146118706</v>
      </c>
      <c r="AN2532">
        <v>1.0000000025859399</v>
      </c>
    </row>
    <row r="2533" spans="1:40" x14ac:dyDescent="0.25">
      <c r="A2533" t="str">
        <f>"20190312164314825"</f>
        <v>20190312164314825</v>
      </c>
      <c r="B2533" t="str">
        <f>"1552380194816665"</f>
        <v>1552380194816665</v>
      </c>
      <c r="C2533" t="s">
        <v>40</v>
      </c>
      <c r="D2533">
        <v>5.013045</v>
      </c>
      <c r="E2533">
        <v>0.44916830000000002</v>
      </c>
      <c r="F2533" t="s">
        <v>46</v>
      </c>
      <c r="G2533">
        <v>-391.34050000000002</v>
      </c>
      <c r="H2533" s="1">
        <v>-8.234741E-7</v>
      </c>
      <c r="I2533">
        <v>214.8638</v>
      </c>
      <c r="J2533">
        <v>-407.82679999999999</v>
      </c>
      <c r="K2533">
        <v>1.1094790000000001</v>
      </c>
      <c r="L2533">
        <v>213.1825</v>
      </c>
      <c r="M2533">
        <v>0.99995369999999995</v>
      </c>
      <c r="N2533">
        <v>0</v>
      </c>
      <c r="O2533">
        <v>5.5159619999999897E-3</v>
      </c>
      <c r="P2533">
        <v>0.99094210000000005</v>
      </c>
      <c r="Q2533">
        <v>0.12708069999999999</v>
      </c>
      <c r="R2533">
        <v>-4.3412029999999997E-2</v>
      </c>
      <c r="S2533">
        <v>3.0664370000000001</v>
      </c>
      <c r="T2533">
        <v>-0.2013819</v>
      </c>
      <c r="U2533">
        <v>0.30560300000000001</v>
      </c>
      <c r="V2533">
        <v>4.8808940000000002E-2</v>
      </c>
      <c r="W2533">
        <v>0.1349088</v>
      </c>
      <c r="X2533">
        <v>0.98965510000000001</v>
      </c>
      <c r="Y2533">
        <v>-9.3491290000000005E-2</v>
      </c>
      <c r="Z2533">
        <v>2.6981150000000001E-3</v>
      </c>
      <c r="AA2533">
        <v>0.99561639999999996</v>
      </c>
      <c r="AB2533">
        <v>41</v>
      </c>
      <c r="AC2533">
        <v>16.4862999999999</v>
      </c>
      <c r="AD2533">
        <v>-1.1094798234740999</v>
      </c>
      <c r="AE2533">
        <v>1.68129999999999</v>
      </c>
      <c r="AF2533">
        <v>-1.58323727676451</v>
      </c>
      <c r="AG2533">
        <v>-1.1094798234740999</v>
      </c>
      <c r="AH2533">
        <v>16.421716722164302</v>
      </c>
      <c r="AI2533">
        <v>93.847343579320196</v>
      </c>
      <c r="AJ2533">
        <v>95.506933929510495</v>
      </c>
      <c r="AK2533">
        <v>16.535125214410801</v>
      </c>
      <c r="AL2533">
        <v>82.246653394731098</v>
      </c>
      <c r="AM2533">
        <v>87.176509120246294</v>
      </c>
      <c r="AN2533">
        <v>0.99999995694868504</v>
      </c>
    </row>
    <row r="2534" spans="1:40" x14ac:dyDescent="0.25">
      <c r="A2534" t="str">
        <f>"20190312164314847"</f>
        <v>20190312164314847</v>
      </c>
      <c r="B2534" t="str">
        <f>"1552380194837161"</f>
        <v>1552380194837161</v>
      </c>
      <c r="C2534" t="s">
        <v>40</v>
      </c>
      <c r="D2534">
        <v>4.8509929999999999</v>
      </c>
      <c r="E2534">
        <v>0.44941579999999898</v>
      </c>
      <c r="F2534" t="s">
        <v>46</v>
      </c>
      <c r="G2534">
        <v>-390.93430000000001</v>
      </c>
      <c r="H2534" s="1">
        <v>-1.039616E-6</v>
      </c>
      <c r="I2534">
        <v>214.85659999999999</v>
      </c>
      <c r="J2534">
        <v>-407.4248</v>
      </c>
      <c r="K2534">
        <v>1.1094869999999999</v>
      </c>
      <c r="L2534">
        <v>213.1849</v>
      </c>
      <c r="M2534">
        <v>0.99995239999999996</v>
      </c>
      <c r="N2534">
        <v>0</v>
      </c>
      <c r="O2534">
        <v>5.7521380000000004E-3</v>
      </c>
      <c r="P2534">
        <v>0.99091479999999998</v>
      </c>
      <c r="Q2534">
        <v>0.12721540000000001</v>
      </c>
      <c r="R2534">
        <v>-4.3639940000000002E-2</v>
      </c>
      <c r="S2534">
        <v>3.0665589999999998</v>
      </c>
      <c r="T2534">
        <v>-0.20140730000000001</v>
      </c>
      <c r="U2534">
        <v>0.30390929999999999</v>
      </c>
      <c r="V2534">
        <v>4.9267739999999997E-2</v>
      </c>
      <c r="W2534">
        <v>0.1350605</v>
      </c>
      <c r="X2534">
        <v>0.98961169999999998</v>
      </c>
      <c r="Y2534">
        <v>-9.2709819999999998E-2</v>
      </c>
      <c r="Z2534">
        <v>2.6573920000000002E-3</v>
      </c>
      <c r="AA2534">
        <v>0.99568959999999995</v>
      </c>
      <c r="AB2534">
        <v>41</v>
      </c>
      <c r="AC2534">
        <v>16.490499999999901</v>
      </c>
      <c r="AD2534">
        <v>-1.1094880396160001</v>
      </c>
      <c r="AE2534">
        <v>1.67169999999998</v>
      </c>
      <c r="AF2534">
        <v>-1.5697801890691701</v>
      </c>
      <c r="AG2534">
        <v>-1.1094880396160001</v>
      </c>
      <c r="AH2534">
        <v>16.426243696877201</v>
      </c>
      <c r="AI2534">
        <v>93.846623363082301</v>
      </c>
      <c r="AJ2534">
        <v>95.458914824363802</v>
      </c>
      <c r="AK2534">
        <v>16.5383389595582</v>
      </c>
      <c r="AL2534">
        <v>82.237881542083599</v>
      </c>
      <c r="AM2534">
        <v>87.149887311180194</v>
      </c>
      <c r="AN2534">
        <v>0.99999998282092295</v>
      </c>
    </row>
    <row r="2535" spans="1:40" x14ac:dyDescent="0.25">
      <c r="A2535" t="str">
        <f>"20190312164314870"</f>
        <v>20190312164314870</v>
      </c>
      <c r="B2535" t="str">
        <f>"1552380194867417"</f>
        <v>1552380194867417</v>
      </c>
      <c r="C2535" t="s">
        <v>40</v>
      </c>
      <c r="D2535">
        <v>4.8476929999999996</v>
      </c>
      <c r="E2535">
        <v>0.48237259999999998</v>
      </c>
      <c r="F2535" t="s">
        <v>46</v>
      </c>
      <c r="G2535">
        <v>-390.52050000000003</v>
      </c>
      <c r="H2535" s="1">
        <v>-1.259792E-6</v>
      </c>
      <c r="I2535">
        <v>214.8441</v>
      </c>
      <c r="J2535">
        <v>-407.00639999999999</v>
      </c>
      <c r="K2535">
        <v>1.1094889999999999</v>
      </c>
      <c r="L2535">
        <v>213.1875</v>
      </c>
      <c r="M2535">
        <v>0.99995080000000003</v>
      </c>
      <c r="N2535">
        <v>0</v>
      </c>
      <c r="O2535">
        <v>5.9967609999999998E-3</v>
      </c>
      <c r="P2535">
        <v>0.99091839999999998</v>
      </c>
      <c r="Q2535">
        <v>0.1271708</v>
      </c>
      <c r="R2535">
        <v>-4.3688600000000001E-2</v>
      </c>
      <c r="S2535">
        <v>3.066589</v>
      </c>
      <c r="T2535">
        <v>-0.2012709</v>
      </c>
      <c r="U2535">
        <v>0.30099490000000001</v>
      </c>
      <c r="V2535">
        <v>4.9556089999999997E-2</v>
      </c>
      <c r="W2535">
        <v>0.13503309999999999</v>
      </c>
      <c r="X2535">
        <v>0.98960110000000001</v>
      </c>
      <c r="Y2535">
        <v>-9.1531280000000007E-2</v>
      </c>
      <c r="Z2535">
        <v>2.6011540000000001E-3</v>
      </c>
      <c r="AA2535">
        <v>0.99579879999999998</v>
      </c>
      <c r="AB2535">
        <v>41</v>
      </c>
      <c r="AC2535">
        <v>16.485899999999901</v>
      </c>
      <c r="AD2535">
        <v>-1.109490259792</v>
      </c>
      <c r="AE2535">
        <v>1.6565999999999901</v>
      </c>
      <c r="AF2535">
        <v>-1.5507516673866499</v>
      </c>
      <c r="AG2535">
        <v>-1.109490259792</v>
      </c>
      <c r="AH2535">
        <v>16.421903502127201</v>
      </c>
      <c r="AI2535">
        <v>93.848054011899407</v>
      </c>
      <c r="AJ2535">
        <v>95.394552586274202</v>
      </c>
      <c r="AK2535">
        <v>16.532232577714701</v>
      </c>
      <c r="AL2535">
        <v>82.239466412424704</v>
      </c>
      <c r="AM2535">
        <v>87.133203505646406</v>
      </c>
      <c r="AN2535">
        <v>1.00000004063645</v>
      </c>
    </row>
    <row r="2536" spans="1:40" x14ac:dyDescent="0.25">
      <c r="A2536" t="str">
        <f>"20190312164314893"</f>
        <v>20190312164314893</v>
      </c>
      <c r="B2536" t="str">
        <f>"1552380194886570"</f>
        <v>1552380194886570</v>
      </c>
      <c r="C2536" t="s">
        <v>40</v>
      </c>
      <c r="D2536">
        <v>5.0901019999999999</v>
      </c>
      <c r="E2536">
        <v>0.48517900000000003</v>
      </c>
      <c r="F2536" t="s">
        <v>46</v>
      </c>
      <c r="G2536">
        <v>-389.08370000000002</v>
      </c>
      <c r="H2536" s="1">
        <v>3.3500129999999998E-6</v>
      </c>
      <c r="I2536">
        <v>213.40559999999999</v>
      </c>
      <c r="J2536">
        <v>-406.58980000000003</v>
      </c>
      <c r="K2536">
        <v>1.1094930000000001</v>
      </c>
      <c r="L2536">
        <v>213.1902</v>
      </c>
      <c r="M2536">
        <v>0.99994910000000004</v>
      </c>
      <c r="N2536">
        <v>0</v>
      </c>
      <c r="O2536">
        <v>6.2335380000000003E-3</v>
      </c>
      <c r="P2536">
        <v>0.99092769999999997</v>
      </c>
      <c r="Q2536">
        <v>0.12712370000000001</v>
      </c>
      <c r="R2536">
        <v>-4.3609599999999998E-2</v>
      </c>
      <c r="S2536">
        <v>3.0534059999999998</v>
      </c>
      <c r="T2536">
        <v>-0.18901780000000001</v>
      </c>
      <c r="U2536">
        <v>3.7155149999999998E-2</v>
      </c>
      <c r="V2536">
        <v>4.971072E-2</v>
      </c>
      <c r="W2536">
        <v>0.13500239999999999</v>
      </c>
      <c r="X2536">
        <v>0.98959750000000002</v>
      </c>
      <c r="Y2536">
        <v>-5.9345919999999998E-3</v>
      </c>
      <c r="Z2536">
        <v>-2.0199899999999999E-4</v>
      </c>
      <c r="AA2536">
        <v>0.99998240000000005</v>
      </c>
      <c r="AB2536">
        <v>41</v>
      </c>
      <c r="AC2536">
        <v>17.5061</v>
      </c>
      <c r="AD2536">
        <v>-1.1094896499869999</v>
      </c>
      <c r="AE2536">
        <v>0.21539999999998799</v>
      </c>
      <c r="AF2536">
        <v>-0.105842369835996</v>
      </c>
      <c r="AG2536">
        <v>-1.1094896499869999</v>
      </c>
      <c r="AH2536">
        <v>17.437073984812301</v>
      </c>
      <c r="AI2536">
        <v>93.640652576781207</v>
      </c>
      <c r="AJ2536">
        <v>90.347778911379706</v>
      </c>
      <c r="AK2536">
        <v>17.472656324740601</v>
      </c>
      <c r="AL2536">
        <v>82.241241392330096</v>
      </c>
      <c r="AM2536">
        <v>87.124262780997498</v>
      </c>
      <c r="AN2536">
        <v>1.00000000784746</v>
      </c>
    </row>
    <row r="2537" spans="1:40" x14ac:dyDescent="0.25">
      <c r="A2537" t="str">
        <f>"20190312164314916"</f>
        <v>20190312164314916</v>
      </c>
      <c r="B2537" t="str">
        <f>"1552380194907066"</f>
        <v>1552380194907066</v>
      </c>
      <c r="C2537" t="s">
        <v>40</v>
      </c>
      <c r="D2537">
        <v>4.9349259999999999</v>
      </c>
      <c r="E2537">
        <v>0.4861993</v>
      </c>
      <c r="F2537" t="s">
        <v>46</v>
      </c>
      <c r="G2537">
        <v>-387.16109999999998</v>
      </c>
      <c r="H2537" s="1">
        <v>2.3324060000000001E-6</v>
      </c>
      <c r="I2537">
        <v>213.28020000000001</v>
      </c>
      <c r="J2537">
        <v>-406.16</v>
      </c>
      <c r="K2537">
        <v>1.1094930000000001</v>
      </c>
      <c r="L2537">
        <v>213.19300000000001</v>
      </c>
      <c r="M2537">
        <v>0.99994749999999999</v>
      </c>
      <c r="N2537">
        <v>0</v>
      </c>
      <c r="O2537">
        <v>6.4629809999999996E-3</v>
      </c>
      <c r="P2537">
        <v>0.9909481</v>
      </c>
      <c r="Q2537">
        <v>0.1270713</v>
      </c>
      <c r="R2537">
        <v>-4.3299839999999999E-2</v>
      </c>
      <c r="S2537">
        <v>3.050446</v>
      </c>
      <c r="T2537">
        <v>-0.17419849999999901</v>
      </c>
      <c r="U2537">
        <v>1.4129640000000001E-2</v>
      </c>
      <c r="V2537">
        <v>4.9629439999999997E-2</v>
      </c>
      <c r="W2537">
        <v>0.134966</v>
      </c>
      <c r="X2537">
        <v>0.9896066</v>
      </c>
      <c r="Y2537">
        <v>1.81778E-3</v>
      </c>
      <c r="Z2537">
        <v>-4.2064100000000003E-4</v>
      </c>
      <c r="AA2537">
        <v>0.99999830000000001</v>
      </c>
      <c r="AB2537">
        <v>41</v>
      </c>
      <c r="AC2537">
        <v>18.998899999999999</v>
      </c>
      <c r="AD2537">
        <v>-1.1094906675939999</v>
      </c>
      <c r="AE2537">
        <v>8.7200000000024105E-2</v>
      </c>
      <c r="AF2537">
        <v>3.5474258326465898E-2</v>
      </c>
      <c r="AG2537">
        <v>-1.1094906675939999</v>
      </c>
      <c r="AH2537">
        <v>18.9344961412271</v>
      </c>
      <c r="AI2537">
        <v>93.353477968910099</v>
      </c>
      <c r="AJ2537">
        <v>89.892655030786699</v>
      </c>
      <c r="AK2537">
        <v>18.967007462607899</v>
      </c>
      <c r="AL2537">
        <v>82.243346650062506</v>
      </c>
      <c r="AM2537">
        <v>87.128983266644099</v>
      </c>
      <c r="AN2537">
        <v>1.0000000626171299</v>
      </c>
    </row>
    <row r="2538" spans="1:40" x14ac:dyDescent="0.25">
      <c r="A2538" t="str">
        <f>"20190312164314940"</f>
        <v>20190312164314940</v>
      </c>
      <c r="B2538" t="str">
        <f>"1552380194926586"</f>
        <v>1552380194926586</v>
      </c>
      <c r="C2538" t="s">
        <v>40</v>
      </c>
      <c r="D2538">
        <v>5.0353709999999996</v>
      </c>
      <c r="E2538">
        <v>0.48685810000000002</v>
      </c>
      <c r="F2538" t="s">
        <v>46</v>
      </c>
      <c r="G2538">
        <v>-387.27100000000002</v>
      </c>
      <c r="H2538" s="1">
        <v>2.3928350000000001E-6</v>
      </c>
      <c r="I2538">
        <v>213.23509999999999</v>
      </c>
      <c r="J2538">
        <v>-405.7278</v>
      </c>
      <c r="K2538">
        <v>1.10948</v>
      </c>
      <c r="L2538">
        <v>213.196</v>
      </c>
      <c r="M2538">
        <v>0.99994609999999995</v>
      </c>
      <c r="N2538">
        <v>0</v>
      </c>
      <c r="O2538">
        <v>6.6708339999999996E-3</v>
      </c>
      <c r="P2538">
        <v>0.9909867</v>
      </c>
      <c r="Q2538">
        <v>0.12696959999999999</v>
      </c>
      <c r="R2538">
        <v>-4.2709999999999998E-2</v>
      </c>
      <c r="S2538">
        <v>3.0506289999999998</v>
      </c>
      <c r="T2538">
        <v>-0.17918529999999999</v>
      </c>
      <c r="U2538">
        <v>6.7901609999999899E-3</v>
      </c>
      <c r="V2538">
        <v>4.9249599999999998E-2</v>
      </c>
      <c r="W2538">
        <v>0.13488</v>
      </c>
      <c r="X2538">
        <v>0.98963730000000005</v>
      </c>
      <c r="Y2538">
        <v>4.4261359999999998E-3</v>
      </c>
      <c r="Z2538">
        <v>-5.2137479999999996E-4</v>
      </c>
      <c r="AA2538">
        <v>0.99999000000000005</v>
      </c>
      <c r="AB2538">
        <v>41</v>
      </c>
      <c r="AC2538">
        <v>18.456800000000001</v>
      </c>
      <c r="AD2538">
        <v>-1.1094776071650001</v>
      </c>
      <c r="AE2538">
        <v>3.9099999999990503E-2</v>
      </c>
      <c r="AF2538">
        <v>8.3724481418814695E-2</v>
      </c>
      <c r="AG2538">
        <v>-1.1094776071650001</v>
      </c>
      <c r="AH2538">
        <v>18.390198040636701</v>
      </c>
      <c r="AI2538">
        <v>93.452424643084996</v>
      </c>
      <c r="AJ2538">
        <v>89.739153092615993</v>
      </c>
      <c r="AK2538">
        <v>18.423825181634399</v>
      </c>
      <c r="AL2538">
        <v>82.248319550121806</v>
      </c>
      <c r="AM2538">
        <v>87.151008549653298</v>
      </c>
      <c r="AN2538">
        <v>1.0000000615257201</v>
      </c>
    </row>
    <row r="2539" spans="1:40" x14ac:dyDescent="0.25">
      <c r="A2539" t="str">
        <f>"20190312164314960"</f>
        <v>20190312164314960</v>
      </c>
      <c r="B2539" t="str">
        <f>"1552380194956842"</f>
        <v>1552380194956842</v>
      </c>
      <c r="C2539" t="s">
        <v>40</v>
      </c>
      <c r="D2539">
        <v>5.0038839999999896</v>
      </c>
      <c r="E2539">
        <v>0.48759980000000003</v>
      </c>
      <c r="F2539" t="s">
        <v>46</v>
      </c>
      <c r="G2539">
        <v>-386.5086</v>
      </c>
      <c r="H2539" s="1">
        <v>1.988066E-6</v>
      </c>
      <c r="I2539">
        <v>213.214</v>
      </c>
      <c r="J2539">
        <v>-405.33199999999999</v>
      </c>
      <c r="K2539">
        <v>1.1094630000000001</v>
      </c>
      <c r="L2539">
        <v>213.1987</v>
      </c>
      <c r="M2539">
        <v>0.99994499999999997</v>
      </c>
      <c r="N2539">
        <v>0</v>
      </c>
      <c r="O2539">
        <v>6.83513E-3</v>
      </c>
      <c r="P2539">
        <v>0.99100120000000003</v>
      </c>
      <c r="Q2539">
        <v>0.1270377</v>
      </c>
      <c r="R2539">
        <v>-4.2167940000000001E-2</v>
      </c>
      <c r="S2539">
        <v>3.049957</v>
      </c>
      <c r="T2539">
        <v>-0.17606649999999999</v>
      </c>
      <c r="U2539">
        <v>2.853394E-3</v>
      </c>
      <c r="V2539">
        <v>4.887582E-2</v>
      </c>
      <c r="W2539">
        <v>0.13496079999999999</v>
      </c>
      <c r="X2539">
        <v>0.98964479999999999</v>
      </c>
      <c r="Y2539">
        <v>5.8786469999999999E-3</v>
      </c>
      <c r="Z2539">
        <v>-5.6379559999999995E-4</v>
      </c>
      <c r="AA2539">
        <v>0.9999825</v>
      </c>
      <c r="AB2539">
        <v>41</v>
      </c>
      <c r="AC2539">
        <v>18.8233999999999</v>
      </c>
      <c r="AD2539">
        <v>-1.10946101193399</v>
      </c>
      <c r="AE2539">
        <v>1.53000000000247E-2</v>
      </c>
      <c r="AF2539">
        <v>0.112972350347204</v>
      </c>
      <c r="AG2539">
        <v>-1.10946101193399</v>
      </c>
      <c r="AH2539">
        <v>18.757900220313498</v>
      </c>
      <c r="AI2539">
        <v>93.384830573112893</v>
      </c>
      <c r="AJ2539">
        <v>89.654931493369602</v>
      </c>
      <c r="AK2539">
        <v>18.791021450793501</v>
      </c>
      <c r="AL2539">
        <v>82.243647215337603</v>
      </c>
      <c r="AM2539">
        <v>87.172617152534798</v>
      </c>
      <c r="AN2539">
        <v>1.0000000467421699</v>
      </c>
    </row>
    <row r="2540" spans="1:40" x14ac:dyDescent="0.25">
      <c r="A2540" t="str">
        <f>"20190312164314982"</f>
        <v>20190312164314982</v>
      </c>
      <c r="B2540" t="str">
        <f>"1552380194977339"</f>
        <v>1552380194977339</v>
      </c>
      <c r="C2540" t="s">
        <v>40</v>
      </c>
      <c r="D2540">
        <v>4.9998459999999998</v>
      </c>
      <c r="E2540">
        <v>0.48842619999999998</v>
      </c>
      <c r="F2540" t="s">
        <v>46</v>
      </c>
      <c r="G2540">
        <v>-385.87360000000001</v>
      </c>
      <c r="H2540" s="1">
        <v>1.6512899999999999E-6</v>
      </c>
      <c r="I2540">
        <v>213.18729999999999</v>
      </c>
      <c r="J2540">
        <v>-404.95319999999998</v>
      </c>
      <c r="K2540">
        <v>1.109442</v>
      </c>
      <c r="L2540">
        <v>213.20140000000001</v>
      </c>
      <c r="M2540">
        <v>0.9999439</v>
      </c>
      <c r="N2540">
        <v>0</v>
      </c>
      <c r="O2540">
        <v>6.9669149999999997E-3</v>
      </c>
      <c r="P2540">
        <v>0.99106170000000005</v>
      </c>
      <c r="Q2540">
        <v>0.1267789</v>
      </c>
      <c r="R2540">
        <v>-4.1519979999999998E-2</v>
      </c>
      <c r="S2540">
        <v>3.0495000000000001</v>
      </c>
      <c r="T2540">
        <v>-0.17387320000000001</v>
      </c>
      <c r="U2540">
        <v>-1.785278E-3</v>
      </c>
      <c r="V2540">
        <v>4.836555E-2</v>
      </c>
      <c r="W2540">
        <v>0.13471469999999999</v>
      </c>
      <c r="X2540">
        <v>0.98970340000000001</v>
      </c>
      <c r="Y2540">
        <v>7.52901099999999E-3</v>
      </c>
      <c r="Z2540">
        <v>-6.1138689999999999E-4</v>
      </c>
      <c r="AA2540">
        <v>0.99997139999999995</v>
      </c>
      <c r="AB2540">
        <v>41</v>
      </c>
      <c r="AC2540">
        <v>19.0795999999999</v>
      </c>
      <c r="AD2540">
        <v>-1.10944034871</v>
      </c>
      <c r="AE2540">
        <v>-1.41000000000133E-2</v>
      </c>
      <c r="AF2540">
        <v>0.14653438029164201</v>
      </c>
      <c r="AG2540">
        <v>-1.10944034871</v>
      </c>
      <c r="AH2540">
        <v>19.0147462802327</v>
      </c>
      <c r="AI2540">
        <v>93.339112807619898</v>
      </c>
      <c r="AJ2540">
        <v>89.5584671379019</v>
      </c>
      <c r="AK2540">
        <v>19.047648314518401</v>
      </c>
      <c r="AL2540">
        <v>82.257877675778303</v>
      </c>
      <c r="AM2540">
        <v>87.202253650799193</v>
      </c>
      <c r="AN2540">
        <v>1.00000004839722</v>
      </c>
    </row>
    <row r="2541" spans="1:40" x14ac:dyDescent="0.25">
      <c r="A2541" t="str">
        <f>"20190312164315005"</f>
        <v>20190312164315005</v>
      </c>
      <c r="B2541" t="str">
        <f>"1552380194996859"</f>
        <v>1552380194996859</v>
      </c>
      <c r="C2541" t="s">
        <v>40</v>
      </c>
      <c r="D2541">
        <v>4.831493</v>
      </c>
      <c r="E2541">
        <v>0.48879830000000002</v>
      </c>
      <c r="F2541" t="s">
        <v>41</v>
      </c>
      <c r="G2541">
        <v>-403.8501</v>
      </c>
      <c r="H2541">
        <v>1.0452840000000001</v>
      </c>
      <c r="I2541">
        <v>213.19890000000001</v>
      </c>
      <c r="J2541">
        <v>-404.5</v>
      </c>
      <c r="K2541">
        <v>1.109415</v>
      </c>
      <c r="L2541">
        <v>213.2047</v>
      </c>
      <c r="M2541">
        <v>0.99994289999999997</v>
      </c>
      <c r="N2541">
        <v>0</v>
      </c>
      <c r="O2541">
        <v>7.0897470000000004E-3</v>
      </c>
      <c r="P2541">
        <v>0.99109380000000002</v>
      </c>
      <c r="Q2541">
        <v>0.1266206</v>
      </c>
      <c r="R2541">
        <v>-4.123682E-2</v>
      </c>
      <c r="S2541">
        <v>3.0495000000000001</v>
      </c>
      <c r="T2541">
        <v>-0.1774683</v>
      </c>
      <c r="U2541">
        <v>-6.3018800000000002E-3</v>
      </c>
      <c r="V2541">
        <v>4.8213100000000002E-2</v>
      </c>
      <c r="W2541">
        <v>0.13457049999999901</v>
      </c>
      <c r="X2541">
        <v>0.98973040000000001</v>
      </c>
      <c r="Y2541">
        <v>9.1289920000000007E-3</v>
      </c>
      <c r="Z2541">
        <v>-6.7766639999999997E-4</v>
      </c>
      <c r="AA2541">
        <v>0.99995809999999996</v>
      </c>
      <c r="AB2541">
        <v>42</v>
      </c>
      <c r="AC2541">
        <v>0.64990000000000203</v>
      </c>
      <c r="AD2541">
        <v>-6.4130999999999896E-2</v>
      </c>
      <c r="AE2541">
        <v>-5.7999999999935803E-3</v>
      </c>
      <c r="AF2541">
        <v>1.03072700873942E-2</v>
      </c>
      <c r="AG2541">
        <v>-6.4130999999999896E-2</v>
      </c>
      <c r="AH2541">
        <v>0.64357628370153397</v>
      </c>
      <c r="AI2541">
        <v>95.689891228350703</v>
      </c>
      <c r="AJ2541">
        <v>89.082451289917998</v>
      </c>
      <c r="AK2541">
        <v>0.64684577599357596</v>
      </c>
      <c r="AL2541">
        <v>82.266215223969894</v>
      </c>
      <c r="AM2541">
        <v>87.211134268211595</v>
      </c>
      <c r="AN2541">
        <v>0.99999999358300995</v>
      </c>
    </row>
    <row r="2542" spans="1:40" x14ac:dyDescent="0.25">
      <c r="A2542" t="str">
        <f>"20190312164315027"</f>
        <v>20190312164315027</v>
      </c>
      <c r="B2542" t="str">
        <f>"1552380195017355"</f>
        <v>1552380195017355</v>
      </c>
      <c r="C2542" t="s">
        <v>40</v>
      </c>
      <c r="D2542">
        <v>5.0280480000000001</v>
      </c>
      <c r="E2542">
        <v>0.48882690000000001</v>
      </c>
      <c r="F2542" t="s">
        <v>46</v>
      </c>
      <c r="G2542">
        <v>-385.35489999999999</v>
      </c>
      <c r="H2542" s="1">
        <v>1.3767910000000001E-6</v>
      </c>
      <c r="I2542">
        <v>213.15270000000001</v>
      </c>
      <c r="J2542">
        <v>-404.10239999999999</v>
      </c>
      <c r="K2542">
        <v>1.1093949999999999</v>
      </c>
      <c r="L2542">
        <v>213.20760000000001</v>
      </c>
      <c r="M2542">
        <v>0.999942</v>
      </c>
      <c r="N2542">
        <v>0</v>
      </c>
      <c r="O2542">
        <v>7.1734650000000004E-3</v>
      </c>
      <c r="P2542">
        <v>0.99122500000000002</v>
      </c>
      <c r="Q2542">
        <v>0.12577650000000001</v>
      </c>
      <c r="R2542">
        <v>-4.0654580000000003E-2</v>
      </c>
      <c r="S2542">
        <v>3.049194</v>
      </c>
      <c r="T2542">
        <v>-0.17669319999999999</v>
      </c>
      <c r="U2542">
        <v>-8.285522E-3</v>
      </c>
      <c r="V2542">
        <v>4.7722189999999998E-2</v>
      </c>
      <c r="W2542">
        <v>0.13373979999999999</v>
      </c>
      <c r="X2542">
        <v>0.98986680000000005</v>
      </c>
      <c r="Y2542">
        <v>9.8622959999999996E-3</v>
      </c>
      <c r="Z2542">
        <v>-7.0085479999999897E-4</v>
      </c>
      <c r="AA2542">
        <v>0.99995109999999998</v>
      </c>
      <c r="AB2542">
        <v>42</v>
      </c>
      <c r="AC2542">
        <v>18.747499999999999</v>
      </c>
      <c r="AD2542">
        <v>-1.109393623209</v>
      </c>
      <c r="AE2542">
        <v>-5.4900000000003502E-2</v>
      </c>
      <c r="AF2542">
        <v>0.18872659545380499</v>
      </c>
      <c r="AG2542">
        <v>-1.109393623209</v>
      </c>
      <c r="AH2542">
        <v>18.681207489365999</v>
      </c>
      <c r="AI2542">
        <v>93.398376479127407</v>
      </c>
      <c r="AJ2542">
        <v>89.421190008029299</v>
      </c>
      <c r="AK2542">
        <v>18.7150710711927</v>
      </c>
      <c r="AL2542">
        <v>82.314245142215896</v>
      </c>
      <c r="AM2542">
        <v>87.239866393489507</v>
      </c>
      <c r="AN2542">
        <v>1.00000001163233</v>
      </c>
    </row>
    <row r="2543" spans="1:40" x14ac:dyDescent="0.25">
      <c r="A2543" t="str">
        <f>"20190312164315049"</f>
        <v>20190312164315049</v>
      </c>
      <c r="B2543" t="str">
        <f>"1552380195036874"</f>
        <v>1552380195036874</v>
      </c>
      <c r="C2543" t="s">
        <v>40</v>
      </c>
      <c r="D2543">
        <v>4.9905239999999997</v>
      </c>
      <c r="E2543">
        <v>0.48916290000000001</v>
      </c>
      <c r="F2543" t="s">
        <v>46</v>
      </c>
      <c r="G2543">
        <v>-385.2473</v>
      </c>
      <c r="H2543" s="1">
        <v>1.3189110000000001E-6</v>
      </c>
      <c r="I2543">
        <v>213.16630000000001</v>
      </c>
      <c r="J2543">
        <v>-403.6909</v>
      </c>
      <c r="K2543">
        <v>1.10937</v>
      </c>
      <c r="L2543">
        <v>213.2106</v>
      </c>
      <c r="M2543">
        <v>0.99994150000000004</v>
      </c>
      <c r="N2543">
        <v>0</v>
      </c>
      <c r="O2543">
        <v>7.237042E-3</v>
      </c>
      <c r="P2543">
        <v>0.99128859999999996</v>
      </c>
      <c r="Q2543">
        <v>0.12543850000000001</v>
      </c>
      <c r="R2543">
        <v>-4.0153750000000002E-2</v>
      </c>
      <c r="S2543">
        <v>3.0490110000000001</v>
      </c>
      <c r="T2543">
        <v>-0.17939669999999999</v>
      </c>
      <c r="U2543">
        <v>-6.6680910000000001E-3</v>
      </c>
      <c r="V2543">
        <v>4.72915E-2</v>
      </c>
      <c r="W2543">
        <v>0.13341520000000001</v>
      </c>
      <c r="X2543">
        <v>0.98993129999999996</v>
      </c>
      <c r="Y2543">
        <v>9.3954009999999994E-3</v>
      </c>
      <c r="Z2543">
        <v>-7.0161679999999904E-4</v>
      </c>
      <c r="AA2543">
        <v>0.99995560000000006</v>
      </c>
      <c r="AB2543">
        <v>42</v>
      </c>
      <c r="AC2543">
        <v>18.4436</v>
      </c>
      <c r="AD2543">
        <v>-1.109368681089</v>
      </c>
      <c r="AE2543">
        <v>-4.4299999999992602E-2</v>
      </c>
      <c r="AF2543">
        <v>0.17713938603988799</v>
      </c>
      <c r="AG2543">
        <v>-1.109368681089</v>
      </c>
      <c r="AH2543">
        <v>18.3763124940462</v>
      </c>
      <c r="AI2543">
        <v>93.454564275943198</v>
      </c>
      <c r="AJ2543">
        <v>89.447711565395096</v>
      </c>
      <c r="AK2543">
        <v>18.410620253307801</v>
      </c>
      <c r="AL2543">
        <v>82.333011749419697</v>
      </c>
      <c r="AM2543">
        <v>87.264916385590993</v>
      </c>
      <c r="AN2543">
        <v>1.0000000401414799</v>
      </c>
    </row>
    <row r="2544" spans="1:40" x14ac:dyDescent="0.25">
      <c r="A2544" t="str">
        <f>"20190312164315071"</f>
        <v>20190312164315071</v>
      </c>
      <c r="B2544" t="str">
        <f>"1552380195067130"</f>
        <v>1552380195067130</v>
      </c>
      <c r="C2544" t="s">
        <v>40</v>
      </c>
      <c r="D2544">
        <v>4.806578</v>
      </c>
      <c r="E2544">
        <v>0.48928280000000002</v>
      </c>
      <c r="F2544" t="s">
        <v>46</v>
      </c>
      <c r="G2544">
        <v>-385.17149999999998</v>
      </c>
      <c r="H2544" s="1">
        <v>1.278825E-6</v>
      </c>
      <c r="I2544">
        <v>213.16159999999999</v>
      </c>
      <c r="J2544">
        <v>-403.2842</v>
      </c>
      <c r="K2544">
        <v>1.109351</v>
      </c>
      <c r="L2544">
        <v>213.21350000000001</v>
      </c>
      <c r="M2544">
        <v>0.99994110000000003</v>
      </c>
      <c r="N2544">
        <v>0</v>
      </c>
      <c r="O2544">
        <v>7.2806719999999898E-3</v>
      </c>
      <c r="P2544">
        <v>0.99133070000000001</v>
      </c>
      <c r="Q2544">
        <v>0.12523570000000001</v>
      </c>
      <c r="R2544">
        <v>-3.9749399999999997E-2</v>
      </c>
      <c r="S2544">
        <v>3.0491329999999999</v>
      </c>
      <c r="T2544">
        <v>-0.18265210000000001</v>
      </c>
      <c r="U2544">
        <v>-8.0566409999999998E-3</v>
      </c>
      <c r="V2544">
        <v>4.6936739999999998E-2</v>
      </c>
      <c r="W2544">
        <v>0.13322609999999999</v>
      </c>
      <c r="X2544">
        <v>0.98997360000000001</v>
      </c>
      <c r="Y2544">
        <v>9.8922909999999992E-3</v>
      </c>
      <c r="Z2544">
        <v>-7.3177769999999999E-4</v>
      </c>
      <c r="AA2544">
        <v>0.99995080000000003</v>
      </c>
      <c r="AB2544">
        <v>42</v>
      </c>
      <c r="AC2544">
        <v>18.1127</v>
      </c>
      <c r="AD2544">
        <v>-1.1093497211750001</v>
      </c>
      <c r="AE2544">
        <v>-5.1900000000017599E-2</v>
      </c>
      <c r="AF2544">
        <v>0.18308872683123201</v>
      </c>
      <c r="AG2544">
        <v>-1.1093497211750001</v>
      </c>
      <c r="AH2544">
        <v>18.044155288702601</v>
      </c>
      <c r="AI2544">
        <v>93.517920121341106</v>
      </c>
      <c r="AJ2544">
        <v>89.418656558343301</v>
      </c>
      <c r="AK2544">
        <v>18.0791514836449</v>
      </c>
      <c r="AL2544">
        <v>82.343943587078897</v>
      </c>
      <c r="AM2544">
        <v>87.285518788907595</v>
      </c>
      <c r="AN2544">
        <v>0.99999998998999795</v>
      </c>
    </row>
    <row r="2545" spans="1:40" x14ac:dyDescent="0.25">
      <c r="A2545" t="str">
        <f>"20190312164315093"</f>
        <v>20190312164315093</v>
      </c>
      <c r="B2545" t="str">
        <f>"1552380195086651"</f>
        <v>1552380195086651</v>
      </c>
      <c r="C2545" t="s">
        <v>40</v>
      </c>
      <c r="D2545">
        <v>4.8759009999999998</v>
      </c>
      <c r="E2545">
        <v>0.4893035</v>
      </c>
      <c r="F2545" t="s">
        <v>46</v>
      </c>
      <c r="G2545">
        <v>-385.00909999999999</v>
      </c>
      <c r="H2545" s="1">
        <v>1.1921190000000001E-6</v>
      </c>
      <c r="I2545">
        <v>213.16800000000001</v>
      </c>
      <c r="J2545">
        <v>-402.86099999999999</v>
      </c>
      <c r="K2545">
        <v>1.109334</v>
      </c>
      <c r="L2545">
        <v>213.2166</v>
      </c>
      <c r="M2545">
        <v>0.99994079999999996</v>
      </c>
      <c r="N2545">
        <v>0</v>
      </c>
      <c r="O2545">
        <v>7.309828E-3</v>
      </c>
      <c r="P2545">
        <v>0.99122509999999997</v>
      </c>
      <c r="Q2545">
        <v>0.1260647</v>
      </c>
      <c r="R2545">
        <v>-3.9762869999999999E-2</v>
      </c>
      <c r="S2545">
        <v>3.0493160000000001</v>
      </c>
      <c r="T2545">
        <v>-0.1851025</v>
      </c>
      <c r="U2545">
        <v>-7.5836180000000003E-3</v>
      </c>
      <c r="V2545">
        <v>4.698364E-2</v>
      </c>
      <c r="W2545">
        <v>0.1340682</v>
      </c>
      <c r="X2545">
        <v>0.98985769999999995</v>
      </c>
      <c r="Y2545">
        <v>9.7655280000000007E-3</v>
      </c>
      <c r="Z2545">
        <v>-7.3945689999999997E-4</v>
      </c>
      <c r="AA2545">
        <v>0.99995199999999995</v>
      </c>
      <c r="AB2545">
        <v>42</v>
      </c>
      <c r="AC2545">
        <v>17.851900000000001</v>
      </c>
      <c r="AD2545">
        <v>-1.1093328078810001</v>
      </c>
      <c r="AE2545">
        <v>-4.8599999999993301E-2</v>
      </c>
      <c r="AF2545">
        <v>0.178408342008777</v>
      </c>
      <c r="AG2545">
        <v>-1.1093328078810001</v>
      </c>
      <c r="AH2545">
        <v>17.782401704884599</v>
      </c>
      <c r="AI2545">
        <v>93.569520124443699</v>
      </c>
      <c r="AJ2545">
        <v>89.425178767211705</v>
      </c>
      <c r="AK2545">
        <v>17.8178634860923</v>
      </c>
      <c r="AL2545">
        <v>82.295258170153602</v>
      </c>
      <c r="AM2545">
        <v>87.282492823253506</v>
      </c>
      <c r="AN2545">
        <v>1.0000000054640801</v>
      </c>
    </row>
    <row r="2546" spans="1:40" x14ac:dyDescent="0.25">
      <c r="A2546" t="str">
        <f>"20190312164315116"</f>
        <v>20190312164315116</v>
      </c>
      <c r="B2546" t="str">
        <f>"1552380195107146"</f>
        <v>1552380195107146</v>
      </c>
      <c r="C2546" t="s">
        <v>40</v>
      </c>
      <c r="D2546">
        <v>4.7633039999999998</v>
      </c>
      <c r="E2546">
        <v>0.48940250000000002</v>
      </c>
      <c r="F2546" t="s">
        <v>46</v>
      </c>
      <c r="G2546">
        <v>-384.37849999999997</v>
      </c>
      <c r="H2546" s="1">
        <v>8.5656540000000004E-7</v>
      </c>
      <c r="I2546">
        <v>213.16800000000001</v>
      </c>
      <c r="J2546">
        <v>-402.41460000000001</v>
      </c>
      <c r="K2546">
        <v>1.1093150000000001</v>
      </c>
      <c r="L2546">
        <v>213.2199</v>
      </c>
      <c r="M2546">
        <v>0.99994050000000001</v>
      </c>
      <c r="N2546">
        <v>0</v>
      </c>
      <c r="O2546">
        <v>7.3289219999999999E-3</v>
      </c>
      <c r="P2546">
        <v>0.9911894</v>
      </c>
      <c r="Q2546">
        <v>0.12637380000000001</v>
      </c>
      <c r="R2546">
        <v>-3.96694E-2</v>
      </c>
      <c r="S2546">
        <v>3.0495000000000001</v>
      </c>
      <c r="T2546">
        <v>-0.18303410000000001</v>
      </c>
      <c r="U2546">
        <v>-8.0261229999999996E-3</v>
      </c>
      <c r="V2546">
        <v>4.6913980000000001E-2</v>
      </c>
      <c r="W2546">
        <v>0.1343924</v>
      </c>
      <c r="X2546">
        <v>0.98981699999999995</v>
      </c>
      <c r="Y2546">
        <v>9.9299450000000008E-3</v>
      </c>
      <c r="Z2546">
        <v>-7.3723989999999997E-4</v>
      </c>
      <c r="AA2546">
        <v>0.99995040000000002</v>
      </c>
      <c r="AB2546">
        <v>42</v>
      </c>
      <c r="AC2546">
        <v>18.036100000000001</v>
      </c>
      <c r="AD2546">
        <v>-1.1093141434346001</v>
      </c>
      <c r="AE2546">
        <v>-5.1899999999989101E-2</v>
      </c>
      <c r="AF2546">
        <v>0.18339433603281599</v>
      </c>
      <c r="AG2546">
        <v>-1.1093141434346001</v>
      </c>
      <c r="AH2546">
        <v>17.9672675385915</v>
      </c>
      <c r="AI2546">
        <v>93.532821206461904</v>
      </c>
      <c r="AJ2546">
        <v>89.415194518381199</v>
      </c>
      <c r="AK2546">
        <v>18.002414120185101</v>
      </c>
      <c r="AL2546">
        <v>82.276512933960902</v>
      </c>
      <c r="AM2546">
        <v>87.286404483750403</v>
      </c>
      <c r="AN2546">
        <v>0.99999996609309905</v>
      </c>
    </row>
    <row r="2547" spans="1:40" x14ac:dyDescent="0.25">
      <c r="A2547" t="str">
        <f>"20190312164315139"</f>
        <v>20190312164315139</v>
      </c>
      <c r="B2547" t="str">
        <f>"1552380195126666"</f>
        <v>1552380195126666</v>
      </c>
      <c r="C2547" t="s">
        <v>40</v>
      </c>
      <c r="D2547">
        <v>5.0510849999999996</v>
      </c>
      <c r="E2547">
        <v>0.48945060000000001</v>
      </c>
      <c r="F2547" t="s">
        <v>46</v>
      </c>
      <c r="G2547">
        <v>-383.68</v>
      </c>
      <c r="H2547" s="1">
        <v>4.8488039999999995E-7</v>
      </c>
      <c r="I2547">
        <v>213.16720000000001</v>
      </c>
      <c r="J2547">
        <v>-401.99419999999998</v>
      </c>
      <c r="K2547">
        <v>1.109305</v>
      </c>
      <c r="L2547">
        <v>213.22300000000001</v>
      </c>
      <c r="M2547">
        <v>0.9999403</v>
      </c>
      <c r="N2547">
        <v>0</v>
      </c>
      <c r="O2547">
        <v>7.3398250000000003E-3</v>
      </c>
      <c r="P2547">
        <v>0.99116979999999999</v>
      </c>
      <c r="Q2547">
        <v>0.12637590000000001</v>
      </c>
      <c r="R2547">
        <v>-4.0150199999999997E-2</v>
      </c>
      <c r="S2547">
        <v>3.0493769999999998</v>
      </c>
      <c r="T2547">
        <v>-0.18056</v>
      </c>
      <c r="U2547">
        <v>-8.5754390000000007E-3</v>
      </c>
      <c r="V2547">
        <v>4.7409420000000001E-2</v>
      </c>
      <c r="W2547">
        <v>0.1344089</v>
      </c>
      <c r="X2547">
        <v>0.98979119999999998</v>
      </c>
      <c r="Y2547">
        <v>1.012156E-2</v>
      </c>
      <c r="Z2547">
        <v>-7.3363409999999997E-4</v>
      </c>
      <c r="AA2547">
        <v>0.99994850000000002</v>
      </c>
      <c r="AB2547">
        <v>42</v>
      </c>
      <c r="AC2547">
        <v>18.3141999999999</v>
      </c>
      <c r="AD2547">
        <v>-1.1093045151195999</v>
      </c>
      <c r="AE2547">
        <v>-5.57999999999765E-2</v>
      </c>
      <c r="AF2547">
        <v>0.18953057806051099</v>
      </c>
      <c r="AG2547">
        <v>-1.1093045151195999</v>
      </c>
      <c r="AH2547">
        <v>18.246355208560399</v>
      </c>
      <c r="AI2547">
        <v>93.478882016316007</v>
      </c>
      <c r="AJ2547">
        <v>89.404872285264602</v>
      </c>
      <c r="AK2547">
        <v>18.281027234382801</v>
      </c>
      <c r="AL2547">
        <v>82.275559258714296</v>
      </c>
      <c r="AM2547">
        <v>87.257719418542706</v>
      </c>
      <c r="AN2547">
        <v>1.00000001255069</v>
      </c>
    </row>
    <row r="2548" spans="1:40" x14ac:dyDescent="0.25">
      <c r="A2548" t="str">
        <f>"20190312164315160"</f>
        <v>20190312164315160</v>
      </c>
      <c r="B2548" t="str">
        <f>"1552380195156922"</f>
        <v>1552380195156922</v>
      </c>
      <c r="C2548" t="s">
        <v>40</v>
      </c>
      <c r="D2548">
        <v>4.8383320000000003</v>
      </c>
      <c r="E2548">
        <v>0.48961700000000002</v>
      </c>
      <c r="F2548" t="s">
        <v>46</v>
      </c>
      <c r="G2548">
        <v>-383.15129999999999</v>
      </c>
      <c r="H2548" s="1">
        <v>2.0395379999999999E-7</v>
      </c>
      <c r="I2548">
        <v>213.15770000000001</v>
      </c>
      <c r="J2548">
        <v>-401.5874</v>
      </c>
      <c r="K2548">
        <v>1.109294</v>
      </c>
      <c r="L2548">
        <v>213.226</v>
      </c>
      <c r="M2548">
        <v>0.9999401</v>
      </c>
      <c r="N2548">
        <v>0</v>
      </c>
      <c r="O2548">
        <v>7.346399E-3</v>
      </c>
      <c r="P2548">
        <v>0.99117489999999997</v>
      </c>
      <c r="Q2548">
        <v>0.12621540000000001</v>
      </c>
      <c r="R2548">
        <v>-4.0523070000000001E-2</v>
      </c>
      <c r="S2548">
        <v>3.049194</v>
      </c>
      <c r="T2548">
        <v>-0.1795099</v>
      </c>
      <c r="U2548">
        <v>-1.055908E-2</v>
      </c>
      <c r="V2548">
        <v>4.7792309999999998E-2</v>
      </c>
      <c r="W2548">
        <v>0.13426250000000001</v>
      </c>
      <c r="X2548">
        <v>0.98979260000000002</v>
      </c>
      <c r="Y2548">
        <v>1.0778009999999999E-2</v>
      </c>
      <c r="Z2548">
        <v>-7.4911110000000004E-4</v>
      </c>
      <c r="AA2548">
        <v>0.99994159999999999</v>
      </c>
      <c r="AB2548">
        <v>42</v>
      </c>
      <c r="AC2548">
        <v>18.4361</v>
      </c>
      <c r="AD2548">
        <v>-1.1092937960461999</v>
      </c>
      <c r="AE2548">
        <v>-6.8299999999993505E-2</v>
      </c>
      <c r="AF2548">
        <v>0.20300660887098099</v>
      </c>
      <c r="AG2548">
        <v>-1.1092937960461999</v>
      </c>
      <c r="AH2548">
        <v>18.368600152827199</v>
      </c>
      <c r="AI2548">
        <v>93.455728125540304</v>
      </c>
      <c r="AJ2548">
        <v>89.366802680972</v>
      </c>
      <c r="AK2548">
        <v>18.403184941298498</v>
      </c>
      <c r="AL2548">
        <v>82.284023658878496</v>
      </c>
      <c r="AM2548">
        <v>87.235610215102795</v>
      </c>
      <c r="AN2548">
        <v>0.99999995740807202</v>
      </c>
    </row>
    <row r="2549" spans="1:40" x14ac:dyDescent="0.25">
      <c r="A2549" t="str">
        <f>"20190312164315182"</f>
        <v>20190312164315182</v>
      </c>
      <c r="B2549" t="str">
        <f>"1552380195177419"</f>
        <v>1552380195177419</v>
      </c>
      <c r="C2549" t="s">
        <v>40</v>
      </c>
      <c r="D2549">
        <v>4.718845</v>
      </c>
      <c r="E2549">
        <v>0.48973509999999998</v>
      </c>
      <c r="F2549" t="s">
        <v>46</v>
      </c>
      <c r="G2549">
        <v>-382.64960000000002</v>
      </c>
      <c r="H2549" s="1">
        <v>-6.2342049999999999E-8</v>
      </c>
      <c r="I2549">
        <v>213.14189999999999</v>
      </c>
      <c r="J2549">
        <v>-401.1925</v>
      </c>
      <c r="K2549">
        <v>1.109291</v>
      </c>
      <c r="L2549">
        <v>213.22890000000001</v>
      </c>
      <c r="M2549">
        <v>0.99993989999999999</v>
      </c>
      <c r="N2549">
        <v>0</v>
      </c>
      <c r="O2549">
        <v>7.3510819999999897E-3</v>
      </c>
      <c r="P2549">
        <v>0.99121199999999998</v>
      </c>
      <c r="Q2549">
        <v>0.12593750000000001</v>
      </c>
      <c r="R2549">
        <v>-4.0484310000000003E-2</v>
      </c>
      <c r="S2549">
        <v>3.048889</v>
      </c>
      <c r="T2549">
        <v>-0.1785911</v>
      </c>
      <c r="U2549">
        <v>-1.3534549999999999E-2</v>
      </c>
      <c r="V2549">
        <v>4.7761049999999999E-2</v>
      </c>
      <c r="W2549">
        <v>0.133998799999999</v>
      </c>
      <c r="X2549">
        <v>0.98982990000000004</v>
      </c>
      <c r="Y2549">
        <v>1.1757510000000001E-2</v>
      </c>
      <c r="Z2549">
        <v>-7.7429399999999905E-4</v>
      </c>
      <c r="AA2549">
        <v>0.9999306</v>
      </c>
      <c r="AB2549">
        <v>42</v>
      </c>
      <c r="AC2549">
        <v>18.5428999999999</v>
      </c>
      <c r="AD2549">
        <v>-1.10929106234205</v>
      </c>
      <c r="AE2549">
        <v>-8.7000000000017494E-2</v>
      </c>
      <c r="AF2549">
        <v>0.222516216429264</v>
      </c>
      <c r="AG2549">
        <v>-1.10929106234205</v>
      </c>
      <c r="AH2549">
        <v>18.4756404746249</v>
      </c>
      <c r="AI2549">
        <v>93.435707444336501</v>
      </c>
      <c r="AJ2549">
        <v>89.309976630544895</v>
      </c>
      <c r="AK2549">
        <v>18.5102493520526</v>
      </c>
      <c r="AL2549">
        <v>82.299270766270894</v>
      </c>
      <c r="AM2549">
        <v>87.237519487413095</v>
      </c>
      <c r="AN2549">
        <v>1.0000000136162699</v>
      </c>
    </row>
    <row r="2550" spans="1:40" x14ac:dyDescent="0.25">
      <c r="A2550" t="str">
        <f>"20190312164315204"</f>
        <v>20190312164315204</v>
      </c>
      <c r="B2550" t="str">
        <f>"1552380195196939"</f>
        <v>1552380195196939</v>
      </c>
      <c r="C2550" t="s">
        <v>40</v>
      </c>
      <c r="D2550">
        <v>4.7098360000000001</v>
      </c>
      <c r="E2550">
        <v>0.4898516</v>
      </c>
      <c r="F2550" t="s">
        <v>41</v>
      </c>
      <c r="G2550">
        <v>-400.09230000000002</v>
      </c>
      <c r="H2550">
        <v>1.044845</v>
      </c>
      <c r="I2550">
        <v>213.22329999999999</v>
      </c>
      <c r="J2550">
        <v>-400.75819999999999</v>
      </c>
      <c r="K2550">
        <v>1.1092850000000001</v>
      </c>
      <c r="L2550">
        <v>213.2321</v>
      </c>
      <c r="M2550">
        <v>0.99993980000000005</v>
      </c>
      <c r="N2550">
        <v>0</v>
      </c>
      <c r="O2550">
        <v>7.3546339999999997E-3</v>
      </c>
      <c r="P2550">
        <v>0.99116709999999997</v>
      </c>
      <c r="Q2550">
        <v>0.12629609999999999</v>
      </c>
      <c r="R2550">
        <v>-4.046284E-2</v>
      </c>
      <c r="S2550">
        <v>3.0486759999999999</v>
      </c>
      <c r="T2550">
        <v>-0.17868489999999901</v>
      </c>
      <c r="U2550">
        <v>-1.461792E-2</v>
      </c>
      <c r="V2550">
        <v>4.774573E-2</v>
      </c>
      <c r="W2550">
        <v>0.13437160000000001</v>
      </c>
      <c r="X2550">
        <v>0.98978010000000005</v>
      </c>
      <c r="Y2550">
        <v>1.211604E-2</v>
      </c>
      <c r="Z2550">
        <v>-7.8545959999999995E-4</v>
      </c>
      <c r="AA2550">
        <v>0.99992630000000005</v>
      </c>
      <c r="AB2550">
        <v>42</v>
      </c>
      <c r="AC2550">
        <v>0.66589999999996496</v>
      </c>
      <c r="AD2550">
        <v>-6.4439999999999997E-2</v>
      </c>
      <c r="AE2550">
        <v>-8.8000000000079091E-3</v>
      </c>
      <c r="AF2550">
        <v>1.35703156349105E-2</v>
      </c>
      <c r="AG2550">
        <v>-6.4439999999999997E-2</v>
      </c>
      <c r="AH2550">
        <v>0.65964101644489304</v>
      </c>
      <c r="AI2550">
        <v>95.578319243959896</v>
      </c>
      <c r="AJ2550">
        <v>88.821461774189402</v>
      </c>
      <c r="AK2550">
        <v>0.66292000847981802</v>
      </c>
      <c r="AL2550">
        <v>82.277715966940704</v>
      </c>
      <c r="AM2550">
        <v>87.238265485912294</v>
      </c>
      <c r="AN2550">
        <v>1.0000000139878999</v>
      </c>
    </row>
    <row r="2551" spans="1:40" x14ac:dyDescent="0.25">
      <c r="A2551" t="str">
        <f>"20190312164315227"</f>
        <v>20190312164315227</v>
      </c>
      <c r="B2551" t="str">
        <f>"1552380195217435"</f>
        <v>1552380195217435</v>
      </c>
      <c r="C2551" t="s">
        <v>40</v>
      </c>
      <c r="D2551">
        <v>4.6650609999999997</v>
      </c>
      <c r="E2551">
        <v>0.48995050000000001</v>
      </c>
      <c r="F2551" t="s">
        <v>41</v>
      </c>
      <c r="G2551">
        <v>-399.70519999999999</v>
      </c>
      <c r="H2551">
        <v>1.0481959999999999</v>
      </c>
      <c r="I2551">
        <v>213.22669999999999</v>
      </c>
      <c r="J2551">
        <v>-400.32889999999998</v>
      </c>
      <c r="K2551">
        <v>1.109278</v>
      </c>
      <c r="L2551">
        <v>213.2353</v>
      </c>
      <c r="M2551">
        <v>0.99993960000000004</v>
      </c>
      <c r="N2551">
        <v>0</v>
      </c>
      <c r="O2551">
        <v>7.3583750000000003E-3</v>
      </c>
      <c r="P2551">
        <v>0.99106050000000001</v>
      </c>
      <c r="Q2551">
        <v>0.1271931</v>
      </c>
      <c r="R2551">
        <v>-4.0264000000000001E-2</v>
      </c>
      <c r="S2551">
        <v>3.048645</v>
      </c>
      <c r="T2551">
        <v>-0.17688019999999999</v>
      </c>
      <c r="U2551">
        <v>-1.5411380000000001E-2</v>
      </c>
      <c r="V2551">
        <v>4.7551860000000001E-2</v>
      </c>
      <c r="W2551">
        <v>0.13528299999999999</v>
      </c>
      <c r="X2551">
        <v>0.98966529999999997</v>
      </c>
      <c r="Y2551">
        <v>1.238029E-2</v>
      </c>
      <c r="Z2551">
        <v>-7.8542360000000003E-4</v>
      </c>
      <c r="AA2551">
        <v>0.99992309999999995</v>
      </c>
      <c r="AB2551">
        <v>42</v>
      </c>
      <c r="AC2551">
        <v>0.62369999999998504</v>
      </c>
      <c r="AD2551">
        <v>-6.1081999999999997E-2</v>
      </c>
      <c r="AE2551">
        <v>-8.6000000000012698E-3</v>
      </c>
      <c r="AF2551">
        <v>1.3064061788187699E-2</v>
      </c>
      <c r="AG2551">
        <v>-6.1081999999999997E-2</v>
      </c>
      <c r="AH2551">
        <v>0.61769647679644502</v>
      </c>
      <c r="AI2551">
        <v>95.646178986607396</v>
      </c>
      <c r="AJ2551">
        <v>88.788395180699993</v>
      </c>
      <c r="AK2551">
        <v>0.62084669434663697</v>
      </c>
      <c r="AL2551">
        <v>82.225015575178304</v>
      </c>
      <c r="AM2551">
        <v>87.249143595007197</v>
      </c>
      <c r="AN2551">
        <v>1.0000000377512701</v>
      </c>
    </row>
    <row r="2552" spans="1:40" x14ac:dyDescent="0.25">
      <c r="A2552" t="str">
        <f>"20190312164315249"</f>
        <v>20190312164315249</v>
      </c>
      <c r="B2552" t="str">
        <f>"1552380195246714"</f>
        <v>1552380195246714</v>
      </c>
      <c r="C2552" t="s">
        <v>40</v>
      </c>
      <c r="D2552">
        <v>4.8790040000000001</v>
      </c>
      <c r="E2552">
        <v>0.49011490000000002</v>
      </c>
      <c r="F2552" t="s">
        <v>46</v>
      </c>
      <c r="G2552">
        <v>-380.74259999999998</v>
      </c>
      <c r="H2552" s="1">
        <v>-1.076868E-6</v>
      </c>
      <c r="I2552">
        <v>213.13570000000001</v>
      </c>
      <c r="J2552">
        <v>-399.90050000000002</v>
      </c>
      <c r="K2552">
        <v>1.109273</v>
      </c>
      <c r="L2552">
        <v>213.23840000000001</v>
      </c>
      <c r="M2552">
        <v>0.99993949999999998</v>
      </c>
      <c r="N2552">
        <v>0</v>
      </c>
      <c r="O2552">
        <v>7.3612929999999997E-3</v>
      </c>
      <c r="P2552">
        <v>0.99097590000000002</v>
      </c>
      <c r="Q2552">
        <v>0.12791810000000001</v>
      </c>
      <c r="R2552">
        <v>-4.0048220000000002E-2</v>
      </c>
      <c r="S2552">
        <v>3.048584</v>
      </c>
      <c r="T2552">
        <v>-0.17265820000000001</v>
      </c>
      <c r="U2552">
        <v>-1.550293E-2</v>
      </c>
      <c r="V2552">
        <v>4.7340189999999997E-2</v>
      </c>
      <c r="W2552">
        <v>0.1360229</v>
      </c>
      <c r="X2552">
        <v>0.98957399999999995</v>
      </c>
      <c r="Y2552">
        <v>1.241484E-2</v>
      </c>
      <c r="Z2552">
        <v>-7.6786420000000001E-4</v>
      </c>
      <c r="AA2552">
        <v>0.99992259999999999</v>
      </c>
      <c r="AB2552">
        <v>42</v>
      </c>
      <c r="AC2552">
        <v>19.157900000000001</v>
      </c>
      <c r="AD2552">
        <v>-1.1092740768680001</v>
      </c>
      <c r="AE2552">
        <v>-0.102699999999998</v>
      </c>
      <c r="AF2552">
        <v>0.24291447143560599</v>
      </c>
      <c r="AG2552">
        <v>-1.1092740768680001</v>
      </c>
      <c r="AH2552">
        <v>19.092616763491598</v>
      </c>
      <c r="AI2552">
        <v>93.324857389433205</v>
      </c>
      <c r="AJ2552">
        <v>89.271067802945396</v>
      </c>
      <c r="AK2552">
        <v>19.126356456356401</v>
      </c>
      <c r="AL2552">
        <v>82.182226706850798</v>
      </c>
      <c r="AM2552">
        <v>87.261117651200607</v>
      </c>
      <c r="AN2552">
        <v>1.00000001219482</v>
      </c>
    </row>
    <row r="2553" spans="1:40" x14ac:dyDescent="0.25">
      <c r="A2553" t="str">
        <f>"20190312164315271"</f>
        <v>20190312164315271</v>
      </c>
      <c r="B2553" t="str">
        <f>"1552380195267211"</f>
        <v>1552380195267211</v>
      </c>
      <c r="C2553" t="s">
        <v>40</v>
      </c>
      <c r="D2553">
        <v>4.9750940000000003</v>
      </c>
      <c r="E2553">
        <v>0.4903344</v>
      </c>
      <c r="F2553" t="s">
        <v>46</v>
      </c>
      <c r="G2553">
        <v>-379.9162</v>
      </c>
      <c r="H2553" s="1">
        <v>3.7401080000000002E-6</v>
      </c>
      <c r="I2553">
        <v>213.13159999999999</v>
      </c>
      <c r="J2553">
        <v>-399.49590000000001</v>
      </c>
      <c r="K2553">
        <v>1.109267</v>
      </c>
      <c r="L2553">
        <v>213.2414</v>
      </c>
      <c r="M2553">
        <v>0.99993940000000003</v>
      </c>
      <c r="N2553">
        <v>0</v>
      </c>
      <c r="O2553">
        <v>7.3635100000000002E-3</v>
      </c>
      <c r="P2553">
        <v>0.99087510000000001</v>
      </c>
      <c r="Q2553">
        <v>0.12868270000000001</v>
      </c>
      <c r="R2553">
        <v>-4.0093650000000002E-2</v>
      </c>
      <c r="S2553">
        <v>3.0485229999999999</v>
      </c>
      <c r="T2553">
        <v>-0.16921410000000001</v>
      </c>
      <c r="U2553">
        <v>-1.6296390000000001E-2</v>
      </c>
      <c r="V2553">
        <v>4.7388449999999999E-2</v>
      </c>
      <c r="W2553">
        <v>0.13680129999999999</v>
      </c>
      <c r="X2553">
        <v>0.98946429999999996</v>
      </c>
      <c r="Y2553">
        <v>1.267825E-2</v>
      </c>
      <c r="Z2553">
        <v>-7.6001360000000002E-4</v>
      </c>
      <c r="AA2553">
        <v>0.99991940000000001</v>
      </c>
      <c r="AB2553">
        <v>42</v>
      </c>
      <c r="AC2553">
        <v>19.579699999999999</v>
      </c>
      <c r="AD2553">
        <v>-1.109263259892</v>
      </c>
      <c r="AE2553">
        <v>-0.109800000000006</v>
      </c>
      <c r="AF2553">
        <v>0.25316462469968398</v>
      </c>
      <c r="AG2553">
        <v>-1.109263259892</v>
      </c>
      <c r="AH2553">
        <v>19.515723994894302</v>
      </c>
      <c r="AI2553">
        <v>93.252887860592395</v>
      </c>
      <c r="AJ2553">
        <v>89.256781303797297</v>
      </c>
      <c r="AK2553">
        <v>19.54886289153</v>
      </c>
      <c r="AL2553">
        <v>82.137206190634402</v>
      </c>
      <c r="AM2553">
        <v>87.258026311106093</v>
      </c>
      <c r="AN2553">
        <v>0.99999993092478801</v>
      </c>
    </row>
    <row r="2554" spans="1:40" x14ac:dyDescent="0.25">
      <c r="A2554" t="str">
        <f>"20190312164315295"</f>
        <v>20190312164315295</v>
      </c>
      <c r="B2554" t="str">
        <f>"1552380195286731"</f>
        <v>1552380195286731</v>
      </c>
      <c r="C2554" t="s">
        <v>40</v>
      </c>
      <c r="D2554">
        <v>4.5928570000000004</v>
      </c>
      <c r="E2554">
        <v>0.50512840000000003</v>
      </c>
      <c r="F2554" t="s">
        <v>46</v>
      </c>
      <c r="G2554">
        <v>-379.17520000000002</v>
      </c>
      <c r="H2554" s="1">
        <v>3.3457809999999999E-6</v>
      </c>
      <c r="I2554">
        <v>213.11670000000001</v>
      </c>
      <c r="J2554">
        <v>-399.03550000000001</v>
      </c>
      <c r="K2554">
        <v>1.1092660000000001</v>
      </c>
      <c r="L2554">
        <v>213.2448</v>
      </c>
      <c r="M2554">
        <v>0.99993920000000003</v>
      </c>
      <c r="N2554">
        <v>0</v>
      </c>
      <c r="O2554">
        <v>7.3660799999999997E-3</v>
      </c>
      <c r="P2554">
        <v>0.99078639999999996</v>
      </c>
      <c r="Q2554">
        <v>0.12928629999999999</v>
      </c>
      <c r="R2554">
        <v>-4.0341620000000002E-2</v>
      </c>
      <c r="S2554">
        <v>3.048492</v>
      </c>
      <c r="T2554">
        <v>-0.16641029999999901</v>
      </c>
      <c r="U2554">
        <v>-1.870728E-2</v>
      </c>
      <c r="V2554">
        <v>4.7639750000000002E-2</v>
      </c>
      <c r="W2554">
        <v>0.1374215</v>
      </c>
      <c r="X2554">
        <v>0.98936639999999998</v>
      </c>
      <c r="Y2554">
        <v>1.3471449999999999E-2</v>
      </c>
      <c r="Z2554">
        <v>-7.6921889999999999E-4</v>
      </c>
      <c r="AA2554">
        <v>0.99990900000000005</v>
      </c>
      <c r="AB2554">
        <v>43</v>
      </c>
      <c r="AC2554">
        <v>19.860299999999899</v>
      </c>
      <c r="AD2554">
        <v>-1.1092626542190001</v>
      </c>
      <c r="AE2554">
        <v>-0.128099999999989</v>
      </c>
      <c r="AF2554">
        <v>0.27354071007129399</v>
      </c>
      <c r="AG2554">
        <v>-1.1092626542190001</v>
      </c>
      <c r="AH2554">
        <v>19.797061431869199</v>
      </c>
      <c r="AI2554">
        <v>93.206720054395305</v>
      </c>
      <c r="AJ2554">
        <v>89.208380951466395</v>
      </c>
      <c r="AK2554">
        <v>19.830000743653901</v>
      </c>
      <c r="AL2554">
        <v>82.101333439601504</v>
      </c>
      <c r="AM2554">
        <v>87.243235706752301</v>
      </c>
      <c r="AN2554">
        <v>1.00000004394563</v>
      </c>
    </row>
    <row r="2555" spans="1:40" x14ac:dyDescent="0.25">
      <c r="A2555" t="str">
        <f>"20190312164315319"</f>
        <v>20190312164315319</v>
      </c>
      <c r="B2555" t="str">
        <f>"1552380195307227"</f>
        <v>1552380195307227</v>
      </c>
      <c r="C2555" t="s">
        <v>40</v>
      </c>
      <c r="D2555">
        <v>4.5818680000000001</v>
      </c>
      <c r="E2555">
        <v>0.50587439999999995</v>
      </c>
      <c r="F2555" t="s">
        <v>46</v>
      </c>
      <c r="G2555">
        <v>-377.95949999999999</v>
      </c>
      <c r="H2555" s="1">
        <v>2.6988450000000001E-6</v>
      </c>
      <c r="I2555">
        <v>212.29650000000001</v>
      </c>
      <c r="J2555">
        <v>-398.58249999999998</v>
      </c>
      <c r="K2555">
        <v>1.109267</v>
      </c>
      <c r="L2555">
        <v>213.2482</v>
      </c>
      <c r="M2555">
        <v>0.99993900000000002</v>
      </c>
      <c r="N2555">
        <v>0</v>
      </c>
      <c r="O2555">
        <v>7.3681819999999896E-3</v>
      </c>
      <c r="P2555">
        <v>0.99073029999999995</v>
      </c>
      <c r="Q2555">
        <v>0.1296921</v>
      </c>
      <c r="R2555">
        <v>-4.0421079999999998E-2</v>
      </c>
      <c r="S2555">
        <v>3.0432130000000002</v>
      </c>
      <c r="T2555">
        <v>-0.160168899999999</v>
      </c>
      <c r="U2555">
        <v>-0.13693239999999901</v>
      </c>
      <c r="V2555">
        <v>4.7721800000000002E-2</v>
      </c>
      <c r="W2555">
        <v>0.1378433</v>
      </c>
      <c r="X2555">
        <v>0.98930370000000001</v>
      </c>
      <c r="Y2555">
        <v>5.2227959999999997E-2</v>
      </c>
      <c r="Z2555">
        <v>-1.760136E-3</v>
      </c>
      <c r="AA2555">
        <v>0.99863360000000001</v>
      </c>
      <c r="AB2555">
        <v>43</v>
      </c>
      <c r="AC2555">
        <v>20.622999999999902</v>
      </c>
      <c r="AD2555">
        <v>-1.1092643011550001</v>
      </c>
      <c r="AE2555">
        <v>-0.951699999999988</v>
      </c>
      <c r="AF2555">
        <v>1.1004563395779601</v>
      </c>
      <c r="AG2555">
        <v>-1.1092643011550001</v>
      </c>
      <c r="AH2555">
        <v>20.556082779870302</v>
      </c>
      <c r="AI2555">
        <v>93.084438054926693</v>
      </c>
      <c r="AJ2555">
        <v>86.935633398935096</v>
      </c>
      <c r="AK2555">
        <v>20.615382865666501</v>
      </c>
      <c r="AL2555">
        <v>82.076933354987105</v>
      </c>
      <c r="AM2555">
        <v>87.238320324025494</v>
      </c>
      <c r="AN2555">
        <v>0.999999978191909</v>
      </c>
    </row>
    <row r="2556" spans="1:40" x14ac:dyDescent="0.25">
      <c r="A2556" t="str">
        <f>"20190312164315342"</f>
        <v>20190312164315342</v>
      </c>
      <c r="B2556" t="str">
        <f>"1552380195336507"</f>
        <v>1552380195336507</v>
      </c>
      <c r="C2556" t="s">
        <v>40</v>
      </c>
      <c r="D2556">
        <v>4.5314719999999999</v>
      </c>
      <c r="E2556">
        <v>0.50606019999999996</v>
      </c>
      <c r="F2556" t="s">
        <v>46</v>
      </c>
      <c r="G2556">
        <v>-377.10120000000001</v>
      </c>
      <c r="H2556" s="1">
        <v>2.2420969999999998E-6</v>
      </c>
      <c r="I2556">
        <v>212.2413</v>
      </c>
      <c r="J2556">
        <v>-398.1379</v>
      </c>
      <c r="K2556">
        <v>1.109264</v>
      </c>
      <c r="L2556">
        <v>213.25139999999999</v>
      </c>
      <c r="M2556">
        <v>0.99993889999999996</v>
      </c>
      <c r="N2556">
        <v>0</v>
      </c>
      <c r="O2556">
        <v>7.369759E-3</v>
      </c>
      <c r="P2556">
        <v>0.99071500000000001</v>
      </c>
      <c r="Q2556">
        <v>0.12969510000000001</v>
      </c>
      <c r="R2556">
        <v>-4.0784889999999997E-2</v>
      </c>
      <c r="S2556">
        <v>3.042786</v>
      </c>
      <c r="T2556">
        <v>-0.15712499999999999</v>
      </c>
      <c r="U2556">
        <v>-0.1426239</v>
      </c>
      <c r="V2556">
        <v>4.808784E-2</v>
      </c>
      <c r="W2556">
        <v>0.13786219999999999</v>
      </c>
      <c r="X2556">
        <v>0.98928340000000003</v>
      </c>
      <c r="Y2556">
        <v>5.4100330000000002E-2</v>
      </c>
      <c r="Z2556">
        <v>-1.775265E-3</v>
      </c>
      <c r="AA2556">
        <v>0.99853389999999997</v>
      </c>
      <c r="AB2556">
        <v>43</v>
      </c>
      <c r="AC2556">
        <v>21.0367</v>
      </c>
      <c r="AD2556">
        <v>-1.109261757903</v>
      </c>
      <c r="AE2556">
        <v>-1.01009999999999</v>
      </c>
      <c r="AF2556">
        <v>1.1618901087038001</v>
      </c>
      <c r="AG2556">
        <v>-1.109261757903</v>
      </c>
      <c r="AH2556">
        <v>20.970511183220399</v>
      </c>
      <c r="AI2556">
        <v>93.023282626250406</v>
      </c>
      <c r="AJ2556">
        <v>86.828718027181296</v>
      </c>
      <c r="AK2556">
        <v>21.031946879873502</v>
      </c>
      <c r="AL2556">
        <v>82.075840487696297</v>
      </c>
      <c r="AM2556">
        <v>87.217113600500895</v>
      </c>
      <c r="AN2556">
        <v>1.00000003603013</v>
      </c>
    </row>
    <row r="2557" spans="1:40" x14ac:dyDescent="0.25">
      <c r="A2557" t="str">
        <f>"20190312164315363"</f>
        <v>20190312164315363</v>
      </c>
      <c r="B2557" t="str">
        <f>"1552380195357003"</f>
        <v>1552380195357003</v>
      </c>
      <c r="C2557" t="s">
        <v>40</v>
      </c>
      <c r="D2557">
        <v>4.7170009999999998</v>
      </c>
      <c r="E2557">
        <v>0.50619700000000001</v>
      </c>
      <c r="F2557" t="s">
        <v>41</v>
      </c>
      <c r="G2557">
        <v>-397.03750000000002</v>
      </c>
      <c r="H2557">
        <v>1.052546</v>
      </c>
      <c r="I2557">
        <v>213.19829999999999</v>
      </c>
      <c r="J2557">
        <v>-397.73419999999999</v>
      </c>
      <c r="K2557">
        <v>1.1092599999999999</v>
      </c>
      <c r="L2557">
        <v>213.2544</v>
      </c>
      <c r="M2557">
        <v>0.99993880000000002</v>
      </c>
      <c r="N2557">
        <v>0</v>
      </c>
      <c r="O2557">
        <v>7.3713499999999996E-3</v>
      </c>
      <c r="P2557">
        <v>0.99067669999999997</v>
      </c>
      <c r="Q2557">
        <v>0.12987679999999999</v>
      </c>
      <c r="R2557">
        <v>-4.1133080000000002E-2</v>
      </c>
      <c r="S2557">
        <v>3.0426030000000002</v>
      </c>
      <c r="T2557">
        <v>-0.15692809999999999</v>
      </c>
      <c r="U2557">
        <v>-0.14631649999999999</v>
      </c>
      <c r="V2557">
        <v>4.8437769999999998E-2</v>
      </c>
      <c r="W2557">
        <v>0.13805809999999999</v>
      </c>
      <c r="X2557">
        <v>0.98923899999999998</v>
      </c>
      <c r="Y2557">
        <v>5.5312409999999999E-2</v>
      </c>
      <c r="Z2557">
        <v>-1.8044000000000001E-3</v>
      </c>
      <c r="AA2557">
        <v>0.9984674</v>
      </c>
      <c r="AB2557">
        <v>43</v>
      </c>
      <c r="AC2557">
        <v>0.69669999999996401</v>
      </c>
      <c r="AD2557">
        <v>-5.6714000000000098E-2</v>
      </c>
      <c r="AE2557">
        <v>-5.6100000000014902E-2</v>
      </c>
      <c r="AF2557">
        <v>6.0833747755263901E-2</v>
      </c>
      <c r="AG2557">
        <v>-5.6714000000000098E-2</v>
      </c>
      <c r="AH2557">
        <v>0.69171336341944201</v>
      </c>
      <c r="AI2557">
        <v>94.669288818474001</v>
      </c>
      <c r="AJ2557">
        <v>84.973969973371197</v>
      </c>
      <c r="AK2557">
        <v>0.69669548570016404</v>
      </c>
      <c r="AL2557">
        <v>82.064507814505404</v>
      </c>
      <c r="AM2557">
        <v>87.196769408360495</v>
      </c>
      <c r="AN2557">
        <v>1.00000002782959</v>
      </c>
    </row>
    <row r="2558" spans="1:40" x14ac:dyDescent="0.25">
      <c r="A2558" t="str">
        <f>"20190312164315405"</f>
        <v>20190312164315405</v>
      </c>
      <c r="B2558" t="str">
        <f>"1552380195397019"</f>
        <v>1552380195397019</v>
      </c>
      <c r="C2558" t="s">
        <v>40</v>
      </c>
      <c r="D2558">
        <v>4.5328290000000004</v>
      </c>
      <c r="E2558">
        <v>0.50632100000000002</v>
      </c>
      <c r="F2558" t="s">
        <v>41</v>
      </c>
      <c r="G2558">
        <v>-396.65269999999998</v>
      </c>
      <c r="H2558">
        <v>1.0532820000000001</v>
      </c>
      <c r="I2558">
        <v>213.20169999999999</v>
      </c>
      <c r="J2558">
        <v>-396.91289999999998</v>
      </c>
      <c r="K2558">
        <v>1.109256</v>
      </c>
      <c r="L2558">
        <v>213.26050000000001</v>
      </c>
      <c r="M2558">
        <v>0.99993840000000001</v>
      </c>
      <c r="N2558">
        <v>0</v>
      </c>
      <c r="O2558">
        <v>7.3738830000000003E-3</v>
      </c>
      <c r="P2558">
        <v>0.99063400000000001</v>
      </c>
      <c r="Q2558">
        <v>0.13000629999999999</v>
      </c>
      <c r="R2558">
        <v>-4.1744539999999997E-2</v>
      </c>
      <c r="S2558">
        <v>3.042694</v>
      </c>
      <c r="T2558">
        <v>-0.15755439999999901</v>
      </c>
      <c r="U2558">
        <v>-0.1477966</v>
      </c>
      <c r="V2558">
        <v>4.905226E-2</v>
      </c>
      <c r="W2558">
        <v>0.1382168</v>
      </c>
      <c r="X2558">
        <v>0.98918649999999997</v>
      </c>
      <c r="Y2558">
        <v>5.5796749999999999E-2</v>
      </c>
      <c r="Z2558">
        <v>-1.824172E-3</v>
      </c>
      <c r="AA2558">
        <v>0.99844049999999995</v>
      </c>
      <c r="AB2558">
        <v>43</v>
      </c>
      <c r="AC2558">
        <v>0.26019999999999699</v>
      </c>
      <c r="AD2558">
        <v>-5.5973999999999899E-2</v>
      </c>
      <c r="AE2558">
        <v>-5.8800000000019198E-2</v>
      </c>
      <c r="AF2558">
        <v>5.8156638499290897E-2</v>
      </c>
      <c r="AG2558">
        <v>-5.5973999999999899E-2</v>
      </c>
      <c r="AH2558">
        <v>0.248804972131934</v>
      </c>
      <c r="AI2558">
        <v>102.35639162627901</v>
      </c>
      <c r="AJ2558">
        <v>76.843671908163998</v>
      </c>
      <c r="AK2558">
        <v>0.26157063565146199</v>
      </c>
      <c r="AL2558">
        <v>82.055326495076798</v>
      </c>
      <c r="AM2558">
        <v>87.161114525047395</v>
      </c>
      <c r="AN2558">
        <v>0.99999996989779805</v>
      </c>
    </row>
    <row r="2559" spans="1:40" x14ac:dyDescent="0.25">
      <c r="A2559" t="str">
        <f>"20190312164315428"</f>
        <v>20190312164315428</v>
      </c>
      <c r="B2559" t="str">
        <f>"1552380195417515"</f>
        <v>1552380195417515</v>
      </c>
      <c r="C2559" t="s">
        <v>40</v>
      </c>
      <c r="D2559">
        <v>4.5331229999999998</v>
      </c>
      <c r="E2559">
        <v>0.50635870000000005</v>
      </c>
      <c r="F2559" t="s">
        <v>41</v>
      </c>
      <c r="G2559">
        <v>-395.8809</v>
      </c>
      <c r="H2559">
        <v>1.0551710000000001</v>
      </c>
      <c r="I2559">
        <v>213.20920000000001</v>
      </c>
      <c r="J2559">
        <v>-396.4796</v>
      </c>
      <c r="K2559">
        <v>1.1092569999999999</v>
      </c>
      <c r="L2559">
        <v>213.2637</v>
      </c>
      <c r="M2559">
        <v>0.9999382</v>
      </c>
      <c r="N2559">
        <v>0</v>
      </c>
      <c r="O2559">
        <v>7.3747019999999899E-3</v>
      </c>
      <c r="P2559">
        <v>0.99065210000000004</v>
      </c>
      <c r="Q2559">
        <v>0.12995470000000001</v>
      </c>
      <c r="R2559">
        <v>-4.14758E-2</v>
      </c>
      <c r="S2559">
        <v>3.0429689999999998</v>
      </c>
      <c r="T2559">
        <v>-0.15961549999999999</v>
      </c>
      <c r="U2559">
        <v>-0.150589</v>
      </c>
      <c r="V2559">
        <v>4.8784540000000001E-2</v>
      </c>
      <c r="W2559">
        <v>0.13818139999999901</v>
      </c>
      <c r="X2559">
        <v>0.98920469999999905</v>
      </c>
      <c r="Y2559">
        <v>5.6703749999999997E-2</v>
      </c>
      <c r="Z2559">
        <v>-1.8715959999999999E-3</v>
      </c>
      <c r="AA2559">
        <v>0.99838930000000004</v>
      </c>
      <c r="AB2559">
        <v>43</v>
      </c>
      <c r="AC2559">
        <v>0.598700000000007</v>
      </c>
      <c r="AD2559">
        <v>-5.4086000000000002E-2</v>
      </c>
      <c r="AE2559">
        <v>-5.4499999999990202E-2</v>
      </c>
      <c r="AF2559">
        <v>5.8440879864491799E-2</v>
      </c>
      <c r="AG2559">
        <v>-5.4086000000000002E-2</v>
      </c>
      <c r="AH2559">
        <v>0.593478126421221</v>
      </c>
      <c r="AI2559">
        <v>95.182278529985496</v>
      </c>
      <c r="AJ2559">
        <v>84.376110441220206</v>
      </c>
      <c r="AK2559">
        <v>0.59879622441677005</v>
      </c>
      <c r="AL2559">
        <v>82.057374533964605</v>
      </c>
      <c r="AM2559">
        <v>87.176635466512295</v>
      </c>
      <c r="AN2559">
        <v>0.99999998457552997</v>
      </c>
    </row>
    <row r="2560" spans="1:40" x14ac:dyDescent="0.25">
      <c r="A2560" t="str">
        <f>"20190312164315449"</f>
        <v>20190312164315449</v>
      </c>
      <c r="B2560" t="str">
        <f>"1552380195446795"</f>
        <v>1552380195446795</v>
      </c>
      <c r="C2560" t="s">
        <v>40</v>
      </c>
      <c r="D2560">
        <v>4.5346989999999998</v>
      </c>
      <c r="E2560">
        <v>0.50643570000000004</v>
      </c>
      <c r="F2560" t="s">
        <v>46</v>
      </c>
      <c r="G2560">
        <v>-375.43329999999997</v>
      </c>
      <c r="H2560" s="1">
        <v>1.354549E-6</v>
      </c>
      <c r="I2560">
        <v>212.22409999999999</v>
      </c>
      <c r="J2560">
        <v>-396.07080000000002</v>
      </c>
      <c r="K2560">
        <v>1.109253</v>
      </c>
      <c r="L2560">
        <v>213.26669999999999</v>
      </c>
      <c r="M2560">
        <v>0.9999382</v>
      </c>
      <c r="N2560">
        <v>0</v>
      </c>
      <c r="O2560">
        <v>7.3752899999999996E-3</v>
      </c>
      <c r="P2560">
        <v>0.99058769999999996</v>
      </c>
      <c r="Q2560">
        <v>0.13055369999999999</v>
      </c>
      <c r="R2560">
        <v>-4.1136869999999999E-2</v>
      </c>
      <c r="S2560">
        <v>3.043091</v>
      </c>
      <c r="T2560">
        <v>-0.16038749999999999</v>
      </c>
      <c r="U2560">
        <v>-0.15031429999999901</v>
      </c>
      <c r="V2560">
        <v>4.8445870000000002E-2</v>
      </c>
      <c r="W2560">
        <v>0.138794899999999</v>
      </c>
      <c r="X2560">
        <v>0.9891354</v>
      </c>
      <c r="Y2560">
        <v>5.6611759999999997E-2</v>
      </c>
      <c r="Z2560">
        <v>-1.878174E-3</v>
      </c>
      <c r="AA2560">
        <v>0.99839449999999996</v>
      </c>
      <c r="AB2560">
        <v>43</v>
      </c>
      <c r="AC2560">
        <v>20.637499999999999</v>
      </c>
      <c r="AD2560">
        <v>-1.109251645451</v>
      </c>
      <c r="AE2560">
        <v>-1.04259999999999</v>
      </c>
      <c r="AF2560">
        <v>1.1913514157061</v>
      </c>
      <c r="AG2560">
        <v>-1.109251645451</v>
      </c>
      <c r="AH2560">
        <v>20.569973765079901</v>
      </c>
      <c r="AI2560">
        <v>93.081575124420098</v>
      </c>
      <c r="AJ2560">
        <v>86.685302597507203</v>
      </c>
      <c r="AK2560">
        <v>20.6342816231803</v>
      </c>
      <c r="AL2560">
        <v>82.021881151382104</v>
      </c>
      <c r="AM2560">
        <v>87.196008201389304</v>
      </c>
      <c r="AN2560">
        <v>0.99999993305961099</v>
      </c>
    </row>
    <row r="2561" spans="1:40" x14ac:dyDescent="0.25">
      <c r="A2561" t="str">
        <f>"20190312164315474"</f>
        <v>20190312164315474</v>
      </c>
      <c r="B2561" t="str">
        <f>"1552380195467291"</f>
        <v>1552380195467291</v>
      </c>
      <c r="C2561" t="s">
        <v>40</v>
      </c>
      <c r="D2561">
        <v>4.5021680000000002</v>
      </c>
      <c r="E2561">
        <v>0.50394159999999999</v>
      </c>
      <c r="F2561" t="s">
        <v>46</v>
      </c>
      <c r="G2561">
        <v>-374.57690000000002</v>
      </c>
      <c r="H2561" s="1">
        <v>8.9880609999999997E-7</v>
      </c>
      <c r="I2561">
        <v>212.20939999999999</v>
      </c>
      <c r="J2561">
        <v>-395.60939999999999</v>
      </c>
      <c r="K2561">
        <v>1.1092569999999999</v>
      </c>
      <c r="L2561">
        <v>213.27010000000001</v>
      </c>
      <c r="M2561">
        <v>0.99993810000000005</v>
      </c>
      <c r="N2561">
        <v>0</v>
      </c>
      <c r="O2561">
        <v>7.3760479999999996E-3</v>
      </c>
      <c r="P2561">
        <v>0.99051429999999996</v>
      </c>
      <c r="Q2561">
        <v>0.13114410000000001</v>
      </c>
      <c r="R2561">
        <v>-4.1021660000000001E-2</v>
      </c>
      <c r="S2561">
        <v>3.0430299999999999</v>
      </c>
      <c r="T2561">
        <v>-0.15704370000000001</v>
      </c>
      <c r="U2561">
        <v>-0.14968870000000001</v>
      </c>
      <c r="V2561">
        <v>4.8331270000000003E-2</v>
      </c>
      <c r="W2561">
        <v>0.13940159999999999</v>
      </c>
      <c r="X2561">
        <v>0.98905580000000004</v>
      </c>
      <c r="Y2561">
        <v>5.641264E-2</v>
      </c>
      <c r="Z2561">
        <v>-1.8340229999999999E-3</v>
      </c>
      <c r="AA2561">
        <v>0.99840589999999996</v>
      </c>
      <c r="AB2561">
        <v>43</v>
      </c>
      <c r="AC2561">
        <v>21.032499999999899</v>
      </c>
      <c r="AD2561">
        <v>-1.1092561011938999</v>
      </c>
      <c r="AE2561">
        <v>-1.06070000000002</v>
      </c>
      <c r="AF2561">
        <v>1.21244936157284</v>
      </c>
      <c r="AG2561">
        <v>-1.1092561011938999</v>
      </c>
      <c r="AH2561">
        <v>20.965934580534999</v>
      </c>
      <c r="AI2561">
        <v>93.023513139377897</v>
      </c>
      <c r="AJ2561">
        <v>86.690300338141398</v>
      </c>
      <c r="AK2561">
        <v>21.030237644584201</v>
      </c>
      <c r="AL2561">
        <v>81.986779468112999</v>
      </c>
      <c r="AM2561">
        <v>87.202405793940997</v>
      </c>
      <c r="AN2561">
        <v>1.0000000466279999</v>
      </c>
    </row>
    <row r="2562" spans="1:40" x14ac:dyDescent="0.25">
      <c r="A2562" t="str">
        <f>"20190312164315495"</f>
        <v>20190312164315495</v>
      </c>
      <c r="B2562" t="str">
        <f>"1552380195486811"</f>
        <v>1552380195486811</v>
      </c>
      <c r="C2562" t="s">
        <v>40</v>
      </c>
      <c r="D2562">
        <v>4.5448649999999997</v>
      </c>
      <c r="E2562">
        <v>0.50285970000000002</v>
      </c>
      <c r="F2562" t="s">
        <v>41</v>
      </c>
      <c r="G2562">
        <v>-394.73079999999999</v>
      </c>
      <c r="H2562">
        <v>1.0428789999999999</v>
      </c>
      <c r="I2562">
        <v>213.2336</v>
      </c>
      <c r="J2562">
        <v>-395.1712</v>
      </c>
      <c r="K2562">
        <v>1.109264</v>
      </c>
      <c r="L2562">
        <v>213.27330000000001</v>
      </c>
      <c r="M2562">
        <v>0.99993790000000005</v>
      </c>
      <c r="N2562">
        <v>0</v>
      </c>
      <c r="O2562">
        <v>7.3769889999999996E-3</v>
      </c>
      <c r="P2562">
        <v>0.99031729999999996</v>
      </c>
      <c r="Q2562">
        <v>0.1324688</v>
      </c>
      <c r="R2562">
        <v>-4.1517720000000001E-2</v>
      </c>
      <c r="S2562">
        <v>3.0540769999999999</v>
      </c>
      <c r="T2562">
        <v>-0.2308819</v>
      </c>
      <c r="U2562">
        <v>-0.1258698</v>
      </c>
      <c r="V2562">
        <v>4.8826939999999999E-2</v>
      </c>
      <c r="W2562">
        <v>0.14074010000000001</v>
      </c>
      <c r="X2562">
        <v>0.98884179999999999</v>
      </c>
      <c r="Y2562">
        <v>4.8389710000000002E-2</v>
      </c>
      <c r="Z2562">
        <v>-2.3823960000000002E-3</v>
      </c>
      <c r="AA2562">
        <v>0.99882570000000004</v>
      </c>
      <c r="AB2562">
        <v>43</v>
      </c>
      <c r="AC2562">
        <v>0.44040000000001001</v>
      </c>
      <c r="AD2562">
        <v>-6.6384999999999902E-2</v>
      </c>
      <c r="AE2562">
        <v>-3.9700000000010498E-2</v>
      </c>
      <c r="AF2562">
        <v>4.2001203100917497E-2</v>
      </c>
      <c r="AG2562">
        <v>-6.6384999999999902E-2</v>
      </c>
      <c r="AH2562">
        <v>0.43039457047374902</v>
      </c>
      <c r="AI2562">
        <v>98.727511039851294</v>
      </c>
      <c r="AJ2562">
        <v>84.426287172553799</v>
      </c>
      <c r="AK2562">
        <v>0.43750492063542201</v>
      </c>
      <c r="AL2562">
        <v>81.909324904959007</v>
      </c>
      <c r="AM2562">
        <v>87.173150199550307</v>
      </c>
      <c r="AN2562">
        <v>0.99999997562250598</v>
      </c>
    </row>
    <row r="2563" spans="1:40" x14ac:dyDescent="0.25">
      <c r="A2563" t="str">
        <f>"20190312164315518"</f>
        <v>20190312164315518</v>
      </c>
      <c r="B2563" t="str">
        <f>"1552380195507307"</f>
        <v>1552380195507307</v>
      </c>
      <c r="C2563" t="s">
        <v>40</v>
      </c>
      <c r="D2563">
        <v>4.6051799999999998</v>
      </c>
      <c r="E2563">
        <v>0.50593189999999999</v>
      </c>
      <c r="F2563" t="s">
        <v>41</v>
      </c>
      <c r="G2563">
        <v>-394.34249999999997</v>
      </c>
      <c r="H2563">
        <v>1.044052</v>
      </c>
      <c r="I2563">
        <v>213.24119999999999</v>
      </c>
      <c r="J2563">
        <v>-394.74950000000001</v>
      </c>
      <c r="K2563">
        <v>1.109262</v>
      </c>
      <c r="L2563">
        <v>213.2764</v>
      </c>
      <c r="M2563">
        <v>0.99993770000000004</v>
      </c>
      <c r="N2563">
        <v>0</v>
      </c>
      <c r="O2563">
        <v>7.3777540000000003E-3</v>
      </c>
      <c r="P2563">
        <v>0.99021570000000003</v>
      </c>
      <c r="Q2563">
        <v>0.1331253</v>
      </c>
      <c r="R2563">
        <v>-4.1840130000000003E-2</v>
      </c>
      <c r="S2563">
        <v>3.0565190000000002</v>
      </c>
      <c r="T2563">
        <v>-0.2405525</v>
      </c>
      <c r="U2563">
        <v>-0.1182098</v>
      </c>
      <c r="V2563">
        <v>4.9149449999999997E-2</v>
      </c>
      <c r="W2563">
        <v>0.1414115</v>
      </c>
      <c r="X2563">
        <v>0.98873009999999995</v>
      </c>
      <c r="Y2563">
        <v>4.5852869999999997E-2</v>
      </c>
      <c r="Z2563">
        <v>-2.3804540000000002E-3</v>
      </c>
      <c r="AA2563">
        <v>0.99894539999999998</v>
      </c>
      <c r="AB2563">
        <v>43</v>
      </c>
      <c r="AC2563">
        <v>0.407000000000039</v>
      </c>
      <c r="AD2563">
        <v>-6.5209999999999907E-2</v>
      </c>
      <c r="AE2563">
        <v>-3.5200000000003201E-2</v>
      </c>
      <c r="AF2563">
        <v>3.7252686481700902E-2</v>
      </c>
      <c r="AG2563">
        <v>-6.5209999999999907E-2</v>
      </c>
      <c r="AH2563">
        <v>0.39662317032467698</v>
      </c>
      <c r="AI2563">
        <v>99.296443168624407</v>
      </c>
      <c r="AJ2563">
        <v>84.634256448971101</v>
      </c>
      <c r="AK2563">
        <v>0.40367071480168298</v>
      </c>
      <c r="AL2563">
        <v>81.870468473679594</v>
      </c>
      <c r="AM2563">
        <v>87.154188040374393</v>
      </c>
      <c r="AN2563">
        <v>1.0000000457067799</v>
      </c>
    </row>
    <row r="2564" spans="1:40" x14ac:dyDescent="0.25">
      <c r="A2564" t="str">
        <f>"20190312164315606"</f>
        <v>20190312164315606</v>
      </c>
      <c r="B2564" t="str">
        <f>"1552380195597099"</f>
        <v>1552380195597099</v>
      </c>
      <c r="C2564" t="s">
        <v>40</v>
      </c>
      <c r="D2564">
        <v>4.7187219999999996</v>
      </c>
      <c r="E2564">
        <v>0.53190090000000001</v>
      </c>
      <c r="F2564" t="s">
        <v>41</v>
      </c>
      <c r="G2564">
        <v>-392.44470000000001</v>
      </c>
      <c r="H2564">
        <v>0.9381273</v>
      </c>
      <c r="I2564">
        <v>213.16550000000001</v>
      </c>
      <c r="J2564">
        <v>-393.00470000000001</v>
      </c>
      <c r="K2564">
        <v>1.109254</v>
      </c>
      <c r="L2564">
        <v>213.2893</v>
      </c>
      <c r="M2564">
        <v>0.99993719999999997</v>
      </c>
      <c r="N2564">
        <v>0</v>
      </c>
      <c r="O2564">
        <v>7.3808169999999996E-3</v>
      </c>
      <c r="P2564">
        <v>0.99011300000000002</v>
      </c>
      <c r="Q2564">
        <v>0.1335876</v>
      </c>
      <c r="R2564">
        <v>-4.2790330000000001E-2</v>
      </c>
      <c r="S2564">
        <v>3.0852360000000001</v>
      </c>
      <c r="T2564">
        <v>-0.52913180000000004</v>
      </c>
      <c r="U2564">
        <v>-0.37179570000000001</v>
      </c>
      <c r="V2564">
        <v>5.0102140000000003E-2</v>
      </c>
      <c r="W2564">
        <v>0.14193439999999999</v>
      </c>
      <c r="X2564">
        <v>0.98860729999999997</v>
      </c>
      <c r="Y2564">
        <v>0.12506059999999999</v>
      </c>
      <c r="Z2564">
        <v>-1.186137E-2</v>
      </c>
      <c r="AA2564">
        <v>0.99207820000000002</v>
      </c>
      <c r="AB2564">
        <v>44</v>
      </c>
      <c r="AC2564">
        <v>0.56000000000000205</v>
      </c>
      <c r="AD2564">
        <v>-0.17112669999999999</v>
      </c>
      <c r="AE2564">
        <v>-0.123799999999988</v>
      </c>
      <c r="AF2564">
        <v>0.117471532155233</v>
      </c>
      <c r="AG2564">
        <v>-0.17112669999999999</v>
      </c>
      <c r="AH2564">
        <v>0.51336595530041895</v>
      </c>
      <c r="AI2564">
        <v>108.001249312184</v>
      </c>
      <c r="AJ2564">
        <v>77.111131805947394</v>
      </c>
      <c r="AK2564">
        <v>0.55374047385151504</v>
      </c>
      <c r="AL2564">
        <v>81.840202833346495</v>
      </c>
      <c r="AM2564">
        <v>87.098759757681805</v>
      </c>
      <c r="AN2564">
        <v>0.99999999597461398</v>
      </c>
    </row>
    <row r="2565" spans="1:40" x14ac:dyDescent="0.25">
      <c r="A2565" t="str">
        <f>"20190312164315629"</f>
        <v>20190312164315629</v>
      </c>
      <c r="B2565" t="str">
        <f>"1552380195627355"</f>
        <v>1552380195627355</v>
      </c>
      <c r="C2565" t="s">
        <v>40</v>
      </c>
      <c r="D2565">
        <v>4.5813160000000002</v>
      </c>
      <c r="E2565">
        <v>0.52484359999999997</v>
      </c>
      <c r="F2565" t="s">
        <v>41</v>
      </c>
      <c r="G2565">
        <v>-392.03129999999999</v>
      </c>
      <c r="H2565">
        <v>0.98579629999999996</v>
      </c>
      <c r="I2565">
        <v>213.17910000000001</v>
      </c>
      <c r="J2565">
        <v>-392.57040000000001</v>
      </c>
      <c r="K2565">
        <v>1.1092519999999999</v>
      </c>
      <c r="L2565">
        <v>213.29249999999999</v>
      </c>
      <c r="M2565">
        <v>0.99993719999999997</v>
      </c>
      <c r="N2565">
        <v>0</v>
      </c>
      <c r="O2565">
        <v>7.3812859999999999E-3</v>
      </c>
      <c r="P2565">
        <v>0.99014230000000003</v>
      </c>
      <c r="Q2565">
        <v>0.13329759999999999</v>
      </c>
      <c r="R2565">
        <v>-4.3020240000000001E-2</v>
      </c>
      <c r="S2565">
        <v>3.0674739999999998</v>
      </c>
      <c r="T2565">
        <v>-0.38915680000000002</v>
      </c>
      <c r="U2565">
        <v>-0.34689330000000002</v>
      </c>
      <c r="V2565">
        <v>5.0332700000000001E-2</v>
      </c>
      <c r="W2565">
        <v>0.14166019999999999</v>
      </c>
      <c r="X2565">
        <v>0.98863489999999998</v>
      </c>
      <c r="Y2565">
        <v>0.118705</v>
      </c>
      <c r="Z2565">
        <v>-8.4060719999999901E-3</v>
      </c>
      <c r="AA2565">
        <v>0.99289400000000005</v>
      </c>
      <c r="AB2565">
        <v>44</v>
      </c>
      <c r="AC2565">
        <v>0.53910000000001901</v>
      </c>
      <c r="AD2565">
        <v>-0.1234557</v>
      </c>
      <c r="AE2565">
        <v>-0.113399999999984</v>
      </c>
      <c r="AF2565">
        <v>0.111763494955909</v>
      </c>
      <c r="AG2565">
        <v>-0.1234557</v>
      </c>
      <c r="AH2565">
        <v>0.51250979403784502</v>
      </c>
      <c r="AI2565">
        <v>103.243741156431</v>
      </c>
      <c r="AJ2565">
        <v>77.698048242288607</v>
      </c>
      <c r="AK2565">
        <v>0.53888651648743602</v>
      </c>
      <c r="AL2565">
        <v>81.856073562645093</v>
      </c>
      <c r="AM2565">
        <v>87.085513025547399</v>
      </c>
      <c r="AN2565">
        <v>0.99999997922566897</v>
      </c>
    </row>
    <row r="2566" spans="1:40" x14ac:dyDescent="0.25">
      <c r="A2566" t="str">
        <f>"20190312164315651"</f>
        <v>20190312164315651</v>
      </c>
      <c r="B2566" t="str">
        <f>"1552380195646875"</f>
        <v>1552380195646875</v>
      </c>
      <c r="C2566" t="s">
        <v>40</v>
      </c>
      <c r="D2566">
        <v>4.5256150000000002</v>
      </c>
      <c r="E2566">
        <v>0.52320500000000003</v>
      </c>
      <c r="F2566" t="s">
        <v>41</v>
      </c>
      <c r="G2566">
        <v>-391.62560000000002</v>
      </c>
      <c r="H2566">
        <v>1.0156019999999999</v>
      </c>
      <c r="I2566">
        <v>213.20089999999999</v>
      </c>
      <c r="J2566">
        <v>-392.14440000000002</v>
      </c>
      <c r="K2566">
        <v>1.1092489999999999</v>
      </c>
      <c r="L2566">
        <v>213.29570000000001</v>
      </c>
      <c r="M2566">
        <v>0.99993690000000002</v>
      </c>
      <c r="N2566">
        <v>0</v>
      </c>
      <c r="O2566">
        <v>7.3822339999999997E-3</v>
      </c>
      <c r="P2566">
        <v>0.99015410000000004</v>
      </c>
      <c r="Q2566">
        <v>0.13309969999999999</v>
      </c>
      <c r="R2566">
        <v>-4.3352189999999999E-2</v>
      </c>
      <c r="S2566">
        <v>3.0578609999999999</v>
      </c>
      <c r="T2566">
        <v>-0.30326389999999998</v>
      </c>
      <c r="U2566">
        <v>-0.29565429999999998</v>
      </c>
      <c r="V2566">
        <v>5.0665799999999997E-2</v>
      </c>
      <c r="W2566">
        <v>0.14147699999999999</v>
      </c>
      <c r="X2566">
        <v>0.98864410000000003</v>
      </c>
      <c r="Y2566">
        <v>0.1030466</v>
      </c>
      <c r="Z2566">
        <v>-5.8143020000000004E-3</v>
      </c>
      <c r="AA2566">
        <v>0.99465950000000003</v>
      </c>
      <c r="AB2566">
        <v>44</v>
      </c>
      <c r="AC2566">
        <v>0.51879999999999804</v>
      </c>
      <c r="AD2566">
        <v>-9.36469999999998E-2</v>
      </c>
      <c r="AE2566">
        <v>-9.4800000000020604E-2</v>
      </c>
      <c r="AF2566">
        <v>9.5612788682113301E-2</v>
      </c>
      <c r="AG2566">
        <v>-9.36469999999998E-2</v>
      </c>
      <c r="AH2566">
        <v>0.50225007227737894</v>
      </c>
      <c r="AI2566">
        <v>100.37955277213599</v>
      </c>
      <c r="AJ2566">
        <v>79.221634880112305</v>
      </c>
      <c r="AK2566">
        <v>0.51977562569939995</v>
      </c>
      <c r="AL2566">
        <v>81.866676790009507</v>
      </c>
      <c r="AM2566">
        <v>87.066285892805993</v>
      </c>
      <c r="AN2566">
        <v>0.99999996064172403</v>
      </c>
    </row>
    <row r="2567" spans="1:40" x14ac:dyDescent="0.25">
      <c r="A2567" t="str">
        <f>"20190312164315674"</f>
        <v>20190312164315674</v>
      </c>
      <c r="B2567" t="str">
        <f>"1552380195667371"</f>
        <v>1552380195667371</v>
      </c>
      <c r="C2567" t="s">
        <v>40</v>
      </c>
      <c r="D2567">
        <v>4.5335449999999904</v>
      </c>
      <c r="E2567">
        <v>0.52169709999999903</v>
      </c>
      <c r="F2567" t="s">
        <v>41</v>
      </c>
      <c r="G2567">
        <v>-391.22730000000001</v>
      </c>
      <c r="H2567">
        <v>1.0279560000000001</v>
      </c>
      <c r="I2567">
        <v>213.21010000000001</v>
      </c>
      <c r="J2567">
        <v>-391.69369999999998</v>
      </c>
      <c r="K2567">
        <v>1.10924</v>
      </c>
      <c r="L2567">
        <v>213.29900000000001</v>
      </c>
      <c r="M2567">
        <v>0.99993679999999996</v>
      </c>
      <c r="N2567">
        <v>0</v>
      </c>
      <c r="O2567">
        <v>7.38282E-3</v>
      </c>
      <c r="P2567">
        <v>0.99014159999999996</v>
      </c>
      <c r="Q2567">
        <v>0.1332014</v>
      </c>
      <c r="R2567">
        <v>-4.33278E-2</v>
      </c>
      <c r="S2567">
        <v>3.0537719999999999</v>
      </c>
      <c r="T2567">
        <v>-0.27073709999999901</v>
      </c>
      <c r="U2567">
        <v>-0.28465269999999998</v>
      </c>
      <c r="V2567">
        <v>5.064188E-2</v>
      </c>
      <c r="W2567">
        <v>0.1415941</v>
      </c>
      <c r="X2567">
        <v>0.98862859999999997</v>
      </c>
      <c r="Y2567">
        <v>9.9743189999999995E-2</v>
      </c>
      <c r="Z2567">
        <v>-5.0552289999999996E-3</v>
      </c>
      <c r="AA2567">
        <v>0.99500040000000001</v>
      </c>
      <c r="AB2567">
        <v>44</v>
      </c>
      <c r="AC2567">
        <v>0.46639999999996401</v>
      </c>
      <c r="AD2567">
        <v>-8.1284000000000106E-2</v>
      </c>
      <c r="AE2567">
        <v>-8.8899999999995302E-2</v>
      </c>
      <c r="AF2567">
        <v>8.9711727907699601E-2</v>
      </c>
      <c r="AG2567">
        <v>-8.1284000000000106E-2</v>
      </c>
      <c r="AH2567">
        <v>0.45246970363273398</v>
      </c>
      <c r="AI2567">
        <v>99.993773377263494</v>
      </c>
      <c r="AJ2567">
        <v>78.785340280938598</v>
      </c>
      <c r="AK2567">
        <v>0.46838458075141598</v>
      </c>
      <c r="AL2567">
        <v>81.859899539347595</v>
      </c>
      <c r="AM2567">
        <v>87.067622626836197</v>
      </c>
      <c r="AN2567">
        <v>0.99999999895135205</v>
      </c>
    </row>
    <row r="2568" spans="1:40" x14ac:dyDescent="0.25">
      <c r="A2568" t="str">
        <f>"20190312164315697"</f>
        <v>20190312164315697</v>
      </c>
      <c r="B2568" t="str">
        <f>"1552380195686891"</f>
        <v>1552380195686891</v>
      </c>
      <c r="C2568" t="s">
        <v>40</v>
      </c>
      <c r="D2568">
        <v>4.7374390000000002</v>
      </c>
      <c r="E2568">
        <v>0.52117669999999905</v>
      </c>
      <c r="F2568" t="s">
        <v>41</v>
      </c>
      <c r="G2568">
        <v>-390.83019999999999</v>
      </c>
      <c r="H2568">
        <v>1.036581</v>
      </c>
      <c r="I2568">
        <v>213.22120000000001</v>
      </c>
      <c r="J2568">
        <v>-391.23829999999998</v>
      </c>
      <c r="K2568">
        <v>1.1092340000000001</v>
      </c>
      <c r="L2568">
        <v>213.30240000000001</v>
      </c>
      <c r="M2568">
        <v>0.99993659999999995</v>
      </c>
      <c r="N2568">
        <v>0</v>
      </c>
      <c r="O2568">
        <v>7.3834059999999899E-3</v>
      </c>
      <c r="P2568">
        <v>0.9901356</v>
      </c>
      <c r="Q2568">
        <v>0.13325239999999999</v>
      </c>
      <c r="R2568">
        <v>-4.3307169999999999E-2</v>
      </c>
      <c r="S2568">
        <v>3.0524900000000001</v>
      </c>
      <c r="T2568">
        <v>-0.2571138</v>
      </c>
      <c r="U2568">
        <v>-0.2734222</v>
      </c>
      <c r="V2568">
        <v>5.0621800000000002E-2</v>
      </c>
      <c r="W2568">
        <v>0.14166110000000001</v>
      </c>
      <c r="X2568">
        <v>0.98862000000000005</v>
      </c>
      <c r="Y2568">
        <v>9.6204129999999999E-2</v>
      </c>
      <c r="Z2568">
        <v>-4.6561249999999997E-3</v>
      </c>
      <c r="AA2568">
        <v>0.99535070000000003</v>
      </c>
      <c r="AB2568">
        <v>44</v>
      </c>
      <c r="AC2568">
        <v>0.40809999999999003</v>
      </c>
      <c r="AD2568">
        <v>-7.2652999999999995E-2</v>
      </c>
      <c r="AE2568">
        <v>-8.1199999999995498E-2</v>
      </c>
      <c r="AF2568">
        <v>8.1719690223350502E-2</v>
      </c>
      <c r="AG2568">
        <v>-7.2652999999999995E-2</v>
      </c>
      <c r="AH2568">
        <v>0.39543380337109002</v>
      </c>
      <c r="AI2568">
        <v>100.199971499101</v>
      </c>
      <c r="AJ2568">
        <v>78.323720149860804</v>
      </c>
      <c r="AK2568">
        <v>0.41027363920647703</v>
      </c>
      <c r="AL2568">
        <v>81.856021388453399</v>
      </c>
      <c r="AM2568">
        <v>87.068757860823098</v>
      </c>
      <c r="AN2568">
        <v>0.99999996914422395</v>
      </c>
    </row>
    <row r="2569" spans="1:40" x14ac:dyDescent="0.25">
      <c r="A2569" t="str">
        <f>"20190312164315721"</f>
        <v>20190312164315721</v>
      </c>
      <c r="B2569" t="str">
        <f>"1552380195717147"</f>
        <v>1552380195717147</v>
      </c>
      <c r="C2569" t="s">
        <v>40</v>
      </c>
      <c r="D2569">
        <v>4.8113539999999997</v>
      </c>
      <c r="E2569">
        <v>0.5216866</v>
      </c>
      <c r="F2569" t="s">
        <v>41</v>
      </c>
      <c r="G2569">
        <v>-390.4332</v>
      </c>
      <c r="H2569">
        <v>1.043995</v>
      </c>
      <c r="I2569">
        <v>213.2312</v>
      </c>
      <c r="J2569">
        <v>-390.78109999999998</v>
      </c>
      <c r="K2569">
        <v>1.1092470000000001</v>
      </c>
      <c r="L2569">
        <v>213.3057</v>
      </c>
      <c r="M2569">
        <v>0.99993650000000001</v>
      </c>
      <c r="N2569">
        <v>0</v>
      </c>
      <c r="O2569">
        <v>7.384168E-3</v>
      </c>
      <c r="P2569">
        <v>0.9902166</v>
      </c>
      <c r="Q2569">
        <v>0.13282339999999901</v>
      </c>
      <c r="R2569">
        <v>-4.2767840000000001E-2</v>
      </c>
      <c r="S2569">
        <v>3.051361</v>
      </c>
      <c r="T2569">
        <v>-0.2473071</v>
      </c>
      <c r="U2569">
        <v>-0.26988220000000002</v>
      </c>
      <c r="V2569">
        <v>5.0083950000000002E-2</v>
      </c>
      <c r="W2569">
        <v>0.1412495</v>
      </c>
      <c r="X2569">
        <v>0.98870630000000004</v>
      </c>
      <c r="Y2569">
        <v>9.5122310000000002E-2</v>
      </c>
      <c r="Z2569">
        <v>-4.4373729999999997E-3</v>
      </c>
      <c r="AA2569">
        <v>0.99545570000000005</v>
      </c>
      <c r="AB2569">
        <v>44</v>
      </c>
      <c r="AC2569">
        <v>0.347899999999981</v>
      </c>
      <c r="AD2569">
        <v>-6.5251999999999796E-2</v>
      </c>
      <c r="AE2569">
        <v>-7.4500000000000399E-2</v>
      </c>
      <c r="AF2569">
        <v>7.45591300850902E-2</v>
      </c>
      <c r="AG2569">
        <v>-6.5251999999999796E-2</v>
      </c>
      <c r="AH2569">
        <v>0.33603736311575799</v>
      </c>
      <c r="AI2569">
        <v>100.734219688536</v>
      </c>
      <c r="AJ2569">
        <v>77.490015319637195</v>
      </c>
      <c r="AK2569">
        <v>0.35033983044015599</v>
      </c>
      <c r="AL2569">
        <v>81.879844009350407</v>
      </c>
      <c r="AM2569">
        <v>87.100101181222101</v>
      </c>
      <c r="AN2569">
        <v>0.999999985478771</v>
      </c>
    </row>
    <row r="2570" spans="1:40" x14ac:dyDescent="0.25">
      <c r="A2570" t="str">
        <f>"20190312164315743"</f>
        <v>20190312164315743</v>
      </c>
      <c r="B2570" t="str">
        <f>"1552380195737643"</f>
        <v>1552380195737643</v>
      </c>
      <c r="C2570" t="s">
        <v>40</v>
      </c>
      <c r="D2570">
        <v>4.5206929999999996</v>
      </c>
      <c r="E2570">
        <v>0.52109209999999995</v>
      </c>
      <c r="F2570" t="s">
        <v>41</v>
      </c>
      <c r="G2570">
        <v>-390.0333</v>
      </c>
      <c r="H2570">
        <v>1.051912</v>
      </c>
      <c r="I2570">
        <v>213.23840000000001</v>
      </c>
      <c r="J2570">
        <v>-390.35239999999999</v>
      </c>
      <c r="K2570">
        <v>1.109248</v>
      </c>
      <c r="L2570">
        <v>213.30889999999999</v>
      </c>
      <c r="M2570">
        <v>0.9999363</v>
      </c>
      <c r="N2570">
        <v>0</v>
      </c>
      <c r="O2570">
        <v>7.3847569999999996E-3</v>
      </c>
      <c r="P2570">
        <v>0.9901913</v>
      </c>
      <c r="Q2570">
        <v>0.13307859999999999</v>
      </c>
      <c r="R2570">
        <v>-4.2560510000000003E-2</v>
      </c>
      <c r="S2570">
        <v>3.049194</v>
      </c>
      <c r="T2570">
        <v>-0.2340149</v>
      </c>
      <c r="U2570">
        <v>-0.27302549999999998</v>
      </c>
      <c r="V2570">
        <v>4.9876919999999998E-2</v>
      </c>
      <c r="W2570">
        <v>0.14152000000000001</v>
      </c>
      <c r="X2570">
        <v>0.9886781</v>
      </c>
      <c r="Y2570">
        <v>9.6234249999999993E-2</v>
      </c>
      <c r="Z2570">
        <v>-4.2449280000000002E-3</v>
      </c>
      <c r="AA2570">
        <v>0.99534959999999995</v>
      </c>
      <c r="AB2570">
        <v>44</v>
      </c>
      <c r="AC2570">
        <v>0.319099999999991</v>
      </c>
      <c r="AD2570">
        <v>-5.7335999999999797E-2</v>
      </c>
      <c r="AE2570">
        <v>-7.04999999999813E-2</v>
      </c>
      <c r="AF2570">
        <v>7.0678965395910495E-2</v>
      </c>
      <c r="AG2570">
        <v>-5.7335999999999797E-2</v>
      </c>
      <c r="AH2570">
        <v>0.30905710934075098</v>
      </c>
      <c r="AI2570">
        <v>100.25114723784699</v>
      </c>
      <c r="AJ2570">
        <v>77.118419822294797</v>
      </c>
      <c r="AK2570">
        <v>0.322178878698615</v>
      </c>
      <c r="AL2570">
        <v>81.864188365202395</v>
      </c>
      <c r="AM2570">
        <v>87.1119858084881</v>
      </c>
      <c r="AN2570">
        <v>1.0000000014841399</v>
      </c>
    </row>
    <row r="2571" spans="1:40" x14ac:dyDescent="0.25">
      <c r="A2571" t="str">
        <f>"20190312164315786"</f>
        <v>20190312164315786</v>
      </c>
      <c r="B2571" t="str">
        <f>"1552380195776682"</f>
        <v>1552380195776682</v>
      </c>
      <c r="C2571" t="s">
        <v>40</v>
      </c>
      <c r="D2571">
        <v>4.6964100000000002</v>
      </c>
      <c r="E2571">
        <v>0.48615039999999998</v>
      </c>
      <c r="F2571" t="s">
        <v>41</v>
      </c>
      <c r="G2571">
        <v>-389.25700000000001</v>
      </c>
      <c r="H2571">
        <v>1.0271870000000001</v>
      </c>
      <c r="I2571">
        <v>213.2122</v>
      </c>
      <c r="J2571">
        <v>-389.48930000000001</v>
      </c>
      <c r="K2571">
        <v>1.109254</v>
      </c>
      <c r="L2571">
        <v>213.31530000000001</v>
      </c>
      <c r="M2571">
        <v>0.99993609999999999</v>
      </c>
      <c r="N2571">
        <v>0</v>
      </c>
      <c r="O2571">
        <v>7.3856379999999999E-3</v>
      </c>
      <c r="P2571">
        <v>0.99011099999999996</v>
      </c>
      <c r="Q2571">
        <v>0.1341601</v>
      </c>
      <c r="R2571">
        <v>-4.1005350000000003E-2</v>
      </c>
      <c r="S2571">
        <v>3.048889</v>
      </c>
      <c r="T2571">
        <v>-0.2285423</v>
      </c>
      <c r="U2571">
        <v>-0.2680054</v>
      </c>
      <c r="V2571">
        <v>4.8322360000000002E-2</v>
      </c>
      <c r="W2571">
        <v>0.14263010000000001</v>
      </c>
      <c r="X2571">
        <v>0.98859580000000002</v>
      </c>
      <c r="Y2571">
        <v>9.4636049999999999E-2</v>
      </c>
      <c r="Z2571">
        <v>-4.0870129999999996E-3</v>
      </c>
      <c r="AA2571">
        <v>0.99550349999999999</v>
      </c>
      <c r="AB2571">
        <v>44</v>
      </c>
      <c r="AC2571">
        <v>0.23230000000006601</v>
      </c>
      <c r="AD2571">
        <v>-8.2067000000000098E-2</v>
      </c>
      <c r="AE2571">
        <v>-0.103100000000011</v>
      </c>
      <c r="AF2571">
        <v>9.4916184290116098E-2</v>
      </c>
      <c r="AG2571">
        <v>-8.2067000000000098E-2</v>
      </c>
      <c r="AH2571">
        <v>0.20967021744643399</v>
      </c>
      <c r="AI2571">
        <v>109.624958741543</v>
      </c>
      <c r="AJ2571">
        <v>65.644082696550697</v>
      </c>
      <c r="AK2571">
        <v>0.24434744650442</v>
      </c>
      <c r="AL2571">
        <v>81.799932699341696</v>
      </c>
      <c r="AM2571">
        <v>87.201621288143201</v>
      </c>
      <c r="AN2571">
        <v>1.0000000258398001</v>
      </c>
    </row>
    <row r="2572" spans="1:40" x14ac:dyDescent="0.25">
      <c r="A2572" t="str">
        <f>"20190312164315807"</f>
        <v>20190312164315807</v>
      </c>
      <c r="B2572" t="str">
        <f>"1552380195797179"</f>
        <v>1552380195797179</v>
      </c>
      <c r="C2572" t="s">
        <v>40</v>
      </c>
      <c r="D2572">
        <v>4.7714860000000003</v>
      </c>
      <c r="E2572">
        <v>0.48258329999999999</v>
      </c>
      <c r="F2572" t="s">
        <v>46</v>
      </c>
      <c r="G2572">
        <v>-367.40690000000001</v>
      </c>
      <c r="H2572" s="1">
        <v>2.404799E-6</v>
      </c>
      <c r="I2572">
        <v>213.40260000000001</v>
      </c>
      <c r="J2572">
        <v>-389.05329999999998</v>
      </c>
      <c r="K2572">
        <v>1.1092500000000001</v>
      </c>
      <c r="L2572">
        <v>213.3185</v>
      </c>
      <c r="M2572">
        <v>0.99993600000000005</v>
      </c>
      <c r="N2572">
        <v>0</v>
      </c>
      <c r="O2572">
        <v>7.3847309999999899E-3</v>
      </c>
      <c r="P2572">
        <v>0.9901122</v>
      </c>
      <c r="Q2572">
        <v>0.1344233</v>
      </c>
      <c r="R2572">
        <v>-4.010975E-2</v>
      </c>
      <c r="S2572">
        <v>3.0512079999999999</v>
      </c>
      <c r="T2572">
        <v>-0.1532694</v>
      </c>
      <c r="U2572">
        <v>1.2069699999999999E-2</v>
      </c>
      <c r="V2572">
        <v>4.7425879999999997E-2</v>
      </c>
      <c r="W2572">
        <v>0.1429086</v>
      </c>
      <c r="X2572">
        <v>0.98859889999999995</v>
      </c>
      <c r="Y2572">
        <v>3.4157520000000002E-3</v>
      </c>
      <c r="Z2572">
        <v>-4.5646329999999999E-4</v>
      </c>
      <c r="AA2572">
        <v>0.99999400000000005</v>
      </c>
      <c r="AB2572">
        <v>44</v>
      </c>
      <c r="AC2572">
        <v>21.6463999999999</v>
      </c>
      <c r="AD2572">
        <v>-1.1092475952009999</v>
      </c>
      <c r="AE2572">
        <v>8.4100000000006503E-2</v>
      </c>
      <c r="AF2572">
        <v>7.5562586130374601E-2</v>
      </c>
      <c r="AG2572">
        <v>-1.1092475952009999</v>
      </c>
      <c r="AH2572">
        <v>21.589738181940302</v>
      </c>
      <c r="AI2572">
        <v>92.941165014022701</v>
      </c>
      <c r="AJ2572">
        <v>89.799469564648902</v>
      </c>
      <c r="AK2572">
        <v>21.6183471777241</v>
      </c>
      <c r="AL2572">
        <v>81.783809907442105</v>
      </c>
      <c r="AM2572">
        <v>87.253465372750796</v>
      </c>
      <c r="AN2572">
        <v>0.99999993356447003</v>
      </c>
    </row>
    <row r="2573" spans="1:40" x14ac:dyDescent="0.25">
      <c r="A2573" t="str">
        <f>"20190312164315830"</f>
        <v>20190312164315830</v>
      </c>
      <c r="B2573" t="str">
        <f>"1552380195827435"</f>
        <v>1552380195827435</v>
      </c>
      <c r="C2573" t="s">
        <v>40</v>
      </c>
      <c r="D2573">
        <v>4.5147309999999896</v>
      </c>
      <c r="E2573">
        <v>0.48111939999999997</v>
      </c>
      <c r="F2573" t="s">
        <v>46</v>
      </c>
      <c r="G2573">
        <v>-366.33940000000001</v>
      </c>
      <c r="H2573" s="1">
        <v>1.8367299999999999E-6</v>
      </c>
      <c r="I2573">
        <v>213.6386</v>
      </c>
      <c r="J2573">
        <v>-388.61599999999999</v>
      </c>
      <c r="K2573">
        <v>1.1092500000000001</v>
      </c>
      <c r="L2573">
        <v>213.32169999999999</v>
      </c>
      <c r="M2573">
        <v>0.99993580000000004</v>
      </c>
      <c r="N2573">
        <v>0</v>
      </c>
      <c r="O2573">
        <v>7.3817880000000002E-3</v>
      </c>
      <c r="P2573">
        <v>0.99014219999999997</v>
      </c>
      <c r="Q2573">
        <v>0.1344428</v>
      </c>
      <c r="R2573">
        <v>-3.9290119999999998E-2</v>
      </c>
      <c r="S2573">
        <v>3.051971</v>
      </c>
      <c r="T2573">
        <v>-0.14904500000000001</v>
      </c>
      <c r="U2573">
        <v>4.3014530000000002E-2</v>
      </c>
      <c r="V2573">
        <v>4.660429E-2</v>
      </c>
      <c r="W2573">
        <v>0.1429435</v>
      </c>
      <c r="X2573">
        <v>0.98863299999999998</v>
      </c>
      <c r="Y2573">
        <v>-6.7117000000000001E-3</v>
      </c>
      <c r="Z2573">
        <v>-1.9648859999999999E-4</v>
      </c>
      <c r="AA2573">
        <v>0.99997749999999996</v>
      </c>
      <c r="AB2573">
        <v>44</v>
      </c>
      <c r="AC2573">
        <v>22.276599999999899</v>
      </c>
      <c r="AD2573">
        <v>-1.10924816327</v>
      </c>
      <c r="AE2573">
        <v>0.31690000000000401</v>
      </c>
      <c r="AF2573">
        <v>-0.15206717937620101</v>
      </c>
      <c r="AG2573">
        <v>-1.10924816327</v>
      </c>
      <c r="AH2573">
        <v>22.223241577988698</v>
      </c>
      <c r="AI2573">
        <v>92.8574162844358</v>
      </c>
      <c r="AJ2573">
        <v>90.392052238118495</v>
      </c>
      <c r="AK2573">
        <v>22.2514274182221</v>
      </c>
      <c r="AL2573">
        <v>81.781790144677501</v>
      </c>
      <c r="AM2573">
        <v>87.3010673965086</v>
      </c>
      <c r="AN2573">
        <v>1.0000000063638199</v>
      </c>
    </row>
    <row r="2574" spans="1:40" x14ac:dyDescent="0.25">
      <c r="A2574" t="str">
        <f>"20190312164315851"</f>
        <v>20190312164315851</v>
      </c>
      <c r="B2574" t="str">
        <f>"1552380195846954"</f>
        <v>1552380195846954</v>
      </c>
      <c r="C2574" t="s">
        <v>40</v>
      </c>
      <c r="D2574">
        <v>4.5017559999999897</v>
      </c>
      <c r="E2574">
        <v>0.48081869999999999</v>
      </c>
      <c r="F2574" t="s">
        <v>46</v>
      </c>
      <c r="G2574">
        <v>-364.97539999999998</v>
      </c>
      <c r="H2574" s="1">
        <v>1.1108889999999999E-6</v>
      </c>
      <c r="I2574">
        <v>213.76300000000001</v>
      </c>
      <c r="J2574">
        <v>-388.1925</v>
      </c>
      <c r="K2574">
        <v>1.1092470000000001</v>
      </c>
      <c r="L2574">
        <v>213.32490000000001</v>
      </c>
      <c r="M2574">
        <v>0.99993589999999999</v>
      </c>
      <c r="N2574">
        <v>0</v>
      </c>
      <c r="O2574">
        <v>7.3756789999999996E-3</v>
      </c>
      <c r="P2574">
        <v>0.99010949999999998</v>
      </c>
      <c r="Q2574">
        <v>0.13479169999999999</v>
      </c>
      <c r="R2574">
        <v>-3.892089E-2</v>
      </c>
      <c r="S2574">
        <v>3.0516049999999999</v>
      </c>
      <c r="T2574">
        <v>-0.14318549999999999</v>
      </c>
      <c r="U2574">
        <v>5.6961060000000001E-2</v>
      </c>
      <c r="V2574">
        <v>4.6229510000000001E-2</v>
      </c>
      <c r="W2574">
        <v>0.143306399999999</v>
      </c>
      <c r="X2574">
        <v>0.98859799999999998</v>
      </c>
      <c r="Y2574">
        <v>-1.128321E-2</v>
      </c>
      <c r="Z2574" s="1">
        <v>-8.1317730000000005E-5</v>
      </c>
      <c r="AA2574">
        <v>0.9999363</v>
      </c>
      <c r="AB2574">
        <v>44</v>
      </c>
      <c r="AC2574">
        <v>23.217099999999999</v>
      </c>
      <c r="AD2574">
        <v>-1.109245889111</v>
      </c>
      <c r="AE2574">
        <v>0.438099999999991</v>
      </c>
      <c r="AF2574">
        <v>-0.26623238723019799</v>
      </c>
      <c r="AG2574">
        <v>-1.109245889111</v>
      </c>
      <c r="AH2574">
        <v>23.1668368320904</v>
      </c>
      <c r="AI2574">
        <v>92.741091510338507</v>
      </c>
      <c r="AJ2574">
        <v>90.658411884830002</v>
      </c>
      <c r="AK2574">
        <v>23.1949053658604</v>
      </c>
      <c r="AL2574">
        <v>81.7607807334239</v>
      </c>
      <c r="AM2574">
        <v>87.322645181360002</v>
      </c>
      <c r="AN2574">
        <v>0.99999994873989795</v>
      </c>
    </row>
    <row r="2575" spans="1:40" x14ac:dyDescent="0.25">
      <c r="A2575" t="str">
        <f>"20190312164315875"</f>
        <v>20190312164315875</v>
      </c>
      <c r="B2575" t="str">
        <f>"1552380195867451"</f>
        <v>1552380195867451</v>
      </c>
      <c r="C2575" t="s">
        <v>40</v>
      </c>
      <c r="D2575">
        <v>4.514481</v>
      </c>
      <c r="E2575">
        <v>0.48060819999999999</v>
      </c>
      <c r="F2575" t="s">
        <v>46</v>
      </c>
      <c r="G2575">
        <v>-364.69110000000001</v>
      </c>
      <c r="H2575" s="1">
        <v>9.5957689999999995E-7</v>
      </c>
      <c r="I2575">
        <v>213.7903</v>
      </c>
      <c r="J2575">
        <v>-387.71300000000002</v>
      </c>
      <c r="K2575">
        <v>1.1092420000000001</v>
      </c>
      <c r="L2575">
        <v>213.32839999999999</v>
      </c>
      <c r="M2575">
        <v>0.99993569999999998</v>
      </c>
      <c r="N2575">
        <v>0</v>
      </c>
      <c r="O2575">
        <v>7.3653190000000004E-3</v>
      </c>
      <c r="P2575">
        <v>0.99011830000000001</v>
      </c>
      <c r="Q2575">
        <v>0.1349033</v>
      </c>
      <c r="R2575">
        <v>-3.8297970000000001E-2</v>
      </c>
      <c r="S2575">
        <v>3.051971</v>
      </c>
      <c r="T2575">
        <v>-0.1440504</v>
      </c>
      <c r="U2575">
        <v>6.0440059999999997E-2</v>
      </c>
      <c r="V2575">
        <v>4.5597810000000003E-2</v>
      </c>
      <c r="W2575">
        <v>0.1434348</v>
      </c>
      <c r="X2575">
        <v>0.98860879999999995</v>
      </c>
      <c r="Y2575">
        <v>-1.242941E-2</v>
      </c>
      <c r="Z2575" s="1">
        <v>-5.4276639999999997E-5</v>
      </c>
      <c r="AA2575">
        <v>0.9999228</v>
      </c>
      <c r="AB2575">
        <v>44</v>
      </c>
      <c r="AC2575">
        <v>23.021899999999999</v>
      </c>
      <c r="AD2575">
        <v>-1.1092410404230999</v>
      </c>
      <c r="AE2575">
        <v>0.46190000000001402</v>
      </c>
      <c r="AF2575">
        <v>-0.29164075624767499</v>
      </c>
      <c r="AG2575">
        <v>-1.1092410404230999</v>
      </c>
      <c r="AH2575">
        <v>22.971370984111001</v>
      </c>
      <c r="AI2575">
        <v>92.764327479137407</v>
      </c>
      <c r="AJ2575">
        <v>90.727378735064605</v>
      </c>
      <c r="AK2575">
        <v>22.999985976215701</v>
      </c>
      <c r="AL2575">
        <v>81.753347840509207</v>
      </c>
      <c r="AM2575">
        <v>87.359206374140896</v>
      </c>
      <c r="AN2575">
        <v>1.00000003078263</v>
      </c>
    </row>
    <row r="2576" spans="1:40" x14ac:dyDescent="0.25">
      <c r="A2576" t="str">
        <f>"20190312164315897"</f>
        <v>20190312164315897</v>
      </c>
      <c r="B2576" t="str">
        <f>"1552380195886971"</f>
        <v>1552380195886971</v>
      </c>
      <c r="C2576" t="s">
        <v>40</v>
      </c>
      <c r="D2576">
        <v>4.5099629999999999</v>
      </c>
      <c r="E2576">
        <v>0.48040260000000001</v>
      </c>
      <c r="F2576" t="s">
        <v>46</v>
      </c>
      <c r="G2576">
        <v>-364.23590000000002</v>
      </c>
      <c r="H2576" s="1">
        <v>7.173432E-7</v>
      </c>
      <c r="I2576">
        <v>213.82239999999999</v>
      </c>
      <c r="J2576">
        <v>-387.27069999999998</v>
      </c>
      <c r="K2576">
        <v>1.1092409999999999</v>
      </c>
      <c r="L2576">
        <v>213.33160000000001</v>
      </c>
      <c r="M2576">
        <v>0.99993569999999998</v>
      </c>
      <c r="N2576">
        <v>0</v>
      </c>
      <c r="O2576">
        <v>7.352941E-3</v>
      </c>
      <c r="P2576">
        <v>0.990151</v>
      </c>
      <c r="Q2576">
        <v>0.13465529999999901</v>
      </c>
      <c r="R2576">
        <v>-3.8329960000000003E-2</v>
      </c>
      <c r="S2576">
        <v>3.052063</v>
      </c>
      <c r="T2576">
        <v>-0.1442032</v>
      </c>
      <c r="U2576">
        <v>6.4224240000000002E-2</v>
      </c>
      <c r="V2576">
        <v>4.5618730000000003E-2</v>
      </c>
      <c r="W2576">
        <v>0.14320169999999999</v>
      </c>
      <c r="X2576">
        <v>0.98864160000000001</v>
      </c>
      <c r="Y2576">
        <v>-1.367903E-2</v>
      </c>
      <c r="Z2576" s="1">
        <v>-2.4245909999999998E-5</v>
      </c>
      <c r="AA2576">
        <v>0.99990639999999997</v>
      </c>
      <c r="AB2576">
        <v>45</v>
      </c>
      <c r="AC2576">
        <v>23.034799999999901</v>
      </c>
      <c r="AD2576">
        <v>-1.1092402826568</v>
      </c>
      <c r="AE2576">
        <v>0.49079999999997798</v>
      </c>
      <c r="AF2576">
        <v>-0.32066364357939597</v>
      </c>
      <c r="AG2576">
        <v>-1.1092402826568</v>
      </c>
      <c r="AH2576">
        <v>22.984511564908399</v>
      </c>
      <c r="AI2576">
        <v>92.762701504895503</v>
      </c>
      <c r="AJ2576">
        <v>90.799298323022697</v>
      </c>
      <c r="AK2576">
        <v>23.013496280539201</v>
      </c>
      <c r="AL2576">
        <v>81.766842580159903</v>
      </c>
      <c r="AM2576">
        <v>87.358084039409704</v>
      </c>
      <c r="AN2576">
        <v>1.00000000433013</v>
      </c>
    </row>
    <row r="2577" spans="1:40" x14ac:dyDescent="0.25">
      <c r="A2577" t="str">
        <f>"20190312164315920"</f>
        <v>20190312164315920</v>
      </c>
      <c r="B2577" t="str">
        <f>"1552380195917227"</f>
        <v>1552380195917227</v>
      </c>
      <c r="C2577" t="s">
        <v>40</v>
      </c>
      <c r="D2577">
        <v>4.4803689999999996</v>
      </c>
      <c r="E2577">
        <v>0.48067409999999999</v>
      </c>
      <c r="F2577" t="s">
        <v>46</v>
      </c>
      <c r="G2577">
        <v>-364.05079999999998</v>
      </c>
      <c r="H2577" s="1">
        <v>6.1881489999999995E-7</v>
      </c>
      <c r="I2577">
        <v>213.828</v>
      </c>
      <c r="J2577">
        <v>-386.82979999999998</v>
      </c>
      <c r="K2577">
        <v>1.109237</v>
      </c>
      <c r="L2577">
        <v>213.3349</v>
      </c>
      <c r="M2577">
        <v>0.99993569999999998</v>
      </c>
      <c r="N2577">
        <v>0</v>
      </c>
      <c r="O2577">
        <v>7.338603E-3</v>
      </c>
      <c r="P2577">
        <v>0.99019349999999995</v>
      </c>
      <c r="Q2577">
        <v>0.13438989999999901</v>
      </c>
      <c r="R2577">
        <v>-3.816431E-2</v>
      </c>
      <c r="S2577">
        <v>3.052216</v>
      </c>
      <c r="T2577">
        <v>-0.14580760000000001</v>
      </c>
      <c r="U2577">
        <v>6.5246579999999998E-2</v>
      </c>
      <c r="V2577">
        <v>4.5439859999999999E-2</v>
      </c>
      <c r="W2577">
        <v>0.142952</v>
      </c>
      <c r="X2577">
        <v>0.98868599999999995</v>
      </c>
      <c r="Y2577">
        <v>-1.4026510000000001E-2</v>
      </c>
      <c r="Z2577" s="1">
        <v>-1.5535510000000001E-5</v>
      </c>
      <c r="AA2577">
        <v>0.9999017</v>
      </c>
      <c r="AB2577">
        <v>45</v>
      </c>
      <c r="AC2577">
        <v>22.779</v>
      </c>
      <c r="AD2577">
        <v>-1.1092363811851</v>
      </c>
      <c r="AE2577">
        <v>0.49309999999999798</v>
      </c>
      <c r="AF2577">
        <v>-0.32514379683552902</v>
      </c>
      <c r="AG2577">
        <v>-1.1092363811851</v>
      </c>
      <c r="AH2577">
        <v>22.728136320087199</v>
      </c>
      <c r="AI2577">
        <v>92.793792126867402</v>
      </c>
      <c r="AJ2577">
        <v>90.819605106203895</v>
      </c>
      <c r="AK2577">
        <v>22.757510945233701</v>
      </c>
      <c r="AL2577">
        <v>81.781298280091605</v>
      </c>
      <c r="AM2577">
        <v>87.368546353685304</v>
      </c>
      <c r="AN2577">
        <v>1.0000000308884001</v>
      </c>
    </row>
    <row r="2578" spans="1:40" x14ac:dyDescent="0.25">
      <c r="A2578" t="str">
        <f>"20190312164315943"</f>
        <v>20190312164315943</v>
      </c>
      <c r="B2578" t="str">
        <f>"1552380195936747"</f>
        <v>1552380195936747</v>
      </c>
      <c r="C2578" t="s">
        <v>40</v>
      </c>
      <c r="D2578">
        <v>4.8749630000000002</v>
      </c>
      <c r="E2578">
        <v>0.48091460000000003</v>
      </c>
      <c r="F2578" t="s">
        <v>46</v>
      </c>
      <c r="G2578">
        <v>-362.66590000000002</v>
      </c>
      <c r="H2578" s="1">
        <v>-1.1813699999999999E-7</v>
      </c>
      <c r="I2578">
        <v>213.83260000000001</v>
      </c>
      <c r="J2578">
        <v>-386.35379999999998</v>
      </c>
      <c r="K2578">
        <v>1.109235</v>
      </c>
      <c r="L2578">
        <v>213.3383</v>
      </c>
      <c r="M2578">
        <v>0.99993560000000004</v>
      </c>
      <c r="N2578">
        <v>0</v>
      </c>
      <c r="O2578">
        <v>7.3210480000000001E-3</v>
      </c>
      <c r="P2578">
        <v>0.99024540000000005</v>
      </c>
      <c r="Q2578">
        <v>0.1341212</v>
      </c>
      <c r="R2578">
        <v>-3.7756129999999999E-2</v>
      </c>
      <c r="S2578">
        <v>3.0511170000000001</v>
      </c>
      <c r="T2578">
        <v>-0.1400604</v>
      </c>
      <c r="U2578">
        <v>6.2850950000000003E-2</v>
      </c>
      <c r="V2578">
        <v>4.5015340000000001E-2</v>
      </c>
      <c r="W2578">
        <v>0.14269949999999901</v>
      </c>
      <c r="X2578">
        <v>0.98874189999999995</v>
      </c>
      <c r="Y2578">
        <v>-1.326837E-2</v>
      </c>
      <c r="Z2578" s="1">
        <v>-3.151424E-5</v>
      </c>
      <c r="AA2578">
        <v>0.99991200000000002</v>
      </c>
      <c r="AB2578">
        <v>45</v>
      </c>
      <c r="AC2578">
        <v>23.6878999999999</v>
      </c>
      <c r="AD2578">
        <v>-1.1092351181369999</v>
      </c>
      <c r="AE2578">
        <v>0.49430000000000901</v>
      </c>
      <c r="AF2578">
        <v>-0.32015824893</v>
      </c>
      <c r="AG2578">
        <v>-1.1092351181369999</v>
      </c>
      <c r="AH2578">
        <v>23.639071457806601</v>
      </c>
      <c r="AI2578">
        <v>92.686319191989398</v>
      </c>
      <c r="AJ2578">
        <v>90.775943970761801</v>
      </c>
      <c r="AK2578">
        <v>23.667247479141999</v>
      </c>
      <c r="AL2578">
        <v>81.795915366255102</v>
      </c>
      <c r="AM2578">
        <v>87.393243707225494</v>
      </c>
      <c r="AN2578">
        <v>1.0000000364755799</v>
      </c>
    </row>
    <row r="2579" spans="1:40" x14ac:dyDescent="0.25">
      <c r="A2579" t="str">
        <f>"20190312164315966"</f>
        <v>20190312164315966</v>
      </c>
      <c r="B2579" t="str">
        <f>"1552380195957243"</f>
        <v>1552380195957243</v>
      </c>
      <c r="C2579" t="s">
        <v>40</v>
      </c>
      <c r="D2579">
        <v>4.6341060000000001</v>
      </c>
      <c r="E2579">
        <v>0.4811105</v>
      </c>
      <c r="F2579" t="s">
        <v>46</v>
      </c>
      <c r="G2579">
        <v>-361.6893</v>
      </c>
      <c r="H2579" s="1">
        <v>-6.3780769999999898E-7</v>
      </c>
      <c r="I2579">
        <v>213.84180000000001</v>
      </c>
      <c r="J2579">
        <v>-385.90179999999998</v>
      </c>
      <c r="K2579">
        <v>1.109232</v>
      </c>
      <c r="L2579">
        <v>213.3416</v>
      </c>
      <c r="M2579">
        <v>0.99993560000000004</v>
      </c>
      <c r="N2579">
        <v>0</v>
      </c>
      <c r="O2579">
        <v>7.302785E-3</v>
      </c>
      <c r="P2579">
        <v>0.990263</v>
      </c>
      <c r="Q2579">
        <v>0.13406009999999999</v>
      </c>
      <c r="R2579">
        <v>-3.751372E-2</v>
      </c>
      <c r="S2579">
        <v>3.0505070000000001</v>
      </c>
      <c r="T2579">
        <v>-0.1371907</v>
      </c>
      <c r="U2579">
        <v>6.2271119999999999E-2</v>
      </c>
      <c r="V2579">
        <v>4.47556E-2</v>
      </c>
      <c r="W2579">
        <v>0.14265420000000001</v>
      </c>
      <c r="X2579">
        <v>0.98876019999999998</v>
      </c>
      <c r="Y2579">
        <v>-1.310118E-2</v>
      </c>
      <c r="Z2579" s="1">
        <v>-3.3812069999999999E-5</v>
      </c>
      <c r="AA2579">
        <v>0.99991419999999998</v>
      </c>
      <c r="AB2579">
        <v>45</v>
      </c>
      <c r="AC2579">
        <v>24.212499999999899</v>
      </c>
      <c r="AD2579">
        <v>-1.1092326378077</v>
      </c>
      <c r="AE2579">
        <v>0.50020000000000597</v>
      </c>
      <c r="AF2579">
        <v>-0.32268435365437198</v>
      </c>
      <c r="AG2579">
        <v>-1.1092326378077</v>
      </c>
      <c r="AH2579">
        <v>24.164812415611699</v>
      </c>
      <c r="AI2579">
        <v>92.627958059177402</v>
      </c>
      <c r="AJ2579">
        <v>90.765052608454397</v>
      </c>
      <c r="AK2579">
        <v>24.192409580663401</v>
      </c>
      <c r="AL2579">
        <v>81.798537464655595</v>
      </c>
      <c r="AM2579">
        <v>87.408312111274</v>
      </c>
      <c r="AN2579">
        <v>1.00000000880652</v>
      </c>
    </row>
    <row r="2580" spans="1:40" x14ac:dyDescent="0.25">
      <c r="A2580" t="str">
        <f>"20190312164315988"</f>
        <v>20190312164315988</v>
      </c>
      <c r="B2580" t="str">
        <f>"1552380195976764"</f>
        <v>1552380195976764</v>
      </c>
      <c r="C2580" t="s">
        <v>40</v>
      </c>
      <c r="D2580">
        <v>4.625203</v>
      </c>
      <c r="E2580">
        <v>0.48129549999999999</v>
      </c>
      <c r="F2580" t="s">
        <v>46</v>
      </c>
      <c r="G2580">
        <v>-360.9391</v>
      </c>
      <c r="H2580" s="1">
        <v>-1.0370599999999999E-6</v>
      </c>
      <c r="I2580">
        <v>213.8443</v>
      </c>
      <c r="J2580">
        <v>-385.45859999999999</v>
      </c>
      <c r="K2580">
        <v>1.1092340000000001</v>
      </c>
      <c r="L2580">
        <v>213.3449</v>
      </c>
      <c r="M2580">
        <v>0.99993560000000004</v>
      </c>
      <c r="N2580">
        <v>0</v>
      </c>
      <c r="O2580">
        <v>7.2842289999999997E-3</v>
      </c>
      <c r="P2580">
        <v>0.99025050000000003</v>
      </c>
      <c r="Q2580">
        <v>0.13435849999999999</v>
      </c>
      <c r="R2580">
        <v>-3.6766819999999999E-2</v>
      </c>
      <c r="S2580">
        <v>3.0501710000000002</v>
      </c>
      <c r="T2580">
        <v>-0.1355362</v>
      </c>
      <c r="U2580">
        <v>6.141663E-2</v>
      </c>
      <c r="V2580">
        <v>4.3990559999999998E-2</v>
      </c>
      <c r="W2580">
        <v>0.1429676</v>
      </c>
      <c r="X2580">
        <v>0.98874930000000005</v>
      </c>
      <c r="Y2580">
        <v>-1.2842350000000001E-2</v>
      </c>
      <c r="Z2580" s="1">
        <v>-3.8331809999999998E-5</v>
      </c>
      <c r="AA2580">
        <v>0.99991750000000001</v>
      </c>
      <c r="AB2580">
        <v>45</v>
      </c>
      <c r="AC2580">
        <v>24.519499999999901</v>
      </c>
      <c r="AD2580">
        <v>-1.1092350370599999</v>
      </c>
      <c r="AE2580">
        <v>0.499400000000008</v>
      </c>
      <c r="AF2580">
        <v>-0.32011946176082801</v>
      </c>
      <c r="AG2580">
        <v>-1.1092350370599999</v>
      </c>
      <c r="AH2580">
        <v>24.472423868431701</v>
      </c>
      <c r="AI2580">
        <v>92.594985751960394</v>
      </c>
      <c r="AJ2580">
        <v>90.749433246978001</v>
      </c>
      <c r="AK2580">
        <v>24.4996409939702</v>
      </c>
      <c r="AL2580">
        <v>81.780395274667299</v>
      </c>
      <c r="AM2580">
        <v>87.452526802787204</v>
      </c>
      <c r="AN2580">
        <v>1.0000000411346801</v>
      </c>
    </row>
    <row r="2581" spans="1:40" x14ac:dyDescent="0.25">
      <c r="A2581" t="str">
        <f>"20190312164316009"</f>
        <v>20190312164316009</v>
      </c>
      <c r="B2581" t="str">
        <f>"1552380195997259"</f>
        <v>1552380195997259</v>
      </c>
      <c r="C2581" t="s">
        <v>40</v>
      </c>
      <c r="D2581">
        <v>4.4623980000000003</v>
      </c>
      <c r="E2581">
        <v>0.48134290000000002</v>
      </c>
      <c r="F2581" t="s">
        <v>46</v>
      </c>
      <c r="G2581">
        <v>-360.13549999999998</v>
      </c>
      <c r="H2581" s="1">
        <v>-1.4646799999999901E-6</v>
      </c>
      <c r="I2581">
        <v>213.86340000000001</v>
      </c>
      <c r="J2581">
        <v>-385.01740000000001</v>
      </c>
      <c r="K2581">
        <v>1.1092310000000001</v>
      </c>
      <c r="L2581">
        <v>213.34809999999999</v>
      </c>
      <c r="M2581">
        <v>0.99993560000000004</v>
      </c>
      <c r="N2581">
        <v>0</v>
      </c>
      <c r="O2581">
        <v>7.2656719999999999E-3</v>
      </c>
      <c r="P2581">
        <v>0.99023600000000001</v>
      </c>
      <c r="Q2581">
        <v>0.13445850000000001</v>
      </c>
      <c r="R2581">
        <v>-3.6791530000000003E-2</v>
      </c>
      <c r="S2581">
        <v>3.049957</v>
      </c>
      <c r="T2581">
        <v>-0.1335983</v>
      </c>
      <c r="U2581">
        <v>6.2454219999999998E-2</v>
      </c>
      <c r="V2581">
        <v>4.3997139999999997E-2</v>
      </c>
      <c r="W2581">
        <v>0.14308219999999999</v>
      </c>
      <c r="X2581">
        <v>0.98873239999999996</v>
      </c>
      <c r="Y2581">
        <v>-1.3202129999999999E-2</v>
      </c>
      <c r="Z2581" s="1">
        <v>-2.9098969999999998E-5</v>
      </c>
      <c r="AA2581">
        <v>0.99991289999999999</v>
      </c>
      <c r="AB2581">
        <v>45</v>
      </c>
      <c r="AC2581">
        <v>24.881900000000002</v>
      </c>
      <c r="AD2581">
        <v>-1.10923246467999</v>
      </c>
      <c r="AE2581">
        <v>0.51530000000002396</v>
      </c>
      <c r="AF2581">
        <v>-0.33383263908121202</v>
      </c>
      <c r="AG2581">
        <v>-1.10923246467999</v>
      </c>
      <c r="AH2581">
        <v>24.8356509352597</v>
      </c>
      <c r="AI2581">
        <v>92.557066101030102</v>
      </c>
      <c r="AJ2581">
        <v>90.770104616936393</v>
      </c>
      <c r="AK2581">
        <v>24.862650668617</v>
      </c>
      <c r="AL2581">
        <v>81.773760726862093</v>
      </c>
      <c r="AM2581">
        <v>87.452102768055795</v>
      </c>
      <c r="AN2581">
        <v>1.0000000115473799</v>
      </c>
    </row>
    <row r="2582" spans="1:40" x14ac:dyDescent="0.25">
      <c r="A2582" t="str">
        <f>"20190312164316030"</f>
        <v>20190312164316030</v>
      </c>
      <c r="B2582" t="str">
        <f>"1552380196027515"</f>
        <v>1552380196027515</v>
      </c>
      <c r="C2582" t="s">
        <v>40</v>
      </c>
      <c r="D2582">
        <v>4.5670070000000003</v>
      </c>
      <c r="E2582">
        <v>0.48153249999999997</v>
      </c>
      <c r="F2582" t="s">
        <v>46</v>
      </c>
      <c r="G2582">
        <v>-359.74130000000002</v>
      </c>
      <c r="H2582" s="1">
        <v>3.6799830000000001E-6</v>
      </c>
      <c r="I2582">
        <v>213.86340000000001</v>
      </c>
      <c r="J2582">
        <v>-384.61160000000001</v>
      </c>
      <c r="K2582">
        <v>1.109227</v>
      </c>
      <c r="L2582">
        <v>213.351</v>
      </c>
      <c r="M2582">
        <v>0.99993560000000004</v>
      </c>
      <c r="N2582">
        <v>0</v>
      </c>
      <c r="O2582">
        <v>7.2486709999999999E-3</v>
      </c>
      <c r="P2582">
        <v>0.99017650000000001</v>
      </c>
      <c r="Q2582">
        <v>0.13481570000000001</v>
      </c>
      <c r="R2582">
        <v>-3.7086870000000001E-2</v>
      </c>
      <c r="S2582">
        <v>3.0500790000000002</v>
      </c>
      <c r="T2582">
        <v>-0.1338511</v>
      </c>
      <c r="U2582">
        <v>6.2179570000000003E-2</v>
      </c>
      <c r="V2582">
        <v>4.4275719999999998E-2</v>
      </c>
      <c r="W2582">
        <v>0.14345269999999999</v>
      </c>
      <c r="X2582">
        <v>0.98866620000000005</v>
      </c>
      <c r="Y2582">
        <v>-1.312835E-2</v>
      </c>
      <c r="Z2582" s="1">
        <v>-3.0025430000000001E-5</v>
      </c>
      <c r="AA2582">
        <v>0.99991379999999996</v>
      </c>
      <c r="AB2582">
        <v>45</v>
      </c>
      <c r="AC2582">
        <v>24.870299999999901</v>
      </c>
      <c r="AD2582">
        <v>-1.1092233200170001</v>
      </c>
      <c r="AE2582">
        <v>0.51240000000001296</v>
      </c>
      <c r="AF2582">
        <v>-0.33144401629777198</v>
      </c>
      <c r="AG2582">
        <v>-1.1092233200170001</v>
      </c>
      <c r="AH2582">
        <v>24.824002251729901</v>
      </c>
      <c r="AI2582">
        <v>92.558246426894698</v>
      </c>
      <c r="AJ2582">
        <v>90.764953803228707</v>
      </c>
      <c r="AK2582">
        <v>24.8509822603353</v>
      </c>
      <c r="AL2582">
        <v>81.7523107399564</v>
      </c>
      <c r="AM2582">
        <v>87.435820063507194</v>
      </c>
      <c r="AN2582">
        <v>0.99999993577062196</v>
      </c>
    </row>
    <row r="2583" spans="1:40" x14ac:dyDescent="0.25">
      <c r="A2583" t="str">
        <f>"20190312164316053"</f>
        <v>20190312164316053</v>
      </c>
      <c r="B2583" t="str">
        <f>"1552380196047036"</f>
        <v>1552380196047036</v>
      </c>
      <c r="C2583" t="s">
        <v>40</v>
      </c>
      <c r="D2583">
        <v>4.4541519999999997</v>
      </c>
      <c r="E2583">
        <v>0.48174929999999999</v>
      </c>
      <c r="F2583" t="s">
        <v>46</v>
      </c>
      <c r="G2583">
        <v>-359.34469999999999</v>
      </c>
      <c r="H2583" s="1">
        <v>3.4697110000000001E-6</v>
      </c>
      <c r="I2583">
        <v>213.84469999999999</v>
      </c>
      <c r="J2583">
        <v>-384.13080000000002</v>
      </c>
      <c r="K2583">
        <v>1.1092299999999999</v>
      </c>
      <c r="L2583">
        <v>213.3545</v>
      </c>
      <c r="M2583">
        <v>0.99993560000000004</v>
      </c>
      <c r="N2583">
        <v>0</v>
      </c>
      <c r="O2583">
        <v>7.2285580000000004E-3</v>
      </c>
      <c r="P2583">
        <v>0.99002970000000001</v>
      </c>
      <c r="Q2583">
        <v>0.1357332</v>
      </c>
      <c r="R2583">
        <v>-3.7658589999999999E-2</v>
      </c>
      <c r="S2583">
        <v>3.0502319999999998</v>
      </c>
      <c r="T2583">
        <v>-0.13390589999999999</v>
      </c>
      <c r="U2583">
        <v>5.960083E-2</v>
      </c>
      <c r="V2583">
        <v>4.482676E-2</v>
      </c>
      <c r="W2583">
        <v>0.14438509999999999</v>
      </c>
      <c r="X2583">
        <v>0.98850570000000004</v>
      </c>
      <c r="Y2583">
        <v>-1.230319E-2</v>
      </c>
      <c r="Z2583" s="1">
        <v>-4.725615E-5</v>
      </c>
      <c r="AA2583">
        <v>0.99992429999999999</v>
      </c>
      <c r="AB2583">
        <v>45</v>
      </c>
      <c r="AC2583">
        <v>24.786100000000001</v>
      </c>
      <c r="AD2583">
        <v>-1.1092265302890001</v>
      </c>
      <c r="AE2583">
        <v>0.49019999999998698</v>
      </c>
      <c r="AF2583">
        <v>-0.31039118382883202</v>
      </c>
      <c r="AG2583">
        <v>-1.1092265302890001</v>
      </c>
      <c r="AH2583">
        <v>24.739468656642799</v>
      </c>
      <c r="AI2583">
        <v>92.567010310550202</v>
      </c>
      <c r="AJ2583">
        <v>90.718817854262198</v>
      </c>
      <c r="AK2583">
        <v>24.766268099887601</v>
      </c>
      <c r="AL2583">
        <v>81.698326739468399</v>
      </c>
      <c r="AM2583">
        <v>87.403529641578203</v>
      </c>
      <c r="AN2583">
        <v>1.00000000722329</v>
      </c>
    </row>
    <row r="2584" spans="1:40" x14ac:dyDescent="0.25">
      <c r="A2584" t="str">
        <f>"20190312164316075"</f>
        <v>20190312164316075</v>
      </c>
      <c r="B2584" t="str">
        <f>"1552380196067531"</f>
        <v>1552380196067531</v>
      </c>
      <c r="C2584" t="s">
        <v>40</v>
      </c>
      <c r="D2584">
        <v>4.615138</v>
      </c>
      <c r="E2584">
        <v>0.48192639999999998</v>
      </c>
      <c r="F2584" t="s">
        <v>46</v>
      </c>
      <c r="G2584">
        <v>-358.32190000000003</v>
      </c>
      <c r="H2584" s="1">
        <v>2.9261280000000002E-6</v>
      </c>
      <c r="I2584">
        <v>213.82910000000001</v>
      </c>
      <c r="J2584">
        <v>-383.68389999999999</v>
      </c>
      <c r="K2584">
        <v>1.109227</v>
      </c>
      <c r="L2584">
        <v>213.35769999999999</v>
      </c>
      <c r="M2584">
        <v>0.99993569999999998</v>
      </c>
      <c r="N2584">
        <v>0</v>
      </c>
      <c r="O2584">
        <v>7.2100039999999999E-3</v>
      </c>
      <c r="P2584">
        <v>0.98998109999999995</v>
      </c>
      <c r="Q2584">
        <v>0.13603029999999999</v>
      </c>
      <c r="R2584">
        <v>-3.7858160000000002E-2</v>
      </c>
      <c r="S2584">
        <v>3.0503230000000001</v>
      </c>
      <c r="T2584">
        <v>-0.1310983</v>
      </c>
      <c r="U2584">
        <v>5.6091309999999998E-2</v>
      </c>
      <c r="V2584">
        <v>4.5008239999999998E-2</v>
      </c>
      <c r="W2584">
        <v>0.14469650000000001</v>
      </c>
      <c r="X2584">
        <v>0.98845190000000005</v>
      </c>
      <c r="Y2584">
        <v>-1.1172339999999999E-2</v>
      </c>
      <c r="Z2584" s="1">
        <v>-6.9756539999999998E-5</v>
      </c>
      <c r="AA2584">
        <v>0.99993759999999998</v>
      </c>
      <c r="AB2584">
        <v>45</v>
      </c>
      <c r="AC2584">
        <v>25.361999999999899</v>
      </c>
      <c r="AD2584">
        <v>-1.1092240738720001</v>
      </c>
      <c r="AE2584">
        <v>0.47140000000001597</v>
      </c>
      <c r="AF2584">
        <v>-0.287969978474307</v>
      </c>
      <c r="AG2584">
        <v>-1.1092240738720001</v>
      </c>
      <c r="AH2584">
        <v>25.316331077063602</v>
      </c>
      <c r="AI2584">
        <v>92.508623102917099</v>
      </c>
      <c r="AJ2584">
        <v>90.651703945132397</v>
      </c>
      <c r="AK2584">
        <v>25.3422556998791</v>
      </c>
      <c r="AL2584">
        <v>81.680295329488601</v>
      </c>
      <c r="AM2584">
        <v>87.392890672442107</v>
      </c>
      <c r="AN2584">
        <v>0.99999998869687801</v>
      </c>
    </row>
    <row r="2585" spans="1:40" x14ac:dyDescent="0.25">
      <c r="A2585" t="str">
        <f>"20190312164316097"</f>
        <v>20190312164316097</v>
      </c>
      <c r="B2585" t="str">
        <f>"1552380196087069"</f>
        <v>1552380196087069</v>
      </c>
      <c r="C2585" t="s">
        <v>40</v>
      </c>
      <c r="D2585">
        <v>4.4408070000000004</v>
      </c>
      <c r="E2585">
        <v>0.48204950000000002</v>
      </c>
      <c r="F2585" t="s">
        <v>46</v>
      </c>
      <c r="G2585">
        <v>-357.65730000000002</v>
      </c>
      <c r="H2585" s="1">
        <v>2.572992E-6</v>
      </c>
      <c r="I2585">
        <v>213.8168</v>
      </c>
      <c r="J2585">
        <v>-383.2328</v>
      </c>
      <c r="K2585">
        <v>1.1092249999999999</v>
      </c>
      <c r="L2585">
        <v>213.36089999999999</v>
      </c>
      <c r="M2585">
        <v>0.99993569999999998</v>
      </c>
      <c r="N2585">
        <v>0</v>
      </c>
      <c r="O2585">
        <v>7.1909740000000002E-3</v>
      </c>
      <c r="P2585">
        <v>0.98986339999999995</v>
      </c>
      <c r="Q2585">
        <v>0.1368452</v>
      </c>
      <c r="R2585">
        <v>-3.800419E-2</v>
      </c>
      <c r="S2585">
        <v>3.0503230000000001</v>
      </c>
      <c r="T2585">
        <v>-0.13000149999999999</v>
      </c>
      <c r="U2585">
        <v>5.3802490000000001E-2</v>
      </c>
      <c r="V2585">
        <v>4.5134639999999997E-2</v>
      </c>
      <c r="W2585">
        <v>0.1455255</v>
      </c>
      <c r="X2585">
        <v>0.98832450000000005</v>
      </c>
      <c r="Y2585">
        <v>-1.044201E-2</v>
      </c>
      <c r="Z2585" s="1">
        <v>-8.3918390000000005E-5</v>
      </c>
      <c r="AA2585">
        <v>0.99994550000000004</v>
      </c>
      <c r="AB2585">
        <v>45</v>
      </c>
      <c r="AC2585">
        <v>25.575499999999899</v>
      </c>
      <c r="AD2585">
        <v>-1.109222427008</v>
      </c>
      <c r="AE2585">
        <v>0.45590000000001402</v>
      </c>
      <c r="AF2585">
        <v>-0.27145793510207</v>
      </c>
      <c r="AG2585">
        <v>-1.109222427008</v>
      </c>
      <c r="AH2585">
        <v>25.530110268150001</v>
      </c>
      <c r="AI2585">
        <v>92.487659966276496</v>
      </c>
      <c r="AJ2585">
        <v>90.609194701081805</v>
      </c>
      <c r="AK2585">
        <v>25.555637227567001</v>
      </c>
      <c r="AL2585">
        <v>81.632289616078097</v>
      </c>
      <c r="AM2585">
        <v>87.385242533133095</v>
      </c>
      <c r="AN2585">
        <v>1.00000006208921</v>
      </c>
    </row>
    <row r="2586" spans="1:40" x14ac:dyDescent="0.25">
      <c r="A2586" t="str">
        <f>"20190312164316120"</f>
        <v>20190312164316120</v>
      </c>
      <c r="B2586" t="str">
        <f>"1552380196107551"</f>
        <v>1552380196107551</v>
      </c>
      <c r="C2586" t="s">
        <v>40</v>
      </c>
      <c r="D2586">
        <v>4.41892</v>
      </c>
      <c r="E2586">
        <v>0.48222429999999999</v>
      </c>
      <c r="F2586" t="s">
        <v>46</v>
      </c>
      <c r="G2586">
        <v>-356.69330000000002</v>
      </c>
      <c r="H2586" s="1">
        <v>2.0599369999999999E-6</v>
      </c>
      <c r="I2586">
        <v>213.81780000000001</v>
      </c>
      <c r="J2586">
        <v>-382.79840000000002</v>
      </c>
      <c r="K2586">
        <v>1.1092219999999999</v>
      </c>
      <c r="L2586">
        <v>213.364</v>
      </c>
      <c r="M2586">
        <v>0.99993569999999998</v>
      </c>
      <c r="N2586">
        <v>0</v>
      </c>
      <c r="O2586">
        <v>7.1729019999999897E-3</v>
      </c>
      <c r="P2586">
        <v>0.98979620000000001</v>
      </c>
      <c r="Q2586">
        <v>0.1372892</v>
      </c>
      <c r="R2586">
        <v>-3.8145999999999999E-2</v>
      </c>
      <c r="S2586">
        <v>3.0503230000000001</v>
      </c>
      <c r="T2586">
        <v>-0.1274884</v>
      </c>
      <c r="U2586">
        <v>5.2505490000000002E-2</v>
      </c>
      <c r="V2586">
        <v>4.5258529999999998E-2</v>
      </c>
      <c r="W2586">
        <v>0.14598349999999999</v>
      </c>
      <c r="X2586">
        <v>0.9882512</v>
      </c>
      <c r="Y2586">
        <v>-1.0035489999999999E-2</v>
      </c>
      <c r="Z2586" s="1">
        <v>-9.0034050000000002E-5</v>
      </c>
      <c r="AA2586">
        <v>0.99994959999999999</v>
      </c>
      <c r="AB2586">
        <v>45</v>
      </c>
      <c r="AC2586">
        <v>26.1051</v>
      </c>
      <c r="AD2586">
        <v>-1.1092199400629901</v>
      </c>
      <c r="AE2586">
        <v>0.45380000000000098</v>
      </c>
      <c r="AF2586">
        <v>-0.26605158092600201</v>
      </c>
      <c r="AG2586">
        <v>-1.1092199400629901</v>
      </c>
      <c r="AH2586">
        <v>26.060646679258799</v>
      </c>
      <c r="AI2586">
        <v>92.437083768614897</v>
      </c>
      <c r="AJ2586">
        <v>90.584908861405907</v>
      </c>
      <c r="AK2586">
        <v>26.085598664019699</v>
      </c>
      <c r="AL2586">
        <v>81.605764155705799</v>
      </c>
      <c r="AM2586">
        <v>87.377881091114105</v>
      </c>
      <c r="AN2586">
        <v>0.99999997555572495</v>
      </c>
    </row>
    <row r="2587" spans="1:40" x14ac:dyDescent="0.25">
      <c r="A2587" t="str">
        <f>"20190312164316144"</f>
        <v>20190312164316144</v>
      </c>
      <c r="B2587" t="str">
        <f>"1552380196136828"</f>
        <v>1552380196136828</v>
      </c>
      <c r="C2587" t="s">
        <v>40</v>
      </c>
      <c r="D2587">
        <v>4.5830129999999896</v>
      </c>
      <c r="E2587">
        <v>0.48242180000000001</v>
      </c>
      <c r="F2587" t="s">
        <v>46</v>
      </c>
      <c r="G2587">
        <v>-355.81939999999997</v>
      </c>
      <c r="H2587" s="1">
        <v>1.5951340000000001E-6</v>
      </c>
      <c r="I2587">
        <v>213.81270000000001</v>
      </c>
      <c r="J2587">
        <v>-382.3116</v>
      </c>
      <c r="K2587">
        <v>1.1092299999999999</v>
      </c>
      <c r="L2587">
        <v>213.36750000000001</v>
      </c>
      <c r="M2587">
        <v>0.99993560000000004</v>
      </c>
      <c r="N2587">
        <v>0</v>
      </c>
      <c r="O2587">
        <v>7.152378E-3</v>
      </c>
      <c r="P2587">
        <v>0.9897591</v>
      </c>
      <c r="Q2587">
        <v>0.13739089999999901</v>
      </c>
      <c r="R2587">
        <v>-3.8738590000000003E-2</v>
      </c>
      <c r="S2587">
        <v>3.050262</v>
      </c>
      <c r="T2587">
        <v>-0.12540899999999999</v>
      </c>
      <c r="U2587">
        <v>5.0720210000000002E-2</v>
      </c>
      <c r="V2587">
        <v>4.5830509999999998E-2</v>
      </c>
      <c r="W2587">
        <v>0.14610100000000001</v>
      </c>
      <c r="X2587">
        <v>0.98820750000000002</v>
      </c>
      <c r="Y2587">
        <v>-9.4717959999999993E-3</v>
      </c>
      <c r="Z2587" s="1">
        <v>-9.9307899999999998E-5</v>
      </c>
      <c r="AA2587">
        <v>0.99995509999999999</v>
      </c>
      <c r="AB2587">
        <v>45</v>
      </c>
      <c r="AC2587">
        <v>26.4922</v>
      </c>
      <c r="AD2587">
        <v>-1.1092284048659999</v>
      </c>
      <c r="AE2587">
        <v>0.44519999999999899</v>
      </c>
      <c r="AF2587">
        <v>-0.25525167244053198</v>
      </c>
      <c r="AG2587">
        <v>-1.1092284048659999</v>
      </c>
      <c r="AH2587">
        <v>26.448353241944101</v>
      </c>
      <c r="AI2587">
        <v>92.401432270497295</v>
      </c>
      <c r="AJ2587">
        <v>90.552941401666601</v>
      </c>
      <c r="AK2587">
        <v>26.472833816595799</v>
      </c>
      <c r="AL2587">
        <v>81.598959148974103</v>
      </c>
      <c r="AM2587">
        <v>87.344672476508094</v>
      </c>
      <c r="AN2587">
        <v>1.00000000045205</v>
      </c>
    </row>
    <row r="2588" spans="1:40" x14ac:dyDescent="0.25">
      <c r="A2588" t="str">
        <f>"20190312164316166"</f>
        <v>20190312164316166</v>
      </c>
      <c r="B2588" t="str">
        <f>"1552380196157323"</f>
        <v>1552380196157323</v>
      </c>
      <c r="C2588" t="s">
        <v>40</v>
      </c>
      <c r="D2588">
        <v>4.4102489999999896</v>
      </c>
      <c r="E2588">
        <v>0.48244759999999998</v>
      </c>
      <c r="F2588" t="s">
        <v>46</v>
      </c>
      <c r="G2588">
        <v>-355.12790000000001</v>
      </c>
      <c r="H2588" s="1">
        <v>1.2279069999999999E-6</v>
      </c>
      <c r="I2588">
        <v>213.7953</v>
      </c>
      <c r="J2588">
        <v>-381.85270000000003</v>
      </c>
      <c r="K2588">
        <v>1.109229</v>
      </c>
      <c r="L2588">
        <v>213.3708</v>
      </c>
      <c r="M2588">
        <v>0.99993560000000004</v>
      </c>
      <c r="N2588">
        <v>0</v>
      </c>
      <c r="O2588">
        <v>7.1329310000000003E-3</v>
      </c>
      <c r="P2588">
        <v>0.98971799999999999</v>
      </c>
      <c r="Q2588">
        <v>0.13745079999999901</v>
      </c>
      <c r="R2588">
        <v>-3.956875E-2</v>
      </c>
      <c r="S2588">
        <v>3.0502009999999999</v>
      </c>
      <c r="T2588">
        <v>-0.124463</v>
      </c>
      <c r="U2588">
        <v>4.8004150000000002E-2</v>
      </c>
      <c r="V2588">
        <v>4.6641500000000002E-2</v>
      </c>
      <c r="W2588">
        <v>0.14617550000000001</v>
      </c>
      <c r="X2588">
        <v>0.98815850000000005</v>
      </c>
      <c r="Y2588">
        <v>-8.6021280000000006E-3</v>
      </c>
      <c r="Z2588">
        <v>-1.155041E-4</v>
      </c>
      <c r="AA2588">
        <v>0.99996300000000005</v>
      </c>
      <c r="AB2588">
        <v>45</v>
      </c>
      <c r="AC2588">
        <v>26.724799999999998</v>
      </c>
      <c r="AD2588">
        <v>-1.1092277720929999</v>
      </c>
      <c r="AE2588">
        <v>0.42449999999999399</v>
      </c>
      <c r="AF2588">
        <v>-0.233453547015122</v>
      </c>
      <c r="AG2588">
        <v>-1.1092277720929999</v>
      </c>
      <c r="AH2588">
        <v>26.6811957164783</v>
      </c>
      <c r="AI2588">
        <v>92.380517931715104</v>
      </c>
      <c r="AJ2588">
        <v>90.501310427394998</v>
      </c>
      <c r="AK2588">
        <v>26.7052633701676</v>
      </c>
      <c r="AL2588">
        <v>81.594643978877301</v>
      </c>
      <c r="AM2588">
        <v>87.297620592093907</v>
      </c>
      <c r="AN2588">
        <v>0.99999996372237399</v>
      </c>
    </row>
    <row r="2589" spans="1:40" x14ac:dyDescent="0.25">
      <c r="A2589" t="str">
        <f>"20190312164316187"</f>
        <v>20190312164316187</v>
      </c>
      <c r="B2589" t="str">
        <f>"1552380196176843"</f>
        <v>1552380196176843</v>
      </c>
      <c r="C2589" t="s">
        <v>40</v>
      </c>
      <c r="D2589">
        <v>4.3896649999999999</v>
      </c>
      <c r="E2589">
        <v>0.50659639999999995</v>
      </c>
      <c r="F2589" t="s">
        <v>46</v>
      </c>
      <c r="G2589">
        <v>-354.78910000000002</v>
      </c>
      <c r="H2589" s="1">
        <v>1.048391E-6</v>
      </c>
      <c r="I2589">
        <v>213.77770000000001</v>
      </c>
      <c r="J2589">
        <v>-381.41109999999998</v>
      </c>
      <c r="K2589">
        <v>1.109229</v>
      </c>
      <c r="L2589">
        <v>213.37389999999999</v>
      </c>
      <c r="M2589">
        <v>0.99993560000000004</v>
      </c>
      <c r="N2589">
        <v>0</v>
      </c>
      <c r="O2589">
        <v>7.1143830000000002E-3</v>
      </c>
      <c r="P2589">
        <v>0.98973</v>
      </c>
      <c r="Q2589">
        <v>0.1372024</v>
      </c>
      <c r="R2589">
        <v>-4.0129030000000003E-2</v>
      </c>
      <c r="S2589">
        <v>3.050354</v>
      </c>
      <c r="T2589">
        <v>-0.12502170000000001</v>
      </c>
      <c r="U2589">
        <v>4.586792E-2</v>
      </c>
      <c r="V2589">
        <v>4.718348E-2</v>
      </c>
      <c r="W2589">
        <v>0.1459416</v>
      </c>
      <c r="X2589">
        <v>0.98816740000000003</v>
      </c>
      <c r="Y2589">
        <v>-7.9203030000000001E-3</v>
      </c>
      <c r="Z2589">
        <v>-1.2922340000000001E-4</v>
      </c>
      <c r="AA2589">
        <v>0.99996859999999999</v>
      </c>
      <c r="AB2589">
        <v>45</v>
      </c>
      <c r="AC2589">
        <v>26.6219999999999</v>
      </c>
      <c r="AD2589">
        <v>-1.109227951609</v>
      </c>
      <c r="AE2589">
        <v>0.40380000000001798</v>
      </c>
      <c r="AF2589">
        <v>-0.214011823533613</v>
      </c>
      <c r="AG2589">
        <v>-1.109227951609</v>
      </c>
      <c r="AH2589">
        <v>26.578069076277899</v>
      </c>
      <c r="AI2589">
        <v>92.389758360740601</v>
      </c>
      <c r="AJ2589">
        <v>90.461346880245401</v>
      </c>
      <c r="AK2589">
        <v>26.602066527483299</v>
      </c>
      <c r="AL2589">
        <v>81.608191221759498</v>
      </c>
      <c r="AM2589">
        <v>87.266290556356296</v>
      </c>
      <c r="AN2589">
        <v>1.00000002090911</v>
      </c>
    </row>
    <row r="2590" spans="1:40" x14ac:dyDescent="0.25">
      <c r="A2590" t="str">
        <f>"20190312164316210"</f>
        <v>20190312164316210</v>
      </c>
      <c r="B2590" t="str">
        <f>"1552380196197340"</f>
        <v>1552380196197340</v>
      </c>
      <c r="C2590" t="s">
        <v>40</v>
      </c>
      <c r="D2590">
        <v>4.5825420000000001</v>
      </c>
      <c r="E2590">
        <v>0.51235719999999996</v>
      </c>
      <c r="F2590" t="s">
        <v>41</v>
      </c>
      <c r="G2590">
        <v>-380.4076</v>
      </c>
      <c r="H2590">
        <v>1.051812</v>
      </c>
      <c r="I2590">
        <v>213.3252</v>
      </c>
      <c r="J2590">
        <v>-380.97680000000003</v>
      </c>
      <c r="K2590">
        <v>1.109224</v>
      </c>
      <c r="L2590">
        <v>213.37700000000001</v>
      </c>
      <c r="M2590">
        <v>0.99993560000000004</v>
      </c>
      <c r="N2590">
        <v>0</v>
      </c>
      <c r="O2590">
        <v>7.0960169999999996E-3</v>
      </c>
      <c r="P2590">
        <v>0.98979039999999996</v>
      </c>
      <c r="Q2590">
        <v>0.13665289999999999</v>
      </c>
      <c r="R2590">
        <v>-4.0510110000000002E-2</v>
      </c>
      <c r="S2590">
        <v>3.0494080000000001</v>
      </c>
      <c r="T2590">
        <v>-0.17465729999999999</v>
      </c>
      <c r="U2590">
        <v>-0.14657590000000001</v>
      </c>
      <c r="V2590">
        <v>4.7546829999999998E-2</v>
      </c>
      <c r="W2590">
        <v>0.1454075</v>
      </c>
      <c r="X2590">
        <v>0.98822869999999996</v>
      </c>
      <c r="Y2590">
        <v>5.4996940000000001E-2</v>
      </c>
      <c r="Z2590">
        <v>-1.9786970000000002E-3</v>
      </c>
      <c r="AA2590">
        <v>0.99848460000000006</v>
      </c>
      <c r="AB2590">
        <v>45</v>
      </c>
      <c r="AC2590">
        <v>0.56920000000002302</v>
      </c>
      <c r="AD2590">
        <v>-5.7411999999999998E-2</v>
      </c>
      <c r="AE2590">
        <v>-5.1800000000014203E-2</v>
      </c>
      <c r="AF2590">
        <v>5.5280127416970803E-2</v>
      </c>
      <c r="AG2590">
        <v>-5.7411999999999998E-2</v>
      </c>
      <c r="AH2590">
        <v>0.56313600585628598</v>
      </c>
      <c r="AI2590">
        <v>95.7935642072907</v>
      </c>
      <c r="AJ2590">
        <v>84.393534402975305</v>
      </c>
      <c r="AK2590">
        <v>0.56874791544497805</v>
      </c>
      <c r="AL2590">
        <v>81.639122706064398</v>
      </c>
      <c r="AM2590">
        <v>87.245441754738806</v>
      </c>
      <c r="AN2590">
        <v>1.0000000028014899</v>
      </c>
    </row>
    <row r="2591" spans="1:40" x14ac:dyDescent="0.25">
      <c r="A2591" t="str">
        <f>"20190312164316231"</f>
        <v>20190312164316231</v>
      </c>
      <c r="B2591" t="str">
        <f>"1552380196227595"</f>
        <v>1552380196227595</v>
      </c>
      <c r="C2591" t="s">
        <v>40</v>
      </c>
      <c r="D2591">
        <v>4.3323749999999999</v>
      </c>
      <c r="E2591">
        <v>0.51428809999999903</v>
      </c>
      <c r="F2591" t="s">
        <v>41</v>
      </c>
      <c r="G2591">
        <v>-380.00020000000001</v>
      </c>
      <c r="H2591">
        <v>1.051844</v>
      </c>
      <c r="I2591">
        <v>213.31489999999999</v>
      </c>
      <c r="J2591">
        <v>-380.52820000000003</v>
      </c>
      <c r="K2591">
        <v>1.109221</v>
      </c>
      <c r="L2591">
        <v>213.3802</v>
      </c>
      <c r="M2591">
        <v>0.99993569999999998</v>
      </c>
      <c r="N2591">
        <v>0</v>
      </c>
      <c r="O2591">
        <v>7.0771710000000002E-3</v>
      </c>
      <c r="P2591">
        <v>0.98977360000000003</v>
      </c>
      <c r="Q2591">
        <v>0.13661870000000001</v>
      </c>
      <c r="R2591">
        <v>-4.1038239999999997E-2</v>
      </c>
      <c r="S2591">
        <v>3.0477599999999998</v>
      </c>
      <c r="T2591">
        <v>-0.1790737</v>
      </c>
      <c r="U2591">
        <v>-0.19351199999999999</v>
      </c>
      <c r="V2591">
        <v>4.8056210000000002E-2</v>
      </c>
      <c r="W2591">
        <v>0.14538770000000001</v>
      </c>
      <c r="X2591">
        <v>0.98820699999999995</v>
      </c>
      <c r="Y2591">
        <v>7.0294300000000004E-2</v>
      </c>
      <c r="Z2591">
        <v>-2.4763379999999998E-3</v>
      </c>
      <c r="AA2591">
        <v>0.99752320000000005</v>
      </c>
      <c r="AB2591">
        <v>46</v>
      </c>
      <c r="AC2591">
        <v>0.52800000000002001</v>
      </c>
      <c r="AD2591">
        <v>-5.7376999999999997E-2</v>
      </c>
      <c r="AE2591">
        <v>-6.5300000000007602E-2</v>
      </c>
      <c r="AF2591">
        <v>6.8241543068855395E-2</v>
      </c>
      <c r="AG2591">
        <v>-5.7376999999999997E-2</v>
      </c>
      <c r="AH2591">
        <v>0.52145954510902304</v>
      </c>
      <c r="AI2591">
        <v>96.226416108611602</v>
      </c>
      <c r="AJ2591">
        <v>82.544276174865203</v>
      </c>
      <c r="AK2591">
        <v>0.52902654518911296</v>
      </c>
      <c r="AL2591">
        <v>81.640269565893803</v>
      </c>
      <c r="AM2591">
        <v>87.215916690066393</v>
      </c>
      <c r="AN2591">
        <v>1.00000002873992</v>
      </c>
    </row>
    <row r="2592" spans="1:40" x14ac:dyDescent="0.25">
      <c r="A2592" t="str">
        <f>"20190312164316254"</f>
        <v>20190312164316254</v>
      </c>
      <c r="B2592" t="str">
        <f>"1552380196247115"</f>
        <v>1552380196247115</v>
      </c>
      <c r="C2592" t="s">
        <v>40</v>
      </c>
      <c r="D2592">
        <v>4.2016330000000002</v>
      </c>
      <c r="E2592">
        <v>0.51510540000000005</v>
      </c>
      <c r="F2592" t="s">
        <v>41</v>
      </c>
      <c r="G2592">
        <v>-379.58859999999999</v>
      </c>
      <c r="H2592">
        <v>1.0553239999999999</v>
      </c>
      <c r="I2592">
        <v>213.315</v>
      </c>
      <c r="J2592">
        <v>-380.05399999999997</v>
      </c>
      <c r="K2592">
        <v>1.1092169999999999</v>
      </c>
      <c r="L2592">
        <v>213.3835</v>
      </c>
      <c r="M2592">
        <v>0.99993569999999998</v>
      </c>
      <c r="N2592">
        <v>0</v>
      </c>
      <c r="O2592">
        <v>7.0574260000000003E-3</v>
      </c>
      <c r="P2592">
        <v>0.9897958</v>
      </c>
      <c r="Q2592">
        <v>0.13640559999999999</v>
      </c>
      <c r="R2592">
        <v>-4.1207229999999997E-2</v>
      </c>
      <c r="S2592">
        <v>3.0463870000000002</v>
      </c>
      <c r="T2592">
        <v>-0.17486869999999999</v>
      </c>
      <c r="U2592">
        <v>-0.2105255</v>
      </c>
      <c r="V2592">
        <v>4.8205989999999997E-2</v>
      </c>
      <c r="W2592">
        <v>0.14519099999999999</v>
      </c>
      <c r="X2592">
        <v>0.98822860000000001</v>
      </c>
      <c r="Y2592">
        <v>7.5845549999999998E-2</v>
      </c>
      <c r="Z2592">
        <v>-2.5768029999999999E-3</v>
      </c>
      <c r="AA2592">
        <v>0.99711629999999996</v>
      </c>
      <c r="AB2592">
        <v>46</v>
      </c>
      <c r="AC2592">
        <v>0.465400000000045</v>
      </c>
      <c r="AD2592">
        <v>-5.3892999999999899E-2</v>
      </c>
      <c r="AE2592">
        <v>-6.85000000000002E-2</v>
      </c>
      <c r="AF2592">
        <v>7.0852993636296602E-2</v>
      </c>
      <c r="AG2592">
        <v>-5.3892999999999899E-2</v>
      </c>
      <c r="AH2592">
        <v>0.45888206275350601</v>
      </c>
      <c r="AI2592">
        <v>96.620622097125406</v>
      </c>
      <c r="AJ2592">
        <v>81.222645478242598</v>
      </c>
      <c r="AK2592">
        <v>0.46743700075319</v>
      </c>
      <c r="AL2592">
        <v>81.651660311978802</v>
      </c>
      <c r="AM2592">
        <v>87.207314013060696</v>
      </c>
      <c r="AN2592">
        <v>1.0000000049054201</v>
      </c>
    </row>
    <row r="2593" spans="1:40" x14ac:dyDescent="0.25">
      <c r="A2593" t="str">
        <f>"20190312164316276"</f>
        <v>20190312164316276</v>
      </c>
      <c r="B2593" t="str">
        <f>"1552380196267611"</f>
        <v>1552380196267611</v>
      </c>
      <c r="C2593" t="s">
        <v>40</v>
      </c>
      <c r="D2593">
        <v>4.2221279999999997</v>
      </c>
      <c r="E2593">
        <v>0.51485040000000004</v>
      </c>
      <c r="F2593" t="s">
        <v>46</v>
      </c>
      <c r="G2593">
        <v>-360.64550000000003</v>
      </c>
      <c r="H2593" s="1">
        <v>-1.1932700000000001E-6</v>
      </c>
      <c r="I2593">
        <v>211.99709999999999</v>
      </c>
      <c r="J2593">
        <v>-379.60160000000002</v>
      </c>
      <c r="K2593">
        <v>1.1092109999999999</v>
      </c>
      <c r="L2593">
        <v>213.38669999999999</v>
      </c>
      <c r="M2593">
        <v>0.99993569999999998</v>
      </c>
      <c r="N2593">
        <v>0</v>
      </c>
      <c r="O2593">
        <v>7.0383440000000002E-3</v>
      </c>
      <c r="P2593">
        <v>0.98978580000000005</v>
      </c>
      <c r="Q2593">
        <v>0.1364158</v>
      </c>
      <c r="R2593">
        <v>-4.1410660000000002E-2</v>
      </c>
      <c r="S2593">
        <v>3.0458980000000002</v>
      </c>
      <c r="T2593">
        <v>-0.1740767</v>
      </c>
      <c r="U2593">
        <v>-0.21757509999999999</v>
      </c>
      <c r="V2593">
        <v>4.8390589999999997E-2</v>
      </c>
      <c r="W2593">
        <v>0.1452155</v>
      </c>
      <c r="X2593">
        <v>0.98821599999999998</v>
      </c>
      <c r="Y2593">
        <v>7.8131290000000006E-2</v>
      </c>
      <c r="Z2593">
        <v>-2.6294460000000001E-3</v>
      </c>
      <c r="AA2593">
        <v>0.99693960000000004</v>
      </c>
      <c r="AB2593">
        <v>46</v>
      </c>
      <c r="AC2593">
        <v>18.9560999999999</v>
      </c>
      <c r="AD2593">
        <v>-1.1092121932700001</v>
      </c>
      <c r="AE2593">
        <v>-1.3895999999999999</v>
      </c>
      <c r="AF2593">
        <v>1.51782119266642</v>
      </c>
      <c r="AG2593">
        <v>-1.1092121932700001</v>
      </c>
      <c r="AH2593">
        <v>18.881545077856501</v>
      </c>
      <c r="AI2593">
        <v>93.351238978122296</v>
      </c>
      <c r="AJ2593">
        <v>85.404075818137102</v>
      </c>
      <c r="AK2593">
        <v>18.974901248484301</v>
      </c>
      <c r="AL2593">
        <v>81.650241711753495</v>
      </c>
      <c r="AM2593">
        <v>87.196601042905499</v>
      </c>
      <c r="AN2593">
        <v>1.0000000266483899</v>
      </c>
    </row>
    <row r="2594" spans="1:40" x14ac:dyDescent="0.25">
      <c r="A2594" t="str">
        <f>"20190312164316300"</f>
        <v>20190312164316300</v>
      </c>
      <c r="B2594" t="str">
        <f>"1552380196296892"</f>
        <v>1552380196296892</v>
      </c>
      <c r="C2594" t="s">
        <v>40</v>
      </c>
      <c r="D2594">
        <v>4.2971459999999997</v>
      </c>
      <c r="E2594">
        <v>0.51615069999999996</v>
      </c>
      <c r="F2594" t="s">
        <v>46</v>
      </c>
      <c r="G2594">
        <v>-360.18849999999998</v>
      </c>
      <c r="H2594" s="1">
        <v>-1.43649499999999E-6</v>
      </c>
      <c r="I2594">
        <v>212.00819999999999</v>
      </c>
      <c r="J2594">
        <v>-379.1146</v>
      </c>
      <c r="K2594">
        <v>1.109213</v>
      </c>
      <c r="L2594">
        <v>213.39009999999999</v>
      </c>
      <c r="M2594">
        <v>0.99993569999999998</v>
      </c>
      <c r="N2594">
        <v>0</v>
      </c>
      <c r="O2594">
        <v>7.0178269999999999E-3</v>
      </c>
      <c r="P2594">
        <v>0.98977720000000002</v>
      </c>
      <c r="Q2594">
        <v>0.1363974</v>
      </c>
      <c r="R2594">
        <v>-4.1680469999999997E-2</v>
      </c>
      <c r="S2594">
        <v>3.0458980000000002</v>
      </c>
      <c r="T2594">
        <v>-0.17403450000000001</v>
      </c>
      <c r="U2594">
        <v>-0.2162781</v>
      </c>
      <c r="V2594">
        <v>4.8639920000000003E-2</v>
      </c>
      <c r="W2594">
        <v>0.14521319999999999</v>
      </c>
      <c r="X2594">
        <v>0.98820410000000003</v>
      </c>
      <c r="Y2594">
        <v>7.7689259999999996E-2</v>
      </c>
      <c r="Z2594">
        <v>-2.6150769999999999E-3</v>
      </c>
      <c r="AA2594">
        <v>0.99697420000000003</v>
      </c>
      <c r="AB2594">
        <v>46</v>
      </c>
      <c r="AC2594">
        <v>18.926100000000002</v>
      </c>
      <c r="AD2594">
        <v>-1.1092144364950001</v>
      </c>
      <c r="AE2594">
        <v>-1.3818999999999999</v>
      </c>
      <c r="AF2594">
        <v>1.5095337952069401</v>
      </c>
      <c r="AG2594">
        <v>-1.1092144364950001</v>
      </c>
      <c r="AH2594">
        <v>18.851526650932801</v>
      </c>
      <c r="AI2594">
        <v>93.356653130103993</v>
      </c>
      <c r="AJ2594">
        <v>85.421815557205605</v>
      </c>
      <c r="AK2594">
        <v>18.944368715157299</v>
      </c>
      <c r="AL2594">
        <v>81.6503749258478</v>
      </c>
      <c r="AM2594">
        <v>87.182146018089597</v>
      </c>
      <c r="AN2594">
        <v>1.0000000292643201</v>
      </c>
    </row>
    <row r="2595" spans="1:40" x14ac:dyDescent="0.25">
      <c r="A2595" t="str">
        <f>"20190312164316322"</f>
        <v>20190312164316322</v>
      </c>
      <c r="B2595" t="str">
        <f>"1552380196317388"</f>
        <v>1552380196317388</v>
      </c>
      <c r="C2595" t="s">
        <v>40</v>
      </c>
      <c r="D2595">
        <v>4.1899189999999997</v>
      </c>
      <c r="E2595">
        <v>0.51684770000000002</v>
      </c>
      <c r="F2595" t="s">
        <v>46</v>
      </c>
      <c r="G2595">
        <v>-358.29309999999998</v>
      </c>
      <c r="H2595" s="1">
        <v>2.9980829999999999E-6</v>
      </c>
      <c r="I2595">
        <v>211.83189999999999</v>
      </c>
      <c r="J2595">
        <v>-378.6891</v>
      </c>
      <c r="K2595">
        <v>1.109208</v>
      </c>
      <c r="L2595">
        <v>213.3931</v>
      </c>
      <c r="M2595">
        <v>0.99993569999999998</v>
      </c>
      <c r="N2595">
        <v>0</v>
      </c>
      <c r="O2595">
        <v>6.999941E-3</v>
      </c>
      <c r="P2595">
        <v>0.98969879999999999</v>
      </c>
      <c r="Q2595">
        <v>0.13685649999999999</v>
      </c>
      <c r="R2595">
        <v>-4.2033670000000002E-2</v>
      </c>
      <c r="S2595">
        <v>3.0437319999999999</v>
      </c>
      <c r="T2595">
        <v>-0.1621466</v>
      </c>
      <c r="U2595">
        <v>-0.22778319999999999</v>
      </c>
      <c r="V2595">
        <v>4.8975049999999999E-2</v>
      </c>
      <c r="W2595">
        <v>0.14568499999999901</v>
      </c>
      <c r="X2595">
        <v>0.9881181</v>
      </c>
      <c r="Y2595">
        <v>8.1482219999999994E-2</v>
      </c>
      <c r="Z2595">
        <v>-2.5379690000000002E-3</v>
      </c>
      <c r="AA2595">
        <v>0.99667159999999999</v>
      </c>
      <c r="AB2595">
        <v>46</v>
      </c>
      <c r="AC2595">
        <v>20.396000000000001</v>
      </c>
      <c r="AD2595">
        <v>-1.1092050019170001</v>
      </c>
      <c r="AE2595">
        <v>-1.5612000000000099</v>
      </c>
      <c r="AF2595">
        <v>1.69894276940814</v>
      </c>
      <c r="AG2595">
        <v>-1.1092050019170001</v>
      </c>
      <c r="AH2595">
        <v>20.324809810469802</v>
      </c>
      <c r="AI2595">
        <v>93.112922910344906</v>
      </c>
      <c r="AJ2595">
        <v>85.221776750120199</v>
      </c>
      <c r="AK2595">
        <v>20.425832568141999</v>
      </c>
      <c r="AL2595">
        <v>81.623052202886598</v>
      </c>
      <c r="AM2595">
        <v>87.162516031310702</v>
      </c>
      <c r="AN2595">
        <v>1.00000002714755</v>
      </c>
    </row>
    <row r="2596" spans="1:40" x14ac:dyDescent="0.25">
      <c r="A2596" t="str">
        <f>"20190312164316346"</f>
        <v>20190312164316346</v>
      </c>
      <c r="B2596" t="str">
        <f>"1552380196336907"</f>
        <v>1552380196336907</v>
      </c>
      <c r="C2596" t="s">
        <v>40</v>
      </c>
      <c r="D2596">
        <v>4.2523910000000003</v>
      </c>
      <c r="E2596">
        <v>0.51704799999999995</v>
      </c>
      <c r="F2596" t="s">
        <v>41</v>
      </c>
      <c r="G2596">
        <v>-377.54180000000002</v>
      </c>
      <c r="H2596">
        <v>1.0506519999999999</v>
      </c>
      <c r="I2596">
        <v>213.30439999999999</v>
      </c>
      <c r="J2596">
        <v>-378.17349999999999</v>
      </c>
      <c r="K2596">
        <v>1.1092070000000001</v>
      </c>
      <c r="L2596">
        <v>213.39660000000001</v>
      </c>
      <c r="M2596">
        <v>0.99993569999999998</v>
      </c>
      <c r="N2596">
        <v>0</v>
      </c>
      <c r="O2596">
        <v>6.9783429999999997E-3</v>
      </c>
      <c r="P2596">
        <v>0.98971739999999997</v>
      </c>
      <c r="Q2596">
        <v>0.13672110000000001</v>
      </c>
      <c r="R2596">
        <v>-4.2037239999999997E-2</v>
      </c>
      <c r="S2596">
        <v>3.0427550000000001</v>
      </c>
      <c r="T2596">
        <v>-0.15537100000000001</v>
      </c>
      <c r="U2596">
        <v>-0.23483280000000001</v>
      </c>
      <c r="V2596">
        <v>4.895741E-2</v>
      </c>
      <c r="W2596">
        <v>0.14556649999999999</v>
      </c>
      <c r="X2596">
        <v>0.98813640000000003</v>
      </c>
      <c r="Y2596">
        <v>8.3787340000000002E-2</v>
      </c>
      <c r="Z2596">
        <v>-2.4902470000000001E-3</v>
      </c>
      <c r="AA2596">
        <v>0.99648049999999999</v>
      </c>
      <c r="AB2596">
        <v>46</v>
      </c>
      <c r="AC2596">
        <v>0.63169999999996596</v>
      </c>
      <c r="AD2596">
        <v>-5.8554999999999899E-2</v>
      </c>
      <c r="AE2596">
        <v>-9.22000000000196E-2</v>
      </c>
      <c r="AF2596">
        <v>9.5800181944292295E-2</v>
      </c>
      <c r="AG2596">
        <v>-5.8554999999999899E-2</v>
      </c>
      <c r="AH2596">
        <v>0.62577652183925203</v>
      </c>
      <c r="AI2596">
        <v>95.284488609266504</v>
      </c>
      <c r="AJ2596">
        <v>81.296160392864095</v>
      </c>
      <c r="AK2596">
        <v>0.63576931207065301</v>
      </c>
      <c r="AL2596">
        <v>81.629914593049804</v>
      </c>
      <c r="AM2596">
        <v>87.163588821311706</v>
      </c>
      <c r="AN2596">
        <v>0.99999998946055801</v>
      </c>
    </row>
    <row r="2597" spans="1:40" x14ac:dyDescent="0.25">
      <c r="A2597" t="str">
        <f>"20190312164316369"</f>
        <v>20190312164316369</v>
      </c>
      <c r="B2597" t="str">
        <f>"1552380196357404"</f>
        <v>1552380196357404</v>
      </c>
      <c r="C2597" t="s">
        <v>40</v>
      </c>
      <c r="D2597">
        <v>4.2859910000000001</v>
      </c>
      <c r="E2597">
        <v>0.51740189999999997</v>
      </c>
      <c r="F2597" t="s">
        <v>46</v>
      </c>
      <c r="G2597">
        <v>-356.21409999999997</v>
      </c>
      <c r="H2597" s="1">
        <v>1.8979709999999999E-6</v>
      </c>
      <c r="I2597">
        <v>211.68960000000001</v>
      </c>
      <c r="J2597">
        <v>-377.72050000000002</v>
      </c>
      <c r="K2597">
        <v>1.109205</v>
      </c>
      <c r="L2597">
        <v>213.3998</v>
      </c>
      <c r="M2597">
        <v>0.99993569999999998</v>
      </c>
      <c r="N2597">
        <v>0</v>
      </c>
      <c r="O2597">
        <v>6.9593199999999997E-3</v>
      </c>
      <c r="P2597">
        <v>0.98969750000000001</v>
      </c>
      <c r="Q2597">
        <v>0.13681360000000001</v>
      </c>
      <c r="R2597">
        <v>-4.2202820000000002E-2</v>
      </c>
      <c r="S2597">
        <v>3.0423580000000001</v>
      </c>
      <c r="T2597">
        <v>-0.1536747</v>
      </c>
      <c r="U2597">
        <v>-0.23649600000000001</v>
      </c>
      <c r="V2597">
        <v>4.910424E-2</v>
      </c>
      <c r="W2597">
        <v>0.1456741</v>
      </c>
      <c r="X2597">
        <v>0.98811329999999997</v>
      </c>
      <c r="Y2597">
        <v>8.4321720000000003E-2</v>
      </c>
      <c r="Z2597">
        <v>-2.4758720000000001E-3</v>
      </c>
      <c r="AA2597">
        <v>0.99643550000000003</v>
      </c>
      <c r="AB2597">
        <v>46</v>
      </c>
      <c r="AC2597">
        <v>21.506399999999999</v>
      </c>
      <c r="AD2597">
        <v>-1.1092031020290001</v>
      </c>
      <c r="AE2597">
        <v>-1.71019999999998</v>
      </c>
      <c r="AF2597">
        <v>1.8549313311587099</v>
      </c>
      <c r="AG2597">
        <v>-1.1092031020290001</v>
      </c>
      <c r="AH2597">
        <v>21.437311256454699</v>
      </c>
      <c r="AI2597">
        <v>92.950933341171407</v>
      </c>
      <c r="AJ2597">
        <v>85.054618683177196</v>
      </c>
      <c r="AK2597">
        <v>21.5459837480442</v>
      </c>
      <c r="AL2597">
        <v>81.623683499786495</v>
      </c>
      <c r="AM2597">
        <v>87.155029589953401</v>
      </c>
      <c r="AN2597">
        <v>1.0000000317168301</v>
      </c>
    </row>
    <row r="2598" spans="1:40" x14ac:dyDescent="0.25">
      <c r="A2598" t="str">
        <f>"20190312164316390"</f>
        <v>20190312164316390</v>
      </c>
      <c r="B2598" t="str">
        <f>"1552380196387418"</f>
        <v>1552380196387418</v>
      </c>
      <c r="C2598" t="s">
        <v>40</v>
      </c>
      <c r="D2598">
        <v>4.2482899999999999</v>
      </c>
      <c r="E2598">
        <v>0.51788519999999905</v>
      </c>
      <c r="F2598" t="s">
        <v>46</v>
      </c>
      <c r="G2598">
        <v>-355.6062</v>
      </c>
      <c r="H2598" s="1">
        <v>1.5759330000000001E-6</v>
      </c>
      <c r="I2598">
        <v>211.65649999999999</v>
      </c>
      <c r="J2598">
        <v>-377.26569999999998</v>
      </c>
      <c r="K2598">
        <v>1.1092109999999999</v>
      </c>
      <c r="L2598">
        <v>213.40289999999999</v>
      </c>
      <c r="M2598">
        <v>0.99993569999999998</v>
      </c>
      <c r="N2598">
        <v>0</v>
      </c>
      <c r="O2598">
        <v>6.9400590000000002E-3</v>
      </c>
      <c r="P2598">
        <v>0.9896876</v>
      </c>
      <c r="Q2598">
        <v>0.1368654</v>
      </c>
      <c r="R2598">
        <v>-4.2266209999999999E-2</v>
      </c>
      <c r="S2598">
        <v>3.0420530000000001</v>
      </c>
      <c r="T2598">
        <v>-0.15258260000000001</v>
      </c>
      <c r="U2598">
        <v>-0.2398071</v>
      </c>
      <c r="V2598">
        <v>4.9148369999999997E-2</v>
      </c>
      <c r="W2598">
        <v>0.1457406</v>
      </c>
      <c r="X2598">
        <v>0.98810120000000001</v>
      </c>
      <c r="Y2598">
        <v>8.5388499999999895E-2</v>
      </c>
      <c r="Z2598">
        <v>-2.4841730000000001E-3</v>
      </c>
      <c r="AA2598">
        <v>0.99634460000000002</v>
      </c>
      <c r="AB2598">
        <v>46</v>
      </c>
      <c r="AC2598">
        <v>21.659499999999898</v>
      </c>
      <c r="AD2598">
        <v>-1.1092094240670001</v>
      </c>
      <c r="AE2598">
        <v>-1.74639999999999</v>
      </c>
      <c r="AF2598">
        <v>1.8917529475474499</v>
      </c>
      <c r="AG2598">
        <v>-1.1092094240670001</v>
      </c>
      <c r="AH2598">
        <v>21.5906002034443</v>
      </c>
      <c r="AI2598">
        <v>92.929759826963107</v>
      </c>
      <c r="AJ2598">
        <v>84.992572888098195</v>
      </c>
      <c r="AK2598">
        <v>21.701684079950201</v>
      </c>
      <c r="AL2598">
        <v>81.619831396433597</v>
      </c>
      <c r="AM2598">
        <v>87.152442207487098</v>
      </c>
      <c r="AN2598">
        <v>0.99999993310172597</v>
      </c>
    </row>
    <row r="2599" spans="1:40" x14ac:dyDescent="0.25">
      <c r="A2599" t="str">
        <f>"20190312164316411"</f>
        <v>20190312164316411</v>
      </c>
      <c r="B2599" t="str">
        <f>"1552380196406940"</f>
        <v>1552380196406940</v>
      </c>
      <c r="C2599" t="s">
        <v>40</v>
      </c>
      <c r="D2599">
        <v>4.207859</v>
      </c>
      <c r="E2599">
        <v>0.51791379999999998</v>
      </c>
      <c r="F2599" t="s">
        <v>46</v>
      </c>
      <c r="G2599">
        <v>-354.36750000000001</v>
      </c>
      <c r="H2599" s="1">
        <v>9.2075129999999999E-7</v>
      </c>
      <c r="I2599">
        <v>211.565</v>
      </c>
      <c r="J2599">
        <v>-376.82639999999998</v>
      </c>
      <c r="K2599">
        <v>1.109208</v>
      </c>
      <c r="L2599">
        <v>213.40600000000001</v>
      </c>
      <c r="M2599">
        <v>0.99993560000000004</v>
      </c>
      <c r="N2599">
        <v>0</v>
      </c>
      <c r="O2599">
        <v>6.9216939999999999E-3</v>
      </c>
      <c r="P2599">
        <v>0.98968849999999997</v>
      </c>
      <c r="Q2599">
        <v>0.13692279999999901</v>
      </c>
      <c r="R2599">
        <v>-4.2058100000000001E-2</v>
      </c>
      <c r="S2599">
        <v>3.041229</v>
      </c>
      <c r="T2599">
        <v>-0.147319799999999</v>
      </c>
      <c r="U2599">
        <v>-0.2441101</v>
      </c>
      <c r="V2599">
        <v>4.8922010000000002E-2</v>
      </c>
      <c r="W2599">
        <v>0.14581229999999901</v>
      </c>
      <c r="X2599">
        <v>0.98810189999999998</v>
      </c>
      <c r="Y2599">
        <v>8.6798269999999997E-2</v>
      </c>
      <c r="Z2599">
        <v>-2.432287E-3</v>
      </c>
      <c r="AA2599">
        <v>0.99622290000000002</v>
      </c>
      <c r="AB2599">
        <v>46</v>
      </c>
      <c r="AC2599">
        <v>22.4588999999999</v>
      </c>
      <c r="AD2599">
        <v>-1.1092070792487001</v>
      </c>
      <c r="AE2599">
        <v>-1.84099999999998</v>
      </c>
      <c r="AF2599">
        <v>1.9915903428171799</v>
      </c>
      <c r="AG2599">
        <v>-1.1092070792487001</v>
      </c>
      <c r="AH2599">
        <v>22.391366007640201</v>
      </c>
      <c r="AI2599">
        <v>92.824824489803703</v>
      </c>
      <c r="AJ2599">
        <v>84.917227071662595</v>
      </c>
      <c r="AK2599">
        <v>22.507110968010998</v>
      </c>
      <c r="AL2599">
        <v>81.615679303840693</v>
      </c>
      <c r="AM2599">
        <v>87.165537619098799</v>
      </c>
      <c r="AN2599">
        <v>0.99999997733866897</v>
      </c>
    </row>
    <row r="2600" spans="1:40" x14ac:dyDescent="0.25">
      <c r="A2600" t="str">
        <f>"20190312164316432"</f>
        <v>20190312164316432</v>
      </c>
      <c r="B2600" t="str">
        <f>"1552380196427434"</f>
        <v>1552380196427434</v>
      </c>
      <c r="C2600" t="s">
        <v>40</v>
      </c>
      <c r="D2600">
        <v>4.1797219999999999</v>
      </c>
      <c r="E2600">
        <v>0.51805809999999997</v>
      </c>
      <c r="F2600" t="s">
        <v>46</v>
      </c>
      <c r="G2600">
        <v>-353.81020000000001</v>
      </c>
      <c r="H2600" s="1">
        <v>6.2436749999999996E-7</v>
      </c>
      <c r="I2600">
        <v>211.5608</v>
      </c>
      <c r="J2600">
        <v>-376.40019999999998</v>
      </c>
      <c r="K2600">
        <v>1.1092059999999999</v>
      </c>
      <c r="L2600">
        <v>213.40889999999999</v>
      </c>
      <c r="M2600">
        <v>0.99993569999999998</v>
      </c>
      <c r="N2600">
        <v>0</v>
      </c>
      <c r="O2600">
        <v>6.9038069999999997E-3</v>
      </c>
      <c r="P2600">
        <v>0.98970789999999997</v>
      </c>
      <c r="Q2600">
        <v>0.1367535</v>
      </c>
      <c r="R2600">
        <v>-4.2153080000000002E-2</v>
      </c>
      <c r="S2600">
        <v>3.0411990000000002</v>
      </c>
      <c r="T2600">
        <v>-0.1465632</v>
      </c>
      <c r="U2600">
        <v>-0.24380489999999999</v>
      </c>
      <c r="V2600">
        <v>4.8999540000000001E-2</v>
      </c>
      <c r="W2600">
        <v>0.1456566</v>
      </c>
      <c r="X2600">
        <v>0.98812100000000003</v>
      </c>
      <c r="Y2600">
        <v>8.6683189999999993E-2</v>
      </c>
      <c r="Z2600">
        <v>-2.4162160000000001E-3</v>
      </c>
      <c r="AA2600">
        <v>0.99623300000000004</v>
      </c>
      <c r="AB2600">
        <v>46</v>
      </c>
      <c r="AC2600">
        <v>22.5899999999999</v>
      </c>
      <c r="AD2600">
        <v>-1.1092053756325</v>
      </c>
      <c r="AE2600">
        <v>-1.8480999999999801</v>
      </c>
      <c r="AF2600">
        <v>1.9992312282820901</v>
      </c>
      <c r="AG2600">
        <v>-1.1092053756325</v>
      </c>
      <c r="AH2600">
        <v>22.522761521949199</v>
      </c>
      <c r="AI2600">
        <v>92.808411307659497</v>
      </c>
      <c r="AJ2600">
        <v>84.927439167937607</v>
      </c>
      <c r="AK2600">
        <v>22.638508092276499</v>
      </c>
      <c r="AL2600">
        <v>81.624696341563805</v>
      </c>
      <c r="AM2600">
        <v>87.161107784629607</v>
      </c>
      <c r="AN2600">
        <v>0.99999995534238395</v>
      </c>
    </row>
    <row r="2601" spans="1:40" x14ac:dyDescent="0.25">
      <c r="A2601" t="str">
        <f>"20190312164316455"</f>
        <v>20190312164316455</v>
      </c>
      <c r="B2601" t="str">
        <f>"1552380196446954"</f>
        <v>1552380196446954</v>
      </c>
      <c r="C2601" t="s">
        <v>40</v>
      </c>
      <c r="D2601">
        <v>4.2849640000000004</v>
      </c>
      <c r="E2601">
        <v>0.51843890000000004</v>
      </c>
      <c r="F2601" t="s">
        <v>46</v>
      </c>
      <c r="G2601">
        <v>-353.82940000000002</v>
      </c>
      <c r="H2601" s="1">
        <v>6.3335969999999997E-7</v>
      </c>
      <c r="I2601">
        <v>211.58940000000001</v>
      </c>
      <c r="J2601">
        <v>-375.92140000000001</v>
      </c>
      <c r="K2601">
        <v>1.1092059999999999</v>
      </c>
      <c r="L2601">
        <v>213.41220000000001</v>
      </c>
      <c r="M2601">
        <v>0.99993549999999998</v>
      </c>
      <c r="N2601">
        <v>0</v>
      </c>
      <c r="O2601">
        <v>6.8835889999999999E-3</v>
      </c>
      <c r="P2601">
        <v>0.98978049999999995</v>
      </c>
      <c r="Q2601">
        <v>0.1363683</v>
      </c>
      <c r="R2601">
        <v>-4.1692840000000002E-2</v>
      </c>
      <c r="S2601">
        <v>3.0414430000000001</v>
      </c>
      <c r="T2601">
        <v>-0.14946699999999999</v>
      </c>
      <c r="U2601">
        <v>-0.24517820000000001</v>
      </c>
      <c r="V2601">
        <v>4.8519689999999997E-2</v>
      </c>
      <c r="W2601">
        <v>0.14528769999999999</v>
      </c>
      <c r="X2601">
        <v>0.9881991</v>
      </c>
      <c r="Y2601">
        <v>8.7098839999999997E-2</v>
      </c>
      <c r="Z2601">
        <v>-2.4729890000000001E-3</v>
      </c>
      <c r="AA2601">
        <v>0.99619659999999999</v>
      </c>
      <c r="AB2601">
        <v>46</v>
      </c>
      <c r="AC2601">
        <v>22.091999999999899</v>
      </c>
      <c r="AD2601">
        <v>-1.1092053666402999</v>
      </c>
      <c r="AE2601">
        <v>-1.8228</v>
      </c>
      <c r="AF2601">
        <v>1.96990293465934</v>
      </c>
      <c r="AG2601">
        <v>-1.1092053666402999</v>
      </c>
      <c r="AH2601">
        <v>22.023784509774099</v>
      </c>
      <c r="AI2601">
        <v>92.871761887687398</v>
      </c>
      <c r="AJ2601">
        <v>84.888818003615</v>
      </c>
      <c r="AK2601">
        <v>22.139510795189899</v>
      </c>
      <c r="AL2601">
        <v>81.646060968522804</v>
      </c>
      <c r="AM2601">
        <v>87.189085912376498</v>
      </c>
      <c r="AN2601">
        <v>1.00000006866489</v>
      </c>
    </row>
    <row r="2602" spans="1:40" x14ac:dyDescent="0.25">
      <c r="A2602" t="str">
        <f>"20190312164316478"</f>
        <v>20190312164316478</v>
      </c>
      <c r="B2602" t="str">
        <f>"1552380196467450"</f>
        <v>1552380196467450</v>
      </c>
      <c r="C2602" t="s">
        <v>40</v>
      </c>
      <c r="D2602">
        <v>4.4919339999999996</v>
      </c>
      <c r="E2602">
        <v>0.51868800000000004</v>
      </c>
      <c r="F2602" t="s">
        <v>46</v>
      </c>
      <c r="G2602">
        <v>-353.30399999999997</v>
      </c>
      <c r="H2602" s="1">
        <v>3.5437119999999998E-7</v>
      </c>
      <c r="I2602">
        <v>211.57579999999999</v>
      </c>
      <c r="J2602">
        <v>-375.4538</v>
      </c>
      <c r="K2602">
        <v>1.1092109999999999</v>
      </c>
      <c r="L2602">
        <v>213.41540000000001</v>
      </c>
      <c r="M2602">
        <v>0.99993560000000004</v>
      </c>
      <c r="N2602">
        <v>0</v>
      </c>
      <c r="O2602">
        <v>6.8640289999999998E-3</v>
      </c>
      <c r="P2602">
        <v>0.9898131</v>
      </c>
      <c r="Q2602">
        <v>0.13616039999999999</v>
      </c>
      <c r="R2602">
        <v>-4.1603580000000001E-2</v>
      </c>
      <c r="S2602">
        <v>3.0411380000000001</v>
      </c>
      <c r="T2602">
        <v>-0.1491439</v>
      </c>
      <c r="U2602">
        <v>-0.24691769999999999</v>
      </c>
      <c r="V2602">
        <v>4.8411250000000003E-2</v>
      </c>
      <c r="W2602">
        <v>0.14509469999999999</v>
      </c>
      <c r="X2602">
        <v>0.98823269999999996</v>
      </c>
      <c r="Y2602">
        <v>8.7653270000000005E-2</v>
      </c>
      <c r="Z2602">
        <v>-2.4804480000000001E-3</v>
      </c>
      <c r="AA2602">
        <v>0.99614789999999998</v>
      </c>
      <c r="AB2602">
        <v>46</v>
      </c>
      <c r="AC2602">
        <v>22.1497999999999</v>
      </c>
      <c r="AD2602">
        <v>-1.1092106456288</v>
      </c>
      <c r="AE2602">
        <v>-1.8396000000000099</v>
      </c>
      <c r="AF2602">
        <v>1.9866517942904001</v>
      </c>
      <c r="AG2602">
        <v>-1.1092106456288</v>
      </c>
      <c r="AH2602">
        <v>22.081654122808001</v>
      </c>
      <c r="AI2602">
        <v>92.864128630040099</v>
      </c>
      <c r="AJ2602">
        <v>84.859029635470705</v>
      </c>
      <c r="AK2602">
        <v>22.1985716298922</v>
      </c>
      <c r="AL2602">
        <v>81.657236866775406</v>
      </c>
      <c r="AM2602">
        <v>87.195453382015501</v>
      </c>
      <c r="AN2602">
        <v>0.99999999522197103</v>
      </c>
    </row>
    <row r="2603" spans="1:40" x14ac:dyDescent="0.25">
      <c r="A2603" t="str">
        <f>"20190312164316499"</f>
        <v>20190312164316499</v>
      </c>
      <c r="B2603" t="str">
        <f>"1552380196487570"</f>
        <v>1552380196487570</v>
      </c>
      <c r="C2603" t="s">
        <v>40</v>
      </c>
      <c r="D2603">
        <v>4.5412679999999996</v>
      </c>
      <c r="E2603">
        <v>0.51881369999999905</v>
      </c>
      <c r="F2603" t="s">
        <v>46</v>
      </c>
      <c r="G2603">
        <v>-352.66219999999998</v>
      </c>
      <c r="H2603" s="1">
        <v>1.4038389999999901E-8</v>
      </c>
      <c r="I2603">
        <v>211.54740000000001</v>
      </c>
      <c r="J2603">
        <v>-375.00659999999999</v>
      </c>
      <c r="K2603">
        <v>1.10921</v>
      </c>
      <c r="L2603">
        <v>213.41849999999999</v>
      </c>
      <c r="M2603">
        <v>0.99993560000000004</v>
      </c>
      <c r="N2603">
        <v>0</v>
      </c>
      <c r="O2603">
        <v>6.8456609999999899E-3</v>
      </c>
      <c r="P2603">
        <v>0.98986640000000004</v>
      </c>
      <c r="Q2603">
        <v>0.13572919999999999</v>
      </c>
      <c r="R2603">
        <v>-4.1738289999999997E-2</v>
      </c>
      <c r="S2603">
        <v>3.0407410000000001</v>
      </c>
      <c r="T2603">
        <v>-0.14798549999999999</v>
      </c>
      <c r="U2603">
        <v>-0.24922179999999999</v>
      </c>
      <c r="V2603">
        <v>4.852828E-2</v>
      </c>
      <c r="W2603">
        <v>0.14467859999999999</v>
      </c>
      <c r="X2603">
        <v>0.98828800000000006</v>
      </c>
      <c r="Y2603">
        <v>8.8396130000000003E-2</v>
      </c>
      <c r="Z2603">
        <v>-2.478591E-3</v>
      </c>
      <c r="AA2603">
        <v>0.99608229999999998</v>
      </c>
      <c r="AB2603">
        <v>46</v>
      </c>
      <c r="AC2603">
        <v>22.3444</v>
      </c>
      <c r="AD2603">
        <v>-1.10920998596161</v>
      </c>
      <c r="AE2603">
        <v>-1.87109999999998</v>
      </c>
      <c r="AF2603">
        <v>2.0190836659607698</v>
      </c>
      <c r="AG2603">
        <v>-1.10920998596161</v>
      </c>
      <c r="AH2603">
        <v>22.276553529980099</v>
      </c>
      <c r="AI2603">
        <v>92.838939846012806</v>
      </c>
      <c r="AJ2603">
        <v>84.821023950588</v>
      </c>
      <c r="AK2603">
        <v>22.395354045363401</v>
      </c>
      <c r="AL2603">
        <v>81.681332185891506</v>
      </c>
      <c r="AM2603">
        <v>87.188841552864901</v>
      </c>
      <c r="AN2603">
        <v>1.0000000311008499</v>
      </c>
    </row>
    <row r="2604" spans="1:40" x14ac:dyDescent="0.25">
      <c r="A2604" t="str">
        <f>"20190312164316522"</f>
        <v>20190312164316522</v>
      </c>
      <c r="B2604" t="str">
        <f>"1552380196516847"</f>
        <v>1552380196516847</v>
      </c>
      <c r="C2604" t="s">
        <v>40</v>
      </c>
      <c r="D2604">
        <v>4.2598349999999998</v>
      </c>
      <c r="E2604">
        <v>0.51930529999999997</v>
      </c>
      <c r="F2604" t="s">
        <v>46</v>
      </c>
      <c r="G2604">
        <v>-352.53930000000003</v>
      </c>
      <c r="H2604" s="1">
        <v>-5.222222E-8</v>
      </c>
      <c r="I2604">
        <v>211.5675</v>
      </c>
      <c r="J2604">
        <v>-374.5455</v>
      </c>
      <c r="K2604">
        <v>1.1092059999999999</v>
      </c>
      <c r="L2604">
        <v>213.42160000000001</v>
      </c>
      <c r="M2604">
        <v>0.99993560000000004</v>
      </c>
      <c r="N2604">
        <v>0</v>
      </c>
      <c r="O2604">
        <v>6.8262820000000004E-3</v>
      </c>
      <c r="P2604">
        <v>0.98986450000000004</v>
      </c>
      <c r="Q2604">
        <v>0.13569149999999999</v>
      </c>
      <c r="R2604">
        <v>-4.191143E-2</v>
      </c>
      <c r="S2604">
        <v>3.0407099999999998</v>
      </c>
      <c r="T2604">
        <v>-0.15012</v>
      </c>
      <c r="U2604">
        <v>-0.25050349999999999</v>
      </c>
      <c r="V2604">
        <v>4.8682009999999998E-2</v>
      </c>
      <c r="W2604">
        <v>0.14465600000000001</v>
      </c>
      <c r="X2604">
        <v>0.98828369999999999</v>
      </c>
      <c r="Y2604">
        <v>8.879099E-2</v>
      </c>
      <c r="Z2604">
        <v>-2.523052E-3</v>
      </c>
      <c r="AA2604">
        <v>0.99604709999999996</v>
      </c>
      <c r="AB2604">
        <v>46</v>
      </c>
      <c r="AC2604">
        <v>22.0061999999999</v>
      </c>
      <c r="AD2604">
        <v>-1.10920605222222</v>
      </c>
      <c r="AE2604">
        <v>-1.8541000000000101</v>
      </c>
      <c r="AF2604">
        <v>1.9992400535153501</v>
      </c>
      <c r="AG2604">
        <v>-1.10920605222222</v>
      </c>
      <c r="AH2604">
        <v>21.9376883093123</v>
      </c>
      <c r="AI2604">
        <v>92.882579993101501</v>
      </c>
      <c r="AJ2604">
        <v>84.792866355805302</v>
      </c>
      <c r="AK2604">
        <v>22.056506233182201</v>
      </c>
      <c r="AL2604">
        <v>81.682640442982802</v>
      </c>
      <c r="AM2604">
        <v>87.179938345091202</v>
      </c>
      <c r="AN2604">
        <v>0.99999998405966495</v>
      </c>
    </row>
    <row r="2605" spans="1:40" x14ac:dyDescent="0.25">
      <c r="A2605" t="str">
        <f>"20190312164316568"</f>
        <v>20190312164316568</v>
      </c>
      <c r="B2605" t="str">
        <f>"1552380196556863"</f>
        <v>1552380196556863</v>
      </c>
      <c r="C2605" t="s">
        <v>40</v>
      </c>
      <c r="D2605">
        <v>4.2652020000000004</v>
      </c>
      <c r="E2605">
        <v>0.55030489999999999</v>
      </c>
      <c r="F2605" t="s">
        <v>41</v>
      </c>
      <c r="G2605">
        <v>-373.40179999999998</v>
      </c>
      <c r="H2605">
        <v>1.052424</v>
      </c>
      <c r="I2605">
        <v>213.32550000000001</v>
      </c>
      <c r="J2605">
        <v>-373.5872</v>
      </c>
      <c r="K2605">
        <v>1.109199</v>
      </c>
      <c r="L2605">
        <v>213.4281</v>
      </c>
      <c r="M2605">
        <v>0.99993560000000004</v>
      </c>
      <c r="N2605">
        <v>0</v>
      </c>
      <c r="O2605">
        <v>6.7859679999999999E-3</v>
      </c>
      <c r="P2605">
        <v>0.98993200000000003</v>
      </c>
      <c r="Q2605">
        <v>0.13509499999999999</v>
      </c>
      <c r="R2605">
        <v>-4.223669E-2</v>
      </c>
      <c r="S2605">
        <v>3.040619</v>
      </c>
      <c r="T2605">
        <v>-0.151038899999999</v>
      </c>
      <c r="U2605">
        <v>-0.25486760000000003</v>
      </c>
      <c r="V2605">
        <v>4.8968049999999999E-2</v>
      </c>
      <c r="W2605">
        <v>0.14408979999999999</v>
      </c>
      <c r="X2605">
        <v>0.98835229999999996</v>
      </c>
      <c r="Y2605">
        <v>9.0169910000000006E-2</v>
      </c>
      <c r="Z2605">
        <v>-2.5705720000000001E-3</v>
      </c>
      <c r="AA2605">
        <v>0.99592309999999995</v>
      </c>
      <c r="AB2605">
        <v>46</v>
      </c>
      <c r="AC2605">
        <v>0.185400000000015</v>
      </c>
      <c r="AD2605">
        <v>-5.6774999999999999E-2</v>
      </c>
      <c r="AE2605">
        <v>-0.102599999999995</v>
      </c>
      <c r="AF2605">
        <v>9.6899328822971101E-2</v>
      </c>
      <c r="AG2605">
        <v>-5.6774999999999999E-2</v>
      </c>
      <c r="AH2605">
        <v>0.172327905609058</v>
      </c>
      <c r="AI2605">
        <v>106.02266356793</v>
      </c>
      <c r="AJ2605">
        <v>60.651116908035497</v>
      </c>
      <c r="AK2605">
        <v>0.20569343111277699</v>
      </c>
      <c r="AL2605">
        <v>81.715424956101401</v>
      </c>
      <c r="AM2605">
        <v>87.163592106433597</v>
      </c>
      <c r="AN2605">
        <v>1.0000000046500599</v>
      </c>
    </row>
    <row r="2606" spans="1:40" x14ac:dyDescent="0.25">
      <c r="A2606" t="str">
        <f>"20190312164316589"</f>
        <v>20190312164316589</v>
      </c>
      <c r="B2606" t="str">
        <f>"1552380196577359"</f>
        <v>1552380196577359</v>
      </c>
      <c r="C2606" t="s">
        <v>40</v>
      </c>
      <c r="D2606">
        <v>4.2693519999999996</v>
      </c>
      <c r="E2606">
        <v>0.55091299999999999</v>
      </c>
      <c r="F2606" t="s">
        <v>46</v>
      </c>
      <c r="G2606">
        <v>-351.49689999999998</v>
      </c>
      <c r="H2606" s="1">
        <v>-5.278494E-7</v>
      </c>
      <c r="I2606">
        <v>209.75819999999999</v>
      </c>
      <c r="J2606">
        <v>-373.14049999999997</v>
      </c>
      <c r="K2606">
        <v>1.109197</v>
      </c>
      <c r="L2606">
        <v>213.43109999999999</v>
      </c>
      <c r="M2606">
        <v>0.99993560000000004</v>
      </c>
      <c r="N2606">
        <v>0</v>
      </c>
      <c r="O2606">
        <v>6.7674229999999998E-3</v>
      </c>
      <c r="P2606">
        <v>0.98995330000000004</v>
      </c>
      <c r="Q2606">
        <v>0.1348655</v>
      </c>
      <c r="R2606">
        <v>-4.247542E-2</v>
      </c>
      <c r="S2606">
        <v>3.029785</v>
      </c>
      <c r="T2606">
        <v>-0.15213199999999999</v>
      </c>
      <c r="U2606">
        <v>-0.5033417</v>
      </c>
      <c r="V2606">
        <v>4.9188450000000002E-2</v>
      </c>
      <c r="W2606">
        <v>0.143875</v>
      </c>
      <c r="X2606">
        <v>0.98837260000000005</v>
      </c>
      <c r="Y2606">
        <v>0.1703402</v>
      </c>
      <c r="Z2606">
        <v>-4.5821919999999997E-3</v>
      </c>
      <c r="AA2606">
        <v>0.98537459999999999</v>
      </c>
      <c r="AB2606">
        <v>47</v>
      </c>
      <c r="AC2606">
        <v>21.6435999999999</v>
      </c>
      <c r="AD2606">
        <v>-1.1091975278494</v>
      </c>
      <c r="AE2606">
        <v>-3.6728999999999998</v>
      </c>
      <c r="AF2606">
        <v>3.8095680281528299</v>
      </c>
      <c r="AG2606">
        <v>-1.1091975278494</v>
      </c>
      <c r="AH2606">
        <v>21.563199184319298</v>
      </c>
      <c r="AI2606">
        <v>92.899834792474707</v>
      </c>
      <c r="AJ2606">
        <v>79.980946299558497</v>
      </c>
      <c r="AK2606">
        <v>21.925206653063501</v>
      </c>
      <c r="AL2606">
        <v>81.727861287070496</v>
      </c>
      <c r="AM2606">
        <v>87.150905145365499</v>
      </c>
      <c r="AN2606">
        <v>0.99999995783457996</v>
      </c>
    </row>
    <row r="2607" spans="1:40" x14ac:dyDescent="0.25">
      <c r="A2607" t="str">
        <f>"20190312164316610"</f>
        <v>20190312164316610</v>
      </c>
      <c r="B2607" t="str">
        <f>"1552380196607308"</f>
        <v>1552380196607308</v>
      </c>
      <c r="C2607" t="s">
        <v>40</v>
      </c>
      <c r="D2607">
        <v>4.3337260000000004</v>
      </c>
      <c r="E2607">
        <v>0.55097940000000001</v>
      </c>
      <c r="F2607" t="s">
        <v>46</v>
      </c>
      <c r="G2607">
        <v>-351.73649999999998</v>
      </c>
      <c r="H2607" s="1">
        <v>-4.0376229999999999E-7</v>
      </c>
      <c r="I2607">
        <v>209.83680000000001</v>
      </c>
      <c r="J2607">
        <v>-372.69990000000001</v>
      </c>
      <c r="K2607">
        <v>1.109202</v>
      </c>
      <c r="L2607">
        <v>213.4341</v>
      </c>
      <c r="M2607">
        <v>0.99993560000000004</v>
      </c>
      <c r="N2607">
        <v>0</v>
      </c>
      <c r="O2607">
        <v>6.749059E-3</v>
      </c>
      <c r="P2607">
        <v>0.98993779999999998</v>
      </c>
      <c r="Q2607">
        <v>0.1349399</v>
      </c>
      <c r="R2607">
        <v>-4.2597639999999999E-2</v>
      </c>
      <c r="S2607">
        <v>3.0300289999999999</v>
      </c>
      <c r="T2607">
        <v>-0.15702269999999999</v>
      </c>
      <c r="U2607">
        <v>-0.50883480000000003</v>
      </c>
      <c r="V2607">
        <v>4.9292429999999998E-2</v>
      </c>
      <c r="W2607">
        <v>0.1439628</v>
      </c>
      <c r="X2607">
        <v>0.98835470000000003</v>
      </c>
      <c r="Y2607">
        <v>0.17203070000000001</v>
      </c>
      <c r="Z2607">
        <v>-4.7707590000000003E-3</v>
      </c>
      <c r="AA2607">
        <v>0.98508010000000001</v>
      </c>
      <c r="AB2607">
        <v>47</v>
      </c>
      <c r="AC2607">
        <v>20.9634</v>
      </c>
      <c r="AD2607">
        <v>-1.1092024037623001</v>
      </c>
      <c r="AE2607">
        <v>-3.59729999999999</v>
      </c>
      <c r="AF2607">
        <v>3.7285672116466002</v>
      </c>
      <c r="AG2607">
        <v>-1.1092024037623001</v>
      </c>
      <c r="AH2607">
        <v>20.881854202910599</v>
      </c>
      <c r="AI2607">
        <v>92.993325764298504</v>
      </c>
      <c r="AJ2607">
        <v>79.876219980859105</v>
      </c>
      <c r="AK2607">
        <v>21.2411011573293</v>
      </c>
      <c r="AL2607">
        <v>81.722778332368705</v>
      </c>
      <c r="AM2607">
        <v>87.144840744427796</v>
      </c>
      <c r="AN2607">
        <v>1.00000002222561</v>
      </c>
    </row>
    <row r="2608" spans="1:40" x14ac:dyDescent="0.25">
      <c r="A2608" t="str">
        <f>"20190312164316632"</f>
        <v>20190312164316632</v>
      </c>
      <c r="B2608" t="str">
        <f>"1552380196626828"</f>
        <v>1552380196626828</v>
      </c>
      <c r="C2608" t="s">
        <v>40</v>
      </c>
      <c r="D2608">
        <v>4.3338700000000001</v>
      </c>
      <c r="E2608">
        <v>0.55075189999999996</v>
      </c>
      <c r="F2608" t="s">
        <v>46</v>
      </c>
      <c r="G2608">
        <v>-351.64269999999999</v>
      </c>
      <c r="H2608" s="1">
        <v>-4.5600359999999999E-7</v>
      </c>
      <c r="I2608">
        <v>209.88939999999999</v>
      </c>
      <c r="J2608">
        <v>-372.22930000000002</v>
      </c>
      <c r="K2608">
        <v>1.1092</v>
      </c>
      <c r="L2608">
        <v>213.43729999999999</v>
      </c>
      <c r="M2608">
        <v>0.99993569999999998</v>
      </c>
      <c r="N2608">
        <v>0</v>
      </c>
      <c r="O2608">
        <v>6.7293190000000001E-3</v>
      </c>
      <c r="P2608">
        <v>0.98988399999999999</v>
      </c>
      <c r="Q2608">
        <v>0.1352922</v>
      </c>
      <c r="R2608">
        <v>-4.2731360000000003E-2</v>
      </c>
      <c r="S2608">
        <v>3.0303040000000001</v>
      </c>
      <c r="T2608">
        <v>-0.1596234</v>
      </c>
      <c r="U2608">
        <v>-0.51011660000000003</v>
      </c>
      <c r="V2608">
        <v>4.940638E-2</v>
      </c>
      <c r="W2608">
        <v>0.1443295</v>
      </c>
      <c r="X2608">
        <v>0.98829549999999999</v>
      </c>
      <c r="Y2608">
        <v>0.17239370000000001</v>
      </c>
      <c r="Z2608">
        <v>-4.8575210000000001E-3</v>
      </c>
      <c r="AA2608">
        <v>0.98501620000000001</v>
      </c>
      <c r="AB2608">
        <v>47</v>
      </c>
      <c r="AC2608">
        <v>20.586600000000001</v>
      </c>
      <c r="AD2608">
        <v>-1.1092004560036</v>
      </c>
      <c r="AE2608">
        <v>-3.5478999999999901</v>
      </c>
      <c r="AF2608">
        <v>3.6759955365896499</v>
      </c>
      <c r="AG2608">
        <v>-1.1092004560036</v>
      </c>
      <c r="AH2608">
        <v>20.5044499178607</v>
      </c>
      <c r="AI2608">
        <v>93.047931395695699</v>
      </c>
      <c r="AJ2608">
        <v>79.836103969238096</v>
      </c>
      <c r="AK2608">
        <v>20.8608661198591</v>
      </c>
      <c r="AL2608">
        <v>81.701546004622799</v>
      </c>
      <c r="AM2608">
        <v>87.138080254977496</v>
      </c>
      <c r="AN2608">
        <v>0.99999999513760196</v>
      </c>
    </row>
    <row r="2609" spans="1:40" x14ac:dyDescent="0.25">
      <c r="A2609" t="str">
        <f>"20190312164316656"</f>
        <v>20190312164316656</v>
      </c>
      <c r="B2609" t="str">
        <f>"1552380196647324"</f>
        <v>1552380196647324</v>
      </c>
      <c r="C2609" t="s">
        <v>40</v>
      </c>
      <c r="D2609">
        <v>4.3248329999999999</v>
      </c>
      <c r="E2609">
        <v>0.55071369999999997</v>
      </c>
      <c r="F2609" t="s">
        <v>46</v>
      </c>
      <c r="G2609">
        <v>-351.30630000000002</v>
      </c>
      <c r="H2609" s="1">
        <v>-6.365468E-7</v>
      </c>
      <c r="I2609">
        <v>209.92429999999999</v>
      </c>
      <c r="J2609">
        <v>-371.73750000000001</v>
      </c>
      <c r="K2609">
        <v>1.1091979999999999</v>
      </c>
      <c r="L2609">
        <v>213.44059999999999</v>
      </c>
      <c r="M2609">
        <v>0.99993560000000004</v>
      </c>
      <c r="N2609">
        <v>0</v>
      </c>
      <c r="O2609">
        <v>6.7087419999999898E-3</v>
      </c>
      <c r="P2609">
        <v>0.9899057</v>
      </c>
      <c r="Q2609">
        <v>0.13518520000000001</v>
      </c>
      <c r="R2609">
        <v>-4.2567969999999997E-2</v>
      </c>
      <c r="S2609">
        <v>3.0307010000000001</v>
      </c>
      <c r="T2609">
        <v>-0.1606678</v>
      </c>
      <c r="U2609">
        <v>-0.50886540000000002</v>
      </c>
      <c r="V2609">
        <v>4.9222729999999999E-2</v>
      </c>
      <c r="W2609">
        <v>0.14423839999999999</v>
      </c>
      <c r="X2609">
        <v>0.98831800000000003</v>
      </c>
      <c r="Y2609">
        <v>0.17195429999999901</v>
      </c>
      <c r="Z2609">
        <v>-4.8761550000000001E-3</v>
      </c>
      <c r="AA2609">
        <v>0.98509290000000005</v>
      </c>
      <c r="AB2609">
        <v>47</v>
      </c>
      <c r="AC2609">
        <v>20.431199999999901</v>
      </c>
      <c r="AD2609">
        <v>-1.1091986365467901</v>
      </c>
      <c r="AE2609">
        <v>-3.5163000000000002</v>
      </c>
      <c r="AF2609">
        <v>3.6428663471014602</v>
      </c>
      <c r="AG2609">
        <v>-1.1091986365467901</v>
      </c>
      <c r="AH2609">
        <v>20.348899382694501</v>
      </c>
      <c r="AI2609">
        <v>93.071317930663298</v>
      </c>
      <c r="AJ2609">
        <v>79.850405853702199</v>
      </c>
      <c r="AK2609">
        <v>20.702137641441499</v>
      </c>
      <c r="AL2609">
        <v>81.706821145155004</v>
      </c>
      <c r="AM2609">
        <v>87.148765604177797</v>
      </c>
      <c r="AN2609">
        <v>1.0000000311535999</v>
      </c>
    </row>
    <row r="2610" spans="1:40" x14ac:dyDescent="0.25">
      <c r="A2610" t="str">
        <f>"20190312164316678"</f>
        <v>20190312164316678</v>
      </c>
      <c r="B2610" t="str">
        <f>"1552380196666844"</f>
        <v>1552380196666844</v>
      </c>
      <c r="C2610" t="s">
        <v>40</v>
      </c>
      <c r="D2610">
        <v>4.3383830000000003</v>
      </c>
      <c r="E2610">
        <v>0.55057529999999999</v>
      </c>
      <c r="F2610" t="s">
        <v>46</v>
      </c>
      <c r="G2610">
        <v>-351.02179999999998</v>
      </c>
      <c r="H2610" s="1">
        <v>-7.8987060000000002E-7</v>
      </c>
      <c r="I2610">
        <v>209.9683</v>
      </c>
      <c r="J2610">
        <v>-371.26560000000001</v>
      </c>
      <c r="K2610">
        <v>1.109191</v>
      </c>
      <c r="L2610">
        <v>213.44370000000001</v>
      </c>
      <c r="M2610">
        <v>0.99993549999999998</v>
      </c>
      <c r="N2610">
        <v>0</v>
      </c>
      <c r="O2610">
        <v>6.689179E-3</v>
      </c>
      <c r="P2610">
        <v>0.98997579999999996</v>
      </c>
      <c r="Q2610">
        <v>0.1348239</v>
      </c>
      <c r="R2610">
        <v>-4.2074979999999998E-2</v>
      </c>
      <c r="S2610">
        <v>3.0309140000000001</v>
      </c>
      <c r="T2610">
        <v>-0.1622864</v>
      </c>
      <c r="U2610">
        <v>-0.50802609999999904</v>
      </c>
      <c r="V2610">
        <v>4.8710969999999999E-2</v>
      </c>
      <c r="W2610">
        <v>0.14389250000000001</v>
      </c>
      <c r="X2610">
        <v>0.98839370000000004</v>
      </c>
      <c r="Y2610">
        <v>0.1716539</v>
      </c>
      <c r="Z2610">
        <v>-4.9159590000000001E-3</v>
      </c>
      <c r="AA2610">
        <v>0.98514500000000005</v>
      </c>
      <c r="AB2610">
        <v>47</v>
      </c>
      <c r="AC2610">
        <v>20.2438</v>
      </c>
      <c r="AD2610">
        <v>-1.1091917898706001</v>
      </c>
      <c r="AE2610">
        <v>-3.4754</v>
      </c>
      <c r="AF2610">
        <v>3.6002433903403399</v>
      </c>
      <c r="AG2610">
        <v>-1.1091917898706001</v>
      </c>
      <c r="AH2610">
        <v>20.1613045203102</v>
      </c>
      <c r="AI2610">
        <v>93.100061387140698</v>
      </c>
      <c r="AJ2610">
        <v>79.875299591556299</v>
      </c>
      <c r="AK2610">
        <v>20.510247654699</v>
      </c>
      <c r="AL2610">
        <v>81.726848070786303</v>
      </c>
      <c r="AM2610">
        <v>87.178576982996503</v>
      </c>
      <c r="AN2610">
        <v>0.99999995817713905</v>
      </c>
    </row>
    <row r="2611" spans="1:40" x14ac:dyDescent="0.25">
      <c r="A2611" t="str">
        <f>"20190312164316700"</f>
        <v>20190312164316700</v>
      </c>
      <c r="B2611" t="str">
        <f>"1552380196687340"</f>
        <v>1552380196687340</v>
      </c>
      <c r="C2611" t="s">
        <v>40</v>
      </c>
      <c r="D2611">
        <v>4.3581079999999996</v>
      </c>
      <c r="E2611">
        <v>0.55050809999999994</v>
      </c>
      <c r="F2611" t="s">
        <v>46</v>
      </c>
      <c r="G2611">
        <v>-350.79390000000001</v>
      </c>
      <c r="H2611" s="1">
        <v>-9.1394539999999999E-7</v>
      </c>
      <c r="I2611">
        <v>210.03219999999999</v>
      </c>
      <c r="J2611">
        <v>-370.82220000000001</v>
      </c>
      <c r="K2611">
        <v>1.1091899999999999</v>
      </c>
      <c r="L2611">
        <v>213.44669999999999</v>
      </c>
      <c r="M2611">
        <v>0.99993560000000004</v>
      </c>
      <c r="N2611">
        <v>0</v>
      </c>
      <c r="O2611">
        <v>6.6704569999999899E-3</v>
      </c>
      <c r="P2611">
        <v>0.9900331</v>
      </c>
      <c r="Q2611">
        <v>0.13444600000000001</v>
      </c>
      <c r="R2611">
        <v>-4.193798E-2</v>
      </c>
      <c r="S2611">
        <v>3.0313110000000001</v>
      </c>
      <c r="T2611">
        <v>-0.16424159999999999</v>
      </c>
      <c r="U2611">
        <v>-0.50515750000000004</v>
      </c>
      <c r="V2611">
        <v>4.8555790000000001E-2</v>
      </c>
      <c r="W2611">
        <v>0.14352970000000001</v>
      </c>
      <c r="X2611">
        <v>0.98845419999999995</v>
      </c>
      <c r="Y2611">
        <v>0.17070279999999999</v>
      </c>
      <c r="Z2611">
        <v>-4.9482629999999996E-3</v>
      </c>
      <c r="AA2611">
        <v>0.98531009999999997</v>
      </c>
      <c r="AB2611">
        <v>47</v>
      </c>
      <c r="AC2611">
        <v>20.028300000000002</v>
      </c>
      <c r="AD2611">
        <v>-1.1091909139453999</v>
      </c>
      <c r="AE2611">
        <v>-3.4144999999999999</v>
      </c>
      <c r="AF2611">
        <v>3.53748428148594</v>
      </c>
      <c r="AG2611">
        <v>-1.1091909139453999</v>
      </c>
      <c r="AH2611">
        <v>19.9456302020855</v>
      </c>
      <c r="AI2611">
        <v>93.134169607105207</v>
      </c>
      <c r="AJ2611">
        <v>79.942809682748702</v>
      </c>
      <c r="AK2611">
        <v>20.287243866126499</v>
      </c>
      <c r="AL2611">
        <v>81.747853968672004</v>
      </c>
      <c r="AM2611">
        <v>87.187722685212094</v>
      </c>
      <c r="AN2611">
        <v>1.00000007251112</v>
      </c>
    </row>
    <row r="2612" spans="1:40" x14ac:dyDescent="0.25">
      <c r="A2612" t="str">
        <f>"20190312164316724"</f>
        <v>20190312164316724</v>
      </c>
      <c r="B2612" t="str">
        <f>"1552380196716621"</f>
        <v>1552380196716621</v>
      </c>
      <c r="C2612" t="s">
        <v>40</v>
      </c>
      <c r="D2612">
        <v>4.3716720000000002</v>
      </c>
      <c r="E2612">
        <v>0.55044249999999995</v>
      </c>
      <c r="F2612" t="s">
        <v>46</v>
      </c>
      <c r="G2612">
        <v>-350.49439999999998</v>
      </c>
      <c r="H2612" s="1">
        <v>-1.074752E-6</v>
      </c>
      <c r="I2612">
        <v>210.06469999999999</v>
      </c>
      <c r="J2612">
        <v>-370.32220000000001</v>
      </c>
      <c r="K2612">
        <v>1.1091869999999999</v>
      </c>
      <c r="L2612">
        <v>213.45</v>
      </c>
      <c r="M2612">
        <v>0.99993560000000004</v>
      </c>
      <c r="N2612">
        <v>0</v>
      </c>
      <c r="O2612">
        <v>6.6496999999999997E-3</v>
      </c>
      <c r="P2612">
        <v>0.99004009999999998</v>
      </c>
      <c r="Q2612">
        <v>0.13430129999999901</v>
      </c>
      <c r="R2612">
        <v>-4.223785E-2</v>
      </c>
      <c r="S2612">
        <v>3.0312809999999999</v>
      </c>
      <c r="T2612">
        <v>-0.1654021</v>
      </c>
      <c r="U2612">
        <v>-0.50431819999999905</v>
      </c>
      <c r="V2612">
        <v>4.8835070000000001E-2</v>
      </c>
      <c r="W2612">
        <v>0.14340079999999999</v>
      </c>
      <c r="X2612">
        <v>0.98845910000000003</v>
      </c>
      <c r="Y2612">
        <v>0.17041529999999999</v>
      </c>
      <c r="Z2612">
        <v>-4.9744289999999998E-3</v>
      </c>
      <c r="AA2612">
        <v>0.98535980000000001</v>
      </c>
      <c r="AB2612">
        <v>47</v>
      </c>
      <c r="AC2612">
        <v>19.8278</v>
      </c>
      <c r="AD2612">
        <v>-1.109188074752</v>
      </c>
      <c r="AE2612">
        <v>-3.3853</v>
      </c>
      <c r="AF2612">
        <v>3.5064174624806701</v>
      </c>
      <c r="AG2612">
        <v>-1.109188074752</v>
      </c>
      <c r="AH2612">
        <v>19.744810126736699</v>
      </c>
      <c r="AI2612">
        <v>93.165848676812999</v>
      </c>
      <c r="AJ2612">
        <v>79.930009868015105</v>
      </c>
      <c r="AK2612">
        <v>20.084391664853701</v>
      </c>
      <c r="AL2612">
        <v>81.755316180738902</v>
      </c>
      <c r="AM2612">
        <v>87.171587403189207</v>
      </c>
      <c r="AN2612">
        <v>1.00000002293767</v>
      </c>
    </row>
    <row r="2613" spans="1:40" x14ac:dyDescent="0.25">
      <c r="A2613" t="str">
        <f>"20190312164316746"</f>
        <v>20190312164316746</v>
      </c>
      <c r="B2613" t="str">
        <f>"1552380196737116"</f>
        <v>1552380196737116</v>
      </c>
      <c r="C2613" t="s">
        <v>40</v>
      </c>
      <c r="D2613">
        <v>4.4020530000000004</v>
      </c>
      <c r="E2613">
        <v>0.55041499999999999</v>
      </c>
      <c r="F2613" t="s">
        <v>46</v>
      </c>
      <c r="G2613">
        <v>-350.0795</v>
      </c>
      <c r="H2613" s="1">
        <v>-1.2960899999999999E-6</v>
      </c>
      <c r="I2613">
        <v>210.07769999999999</v>
      </c>
      <c r="J2613">
        <v>-369.84100000000001</v>
      </c>
      <c r="K2613">
        <v>1.1091850000000001</v>
      </c>
      <c r="L2613">
        <v>213.45320000000001</v>
      </c>
      <c r="M2613">
        <v>0.99993569999999998</v>
      </c>
      <c r="N2613">
        <v>0</v>
      </c>
      <c r="O2613">
        <v>6.6294819999999999E-3</v>
      </c>
      <c r="P2613">
        <v>0.99005719999999997</v>
      </c>
      <c r="Q2613">
        <v>0.13409579999999999</v>
      </c>
      <c r="R2613">
        <v>-4.2492460000000003E-2</v>
      </c>
      <c r="S2613">
        <v>3.0311889999999999</v>
      </c>
      <c r="T2613">
        <v>-0.1660925</v>
      </c>
      <c r="U2613">
        <v>-0.50497440000000005</v>
      </c>
      <c r="V2613">
        <v>4.906978E-2</v>
      </c>
      <c r="W2613">
        <v>0.14321010000000001</v>
      </c>
      <c r="X2613">
        <v>0.98847510000000005</v>
      </c>
      <c r="Y2613">
        <v>0.17060539999999999</v>
      </c>
      <c r="Z2613">
        <v>-4.9992930000000001E-3</v>
      </c>
      <c r="AA2613">
        <v>0.98532679999999995</v>
      </c>
      <c r="AB2613">
        <v>47</v>
      </c>
      <c r="AC2613">
        <v>19.761500000000002</v>
      </c>
      <c r="AD2613">
        <v>-1.1091862960900001</v>
      </c>
      <c r="AE2613">
        <v>-3.3755000000000099</v>
      </c>
      <c r="AF2613">
        <v>3.4957390210084398</v>
      </c>
      <c r="AG2613">
        <v>-1.1091862960900001</v>
      </c>
      <c r="AH2613">
        <v>19.678448998485901</v>
      </c>
      <c r="AI2613">
        <v>93.176467188942297</v>
      </c>
      <c r="AJ2613">
        <v>79.926886939227003</v>
      </c>
      <c r="AK2613">
        <v>20.017288540869998</v>
      </c>
      <c r="AL2613">
        <v>81.766356244805607</v>
      </c>
      <c r="AM2613">
        <v>87.158061710573307</v>
      </c>
      <c r="AN2613">
        <v>0.99999999968563402</v>
      </c>
    </row>
    <row r="2614" spans="1:40" x14ac:dyDescent="0.25">
      <c r="A2614" t="str">
        <f>"20190312164316769"</f>
        <v>20190312164316769</v>
      </c>
      <c r="B2614" t="str">
        <f>"1552380196756636"</f>
        <v>1552380196756636</v>
      </c>
      <c r="C2614" t="s">
        <v>40</v>
      </c>
      <c r="D2614">
        <v>4.3826359999999998</v>
      </c>
      <c r="E2614">
        <v>0.55047060000000003</v>
      </c>
      <c r="F2614" t="s">
        <v>46</v>
      </c>
      <c r="G2614">
        <v>-349.80220000000003</v>
      </c>
      <c r="H2614" s="1">
        <v>3.6794699999999899E-6</v>
      </c>
      <c r="I2614">
        <v>210.1114</v>
      </c>
      <c r="J2614">
        <v>-369.36099999999999</v>
      </c>
      <c r="K2614">
        <v>1.1091789999999999</v>
      </c>
      <c r="L2614">
        <v>213.4564</v>
      </c>
      <c r="M2614">
        <v>0.99993560000000004</v>
      </c>
      <c r="N2614">
        <v>0</v>
      </c>
      <c r="O2614">
        <v>6.6094450000000003E-3</v>
      </c>
      <c r="P2614">
        <v>0.99004510000000001</v>
      </c>
      <c r="Q2614">
        <v>0.1340402</v>
      </c>
      <c r="R2614">
        <v>-4.2942330000000001E-2</v>
      </c>
      <c r="S2614">
        <v>3.031158</v>
      </c>
      <c r="T2614">
        <v>-0.1677797</v>
      </c>
      <c r="U2614">
        <v>-0.50549319999999998</v>
      </c>
      <c r="V2614">
        <v>4.9499939999999999E-2</v>
      </c>
      <c r="W2614">
        <v>0.14316909999999999</v>
      </c>
      <c r="X2614">
        <v>0.98845959999999999</v>
      </c>
      <c r="Y2614">
        <v>0.17074589999999901</v>
      </c>
      <c r="Z2614">
        <v>-5.0527389999999997E-3</v>
      </c>
      <c r="AA2614">
        <v>0.98530220000000002</v>
      </c>
      <c r="AB2614">
        <v>47</v>
      </c>
      <c r="AC2614">
        <v>19.558799999999898</v>
      </c>
      <c r="AD2614">
        <v>-1.1091753205299999</v>
      </c>
      <c r="AE2614">
        <v>-3.34499999999999</v>
      </c>
      <c r="AF2614">
        <v>3.4633835268242699</v>
      </c>
      <c r="AG2614">
        <v>-1.1091753205299999</v>
      </c>
      <c r="AH2614">
        <v>19.475410180017398</v>
      </c>
      <c r="AI2614">
        <v>93.209377339962401</v>
      </c>
      <c r="AJ2614">
        <v>79.916298164374297</v>
      </c>
      <c r="AK2614">
        <v>19.812039194022301</v>
      </c>
      <c r="AL2614">
        <v>81.768729900190394</v>
      </c>
      <c r="AM2614">
        <v>87.133144951270395</v>
      </c>
      <c r="AN2614">
        <v>1.0000000080434801</v>
      </c>
    </row>
    <row r="2615" spans="1:40" x14ac:dyDescent="0.25">
      <c r="A2615" t="str">
        <f>"20190312164316790"</f>
        <v>20190312164316790</v>
      </c>
      <c r="B2615" t="str">
        <f>"1552380196786892"</f>
        <v>1552380196786892</v>
      </c>
      <c r="C2615" t="s">
        <v>40</v>
      </c>
      <c r="D2615">
        <v>4.4209480000000001</v>
      </c>
      <c r="E2615">
        <v>0.55047299999999999</v>
      </c>
      <c r="F2615" t="s">
        <v>46</v>
      </c>
      <c r="G2615">
        <v>-349.40269999999998</v>
      </c>
      <c r="H2615" s="1">
        <v>3.4668419999999999E-6</v>
      </c>
      <c r="I2615">
        <v>210.11590000000001</v>
      </c>
      <c r="J2615">
        <v>-368.90980000000002</v>
      </c>
      <c r="K2615">
        <v>1.109178</v>
      </c>
      <c r="L2615">
        <v>213.45930000000001</v>
      </c>
      <c r="M2615">
        <v>0.99993549999999998</v>
      </c>
      <c r="N2615">
        <v>0</v>
      </c>
      <c r="O2615">
        <v>6.5907229999999997E-3</v>
      </c>
      <c r="P2615">
        <v>0.99010030000000004</v>
      </c>
      <c r="Q2615">
        <v>0.13366610000000001</v>
      </c>
      <c r="R2615">
        <v>-4.2836010000000001E-2</v>
      </c>
      <c r="S2615">
        <v>3.030945</v>
      </c>
      <c r="T2615">
        <v>-0.1684437</v>
      </c>
      <c r="U2615">
        <v>-0.50729369999999996</v>
      </c>
      <c r="V2615">
        <v>4.9375280000000001E-2</v>
      </c>
      <c r="W2615">
        <v>0.14280899999999999</v>
      </c>
      <c r="X2615">
        <v>0.98851789999999995</v>
      </c>
      <c r="Y2615">
        <v>0.17130519999999999</v>
      </c>
      <c r="Z2615">
        <v>-5.0872010000000004E-3</v>
      </c>
      <c r="AA2615">
        <v>0.98520490000000005</v>
      </c>
      <c r="AB2615">
        <v>47</v>
      </c>
      <c r="AC2615">
        <v>19.507100000000001</v>
      </c>
      <c r="AD2615">
        <v>-1.1091745331579901</v>
      </c>
      <c r="AE2615">
        <v>-3.3433999999999999</v>
      </c>
      <c r="AF2615">
        <v>3.4610283713752499</v>
      </c>
      <c r="AG2615">
        <v>-1.1091745331579901</v>
      </c>
      <c r="AH2615">
        <v>19.4236341609517</v>
      </c>
      <c r="AI2615">
        <v>93.217716626532393</v>
      </c>
      <c r="AJ2615">
        <v>79.896705913176007</v>
      </c>
      <c r="AK2615">
        <v>19.760732515546099</v>
      </c>
      <c r="AL2615">
        <v>81.789576121195097</v>
      </c>
      <c r="AM2615">
        <v>87.140521176415007</v>
      </c>
      <c r="AN2615">
        <v>0.99999998368824405</v>
      </c>
    </row>
    <row r="2616" spans="1:40" x14ac:dyDescent="0.25">
      <c r="A2616" t="str">
        <f>"20190312164316812"</f>
        <v>20190312164316812</v>
      </c>
      <c r="B2616" t="str">
        <f>"1552380196807388"</f>
        <v>1552380196807388</v>
      </c>
      <c r="C2616" t="s">
        <v>40</v>
      </c>
      <c r="D2616">
        <v>4.4296280000000001</v>
      </c>
      <c r="E2616">
        <v>0.55046110000000004</v>
      </c>
      <c r="F2616" t="s">
        <v>46</v>
      </c>
      <c r="G2616">
        <v>-349.12490000000003</v>
      </c>
      <c r="H2616" s="1">
        <v>3.3190349999999998E-6</v>
      </c>
      <c r="I2616">
        <v>210.15010000000001</v>
      </c>
      <c r="J2616">
        <v>-368.45690000000002</v>
      </c>
      <c r="K2616">
        <v>1.109178</v>
      </c>
      <c r="L2616">
        <v>213.4623</v>
      </c>
      <c r="M2616">
        <v>0.99993540000000003</v>
      </c>
      <c r="N2616">
        <v>0</v>
      </c>
      <c r="O2616">
        <v>6.5718419999999996E-3</v>
      </c>
      <c r="P2616">
        <v>0.99010450000000005</v>
      </c>
      <c r="Q2616">
        <v>0.1334822</v>
      </c>
      <c r="R2616">
        <v>-4.3312219999999998E-2</v>
      </c>
      <c r="S2616">
        <v>3.0310060000000001</v>
      </c>
      <c r="T2616">
        <v>-0.16992380000000001</v>
      </c>
      <c r="U2616">
        <v>-0.50697329999999996</v>
      </c>
      <c r="V2616">
        <v>4.9832929999999998E-2</v>
      </c>
      <c r="W2616">
        <v>0.14267170000000001</v>
      </c>
      <c r="X2616">
        <v>0.98851480000000003</v>
      </c>
      <c r="Y2616">
        <v>0.17117760000000001</v>
      </c>
      <c r="Z2616">
        <v>-5.1271759999999998E-3</v>
      </c>
      <c r="AA2616">
        <v>0.98522690000000002</v>
      </c>
      <c r="AB2616">
        <v>47</v>
      </c>
      <c r="AC2616">
        <v>19.331999999999901</v>
      </c>
      <c r="AD2616">
        <v>-1.109174680965</v>
      </c>
      <c r="AE2616">
        <v>-3.31219999999999</v>
      </c>
      <c r="AF2616">
        <v>3.4282172725001798</v>
      </c>
      <c r="AG2616">
        <v>-1.109174680965</v>
      </c>
      <c r="AH2616">
        <v>19.248257982694302</v>
      </c>
      <c r="AI2616">
        <v>93.2470174965908</v>
      </c>
      <c r="AJ2616">
        <v>79.901210843955397</v>
      </c>
      <c r="AK2616">
        <v>19.582603951178601</v>
      </c>
      <c r="AL2616">
        <v>81.797524538394597</v>
      </c>
      <c r="AM2616">
        <v>87.114052780564805</v>
      </c>
      <c r="AN2616">
        <v>1.00000002235615</v>
      </c>
    </row>
    <row r="2617" spans="1:40" x14ac:dyDescent="0.25">
      <c r="A2617" t="str">
        <f>"20190312164316834"</f>
        <v>20190312164316834</v>
      </c>
      <c r="B2617" t="str">
        <f>"1552380196826908"</f>
        <v>1552380196826908</v>
      </c>
      <c r="C2617" t="s">
        <v>40</v>
      </c>
      <c r="D2617">
        <v>4.4059910000000002</v>
      </c>
      <c r="E2617">
        <v>0.55049550000000003</v>
      </c>
      <c r="F2617" t="s">
        <v>46</v>
      </c>
      <c r="G2617">
        <v>-348.76319999999998</v>
      </c>
      <c r="H2617" s="1">
        <v>3.126551E-6</v>
      </c>
      <c r="I2617">
        <v>210.16030000000001</v>
      </c>
      <c r="J2617">
        <v>-367.97379999999998</v>
      </c>
      <c r="K2617">
        <v>1.1092150000000001</v>
      </c>
      <c r="L2617">
        <v>213.46549999999999</v>
      </c>
      <c r="M2617">
        <v>0.99993379999999998</v>
      </c>
      <c r="N2617">
        <v>0</v>
      </c>
      <c r="O2617">
        <v>6.5515800000000004E-3</v>
      </c>
      <c r="P2617">
        <v>0.99018119999999998</v>
      </c>
      <c r="Q2617">
        <v>0.13297129999999999</v>
      </c>
      <c r="R2617">
        <v>-4.3127600000000002E-2</v>
      </c>
      <c r="S2617">
        <v>3.0307620000000002</v>
      </c>
      <c r="T2617">
        <v>-0.1706964</v>
      </c>
      <c r="U2617">
        <v>-0.50816349999999999</v>
      </c>
      <c r="V2617">
        <v>4.9628690000000003E-2</v>
      </c>
      <c r="W2617">
        <v>0.142321</v>
      </c>
      <c r="X2617">
        <v>0.9885756</v>
      </c>
      <c r="Y2617">
        <v>0.1715438</v>
      </c>
      <c r="Z2617">
        <v>-5.1597969999999998E-3</v>
      </c>
      <c r="AA2617">
        <v>0.98516300000000001</v>
      </c>
      <c r="AB2617">
        <v>47</v>
      </c>
      <c r="AC2617">
        <v>19.210599999999999</v>
      </c>
      <c r="AD2617">
        <v>-1.109211873449</v>
      </c>
      <c r="AE2617">
        <v>-3.3051999999999802</v>
      </c>
      <c r="AF2617">
        <v>3.41992073888524</v>
      </c>
      <c r="AG2617">
        <v>-1.109211873449</v>
      </c>
      <c r="AH2617">
        <v>19.126600321256198</v>
      </c>
      <c r="AI2617">
        <v>93.267341154043095</v>
      </c>
      <c r="AJ2617">
        <v>79.862391789896407</v>
      </c>
      <c r="AK2617">
        <v>19.461578782039599</v>
      </c>
      <c r="AL2617">
        <v>81.817825108904202</v>
      </c>
      <c r="AM2617">
        <v>87.126037417723595</v>
      </c>
      <c r="AN2617">
        <v>0.99999999541373796</v>
      </c>
    </row>
    <row r="2618" spans="1:40" x14ac:dyDescent="0.25">
      <c r="A2618" t="str">
        <f>"20190312164316858"</f>
        <v>20190312164316858</v>
      </c>
      <c r="B2618" t="str">
        <f>"1552380196847404"</f>
        <v>1552380196847404</v>
      </c>
      <c r="C2618" t="s">
        <v>40</v>
      </c>
      <c r="D2618">
        <v>4.4105019999999904</v>
      </c>
      <c r="E2618">
        <v>0.55038240000000005</v>
      </c>
      <c r="F2618" t="s">
        <v>46</v>
      </c>
      <c r="G2618">
        <v>-348.4982</v>
      </c>
      <c r="H2618" s="1">
        <v>2.9855419999999999E-6</v>
      </c>
      <c r="I2618">
        <v>210.20249999999999</v>
      </c>
      <c r="J2618">
        <v>-367.49059999999997</v>
      </c>
      <c r="K2618">
        <v>1.1092879999999901</v>
      </c>
      <c r="L2618">
        <v>213.46860000000001</v>
      </c>
      <c r="M2618">
        <v>0.99993089999999996</v>
      </c>
      <c r="N2618">
        <v>0</v>
      </c>
      <c r="O2618">
        <v>6.5315039999999996E-3</v>
      </c>
      <c r="P2618">
        <v>0.99026700000000001</v>
      </c>
      <c r="Q2618">
        <v>0.13239570000000001</v>
      </c>
      <c r="R2618">
        <v>-4.292692E-2</v>
      </c>
      <c r="S2618">
        <v>3.0308229999999998</v>
      </c>
      <c r="T2618">
        <v>-0.17261789999999999</v>
      </c>
      <c r="U2618">
        <v>-0.50779719999999995</v>
      </c>
      <c r="V2618">
        <v>4.9409010000000003E-2</v>
      </c>
      <c r="W2618">
        <v>0.1420671</v>
      </c>
      <c r="X2618">
        <v>0.98862309999999998</v>
      </c>
      <c r="Y2618">
        <v>0.1713991</v>
      </c>
      <c r="Z2618">
        <v>-5.2125160000000004E-3</v>
      </c>
      <c r="AA2618">
        <v>0.98518790000000001</v>
      </c>
      <c r="AB2618">
        <v>47</v>
      </c>
      <c r="AC2618">
        <v>18.9923999999999</v>
      </c>
      <c r="AD2618">
        <v>-1.10928501445799</v>
      </c>
      <c r="AE2618">
        <v>-3.2661000000000202</v>
      </c>
      <c r="AF2618">
        <v>3.3788896919222302</v>
      </c>
      <c r="AG2618">
        <v>-1.10928501445799</v>
      </c>
      <c r="AH2618">
        <v>18.908012125554201</v>
      </c>
      <c r="AI2618">
        <v>93.305306619978396</v>
      </c>
      <c r="AJ2618">
        <v>79.868107547457697</v>
      </c>
      <c r="AK2618">
        <v>19.239551224848899</v>
      </c>
      <c r="AL2618">
        <v>81.832521655558594</v>
      </c>
      <c r="AM2618">
        <v>87.138874991115401</v>
      </c>
      <c r="AN2618">
        <v>0.99999997251259898</v>
      </c>
    </row>
    <row r="2619" spans="1:40" x14ac:dyDescent="0.25">
      <c r="A2619" t="str">
        <f>"20190312164316879"</f>
        <v>20190312164316879</v>
      </c>
      <c r="B2619" t="str">
        <f>"1552380196866924"</f>
        <v>1552380196866924</v>
      </c>
      <c r="C2619" t="s">
        <v>40</v>
      </c>
      <c r="D2619">
        <v>4.4327709999999998</v>
      </c>
      <c r="E2619">
        <v>0.55034519999999998</v>
      </c>
      <c r="F2619" t="s">
        <v>46</v>
      </c>
      <c r="G2619">
        <v>-348.20409999999998</v>
      </c>
      <c r="H2619" s="1">
        <v>2.8290259999999998E-6</v>
      </c>
      <c r="I2619">
        <v>210.24889999999999</v>
      </c>
      <c r="J2619">
        <v>-367.0385</v>
      </c>
      <c r="K2619">
        <v>1.109367</v>
      </c>
      <c r="L2619">
        <v>213.4716</v>
      </c>
      <c r="M2619">
        <v>0.99992749999999997</v>
      </c>
      <c r="N2619">
        <v>0</v>
      </c>
      <c r="O2619">
        <v>6.5128249999999999E-3</v>
      </c>
      <c r="P2619">
        <v>0.99028280000000002</v>
      </c>
      <c r="Q2619">
        <v>0.1321841</v>
      </c>
      <c r="R2619">
        <v>-4.3212939999999998E-2</v>
      </c>
      <c r="S2619">
        <v>3.0308839999999999</v>
      </c>
      <c r="T2619">
        <v>-0.174324799999999</v>
      </c>
      <c r="U2619">
        <v>-0.50598140000000003</v>
      </c>
      <c r="V2619">
        <v>4.9676999999999999E-2</v>
      </c>
      <c r="W2619">
        <v>0.1422195</v>
      </c>
      <c r="X2619">
        <v>0.98858780000000002</v>
      </c>
      <c r="Y2619">
        <v>0.1707987</v>
      </c>
      <c r="Z2619">
        <v>-5.2459259999999997E-3</v>
      </c>
      <c r="AA2619">
        <v>0.98529199999999995</v>
      </c>
      <c r="AB2619">
        <v>47</v>
      </c>
      <c r="AC2619">
        <v>18.834399999999999</v>
      </c>
      <c r="AD2619">
        <v>-1.1093641709739901</v>
      </c>
      <c r="AE2619">
        <v>-3.2227000000000001</v>
      </c>
      <c r="AF2619">
        <v>3.3340651591471699</v>
      </c>
      <c r="AG2619">
        <v>-1.1093641709739901</v>
      </c>
      <c r="AH2619">
        <v>18.749811715432699</v>
      </c>
      <c r="AI2619">
        <v>93.333876989684995</v>
      </c>
      <c r="AJ2619">
        <v>79.917135071612506</v>
      </c>
      <c r="AK2619">
        <v>19.076218669155999</v>
      </c>
      <c r="AL2619">
        <v>81.823700551208802</v>
      </c>
      <c r="AM2619">
        <v>87.1232799585365</v>
      </c>
      <c r="AN2619">
        <v>1.00000001440904</v>
      </c>
    </row>
    <row r="2620" spans="1:40" x14ac:dyDescent="0.25">
      <c r="A2620" t="str">
        <f>"20190312164316901"</f>
        <v>20190312164316901</v>
      </c>
      <c r="B2620" t="str">
        <f>"1552380196897180"</f>
        <v>1552380196897180</v>
      </c>
      <c r="C2620" t="s">
        <v>40</v>
      </c>
      <c r="D2620">
        <v>4.4371589999999896</v>
      </c>
      <c r="E2620">
        <v>0.55029899999999998</v>
      </c>
      <c r="F2620" t="s">
        <v>46</v>
      </c>
      <c r="G2620">
        <v>-347.88909999999998</v>
      </c>
      <c r="H2620" s="1">
        <v>2.661398E-6</v>
      </c>
      <c r="I2620">
        <v>210.27010000000001</v>
      </c>
      <c r="J2620">
        <v>-366.5772</v>
      </c>
      <c r="K2620">
        <v>1.109424</v>
      </c>
      <c r="L2620">
        <v>213.47450000000001</v>
      </c>
      <c r="M2620">
        <v>0.99992389999999998</v>
      </c>
      <c r="N2620">
        <v>0</v>
      </c>
      <c r="O2620">
        <v>6.4937010000000002E-3</v>
      </c>
      <c r="P2620">
        <v>0.99037920000000002</v>
      </c>
      <c r="Q2620">
        <v>0.1315221</v>
      </c>
      <c r="R2620">
        <v>-4.3022810000000002E-2</v>
      </c>
      <c r="S2620">
        <v>3.0307919999999999</v>
      </c>
      <c r="T2620">
        <v>-0.17557970000000001</v>
      </c>
      <c r="U2620">
        <v>-0.5066986</v>
      </c>
      <c r="V2620">
        <v>4.946863E-2</v>
      </c>
      <c r="W2620">
        <v>0.1418934</v>
      </c>
      <c r="X2620">
        <v>0.98864510000000005</v>
      </c>
      <c r="Y2620">
        <v>0.1710071</v>
      </c>
      <c r="Z2620">
        <v>-5.2885759999999997E-3</v>
      </c>
      <c r="AA2620">
        <v>0.98525560000000001</v>
      </c>
      <c r="AB2620">
        <v>47</v>
      </c>
      <c r="AC2620">
        <v>18.688099999999999</v>
      </c>
      <c r="AD2620">
        <v>-1.109421338602</v>
      </c>
      <c r="AE2620">
        <v>-3.2043999999999899</v>
      </c>
      <c r="AF2620">
        <v>3.31434716946693</v>
      </c>
      <c r="AG2620">
        <v>-1.109421338602</v>
      </c>
      <c r="AH2620">
        <v>18.603207149787501</v>
      </c>
      <c r="AI2620">
        <v>93.360065301112598</v>
      </c>
      <c r="AJ2620">
        <v>79.898175271746595</v>
      </c>
      <c r="AK2620">
        <v>18.9286827096923</v>
      </c>
      <c r="AL2620">
        <v>81.8425760779689</v>
      </c>
      <c r="AM2620">
        <v>87.135491963868404</v>
      </c>
      <c r="AN2620">
        <v>1.00000000803582</v>
      </c>
    </row>
    <row r="2621" spans="1:40" x14ac:dyDescent="0.25">
      <c r="A2621" t="str">
        <f>"20190312164316924"</f>
        <v>20190312164316924</v>
      </c>
      <c r="B2621" t="str">
        <f>"1552380196916700"</f>
        <v>1552380196916700</v>
      </c>
      <c r="C2621" t="s">
        <v>40</v>
      </c>
      <c r="D2621">
        <v>4.7000909999999996</v>
      </c>
      <c r="E2621">
        <v>0.53182739999999995</v>
      </c>
      <c r="F2621" t="s">
        <v>46</v>
      </c>
      <c r="G2621">
        <v>-347.77480000000003</v>
      </c>
      <c r="H2621" s="1">
        <v>2.6005630000000002E-6</v>
      </c>
      <c r="I2621">
        <v>210.33920000000001</v>
      </c>
      <c r="J2621">
        <v>-366.096</v>
      </c>
      <c r="K2621">
        <v>1.1094520000000001</v>
      </c>
      <c r="L2621">
        <v>213.4777</v>
      </c>
      <c r="M2621">
        <v>0.99992110000000001</v>
      </c>
      <c r="N2621">
        <v>0</v>
      </c>
      <c r="O2621">
        <v>6.4723630000000001E-3</v>
      </c>
      <c r="P2621">
        <v>0.99041140000000005</v>
      </c>
      <c r="Q2621">
        <v>0.13123670000000001</v>
      </c>
      <c r="R2621">
        <v>-4.3159469999999998E-2</v>
      </c>
      <c r="S2621">
        <v>3.0309750000000002</v>
      </c>
      <c r="T2621">
        <v>-0.17884040000000001</v>
      </c>
      <c r="U2621">
        <v>-0.50541689999999995</v>
      </c>
      <c r="V2621">
        <v>4.9584450000000002E-2</v>
      </c>
      <c r="W2621">
        <v>0.14189009999999999</v>
      </c>
      <c r="X2621">
        <v>0.98863979999999996</v>
      </c>
      <c r="Y2621">
        <v>0.17056099999999999</v>
      </c>
      <c r="Z2621">
        <v>-5.3721819999999997E-3</v>
      </c>
      <c r="AA2621">
        <v>0.98533249999999994</v>
      </c>
      <c r="AB2621">
        <v>47</v>
      </c>
      <c r="AC2621">
        <v>18.321199999999902</v>
      </c>
      <c r="AD2621">
        <v>-1.1094493994370001</v>
      </c>
      <c r="AE2621">
        <v>-3.1384999999999899</v>
      </c>
      <c r="AF2621">
        <v>3.2454608611244899</v>
      </c>
      <c r="AG2621">
        <v>-1.1094493994370001</v>
      </c>
      <c r="AH2621">
        <v>18.235538711159801</v>
      </c>
      <c r="AI2621">
        <v>93.427847619286197</v>
      </c>
      <c r="AJ2621">
        <v>79.908476417352006</v>
      </c>
      <c r="AK2621">
        <v>18.555289441482898</v>
      </c>
      <c r="AL2621">
        <v>81.842767317542695</v>
      </c>
      <c r="AM2621">
        <v>87.128781186137999</v>
      </c>
      <c r="AN2621">
        <v>1.0000000361519199</v>
      </c>
    </row>
    <row r="2622" spans="1:40" x14ac:dyDescent="0.25">
      <c r="A2622" t="str">
        <f>"20190312164316947"</f>
        <v>20190312164316947</v>
      </c>
      <c r="B2622" t="str">
        <f>"1552380196937196"</f>
        <v>1552380196937196</v>
      </c>
      <c r="C2622" t="s">
        <v>40</v>
      </c>
      <c r="D2622">
        <v>4.5674169999999998</v>
      </c>
      <c r="E2622">
        <v>0.51298520000000003</v>
      </c>
      <c r="F2622" t="s">
        <v>46</v>
      </c>
      <c r="G2622">
        <v>-340.30840000000001</v>
      </c>
      <c r="H2622" s="1">
        <v>-1.3726859999999901E-6</v>
      </c>
      <c r="I2622">
        <v>210.4051</v>
      </c>
      <c r="J2622">
        <v>-365.59809999999999</v>
      </c>
      <c r="K2622">
        <v>1.109464</v>
      </c>
      <c r="L2622">
        <v>213.48089999999999</v>
      </c>
      <c r="M2622">
        <v>0.99991859999999999</v>
      </c>
      <c r="N2622">
        <v>0</v>
      </c>
      <c r="O2622">
        <v>6.450758E-3</v>
      </c>
      <c r="P2622">
        <v>0.99048639999999999</v>
      </c>
      <c r="Q2622">
        <v>0.13078629999999999</v>
      </c>
      <c r="R2622">
        <v>-4.2802939999999998E-2</v>
      </c>
      <c r="S2622">
        <v>3.0305789999999999</v>
      </c>
      <c r="T2622">
        <v>-0.13038350000000001</v>
      </c>
      <c r="U2622">
        <v>-0.36108400000000002</v>
      </c>
      <c r="V2622">
        <v>4.9207859999999999E-2</v>
      </c>
      <c r="W2622">
        <v>0.1416847</v>
      </c>
      <c r="X2622">
        <v>0.98868809999999996</v>
      </c>
      <c r="Y2622">
        <v>0.12459389999999899</v>
      </c>
      <c r="Z2622">
        <v>-2.945979E-3</v>
      </c>
      <c r="AA2622">
        <v>0.99220350000000002</v>
      </c>
      <c r="AB2622">
        <v>47</v>
      </c>
      <c r="AC2622">
        <v>25.2896999999999</v>
      </c>
      <c r="AD2622">
        <v>-1.109465372686</v>
      </c>
      <c r="AE2622">
        <v>-3.0757999999999801</v>
      </c>
      <c r="AF2622">
        <v>3.2327525563810502</v>
      </c>
      <c r="AG2622">
        <v>-1.109465372686</v>
      </c>
      <c r="AH2622">
        <v>25.221497608030699</v>
      </c>
      <c r="AI2622">
        <v>92.498340832242405</v>
      </c>
      <c r="AJ2622">
        <v>82.695967608127503</v>
      </c>
      <c r="AK2622">
        <v>25.452024361450601</v>
      </c>
      <c r="AL2622">
        <v>81.854656203197393</v>
      </c>
      <c r="AM2622">
        <v>87.1506907652915</v>
      </c>
      <c r="AN2622">
        <v>1.00000006339073</v>
      </c>
    </row>
    <row r="2623" spans="1:40" x14ac:dyDescent="0.25">
      <c r="A2623" t="str">
        <f>"20190312164316971"</f>
        <v>20190312164316971</v>
      </c>
      <c r="B2623" t="str">
        <f>"1552380196967452"</f>
        <v>1552380196967452</v>
      </c>
      <c r="C2623" t="s">
        <v>40</v>
      </c>
      <c r="D2623">
        <v>4.5596439999999996</v>
      </c>
      <c r="E2623">
        <v>0.50046899999999905</v>
      </c>
      <c r="F2623" t="s">
        <v>46</v>
      </c>
      <c r="G2623">
        <v>-344.31599999999997</v>
      </c>
      <c r="H2623" s="1">
        <v>7.5999569999999904E-7</v>
      </c>
      <c r="I2623">
        <v>212.02199999999999</v>
      </c>
      <c r="J2623">
        <v>-365.10820000000001</v>
      </c>
      <c r="K2623">
        <v>1.109475</v>
      </c>
      <c r="L2623">
        <v>213.48400000000001</v>
      </c>
      <c r="M2623">
        <v>0.99991629999999998</v>
      </c>
      <c r="N2623">
        <v>0</v>
      </c>
      <c r="O2623">
        <v>6.433065E-3</v>
      </c>
      <c r="P2623">
        <v>0.99050800000000006</v>
      </c>
      <c r="Q2623">
        <v>0.1304777</v>
      </c>
      <c r="R2623">
        <v>-4.3237680000000001E-2</v>
      </c>
      <c r="S2623">
        <v>3.0407099999999998</v>
      </c>
      <c r="T2623">
        <v>-0.15851660000000001</v>
      </c>
      <c r="U2623">
        <v>-0.20843510000000001</v>
      </c>
      <c r="V2623">
        <v>4.9626240000000002E-2</v>
      </c>
      <c r="W2623">
        <v>0.1415865</v>
      </c>
      <c r="X2623">
        <v>0.98868120000000004</v>
      </c>
      <c r="Y2623">
        <v>7.4694990000000003E-2</v>
      </c>
      <c r="Z2623">
        <v>-2.2781659999999999E-3</v>
      </c>
      <c r="AA2623">
        <v>0.99720379999999997</v>
      </c>
      <c r="AB2623">
        <v>47</v>
      </c>
      <c r="AC2623">
        <v>20.792200000000001</v>
      </c>
      <c r="AD2623">
        <v>-1.1094742400043001</v>
      </c>
      <c r="AE2623">
        <v>-1.46199999999998</v>
      </c>
      <c r="AF2623">
        <v>1.5912273314954199</v>
      </c>
      <c r="AG2623">
        <v>-1.1094742400043001</v>
      </c>
      <c r="AH2623">
        <v>20.7236477879866</v>
      </c>
      <c r="AI2623">
        <v>93.055520533200195</v>
      </c>
      <c r="AJ2623">
        <v>85.609263761963106</v>
      </c>
      <c r="AK2623">
        <v>20.814238279366698</v>
      </c>
      <c r="AL2623">
        <v>81.860339492700305</v>
      </c>
      <c r="AM2623">
        <v>87.126485492982695</v>
      </c>
      <c r="AN2623">
        <v>1.00000000795611</v>
      </c>
    </row>
    <row r="2624" spans="1:40" x14ac:dyDescent="0.25">
      <c r="A2624" t="str">
        <f>"20190312164316993"</f>
        <v>20190312164316993</v>
      </c>
      <c r="B2624" t="str">
        <f>"1552380196986972"</f>
        <v>1552380196986972</v>
      </c>
      <c r="C2624" t="s">
        <v>40</v>
      </c>
      <c r="D2624">
        <v>4.540063</v>
      </c>
      <c r="E2624">
        <v>0.4980811</v>
      </c>
      <c r="F2624" t="s">
        <v>46</v>
      </c>
      <c r="G2624">
        <v>-344.66750000000002</v>
      </c>
      <c r="H2624" s="1">
        <v>9.4703110000000005E-7</v>
      </c>
      <c r="I2624">
        <v>212.75139999999999</v>
      </c>
      <c r="J2624">
        <v>-364.62259999999998</v>
      </c>
      <c r="K2624">
        <v>1.1094809999999999</v>
      </c>
      <c r="L2624">
        <v>213.4871</v>
      </c>
      <c r="M2624">
        <v>0.99991430000000003</v>
      </c>
      <c r="N2624">
        <v>0</v>
      </c>
      <c r="O2624">
        <v>6.4135119999999997E-3</v>
      </c>
      <c r="P2624">
        <v>0.99062269999999997</v>
      </c>
      <c r="Q2624">
        <v>0.12941059999999999</v>
      </c>
      <c r="R2624">
        <v>-4.3820409999999997E-2</v>
      </c>
      <c r="S2624">
        <v>3.0457459999999998</v>
      </c>
      <c r="T2624">
        <v>-0.165316299999999</v>
      </c>
      <c r="U2624">
        <v>-0.10916140000000001</v>
      </c>
      <c r="V2624">
        <v>5.0190199999999997E-2</v>
      </c>
      <c r="W2624">
        <v>0.14070469999999999</v>
      </c>
      <c r="X2624">
        <v>0.98877859999999995</v>
      </c>
      <c r="Y2624">
        <v>4.2155289999999998E-2</v>
      </c>
      <c r="Z2624">
        <v>-1.490615E-3</v>
      </c>
      <c r="AA2624">
        <v>0.99911000000000005</v>
      </c>
      <c r="AB2624">
        <v>47</v>
      </c>
      <c r="AC2624">
        <v>19.955099999999899</v>
      </c>
      <c r="AD2624">
        <v>-1.1094800529689</v>
      </c>
      <c r="AE2624">
        <v>-0.73570000000000801</v>
      </c>
      <c r="AF2624">
        <v>0.86101748722140703</v>
      </c>
      <c r="AG2624">
        <v>-1.1094800529689</v>
      </c>
      <c r="AH2624">
        <v>19.8885741213739</v>
      </c>
      <c r="AI2624">
        <v>93.189942336417602</v>
      </c>
      <c r="AJ2624">
        <v>87.521095147282495</v>
      </c>
      <c r="AK2624">
        <v>19.938096139868001</v>
      </c>
      <c r="AL2624">
        <v>81.911373713667501</v>
      </c>
      <c r="AM2624">
        <v>87.094171886435603</v>
      </c>
      <c r="AN2624">
        <v>0.99999999429804398</v>
      </c>
    </row>
    <row r="2625" spans="1:40" x14ac:dyDescent="0.25">
      <c r="A2625" t="str">
        <f>"20190312164317013"</f>
        <v>20190312164317013</v>
      </c>
      <c r="B2625" t="str">
        <f>"1552380197007468"</f>
        <v>1552380197007468</v>
      </c>
      <c r="C2625" t="s">
        <v>40</v>
      </c>
      <c r="D2625">
        <v>4.5426169999999999</v>
      </c>
      <c r="E2625">
        <v>0.49667650000000002</v>
      </c>
      <c r="F2625" t="s">
        <v>46</v>
      </c>
      <c r="G2625">
        <v>-344.42899999999997</v>
      </c>
      <c r="H2625" s="1">
        <v>8.2008989999999999E-7</v>
      </c>
      <c r="I2625">
        <v>212.87970000000001</v>
      </c>
      <c r="J2625">
        <v>-364.21949999999998</v>
      </c>
      <c r="K2625">
        <v>1.1094869999999999</v>
      </c>
      <c r="L2625">
        <v>213.4897</v>
      </c>
      <c r="M2625">
        <v>0.99991289999999999</v>
      </c>
      <c r="N2625">
        <v>0</v>
      </c>
      <c r="O2625">
        <v>6.3944340000000001E-3</v>
      </c>
      <c r="P2625">
        <v>0.9907726</v>
      </c>
      <c r="Q2625">
        <v>0.128222</v>
      </c>
      <c r="R2625">
        <v>-4.392045E-2</v>
      </c>
      <c r="S2625">
        <v>3.0462039999999999</v>
      </c>
      <c r="T2625">
        <v>-0.16736519999999999</v>
      </c>
      <c r="U2625">
        <v>-9.162903E-2</v>
      </c>
      <c r="V2625">
        <v>5.0271950000000003E-2</v>
      </c>
      <c r="W2625">
        <v>0.13965329999999901</v>
      </c>
      <c r="X2625">
        <v>0.98892349999999996</v>
      </c>
      <c r="Y2625">
        <v>3.6393019999999998E-2</v>
      </c>
      <c r="Z2625">
        <v>-1.3497889999999999E-3</v>
      </c>
      <c r="AA2625">
        <v>0.99933669999999997</v>
      </c>
      <c r="AB2625">
        <v>47</v>
      </c>
      <c r="AC2625">
        <v>19.790499999999899</v>
      </c>
      <c r="AD2625">
        <v>-1.1094861799100999</v>
      </c>
      <c r="AE2625">
        <v>-0.609999999999985</v>
      </c>
      <c r="AF2625">
        <v>0.734239559161185</v>
      </c>
      <c r="AG2625">
        <v>-1.1094861799100999</v>
      </c>
      <c r="AH2625">
        <v>19.724261971559901</v>
      </c>
      <c r="AI2625">
        <v>93.217260953458506</v>
      </c>
      <c r="AJ2625">
        <v>87.868137612188903</v>
      </c>
      <c r="AK2625">
        <v>19.769081355398701</v>
      </c>
      <c r="AL2625">
        <v>81.972215292189006</v>
      </c>
      <c r="AM2625">
        <v>87.089872723234905</v>
      </c>
      <c r="AN2625">
        <v>1.0000000010049701</v>
      </c>
    </row>
    <row r="2626" spans="1:40" x14ac:dyDescent="0.25">
      <c r="A2626" t="str">
        <f>"20190312164317035"</f>
        <v>20190312164317035</v>
      </c>
      <c r="B2626" t="str">
        <f>"1552380197026988"</f>
        <v>1552380197026988</v>
      </c>
      <c r="C2626" t="s">
        <v>40</v>
      </c>
      <c r="D2626">
        <v>4.5922559999999999</v>
      </c>
      <c r="E2626">
        <v>0.49568329999999999</v>
      </c>
      <c r="F2626" t="s">
        <v>46</v>
      </c>
      <c r="G2626">
        <v>-344.06990000000002</v>
      </c>
      <c r="H2626" s="1">
        <v>6.2901319999999995E-7</v>
      </c>
      <c r="I2626">
        <v>212.953</v>
      </c>
      <c r="J2626">
        <v>-363.73579999999998</v>
      </c>
      <c r="K2626">
        <v>1.1094919999999999</v>
      </c>
      <c r="L2626">
        <v>213.49270000000001</v>
      </c>
      <c r="M2626">
        <v>0.99991140000000001</v>
      </c>
      <c r="N2626">
        <v>0</v>
      </c>
      <c r="O2626">
        <v>6.36952E-3</v>
      </c>
      <c r="P2626">
        <v>0.99086129999999994</v>
      </c>
      <c r="Q2626">
        <v>0.12741659999999999</v>
      </c>
      <c r="R2626">
        <v>-4.4263230000000001E-2</v>
      </c>
      <c r="S2626">
        <v>3.0460509999999998</v>
      </c>
      <c r="T2626">
        <v>-0.16772319999999999</v>
      </c>
      <c r="U2626">
        <v>-8.1130980000000005E-2</v>
      </c>
      <c r="V2626">
        <v>5.0589889999999998E-2</v>
      </c>
      <c r="W2626">
        <v>0.13899320000000001</v>
      </c>
      <c r="X2626">
        <v>0.98900030000000005</v>
      </c>
      <c r="Y2626">
        <v>3.2933030000000002E-2</v>
      </c>
      <c r="Z2626">
        <v>-1.2562649999999999E-3</v>
      </c>
      <c r="AA2626">
        <v>0.99945680000000003</v>
      </c>
      <c r="AB2626">
        <v>47</v>
      </c>
      <c r="AC2626">
        <v>19.665899999999901</v>
      </c>
      <c r="AD2626">
        <v>-1.1094913709868</v>
      </c>
      <c r="AE2626">
        <v>-0.53970000000000995</v>
      </c>
      <c r="AF2626">
        <v>0.66285176181306904</v>
      </c>
      <c r="AG2626">
        <v>-1.1094913709868</v>
      </c>
      <c r="AH2626">
        <v>19.599726525630398</v>
      </c>
      <c r="AI2626">
        <v>93.238065385842205</v>
      </c>
      <c r="AJ2626">
        <v>88.063027110487297</v>
      </c>
      <c r="AK2626">
        <v>19.6422917053976</v>
      </c>
      <c r="AL2626">
        <v>82.010408892175604</v>
      </c>
      <c r="AM2626">
        <v>87.071726861231099</v>
      </c>
      <c r="AN2626">
        <v>1.0000000200082699</v>
      </c>
    </row>
    <row r="2627" spans="1:40" x14ac:dyDescent="0.25">
      <c r="A2627" t="str">
        <f>"20190312164317059"</f>
        <v>20190312164317059</v>
      </c>
      <c r="B2627" t="str">
        <f>"1552380197047484"</f>
        <v>1552380197047484</v>
      </c>
      <c r="C2627" t="s">
        <v>40</v>
      </c>
      <c r="D2627">
        <v>4.563879</v>
      </c>
      <c r="E2627">
        <v>0.4949422</v>
      </c>
      <c r="F2627" t="s">
        <v>46</v>
      </c>
      <c r="G2627">
        <v>-343.59039999999999</v>
      </c>
      <c r="H2627" s="1">
        <v>3.7383110000000003E-7</v>
      </c>
      <c r="I2627">
        <v>213.00200000000001</v>
      </c>
      <c r="J2627">
        <v>-363.24700000000001</v>
      </c>
      <c r="K2627">
        <v>1.109494</v>
      </c>
      <c r="L2627">
        <v>213.4958</v>
      </c>
      <c r="M2627">
        <v>0.99990999999999997</v>
      </c>
      <c r="N2627">
        <v>0</v>
      </c>
      <c r="O2627">
        <v>6.3452789999999997E-3</v>
      </c>
      <c r="P2627">
        <v>0.99091640000000003</v>
      </c>
      <c r="Q2627">
        <v>0.1268434</v>
      </c>
      <c r="R2627">
        <v>-4.4671330000000002E-2</v>
      </c>
      <c r="S2627">
        <v>3.0459589999999999</v>
      </c>
      <c r="T2627">
        <v>-0.16775379999999901</v>
      </c>
      <c r="U2627">
        <v>-7.4203489999999997E-2</v>
      </c>
      <c r="V2627">
        <v>5.0974220000000001E-2</v>
      </c>
      <c r="W2627">
        <v>0.1385469</v>
      </c>
      <c r="X2627">
        <v>0.98904320000000001</v>
      </c>
      <c r="Y2627">
        <v>3.0641399999999999E-2</v>
      </c>
      <c r="Z2627">
        <v>-1.192186E-3</v>
      </c>
      <c r="AA2627">
        <v>0.99952969999999997</v>
      </c>
      <c r="AB2627">
        <v>47</v>
      </c>
      <c r="AC2627">
        <v>19.656599999999901</v>
      </c>
      <c r="AD2627">
        <v>-1.1094936261688999</v>
      </c>
      <c r="AE2627">
        <v>-0.49379999999999302</v>
      </c>
      <c r="AF2627">
        <v>0.61656231366331105</v>
      </c>
      <c r="AG2627">
        <v>-1.1094936261688999</v>
      </c>
      <c r="AH2627">
        <v>19.590695977487101</v>
      </c>
      <c r="AI2627">
        <v>93.239808856542894</v>
      </c>
      <c r="AJ2627">
        <v>88.197370744346003</v>
      </c>
      <c r="AK2627">
        <v>19.6317725658044</v>
      </c>
      <c r="AL2627">
        <v>82.036229929773299</v>
      </c>
      <c r="AM2627">
        <v>87.049647761909</v>
      </c>
      <c r="AN2627">
        <v>1.0000000330352199</v>
      </c>
    </row>
    <row r="2628" spans="1:40" x14ac:dyDescent="0.25">
      <c r="A2628" t="str">
        <f>"20190312164317079"</f>
        <v>20190312164317079</v>
      </c>
      <c r="B2628" t="str">
        <f>"1552380197067004"</f>
        <v>1552380197067004</v>
      </c>
      <c r="C2628" t="s">
        <v>40</v>
      </c>
      <c r="D2628">
        <v>4.5681649999999996</v>
      </c>
      <c r="E2628">
        <v>0.49420560000000002</v>
      </c>
      <c r="F2628" t="s">
        <v>46</v>
      </c>
      <c r="G2628">
        <v>-343.0421</v>
      </c>
      <c r="H2628" s="1">
        <v>8.2071550000000004E-8</v>
      </c>
      <c r="I2628">
        <v>213.0342</v>
      </c>
      <c r="J2628">
        <v>-362.81810000000002</v>
      </c>
      <c r="K2628">
        <v>1.1094980000000001</v>
      </c>
      <c r="L2628">
        <v>213.49850000000001</v>
      </c>
      <c r="M2628">
        <v>0.99990889999999999</v>
      </c>
      <c r="N2628">
        <v>0</v>
      </c>
      <c r="O2628">
        <v>6.3253759999999997E-3</v>
      </c>
      <c r="P2628">
        <v>0.99093359999999997</v>
      </c>
      <c r="Q2628">
        <v>0.12671940000000001</v>
      </c>
      <c r="R2628">
        <v>-4.4643009999999997E-2</v>
      </c>
      <c r="S2628">
        <v>3.0457459999999998</v>
      </c>
      <c r="T2628">
        <v>-0.16724839999999999</v>
      </c>
      <c r="U2628">
        <v>-6.9580080000000002E-2</v>
      </c>
      <c r="V2628">
        <v>5.0926279999999997E-2</v>
      </c>
      <c r="W2628">
        <v>0.13852</v>
      </c>
      <c r="X2628">
        <v>0.98904939999999997</v>
      </c>
      <c r="Y2628">
        <v>2.9109409999999999E-2</v>
      </c>
      <c r="Z2628">
        <v>-1.1455860000000001E-3</v>
      </c>
      <c r="AA2628">
        <v>0.99957560000000001</v>
      </c>
      <c r="AB2628">
        <v>47</v>
      </c>
      <c r="AC2628">
        <v>19.776</v>
      </c>
      <c r="AD2628">
        <v>-1.1094979179284501</v>
      </c>
      <c r="AE2628">
        <v>-0.46430000000000798</v>
      </c>
      <c r="AF2628">
        <v>0.58754192626090695</v>
      </c>
      <c r="AG2628">
        <v>-1.1094979179284501</v>
      </c>
      <c r="AH2628">
        <v>19.710660634080799</v>
      </c>
      <c r="AI2628">
        <v>93.220308188310398</v>
      </c>
      <c r="AJ2628">
        <v>88.292613924555297</v>
      </c>
      <c r="AK2628">
        <v>19.750603377540301</v>
      </c>
      <c r="AL2628">
        <v>82.037785895396993</v>
      </c>
      <c r="AM2628">
        <v>87.052436044951406</v>
      </c>
      <c r="AN2628">
        <v>0.999999996017499</v>
      </c>
    </row>
    <row r="2629" spans="1:40" x14ac:dyDescent="0.25">
      <c r="A2629" t="str">
        <f>"20190312164317102"</f>
        <v>20190312164317102</v>
      </c>
      <c r="B2629" t="str">
        <f>"1552380197097260"</f>
        <v>1552380197097260</v>
      </c>
      <c r="C2629" t="s">
        <v>40</v>
      </c>
      <c r="D2629">
        <v>4.5766119999999999</v>
      </c>
      <c r="E2629">
        <v>0.49318289999999998</v>
      </c>
      <c r="F2629" t="s">
        <v>46</v>
      </c>
      <c r="G2629">
        <v>-342.57740000000001</v>
      </c>
      <c r="H2629" s="1">
        <v>-1.6523629999999901E-7</v>
      </c>
      <c r="I2629">
        <v>213.0753</v>
      </c>
      <c r="J2629">
        <v>-362.34699999999998</v>
      </c>
      <c r="K2629">
        <v>1.1095029999999999</v>
      </c>
      <c r="L2629">
        <v>213.50139999999999</v>
      </c>
      <c r="M2629">
        <v>0.99990800000000002</v>
      </c>
      <c r="N2629">
        <v>0</v>
      </c>
      <c r="O2629">
        <v>6.3049489999999998E-3</v>
      </c>
      <c r="P2629">
        <v>0.99096010000000001</v>
      </c>
      <c r="Q2629">
        <v>0.1265908</v>
      </c>
      <c r="R2629">
        <v>-4.4421910000000002E-2</v>
      </c>
      <c r="S2629">
        <v>3.0459589999999999</v>
      </c>
      <c r="T2629">
        <v>-0.16696440000000001</v>
      </c>
      <c r="U2629">
        <v>-6.3690189999999994E-2</v>
      </c>
      <c r="V2629">
        <v>5.0685139999999997E-2</v>
      </c>
      <c r="W2629">
        <v>0.13848460000000001</v>
      </c>
      <c r="X2629">
        <v>0.98906669999999997</v>
      </c>
      <c r="Y2629">
        <v>2.715855E-2</v>
      </c>
      <c r="Z2629">
        <v>-1.0890470000000001E-3</v>
      </c>
      <c r="AA2629">
        <v>0.99963060000000004</v>
      </c>
      <c r="AB2629">
        <v>47</v>
      </c>
      <c r="AC2629">
        <v>19.769599999999901</v>
      </c>
      <c r="AD2629">
        <v>-1.1095031652363001</v>
      </c>
      <c r="AE2629">
        <v>-0.42609999999999099</v>
      </c>
      <c r="AF2629">
        <v>0.54901843049603605</v>
      </c>
      <c r="AG2629">
        <v>-1.1095031652363001</v>
      </c>
      <c r="AH2629">
        <v>19.704486980886699</v>
      </c>
      <c r="AI2629">
        <v>93.221510437883595</v>
      </c>
      <c r="AJ2629">
        <v>88.404002975456393</v>
      </c>
      <c r="AK2629">
        <v>19.7433337025596</v>
      </c>
      <c r="AL2629">
        <v>82.039833555440595</v>
      </c>
      <c r="AM2629">
        <v>87.066419780680505</v>
      </c>
      <c r="AN2629">
        <v>0.99999995245143303</v>
      </c>
    </row>
    <row r="2630" spans="1:40" x14ac:dyDescent="0.25">
      <c r="A2630" t="str">
        <f>"20190312164317125"</f>
        <v>20190312164317125</v>
      </c>
      <c r="B2630" t="str">
        <f>"1552380197116781"</f>
        <v>1552380197116781</v>
      </c>
      <c r="C2630" t="s">
        <v>40</v>
      </c>
      <c r="D2630">
        <v>4.622738</v>
      </c>
      <c r="E2630">
        <v>0.4925274</v>
      </c>
      <c r="F2630" t="s">
        <v>41</v>
      </c>
      <c r="G2630">
        <v>-361.20569999999998</v>
      </c>
      <c r="H2630">
        <v>1.044889</v>
      </c>
      <c r="I2630">
        <v>213.48060000000001</v>
      </c>
      <c r="J2630">
        <v>-361.85550000000001</v>
      </c>
      <c r="K2630">
        <v>1.1095090000000001</v>
      </c>
      <c r="L2630">
        <v>213.50450000000001</v>
      </c>
      <c r="M2630">
        <v>0.99990710000000005</v>
      </c>
      <c r="N2630">
        <v>0</v>
      </c>
      <c r="O2630">
        <v>6.2835709999999999E-3</v>
      </c>
      <c r="P2630">
        <v>0.99094819999999995</v>
      </c>
      <c r="Q2630">
        <v>0.1267007</v>
      </c>
      <c r="R2630">
        <v>-4.4369430000000001E-2</v>
      </c>
      <c r="S2630">
        <v>3.0469970000000002</v>
      </c>
      <c r="T2630">
        <v>-0.1726531</v>
      </c>
      <c r="U2630">
        <v>-5.46875E-2</v>
      </c>
      <c r="V2630">
        <v>5.0611620000000003E-2</v>
      </c>
      <c r="W2630">
        <v>0.1386773</v>
      </c>
      <c r="X2630">
        <v>0.98904349999999996</v>
      </c>
      <c r="Y2630">
        <v>2.4178930000000001E-2</v>
      </c>
      <c r="Z2630">
        <v>-1.040189E-3</v>
      </c>
      <c r="AA2630">
        <v>0.99970709999999996</v>
      </c>
      <c r="AB2630">
        <v>47</v>
      </c>
      <c r="AC2630">
        <v>0.64980000000002702</v>
      </c>
      <c r="AD2630">
        <v>-6.4620000000000094E-2</v>
      </c>
      <c r="AE2630">
        <v>-2.38999999999975E-2</v>
      </c>
      <c r="AF2630">
        <v>2.7709230933296899E-2</v>
      </c>
      <c r="AG2630">
        <v>-6.4620000000000094E-2</v>
      </c>
      <c r="AH2630">
        <v>0.64328381851794203</v>
      </c>
      <c r="AI2630">
        <v>95.731029696666596</v>
      </c>
      <c r="AJ2630">
        <v>87.533528550124501</v>
      </c>
      <c r="AK2630">
        <v>0.64711484069362801</v>
      </c>
      <c r="AL2630">
        <v>82.0286853670531</v>
      </c>
      <c r="AM2630">
        <v>87.070598998106803</v>
      </c>
      <c r="AN2630">
        <v>0.99999998725328199</v>
      </c>
    </row>
    <row r="2631" spans="1:40" x14ac:dyDescent="0.25">
      <c r="A2631" t="str">
        <f>"20190312164317148"</f>
        <v>20190312164317148</v>
      </c>
      <c r="B2631" t="str">
        <f>"1552380197137276"</f>
        <v>1552380197137276</v>
      </c>
      <c r="C2631" t="s">
        <v>40</v>
      </c>
      <c r="D2631">
        <v>4.6011709999999999</v>
      </c>
      <c r="E2631">
        <v>0.49212590000000001</v>
      </c>
      <c r="F2631" t="s">
        <v>41</v>
      </c>
      <c r="G2631">
        <v>-360.78179999999998</v>
      </c>
      <c r="H2631">
        <v>1.0475300000000001</v>
      </c>
      <c r="I2631">
        <v>213.48699999999999</v>
      </c>
      <c r="J2631">
        <v>-361.36399999999998</v>
      </c>
      <c r="K2631">
        <v>1.1095200000000001</v>
      </c>
      <c r="L2631">
        <v>213.5076</v>
      </c>
      <c r="M2631">
        <v>0.99990619999999997</v>
      </c>
      <c r="N2631">
        <v>0</v>
      </c>
      <c r="O2631">
        <v>6.2610979999999997E-3</v>
      </c>
      <c r="P2631">
        <v>0.99099919999999997</v>
      </c>
      <c r="Q2631">
        <v>0.12638450000000001</v>
      </c>
      <c r="R2631">
        <v>-4.4133070000000003E-2</v>
      </c>
      <c r="S2631">
        <v>3.0476990000000002</v>
      </c>
      <c r="T2631">
        <v>-0.17601029999999901</v>
      </c>
      <c r="U2631">
        <v>-4.9285889999999999E-2</v>
      </c>
      <c r="V2631">
        <v>5.0352939999999999E-2</v>
      </c>
      <c r="W2631">
        <v>0.1384407</v>
      </c>
      <c r="X2631">
        <v>0.98908980000000002</v>
      </c>
      <c r="Y2631">
        <v>2.238211E-2</v>
      </c>
      <c r="Z2631">
        <v>-1.0070189999999901E-3</v>
      </c>
      <c r="AA2631">
        <v>0.999749</v>
      </c>
      <c r="AB2631">
        <v>47</v>
      </c>
      <c r="AC2631">
        <v>0.58220000000005701</v>
      </c>
      <c r="AD2631">
        <v>-6.1990000000000198E-2</v>
      </c>
      <c r="AE2631">
        <v>-2.06000000000017E-2</v>
      </c>
      <c r="AF2631">
        <v>2.3973628271160698E-2</v>
      </c>
      <c r="AG2631">
        <v>-6.1990000000000198E-2</v>
      </c>
      <c r="AH2631">
        <v>0.575542817437392</v>
      </c>
      <c r="AI2631">
        <v>96.142173357125998</v>
      </c>
      <c r="AJ2631">
        <v>87.614783663334507</v>
      </c>
      <c r="AK2631">
        <v>0.57936778444806103</v>
      </c>
      <c r="AL2631">
        <v>82.042373198070294</v>
      </c>
      <c r="AM2631">
        <v>87.085681711745806</v>
      </c>
      <c r="AN2631">
        <v>0.99999993922358499</v>
      </c>
    </row>
    <row r="2632" spans="1:40" x14ac:dyDescent="0.25">
      <c r="A2632" t="str">
        <f>"20190312164317170"</f>
        <v>20190312164317170</v>
      </c>
      <c r="B2632" t="str">
        <f>"1552380197167533"</f>
        <v>1552380197167533</v>
      </c>
      <c r="C2632" t="s">
        <v>40</v>
      </c>
      <c r="D2632">
        <v>4.8380970000000003</v>
      </c>
      <c r="E2632">
        <v>0.49191610000000002</v>
      </c>
      <c r="F2632" t="s">
        <v>46</v>
      </c>
      <c r="G2632">
        <v>-342.26429999999999</v>
      </c>
      <c r="H2632" s="1">
        <v>-3.3182699999999899E-7</v>
      </c>
      <c r="I2632">
        <v>213.22499999999999</v>
      </c>
      <c r="J2632">
        <v>-360.90300000000002</v>
      </c>
      <c r="K2632">
        <v>1.1094040000000001</v>
      </c>
      <c r="L2632">
        <v>213.51050000000001</v>
      </c>
      <c r="M2632">
        <v>0.99991079999999999</v>
      </c>
      <c r="N2632">
        <v>0</v>
      </c>
      <c r="O2632">
        <v>6.2408380000000003E-3</v>
      </c>
      <c r="P2632">
        <v>0.99089210000000005</v>
      </c>
      <c r="Q2632">
        <v>0.1273319</v>
      </c>
      <c r="R2632">
        <v>-4.3814579999999999E-2</v>
      </c>
      <c r="S2632">
        <v>3.0478209999999999</v>
      </c>
      <c r="T2632">
        <v>-0.17705079999999901</v>
      </c>
      <c r="U2632">
        <v>-4.508972E-2</v>
      </c>
      <c r="V2632">
        <v>5.0013589999999997E-2</v>
      </c>
      <c r="W2632">
        <v>0.13902010000000001</v>
      </c>
      <c r="X2632">
        <v>0.98902579999999995</v>
      </c>
      <c r="Y2632">
        <v>2.0986870000000001E-2</v>
      </c>
      <c r="Z2632">
        <v>-9.7126600000000003E-4</v>
      </c>
      <c r="AA2632">
        <v>0.99977930000000004</v>
      </c>
      <c r="AB2632">
        <v>47</v>
      </c>
      <c r="AC2632">
        <v>18.6387</v>
      </c>
      <c r="AD2632">
        <v>-1.1094043318269999</v>
      </c>
      <c r="AE2632">
        <v>-0.28550000000001302</v>
      </c>
      <c r="AF2632">
        <v>0.40040542794297201</v>
      </c>
      <c r="AG2632">
        <v>-1.1094043318269999</v>
      </c>
      <c r="AH2632">
        <v>18.570777694715499</v>
      </c>
      <c r="AI2632">
        <v>93.4179513578393</v>
      </c>
      <c r="AJ2632">
        <v>88.764834328876304</v>
      </c>
      <c r="AK2632">
        <v>18.608194073169699</v>
      </c>
      <c r="AL2632">
        <v>82.008852286131997</v>
      </c>
      <c r="AM2632">
        <v>87.105102032612507</v>
      </c>
      <c r="AN2632">
        <v>0.99999999022716901</v>
      </c>
    </row>
    <row r="2633" spans="1:40" x14ac:dyDescent="0.25">
      <c r="A2633" t="str">
        <f>"20190312164317214"</f>
        <v>20190312164317214</v>
      </c>
      <c r="B2633" t="str">
        <f>"1552380197207548"</f>
        <v>1552380197207548</v>
      </c>
      <c r="C2633" t="s">
        <v>40</v>
      </c>
      <c r="D2633">
        <v>4.6453559999999996</v>
      </c>
      <c r="E2633">
        <v>0.49159969999999997</v>
      </c>
      <c r="F2633" t="s">
        <v>46</v>
      </c>
      <c r="G2633">
        <v>-341.7552</v>
      </c>
      <c r="H2633" s="1">
        <v>-6.0277319999999995E-7</v>
      </c>
      <c r="I2633">
        <v>213.2433</v>
      </c>
      <c r="J2633">
        <v>-359.9624</v>
      </c>
      <c r="K2633">
        <v>1.108773</v>
      </c>
      <c r="L2633">
        <v>213.5163</v>
      </c>
      <c r="M2633">
        <v>0.9999382</v>
      </c>
      <c r="N2633">
        <v>0</v>
      </c>
      <c r="O2633">
        <v>6.2009300000000003E-3</v>
      </c>
      <c r="P2633">
        <v>0.99046400000000001</v>
      </c>
      <c r="Q2633">
        <v>0.13069839999999999</v>
      </c>
      <c r="R2633">
        <v>-4.3578069999999997E-2</v>
      </c>
      <c r="S2633">
        <v>3.0484010000000001</v>
      </c>
      <c r="T2633">
        <v>-0.176621</v>
      </c>
      <c r="U2633">
        <v>-4.2541500000000003E-2</v>
      </c>
      <c r="V2633">
        <v>4.9733039999999999E-2</v>
      </c>
      <c r="W2633">
        <v>0.13983319999999999</v>
      </c>
      <c r="X2633">
        <v>0.98892530000000001</v>
      </c>
      <c r="Y2633">
        <v>2.0110200000000002E-2</v>
      </c>
      <c r="Z2633">
        <v>-9.4103890000000003E-4</v>
      </c>
      <c r="AA2633">
        <v>0.9997973</v>
      </c>
      <c r="AB2633">
        <v>47</v>
      </c>
      <c r="AC2633">
        <v>18.2072</v>
      </c>
      <c r="AD2633">
        <v>-1.1087736027732</v>
      </c>
      <c r="AE2633">
        <v>-0.27299999999999602</v>
      </c>
      <c r="AF2633">
        <v>0.38447561924104301</v>
      </c>
      <c r="AG2633">
        <v>-1.1087736027732</v>
      </c>
      <c r="AH2633">
        <v>18.137907505059001</v>
      </c>
      <c r="AI2633">
        <v>93.497364711415599</v>
      </c>
      <c r="AJ2633">
        <v>88.785663020776397</v>
      </c>
      <c r="AK2633">
        <v>18.175832554963598</v>
      </c>
      <c r="AL2633">
        <v>81.961805421343001</v>
      </c>
      <c r="AM2633">
        <v>87.121021444629406</v>
      </c>
      <c r="AN2633">
        <v>0.99999997403498497</v>
      </c>
    </row>
    <row r="2634" spans="1:40" x14ac:dyDescent="0.25">
      <c r="A2634" t="str">
        <f>"20190312164317236"</f>
        <v>20190312164317236</v>
      </c>
      <c r="B2634" t="str">
        <f>"1552380197227074"</f>
        <v>1552380197227074</v>
      </c>
      <c r="C2634" t="s">
        <v>40</v>
      </c>
      <c r="D2634">
        <v>4.7271269999999896</v>
      </c>
      <c r="E2634">
        <v>0.49125740000000001</v>
      </c>
      <c r="F2634" t="s">
        <v>46</v>
      </c>
      <c r="G2634">
        <v>-339.33789999999999</v>
      </c>
      <c r="H2634" s="1">
        <v>3.492079E-6</v>
      </c>
      <c r="I2634">
        <v>213.2509</v>
      </c>
      <c r="J2634">
        <v>-359.46839999999997</v>
      </c>
      <c r="K2634">
        <v>1.1085309999999999</v>
      </c>
      <c r="L2634">
        <v>213.51929999999999</v>
      </c>
      <c r="M2634">
        <v>0.9999498</v>
      </c>
      <c r="N2634">
        <v>0</v>
      </c>
      <c r="O2634">
        <v>6.1791499999999996E-3</v>
      </c>
      <c r="P2634">
        <v>0.99020790000000003</v>
      </c>
      <c r="Q2634">
        <v>0.13253679999999901</v>
      </c>
      <c r="R2634">
        <v>-4.3849010000000001E-2</v>
      </c>
      <c r="S2634">
        <v>3.0487669999999998</v>
      </c>
      <c r="T2634">
        <v>-0.1639012</v>
      </c>
      <c r="U2634">
        <v>-3.9230349999999997E-2</v>
      </c>
      <c r="V2634">
        <v>4.9979830000000003E-2</v>
      </c>
      <c r="W2634">
        <v>0.1403568</v>
      </c>
      <c r="X2634">
        <v>0.98883869999999896</v>
      </c>
      <c r="Y2634">
        <v>1.900876E-2</v>
      </c>
      <c r="Z2634">
        <v>-8.4251289999999902E-4</v>
      </c>
      <c r="AA2634">
        <v>0.99981900000000001</v>
      </c>
      <c r="AB2634">
        <v>48</v>
      </c>
      <c r="AC2634">
        <v>20.130499999999898</v>
      </c>
      <c r="AD2634">
        <v>-1.108527507921</v>
      </c>
      <c r="AE2634">
        <v>-0.26839999999998498</v>
      </c>
      <c r="AF2634">
        <v>0.39160085227340002</v>
      </c>
      <c r="AG2634">
        <v>-1.108527507921</v>
      </c>
      <c r="AH2634">
        <v>20.067615278992601</v>
      </c>
      <c r="AI2634">
        <v>93.161183305874403</v>
      </c>
      <c r="AJ2634">
        <v>88.882068027379106</v>
      </c>
      <c r="AK2634">
        <v>20.102023963993702</v>
      </c>
      <c r="AL2634">
        <v>81.931506712085493</v>
      </c>
      <c r="AM2634">
        <v>87.106506366213495</v>
      </c>
      <c r="AN2634">
        <v>0.99999999466537903</v>
      </c>
    </row>
    <row r="2635" spans="1:40" x14ac:dyDescent="0.25">
      <c r="A2635" t="str">
        <f>"20190312164317260"</f>
        <v>20190312164317260</v>
      </c>
      <c r="B2635" t="str">
        <f>"1552380197257325"</f>
        <v>1552380197257325</v>
      </c>
      <c r="C2635" t="s">
        <v>40</v>
      </c>
      <c r="D2635">
        <v>4.6508929999999999</v>
      </c>
      <c r="E2635">
        <v>0.46288970000000002</v>
      </c>
      <c r="F2635" t="s">
        <v>46</v>
      </c>
      <c r="G2635">
        <v>-338.25459999999998</v>
      </c>
      <c r="H2635" s="1">
        <v>2.9151529999999998E-6</v>
      </c>
      <c r="I2635">
        <v>213.26079999999999</v>
      </c>
      <c r="J2635">
        <v>-358.98340000000002</v>
      </c>
      <c r="K2635">
        <v>1.10842</v>
      </c>
      <c r="L2635">
        <v>213.5223</v>
      </c>
      <c r="M2635">
        <v>0.99995699999999998</v>
      </c>
      <c r="N2635">
        <v>0</v>
      </c>
      <c r="O2635">
        <v>6.1585930000000004E-3</v>
      </c>
      <c r="P2635">
        <v>0.99000140000000003</v>
      </c>
      <c r="Q2635">
        <v>0.1339428</v>
      </c>
      <c r="R2635">
        <v>-4.4236600000000001E-2</v>
      </c>
      <c r="S2635">
        <v>3.0493160000000001</v>
      </c>
      <c r="T2635">
        <v>-0.15934219999999999</v>
      </c>
      <c r="U2635">
        <v>-3.7155149999999998E-2</v>
      </c>
      <c r="V2635">
        <v>5.0345319999999999E-2</v>
      </c>
      <c r="W2635">
        <v>0.1408124</v>
      </c>
      <c r="X2635">
        <v>0.98875539999999995</v>
      </c>
      <c r="Y2635">
        <v>1.8308519999999998E-2</v>
      </c>
      <c r="Z2635">
        <v>-7.9960800000000005E-4</v>
      </c>
      <c r="AA2635">
        <v>0.9998321</v>
      </c>
      <c r="AB2635">
        <v>48</v>
      </c>
      <c r="AC2635">
        <v>20.7288</v>
      </c>
      <c r="AD2635">
        <v>-1.1084170848469901</v>
      </c>
      <c r="AE2635">
        <v>-0.261500000000012</v>
      </c>
      <c r="AF2635">
        <v>0.38804898383074798</v>
      </c>
      <c r="AG2635">
        <v>-1.1084170848469901</v>
      </c>
      <c r="AH2635">
        <v>20.667710801608699</v>
      </c>
      <c r="AI2635">
        <v>93.069313297996999</v>
      </c>
      <c r="AJ2635">
        <v>88.9243628787181</v>
      </c>
      <c r="AK2635">
        <v>20.701049254247099</v>
      </c>
      <c r="AL2635">
        <v>81.905141049385804</v>
      </c>
      <c r="AM2635">
        <v>87.085138197658594</v>
      </c>
      <c r="AN2635">
        <v>1.0000000121344099</v>
      </c>
    </row>
    <row r="2636" spans="1:40" x14ac:dyDescent="0.25">
      <c r="A2636" t="str">
        <f>"20190312164317280"</f>
        <v>20190312164317280</v>
      </c>
      <c r="B2636" t="str">
        <f>"1552380197276845"</f>
        <v>1552380197276845</v>
      </c>
      <c r="C2636" t="s">
        <v>40</v>
      </c>
      <c r="D2636">
        <v>4.4318900000000001</v>
      </c>
      <c r="E2636">
        <v>0.46183980000000002</v>
      </c>
      <c r="F2636" t="s">
        <v>46</v>
      </c>
      <c r="G2636">
        <v>-325.6585</v>
      </c>
      <c r="H2636" s="1">
        <v>1.474375E-6</v>
      </c>
      <c r="I2636">
        <v>215.55520000000001</v>
      </c>
      <c r="J2636">
        <v>-358.53660000000002</v>
      </c>
      <c r="K2636">
        <v>1.1084670000000001</v>
      </c>
      <c r="L2636">
        <v>213.52510000000001</v>
      </c>
      <c r="M2636">
        <v>0.99995970000000001</v>
      </c>
      <c r="N2636">
        <v>0</v>
      </c>
      <c r="O2636">
        <v>6.1417729999999997E-3</v>
      </c>
      <c r="P2636">
        <v>0.98994850000000001</v>
      </c>
      <c r="Q2636">
        <v>0.13429959999999999</v>
      </c>
      <c r="R2636">
        <v>-4.4338420000000003E-2</v>
      </c>
      <c r="S2636">
        <v>3.052368</v>
      </c>
      <c r="T2636">
        <v>-0.1015247</v>
      </c>
      <c r="U2636">
        <v>0.18620300000000001</v>
      </c>
      <c r="V2636">
        <v>5.0430500000000003E-2</v>
      </c>
      <c r="W2636">
        <v>0.14079439999999999</v>
      </c>
      <c r="X2636">
        <v>0.98875360000000001</v>
      </c>
      <c r="Y2636">
        <v>-5.4731189999999999E-2</v>
      </c>
      <c r="Z2636">
        <v>7.0508089999999995E-4</v>
      </c>
      <c r="AA2636">
        <v>0.99850090000000002</v>
      </c>
      <c r="AB2636">
        <v>48</v>
      </c>
      <c r="AC2636">
        <v>32.878100000000003</v>
      </c>
      <c r="AD2636">
        <v>-1.108465525625</v>
      </c>
      <c r="AE2636">
        <v>2.0301</v>
      </c>
      <c r="AF2636">
        <v>-1.8260598252753899</v>
      </c>
      <c r="AG2636">
        <v>-1.108465525625</v>
      </c>
      <c r="AH2636">
        <v>32.852747938597602</v>
      </c>
      <c r="AI2636">
        <v>91.929474607551199</v>
      </c>
      <c r="AJ2636">
        <v>93.181407356205497</v>
      </c>
      <c r="AK2636">
        <v>32.922123829182297</v>
      </c>
      <c r="AL2636">
        <v>81.906182570578693</v>
      </c>
      <c r="AM2636">
        <v>87.080209719667707</v>
      </c>
      <c r="AN2636">
        <v>0.99999998995728501</v>
      </c>
    </row>
    <row r="2637" spans="1:40" x14ac:dyDescent="0.25">
      <c r="A2637" t="str">
        <f>"20190312164317305"</f>
        <v>20190312164317305</v>
      </c>
      <c r="B2637" t="str">
        <f>"1552380197297341"</f>
        <v>1552380197297341</v>
      </c>
      <c r="C2637" t="s">
        <v>40</v>
      </c>
      <c r="D2637">
        <v>4.5899599999999996</v>
      </c>
      <c r="E2637">
        <v>0.46128069999999999</v>
      </c>
      <c r="F2637" t="s">
        <v>46</v>
      </c>
      <c r="G2637">
        <v>-324.79579999999999</v>
      </c>
      <c r="H2637" s="1">
        <v>1.015277E-6</v>
      </c>
      <c r="I2637">
        <v>215.66839999999999</v>
      </c>
      <c r="J2637">
        <v>-358.01549999999997</v>
      </c>
      <c r="K2637">
        <v>1.1086240000000001</v>
      </c>
      <c r="L2637">
        <v>213.5283</v>
      </c>
      <c r="M2637">
        <v>0.9999593</v>
      </c>
      <c r="N2637">
        <v>0</v>
      </c>
      <c r="O2637">
        <v>6.1229090000000002E-3</v>
      </c>
      <c r="P2637">
        <v>0.99002190000000001</v>
      </c>
      <c r="Q2637">
        <v>0.13370029999999999</v>
      </c>
      <c r="R2637">
        <v>-4.4508600000000002E-2</v>
      </c>
      <c r="S2637">
        <v>3.052765</v>
      </c>
      <c r="T2637">
        <v>-0.1002904</v>
      </c>
      <c r="U2637">
        <v>0.19392400000000001</v>
      </c>
      <c r="V2637">
        <v>5.058265E-2</v>
      </c>
      <c r="W2637">
        <v>0.14025290000000001</v>
      </c>
      <c r="X2637">
        <v>0.9888228</v>
      </c>
      <c r="Y2637">
        <v>-5.7256870000000001E-2</v>
      </c>
      <c r="Z2637">
        <v>7.3842199999999997E-4</v>
      </c>
      <c r="AA2637">
        <v>0.9983592</v>
      </c>
      <c r="AB2637">
        <v>48</v>
      </c>
      <c r="AC2637">
        <v>33.219699999999897</v>
      </c>
      <c r="AD2637">
        <v>-1.108622984723</v>
      </c>
      <c r="AE2637">
        <v>2.1400999999999799</v>
      </c>
      <c r="AF2637">
        <v>-1.93450861817691</v>
      </c>
      <c r="AG2637">
        <v>-1.108622984723</v>
      </c>
      <c r="AH2637">
        <v>33.195363623386697</v>
      </c>
      <c r="AI2637">
        <v>91.909554359164204</v>
      </c>
      <c r="AJ2637">
        <v>93.335223562822193</v>
      </c>
      <c r="AK2637">
        <v>33.2701598223532</v>
      </c>
      <c r="AL2637">
        <v>81.937519302043299</v>
      </c>
      <c r="AM2637">
        <v>87.071620547962894</v>
      </c>
      <c r="AN2637">
        <v>1.0000000051196301</v>
      </c>
    </row>
    <row r="2638" spans="1:40" x14ac:dyDescent="0.25">
      <c r="A2638" t="str">
        <f>"20190312164317326"</f>
        <v>20190312164317326</v>
      </c>
      <c r="B2638" t="str">
        <f>"1552380197316860"</f>
        <v>1552380197316860</v>
      </c>
      <c r="C2638" t="s">
        <v>40</v>
      </c>
      <c r="D2638">
        <v>4.4376280000000001</v>
      </c>
      <c r="E2638">
        <v>0.4609239</v>
      </c>
      <c r="F2638" t="s">
        <v>46</v>
      </c>
      <c r="G2638">
        <v>-324.0453</v>
      </c>
      <c r="H2638" s="1">
        <v>6.159284E-7</v>
      </c>
      <c r="I2638">
        <v>215.72489999999999</v>
      </c>
      <c r="J2638">
        <v>-357.53800000000001</v>
      </c>
      <c r="K2638">
        <v>1.1087689999999999</v>
      </c>
      <c r="L2638">
        <v>213.53120000000001</v>
      </c>
      <c r="M2638">
        <v>0.99995800000000001</v>
      </c>
      <c r="N2638">
        <v>0</v>
      </c>
      <c r="O2638">
        <v>6.1044599999999999E-3</v>
      </c>
      <c r="P2638">
        <v>0.99009930000000002</v>
      </c>
      <c r="Q2638">
        <v>0.1332219</v>
      </c>
      <c r="R2638">
        <v>-4.4222049999999999E-2</v>
      </c>
      <c r="S2638">
        <v>3.0525509999999998</v>
      </c>
      <c r="T2638">
        <v>-9.962058E-2</v>
      </c>
      <c r="U2638">
        <v>0.1973877</v>
      </c>
      <c r="V2638">
        <v>5.027947E-2</v>
      </c>
      <c r="W2638">
        <v>0.13999890000000001</v>
      </c>
      <c r="X2638">
        <v>0.98887429999999998</v>
      </c>
      <c r="Y2638">
        <v>-5.840762E-2</v>
      </c>
      <c r="Z2638">
        <v>7.528716E-4</v>
      </c>
      <c r="AA2638">
        <v>0.99829250000000003</v>
      </c>
      <c r="AB2638">
        <v>49</v>
      </c>
      <c r="AC2638">
        <v>33.492699999999999</v>
      </c>
      <c r="AD2638">
        <v>-1.1087683840716001</v>
      </c>
      <c r="AE2638">
        <v>2.19369999999997</v>
      </c>
      <c r="AF2638">
        <v>-1.9870311615258101</v>
      </c>
      <c r="AG2638">
        <v>-1.1087683840716001</v>
      </c>
      <c r="AH2638">
        <v>33.468944773606502</v>
      </c>
      <c r="AI2638">
        <v>91.894083687004596</v>
      </c>
      <c r="AJ2638">
        <v>93.3976278811502</v>
      </c>
      <c r="AK2638">
        <v>33.546205812656602</v>
      </c>
      <c r="AL2638">
        <v>81.952217803111196</v>
      </c>
      <c r="AM2638">
        <v>87.089293594478093</v>
      </c>
      <c r="AN2638">
        <v>1.00000004915258</v>
      </c>
    </row>
    <row r="2639" spans="1:40" x14ac:dyDescent="0.25">
      <c r="A2639" t="str">
        <f>"20190312164317351"</f>
        <v>20190312164317351</v>
      </c>
      <c r="B2639" t="str">
        <f>"1552380197347117"</f>
        <v>1552380197347117</v>
      </c>
      <c r="C2639" t="s">
        <v>40</v>
      </c>
      <c r="D2639">
        <v>4.4173619999999998</v>
      </c>
      <c r="E2639">
        <v>0.46093089999999998</v>
      </c>
      <c r="F2639" t="s">
        <v>46</v>
      </c>
      <c r="G2639">
        <v>-322.75720000000001</v>
      </c>
      <c r="H2639" s="1">
        <v>-6.9564539999999894E-8</v>
      </c>
      <c r="I2639">
        <v>215.81739999999999</v>
      </c>
      <c r="J2639">
        <v>-356.988</v>
      </c>
      <c r="K2639">
        <v>1.1088910000000001</v>
      </c>
      <c r="L2639">
        <v>213.53450000000001</v>
      </c>
      <c r="M2639">
        <v>0.99995610000000001</v>
      </c>
      <c r="N2639">
        <v>0</v>
      </c>
      <c r="O2639">
        <v>6.0798359999999999E-3</v>
      </c>
      <c r="P2639">
        <v>0.99017189999999999</v>
      </c>
      <c r="Q2639">
        <v>0.13272129999999999</v>
      </c>
      <c r="R2639">
        <v>-4.4104209999999998E-2</v>
      </c>
      <c r="S2639">
        <v>3.052063</v>
      </c>
      <c r="T2639">
        <v>-9.7295999999999994E-2</v>
      </c>
      <c r="U2639">
        <v>0.20062260000000001</v>
      </c>
      <c r="V2639">
        <v>5.0139290000000003E-2</v>
      </c>
      <c r="W2639">
        <v>0.13978599999999999</v>
      </c>
      <c r="X2639">
        <v>0.98891150000000005</v>
      </c>
      <c r="Y2639">
        <v>-5.9496750000000001E-2</v>
      </c>
      <c r="Z2639">
        <v>7.5352539999999895E-4</v>
      </c>
      <c r="AA2639">
        <v>0.99822820000000001</v>
      </c>
      <c r="AB2639">
        <v>49</v>
      </c>
      <c r="AC2639">
        <v>34.230800000000002</v>
      </c>
      <c r="AD2639">
        <v>-1.10889106956454</v>
      </c>
      <c r="AE2639">
        <v>2.2828999999999802</v>
      </c>
      <c r="AF2639">
        <v>-2.07256952771032</v>
      </c>
      <c r="AG2639">
        <v>-1.10889106956454</v>
      </c>
      <c r="AH2639">
        <v>34.208307857377299</v>
      </c>
      <c r="AI2639">
        <v>91.853244842531097</v>
      </c>
      <c r="AJ2639">
        <v>93.467125775143103</v>
      </c>
      <c r="AK2639">
        <v>34.288970680328902</v>
      </c>
      <c r="AL2639">
        <v>81.964536934227596</v>
      </c>
      <c r="AM2639">
        <v>87.0975037965448</v>
      </c>
      <c r="AN2639">
        <v>1.0000000145149699</v>
      </c>
    </row>
    <row r="2640" spans="1:40" x14ac:dyDescent="0.25">
      <c r="A2640" t="str">
        <f>"20190312164317373"</f>
        <v>20190312164317373</v>
      </c>
      <c r="B2640" t="str">
        <f>"1552380197367613"</f>
        <v>1552380197367613</v>
      </c>
      <c r="C2640" t="s">
        <v>40</v>
      </c>
      <c r="D2640">
        <v>4.5921149999999997</v>
      </c>
      <c r="E2640">
        <v>0.46149499999999999</v>
      </c>
      <c r="F2640" t="s">
        <v>46</v>
      </c>
      <c r="G2640">
        <v>-325.25319999999999</v>
      </c>
      <c r="H2640" s="1">
        <v>1.2587229999999999E-6</v>
      </c>
      <c r="I2640">
        <v>215.6311</v>
      </c>
      <c r="J2640">
        <v>-356.52210000000002</v>
      </c>
      <c r="K2640">
        <v>1.10897</v>
      </c>
      <c r="L2640">
        <v>213.53729999999999</v>
      </c>
      <c r="M2640">
        <v>0.99995429999999996</v>
      </c>
      <c r="N2640">
        <v>0</v>
      </c>
      <c r="O2640">
        <v>6.052445E-3</v>
      </c>
      <c r="P2640">
        <v>0.9902261</v>
      </c>
      <c r="Q2640">
        <v>0.132527799999999</v>
      </c>
      <c r="R2640">
        <v>-4.3457129999999997E-2</v>
      </c>
      <c r="S2640">
        <v>3.0531009999999998</v>
      </c>
      <c r="T2640">
        <v>-0.10668279999999999</v>
      </c>
      <c r="U2640">
        <v>0.20170589999999999</v>
      </c>
      <c r="V2640">
        <v>4.9467240000000003E-2</v>
      </c>
      <c r="W2640">
        <v>0.13984360000000001</v>
      </c>
      <c r="X2640">
        <v>0.98893719999999996</v>
      </c>
      <c r="Y2640">
        <v>-5.9848890000000002E-2</v>
      </c>
      <c r="Z2640">
        <v>8.3299019999999999E-4</v>
      </c>
      <c r="AA2640">
        <v>0.99820710000000001</v>
      </c>
      <c r="AB2640">
        <v>49</v>
      </c>
      <c r="AC2640">
        <v>31.268899999999999</v>
      </c>
      <c r="AD2640">
        <v>-1.108968741277</v>
      </c>
      <c r="AE2640">
        <v>2.0938000000000101</v>
      </c>
      <c r="AF2640">
        <v>-1.9021213487913899</v>
      </c>
      <c r="AG2640">
        <v>-1.108968741277</v>
      </c>
      <c r="AH2640">
        <v>31.2418794066737</v>
      </c>
      <c r="AI2640">
        <v>92.029176004835705</v>
      </c>
      <c r="AJ2640">
        <v>93.484078589831896</v>
      </c>
      <c r="AK2640">
        <v>31.319369504442498</v>
      </c>
      <c r="AL2640">
        <v>81.961203946892795</v>
      </c>
      <c r="AM2640">
        <v>87.136416969221798</v>
      </c>
      <c r="AN2640">
        <v>1.0000000129190001</v>
      </c>
    </row>
    <row r="2641" spans="1:40" x14ac:dyDescent="0.25">
      <c r="A2641" t="str">
        <f>"20190312164317394"</f>
        <v>20190312164317394</v>
      </c>
      <c r="B2641" t="str">
        <f>"1552380197387133"</f>
        <v>1552380197387133</v>
      </c>
      <c r="C2641" t="s">
        <v>40</v>
      </c>
      <c r="D2641">
        <v>4.5151379999999897</v>
      </c>
      <c r="E2641">
        <v>0.46190130000000001</v>
      </c>
      <c r="F2641" t="s">
        <v>46</v>
      </c>
      <c r="G2641">
        <v>-326.60090000000002</v>
      </c>
      <c r="H2641" s="1">
        <v>1.9758530000000002E-6</v>
      </c>
      <c r="I2641">
        <v>215.4924</v>
      </c>
      <c r="J2641">
        <v>-356.05619999999999</v>
      </c>
      <c r="K2641">
        <v>1.109038</v>
      </c>
      <c r="L2641">
        <v>213.5401</v>
      </c>
      <c r="M2641">
        <v>0.99995259999999997</v>
      </c>
      <c r="N2641">
        <v>0</v>
      </c>
      <c r="O2641">
        <v>6.0167320000000003E-3</v>
      </c>
      <c r="P2641">
        <v>0.99029060000000002</v>
      </c>
      <c r="Q2641">
        <v>0.1321687</v>
      </c>
      <c r="R2641">
        <v>-4.3083759999999999E-2</v>
      </c>
      <c r="S2641">
        <v>3.053528</v>
      </c>
      <c r="T2641">
        <v>-0.1131725</v>
      </c>
      <c r="U2641">
        <v>0.1995239</v>
      </c>
      <c r="V2641">
        <v>4.9060550000000001E-2</v>
      </c>
      <c r="W2641">
        <v>0.1397506</v>
      </c>
      <c r="X2641">
        <v>0.98897060000000003</v>
      </c>
      <c r="Y2641">
        <v>-5.9161449999999997E-2</v>
      </c>
      <c r="Z2641">
        <v>8.7212619999999896E-4</v>
      </c>
      <c r="AA2641">
        <v>0.99824800000000002</v>
      </c>
      <c r="AB2641">
        <v>49</v>
      </c>
      <c r="AC2641">
        <v>29.455299999999902</v>
      </c>
      <c r="AD2641">
        <v>-1.1090360241470001</v>
      </c>
      <c r="AE2641">
        <v>1.9522999999999999</v>
      </c>
      <c r="AF2641">
        <v>-1.77253300713259</v>
      </c>
      <c r="AG2641">
        <v>-1.1090360241470001</v>
      </c>
      <c r="AH2641">
        <v>29.424982184474</v>
      </c>
      <c r="AI2641">
        <v>92.154570722368206</v>
      </c>
      <c r="AJ2641">
        <v>93.447277658619996</v>
      </c>
      <c r="AK2641">
        <v>29.4991764413999</v>
      </c>
      <c r="AL2641">
        <v>81.966585256192303</v>
      </c>
      <c r="AM2641">
        <v>87.160016687976295</v>
      </c>
      <c r="AN2641">
        <v>1.00000000771551</v>
      </c>
    </row>
    <row r="2642" spans="1:40" x14ac:dyDescent="0.25">
      <c r="A2642" t="str">
        <f>"20190312164317415"</f>
        <v>20190312164317415</v>
      </c>
      <c r="B2642" t="str">
        <f>"1552380197406653"</f>
        <v>1552380197406653</v>
      </c>
      <c r="C2642" t="s">
        <v>40</v>
      </c>
      <c r="D2642">
        <v>4.3864919999999996</v>
      </c>
      <c r="E2642">
        <v>0.46184599999999998</v>
      </c>
      <c r="F2642" t="s">
        <v>46</v>
      </c>
      <c r="G2642">
        <v>-327.27940000000001</v>
      </c>
      <c r="H2642" s="1">
        <v>2.3369399999999999E-6</v>
      </c>
      <c r="I2642">
        <v>215.40260000000001</v>
      </c>
      <c r="J2642">
        <v>-355.60160000000002</v>
      </c>
      <c r="K2642">
        <v>1.1090930000000001</v>
      </c>
      <c r="L2642">
        <v>213.5428</v>
      </c>
      <c r="M2642">
        <v>0.99995069999999997</v>
      </c>
      <c r="N2642">
        <v>0</v>
      </c>
      <c r="O2642">
        <v>5.9741069999999898E-3</v>
      </c>
      <c r="P2642">
        <v>0.99028689999999997</v>
      </c>
      <c r="Q2642">
        <v>0.132237299999999</v>
      </c>
      <c r="R2642">
        <v>-4.2957469999999998E-2</v>
      </c>
      <c r="S2642">
        <v>3.0537109999999998</v>
      </c>
      <c r="T2642">
        <v>-0.1176878</v>
      </c>
      <c r="U2642">
        <v>0.19764709999999999</v>
      </c>
      <c r="V2642">
        <v>4.8893689999999997E-2</v>
      </c>
      <c r="W2642">
        <v>0.14008909999999999</v>
      </c>
      <c r="X2642">
        <v>0.98893089999999995</v>
      </c>
      <c r="Y2642">
        <v>-5.8586569999999998E-2</v>
      </c>
      <c r="Z2642">
        <v>8.9743789999999896E-4</v>
      </c>
      <c r="AA2642">
        <v>0.998282</v>
      </c>
      <c r="AB2642">
        <v>49</v>
      </c>
      <c r="AC2642">
        <v>28.322199999999999</v>
      </c>
      <c r="AD2642">
        <v>-1.1090906630599999</v>
      </c>
      <c r="AE2642">
        <v>1.8597999999999999</v>
      </c>
      <c r="AF2642">
        <v>-1.68798424564307</v>
      </c>
      <c r="AG2642">
        <v>-1.1090906630599999</v>
      </c>
      <c r="AH2642">
        <v>28.289610055065001</v>
      </c>
      <c r="AI2642">
        <v>92.241142236280695</v>
      </c>
      <c r="AJ2642">
        <v>93.414675604396606</v>
      </c>
      <c r="AK2642">
        <v>28.361618606491099</v>
      </c>
      <c r="AL2642">
        <v>81.946997377368405</v>
      </c>
      <c r="AM2642">
        <v>87.169546594564807</v>
      </c>
      <c r="AN2642">
        <v>0.99999993691771605</v>
      </c>
    </row>
    <row r="2643" spans="1:40" x14ac:dyDescent="0.25">
      <c r="A2643" t="str">
        <f>"20190312164317438"</f>
        <v>20190312164317438</v>
      </c>
      <c r="B2643" t="str">
        <f>"1552380197427151"</f>
        <v>1552380197427151</v>
      </c>
      <c r="C2643" t="s">
        <v>40</v>
      </c>
      <c r="D2643">
        <v>4.6360340000000004</v>
      </c>
      <c r="E2643">
        <v>0.46166790000000002</v>
      </c>
      <c r="F2643" t="s">
        <v>46</v>
      </c>
      <c r="G2643">
        <v>-327.80579999999998</v>
      </c>
      <c r="H2643" s="1">
        <v>2.6170850000000001E-6</v>
      </c>
      <c r="I2643">
        <v>215.3527</v>
      </c>
      <c r="J2643">
        <v>-355.09719999999999</v>
      </c>
      <c r="K2643">
        <v>1.1091420000000001</v>
      </c>
      <c r="L2643">
        <v>213.54580000000001</v>
      </c>
      <c r="M2643">
        <v>0.99994859999999997</v>
      </c>
      <c r="N2643">
        <v>0</v>
      </c>
      <c r="O2643">
        <v>5.9198499999999999E-3</v>
      </c>
      <c r="P2643">
        <v>0.99032089999999995</v>
      </c>
      <c r="Q2643">
        <v>0.1319785</v>
      </c>
      <c r="R2643">
        <v>-4.2970479999999998E-2</v>
      </c>
      <c r="S2643">
        <v>3.0543209999999998</v>
      </c>
      <c r="T2643">
        <v>-0.1218717</v>
      </c>
      <c r="U2643">
        <v>0.19888310000000001</v>
      </c>
      <c r="V2643">
        <v>4.8855000000000003E-2</v>
      </c>
      <c r="W2643">
        <v>0.14013349999999999</v>
      </c>
      <c r="X2643">
        <v>0.98892659999999999</v>
      </c>
      <c r="Y2643">
        <v>-5.9026929999999998E-2</v>
      </c>
      <c r="Z2643">
        <v>9.4005409999999999E-4</v>
      </c>
      <c r="AA2643">
        <v>0.99825600000000003</v>
      </c>
      <c r="AB2643">
        <v>49</v>
      </c>
      <c r="AC2643">
        <v>27.291399999999999</v>
      </c>
      <c r="AD2643">
        <v>-1.109139382915</v>
      </c>
      <c r="AE2643">
        <v>1.80689999999998</v>
      </c>
      <c r="AF2643">
        <v>-1.64260069165081</v>
      </c>
      <c r="AG2643">
        <v>-1.109139382915</v>
      </c>
      <c r="AH2643">
        <v>27.256796214541801</v>
      </c>
      <c r="AI2643">
        <v>92.325991303959498</v>
      </c>
      <c r="AJ2643">
        <v>93.448695928962707</v>
      </c>
      <c r="AK2643">
        <v>27.328762633606502</v>
      </c>
      <c r="AL2643">
        <v>81.9444287298939</v>
      </c>
      <c r="AM2643">
        <v>87.171770441394401</v>
      </c>
      <c r="AN2643">
        <v>1.0000000145173999</v>
      </c>
    </row>
    <row r="2644" spans="1:40" x14ac:dyDescent="0.25">
      <c r="A2644" t="str">
        <f>"20190312164317459"</f>
        <v>20190312164317459</v>
      </c>
      <c r="B2644" t="str">
        <f>"1552380197457404"</f>
        <v>1552380197457404</v>
      </c>
      <c r="C2644" t="s">
        <v>40</v>
      </c>
      <c r="D2644">
        <v>4.5703199999999997</v>
      </c>
      <c r="E2644">
        <v>0.46156269999999999</v>
      </c>
      <c r="F2644" t="s">
        <v>46</v>
      </c>
      <c r="G2644">
        <v>-328.01299999999998</v>
      </c>
      <c r="H2644" s="1">
        <v>2.7273370000000001E-6</v>
      </c>
      <c r="I2644">
        <v>215.32079999999999</v>
      </c>
      <c r="J2644">
        <v>-354.64600000000002</v>
      </c>
      <c r="K2644">
        <v>1.1091719999999901</v>
      </c>
      <c r="L2644">
        <v>213.54839999999999</v>
      </c>
      <c r="M2644">
        <v>0.99994660000000002</v>
      </c>
      <c r="N2644">
        <v>0</v>
      </c>
      <c r="O2644">
        <v>5.8668310000000003E-3</v>
      </c>
      <c r="P2644">
        <v>0.99031539999999996</v>
      </c>
      <c r="Q2644">
        <v>0.13203409999999999</v>
      </c>
      <c r="R2644">
        <v>-4.2925959999999999E-2</v>
      </c>
      <c r="S2644">
        <v>3.0546570000000002</v>
      </c>
      <c r="T2644">
        <v>-0.12509289999999901</v>
      </c>
      <c r="U2644">
        <v>0.20019529999999999</v>
      </c>
      <c r="V2644">
        <v>4.8759719999999999E-2</v>
      </c>
      <c r="W2644">
        <v>0.14045829999999901</v>
      </c>
      <c r="X2644">
        <v>0.98888520000000002</v>
      </c>
      <c r="Y2644">
        <v>-5.9497080000000001E-2</v>
      </c>
      <c r="Z2644">
        <v>9.7654049999999998E-4</v>
      </c>
      <c r="AA2644">
        <v>0.998228</v>
      </c>
      <c r="AB2644">
        <v>49</v>
      </c>
      <c r="AC2644">
        <v>26.6329999999999</v>
      </c>
      <c r="AD2644">
        <v>-1.10916927266299</v>
      </c>
      <c r="AE2644">
        <v>1.7724</v>
      </c>
      <c r="AF2644">
        <v>-1.61332667400424</v>
      </c>
      <c r="AG2644">
        <v>-1.10916927266299</v>
      </c>
      <c r="AH2644">
        <v>26.597013241101799</v>
      </c>
      <c r="AI2644">
        <v>92.3836332310552</v>
      </c>
      <c r="AJ2644">
        <v>93.471205094706306</v>
      </c>
      <c r="AK2644">
        <v>26.668974348103699</v>
      </c>
      <c r="AL2644">
        <v>81.925632978995793</v>
      </c>
      <c r="AM2644">
        <v>87.177159314723895</v>
      </c>
      <c r="AN2644">
        <v>0.999999991556204</v>
      </c>
    </row>
    <row r="2645" spans="1:40" x14ac:dyDescent="0.25">
      <c r="A2645" t="str">
        <f>"20190312164317482"</f>
        <v>20190312164317482</v>
      </c>
      <c r="B2645" t="str">
        <f>"1552380197476924"</f>
        <v>1552380197476924</v>
      </c>
      <c r="C2645" t="s">
        <v>40</v>
      </c>
      <c r="D2645">
        <v>4.4705120000000003</v>
      </c>
      <c r="E2645">
        <v>0.46155439999999998</v>
      </c>
      <c r="F2645" t="s">
        <v>46</v>
      </c>
      <c r="G2645">
        <v>-327.48559999999998</v>
      </c>
      <c r="H2645" s="1">
        <v>2.4466949999999999E-6</v>
      </c>
      <c r="I2645">
        <v>215.33330000000001</v>
      </c>
      <c r="J2645">
        <v>-354.15730000000002</v>
      </c>
      <c r="K2645">
        <v>1.1091869999999999</v>
      </c>
      <c r="L2645">
        <v>213.5513</v>
      </c>
      <c r="M2645">
        <v>0.99994430000000001</v>
      </c>
      <c r="N2645">
        <v>0</v>
      </c>
      <c r="O2645">
        <v>5.806828E-3</v>
      </c>
      <c r="P2645">
        <v>0.99039390000000005</v>
      </c>
      <c r="Q2645">
        <v>0.13152910000000001</v>
      </c>
      <c r="R2645">
        <v>-4.2664830000000001E-2</v>
      </c>
      <c r="S2645">
        <v>3.0546880000000001</v>
      </c>
      <c r="T2645">
        <v>-0.12474689999999999</v>
      </c>
      <c r="U2645">
        <v>0.2007446</v>
      </c>
      <c r="V2645">
        <v>4.8441270000000002E-2</v>
      </c>
      <c r="W2645">
        <v>0.14024110000000001</v>
      </c>
      <c r="X2645">
        <v>0.98893169999999997</v>
      </c>
      <c r="Y2645">
        <v>-5.973506E-2</v>
      </c>
      <c r="Z2645">
        <v>9.8112469999999991E-4</v>
      </c>
      <c r="AA2645">
        <v>0.99821380000000004</v>
      </c>
      <c r="AB2645">
        <v>49</v>
      </c>
      <c r="AC2645">
        <v>26.671700000000001</v>
      </c>
      <c r="AD2645">
        <v>-1.109184553305</v>
      </c>
      <c r="AE2645">
        <v>1.78200000000001</v>
      </c>
      <c r="AF2645">
        <v>-1.62428933176469</v>
      </c>
      <c r="AG2645">
        <v>-1.109184553305</v>
      </c>
      <c r="AH2645">
        <v>26.635738182688801</v>
      </c>
      <c r="AI2645">
        <v>92.3801578879511</v>
      </c>
      <c r="AJ2645">
        <v>93.489665564573599</v>
      </c>
      <c r="AK2645">
        <v>26.708260047096299</v>
      </c>
      <c r="AL2645">
        <v>81.9382022213629</v>
      </c>
      <c r="AM2645">
        <v>87.195697430031004</v>
      </c>
      <c r="AN2645">
        <v>1.0000000150166499</v>
      </c>
    </row>
    <row r="2646" spans="1:40" x14ac:dyDescent="0.25">
      <c r="A2646" t="str">
        <f>"20190312164317504"</f>
        <v>20190312164317504</v>
      </c>
      <c r="B2646" t="str">
        <f>"1552380197497421"</f>
        <v>1552380197497421</v>
      </c>
      <c r="C2646" t="s">
        <v>40</v>
      </c>
      <c r="D2646">
        <v>4.5806110000000002</v>
      </c>
      <c r="E2646">
        <v>0.46169159999999998</v>
      </c>
      <c r="F2646" t="s">
        <v>46</v>
      </c>
      <c r="G2646">
        <v>-327.5274</v>
      </c>
      <c r="H2646" s="1">
        <v>2.4689429999999999E-6</v>
      </c>
      <c r="I2646">
        <v>215.3056</v>
      </c>
      <c r="J2646">
        <v>-353.64870000000002</v>
      </c>
      <c r="K2646">
        <v>1.1092070000000001</v>
      </c>
      <c r="L2646">
        <v>213.55420000000001</v>
      </c>
      <c r="M2646">
        <v>0.9999422</v>
      </c>
      <c r="N2646">
        <v>0</v>
      </c>
      <c r="O2646">
        <v>5.7417259999999999E-3</v>
      </c>
      <c r="P2646">
        <v>0.99049509999999996</v>
      </c>
      <c r="Q2646">
        <v>0.1309111</v>
      </c>
      <c r="R2646">
        <v>-4.2214799999999997E-2</v>
      </c>
      <c r="S2646">
        <v>3.0546259999999998</v>
      </c>
      <c r="T2646">
        <v>-0.12723080000000001</v>
      </c>
      <c r="U2646">
        <v>0.20123289999999999</v>
      </c>
      <c r="V2646">
        <v>4.7929039999999999E-2</v>
      </c>
      <c r="W2646">
        <v>0.1399106</v>
      </c>
      <c r="X2646">
        <v>0.98900350000000004</v>
      </c>
      <c r="Y2646">
        <v>-5.9958169999999998E-2</v>
      </c>
      <c r="Z2646">
        <v>1.0080039999999901E-3</v>
      </c>
      <c r="AA2646">
        <v>0.99820039999999999</v>
      </c>
      <c r="AB2646">
        <v>49</v>
      </c>
      <c r="AC2646">
        <v>26.121300000000002</v>
      </c>
      <c r="AD2646">
        <v>-1.109204531057</v>
      </c>
      <c r="AE2646">
        <v>1.7513999999999801</v>
      </c>
      <c r="AF2646">
        <v>-1.5985141105191301</v>
      </c>
      <c r="AG2646">
        <v>-1.109204531057</v>
      </c>
      <c r="AH2646">
        <v>26.084102605965999</v>
      </c>
      <c r="AI2646">
        <v>92.430433694689995</v>
      </c>
      <c r="AJ2646">
        <v>93.506875988593805</v>
      </c>
      <c r="AK2646">
        <v>26.156566877398301</v>
      </c>
      <c r="AL2646">
        <v>81.957327282441</v>
      </c>
      <c r="AM2646">
        <v>87.225505356294093</v>
      </c>
      <c r="AN2646">
        <v>1.0000000459399601</v>
      </c>
    </row>
    <row r="2647" spans="1:40" x14ac:dyDescent="0.25">
      <c r="A2647" t="str">
        <f>"20190312164317527"</f>
        <v>20190312164317527</v>
      </c>
      <c r="B2647" t="str">
        <f>"1552380197516940"</f>
        <v>1552380197516940</v>
      </c>
      <c r="C2647" t="s">
        <v>40</v>
      </c>
      <c r="D2647">
        <v>4.6512779999999996</v>
      </c>
      <c r="E2647">
        <v>0.46171230000000002</v>
      </c>
      <c r="F2647" t="s">
        <v>46</v>
      </c>
      <c r="G2647">
        <v>-327.62700000000001</v>
      </c>
      <c r="H2647" s="1">
        <v>2.521893E-6</v>
      </c>
      <c r="I2647">
        <v>215.26900000000001</v>
      </c>
      <c r="J2647">
        <v>-353.15899999999999</v>
      </c>
      <c r="K2647">
        <v>1.109221</v>
      </c>
      <c r="L2647">
        <v>213.55699999999999</v>
      </c>
      <c r="M2647">
        <v>0.99994019999999995</v>
      </c>
      <c r="N2647">
        <v>0</v>
      </c>
      <c r="O2647">
        <v>5.6785739999999996E-3</v>
      </c>
      <c r="P2647">
        <v>0.99056169999999999</v>
      </c>
      <c r="Q2647">
        <v>0.13052910000000001</v>
      </c>
      <c r="R2647">
        <v>-4.1832000000000001E-2</v>
      </c>
      <c r="S2647">
        <v>3.0545650000000002</v>
      </c>
      <c r="T2647">
        <v>-0.13020399999999999</v>
      </c>
      <c r="U2647">
        <v>0.2012939</v>
      </c>
      <c r="V2647">
        <v>4.7485590000000001E-2</v>
      </c>
      <c r="W2647">
        <v>0.13978599999999999</v>
      </c>
      <c r="X2647">
        <v>0.98904250000000005</v>
      </c>
      <c r="Y2647">
        <v>-6.0040000000000003E-2</v>
      </c>
      <c r="Z2647">
        <v>1.0359869999999999E-3</v>
      </c>
      <c r="AA2647">
        <v>0.99819539999999995</v>
      </c>
      <c r="AB2647">
        <v>49</v>
      </c>
      <c r="AC2647">
        <v>25.531999999999901</v>
      </c>
      <c r="AD2647">
        <v>-1.109218478107</v>
      </c>
      <c r="AE2647">
        <v>1.71199999999998</v>
      </c>
      <c r="AF2647">
        <v>-1.56404194697499</v>
      </c>
      <c r="AG2647">
        <v>-1.109218478107</v>
      </c>
      <c r="AH2647">
        <v>25.493409493286801</v>
      </c>
      <c r="AI2647">
        <v>92.486698931904499</v>
      </c>
      <c r="AJ2647">
        <v>93.510743574494697</v>
      </c>
      <c r="AK2647">
        <v>25.565416492529099</v>
      </c>
      <c r="AL2647">
        <v>81.964537115532494</v>
      </c>
      <c r="AM2647">
        <v>87.251244260483901</v>
      </c>
      <c r="AN2647">
        <v>1.00000003692994</v>
      </c>
    </row>
    <row r="2648" spans="1:40" x14ac:dyDescent="0.25">
      <c r="A2648" t="str">
        <f>"20190312164317551"</f>
        <v>20190312164317551</v>
      </c>
      <c r="B2648" t="str">
        <f>"1552380197547197"</f>
        <v>1552380197547197</v>
      </c>
      <c r="C2648" t="s">
        <v>40</v>
      </c>
      <c r="D2648">
        <v>4.6931580000000004</v>
      </c>
      <c r="E2648">
        <v>0.4618777</v>
      </c>
      <c r="F2648" t="s">
        <v>46</v>
      </c>
      <c r="G2648">
        <v>-327.72340000000003</v>
      </c>
      <c r="H2648" s="1">
        <v>2.573208E-6</v>
      </c>
      <c r="I2648">
        <v>215.2448</v>
      </c>
      <c r="J2648">
        <v>-352.65010000000001</v>
      </c>
      <c r="K2648">
        <v>1.109224</v>
      </c>
      <c r="L2648">
        <v>213.5598</v>
      </c>
      <c r="M2648">
        <v>0.99993799999999999</v>
      </c>
      <c r="N2648">
        <v>0</v>
      </c>
      <c r="O2648">
        <v>5.6122430000000003E-3</v>
      </c>
      <c r="P2648">
        <v>0.99058939999999995</v>
      </c>
      <c r="Q2648">
        <v>0.13035739999999901</v>
      </c>
      <c r="R2648">
        <v>-4.1709360000000001E-2</v>
      </c>
      <c r="S2648">
        <v>3.0547179999999998</v>
      </c>
      <c r="T2648">
        <v>-0.13321279999999999</v>
      </c>
      <c r="U2648">
        <v>0.20269780000000001</v>
      </c>
      <c r="V2648">
        <v>4.7298710000000001E-2</v>
      </c>
      <c r="W2648">
        <v>0.13986860000000001</v>
      </c>
      <c r="X2648">
        <v>0.98903969999999997</v>
      </c>
      <c r="Y2648">
        <v>-6.0556829999999999E-2</v>
      </c>
      <c r="Z2648">
        <v>1.073975E-3</v>
      </c>
      <c r="AA2648">
        <v>0.99816419999999995</v>
      </c>
      <c r="AB2648">
        <v>49</v>
      </c>
      <c r="AC2648">
        <v>24.926699999999901</v>
      </c>
      <c r="AD2648">
        <v>-1.109221426792</v>
      </c>
      <c r="AE2648">
        <v>1.6850000000000001</v>
      </c>
      <c r="AF2648">
        <v>-1.5420326643183699</v>
      </c>
      <c r="AG2648">
        <v>-1.109221426792</v>
      </c>
      <c r="AH2648">
        <v>24.8867082113129</v>
      </c>
      <c r="AI2648">
        <v>92.547153340919195</v>
      </c>
      <c r="AJ2648">
        <v>93.545633781488107</v>
      </c>
      <c r="AK2648">
        <v>24.9590961876929</v>
      </c>
      <c r="AL2648">
        <v>81.959756912296498</v>
      </c>
      <c r="AM2648">
        <v>87.262037782540304</v>
      </c>
      <c r="AN2648">
        <v>0.99999996070485597</v>
      </c>
    </row>
    <row r="2649" spans="1:40" x14ac:dyDescent="0.25">
      <c r="A2649" t="str">
        <f>"20190312164317571"</f>
        <v>20190312164317571</v>
      </c>
      <c r="B2649" t="str">
        <f>"1552380197566716"</f>
        <v>1552380197566716</v>
      </c>
      <c r="C2649" t="s">
        <v>40</v>
      </c>
      <c r="D2649">
        <v>4.4849389999999998</v>
      </c>
      <c r="E2649">
        <v>0.46193489999999998</v>
      </c>
      <c r="F2649" t="s">
        <v>46</v>
      </c>
      <c r="G2649">
        <v>-327.46199999999999</v>
      </c>
      <c r="H2649" s="1">
        <v>2.4341039999999998E-6</v>
      </c>
      <c r="I2649">
        <v>215.22450000000001</v>
      </c>
      <c r="J2649">
        <v>-352.18810000000002</v>
      </c>
      <c r="K2649">
        <v>1.109237</v>
      </c>
      <c r="L2649">
        <v>213.5624</v>
      </c>
      <c r="M2649">
        <v>0.99993620000000005</v>
      </c>
      <c r="N2649">
        <v>0</v>
      </c>
      <c r="O2649">
        <v>5.5513209999999997E-3</v>
      </c>
      <c r="P2649">
        <v>0.99065879999999995</v>
      </c>
      <c r="Q2649">
        <v>0.12980990000000001</v>
      </c>
      <c r="R2649">
        <v>-4.1773360000000002E-2</v>
      </c>
      <c r="S2649">
        <v>3.0547490000000002</v>
      </c>
      <c r="T2649">
        <v>-0.13452339999999999</v>
      </c>
      <c r="U2649">
        <v>0.20188900000000001</v>
      </c>
      <c r="V2649">
        <v>4.7303749999999999E-2</v>
      </c>
      <c r="W2649">
        <v>0.13955129999999999</v>
      </c>
      <c r="X2649">
        <v>0.98908430000000003</v>
      </c>
      <c r="Y2649">
        <v>-6.0352980000000001E-2</v>
      </c>
      <c r="Z2649">
        <v>1.082726E-3</v>
      </c>
      <c r="AA2649">
        <v>0.99817650000000002</v>
      </c>
      <c r="AB2649">
        <v>49</v>
      </c>
      <c r="AC2649">
        <v>24.726099999999999</v>
      </c>
      <c r="AD2649">
        <v>-1.1092345658959999</v>
      </c>
      <c r="AE2649">
        <v>1.6620999999999999</v>
      </c>
      <c r="AF2649">
        <v>-1.5217564696147801</v>
      </c>
      <c r="AG2649">
        <v>-1.1092345658959999</v>
      </c>
      <c r="AH2649">
        <v>24.6854902249163</v>
      </c>
      <c r="AI2649">
        <v>92.567968504568995</v>
      </c>
      <c r="AJ2649">
        <v>93.527579426722298</v>
      </c>
      <c r="AK2649">
        <v>24.757212519171699</v>
      </c>
      <c r="AL2649">
        <v>81.978117096663198</v>
      </c>
      <c r="AM2649">
        <v>87.261869764013497</v>
      </c>
      <c r="AN2649">
        <v>0.999999981301121</v>
      </c>
    </row>
    <row r="2650" spans="1:40" x14ac:dyDescent="0.25">
      <c r="A2650" t="str">
        <f>"20190312164317616"</f>
        <v>20190312164317616</v>
      </c>
      <c r="B2650" t="str">
        <f>"1552380197606736"</f>
        <v>1552380197606736</v>
      </c>
      <c r="C2650" t="s">
        <v>40</v>
      </c>
      <c r="D2650">
        <v>4.7832619999999997</v>
      </c>
      <c r="E2650">
        <v>0.46177800000000002</v>
      </c>
      <c r="F2650" t="s">
        <v>46</v>
      </c>
      <c r="G2650">
        <v>-327.2878</v>
      </c>
      <c r="H2650" s="1">
        <v>2.3414129999999999E-6</v>
      </c>
      <c r="I2650">
        <v>215.20480000000001</v>
      </c>
      <c r="J2650">
        <v>-351.2174</v>
      </c>
      <c r="K2650">
        <v>1.109273</v>
      </c>
      <c r="L2650">
        <v>213.5676</v>
      </c>
      <c r="M2650">
        <v>0.99993180000000004</v>
      </c>
      <c r="N2650">
        <v>0</v>
      </c>
      <c r="O2650">
        <v>5.4218239999999996E-3</v>
      </c>
      <c r="P2650">
        <v>0.99074470000000003</v>
      </c>
      <c r="Q2650">
        <v>0.12915560000000001</v>
      </c>
      <c r="R2650">
        <v>-4.1761699999999999E-2</v>
      </c>
      <c r="S2650">
        <v>3.0546570000000002</v>
      </c>
      <c r="T2650">
        <v>-0.13607569999999999</v>
      </c>
      <c r="U2650">
        <v>0.20149230000000001</v>
      </c>
      <c r="V2650">
        <v>4.7166409999999999E-2</v>
      </c>
      <c r="W2650">
        <v>0.13940159999999999</v>
      </c>
      <c r="X2650">
        <v>0.98911199999999999</v>
      </c>
      <c r="Y2650">
        <v>-6.0353749999999998E-2</v>
      </c>
      <c r="Z2650">
        <v>1.1010200000000001E-3</v>
      </c>
      <c r="AA2650">
        <v>0.99817650000000002</v>
      </c>
      <c r="AB2650">
        <v>49</v>
      </c>
      <c r="AC2650">
        <v>23.929599999999901</v>
      </c>
      <c r="AD2650">
        <v>-1.109270658587</v>
      </c>
      <c r="AE2650">
        <v>1.6372</v>
      </c>
      <c r="AF2650">
        <v>-1.50420966537538</v>
      </c>
      <c r="AG2650">
        <v>-1.109270658587</v>
      </c>
      <c r="AH2650">
        <v>23.887035048447601</v>
      </c>
      <c r="AI2650">
        <v>92.653553596301094</v>
      </c>
      <c r="AJ2650">
        <v>93.603260718763906</v>
      </c>
      <c r="AK2650">
        <v>23.960041141808901</v>
      </c>
      <c r="AL2650">
        <v>81.986779192271399</v>
      </c>
      <c r="AM2650">
        <v>87.269883849740296</v>
      </c>
      <c r="AN2650">
        <v>1.0000000124294199</v>
      </c>
    </row>
    <row r="2651" spans="1:40" x14ac:dyDescent="0.25">
      <c r="A2651" t="str">
        <f>"20190312164317637"</f>
        <v>20190312164317637</v>
      </c>
      <c r="B2651" t="str">
        <f>"1552380197627232"</f>
        <v>1552380197627232</v>
      </c>
      <c r="C2651" t="s">
        <v>40</v>
      </c>
      <c r="D2651">
        <v>4.606903</v>
      </c>
      <c r="E2651">
        <v>0.46169929999999898</v>
      </c>
      <c r="F2651" t="s">
        <v>46</v>
      </c>
      <c r="G2651">
        <v>-326.83539999999999</v>
      </c>
      <c r="H2651" s="1">
        <v>2.1006970000000002E-6</v>
      </c>
      <c r="I2651">
        <v>215.18600000000001</v>
      </c>
      <c r="J2651">
        <v>-350.74189999999999</v>
      </c>
      <c r="K2651">
        <v>1.109286</v>
      </c>
      <c r="L2651">
        <v>213.5702</v>
      </c>
      <c r="M2651">
        <v>0.99992919999999996</v>
      </c>
      <c r="N2651">
        <v>0</v>
      </c>
      <c r="O2651">
        <v>5.3575640000000004E-3</v>
      </c>
      <c r="P2651">
        <v>0.99078730000000004</v>
      </c>
      <c r="Q2651">
        <v>0.1288117</v>
      </c>
      <c r="R2651">
        <v>-4.181203E-2</v>
      </c>
      <c r="S2651">
        <v>3.0546570000000002</v>
      </c>
      <c r="T2651">
        <v>-0.1389735</v>
      </c>
      <c r="U2651">
        <v>0.20275879999999999</v>
      </c>
      <c r="V2651">
        <v>4.7154389999999997E-2</v>
      </c>
      <c r="W2651">
        <v>0.13931379999999999</v>
      </c>
      <c r="X2651">
        <v>0.98912500000000003</v>
      </c>
      <c r="Y2651">
        <v>-6.0827020000000002E-2</v>
      </c>
      <c r="Z2651">
        <v>1.1380940000000001E-3</v>
      </c>
      <c r="AA2651">
        <v>0.99814769999999997</v>
      </c>
      <c r="AB2651">
        <v>49</v>
      </c>
      <c r="AC2651">
        <v>23.906499999999902</v>
      </c>
      <c r="AD2651">
        <v>-1.1092838993029901</v>
      </c>
      <c r="AE2651">
        <v>1.6157999999999699</v>
      </c>
      <c r="AF2651">
        <v>-1.48450729483476</v>
      </c>
      <c r="AG2651">
        <v>-1.1092838993029901</v>
      </c>
      <c r="AH2651">
        <v>23.863668154578299</v>
      </c>
      <c r="AI2651">
        <v>92.656306185162606</v>
      </c>
      <c r="AJ2651">
        <v>93.559659777946706</v>
      </c>
      <c r="AK2651">
        <v>23.935516089474699</v>
      </c>
      <c r="AL2651">
        <v>81.991859785053506</v>
      </c>
      <c r="AM2651">
        <v>87.270614365133596</v>
      </c>
      <c r="AN2651">
        <v>1.0000000684958501</v>
      </c>
    </row>
    <row r="2652" spans="1:40" x14ac:dyDescent="0.25">
      <c r="A2652" t="str">
        <f>"20190312164317660"</f>
        <v>20190312164317660</v>
      </c>
      <c r="B2652" t="str">
        <f>"1552380197657484"</f>
        <v>1552380197657484</v>
      </c>
      <c r="C2652" t="s">
        <v>40</v>
      </c>
      <c r="D2652">
        <v>4.7093889999999998</v>
      </c>
      <c r="E2652">
        <v>0.46164909999999998</v>
      </c>
      <c r="F2652" t="s">
        <v>46</v>
      </c>
      <c r="G2652">
        <v>-326.77949999999998</v>
      </c>
      <c r="H2652" s="1">
        <v>2.0709139999999999E-6</v>
      </c>
      <c r="I2652">
        <v>215.16470000000001</v>
      </c>
      <c r="J2652">
        <v>-350.25560000000002</v>
      </c>
      <c r="K2652">
        <v>1.109313</v>
      </c>
      <c r="L2652">
        <v>213.5727</v>
      </c>
      <c r="M2652">
        <v>0.99992669999999995</v>
      </c>
      <c r="N2652">
        <v>0</v>
      </c>
      <c r="O2652">
        <v>5.2932109999999999E-3</v>
      </c>
      <c r="P2652">
        <v>0.99081839999999999</v>
      </c>
      <c r="Q2652">
        <v>0.12847500000000001</v>
      </c>
      <c r="R2652">
        <v>-4.2110080000000001E-2</v>
      </c>
      <c r="S2652">
        <v>3.0548709999999999</v>
      </c>
      <c r="T2652">
        <v>-0.14141799999999999</v>
      </c>
      <c r="U2652">
        <v>0.2032776</v>
      </c>
      <c r="V2652">
        <v>4.738995E-2</v>
      </c>
      <c r="W2652">
        <v>0.1392533</v>
      </c>
      <c r="X2652">
        <v>0.98912219999999995</v>
      </c>
      <c r="Y2652">
        <v>-6.1053070000000001E-2</v>
      </c>
      <c r="Z2652">
        <v>1.166201E-3</v>
      </c>
      <c r="AA2652">
        <v>0.99813379999999996</v>
      </c>
      <c r="AB2652">
        <v>49</v>
      </c>
      <c r="AC2652">
        <v>23.476099999999999</v>
      </c>
      <c r="AD2652">
        <v>-1.1093109290859999</v>
      </c>
      <c r="AE2652">
        <v>1.5920000000000101</v>
      </c>
      <c r="AF2652">
        <v>-1.4644514804116799</v>
      </c>
      <c r="AG2652">
        <v>-1.1093109290859999</v>
      </c>
      <c r="AH2652">
        <v>23.432118055399801</v>
      </c>
      <c r="AI2652">
        <v>92.705172652845505</v>
      </c>
      <c r="AJ2652">
        <v>93.576198225934505</v>
      </c>
      <c r="AK2652">
        <v>23.5040282810854</v>
      </c>
      <c r="AL2652">
        <v>81.995359810988802</v>
      </c>
      <c r="AM2652">
        <v>87.256992724204395</v>
      </c>
      <c r="AN2652">
        <v>1.0000000077273601</v>
      </c>
    </row>
    <row r="2653" spans="1:40" x14ac:dyDescent="0.25">
      <c r="A2653" t="str">
        <f>"20190312164317682"</f>
        <v>20190312164317682</v>
      </c>
      <c r="B2653" t="str">
        <f>"1552380197677005"</f>
        <v>1552380197677005</v>
      </c>
      <c r="C2653" t="s">
        <v>40</v>
      </c>
      <c r="D2653">
        <v>4.8357720000000004</v>
      </c>
      <c r="E2653">
        <v>0.46165279999999997</v>
      </c>
      <c r="F2653" t="s">
        <v>46</v>
      </c>
      <c r="G2653">
        <v>-326.67959999999999</v>
      </c>
      <c r="H2653" s="1">
        <v>2.0177390000000002E-6</v>
      </c>
      <c r="I2653">
        <v>215.13730000000001</v>
      </c>
      <c r="J2653">
        <v>-349.76220000000001</v>
      </c>
      <c r="K2653">
        <v>1.1093440000000001</v>
      </c>
      <c r="L2653">
        <v>213.5753</v>
      </c>
      <c r="M2653">
        <v>0.99992349999999997</v>
      </c>
      <c r="N2653">
        <v>0</v>
      </c>
      <c r="O2653">
        <v>5.2414879999999999E-3</v>
      </c>
      <c r="P2653">
        <v>0.99081770000000002</v>
      </c>
      <c r="Q2653">
        <v>0.1285076</v>
      </c>
      <c r="R2653">
        <v>-4.2025399999999997E-2</v>
      </c>
      <c r="S2653">
        <v>3.0550540000000002</v>
      </c>
      <c r="T2653">
        <v>-0.14374790000000001</v>
      </c>
      <c r="U2653">
        <v>0.20274349999999999</v>
      </c>
      <c r="V2653">
        <v>4.7256319999999997E-2</v>
      </c>
      <c r="W2653">
        <v>0.13959009999999999</v>
      </c>
      <c r="X2653">
        <v>0.98908110000000005</v>
      </c>
      <c r="Y2653">
        <v>-6.0925130000000001E-2</v>
      </c>
      <c r="Z2653">
        <v>1.1847540000000001E-3</v>
      </c>
      <c r="AA2653">
        <v>0.99814159999999996</v>
      </c>
      <c r="AB2653">
        <v>49</v>
      </c>
      <c r="AC2653">
        <v>23.082599999999999</v>
      </c>
      <c r="AD2653">
        <v>-1.109341982261</v>
      </c>
      <c r="AE2653">
        <v>1.56200000000001</v>
      </c>
      <c r="AF2653">
        <v>-1.4376782620900099</v>
      </c>
      <c r="AG2653">
        <v>-1.109341982261</v>
      </c>
      <c r="AH2653">
        <v>23.0375027125231</v>
      </c>
      <c r="AI2653">
        <v>92.751532208858407</v>
      </c>
      <c r="AJ2653">
        <v>93.570969169291601</v>
      </c>
      <c r="AK2653">
        <v>23.1089612412242</v>
      </c>
      <c r="AL2653">
        <v>81.975872108955002</v>
      </c>
      <c r="AM2653">
        <v>87.264602193781599</v>
      </c>
      <c r="AN2653">
        <v>0.99999998908758103</v>
      </c>
    </row>
    <row r="2654" spans="1:40" x14ac:dyDescent="0.25">
      <c r="A2654" t="str">
        <f>"20190312164317705"</f>
        <v>20190312164317705</v>
      </c>
      <c r="B2654" t="str">
        <f>"1552380197697502"</f>
        <v>1552380197697502</v>
      </c>
      <c r="C2654" t="s">
        <v>40</v>
      </c>
      <c r="D2654">
        <v>4.7841329999999997</v>
      </c>
      <c r="E2654">
        <v>0.4615129</v>
      </c>
      <c r="F2654" t="s">
        <v>46</v>
      </c>
      <c r="G2654">
        <v>-326.24200000000002</v>
      </c>
      <c r="H2654" s="1">
        <v>1.784891E-6</v>
      </c>
      <c r="I2654">
        <v>215.13890000000001</v>
      </c>
      <c r="J2654">
        <v>-349.26679999999999</v>
      </c>
      <c r="K2654">
        <v>1.1093869999999999</v>
      </c>
      <c r="L2654">
        <v>213.5778</v>
      </c>
      <c r="M2654">
        <v>0.99992020000000004</v>
      </c>
      <c r="N2654">
        <v>0</v>
      </c>
      <c r="O2654">
        <v>5.1854409999999998E-3</v>
      </c>
      <c r="P2654">
        <v>0.99086189999999996</v>
      </c>
      <c r="Q2654">
        <v>0.127941</v>
      </c>
      <c r="R2654">
        <v>-4.2708940000000001E-2</v>
      </c>
      <c r="S2654">
        <v>3.0551149999999998</v>
      </c>
      <c r="T2654">
        <v>-0.1440961</v>
      </c>
      <c r="U2654">
        <v>0.2031097</v>
      </c>
      <c r="V2654">
        <v>4.7884070000000001E-2</v>
      </c>
      <c r="W2654">
        <v>0.1393431</v>
      </c>
      <c r="X2654">
        <v>0.98908569999999996</v>
      </c>
      <c r="Y2654">
        <v>-6.1098319999999998E-2</v>
      </c>
      <c r="Z2654">
        <v>1.194308E-3</v>
      </c>
      <c r="AA2654">
        <v>0.99813099999999999</v>
      </c>
      <c r="AB2654">
        <v>49</v>
      </c>
      <c r="AC2654">
        <v>23.0247999999999</v>
      </c>
      <c r="AD2654">
        <v>-1.109385215109</v>
      </c>
      <c r="AE2654">
        <v>1.5611000000000099</v>
      </c>
      <c r="AF2654">
        <v>-1.43835345318557</v>
      </c>
      <c r="AG2654">
        <v>-1.109385215109</v>
      </c>
      <c r="AH2654">
        <v>22.979482644071101</v>
      </c>
      <c r="AI2654">
        <v>92.758544016011498</v>
      </c>
      <c r="AJ2654">
        <v>93.581638879732395</v>
      </c>
      <c r="AK2654">
        <v>23.051165237379202</v>
      </c>
      <c r="AL2654">
        <v>81.990163550534604</v>
      </c>
      <c r="AM2654">
        <v>87.228334502343202</v>
      </c>
      <c r="AN2654">
        <v>0.99999995281093101</v>
      </c>
    </row>
    <row r="2655" spans="1:40" x14ac:dyDescent="0.25">
      <c r="A2655" t="str">
        <f>"20190312164317727"</f>
        <v>20190312164317727</v>
      </c>
      <c r="B2655" t="str">
        <f>"1552380197717021"</f>
        <v>1552380197717021</v>
      </c>
      <c r="C2655" t="s">
        <v>40</v>
      </c>
      <c r="D2655">
        <v>4.6122649999999998</v>
      </c>
      <c r="E2655">
        <v>0.44403110000000001</v>
      </c>
      <c r="F2655" t="s">
        <v>46</v>
      </c>
      <c r="G2655">
        <v>-326.03410000000002</v>
      </c>
      <c r="H2655" s="1">
        <v>1.6742429999999999E-6</v>
      </c>
      <c r="I2655">
        <v>215.1174</v>
      </c>
      <c r="J2655">
        <v>-348.77640000000002</v>
      </c>
      <c r="K2655">
        <v>1.109426</v>
      </c>
      <c r="L2655">
        <v>213.58019999999999</v>
      </c>
      <c r="M2655">
        <v>0.99991680000000005</v>
      </c>
      <c r="N2655">
        <v>0</v>
      </c>
      <c r="O2655">
        <v>5.1217679999999996E-3</v>
      </c>
      <c r="P2655">
        <v>0.99096079999999998</v>
      </c>
      <c r="Q2655">
        <v>0.1271775</v>
      </c>
      <c r="R2655">
        <v>-4.269423E-2</v>
      </c>
      <c r="S2655">
        <v>3.055237</v>
      </c>
      <c r="T2655">
        <v>-0.14589079999999999</v>
      </c>
      <c r="U2655">
        <v>0.20246890000000001</v>
      </c>
      <c r="V2655">
        <v>4.7804659999999999E-2</v>
      </c>
      <c r="W2655">
        <v>0.13889119999999999</v>
      </c>
      <c r="X2655">
        <v>0.98915310000000001</v>
      </c>
      <c r="Y2655">
        <v>-6.094931E-2</v>
      </c>
      <c r="Z2655">
        <v>1.208609E-3</v>
      </c>
      <c r="AA2655">
        <v>0.99814020000000003</v>
      </c>
      <c r="AB2655">
        <v>49</v>
      </c>
      <c r="AC2655">
        <v>22.7423</v>
      </c>
      <c r="AD2655">
        <v>-1.109424325757</v>
      </c>
      <c r="AE2655">
        <v>1.5372000000000099</v>
      </c>
      <c r="AF2655">
        <v>-1.4173333636805201</v>
      </c>
      <c r="AG2655">
        <v>-1.109424325757</v>
      </c>
      <c r="AH2655">
        <v>22.696110550937899</v>
      </c>
      <c r="AI2655">
        <v>92.793055023599095</v>
      </c>
      <c r="AJ2655">
        <v>93.573383305345303</v>
      </c>
      <c r="AK2655">
        <v>22.767368981478199</v>
      </c>
      <c r="AL2655">
        <v>82.016309764662594</v>
      </c>
      <c r="AM2655">
        <v>87.233112081266896</v>
      </c>
      <c r="AN2655">
        <v>0.99999995309738099</v>
      </c>
    </row>
    <row r="2656" spans="1:40" x14ac:dyDescent="0.25">
      <c r="A2656" t="str">
        <f>"20190312164317751"</f>
        <v>20190312164317751</v>
      </c>
      <c r="B2656" t="str">
        <f>"1552380197747277"</f>
        <v>1552380197747277</v>
      </c>
      <c r="C2656" t="s">
        <v>40</v>
      </c>
      <c r="D2656">
        <v>4.6250330000000002</v>
      </c>
      <c r="E2656">
        <v>0.44338329999999998</v>
      </c>
      <c r="F2656" t="s">
        <v>46</v>
      </c>
      <c r="G2656">
        <v>-323.34649999999999</v>
      </c>
      <c r="H2656" s="1">
        <v>2.4402780000000001E-7</v>
      </c>
      <c r="I2656">
        <v>216.41460000000001</v>
      </c>
      <c r="J2656">
        <v>-348.28</v>
      </c>
      <c r="K2656">
        <v>1.10947</v>
      </c>
      <c r="L2656">
        <v>213.58269999999999</v>
      </c>
      <c r="M2656">
        <v>0.9999133</v>
      </c>
      <c r="N2656">
        <v>0</v>
      </c>
      <c r="O2656">
        <v>5.051135E-3</v>
      </c>
      <c r="P2656">
        <v>0.99105880000000002</v>
      </c>
      <c r="Q2656">
        <v>0.12651469999999901</v>
      </c>
      <c r="R2656">
        <v>-4.2385939999999997E-2</v>
      </c>
      <c r="S2656">
        <v>3.0592039999999998</v>
      </c>
      <c r="T2656">
        <v>-0.13346329999999901</v>
      </c>
      <c r="U2656">
        <v>0.34097290000000002</v>
      </c>
      <c r="V2656">
        <v>4.7425229999999999E-2</v>
      </c>
      <c r="W2656">
        <v>0.13854129999999901</v>
      </c>
      <c r="X2656">
        <v>0.98922049999999995</v>
      </c>
      <c r="Y2656">
        <v>-0.10565579999999999</v>
      </c>
      <c r="Z2656">
        <v>2.0769339999999999E-3</v>
      </c>
      <c r="AA2656">
        <v>0.99440059999999997</v>
      </c>
      <c r="AB2656">
        <v>49</v>
      </c>
      <c r="AC2656">
        <v>24.933499999999899</v>
      </c>
      <c r="AD2656">
        <v>-1.1094697559722</v>
      </c>
      <c r="AE2656">
        <v>2.8319000000000099</v>
      </c>
      <c r="AF2656">
        <v>-2.7006329371460902</v>
      </c>
      <c r="AG2656">
        <v>-1.1094697559722</v>
      </c>
      <c r="AH2656">
        <v>24.898815536150099</v>
      </c>
      <c r="AI2656">
        <v>92.536505701981199</v>
      </c>
      <c r="AJ2656">
        <v>96.190347626295804</v>
      </c>
      <c r="AK2656">
        <v>25.069410772968801</v>
      </c>
      <c r="AL2656">
        <v>82.036553813513194</v>
      </c>
      <c r="AM2656">
        <v>87.255226144073603</v>
      </c>
      <c r="AN2656">
        <v>1.00000002093324</v>
      </c>
    </row>
    <row r="2657" spans="1:40" x14ac:dyDescent="0.25">
      <c r="A2657" t="str">
        <f>"20190312164317774"</f>
        <v>20190312164317774</v>
      </c>
      <c r="B2657" t="str">
        <f>"1552380197766797"</f>
        <v>1552380197766797</v>
      </c>
      <c r="C2657" t="s">
        <v>40</v>
      </c>
      <c r="D2657">
        <v>4.6196250000000001</v>
      </c>
      <c r="E2657">
        <v>0.44286049999999899</v>
      </c>
      <c r="F2657" t="s">
        <v>46</v>
      </c>
      <c r="G2657">
        <v>-325.7919</v>
      </c>
      <c r="H2657" s="1">
        <v>1.5453770000000001E-6</v>
      </c>
      <c r="I2657">
        <v>216.14060000000001</v>
      </c>
      <c r="J2657">
        <v>-347.76249999999999</v>
      </c>
      <c r="K2657">
        <v>1.109505</v>
      </c>
      <c r="L2657">
        <v>213.58529999999999</v>
      </c>
      <c r="M2657">
        <v>0.99990979999999996</v>
      </c>
      <c r="N2657">
        <v>0</v>
      </c>
      <c r="O2657">
        <v>4.9756669999999996E-3</v>
      </c>
      <c r="P2657">
        <v>0.99104619999999999</v>
      </c>
      <c r="Q2657">
        <v>0.1266196</v>
      </c>
      <c r="R2657">
        <v>-4.2366929999999997E-2</v>
      </c>
      <c r="S2657">
        <v>3.0612789999999999</v>
      </c>
      <c r="T2657">
        <v>-0.1510309</v>
      </c>
      <c r="U2657">
        <v>0.348205599999999</v>
      </c>
      <c r="V2657">
        <v>4.7330289999999997E-2</v>
      </c>
      <c r="W2657">
        <v>0.13896439999999999</v>
      </c>
      <c r="X2657">
        <v>0.98916570000000004</v>
      </c>
      <c r="Y2657">
        <v>-0.10794719999999999</v>
      </c>
      <c r="Z2657">
        <v>2.408135E-3</v>
      </c>
      <c r="AA2657">
        <v>0.99415370000000003</v>
      </c>
      <c r="AB2657">
        <v>49</v>
      </c>
      <c r="AC2657">
        <v>21.970599999999902</v>
      </c>
      <c r="AD2657">
        <v>-1.109503454623</v>
      </c>
      <c r="AE2657">
        <v>2.5553000000000101</v>
      </c>
      <c r="AF2657">
        <v>-2.4398025340093898</v>
      </c>
      <c r="AG2657">
        <v>-1.109503454623</v>
      </c>
      <c r="AH2657">
        <v>21.927869283143998</v>
      </c>
      <c r="AI2657">
        <v>92.878839270997702</v>
      </c>
      <c r="AJ2657">
        <v>96.348896502377002</v>
      </c>
      <c r="AK2657">
        <v>22.091063478688199</v>
      </c>
      <c r="AL2657">
        <v>82.0120751928267</v>
      </c>
      <c r="AM2657">
        <v>87.260560970392106</v>
      </c>
      <c r="AN2657">
        <v>1.0000000214376601</v>
      </c>
    </row>
    <row r="2658" spans="1:40" x14ac:dyDescent="0.25">
      <c r="A2658" t="str">
        <f>"20190312164317796"</f>
        <v>20190312164317796</v>
      </c>
      <c r="B2658" t="str">
        <f>"1552380197787293"</f>
        <v>1552380197787293</v>
      </c>
      <c r="C2658" t="s">
        <v>40</v>
      </c>
      <c r="D2658">
        <v>4.615221</v>
      </c>
      <c r="E2658">
        <v>0.44271739999999998</v>
      </c>
      <c r="F2658" t="s">
        <v>46</v>
      </c>
      <c r="G2658">
        <v>-325.6823</v>
      </c>
      <c r="H2658" s="1">
        <v>1.4870159999999999E-6</v>
      </c>
      <c r="I2658">
        <v>216.13229999999999</v>
      </c>
      <c r="J2658">
        <v>-347.29599999999999</v>
      </c>
      <c r="K2658">
        <v>1.1095360000000001</v>
      </c>
      <c r="L2658">
        <v>213.58750000000001</v>
      </c>
      <c r="M2658">
        <v>0.99990679999999998</v>
      </c>
      <c r="N2658">
        <v>0</v>
      </c>
      <c r="O2658">
        <v>4.9115720000000003E-3</v>
      </c>
      <c r="P2658">
        <v>0.99109729999999996</v>
      </c>
      <c r="Q2658">
        <v>0.1261774</v>
      </c>
      <c r="R2658">
        <v>-4.249327E-2</v>
      </c>
      <c r="S2658">
        <v>3.0618289999999999</v>
      </c>
      <c r="T2658">
        <v>-0.15385270000000001</v>
      </c>
      <c r="U2658">
        <v>0.35319519999999999</v>
      </c>
      <c r="V2658">
        <v>4.7392990000000003E-2</v>
      </c>
      <c r="W2658">
        <v>0.1387939</v>
      </c>
      <c r="X2658">
        <v>0.98918660000000003</v>
      </c>
      <c r="Y2658">
        <v>-0.1095831</v>
      </c>
      <c r="Z2658">
        <v>2.4965569999999999E-3</v>
      </c>
      <c r="AA2658">
        <v>0.99397449999999998</v>
      </c>
      <c r="AB2658">
        <v>49</v>
      </c>
      <c r="AC2658">
        <v>21.613699999999898</v>
      </c>
      <c r="AD2658">
        <v>-1.109534512984</v>
      </c>
      <c r="AE2658">
        <v>2.54479999999998</v>
      </c>
      <c r="AF2658">
        <v>-2.4322813905386198</v>
      </c>
      <c r="AG2658">
        <v>-1.109534512984</v>
      </c>
      <c r="AH2658">
        <v>21.5698742370618</v>
      </c>
      <c r="AI2658">
        <v>92.926134641003102</v>
      </c>
      <c r="AJ2658">
        <v>96.433660621776795</v>
      </c>
      <c r="AK2658">
        <v>21.734915095323601</v>
      </c>
      <c r="AL2658">
        <v>82.021939431440003</v>
      </c>
      <c r="AM2658">
        <v>87.256995352236203</v>
      </c>
      <c r="AN2658">
        <v>0.999999985898954</v>
      </c>
    </row>
    <row r="2659" spans="1:40" x14ac:dyDescent="0.25">
      <c r="A2659" t="str">
        <f>"20190312164317817"</f>
        <v>20190312164317817</v>
      </c>
      <c r="B2659" t="str">
        <f>"1552380197806816"</f>
        <v>1552380197806816</v>
      </c>
      <c r="C2659" t="s">
        <v>40</v>
      </c>
      <c r="D2659">
        <v>4.6088940000000003</v>
      </c>
      <c r="E2659">
        <v>0.44277230000000001</v>
      </c>
      <c r="F2659" t="s">
        <v>46</v>
      </c>
      <c r="G2659">
        <v>-325.428</v>
      </c>
      <c r="H2659" s="1">
        <v>1.3517459999999999E-6</v>
      </c>
      <c r="I2659">
        <v>216.1215</v>
      </c>
      <c r="J2659">
        <v>-346.82089999999999</v>
      </c>
      <c r="K2659">
        <v>1.1095660000000001</v>
      </c>
      <c r="L2659">
        <v>213.5898</v>
      </c>
      <c r="M2659">
        <v>0.9999036</v>
      </c>
      <c r="N2659">
        <v>0</v>
      </c>
      <c r="O2659">
        <v>4.8559270000000003E-3</v>
      </c>
      <c r="P2659">
        <v>0.99123740000000005</v>
      </c>
      <c r="Q2659">
        <v>0.1250938</v>
      </c>
      <c r="R2659">
        <v>-4.2427859999999998E-2</v>
      </c>
      <c r="S2659">
        <v>3.0619809999999998</v>
      </c>
      <c r="T2659">
        <v>-0.15535860000000001</v>
      </c>
      <c r="U2659">
        <v>0.35481259999999998</v>
      </c>
      <c r="V2659">
        <v>4.7272160000000001E-2</v>
      </c>
      <c r="W2659">
        <v>0.13796420000000001</v>
      </c>
      <c r="X2659">
        <v>0.98930850000000004</v>
      </c>
      <c r="Y2659">
        <v>-0.1101476</v>
      </c>
      <c r="Z2659">
        <v>2.537835E-3</v>
      </c>
      <c r="AA2659">
        <v>0.99391200000000002</v>
      </c>
      <c r="AB2659">
        <v>49</v>
      </c>
      <c r="AC2659">
        <v>21.392900000000001</v>
      </c>
      <c r="AD2659">
        <v>-1.109564648254</v>
      </c>
      <c r="AE2659">
        <v>2.5316999999999998</v>
      </c>
      <c r="AF2659">
        <v>-2.4213553092443401</v>
      </c>
      <c r="AG2659">
        <v>-1.109564648254</v>
      </c>
      <c r="AH2659">
        <v>21.348306961885701</v>
      </c>
      <c r="AI2659">
        <v>92.956313601837707</v>
      </c>
      <c r="AJ2659">
        <v>96.470915090727999</v>
      </c>
      <c r="AK2659">
        <v>21.5138166158671</v>
      </c>
      <c r="AL2659">
        <v>82.069939989284507</v>
      </c>
      <c r="AM2659">
        <v>87.264314706759393</v>
      </c>
      <c r="AN2659">
        <v>1.00000004288247</v>
      </c>
    </row>
    <row r="2660" spans="1:40" x14ac:dyDescent="0.25">
      <c r="A2660" t="str">
        <f>"20190312164317839"</f>
        <v>20190312164317839</v>
      </c>
      <c r="B2660" t="str">
        <f>"1552380197827309"</f>
        <v>1552380197827309</v>
      </c>
      <c r="C2660" t="s">
        <v>40</v>
      </c>
      <c r="D2660">
        <v>4.5599230000000004</v>
      </c>
      <c r="E2660">
        <v>0.43819819999999998</v>
      </c>
      <c r="F2660" t="s">
        <v>46</v>
      </c>
      <c r="G2660">
        <v>-325.34649999999999</v>
      </c>
      <c r="H2660" s="1">
        <v>1.3083609999999901E-6</v>
      </c>
      <c r="I2660">
        <v>216.07130000000001</v>
      </c>
      <c r="J2660">
        <v>-346.34620000000001</v>
      </c>
      <c r="K2660">
        <v>1.10958</v>
      </c>
      <c r="L2660">
        <v>213.59209999999999</v>
      </c>
      <c r="M2660">
        <v>0.99990089999999998</v>
      </c>
      <c r="N2660">
        <v>0</v>
      </c>
      <c r="O2660">
        <v>4.8131169999999996E-3</v>
      </c>
      <c r="P2660">
        <v>0.99132920000000002</v>
      </c>
      <c r="Q2660">
        <v>0.12433279999999999</v>
      </c>
      <c r="R2660">
        <v>-4.2525279999999999E-2</v>
      </c>
      <c r="S2660">
        <v>3.0616150000000002</v>
      </c>
      <c r="T2660">
        <v>-0.1581911</v>
      </c>
      <c r="U2660">
        <v>0.3537903</v>
      </c>
      <c r="V2660">
        <v>4.7325890000000002E-2</v>
      </c>
      <c r="W2660">
        <v>0.137431</v>
      </c>
      <c r="X2660">
        <v>0.98938009999999998</v>
      </c>
      <c r="Y2660">
        <v>-0.1098715</v>
      </c>
      <c r="Z2660">
        <v>2.5795000000000002E-3</v>
      </c>
      <c r="AA2660">
        <v>0.9939424</v>
      </c>
      <c r="AB2660">
        <v>49</v>
      </c>
      <c r="AC2660">
        <v>20.999700000000001</v>
      </c>
      <c r="AD2660">
        <v>-1.109578691639</v>
      </c>
      <c r="AE2660">
        <v>2.4792000000000201</v>
      </c>
      <c r="AF2660">
        <v>-2.3715584287509701</v>
      </c>
      <c r="AG2660">
        <v>-1.109578691639</v>
      </c>
      <c r="AH2660">
        <v>20.9536952894317</v>
      </c>
      <c r="AI2660">
        <v>93.0120059191444</v>
      </c>
      <c r="AJ2660">
        <v>96.457309834646495</v>
      </c>
      <c r="AK2660">
        <v>21.1166474738835</v>
      </c>
      <c r="AL2660">
        <v>82.100783574045096</v>
      </c>
      <c r="AM2660">
        <v>87.261407932231194</v>
      </c>
      <c r="AN2660">
        <v>1.00000000095065</v>
      </c>
    </row>
    <row r="2661" spans="1:40" x14ac:dyDescent="0.25">
      <c r="A2661" t="str">
        <f>"20190312164317861"</f>
        <v>20190312164317861</v>
      </c>
      <c r="B2661" t="str">
        <f>"1552380197857565"</f>
        <v>1552380197857565</v>
      </c>
      <c r="C2661" t="s">
        <v>40</v>
      </c>
      <c r="D2661">
        <v>4.5911479999999996</v>
      </c>
      <c r="E2661">
        <v>0.43783159999999999</v>
      </c>
      <c r="F2661" t="s">
        <v>46</v>
      </c>
      <c r="G2661">
        <v>-330.8623</v>
      </c>
      <c r="H2661" s="1">
        <v>-1.1198329999999999E-6</v>
      </c>
      <c r="I2661">
        <v>215.5754</v>
      </c>
      <c r="J2661">
        <v>-345.8768</v>
      </c>
      <c r="K2661">
        <v>1.109602</v>
      </c>
      <c r="L2661">
        <v>213.59440000000001</v>
      </c>
      <c r="M2661">
        <v>0.99989830000000002</v>
      </c>
      <c r="N2661">
        <v>0</v>
      </c>
      <c r="O2661">
        <v>4.7830909999999997E-3</v>
      </c>
      <c r="P2661">
        <v>0.9914539</v>
      </c>
      <c r="Q2661">
        <v>0.12326429999999999</v>
      </c>
      <c r="R2661">
        <v>-4.2720760000000003E-2</v>
      </c>
      <c r="S2661">
        <v>3.0707399999999998</v>
      </c>
      <c r="T2661">
        <v>-0.22005060000000001</v>
      </c>
      <c r="U2661">
        <v>0.3933258</v>
      </c>
      <c r="V2661">
        <v>4.7489469999999999E-2</v>
      </c>
      <c r="W2661">
        <v>0.1365632</v>
      </c>
      <c r="X2661">
        <v>0.98949240000000005</v>
      </c>
      <c r="Y2661">
        <v>-0.1220084</v>
      </c>
      <c r="Z2661">
        <v>4.0073590000000003E-3</v>
      </c>
      <c r="AA2661">
        <v>0.99252099999999999</v>
      </c>
      <c r="AB2661">
        <v>49</v>
      </c>
      <c r="AC2661">
        <v>15.0144999999999</v>
      </c>
      <c r="AD2661">
        <v>-1.1096031198330001</v>
      </c>
      <c r="AE2661">
        <v>1.9809999999999901</v>
      </c>
      <c r="AF2661">
        <v>-1.8989613680863999</v>
      </c>
      <c r="AG2661">
        <v>-1.1096031198330001</v>
      </c>
      <c r="AH2661">
        <v>14.943586104401801</v>
      </c>
      <c r="AI2661">
        <v>94.212824079921802</v>
      </c>
      <c r="AJ2661">
        <v>97.242065467810505</v>
      </c>
      <c r="AK2661">
        <v>15.104570136905499</v>
      </c>
      <c r="AL2661">
        <v>82.150977977170399</v>
      </c>
      <c r="AM2661">
        <v>87.2522679904949</v>
      </c>
      <c r="AN2661">
        <v>0.99999998350644004</v>
      </c>
    </row>
    <row r="2662" spans="1:40" x14ac:dyDescent="0.25">
      <c r="A2662" t="str">
        <f>"20190312164317884"</f>
        <v>20190312164317884</v>
      </c>
      <c r="B2662" t="str">
        <f>"1552380197877085"</f>
        <v>1552380197877085</v>
      </c>
      <c r="C2662" t="s">
        <v>40</v>
      </c>
      <c r="D2662">
        <v>4.5691199999999998</v>
      </c>
      <c r="E2662">
        <v>0.43783689999999997</v>
      </c>
      <c r="F2662" t="s">
        <v>46</v>
      </c>
      <c r="G2662">
        <v>-330.38380000000001</v>
      </c>
      <c r="H2662" s="1">
        <v>-1.3751939999999901E-6</v>
      </c>
      <c r="I2662">
        <v>215.59139999999999</v>
      </c>
      <c r="J2662">
        <v>-345.37270000000001</v>
      </c>
      <c r="K2662">
        <v>1.1096170000000001</v>
      </c>
      <c r="L2662">
        <v>213.5968</v>
      </c>
      <c r="M2662">
        <v>0.99989589999999995</v>
      </c>
      <c r="N2662">
        <v>0</v>
      </c>
      <c r="O2662">
        <v>4.7604370000000002E-3</v>
      </c>
      <c r="P2662">
        <v>0.99151290000000003</v>
      </c>
      <c r="Q2662">
        <v>0.1227705</v>
      </c>
      <c r="R2662">
        <v>-4.2772610000000003E-2</v>
      </c>
      <c r="S2662">
        <v>3.0702210000000001</v>
      </c>
      <c r="T2662">
        <v>-0.2198871</v>
      </c>
      <c r="U2662">
        <v>0.39575199999999999</v>
      </c>
      <c r="V2662">
        <v>4.7515790000000002E-2</v>
      </c>
      <c r="W2662">
        <v>0.13625899999999999</v>
      </c>
      <c r="X2662">
        <v>0.98953310000000005</v>
      </c>
      <c r="Y2662">
        <v>-0.12282179999999999</v>
      </c>
      <c r="Z2662">
        <v>4.035444E-3</v>
      </c>
      <c r="AA2662">
        <v>0.99242059999999999</v>
      </c>
      <c r="AB2662">
        <v>49</v>
      </c>
      <c r="AC2662">
        <v>14.988899999999999</v>
      </c>
      <c r="AD2662">
        <v>-1.1096183751940001</v>
      </c>
      <c r="AE2662">
        <v>1.9945999999999899</v>
      </c>
      <c r="AF2662">
        <v>-1.91291603626271</v>
      </c>
      <c r="AG2662">
        <v>-1.1096183751940001</v>
      </c>
      <c r="AH2662">
        <v>14.9178935412253</v>
      </c>
      <c r="AI2662">
        <v>94.219501698965601</v>
      </c>
      <c r="AJ2662">
        <v>97.307140930676496</v>
      </c>
      <c r="AK2662">
        <v>15.0809166965304</v>
      </c>
      <c r="AL2662">
        <v>82.168572029503196</v>
      </c>
      <c r="AM2662">
        <v>87.250860360608698</v>
      </c>
      <c r="AN2662">
        <v>1.0000000106879601</v>
      </c>
    </row>
    <row r="2663" spans="1:40" x14ac:dyDescent="0.25">
      <c r="A2663" t="str">
        <f>"20190312164317906"</f>
        <v>20190312164317906</v>
      </c>
      <c r="B2663" t="str">
        <f>"1552380197896608"</f>
        <v>1552380197896608</v>
      </c>
      <c r="C2663" t="s">
        <v>40</v>
      </c>
      <c r="D2663">
        <v>4.5526929999999997</v>
      </c>
      <c r="E2663">
        <v>0.43766270000000002</v>
      </c>
      <c r="F2663" t="s">
        <v>46</v>
      </c>
      <c r="G2663">
        <v>-329.89030000000002</v>
      </c>
      <c r="H2663" s="1">
        <v>3.726347E-6</v>
      </c>
      <c r="I2663">
        <v>215.59280000000001</v>
      </c>
      <c r="J2663">
        <v>-344.87909999999999</v>
      </c>
      <c r="K2663">
        <v>1.1096330000000001</v>
      </c>
      <c r="L2663">
        <v>213.59909999999999</v>
      </c>
      <c r="M2663">
        <v>0.9998937</v>
      </c>
      <c r="N2663">
        <v>0</v>
      </c>
      <c r="O2663">
        <v>4.7448580000000002E-3</v>
      </c>
      <c r="P2663">
        <v>0.99157740000000005</v>
      </c>
      <c r="Q2663">
        <v>0.1222261</v>
      </c>
      <c r="R2663">
        <v>-4.284114E-2</v>
      </c>
      <c r="S2663">
        <v>3.0700379999999998</v>
      </c>
      <c r="T2663">
        <v>-0.22002720000000001</v>
      </c>
      <c r="U2663">
        <v>0.39579769999999997</v>
      </c>
      <c r="V2663">
        <v>4.7565860000000001E-2</v>
      </c>
      <c r="W2663">
        <v>0.13587779999999999</v>
      </c>
      <c r="X2663">
        <v>0.98958310000000005</v>
      </c>
      <c r="Y2663">
        <v>-0.1228588</v>
      </c>
      <c r="Z2663">
        <v>4.0406699999999997E-3</v>
      </c>
      <c r="AA2663">
        <v>0.99241599999999996</v>
      </c>
      <c r="AB2663">
        <v>49</v>
      </c>
      <c r="AC2663">
        <v>14.9887999999999</v>
      </c>
      <c r="AD2663">
        <v>-1.109629273653</v>
      </c>
      <c r="AE2663">
        <v>1.99370000000001</v>
      </c>
      <c r="AF2663">
        <v>-1.91225311139313</v>
      </c>
      <c r="AG2663">
        <v>-1.109629273653</v>
      </c>
      <c r="AH2663">
        <v>14.917756172843101</v>
      </c>
      <c r="AI2663">
        <v>94.219604647517997</v>
      </c>
      <c r="AJ2663">
        <v>97.304702518894103</v>
      </c>
      <c r="AK2663">
        <v>15.080697540875899</v>
      </c>
      <c r="AL2663">
        <v>82.190618135946394</v>
      </c>
      <c r="AM2663">
        <v>87.248106728581305</v>
      </c>
      <c r="AN2663">
        <v>0.99999999968799402</v>
      </c>
    </row>
    <row r="2664" spans="1:40" x14ac:dyDescent="0.25">
      <c r="A2664" t="str">
        <f>"20190312164317928"</f>
        <v>20190312164317928</v>
      </c>
      <c r="B2664" t="str">
        <f>"1552380197917101"</f>
        <v>1552380197917101</v>
      </c>
      <c r="C2664" t="s">
        <v>40</v>
      </c>
      <c r="D2664">
        <v>4.5742050000000001</v>
      </c>
      <c r="E2664">
        <v>0.43768750000000001</v>
      </c>
      <c r="F2664" t="s">
        <v>46</v>
      </c>
      <c r="G2664">
        <v>-329.70409999999998</v>
      </c>
      <c r="H2664" s="1">
        <v>3.6272319999999998E-6</v>
      </c>
      <c r="I2664">
        <v>215.56049999999999</v>
      </c>
      <c r="J2664">
        <v>-344.40530000000001</v>
      </c>
      <c r="K2664">
        <v>1.1096509999999999</v>
      </c>
      <c r="L2664">
        <v>213.60130000000001</v>
      </c>
      <c r="M2664">
        <v>0.99989189999999994</v>
      </c>
      <c r="N2664">
        <v>0</v>
      </c>
      <c r="O2664">
        <v>4.7347229999999997E-3</v>
      </c>
      <c r="P2664">
        <v>0.99157019999999996</v>
      </c>
      <c r="Q2664">
        <v>0.1221497</v>
      </c>
      <c r="R2664">
        <v>-4.322496E-2</v>
      </c>
      <c r="S2664">
        <v>3.0702820000000002</v>
      </c>
      <c r="T2664">
        <v>-0.22450490000000001</v>
      </c>
      <c r="U2664">
        <v>0.3968353</v>
      </c>
      <c r="V2664">
        <v>4.793712E-2</v>
      </c>
      <c r="W2664">
        <v>0.13593829999999901</v>
      </c>
      <c r="X2664">
        <v>0.98955680000000001</v>
      </c>
      <c r="Y2664">
        <v>-0.1231757</v>
      </c>
      <c r="Z2664">
        <v>4.1345319999999998E-3</v>
      </c>
      <c r="AA2664">
        <v>0.99237629999999999</v>
      </c>
      <c r="AB2664">
        <v>48</v>
      </c>
      <c r="AC2664">
        <v>14.7012</v>
      </c>
      <c r="AD2664">
        <v>-1.1096473727680001</v>
      </c>
      <c r="AE2664">
        <v>1.9591999999999801</v>
      </c>
      <c r="AF2664">
        <v>-1.8790466174524301</v>
      </c>
      <c r="AG2664">
        <v>-1.1096473727680001</v>
      </c>
      <c r="AH2664">
        <v>14.628425073025801</v>
      </c>
      <c r="AI2664">
        <v>94.302678820008893</v>
      </c>
      <c r="AJ2664">
        <v>97.319660284602804</v>
      </c>
      <c r="AK2664">
        <v>14.790299307302099</v>
      </c>
      <c r="AL2664">
        <v>82.187118687068406</v>
      </c>
      <c r="AM2664">
        <v>87.226587522580402</v>
      </c>
      <c r="AN2664">
        <v>0.99999992465350895</v>
      </c>
    </row>
    <row r="2665" spans="1:40" x14ac:dyDescent="0.25">
      <c r="A2665" t="str">
        <f>"20190312164317951"</f>
        <v>20190312164317951</v>
      </c>
      <c r="B2665" t="str">
        <f>"1552380197947357"</f>
        <v>1552380197947357</v>
      </c>
      <c r="C2665" t="s">
        <v>40</v>
      </c>
      <c r="D2665">
        <v>4.5590089999999996</v>
      </c>
      <c r="E2665">
        <v>0.4377086</v>
      </c>
      <c r="F2665" t="s">
        <v>46</v>
      </c>
      <c r="G2665">
        <v>-329.13369999999998</v>
      </c>
      <c r="H2665" s="1">
        <v>3.3237E-6</v>
      </c>
      <c r="I2665">
        <v>215.566</v>
      </c>
      <c r="J2665">
        <v>-343.93079999999998</v>
      </c>
      <c r="K2665">
        <v>1.109674</v>
      </c>
      <c r="L2665">
        <v>213.6036</v>
      </c>
      <c r="M2665">
        <v>0.9998901</v>
      </c>
      <c r="N2665">
        <v>0</v>
      </c>
      <c r="O2665">
        <v>4.7291449999999997E-3</v>
      </c>
      <c r="P2665">
        <v>0.99156670000000002</v>
      </c>
      <c r="Q2665">
        <v>0.1219904</v>
      </c>
      <c r="R2665">
        <v>-4.374865E-2</v>
      </c>
      <c r="S2665">
        <v>3.0702509999999998</v>
      </c>
      <c r="T2665">
        <v>-0.22308639999999999</v>
      </c>
      <c r="U2665">
        <v>0.39498899999999998</v>
      </c>
      <c r="V2665">
        <v>4.8453450000000002E-2</v>
      </c>
      <c r="W2665">
        <v>0.13589860000000001</v>
      </c>
      <c r="X2665">
        <v>0.98953720000000001</v>
      </c>
      <c r="Y2665">
        <v>-0.1226008</v>
      </c>
      <c r="Z2665">
        <v>4.0883020000000003E-3</v>
      </c>
      <c r="AA2665">
        <v>0.99244770000000004</v>
      </c>
      <c r="AB2665">
        <v>48</v>
      </c>
      <c r="AC2665">
        <v>14.7971</v>
      </c>
      <c r="AD2665">
        <v>-1.1096706762999999</v>
      </c>
      <c r="AE2665">
        <v>1.9623999999999699</v>
      </c>
      <c r="AF2665">
        <v>-1.8819923747021501</v>
      </c>
      <c r="AG2665">
        <v>-1.1096706762999999</v>
      </c>
      <c r="AH2665">
        <v>14.7248366891735</v>
      </c>
      <c r="AI2665">
        <v>94.275045161059495</v>
      </c>
      <c r="AJ2665">
        <v>97.283527442992906</v>
      </c>
      <c r="AK2665">
        <v>14.8860364043323</v>
      </c>
      <c r="AL2665">
        <v>82.189415371568401</v>
      </c>
      <c r="AM2665">
        <v>87.196707097412897</v>
      </c>
      <c r="AN2665">
        <v>1.00000001824135</v>
      </c>
    </row>
    <row r="2666" spans="1:40" x14ac:dyDescent="0.25">
      <c r="A2666" t="str">
        <f>"20190312164317974"</f>
        <v>20190312164317974</v>
      </c>
      <c r="B2666" t="str">
        <f>"1552380197966877"</f>
        <v>1552380197966877</v>
      </c>
      <c r="C2666" t="s">
        <v>40</v>
      </c>
      <c r="D2666">
        <v>4.5525289999999998</v>
      </c>
      <c r="E2666">
        <v>0.43767010000000001</v>
      </c>
      <c r="F2666" t="s">
        <v>46</v>
      </c>
      <c r="G2666">
        <v>-328.62299999999999</v>
      </c>
      <c r="H2666" s="1">
        <v>3.0519540000000002E-6</v>
      </c>
      <c r="I2666">
        <v>215.5652</v>
      </c>
      <c r="J2666">
        <v>-343.42079999999999</v>
      </c>
      <c r="K2666">
        <v>1.109694</v>
      </c>
      <c r="L2666">
        <v>213.60599999999999</v>
      </c>
      <c r="M2666">
        <v>0.99988860000000002</v>
      </c>
      <c r="N2666">
        <v>0</v>
      </c>
      <c r="O2666">
        <v>4.7258730000000002E-3</v>
      </c>
      <c r="P2666">
        <v>0.99156869999999997</v>
      </c>
      <c r="Q2666">
        <v>0.12190239999999999</v>
      </c>
      <c r="R2666">
        <v>-4.394936E-2</v>
      </c>
      <c r="S2666">
        <v>3.0701900000000002</v>
      </c>
      <c r="T2666">
        <v>-0.22256029999999999</v>
      </c>
      <c r="U2666">
        <v>0.39343260000000002</v>
      </c>
      <c r="V2666">
        <v>4.8649079999999997E-2</v>
      </c>
      <c r="W2666">
        <v>0.13592270000000001</v>
      </c>
      <c r="X2666">
        <v>0.98952419999999996</v>
      </c>
      <c r="Y2666">
        <v>-0.12211420000000001</v>
      </c>
      <c r="Z2666">
        <v>4.0615900000000003E-3</v>
      </c>
      <c r="AA2666">
        <v>0.99250780000000005</v>
      </c>
      <c r="AB2666">
        <v>48</v>
      </c>
      <c r="AC2666">
        <v>14.797799999999899</v>
      </c>
      <c r="AD2666">
        <v>-1.109690948046</v>
      </c>
      <c r="AE2666">
        <v>1.9592000000000001</v>
      </c>
      <c r="AF2666">
        <v>-1.8788547888143801</v>
      </c>
      <c r="AG2666">
        <v>-1.109690948046</v>
      </c>
      <c r="AH2666">
        <v>14.725511657365701</v>
      </c>
      <c r="AI2666">
        <v>94.275044902943705</v>
      </c>
      <c r="AJ2666">
        <v>97.271184962995406</v>
      </c>
      <c r="AK2666">
        <v>14.886309243356401</v>
      </c>
      <c r="AL2666">
        <v>82.188020900374497</v>
      </c>
      <c r="AM2666">
        <v>87.185370094446995</v>
      </c>
      <c r="AN2666">
        <v>0.99999992787288505</v>
      </c>
    </row>
    <row r="2667" spans="1:40" x14ac:dyDescent="0.25">
      <c r="A2667" t="str">
        <f>"20190312164318029"</f>
        <v>20190312164318029</v>
      </c>
      <c r="B2667" t="str">
        <f>"1552380198017632"</f>
        <v>1552380198017632</v>
      </c>
      <c r="C2667" t="s">
        <v>40</v>
      </c>
      <c r="D2667">
        <v>4.5505459999999998</v>
      </c>
      <c r="E2667">
        <v>0.44340859999999899</v>
      </c>
      <c r="F2667" t="s">
        <v>46</v>
      </c>
      <c r="G2667">
        <v>-328.10019999999997</v>
      </c>
      <c r="H2667" s="1">
        <v>2.7737499999999999E-6</v>
      </c>
      <c r="I2667">
        <v>215.56800000000001</v>
      </c>
      <c r="J2667">
        <v>-342.25459999999998</v>
      </c>
      <c r="K2667">
        <v>1.1097239999999999</v>
      </c>
      <c r="L2667">
        <v>213.61150000000001</v>
      </c>
      <c r="M2667">
        <v>0.99988569999999999</v>
      </c>
      <c r="N2667">
        <v>0</v>
      </c>
      <c r="O2667">
        <v>4.7244069999999999E-3</v>
      </c>
      <c r="P2667">
        <v>0.99153659999999999</v>
      </c>
      <c r="Q2667">
        <v>0.1222178</v>
      </c>
      <c r="R2667">
        <v>-4.3794909999999999E-2</v>
      </c>
      <c r="S2667">
        <v>3.0702820000000002</v>
      </c>
      <c r="T2667">
        <v>-0.2223849</v>
      </c>
      <c r="U2667">
        <v>0.39320369999999999</v>
      </c>
      <c r="V2667">
        <v>4.8490190000000002E-2</v>
      </c>
      <c r="W2667">
        <v>0.13643759999999999</v>
      </c>
      <c r="X2667">
        <v>0.98946120000000004</v>
      </c>
      <c r="Y2667">
        <v>-0.1220398</v>
      </c>
      <c r="Z2667">
        <v>4.0557240000000001E-3</v>
      </c>
      <c r="AA2667">
        <v>0.99251690000000004</v>
      </c>
      <c r="AB2667">
        <v>48</v>
      </c>
      <c r="AC2667">
        <v>14.154400000000001</v>
      </c>
      <c r="AD2667">
        <v>-1.10972122625</v>
      </c>
      <c r="AE2667">
        <v>1.9564999999999699</v>
      </c>
      <c r="AF2667">
        <v>-1.87827132225202</v>
      </c>
      <c r="AG2667">
        <v>-1.10972122625</v>
      </c>
      <c r="AH2667">
        <v>14.0785713490235</v>
      </c>
      <c r="AI2667">
        <v>94.467509768448096</v>
      </c>
      <c r="AJ2667">
        <v>97.599155676616604</v>
      </c>
      <c r="AK2667">
        <v>14.246598035654999</v>
      </c>
      <c r="AL2667">
        <v>82.158242386501499</v>
      </c>
      <c r="AM2667">
        <v>87.194369746890601</v>
      </c>
      <c r="AN2667">
        <v>0.99999999176271803</v>
      </c>
    </row>
    <row r="2668" spans="1:40" x14ac:dyDescent="0.25">
      <c r="A2668" t="str">
        <f>"20190312164318050"</f>
        <v>20190312164318050</v>
      </c>
      <c r="B2668" t="str">
        <f>"1552380198037149"</f>
        <v>1552380198037149</v>
      </c>
      <c r="C2668" t="s">
        <v>40</v>
      </c>
      <c r="D2668">
        <v>4.7508119999999998</v>
      </c>
      <c r="E2668">
        <v>0.44366339999999999</v>
      </c>
      <c r="F2668" t="s">
        <v>46</v>
      </c>
      <c r="G2668">
        <v>-326.41739999999999</v>
      </c>
      <c r="H2668" s="1">
        <v>1.878221E-6</v>
      </c>
      <c r="I2668">
        <v>215.40369999999999</v>
      </c>
      <c r="J2668">
        <v>-341.77030000000002</v>
      </c>
      <c r="K2668">
        <v>1.1097330000000001</v>
      </c>
      <c r="L2668">
        <v>213.61369999999999</v>
      </c>
      <c r="M2668">
        <v>0.99988480000000002</v>
      </c>
      <c r="N2668">
        <v>0</v>
      </c>
      <c r="O2668">
        <v>4.7238769999999996E-3</v>
      </c>
      <c r="P2668">
        <v>0.99154140000000002</v>
      </c>
      <c r="Q2668">
        <v>0.12221070000000001</v>
      </c>
      <c r="R2668">
        <v>-4.3702400000000002E-2</v>
      </c>
      <c r="S2668">
        <v>3.0674440000000001</v>
      </c>
      <c r="T2668">
        <v>-0.21493770000000001</v>
      </c>
      <c r="U2668">
        <v>0.34712219999999999</v>
      </c>
      <c r="V2668">
        <v>4.8396010000000003E-2</v>
      </c>
      <c r="W2668">
        <v>0.13649520000000001</v>
      </c>
      <c r="X2668">
        <v>0.98945780000000005</v>
      </c>
      <c r="Y2668">
        <v>-0.10750120000000001</v>
      </c>
      <c r="Z2668">
        <v>3.4202410000000001E-3</v>
      </c>
      <c r="AA2668">
        <v>0.9941991</v>
      </c>
      <c r="AB2668">
        <v>48</v>
      </c>
      <c r="AC2668">
        <v>15.3529</v>
      </c>
      <c r="AD2668">
        <v>-1.109731121779</v>
      </c>
      <c r="AE2668">
        <v>1.78999999999999</v>
      </c>
      <c r="AF2668">
        <v>-1.70863999193521</v>
      </c>
      <c r="AG2668">
        <v>-1.109731121779</v>
      </c>
      <c r="AH2668">
        <v>15.282411294100401</v>
      </c>
      <c r="AI2668">
        <v>94.127610787475206</v>
      </c>
      <c r="AJ2668">
        <v>96.379423774738598</v>
      </c>
      <c r="AK2668">
        <v>15.4176213712341</v>
      </c>
      <c r="AL2668">
        <v>82.154910461717606</v>
      </c>
      <c r="AM2668">
        <v>87.199800689989104</v>
      </c>
      <c r="AN2668">
        <v>0.99999992569389695</v>
      </c>
    </row>
    <row r="2669" spans="1:40" x14ac:dyDescent="0.25">
      <c r="A2669" t="str">
        <f>"20190312164318073"</f>
        <v>20190312164318073</v>
      </c>
      <c r="B2669" t="str">
        <f>"1552380198067405"</f>
        <v>1552380198067405</v>
      </c>
      <c r="C2669" t="s">
        <v>40</v>
      </c>
      <c r="D2669">
        <v>4.731573</v>
      </c>
      <c r="E2669">
        <v>0.50438269999999996</v>
      </c>
      <c r="F2669" t="s">
        <v>46</v>
      </c>
      <c r="G2669">
        <v>-325.77249999999998</v>
      </c>
      <c r="H2669" s="1">
        <v>1.5350670000000001E-6</v>
      </c>
      <c r="I2669">
        <v>215.41659999999999</v>
      </c>
      <c r="J2669">
        <v>-341.28280000000001</v>
      </c>
      <c r="K2669">
        <v>1.109747</v>
      </c>
      <c r="L2669">
        <v>213.61609999999999</v>
      </c>
      <c r="M2669">
        <v>0.99988410000000005</v>
      </c>
      <c r="N2669">
        <v>0</v>
      </c>
      <c r="O2669">
        <v>4.7226869999999997E-3</v>
      </c>
      <c r="P2669">
        <v>0.99160999999999999</v>
      </c>
      <c r="Q2669">
        <v>0.1218071</v>
      </c>
      <c r="R2669">
        <v>-4.327628E-2</v>
      </c>
      <c r="S2669">
        <v>3.0670169999999999</v>
      </c>
      <c r="T2669">
        <v>-0.21275269999999999</v>
      </c>
      <c r="U2669">
        <v>0.34564210000000001</v>
      </c>
      <c r="V2669">
        <v>4.7967910000000002E-2</v>
      </c>
      <c r="W2669">
        <v>0.13614799999999999</v>
      </c>
      <c r="X2669">
        <v>0.98952660000000003</v>
      </c>
      <c r="Y2669">
        <v>-0.1070501</v>
      </c>
      <c r="Z2669">
        <v>3.3706169999999998E-3</v>
      </c>
      <c r="AA2669">
        <v>0.99424789999999996</v>
      </c>
      <c r="AB2669">
        <v>48</v>
      </c>
      <c r="AC2669">
        <v>15.510300000000001</v>
      </c>
      <c r="AD2669">
        <v>-1.1097454649330001</v>
      </c>
      <c r="AE2669">
        <v>1.80049999999999</v>
      </c>
      <c r="AF2669">
        <v>-1.7185412846355801</v>
      </c>
      <c r="AG2669">
        <v>-1.1097454649330001</v>
      </c>
      <c r="AH2669">
        <v>15.440637597772501</v>
      </c>
      <c r="AI2669">
        <v>94.085736433463495</v>
      </c>
      <c r="AJ2669">
        <v>96.350875920433595</v>
      </c>
      <c r="AK2669">
        <v>15.5755644703389</v>
      </c>
      <c r="AL2669">
        <v>82.174991958269402</v>
      </c>
      <c r="AM2669">
        <v>87.224724378953496</v>
      </c>
      <c r="AN2669">
        <v>1.0000000452006601</v>
      </c>
    </row>
    <row r="2670" spans="1:40" x14ac:dyDescent="0.25">
      <c r="A2670" t="str">
        <f>"20190312164318096"</f>
        <v>20190312164318096</v>
      </c>
      <c r="B2670" t="str">
        <f>"1552380198086925"</f>
        <v>1552380198086925</v>
      </c>
      <c r="C2670" t="s">
        <v>40</v>
      </c>
      <c r="D2670">
        <v>4.9741119999999999</v>
      </c>
      <c r="E2670">
        <v>0.5140247</v>
      </c>
      <c r="F2670" t="s">
        <v>41</v>
      </c>
      <c r="G2670">
        <v>-340.39069999999998</v>
      </c>
      <c r="H2670">
        <v>1.0297080000000001</v>
      </c>
      <c r="I2670">
        <v>213.5763</v>
      </c>
      <c r="J2670">
        <v>-340.79300000000001</v>
      </c>
      <c r="K2670">
        <v>1.109756</v>
      </c>
      <c r="L2670">
        <v>213.61840000000001</v>
      </c>
      <c r="M2670">
        <v>0.99988339999999998</v>
      </c>
      <c r="N2670">
        <v>0</v>
      </c>
      <c r="O2670">
        <v>4.7216609999999899E-3</v>
      </c>
      <c r="P2670">
        <v>0.99165859999999995</v>
      </c>
      <c r="Q2670">
        <v>0.12140910000000001</v>
      </c>
      <c r="R2670">
        <v>-4.3281699999999902E-2</v>
      </c>
      <c r="S2670">
        <v>3.0531619999999999</v>
      </c>
      <c r="T2670">
        <v>-0.27408640000000001</v>
      </c>
      <c r="U2670">
        <v>-0.13470460000000001</v>
      </c>
      <c r="V2670">
        <v>4.7971649999999998E-2</v>
      </c>
      <c r="W2670">
        <v>0.13579939999999999</v>
      </c>
      <c r="X2670">
        <v>0.98957430000000002</v>
      </c>
      <c r="Y2670">
        <v>4.8579959999999998E-2</v>
      </c>
      <c r="Z2670">
        <v>-2.597986E-3</v>
      </c>
      <c r="AA2670">
        <v>0.99881589999999998</v>
      </c>
      <c r="AB2670">
        <v>48</v>
      </c>
      <c r="AC2670">
        <v>0.40230000000002503</v>
      </c>
      <c r="AD2670">
        <v>-8.0047999999999897E-2</v>
      </c>
      <c r="AE2670">
        <v>-4.2100000000004897E-2</v>
      </c>
      <c r="AF2670">
        <v>4.2341071862486299E-2</v>
      </c>
      <c r="AG2670">
        <v>-8.0047999999999897E-2</v>
      </c>
      <c r="AH2670">
        <v>0.38694304492353998</v>
      </c>
      <c r="AI2670">
        <v>101.620604397587</v>
      </c>
      <c r="AJ2670">
        <v>83.755279740676102</v>
      </c>
      <c r="AK2670">
        <v>0.39739824947420799</v>
      </c>
      <c r="AL2670">
        <v>82.195152355477006</v>
      </c>
      <c r="AM2670">
        <v>87.224641908986499</v>
      </c>
      <c r="AN2670">
        <v>1.0000000257322801</v>
      </c>
    </row>
    <row r="2671" spans="1:40" x14ac:dyDescent="0.25">
      <c r="A2671" t="str">
        <f>"20190312164318117"</f>
        <v>20190312164318117</v>
      </c>
      <c r="B2671" t="str">
        <f>"1552380198107009"</f>
        <v>1552380198107009</v>
      </c>
      <c r="C2671" t="s">
        <v>40</v>
      </c>
      <c r="D2671">
        <v>4.6313219999999999</v>
      </c>
      <c r="E2671">
        <v>0.5175168</v>
      </c>
      <c r="F2671" t="s">
        <v>41</v>
      </c>
      <c r="G2671">
        <v>-339.95429999999999</v>
      </c>
      <c r="H2671">
        <v>1.0417970000000001</v>
      </c>
      <c r="I2671">
        <v>213.55940000000001</v>
      </c>
      <c r="J2671">
        <v>-340.32080000000002</v>
      </c>
      <c r="K2671">
        <v>1.109766</v>
      </c>
      <c r="L2671">
        <v>213.6206</v>
      </c>
      <c r="M2671">
        <v>0.99988279999999996</v>
      </c>
      <c r="N2671">
        <v>0</v>
      </c>
      <c r="O2671">
        <v>4.7207450000000001E-3</v>
      </c>
      <c r="P2671">
        <v>0.99171500000000001</v>
      </c>
      <c r="Q2671">
        <v>0.1210717</v>
      </c>
      <c r="R2671">
        <v>-4.2936599999999998E-2</v>
      </c>
      <c r="S2671">
        <v>3.0461429999999998</v>
      </c>
      <c r="T2671">
        <v>-0.24691009999999999</v>
      </c>
      <c r="U2671">
        <v>-0.2137299</v>
      </c>
      <c r="V2671">
        <v>4.7625210000000001E-2</v>
      </c>
      <c r="W2671">
        <v>0.13550219999999999</v>
      </c>
      <c r="X2671">
        <v>0.9896317</v>
      </c>
      <c r="Y2671">
        <v>7.4442540000000001E-2</v>
      </c>
      <c r="Z2671">
        <v>-3.390021E-3</v>
      </c>
      <c r="AA2671">
        <v>0.99721959999999998</v>
      </c>
      <c r="AB2671">
        <v>48</v>
      </c>
      <c r="AC2671">
        <v>0.36650000000003002</v>
      </c>
      <c r="AD2671">
        <v>-6.7969000000000099E-2</v>
      </c>
      <c r="AE2671">
        <v>-6.1199999999985197E-2</v>
      </c>
      <c r="AF2671">
        <v>6.0892184320149499E-2</v>
      </c>
      <c r="AG2671">
        <v>-6.7969000000000099E-2</v>
      </c>
      <c r="AH2671">
        <v>0.354350310868291</v>
      </c>
      <c r="AI2671">
        <v>100.704989127473</v>
      </c>
      <c r="AJ2671">
        <v>80.249424423951396</v>
      </c>
      <c r="AK2671">
        <v>0.36591226528326898</v>
      </c>
      <c r="AL2671">
        <v>82.212338966537502</v>
      </c>
      <c r="AM2671">
        <v>87.244813462326903</v>
      </c>
      <c r="AN2671">
        <v>0.99999995423863597</v>
      </c>
    </row>
    <row r="2672" spans="1:40" x14ac:dyDescent="0.25">
      <c r="A2672" t="str">
        <f>"20190312164318142"</f>
        <v>20190312164318142</v>
      </c>
      <c r="B2672" t="str">
        <f>"1552380198137249"</f>
        <v>1552380198137249</v>
      </c>
      <c r="C2672" t="s">
        <v>40</v>
      </c>
      <c r="D2672">
        <v>4.9597350000000002</v>
      </c>
      <c r="E2672">
        <v>0.52049009999999996</v>
      </c>
      <c r="F2672" t="s">
        <v>41</v>
      </c>
      <c r="G2672">
        <v>-339.51889999999997</v>
      </c>
      <c r="H2672">
        <v>1.0484629999999999</v>
      </c>
      <c r="I2672">
        <v>213.55680000000001</v>
      </c>
      <c r="J2672">
        <v>-339.81240000000003</v>
      </c>
      <c r="K2672">
        <v>1.1097760000000001</v>
      </c>
      <c r="L2672">
        <v>213.62299999999999</v>
      </c>
      <c r="M2672">
        <v>0.99988220000000005</v>
      </c>
      <c r="N2672">
        <v>0</v>
      </c>
      <c r="O2672">
        <v>4.7201470000000001E-3</v>
      </c>
      <c r="P2672">
        <v>0.99174929999999994</v>
      </c>
      <c r="Q2672">
        <v>0.120814</v>
      </c>
      <c r="R2672">
        <v>-4.286657E-2</v>
      </c>
      <c r="S2672">
        <v>3.042999</v>
      </c>
      <c r="T2672">
        <v>-0.2327292</v>
      </c>
      <c r="U2672">
        <v>-0.24110409999999999</v>
      </c>
      <c r="V2672">
        <v>4.755446E-2</v>
      </c>
      <c r="W2672">
        <v>0.13528109999999999</v>
      </c>
      <c r="X2672">
        <v>0.98966540000000003</v>
      </c>
      <c r="Y2672">
        <v>8.3434010000000003E-2</v>
      </c>
      <c r="Z2672">
        <v>-3.5408739999999998E-3</v>
      </c>
      <c r="AA2672">
        <v>0.99650700000000003</v>
      </c>
      <c r="AB2672">
        <v>48</v>
      </c>
      <c r="AC2672">
        <v>0.293500000000051</v>
      </c>
      <c r="AD2672">
        <v>-6.1313000000000097E-2</v>
      </c>
      <c r="AE2672">
        <v>-6.6199999999980705E-2</v>
      </c>
      <c r="AF2672">
        <v>6.4890037978566795E-2</v>
      </c>
      <c r="AG2672">
        <v>-6.1313000000000097E-2</v>
      </c>
      <c r="AH2672">
        <v>0.28149440198743703</v>
      </c>
      <c r="AI2672">
        <v>101.982983932328</v>
      </c>
      <c r="AJ2672">
        <v>77.018951769987396</v>
      </c>
      <c r="AK2672">
        <v>0.29531186794323799</v>
      </c>
      <c r="AL2672">
        <v>82.225125177841406</v>
      </c>
      <c r="AM2672">
        <v>87.248993694627103</v>
      </c>
      <c r="AN2672">
        <v>1.0000000033201299</v>
      </c>
    </row>
    <row r="2673" spans="1:40" x14ac:dyDescent="0.25">
      <c r="A2673" t="str">
        <f>"20190312164318187"</f>
        <v>20190312164318187</v>
      </c>
      <c r="B2673" t="str">
        <f>"1552380198177264"</f>
        <v>1552380198177264</v>
      </c>
      <c r="C2673" t="s">
        <v>40</v>
      </c>
      <c r="D2673">
        <v>4.9678009999999997</v>
      </c>
      <c r="E2673">
        <v>0.52240489999999995</v>
      </c>
      <c r="F2673" t="s">
        <v>41</v>
      </c>
      <c r="G2673">
        <v>-338.67070000000001</v>
      </c>
      <c r="H2673">
        <v>1.02972</v>
      </c>
      <c r="I2673">
        <v>213.523</v>
      </c>
      <c r="J2673">
        <v>-338.85660000000001</v>
      </c>
      <c r="K2673">
        <v>1.1097859999999999</v>
      </c>
      <c r="L2673">
        <v>213.6275</v>
      </c>
      <c r="M2673">
        <v>0.99988140000000003</v>
      </c>
      <c r="N2673">
        <v>0</v>
      </c>
      <c r="O2673">
        <v>4.7199670000000003E-3</v>
      </c>
      <c r="P2673">
        <v>0.99181600000000003</v>
      </c>
      <c r="Q2673">
        <v>0.120322</v>
      </c>
      <c r="R2673">
        <v>-4.2705409999999999E-2</v>
      </c>
      <c r="S2673">
        <v>3.0394290000000002</v>
      </c>
      <c r="T2673">
        <v>-0.21325079999999999</v>
      </c>
      <c r="U2673">
        <v>-0.26536559999999998</v>
      </c>
      <c r="V2673">
        <v>4.7392759999999999E-2</v>
      </c>
      <c r="W2673">
        <v>0.1348422</v>
      </c>
      <c r="X2673">
        <v>0.98973299999999997</v>
      </c>
      <c r="Y2673">
        <v>9.1443839999999998E-2</v>
      </c>
      <c r="Z2673">
        <v>-3.5280979999999999E-3</v>
      </c>
      <c r="AA2673">
        <v>0.99580400000000002</v>
      </c>
      <c r="AB2673">
        <v>48</v>
      </c>
      <c r="AC2673">
        <v>0.18590000000000301</v>
      </c>
      <c r="AD2673">
        <v>-8.0066000000000095E-2</v>
      </c>
      <c r="AE2673">
        <v>-0.10450000000000099</v>
      </c>
      <c r="AF2673">
        <v>9.2357930871763902E-2</v>
      </c>
      <c r="AG2673">
        <v>-8.0066000000000095E-2</v>
      </c>
      <c r="AH2673">
        <v>0.16249932075412801</v>
      </c>
      <c r="AI2673">
        <v>113.18847630211</v>
      </c>
      <c r="AJ2673">
        <v>60.387881042119702</v>
      </c>
      <c r="AK2673">
        <v>0.203338587081908</v>
      </c>
      <c r="AL2673">
        <v>82.250504443914707</v>
      </c>
      <c r="AM2673">
        <v>87.258520650944405</v>
      </c>
      <c r="AN2673">
        <v>0.99999995194512703</v>
      </c>
    </row>
    <row r="2674" spans="1:40" x14ac:dyDescent="0.25">
      <c r="A2674" t="str">
        <f>"20190312164318207"</f>
        <v>20190312164318207</v>
      </c>
      <c r="B2674" t="str">
        <f>"1552380198197407"</f>
        <v>1552380198197407</v>
      </c>
      <c r="C2674" t="s">
        <v>40</v>
      </c>
      <c r="D2674">
        <v>4.6841720000000002</v>
      </c>
      <c r="E2674">
        <v>0.52293029999999996</v>
      </c>
      <c r="F2674" t="s">
        <v>41</v>
      </c>
      <c r="G2674">
        <v>-337.80790000000002</v>
      </c>
      <c r="H2674">
        <v>1.0397160000000001</v>
      </c>
      <c r="I2674">
        <v>213.53030000000001</v>
      </c>
      <c r="J2674">
        <v>-338.40089999999998</v>
      </c>
      <c r="K2674">
        <v>1.1097939999999999</v>
      </c>
      <c r="L2674">
        <v>213.62970000000001</v>
      </c>
      <c r="M2674">
        <v>0.99988109999999997</v>
      </c>
      <c r="N2674">
        <v>0</v>
      </c>
      <c r="O2674">
        <v>4.7200100000000002E-3</v>
      </c>
      <c r="P2674">
        <v>0.99177530000000003</v>
      </c>
      <c r="Q2674">
        <v>0.1204518</v>
      </c>
      <c r="R2674">
        <v>-4.3277870000000003E-2</v>
      </c>
      <c r="S2674">
        <v>3.0373230000000002</v>
      </c>
      <c r="T2674">
        <v>-0.20310539999999999</v>
      </c>
      <c r="U2674">
        <v>-0.28051759999999998</v>
      </c>
      <c r="V2674">
        <v>4.7965140000000003E-2</v>
      </c>
      <c r="W2674">
        <v>0.134991</v>
      </c>
      <c r="X2674">
        <v>0.98968520000000004</v>
      </c>
      <c r="Y2674">
        <v>9.6440899999999996E-2</v>
      </c>
      <c r="Z2674">
        <v>-3.5287399999999998E-3</v>
      </c>
      <c r="AA2674">
        <v>0.99533249999999995</v>
      </c>
      <c r="AB2674">
        <v>48</v>
      </c>
      <c r="AC2674">
        <v>0.59299999999996</v>
      </c>
      <c r="AD2674">
        <v>-7.0077999999999793E-2</v>
      </c>
      <c r="AE2674">
        <v>-9.9400000000002806E-2</v>
      </c>
      <c r="AF2674">
        <v>0.100828530088632</v>
      </c>
      <c r="AG2674">
        <v>-7.0077999999999793E-2</v>
      </c>
      <c r="AH2674">
        <v>0.58458333685484598</v>
      </c>
      <c r="AI2674">
        <v>96.737271722634702</v>
      </c>
      <c r="AJ2674">
        <v>80.213947580381003</v>
      </c>
      <c r="AK2674">
        <v>0.59733993361584303</v>
      </c>
      <c r="AL2674">
        <v>82.241900614712904</v>
      </c>
      <c r="AM2674">
        <v>87.225328417598206</v>
      </c>
      <c r="AN2674">
        <v>1.0000000099176201</v>
      </c>
    </row>
    <row r="2675" spans="1:40" x14ac:dyDescent="0.25">
      <c r="A2675" t="str">
        <f>"20190312164318228"</f>
        <v>20190312164318228</v>
      </c>
      <c r="B2675" t="str">
        <f>"1552380198216927"</f>
        <v>1552380198216927</v>
      </c>
      <c r="C2675" t="s">
        <v>40</v>
      </c>
      <c r="D2675">
        <v>4.6753099999999996</v>
      </c>
      <c r="E2675">
        <v>0.52335849999999995</v>
      </c>
      <c r="F2675" t="s">
        <v>41</v>
      </c>
      <c r="G2675">
        <v>-337.37689999999998</v>
      </c>
      <c r="H2675">
        <v>1.0428040000000001</v>
      </c>
      <c r="I2675">
        <v>213.53270000000001</v>
      </c>
      <c r="J2675">
        <v>-337.94400000000002</v>
      </c>
      <c r="K2675">
        <v>1.109801</v>
      </c>
      <c r="L2675">
        <v>213.6318</v>
      </c>
      <c r="M2675">
        <v>0.99988089999999996</v>
      </c>
      <c r="N2675">
        <v>0</v>
      </c>
      <c r="O2675">
        <v>4.7200719999999996E-3</v>
      </c>
      <c r="P2675">
        <v>0.99177099999999996</v>
      </c>
      <c r="Q2675">
        <v>0.1203617</v>
      </c>
      <c r="R2675">
        <v>-4.3626980000000003E-2</v>
      </c>
      <c r="S2675">
        <v>3.0364990000000001</v>
      </c>
      <c r="T2675">
        <v>-0.1987573</v>
      </c>
      <c r="U2675">
        <v>-0.28678890000000001</v>
      </c>
      <c r="V2675">
        <v>4.8314009999999998E-2</v>
      </c>
      <c r="W2675">
        <v>0.13491729999999999</v>
      </c>
      <c r="X2675">
        <v>0.98967830000000001</v>
      </c>
      <c r="Y2675">
        <v>9.8508440000000003E-2</v>
      </c>
      <c r="Z2675">
        <v>-3.5214080000000002E-3</v>
      </c>
      <c r="AA2675">
        <v>0.99512999999999996</v>
      </c>
      <c r="AB2675">
        <v>48</v>
      </c>
      <c r="AC2675">
        <v>0.56710000000003902</v>
      </c>
      <c r="AD2675">
        <v>-6.6996999999999904E-2</v>
      </c>
      <c r="AE2675">
        <v>-9.9099999999992805E-2</v>
      </c>
      <c r="AF2675">
        <v>0.100415963870765</v>
      </c>
      <c r="AG2675">
        <v>-6.6996999999999904E-2</v>
      </c>
      <c r="AH2675">
        <v>0.55905437342598596</v>
      </c>
      <c r="AI2675">
        <v>96.727083816712096</v>
      </c>
      <c r="AJ2675">
        <v>79.817254061796703</v>
      </c>
      <c r="AK2675">
        <v>0.57193859482973897</v>
      </c>
      <c r="AL2675">
        <v>82.246162452536296</v>
      </c>
      <c r="AM2675">
        <v>87.205159528666499</v>
      </c>
      <c r="AN2675">
        <v>1.0000000294462199</v>
      </c>
    </row>
    <row r="2676" spans="1:40" x14ac:dyDescent="0.25">
      <c r="A2676" t="str">
        <f>"20190312164318252"</f>
        <v>20190312164318252</v>
      </c>
      <c r="B2676" t="str">
        <f>"1552380198247184"</f>
        <v>1552380198247184</v>
      </c>
      <c r="C2676" t="s">
        <v>40</v>
      </c>
      <c r="D2676">
        <v>4.7486980000000001</v>
      </c>
      <c r="E2676">
        <v>0.52356080000000005</v>
      </c>
      <c r="F2676" t="s">
        <v>41</v>
      </c>
      <c r="G2676">
        <v>-336.94670000000002</v>
      </c>
      <c r="H2676">
        <v>1.04508</v>
      </c>
      <c r="I2676">
        <v>213.53559999999999</v>
      </c>
      <c r="J2676">
        <v>-337.45249999999999</v>
      </c>
      <c r="K2676">
        <v>1.1098129999999999</v>
      </c>
      <c r="L2676">
        <v>213.63409999999999</v>
      </c>
      <c r="M2676">
        <v>0.99988080000000001</v>
      </c>
      <c r="N2676">
        <v>0</v>
      </c>
      <c r="O2676">
        <v>4.7199659999999999E-3</v>
      </c>
      <c r="P2676">
        <v>0.99179430000000002</v>
      </c>
      <c r="Q2676">
        <v>0.1200111</v>
      </c>
      <c r="R2676">
        <v>-4.4063999999999999E-2</v>
      </c>
      <c r="S2676">
        <v>3.0360109999999998</v>
      </c>
      <c r="T2676">
        <v>-0.19720860000000001</v>
      </c>
      <c r="U2676">
        <v>-0.29147339999999999</v>
      </c>
      <c r="V2676">
        <v>4.8750769999999999E-2</v>
      </c>
      <c r="W2676">
        <v>0.13458229999999999</v>
      </c>
      <c r="X2676">
        <v>0.98970250000000004</v>
      </c>
      <c r="Y2676">
        <v>0.100045</v>
      </c>
      <c r="Z2676">
        <v>-3.544064E-3</v>
      </c>
      <c r="AA2676">
        <v>0.99497659999999999</v>
      </c>
      <c r="AB2676">
        <v>48</v>
      </c>
      <c r="AC2676">
        <v>0.50579999999996506</v>
      </c>
      <c r="AD2676">
        <v>-6.4732999999999902E-2</v>
      </c>
      <c r="AE2676">
        <v>-9.8500000000001295E-2</v>
      </c>
      <c r="AF2676">
        <v>9.93191859587267E-2</v>
      </c>
      <c r="AG2676">
        <v>-6.4732999999999902E-2</v>
      </c>
      <c r="AH2676">
        <v>0.49747879832971098</v>
      </c>
      <c r="AI2676">
        <v>97.271868819992406</v>
      </c>
      <c r="AJ2676">
        <v>78.709623091496596</v>
      </c>
      <c r="AK2676">
        <v>0.51140963696050601</v>
      </c>
      <c r="AL2676">
        <v>82.265533255411995</v>
      </c>
      <c r="AM2676">
        <v>87.180003539634797</v>
      </c>
      <c r="AN2676">
        <v>1.00000003577756</v>
      </c>
    </row>
    <row r="2677" spans="1:40" x14ac:dyDescent="0.25">
      <c r="A2677" t="str">
        <f>"20190312164318275"</f>
        <v>20190312164318275</v>
      </c>
      <c r="B2677" t="str">
        <f>"1552380198267678"</f>
        <v>1552380198267678</v>
      </c>
      <c r="C2677" t="s">
        <v>40</v>
      </c>
      <c r="D2677">
        <v>4.701835</v>
      </c>
      <c r="E2677">
        <v>0.52358209999999905</v>
      </c>
      <c r="F2677" t="s">
        <v>41</v>
      </c>
      <c r="G2677">
        <v>-336.51679999999999</v>
      </c>
      <c r="H2677">
        <v>1.0477110000000001</v>
      </c>
      <c r="I2677">
        <v>213.54320000000001</v>
      </c>
      <c r="J2677">
        <v>-336.95429999999999</v>
      </c>
      <c r="K2677">
        <v>1.1098170000000001</v>
      </c>
      <c r="L2677">
        <v>213.63650000000001</v>
      </c>
      <c r="M2677">
        <v>0.99988060000000001</v>
      </c>
      <c r="N2677">
        <v>0</v>
      </c>
      <c r="O2677">
        <v>4.7198769999999999E-3</v>
      </c>
      <c r="P2677">
        <v>0.99176039999999999</v>
      </c>
      <c r="Q2677">
        <v>0.12012100000000001</v>
      </c>
      <c r="R2677">
        <v>-4.4526280000000001E-2</v>
      </c>
      <c r="S2677">
        <v>3.036133</v>
      </c>
      <c r="T2677">
        <v>-0.20160400000000001</v>
      </c>
      <c r="U2677">
        <v>-0.29403689999999999</v>
      </c>
      <c r="V2677">
        <v>4.9212789999999999E-2</v>
      </c>
      <c r="W2677">
        <v>0.13470470000000001</v>
      </c>
      <c r="X2677">
        <v>0.98966290000000001</v>
      </c>
      <c r="Y2677">
        <v>0.1008618</v>
      </c>
      <c r="Z2677">
        <v>-3.6496110000000001E-3</v>
      </c>
      <c r="AA2677">
        <v>0.99489369999999999</v>
      </c>
      <c r="AB2677">
        <v>48</v>
      </c>
      <c r="AC2677">
        <v>0.4375</v>
      </c>
      <c r="AD2677">
        <v>-6.2106000000000001E-2</v>
      </c>
      <c r="AE2677">
        <v>-9.3299999999999203E-2</v>
      </c>
      <c r="AF2677">
        <v>9.3560740933564396E-2</v>
      </c>
      <c r="AG2677">
        <v>-6.2106000000000001E-2</v>
      </c>
      <c r="AH2677">
        <v>0.42878976300381999</v>
      </c>
      <c r="AI2677">
        <v>98.054486415197402</v>
      </c>
      <c r="AJ2677">
        <v>77.691140972975205</v>
      </c>
      <c r="AK2677">
        <v>0.443250976690306</v>
      </c>
      <c r="AL2677">
        <v>82.258455178657897</v>
      </c>
      <c r="AM2677">
        <v>87.153207950544299</v>
      </c>
      <c r="AN2677">
        <v>0.99999995526904095</v>
      </c>
    </row>
    <row r="2678" spans="1:40" x14ac:dyDescent="0.25">
      <c r="A2678" t="str">
        <f>"20190312164318297"</f>
        <v>20190312164318297</v>
      </c>
      <c r="B2678" t="str">
        <f>"1552380198287202"</f>
        <v>1552380198287202</v>
      </c>
      <c r="C2678" t="s">
        <v>40</v>
      </c>
      <c r="D2678">
        <v>4.7591260000000002</v>
      </c>
      <c r="E2678">
        <v>0.52376449999999997</v>
      </c>
      <c r="F2678" t="s">
        <v>41</v>
      </c>
      <c r="G2678">
        <v>-336.08300000000003</v>
      </c>
      <c r="H2678">
        <v>1.0507879999999901</v>
      </c>
      <c r="I2678">
        <v>213.55119999999999</v>
      </c>
      <c r="J2678">
        <v>-336.48390000000001</v>
      </c>
      <c r="K2678">
        <v>1.1098250000000001</v>
      </c>
      <c r="L2678">
        <v>213.6387</v>
      </c>
      <c r="M2678">
        <v>0.9998804</v>
      </c>
      <c r="N2678">
        <v>0</v>
      </c>
      <c r="O2678">
        <v>4.7201049999999996E-3</v>
      </c>
      <c r="P2678">
        <v>0.99179360000000005</v>
      </c>
      <c r="Q2678">
        <v>0.11990629999999999</v>
      </c>
      <c r="R2678">
        <v>-4.436416E-2</v>
      </c>
      <c r="S2678">
        <v>3.036591</v>
      </c>
      <c r="T2678">
        <v>-0.2059115</v>
      </c>
      <c r="U2678">
        <v>-0.29565429999999998</v>
      </c>
      <c r="V2678">
        <v>4.9050860000000002E-2</v>
      </c>
      <c r="W2678">
        <v>0.1345006</v>
      </c>
      <c r="X2678">
        <v>0.98969879999999999</v>
      </c>
      <c r="Y2678">
        <v>0.1013616</v>
      </c>
      <c r="Z2678">
        <v>-3.7436650000000002E-3</v>
      </c>
      <c r="AA2678">
        <v>0.99484260000000002</v>
      </c>
      <c r="AB2678">
        <v>48</v>
      </c>
      <c r="AC2678">
        <v>0.400899999999978</v>
      </c>
      <c r="AD2678">
        <v>-5.90370000000002E-2</v>
      </c>
      <c r="AE2678">
        <v>-8.7500000000005601E-2</v>
      </c>
      <c r="AF2678">
        <v>8.7578661761031198E-2</v>
      </c>
      <c r="AG2678">
        <v>-5.90370000000002E-2</v>
      </c>
      <c r="AH2678">
        <v>0.39236070063274298</v>
      </c>
      <c r="AI2678">
        <v>98.354304967214503</v>
      </c>
      <c r="AJ2678">
        <v>77.417295083810401</v>
      </c>
      <c r="AK2678">
        <v>0.406327834101812</v>
      </c>
      <c r="AL2678">
        <v>82.270257432453207</v>
      </c>
      <c r="AM2678">
        <v>87.162662472036899</v>
      </c>
      <c r="AN2678">
        <v>1.0000000564942599</v>
      </c>
    </row>
    <row r="2679" spans="1:40" x14ac:dyDescent="0.25">
      <c r="A2679" t="str">
        <f>"20190312164318320"</f>
        <v>20190312164318320</v>
      </c>
      <c r="B2679" t="str">
        <f>"1552380198307333"</f>
        <v>1552380198307333</v>
      </c>
      <c r="C2679" t="s">
        <v>40</v>
      </c>
      <c r="D2679">
        <v>4.7123140000000001</v>
      </c>
      <c r="E2679">
        <v>0.52404620000000002</v>
      </c>
      <c r="F2679" t="s">
        <v>46</v>
      </c>
      <c r="G2679">
        <v>-320.18740000000003</v>
      </c>
      <c r="H2679" s="1">
        <v>-1.4370740000000001E-6</v>
      </c>
      <c r="I2679">
        <v>212.0453</v>
      </c>
      <c r="J2679">
        <v>-336.00779999999997</v>
      </c>
      <c r="K2679">
        <v>1.109826</v>
      </c>
      <c r="L2679">
        <v>213.64089999999999</v>
      </c>
      <c r="M2679">
        <v>0.9998802</v>
      </c>
      <c r="N2679">
        <v>0</v>
      </c>
      <c r="O2679">
        <v>4.7202249999999998E-3</v>
      </c>
      <c r="P2679">
        <v>0.99182289999999995</v>
      </c>
      <c r="Q2679">
        <v>0.1197608</v>
      </c>
      <c r="R2679">
        <v>-4.4103089999999998E-2</v>
      </c>
      <c r="S2679">
        <v>3.0364990000000001</v>
      </c>
      <c r="T2679">
        <v>-0.20679149999999999</v>
      </c>
      <c r="U2679">
        <v>-0.2968903</v>
      </c>
      <c r="V2679">
        <v>4.8789930000000002E-2</v>
      </c>
      <c r="W2679">
        <v>0.13436400000000001</v>
      </c>
      <c r="X2679">
        <v>0.9897302</v>
      </c>
      <c r="Y2679">
        <v>0.1017628</v>
      </c>
      <c r="Z2679">
        <v>-3.7732859999999998E-3</v>
      </c>
      <c r="AA2679">
        <v>0.99480150000000001</v>
      </c>
      <c r="AB2679">
        <v>48</v>
      </c>
      <c r="AC2679">
        <v>15.8203999999999</v>
      </c>
      <c r="AD2679">
        <v>-1.109827437074</v>
      </c>
      <c r="AE2679">
        <v>-1.5955999999999899</v>
      </c>
      <c r="AF2679">
        <v>1.6621685953459799</v>
      </c>
      <c r="AG2679">
        <v>-1.109827437074</v>
      </c>
      <c r="AH2679">
        <v>15.736030078950099</v>
      </c>
      <c r="AI2679">
        <v>94.012018457330001</v>
      </c>
      <c r="AJ2679">
        <v>83.970308440405205</v>
      </c>
      <c r="AK2679">
        <v>15.8624450834371</v>
      </c>
      <c r="AL2679">
        <v>82.278155332182493</v>
      </c>
      <c r="AM2679">
        <v>87.177820843759605</v>
      </c>
      <c r="AN2679">
        <v>1.0000000052787199</v>
      </c>
    </row>
    <row r="2680" spans="1:40" x14ac:dyDescent="0.25">
      <c r="A2680" t="str">
        <f>"20190312164318342"</f>
        <v>20190312164318342</v>
      </c>
      <c r="B2680" t="str">
        <f>"1552380198337588"</f>
        <v>1552380198337588</v>
      </c>
      <c r="C2680" t="s">
        <v>40</v>
      </c>
      <c r="D2680">
        <v>4.6688190000000001</v>
      </c>
      <c r="E2680">
        <v>0.52392539999999999</v>
      </c>
      <c r="F2680" t="s">
        <v>47</v>
      </c>
      <c r="G2680">
        <v>-319.6388</v>
      </c>
      <c r="H2680" s="1">
        <v>5.1800649999999998E-6</v>
      </c>
      <c r="I2680">
        <v>212.03190000000001</v>
      </c>
      <c r="J2680">
        <v>-335.52859999999998</v>
      </c>
      <c r="K2680">
        <v>1.1098330000000001</v>
      </c>
      <c r="L2680">
        <v>213.64320000000001</v>
      </c>
      <c r="M2680">
        <v>0.9998802</v>
      </c>
      <c r="N2680">
        <v>0</v>
      </c>
      <c r="O2680">
        <v>4.7201769999999999E-3</v>
      </c>
      <c r="P2680">
        <v>0.99181929999999996</v>
      </c>
      <c r="Q2680">
        <v>0.1197735</v>
      </c>
      <c r="R2680">
        <v>-4.414821E-2</v>
      </c>
      <c r="S2680">
        <v>3.0363159999999998</v>
      </c>
      <c r="T2680">
        <v>-0.20586370000000001</v>
      </c>
      <c r="U2680">
        <v>-0.2984619</v>
      </c>
      <c r="V2680">
        <v>4.8835049999999998E-2</v>
      </c>
      <c r="W2680">
        <v>0.13438339999999999</v>
      </c>
      <c r="X2680">
        <v>0.98972539999999998</v>
      </c>
      <c r="Y2680">
        <v>0.1022795</v>
      </c>
      <c r="Z2680">
        <v>-3.7739779999999999E-3</v>
      </c>
      <c r="AA2680">
        <v>0.99474850000000004</v>
      </c>
      <c r="AB2680">
        <v>48</v>
      </c>
      <c r="AC2680">
        <v>15.8897999999999</v>
      </c>
      <c r="AD2680">
        <v>-1.109827819935</v>
      </c>
      <c r="AE2680">
        <v>-1.6113</v>
      </c>
      <c r="AF2680">
        <v>1.67818937117196</v>
      </c>
      <c r="AG2680">
        <v>-1.109827819935</v>
      </c>
      <c r="AH2680">
        <v>15.8056953415548</v>
      </c>
      <c r="AI2680">
        <v>93.994165295627994</v>
      </c>
      <c r="AJ2680">
        <v>83.939256298957801</v>
      </c>
      <c r="AK2680">
        <v>15.9332370403965</v>
      </c>
      <c r="AL2680">
        <v>82.2770340761017</v>
      </c>
      <c r="AM2680">
        <v>87.175201493766394</v>
      </c>
      <c r="AN2680">
        <v>1.0000000638546001</v>
      </c>
    </row>
    <row r="2681" spans="1:40" x14ac:dyDescent="0.25">
      <c r="A2681" t="str">
        <f>"20190312164318365"</f>
        <v>20190312164318365</v>
      </c>
      <c r="B2681" t="str">
        <f>"1552380198357109"</f>
        <v>1552380198357109</v>
      </c>
      <c r="C2681" t="s">
        <v>40</v>
      </c>
      <c r="D2681">
        <v>4.5808759999999999</v>
      </c>
      <c r="E2681">
        <v>0.52410000000000001</v>
      </c>
      <c r="F2681" t="s">
        <v>41</v>
      </c>
      <c r="G2681">
        <v>-334.39319999999998</v>
      </c>
      <c r="H2681">
        <v>1.0309120000000001</v>
      </c>
      <c r="I2681">
        <v>213.5318</v>
      </c>
      <c r="J2681">
        <v>-335.03339999999997</v>
      </c>
      <c r="K2681">
        <v>1.1098349999999999</v>
      </c>
      <c r="L2681">
        <v>213.6456</v>
      </c>
      <c r="M2681">
        <v>0.99987999999999999</v>
      </c>
      <c r="N2681">
        <v>0</v>
      </c>
      <c r="O2681">
        <v>4.7204949999999999E-3</v>
      </c>
      <c r="P2681">
        <v>0.99191739999999995</v>
      </c>
      <c r="Q2681">
        <v>0.11896569999999999</v>
      </c>
      <c r="R2681">
        <v>-4.4130599999999999E-2</v>
      </c>
      <c r="S2681">
        <v>3.0370180000000002</v>
      </c>
      <c r="T2681">
        <v>-0.21117269999999999</v>
      </c>
      <c r="U2681">
        <v>-0.29711910000000002</v>
      </c>
      <c r="V2681">
        <v>4.8818050000000002E-2</v>
      </c>
      <c r="W2681">
        <v>0.13358249999999999</v>
      </c>
      <c r="X2681">
        <v>0.98983460000000001</v>
      </c>
      <c r="Y2681">
        <v>0.1018104</v>
      </c>
      <c r="Z2681">
        <v>-3.8540380000000002E-3</v>
      </c>
      <c r="AA2681">
        <v>0.99479629999999997</v>
      </c>
      <c r="AB2681">
        <v>48</v>
      </c>
      <c r="AC2681">
        <v>0.640199999999992</v>
      </c>
      <c r="AD2681">
        <v>-7.8922999999999993E-2</v>
      </c>
      <c r="AE2681">
        <v>-0.113799999999997</v>
      </c>
      <c r="AF2681">
        <v>0.11512508404052101</v>
      </c>
      <c r="AG2681">
        <v>-7.8922999999999993E-2</v>
      </c>
      <c r="AH2681">
        <v>0.630368937789205</v>
      </c>
      <c r="AI2681">
        <v>97.021422700598094</v>
      </c>
      <c r="AJ2681">
        <v>79.650063856657297</v>
      </c>
      <c r="AK2681">
        <v>0.64563737704211999</v>
      </c>
      <c r="AL2681">
        <v>82.323339363744594</v>
      </c>
      <c r="AM2681">
        <v>87.176494267742996</v>
      </c>
      <c r="AN2681">
        <v>1.0000000108346001</v>
      </c>
    </row>
    <row r="2682" spans="1:40" x14ac:dyDescent="0.25">
      <c r="A2682" t="str">
        <f>"20190312164318388"</f>
        <v>20190312164318388</v>
      </c>
      <c r="B2682" t="str">
        <f>"1552380198377605"</f>
        <v>1552380198377605</v>
      </c>
      <c r="C2682" t="s">
        <v>40</v>
      </c>
      <c r="D2682">
        <v>4.5282539999999996</v>
      </c>
      <c r="E2682">
        <v>0.524296599999999</v>
      </c>
      <c r="F2682" t="s">
        <v>41</v>
      </c>
      <c r="G2682">
        <v>-333.9658</v>
      </c>
      <c r="H2682">
        <v>1.0340959999999999</v>
      </c>
      <c r="I2682">
        <v>213.54060000000001</v>
      </c>
      <c r="J2682">
        <v>-334.5573</v>
      </c>
      <c r="K2682">
        <v>1.1098399999999999</v>
      </c>
      <c r="L2682">
        <v>213.64779999999999</v>
      </c>
      <c r="M2682">
        <v>0.99988010000000005</v>
      </c>
      <c r="N2682">
        <v>0</v>
      </c>
      <c r="O2682">
        <v>4.7204639999999997E-3</v>
      </c>
      <c r="P2682">
        <v>0.99194649999999995</v>
      </c>
      <c r="Q2682">
        <v>0.1187288</v>
      </c>
      <c r="R2682">
        <v>-4.4111369999999997E-2</v>
      </c>
      <c r="S2682">
        <v>3.0370789999999999</v>
      </c>
      <c r="T2682">
        <v>-0.21550429999999901</v>
      </c>
      <c r="U2682">
        <v>-0.29823300000000003</v>
      </c>
      <c r="V2682">
        <v>4.8799049999999997E-2</v>
      </c>
      <c r="W2682">
        <v>0.13335039999999901</v>
      </c>
      <c r="X2682">
        <v>0.98986680000000005</v>
      </c>
      <c r="Y2682">
        <v>0.1021584</v>
      </c>
      <c r="Z2682">
        <v>-3.9450500000000003E-3</v>
      </c>
      <c r="AA2682">
        <v>0.99476030000000004</v>
      </c>
      <c r="AB2682">
        <v>48</v>
      </c>
      <c r="AC2682">
        <v>0.59149999999999603</v>
      </c>
      <c r="AD2682">
        <v>-7.5744000000000006E-2</v>
      </c>
      <c r="AE2682">
        <v>-0.10719999999997699</v>
      </c>
      <c r="AF2682">
        <v>0.10827229151178699</v>
      </c>
      <c r="AG2682">
        <v>-7.5744000000000006E-2</v>
      </c>
      <c r="AH2682">
        <v>0.58175121636027505</v>
      </c>
      <c r="AI2682">
        <v>97.294306509518094</v>
      </c>
      <c r="AJ2682">
        <v>79.457055500966305</v>
      </c>
      <c r="AK2682">
        <v>0.59656895693781598</v>
      </c>
      <c r="AL2682">
        <v>82.336757519390503</v>
      </c>
      <c r="AM2682">
        <v>87.177683063287205</v>
      </c>
      <c r="AN2682">
        <v>0.99999997910165095</v>
      </c>
    </row>
    <row r="2683" spans="1:40" x14ac:dyDescent="0.25">
      <c r="A2683" t="str">
        <f>"20190312164318409"</f>
        <v>20190312164318409</v>
      </c>
      <c r="B2683" t="str">
        <f>"1552380198397125"</f>
        <v>1552380198397125</v>
      </c>
      <c r="C2683" t="s">
        <v>40</v>
      </c>
      <c r="D2683">
        <v>4.7875889999999997</v>
      </c>
      <c r="E2683">
        <v>0.52457200000000004</v>
      </c>
      <c r="F2683" t="s">
        <v>41</v>
      </c>
      <c r="G2683">
        <v>-333.53890000000001</v>
      </c>
      <c r="H2683">
        <v>1.036797</v>
      </c>
      <c r="I2683">
        <v>213.54689999999999</v>
      </c>
      <c r="J2683">
        <v>-334.0874</v>
      </c>
      <c r="K2683">
        <v>1.109839</v>
      </c>
      <c r="L2683">
        <v>213.65</v>
      </c>
      <c r="M2683">
        <v>0.99987999999999999</v>
      </c>
      <c r="N2683">
        <v>0</v>
      </c>
      <c r="O2683">
        <v>4.720798E-3</v>
      </c>
      <c r="P2683">
        <v>0.9919171</v>
      </c>
      <c r="Q2683">
        <v>0.1188805</v>
      </c>
      <c r="R2683">
        <v>-4.4365519999999999E-2</v>
      </c>
      <c r="S2683">
        <v>3.037048</v>
      </c>
      <c r="T2683">
        <v>-0.21793770000000001</v>
      </c>
      <c r="U2683">
        <v>-0.29978939999999998</v>
      </c>
      <c r="V2683">
        <v>4.9053149999999997E-2</v>
      </c>
      <c r="W2683">
        <v>0.13350499999999901</v>
      </c>
      <c r="X2683">
        <v>0.98983339999999997</v>
      </c>
      <c r="Y2683">
        <v>0.10265730000000001</v>
      </c>
      <c r="Z2683">
        <v>-4.0072809999999997E-3</v>
      </c>
      <c r="AA2683">
        <v>0.9947087</v>
      </c>
      <c r="AB2683">
        <v>48</v>
      </c>
      <c r="AC2683">
        <v>0.54849999999999</v>
      </c>
      <c r="AD2683">
        <v>-7.3041999999999996E-2</v>
      </c>
      <c r="AE2683">
        <v>-0.103100000000011</v>
      </c>
      <c r="AF2683">
        <v>0.103908717810832</v>
      </c>
      <c r="AG2683">
        <v>-7.3041999999999996E-2</v>
      </c>
      <c r="AH2683">
        <v>0.53877879097833403</v>
      </c>
      <c r="AI2683">
        <v>97.582438043813497</v>
      </c>
      <c r="AJ2683">
        <v>79.083976122634795</v>
      </c>
      <c r="AK2683">
        <v>0.55354741532154805</v>
      </c>
      <c r="AL2683">
        <v>82.327819667058606</v>
      </c>
      <c r="AM2683">
        <v>87.162915439644294</v>
      </c>
      <c r="AN2683">
        <v>0.99999997815274</v>
      </c>
    </row>
    <row r="2684" spans="1:40" x14ac:dyDescent="0.25">
      <c r="A2684" t="str">
        <f>"20190312164318431"</f>
        <v>20190312164318431</v>
      </c>
      <c r="B2684" t="str">
        <f>"1552380198427381"</f>
        <v>1552380198427381</v>
      </c>
      <c r="C2684" t="s">
        <v>40</v>
      </c>
      <c r="D2684">
        <v>4.4983079999999998</v>
      </c>
      <c r="E2684">
        <v>0.52493330000000005</v>
      </c>
      <c r="F2684" t="s">
        <v>41</v>
      </c>
      <c r="G2684">
        <v>-333.11169999999998</v>
      </c>
      <c r="H2684">
        <v>1.040635</v>
      </c>
      <c r="I2684">
        <v>213.55240000000001</v>
      </c>
      <c r="J2684">
        <v>-333.63209999999998</v>
      </c>
      <c r="K2684">
        <v>1.1098429999999999</v>
      </c>
      <c r="L2684">
        <v>213.65219999999999</v>
      </c>
      <c r="M2684">
        <v>0.99987979999999999</v>
      </c>
      <c r="N2684">
        <v>0</v>
      </c>
      <c r="O2684">
        <v>4.7210790000000004E-3</v>
      </c>
      <c r="P2684">
        <v>0.99187000000000003</v>
      </c>
      <c r="Q2684">
        <v>0.1191441</v>
      </c>
      <c r="R2684">
        <v>-4.4702579999999999E-2</v>
      </c>
      <c r="S2684">
        <v>3.0366819999999999</v>
      </c>
      <c r="T2684">
        <v>-0.21544060000000001</v>
      </c>
      <c r="U2684">
        <v>-0.3034058</v>
      </c>
      <c r="V2684">
        <v>4.9390530000000002E-2</v>
      </c>
      <c r="W2684">
        <v>0.1337701</v>
      </c>
      <c r="X2684">
        <v>0.98978080000000002</v>
      </c>
      <c r="Y2684">
        <v>0.1038454</v>
      </c>
      <c r="Z2684">
        <v>-4.0037349999999996E-3</v>
      </c>
      <c r="AA2684">
        <v>0.99458539999999995</v>
      </c>
      <c r="AB2684">
        <v>48</v>
      </c>
      <c r="AC2684">
        <v>0.52039999999999498</v>
      </c>
      <c r="AD2684">
        <v>-6.9208000000000103E-2</v>
      </c>
      <c r="AE2684">
        <v>-9.9799999999987593E-2</v>
      </c>
      <c r="AF2684">
        <v>0.100540883085984</v>
      </c>
      <c r="AG2684">
        <v>-6.9208000000000103E-2</v>
      </c>
      <c r="AH2684">
        <v>0.51120240763340097</v>
      </c>
      <c r="AI2684">
        <v>97.566755933656097</v>
      </c>
      <c r="AJ2684">
        <v>78.873349185051694</v>
      </c>
      <c r="AK2684">
        <v>0.525572181537317</v>
      </c>
      <c r="AL2684">
        <v>82.312492847653502</v>
      </c>
      <c r="AM2684">
        <v>87.143283063496696</v>
      </c>
      <c r="AN2684">
        <v>0.99999994807816395</v>
      </c>
    </row>
    <row r="2685" spans="1:40" x14ac:dyDescent="0.25">
      <c r="A2685" t="str">
        <f>"20190312164318452"</f>
        <v>20190312164318452</v>
      </c>
      <c r="B2685" t="str">
        <f>"1552380198446901"</f>
        <v>1552380198446901</v>
      </c>
      <c r="C2685" t="s">
        <v>40</v>
      </c>
      <c r="D2685">
        <v>4.4829619999999997</v>
      </c>
      <c r="E2685">
        <v>0.54537219999999997</v>
      </c>
      <c r="F2685" t="s">
        <v>41</v>
      </c>
      <c r="G2685">
        <v>-332.68430000000001</v>
      </c>
      <c r="H2685">
        <v>1.043366</v>
      </c>
      <c r="I2685">
        <v>213.55590000000001</v>
      </c>
      <c r="J2685">
        <v>-333.17520000000002</v>
      </c>
      <c r="K2685">
        <v>1.109847</v>
      </c>
      <c r="L2685">
        <v>213.65430000000001</v>
      </c>
      <c r="M2685">
        <v>0.99987979999999999</v>
      </c>
      <c r="N2685">
        <v>0</v>
      </c>
      <c r="O2685">
        <v>4.7212460000000001E-3</v>
      </c>
      <c r="P2685">
        <v>0.99192150000000001</v>
      </c>
      <c r="Q2685">
        <v>0.1187747</v>
      </c>
      <c r="R2685">
        <v>-4.4550109999999997E-2</v>
      </c>
      <c r="S2685">
        <v>3.036346</v>
      </c>
      <c r="T2685">
        <v>-0.21309919999999999</v>
      </c>
      <c r="U2685">
        <v>-0.30743409999999999</v>
      </c>
      <c r="V2685">
        <v>4.9238200000000003E-2</v>
      </c>
      <c r="W2685">
        <v>0.13340339999999901</v>
      </c>
      <c r="X2685">
        <v>0.98983790000000005</v>
      </c>
      <c r="Y2685">
        <v>0.1051653</v>
      </c>
      <c r="Z2685">
        <v>-4.0066579999999997E-3</v>
      </c>
      <c r="AA2685">
        <v>0.99444670000000002</v>
      </c>
      <c r="AB2685">
        <v>48</v>
      </c>
      <c r="AC2685">
        <v>0.49090000000001</v>
      </c>
      <c r="AD2685">
        <v>-6.6480999999999998E-2</v>
      </c>
      <c r="AE2685">
        <v>-9.8399999999998003E-2</v>
      </c>
      <c r="AF2685">
        <v>9.8971748972439294E-2</v>
      </c>
      <c r="AG2685">
        <v>-6.6480999999999998E-2</v>
      </c>
      <c r="AH2685">
        <v>0.48193248896712299</v>
      </c>
      <c r="AI2685">
        <v>97.695576107225904</v>
      </c>
      <c r="AJ2685">
        <v>78.394841799150001</v>
      </c>
      <c r="AK2685">
        <v>0.496461533633483</v>
      </c>
      <c r="AL2685">
        <v>82.333693380294903</v>
      </c>
      <c r="AM2685">
        <v>87.152243222190194</v>
      </c>
      <c r="AN2685">
        <v>0.99999996787360401</v>
      </c>
    </row>
    <row r="2686" spans="1:40" x14ac:dyDescent="0.25">
      <c r="A2686" t="str">
        <f>"20190312164318476"</f>
        <v>20190312164318476</v>
      </c>
      <c r="B2686" t="str">
        <f>"1552380198467397"</f>
        <v>1552380198467397</v>
      </c>
      <c r="C2686" t="s">
        <v>40</v>
      </c>
      <c r="D2686">
        <v>4.910965</v>
      </c>
      <c r="E2686">
        <v>0.54646119999999898</v>
      </c>
      <c r="F2686" t="s">
        <v>47</v>
      </c>
      <c r="G2686">
        <v>-316.8972</v>
      </c>
      <c r="H2686" s="1">
        <v>3.964267E-6</v>
      </c>
      <c r="I2686">
        <v>211.12479999999999</v>
      </c>
      <c r="J2686">
        <v>-332.678</v>
      </c>
      <c r="K2686">
        <v>1.10985</v>
      </c>
      <c r="L2686">
        <v>213.6567</v>
      </c>
      <c r="M2686">
        <v>0.99987979999999999</v>
      </c>
      <c r="N2686">
        <v>0</v>
      </c>
      <c r="O2686">
        <v>4.7214170000000003E-3</v>
      </c>
      <c r="P2686">
        <v>0.99198629999999999</v>
      </c>
      <c r="Q2686">
        <v>0.11851970000000001</v>
      </c>
      <c r="R2686">
        <v>-4.3779419999999999E-2</v>
      </c>
      <c r="S2686">
        <v>3.0279850000000001</v>
      </c>
      <c r="T2686">
        <v>-0.2064493</v>
      </c>
      <c r="U2686">
        <v>-0.47053529999999999</v>
      </c>
      <c r="V2686">
        <v>4.8467929999999999E-2</v>
      </c>
      <c r="W2686">
        <v>0.13315099999999999</v>
      </c>
      <c r="X2686">
        <v>0.98990990000000001</v>
      </c>
      <c r="Y2686">
        <v>0.15784819999999999</v>
      </c>
      <c r="Z2686">
        <v>-5.6625740000000001E-3</v>
      </c>
      <c r="AA2686">
        <v>0.98744710000000002</v>
      </c>
      <c r="AB2686">
        <v>48</v>
      </c>
      <c r="AC2686">
        <v>15.780799999999999</v>
      </c>
      <c r="AD2686">
        <v>-1.109846035733</v>
      </c>
      <c r="AE2686">
        <v>-2.5318999999999998</v>
      </c>
      <c r="AF2686">
        <v>2.5938798826450999</v>
      </c>
      <c r="AG2686">
        <v>-1.109846035733</v>
      </c>
      <c r="AH2686">
        <v>15.6929965841359</v>
      </c>
      <c r="AI2686">
        <v>93.991381073899205</v>
      </c>
      <c r="AJ2686">
        <v>80.614495423607494</v>
      </c>
      <c r="AK2686">
        <v>15.9445950986008</v>
      </c>
      <c r="AL2686">
        <v>82.348285023532995</v>
      </c>
      <c r="AM2686">
        <v>87.196924755900994</v>
      </c>
      <c r="AN2686">
        <v>0.99999996957874704</v>
      </c>
    </row>
    <row r="2687" spans="1:40" x14ac:dyDescent="0.25">
      <c r="A2687" t="str">
        <f>"20190312164318498"</f>
        <v>20190312164318498</v>
      </c>
      <c r="B2687" t="str">
        <f>"1552380198486917"</f>
        <v>1552380198486917</v>
      </c>
      <c r="C2687" t="s">
        <v>40</v>
      </c>
      <c r="D2687">
        <v>4.4348850000000004</v>
      </c>
      <c r="E2687">
        <v>0.54697759999999995</v>
      </c>
      <c r="F2687" t="s">
        <v>47</v>
      </c>
      <c r="G2687">
        <v>-316.55520000000001</v>
      </c>
      <c r="H2687" s="1">
        <v>3.81261E-6</v>
      </c>
      <c r="I2687">
        <v>211.11850000000001</v>
      </c>
      <c r="J2687">
        <v>-332.19580000000002</v>
      </c>
      <c r="K2687">
        <v>1.1098539999999999</v>
      </c>
      <c r="L2687">
        <v>213.65899999999999</v>
      </c>
      <c r="M2687">
        <v>0.99987979999999999</v>
      </c>
      <c r="N2687">
        <v>0</v>
      </c>
      <c r="O2687">
        <v>4.721711E-3</v>
      </c>
      <c r="P2687">
        <v>0.99198169999999997</v>
      </c>
      <c r="Q2687">
        <v>0.11859889999999999</v>
      </c>
      <c r="R2687">
        <v>-4.3662659999999999E-2</v>
      </c>
      <c r="S2687">
        <v>3.0281069999999999</v>
      </c>
      <c r="T2687">
        <v>-0.2084464</v>
      </c>
      <c r="U2687">
        <v>-0.47669980000000001</v>
      </c>
      <c r="V2687">
        <v>4.8351690000000003E-2</v>
      </c>
      <c r="W2687">
        <v>0.1332304</v>
      </c>
      <c r="X2687">
        <v>0.98990489999999998</v>
      </c>
      <c r="Y2687">
        <v>0.15979289999999999</v>
      </c>
      <c r="Z2687">
        <v>-5.7825759999999898E-3</v>
      </c>
      <c r="AA2687">
        <v>0.98713360000000006</v>
      </c>
      <c r="AB2687">
        <v>47</v>
      </c>
      <c r="AC2687">
        <v>15.640599999999999</v>
      </c>
      <c r="AD2687">
        <v>-1.10985018739</v>
      </c>
      <c r="AE2687">
        <v>-2.5405000000000002</v>
      </c>
      <c r="AF2687">
        <v>2.6015672815144999</v>
      </c>
      <c r="AG2687">
        <v>-1.10985018739</v>
      </c>
      <c r="AH2687">
        <v>15.552132717748099</v>
      </c>
      <c r="AI2687">
        <v>94.026136414606995</v>
      </c>
      <c r="AJ2687">
        <v>80.503466184519496</v>
      </c>
      <c r="AK2687">
        <v>15.8072373243761</v>
      </c>
      <c r="AL2687">
        <v>82.343694831535004</v>
      </c>
      <c r="AM2687">
        <v>87.203622549293797</v>
      </c>
      <c r="AN2687">
        <v>0.99999996822701198</v>
      </c>
    </row>
    <row r="2688" spans="1:40" x14ac:dyDescent="0.25">
      <c r="A2688" t="str">
        <f>"20190312164318520"</f>
        <v>20190312164318520</v>
      </c>
      <c r="B2688" t="str">
        <f>"1552380198507413"</f>
        <v>1552380198507413</v>
      </c>
      <c r="C2688" t="s">
        <v>40</v>
      </c>
      <c r="D2688">
        <v>4.802003</v>
      </c>
      <c r="E2688">
        <v>0.54729749999999999</v>
      </c>
      <c r="F2688" t="s">
        <v>47</v>
      </c>
      <c r="G2688">
        <v>-316.12259999999998</v>
      </c>
      <c r="H2688" s="1">
        <v>3.620771E-6</v>
      </c>
      <c r="I2688">
        <v>211.1086</v>
      </c>
      <c r="J2688">
        <v>-331.74889999999999</v>
      </c>
      <c r="K2688">
        <v>1.109861</v>
      </c>
      <c r="L2688">
        <v>213.6611</v>
      </c>
      <c r="M2688">
        <v>0.99987979999999999</v>
      </c>
      <c r="N2688">
        <v>0</v>
      </c>
      <c r="O2688">
        <v>4.721711E-3</v>
      </c>
      <c r="P2688">
        <v>0.99193659999999995</v>
      </c>
      <c r="Q2688">
        <v>0.1190741</v>
      </c>
      <c r="R2688">
        <v>-4.3396820000000003E-2</v>
      </c>
      <c r="S2688">
        <v>3.0281069999999999</v>
      </c>
      <c r="T2688">
        <v>-0.20909050000000001</v>
      </c>
      <c r="U2688">
        <v>-0.48046879999999997</v>
      </c>
      <c r="V2688">
        <v>4.8085530000000001E-2</v>
      </c>
      <c r="W2688">
        <v>0.1337053</v>
      </c>
      <c r="X2688">
        <v>0.98985389999999995</v>
      </c>
      <c r="Y2688">
        <v>0.1609865</v>
      </c>
      <c r="Z2688">
        <v>-5.8407490000000001E-3</v>
      </c>
      <c r="AA2688">
        <v>0.98693929999999996</v>
      </c>
      <c r="AB2688">
        <v>47</v>
      </c>
      <c r="AC2688">
        <v>15.626300000000001</v>
      </c>
      <c r="AD2688">
        <v>-1.1098573792290001</v>
      </c>
      <c r="AE2688">
        <v>-2.5525000000000002</v>
      </c>
      <c r="AF2688">
        <v>2.6134215577839801</v>
      </c>
      <c r="AG2688">
        <v>-1.1098573792290001</v>
      </c>
      <c r="AH2688">
        <v>15.5377285203176</v>
      </c>
      <c r="AI2688">
        <v>94.029281033479293</v>
      </c>
      <c r="AJ2688">
        <v>80.452307421491199</v>
      </c>
      <c r="AK2688">
        <v>15.7950233685174</v>
      </c>
      <c r="AL2688">
        <v>82.316239936588801</v>
      </c>
      <c r="AM2688">
        <v>87.218848386545801</v>
      </c>
      <c r="AN2688">
        <v>1.0000000343943301</v>
      </c>
    </row>
    <row r="2689" spans="1:40" x14ac:dyDescent="0.25">
      <c r="A2689" t="str">
        <f>"20190312164318542"</f>
        <v>20190312164318542</v>
      </c>
      <c r="B2689" t="str">
        <f>"1552380198537670"</f>
        <v>1552380198537670</v>
      </c>
      <c r="C2689" t="s">
        <v>40</v>
      </c>
      <c r="D2689">
        <v>4.4337629999999999</v>
      </c>
      <c r="E2689">
        <v>0.54818509999999998</v>
      </c>
      <c r="F2689" t="s">
        <v>47</v>
      </c>
      <c r="G2689">
        <v>-315.49439999999998</v>
      </c>
      <c r="H2689" s="1">
        <v>3.3421839999999999E-6</v>
      </c>
      <c r="I2689">
        <v>211.07259999999999</v>
      </c>
      <c r="J2689">
        <v>-331.28699999999998</v>
      </c>
      <c r="K2689">
        <v>1.109861</v>
      </c>
      <c r="L2689">
        <v>213.66329999999999</v>
      </c>
      <c r="M2689">
        <v>0.99987979999999999</v>
      </c>
      <c r="N2689">
        <v>0</v>
      </c>
      <c r="O2689">
        <v>4.7218920000000001E-3</v>
      </c>
      <c r="P2689">
        <v>0.99195120000000003</v>
      </c>
      <c r="Q2689">
        <v>0.11903519999999899</v>
      </c>
      <c r="R2689">
        <v>-4.3170569999999998E-2</v>
      </c>
      <c r="S2689">
        <v>3.0281069999999999</v>
      </c>
      <c r="T2689">
        <v>-0.20675959999999999</v>
      </c>
      <c r="U2689">
        <v>-0.48222350000000003</v>
      </c>
      <c r="V2689">
        <v>4.7859600000000002E-2</v>
      </c>
      <c r="W2689">
        <v>0.13366610000000001</v>
      </c>
      <c r="X2689">
        <v>0.98987009999999998</v>
      </c>
      <c r="Y2689">
        <v>0.16155169999999999</v>
      </c>
      <c r="Z2689">
        <v>-5.7946919999999997E-3</v>
      </c>
      <c r="AA2689">
        <v>0.98684720000000004</v>
      </c>
      <c r="AB2689">
        <v>47</v>
      </c>
      <c r="AC2689">
        <v>15.792599999999901</v>
      </c>
      <c r="AD2689">
        <v>-1.109857657816</v>
      </c>
      <c r="AE2689">
        <v>-2.5906999999999898</v>
      </c>
      <c r="AF2689">
        <v>2.6524931881808902</v>
      </c>
      <c r="AG2689">
        <v>-1.109857657816</v>
      </c>
      <c r="AH2689">
        <v>15.7046589388189</v>
      </c>
      <c r="AI2689">
        <v>93.986136301387504</v>
      </c>
      <c r="AJ2689">
        <v>80.413304971627696</v>
      </c>
      <c r="AK2689">
        <v>15.965707517006001</v>
      </c>
      <c r="AL2689">
        <v>82.318505940703005</v>
      </c>
      <c r="AM2689">
        <v>87.231940495200604</v>
      </c>
      <c r="AN2689">
        <v>0.99999999123768901</v>
      </c>
    </row>
    <row r="2690" spans="1:40" x14ac:dyDescent="0.25">
      <c r="A2690" t="str">
        <f>"20190312164318565"</f>
        <v>20190312164318565</v>
      </c>
      <c r="B2690" t="str">
        <f>"1552380198557188"</f>
        <v>1552380198557188</v>
      </c>
      <c r="C2690" t="s">
        <v>40</v>
      </c>
      <c r="D2690">
        <v>4.420121</v>
      </c>
      <c r="E2690">
        <v>0.54860949999999997</v>
      </c>
      <c r="F2690" t="s">
        <v>47</v>
      </c>
      <c r="G2690">
        <v>-314.84230000000002</v>
      </c>
      <c r="H2690" s="1">
        <v>3.0530229999999998E-6</v>
      </c>
      <c r="I2690">
        <v>211.0069</v>
      </c>
      <c r="J2690">
        <v>-330.77640000000002</v>
      </c>
      <c r="K2690">
        <v>1.109861</v>
      </c>
      <c r="L2690">
        <v>213.66569999999999</v>
      </c>
      <c r="M2690">
        <v>0.99987990000000004</v>
      </c>
      <c r="N2690">
        <v>0</v>
      </c>
      <c r="O2690">
        <v>4.7220739999999997E-3</v>
      </c>
      <c r="P2690">
        <v>0.99196799999999996</v>
      </c>
      <c r="Q2690">
        <v>0.11904140000000001</v>
      </c>
      <c r="R2690">
        <v>-4.2764860000000002E-2</v>
      </c>
      <c r="S2690">
        <v>3.0275569999999998</v>
      </c>
      <c r="T2690">
        <v>-0.2043307</v>
      </c>
      <c r="U2690">
        <v>-0.48904419999999998</v>
      </c>
      <c r="V2690">
        <v>4.7454209999999997E-2</v>
      </c>
      <c r="W2690">
        <v>0.13367179999999901</v>
      </c>
      <c r="X2690">
        <v>0.98988880000000001</v>
      </c>
      <c r="Y2690">
        <v>0.1637507</v>
      </c>
      <c r="Z2690">
        <v>-5.8004429999999997E-3</v>
      </c>
      <c r="AA2690">
        <v>0.98648469999999999</v>
      </c>
      <c r="AB2690">
        <v>47</v>
      </c>
      <c r="AC2690">
        <v>15.934100000000001</v>
      </c>
      <c r="AD2690">
        <v>-1.109857946977</v>
      </c>
      <c r="AE2690">
        <v>-2.6587999999999798</v>
      </c>
      <c r="AF2690">
        <v>2.7211762730526101</v>
      </c>
      <c r="AG2690">
        <v>-1.109857946977</v>
      </c>
      <c r="AH2690">
        <v>15.8465682087792</v>
      </c>
      <c r="AI2690">
        <v>93.948715472625196</v>
      </c>
      <c r="AJ2690">
        <v>80.256188731656195</v>
      </c>
      <c r="AK2690">
        <v>16.116771046552198</v>
      </c>
      <c r="AL2690">
        <v>82.318176034425093</v>
      </c>
      <c r="AM2690">
        <v>87.255402833824206</v>
      </c>
      <c r="AN2690">
        <v>0.99999994426369998</v>
      </c>
    </row>
    <row r="2691" spans="1:40" x14ac:dyDescent="0.25">
      <c r="A2691" t="str">
        <f>"20190312164318588"</f>
        <v>20190312164318588</v>
      </c>
      <c r="B2691" t="str">
        <f>"1552380198577685"</f>
        <v>1552380198577685</v>
      </c>
      <c r="C2691" t="s">
        <v>40</v>
      </c>
      <c r="D2691">
        <v>4.440849</v>
      </c>
      <c r="E2691">
        <v>0.54902969999999995</v>
      </c>
      <c r="F2691" t="s">
        <v>47</v>
      </c>
      <c r="G2691">
        <v>-314.17750000000001</v>
      </c>
      <c r="H2691" s="1">
        <v>2.7581989999999999E-6</v>
      </c>
      <c r="I2691">
        <v>210.96899999999999</v>
      </c>
      <c r="J2691">
        <v>-330.29880000000003</v>
      </c>
      <c r="K2691">
        <v>1.109864</v>
      </c>
      <c r="L2691">
        <v>213.6679</v>
      </c>
      <c r="M2691">
        <v>0.99987979999999999</v>
      </c>
      <c r="N2691">
        <v>0</v>
      </c>
      <c r="O2691">
        <v>4.7224390000000002E-3</v>
      </c>
      <c r="P2691">
        <v>0.99195080000000002</v>
      </c>
      <c r="Q2691">
        <v>0.119130399999999</v>
      </c>
      <c r="R2691">
        <v>-4.2917480000000001E-2</v>
      </c>
      <c r="S2691">
        <v>3.027374</v>
      </c>
      <c r="T2691">
        <v>-0.20242060000000001</v>
      </c>
      <c r="U2691">
        <v>-0.49183650000000001</v>
      </c>
      <c r="V2691">
        <v>4.7606999999999997E-2</v>
      </c>
      <c r="W2691">
        <v>0.13375960000000001</v>
      </c>
      <c r="X2691">
        <v>0.98986969999999996</v>
      </c>
      <c r="Y2691">
        <v>0.16465199999999999</v>
      </c>
      <c r="Z2691">
        <v>-5.776191E-3</v>
      </c>
      <c r="AA2691">
        <v>0.98633479999999996</v>
      </c>
      <c r="AB2691">
        <v>47</v>
      </c>
      <c r="AC2691">
        <v>16.121300000000002</v>
      </c>
      <c r="AD2691">
        <v>-1.1098612418010001</v>
      </c>
      <c r="AE2691">
        <v>-2.6988999999999801</v>
      </c>
      <c r="AF2691">
        <v>2.7622750343728302</v>
      </c>
      <c r="AG2691">
        <v>-1.1098612418010001</v>
      </c>
      <c r="AH2691">
        <v>16.034449176337901</v>
      </c>
      <c r="AI2691">
        <v>93.902244298460005</v>
      </c>
      <c r="AJ2691">
        <v>80.225523006215795</v>
      </c>
      <c r="AK2691">
        <v>16.308449212912102</v>
      </c>
      <c r="AL2691">
        <v>82.3131006199079</v>
      </c>
      <c r="AM2691">
        <v>87.246526487605493</v>
      </c>
      <c r="AN2691">
        <v>1.0000000400096201</v>
      </c>
    </row>
    <row r="2692" spans="1:40" x14ac:dyDescent="0.25">
      <c r="A2692" t="str">
        <f>"20190312164318609"</f>
        <v>20190312164318609</v>
      </c>
      <c r="B2692" t="str">
        <f>"1552380198597712"</f>
        <v>1552380198597712</v>
      </c>
      <c r="C2692" t="s">
        <v>40</v>
      </c>
      <c r="D2692">
        <v>4.4390229999999997</v>
      </c>
      <c r="E2692">
        <v>0.54941139999999999</v>
      </c>
      <c r="F2692" t="s">
        <v>47</v>
      </c>
      <c r="G2692">
        <v>-313.56150000000002</v>
      </c>
      <c r="H2692" s="1">
        <v>2.485032E-6</v>
      </c>
      <c r="I2692">
        <v>210.9282</v>
      </c>
      <c r="J2692">
        <v>-329.8605</v>
      </c>
      <c r="K2692">
        <v>1.109861</v>
      </c>
      <c r="L2692">
        <v>213.67</v>
      </c>
      <c r="M2692">
        <v>0.99987999999999999</v>
      </c>
      <c r="N2692">
        <v>0</v>
      </c>
      <c r="O2692">
        <v>4.7226280000000004E-3</v>
      </c>
      <c r="P2692">
        <v>0.99196320000000004</v>
      </c>
      <c r="Q2692">
        <v>0.119062</v>
      </c>
      <c r="R2692">
        <v>-4.2818740000000001E-2</v>
      </c>
      <c r="S2692">
        <v>3.0270079999999999</v>
      </c>
      <c r="T2692">
        <v>-0.2007235</v>
      </c>
      <c r="U2692">
        <v>-0.49549870000000001</v>
      </c>
      <c r="V2692">
        <v>4.7508630000000003E-2</v>
      </c>
      <c r="W2692">
        <v>0.13369020000000001</v>
      </c>
      <c r="X2692">
        <v>0.98988379999999998</v>
      </c>
      <c r="Y2692">
        <v>0.16583699999999901</v>
      </c>
      <c r="Z2692">
        <v>-5.7669959999999999E-3</v>
      </c>
      <c r="AA2692">
        <v>0.98613629999999997</v>
      </c>
      <c r="AB2692">
        <v>47</v>
      </c>
      <c r="AC2692">
        <v>16.2989999999999</v>
      </c>
      <c r="AD2692">
        <v>-1.109858514968</v>
      </c>
      <c r="AE2692">
        <v>-2.74179999999998</v>
      </c>
      <c r="AF2692">
        <v>2.8060987958874501</v>
      </c>
      <c r="AG2692">
        <v>-1.109858514968</v>
      </c>
      <c r="AH2692">
        <v>16.212762541817899</v>
      </c>
      <c r="AI2692">
        <v>93.858925593383603</v>
      </c>
      <c r="AJ2692">
        <v>80.180549278288694</v>
      </c>
      <c r="AK2692">
        <v>16.491199035027801</v>
      </c>
      <c r="AL2692">
        <v>82.317112972268404</v>
      </c>
      <c r="AM2692">
        <v>87.252246321098795</v>
      </c>
      <c r="AN2692">
        <v>1.00000003850147</v>
      </c>
    </row>
    <row r="2693" spans="1:40" x14ac:dyDescent="0.25">
      <c r="A2693" t="str">
        <f>"20190312164318643"</f>
        <v>20190312164318643</v>
      </c>
      <c r="B2693" t="str">
        <f>"1552380198636751"</f>
        <v>1552380198636751</v>
      </c>
      <c r="C2693" t="s">
        <v>40</v>
      </c>
      <c r="D2693">
        <v>4.6666600000000003</v>
      </c>
      <c r="E2693">
        <v>0.54969499999999905</v>
      </c>
      <c r="F2693" t="s">
        <v>47</v>
      </c>
      <c r="G2693">
        <v>-313.1601</v>
      </c>
      <c r="H2693" s="1">
        <v>2.3070359999999998E-6</v>
      </c>
      <c r="I2693">
        <v>210.9246</v>
      </c>
      <c r="J2693">
        <v>-329.15230000000003</v>
      </c>
      <c r="K2693">
        <v>1.1098730000000001</v>
      </c>
      <c r="L2693">
        <v>213.67339999999999</v>
      </c>
      <c r="M2693">
        <v>0.99987999999999999</v>
      </c>
      <c r="N2693">
        <v>0</v>
      </c>
      <c r="O2693">
        <v>4.7229459999999996E-3</v>
      </c>
      <c r="P2693">
        <v>0.99198839999999999</v>
      </c>
      <c r="Q2693">
        <v>0.1188546</v>
      </c>
      <c r="R2693">
        <v>-4.281074E-2</v>
      </c>
      <c r="S2693">
        <v>3.0269780000000002</v>
      </c>
      <c r="T2693">
        <v>-0.20116400000000001</v>
      </c>
      <c r="U2693">
        <v>-0.4976044</v>
      </c>
      <c r="V2693">
        <v>4.7501090000000003E-2</v>
      </c>
      <c r="W2693">
        <v>0.1334804</v>
      </c>
      <c r="X2693">
        <v>0.98991249999999997</v>
      </c>
      <c r="Y2693">
        <v>0.16650390000000001</v>
      </c>
      <c r="Z2693">
        <v>-5.8013689999999998E-3</v>
      </c>
      <c r="AA2693">
        <v>0.98602369999999995</v>
      </c>
      <c r="AB2693">
        <v>47</v>
      </c>
      <c r="AC2693">
        <v>15.9922</v>
      </c>
      <c r="AD2693">
        <v>-1.1098706929640001</v>
      </c>
      <c r="AE2693">
        <v>-2.7487999999999801</v>
      </c>
      <c r="AF2693">
        <v>2.8111565617249998</v>
      </c>
      <c r="AG2693">
        <v>-1.1098706929640001</v>
      </c>
      <c r="AH2693">
        <v>15.904631908057899</v>
      </c>
      <c r="AI2693">
        <v>93.931055154020498</v>
      </c>
      <c r="AJ2693">
        <v>79.976450357221395</v>
      </c>
      <c r="AK2693">
        <v>16.189247366707399</v>
      </c>
      <c r="AL2693">
        <v>82.329242536279594</v>
      </c>
      <c r="AM2693">
        <v>87.252761272922498</v>
      </c>
      <c r="AN2693">
        <v>1.00000006419579</v>
      </c>
    </row>
    <row r="2694" spans="1:40" x14ac:dyDescent="0.25">
      <c r="A2694" t="str">
        <f>"20190312164318666"</f>
        <v>20190312164318666</v>
      </c>
      <c r="B2694" t="str">
        <f>"1552380198657247"</f>
        <v>1552380198657247</v>
      </c>
      <c r="C2694" t="s">
        <v>40</v>
      </c>
      <c r="D2694">
        <v>4.5506320000000002</v>
      </c>
      <c r="E2694">
        <v>0.50373590000000001</v>
      </c>
      <c r="F2694" t="s">
        <v>47</v>
      </c>
      <c r="G2694">
        <v>-312.43079999999998</v>
      </c>
      <c r="H2694" s="1">
        <v>1.9836139999999999E-6</v>
      </c>
      <c r="I2694">
        <v>210.90729999999999</v>
      </c>
      <c r="J2694">
        <v>-328.66469999999998</v>
      </c>
      <c r="K2694">
        <v>1.1098709999999901</v>
      </c>
      <c r="L2694">
        <v>213.67570000000001</v>
      </c>
      <c r="M2694">
        <v>0.99987990000000004</v>
      </c>
      <c r="N2694">
        <v>0</v>
      </c>
      <c r="O2694">
        <v>4.7233190000000001E-3</v>
      </c>
      <c r="P2694">
        <v>0.99203209999999997</v>
      </c>
      <c r="Q2694">
        <v>0.1185071</v>
      </c>
      <c r="R2694">
        <v>-4.2763370000000002E-2</v>
      </c>
      <c r="S2694">
        <v>3.0267029999999999</v>
      </c>
      <c r="T2694">
        <v>-0.2008945</v>
      </c>
      <c r="U2694">
        <v>-0.50067139999999999</v>
      </c>
      <c r="V2694">
        <v>4.7454059999999999E-2</v>
      </c>
      <c r="W2694">
        <v>0.13313159999999999</v>
      </c>
      <c r="X2694">
        <v>0.98996170000000006</v>
      </c>
      <c r="Y2694">
        <v>0.1674901</v>
      </c>
      <c r="Z2694">
        <v>-5.8261550000000004E-3</v>
      </c>
      <c r="AA2694">
        <v>0.98585650000000002</v>
      </c>
      <c r="AB2694">
        <v>47</v>
      </c>
      <c r="AC2694">
        <v>16.233899999999998</v>
      </c>
      <c r="AD2694">
        <v>-1.1098690163860001</v>
      </c>
      <c r="AE2694">
        <v>-2.76840000000001</v>
      </c>
      <c r="AF2694">
        <v>2.8321915125109598</v>
      </c>
      <c r="AG2694">
        <v>-1.1098690163860001</v>
      </c>
      <c r="AH2694">
        <v>16.147300211950601</v>
      </c>
      <c r="AI2694">
        <v>93.873045372629306</v>
      </c>
      <c r="AJ2694">
        <v>80.051673428237606</v>
      </c>
      <c r="AK2694">
        <v>16.431324418072101</v>
      </c>
      <c r="AL2694">
        <v>82.3494070815822</v>
      </c>
      <c r="AM2694">
        <v>87.2556132964082</v>
      </c>
      <c r="AN2694">
        <v>1.00000003909796</v>
      </c>
    </row>
    <row r="2695" spans="1:40" x14ac:dyDescent="0.25">
      <c r="A2695" t="str">
        <f>"20190312164318687"</f>
        <v>20190312164318687</v>
      </c>
      <c r="B2695" t="str">
        <f>"1552380198676770"</f>
        <v>1552380198676770</v>
      </c>
      <c r="C2695" t="s">
        <v>40</v>
      </c>
      <c r="D2695">
        <v>4.5916860000000002</v>
      </c>
      <c r="E2695">
        <v>0.49294199999999999</v>
      </c>
      <c r="F2695" t="s">
        <v>41</v>
      </c>
      <c r="G2695">
        <v>-327.61180000000002</v>
      </c>
      <c r="H2695">
        <v>1.041129</v>
      </c>
      <c r="I2695">
        <v>213.62909999999999</v>
      </c>
      <c r="J2695">
        <v>-328.21719999999999</v>
      </c>
      <c r="K2695">
        <v>1.1098669999999999</v>
      </c>
      <c r="L2695">
        <v>213.67779999999999</v>
      </c>
      <c r="M2695">
        <v>0.99987999999999999</v>
      </c>
      <c r="N2695">
        <v>0</v>
      </c>
      <c r="O2695">
        <v>4.7235109999999997E-3</v>
      </c>
      <c r="P2695">
        <v>0.99208969999999996</v>
      </c>
      <c r="Q2695">
        <v>0.117920899999999</v>
      </c>
      <c r="R2695">
        <v>-4.3043480000000002E-2</v>
      </c>
      <c r="S2695">
        <v>3.0420530000000001</v>
      </c>
      <c r="T2695">
        <v>-0.19867609999999999</v>
      </c>
      <c r="U2695">
        <v>-0.13374330000000001</v>
      </c>
      <c r="V2695">
        <v>4.773471E-2</v>
      </c>
      <c r="W2695">
        <v>0.1325442</v>
      </c>
      <c r="X2695">
        <v>0.99002699999999999</v>
      </c>
      <c r="Y2695">
        <v>4.8528120000000001E-2</v>
      </c>
      <c r="Z2695">
        <v>-1.8902910000000001E-3</v>
      </c>
      <c r="AA2695">
        <v>0.99882000000000004</v>
      </c>
      <c r="AB2695">
        <v>47</v>
      </c>
      <c r="AC2695">
        <v>0.60539999999997396</v>
      </c>
      <c r="AD2695">
        <v>-6.8737999999999702E-2</v>
      </c>
      <c r="AE2695">
        <v>-4.86999999999966E-2</v>
      </c>
      <c r="AF2695">
        <v>5.0907320899899799E-2</v>
      </c>
      <c r="AG2695">
        <v>-6.8737999999999702E-2</v>
      </c>
      <c r="AH2695">
        <v>0.59750981463002595</v>
      </c>
      <c r="AI2695">
        <v>96.539019048154401</v>
      </c>
      <c r="AJ2695">
        <v>85.130209372877005</v>
      </c>
      <c r="AK2695">
        <v>0.60360123139736299</v>
      </c>
      <c r="AL2695">
        <v>82.383363360019899</v>
      </c>
      <c r="AM2695">
        <v>87.239589441412605</v>
      </c>
      <c r="AN2695">
        <v>1.0000000141107099</v>
      </c>
    </row>
    <row r="2696" spans="1:40" x14ac:dyDescent="0.25">
      <c r="A2696" t="str">
        <f>"20190312164318708"</f>
        <v>20190312164318708</v>
      </c>
      <c r="B2696" t="str">
        <f>"1552380198697263"</f>
        <v>1552380198697263</v>
      </c>
      <c r="C2696" t="s">
        <v>40</v>
      </c>
      <c r="D2696">
        <v>4.5182039999999999</v>
      </c>
      <c r="E2696">
        <v>0.48973030000000001</v>
      </c>
      <c r="F2696" t="s">
        <v>41</v>
      </c>
      <c r="G2696">
        <v>-327.18599999999998</v>
      </c>
      <c r="H2696">
        <v>1.0444290000000001</v>
      </c>
      <c r="I2696">
        <v>213.6611</v>
      </c>
      <c r="J2696">
        <v>-327.76530000000002</v>
      </c>
      <c r="K2696">
        <v>1.109869</v>
      </c>
      <c r="L2696">
        <v>213.6799</v>
      </c>
      <c r="M2696">
        <v>0.99987999999999999</v>
      </c>
      <c r="N2696">
        <v>0</v>
      </c>
      <c r="O2696">
        <v>4.7236459999999997E-3</v>
      </c>
      <c r="P2696">
        <v>0.99213379999999995</v>
      </c>
      <c r="Q2696">
        <v>0.1176001</v>
      </c>
      <c r="R2696">
        <v>-4.2903410000000003E-2</v>
      </c>
      <c r="S2696">
        <v>3.0447690000000001</v>
      </c>
      <c r="T2696">
        <v>-0.19328020000000001</v>
      </c>
      <c r="U2696">
        <v>-4.8751830000000003E-2</v>
      </c>
      <c r="V2696">
        <v>4.7595169999999999E-2</v>
      </c>
      <c r="W2696">
        <v>0.13222229999999999</v>
      </c>
      <c r="X2696">
        <v>0.99007670000000003</v>
      </c>
      <c r="Y2696">
        <v>2.0681870000000002E-2</v>
      </c>
      <c r="Z2696">
        <v>-9.5530310000000005E-4</v>
      </c>
      <c r="AA2696">
        <v>0.9997857</v>
      </c>
      <c r="AB2696">
        <v>47</v>
      </c>
      <c r="AC2696">
        <v>0.579300000000046</v>
      </c>
      <c r="AD2696">
        <v>-6.5439999999999901E-2</v>
      </c>
      <c r="AE2696">
        <v>-1.87999999999988E-2</v>
      </c>
      <c r="AF2696">
        <v>2.12654169625008E-2</v>
      </c>
      <c r="AG2696">
        <v>-6.5439999999999901E-2</v>
      </c>
      <c r="AH2696">
        <v>0.57191428856305704</v>
      </c>
      <c r="AI2696">
        <v>96.523082562969805</v>
      </c>
      <c r="AJ2696">
        <v>87.870559249083897</v>
      </c>
      <c r="AK2696">
        <v>0.57603868361523902</v>
      </c>
      <c r="AL2696">
        <v>82.401970184577195</v>
      </c>
      <c r="AM2696">
        <v>87.247784307387505</v>
      </c>
      <c r="AN2696">
        <v>0.999999954353753</v>
      </c>
    </row>
    <row r="2697" spans="1:40" x14ac:dyDescent="0.25">
      <c r="A2697" t="str">
        <f>"20190312164318731"</f>
        <v>20190312164318731</v>
      </c>
      <c r="B2697" t="str">
        <f>"1552380198727520"</f>
        <v>1552380198727520</v>
      </c>
      <c r="C2697" t="s">
        <v>40</v>
      </c>
      <c r="D2697">
        <v>4.510014</v>
      </c>
      <c r="E2697">
        <v>0.48719469999999998</v>
      </c>
      <c r="F2697" t="s">
        <v>47</v>
      </c>
      <c r="G2697">
        <v>-310.50749999999999</v>
      </c>
      <c r="H2697" s="1">
        <v>1.130715E-6</v>
      </c>
      <c r="I2697">
        <v>213.5515</v>
      </c>
      <c r="J2697">
        <v>-327.28649999999999</v>
      </c>
      <c r="K2697">
        <v>1.109869</v>
      </c>
      <c r="L2697">
        <v>213.68219999999999</v>
      </c>
      <c r="M2697">
        <v>0.99988010000000005</v>
      </c>
      <c r="N2697">
        <v>0</v>
      </c>
      <c r="O2697">
        <v>4.7238430000000001E-3</v>
      </c>
      <c r="P2697">
        <v>0.99210750000000003</v>
      </c>
      <c r="Q2697">
        <v>0.1177526</v>
      </c>
      <c r="R2697">
        <v>-4.3099449999999997E-2</v>
      </c>
      <c r="S2697">
        <v>3.0460210000000001</v>
      </c>
      <c r="T2697">
        <v>-0.19589290000000001</v>
      </c>
      <c r="U2697">
        <v>-2.26593E-2</v>
      </c>
      <c r="V2697">
        <v>4.7790939999999997E-2</v>
      </c>
      <c r="W2697">
        <v>0.13237209999999999</v>
      </c>
      <c r="X2697">
        <v>0.99004729999999996</v>
      </c>
      <c r="Y2697">
        <v>1.2128109999999999E-2</v>
      </c>
      <c r="Z2697">
        <v>-6.9308960000000002E-4</v>
      </c>
      <c r="AA2697">
        <v>0.99992619999999999</v>
      </c>
      <c r="AB2697">
        <v>47</v>
      </c>
      <c r="AC2697">
        <v>16.7789999999999</v>
      </c>
      <c r="AD2697">
        <v>-1.1098678692849999</v>
      </c>
      <c r="AE2697">
        <v>-0.13069999999998999</v>
      </c>
      <c r="AF2697">
        <v>0.20905389958390699</v>
      </c>
      <c r="AG2697">
        <v>-1.1098678692849999</v>
      </c>
      <c r="AH2697">
        <v>16.7051094120629</v>
      </c>
      <c r="AI2697">
        <v>93.800781396877596</v>
      </c>
      <c r="AJ2697">
        <v>89.283016913216002</v>
      </c>
      <c r="AK2697">
        <v>16.7432431353425</v>
      </c>
      <c r="AL2697">
        <v>82.393311525336102</v>
      </c>
      <c r="AM2697">
        <v>87.236399380497801</v>
      </c>
      <c r="AN2697">
        <v>1.0000000015208901</v>
      </c>
    </row>
    <row r="2698" spans="1:40" x14ac:dyDescent="0.25">
      <c r="A2698" t="str">
        <f>"20190312164318754"</f>
        <v>20190312164318754</v>
      </c>
      <c r="B2698" t="str">
        <f>"1552380198747039"</f>
        <v>1552380198747039</v>
      </c>
      <c r="C2698" t="s">
        <v>40</v>
      </c>
      <c r="D2698">
        <v>4.538424</v>
      </c>
      <c r="E2698">
        <v>0.48640719999999998</v>
      </c>
      <c r="F2698" t="s">
        <v>47</v>
      </c>
      <c r="G2698">
        <v>-309.78730000000002</v>
      </c>
      <c r="H2698" s="1">
        <v>9.1714920000000004E-7</v>
      </c>
      <c r="I2698">
        <v>213.65979999999999</v>
      </c>
      <c r="J2698">
        <v>-326.79680000000002</v>
      </c>
      <c r="K2698">
        <v>1.1098779999999999</v>
      </c>
      <c r="L2698">
        <v>213.68450000000001</v>
      </c>
      <c r="M2698">
        <v>0.99987999999999999</v>
      </c>
      <c r="N2698">
        <v>0</v>
      </c>
      <c r="O2698">
        <v>4.724041E-3</v>
      </c>
      <c r="P2698">
        <v>0.99209009999999997</v>
      </c>
      <c r="Q2698">
        <v>0.11783059999999999</v>
      </c>
      <c r="R2698">
        <v>-4.327893E-2</v>
      </c>
      <c r="S2698">
        <v>3.0466310000000001</v>
      </c>
      <c r="T2698">
        <v>-0.1932297</v>
      </c>
      <c r="U2698">
        <v>-3.8909909999999999E-3</v>
      </c>
      <c r="V2698">
        <v>4.7970680000000002E-2</v>
      </c>
      <c r="W2698">
        <v>0.1324477</v>
      </c>
      <c r="X2698">
        <v>0.99002849999999998</v>
      </c>
      <c r="Y2698">
        <v>5.9801730000000001E-3</v>
      </c>
      <c r="Z2698">
        <v>-4.8880189999999995E-4</v>
      </c>
      <c r="AA2698">
        <v>0.99998200000000004</v>
      </c>
      <c r="AB2698">
        <v>47</v>
      </c>
      <c r="AC2698">
        <v>17.009499999999999</v>
      </c>
      <c r="AD2698">
        <v>-1.1098770828508</v>
      </c>
      <c r="AE2698">
        <v>-2.4700000000024099E-2</v>
      </c>
      <c r="AF2698">
        <v>0.104616629703457</v>
      </c>
      <c r="AG2698">
        <v>-1.1098770828508</v>
      </c>
      <c r="AH2698">
        <v>16.937081994589999</v>
      </c>
      <c r="AI2698">
        <v>93.749127273574899</v>
      </c>
      <c r="AJ2698">
        <v>89.646101074407497</v>
      </c>
      <c r="AK2698">
        <v>16.973730240277501</v>
      </c>
      <c r="AL2698">
        <v>82.388941513770206</v>
      </c>
      <c r="AM2698">
        <v>87.225969188785896</v>
      </c>
      <c r="AN2698">
        <v>1.0000000050936</v>
      </c>
    </row>
    <row r="2699" spans="1:40" x14ac:dyDescent="0.25">
      <c r="A2699" t="str">
        <f>"20190312164318778"</f>
        <v>20190312164318778</v>
      </c>
      <c r="B2699" t="str">
        <f>"1552380198767535"</f>
        <v>1552380198767535</v>
      </c>
      <c r="C2699" t="s">
        <v>40</v>
      </c>
      <c r="D2699">
        <v>4.5291750000000004</v>
      </c>
      <c r="E2699">
        <v>0.48609259999999899</v>
      </c>
      <c r="F2699" t="s">
        <v>47</v>
      </c>
      <c r="G2699">
        <v>-309.23750000000001</v>
      </c>
      <c r="H2699" s="1">
        <v>1.0146809999999999E-6</v>
      </c>
      <c r="I2699">
        <v>213.69280000000001</v>
      </c>
      <c r="J2699">
        <v>-326.30579999999998</v>
      </c>
      <c r="K2699">
        <v>1.1098790000000001</v>
      </c>
      <c r="L2699">
        <v>213.68680000000001</v>
      </c>
      <c r="M2699">
        <v>0.99988030000000006</v>
      </c>
      <c r="N2699">
        <v>0</v>
      </c>
      <c r="O2699">
        <v>4.7240609999999999E-3</v>
      </c>
      <c r="P2699">
        <v>0.99209060000000004</v>
      </c>
      <c r="Q2699">
        <v>0.1180253</v>
      </c>
      <c r="R2699">
        <v>-4.2741660000000001E-2</v>
      </c>
      <c r="S2699">
        <v>3.046875</v>
      </c>
      <c r="T2699">
        <v>-0.19258439999999999</v>
      </c>
      <c r="U2699">
        <v>1.449585E-3</v>
      </c>
      <c r="V2699">
        <v>4.7433299999999998E-2</v>
      </c>
      <c r="W2699">
        <v>0.1326396</v>
      </c>
      <c r="X2699">
        <v>0.99002869999999998</v>
      </c>
      <c r="Y2699">
        <v>4.2309460000000002E-3</v>
      </c>
      <c r="Z2699">
        <v>-4.3190829999999999E-4</v>
      </c>
      <c r="AA2699">
        <v>0.99999090000000002</v>
      </c>
      <c r="AB2699">
        <v>47</v>
      </c>
      <c r="AC2699">
        <v>17.068299999999901</v>
      </c>
      <c r="AD2699">
        <v>-1.1098779853189999</v>
      </c>
      <c r="AE2699">
        <v>6.0000000000002196E-3</v>
      </c>
      <c r="AF2699">
        <v>7.4326233498944405E-2</v>
      </c>
      <c r="AG2699">
        <v>-1.1098779853189999</v>
      </c>
      <c r="AH2699">
        <v>16.996271837129999</v>
      </c>
      <c r="AI2699">
        <v>93.736146383855598</v>
      </c>
      <c r="AJ2699">
        <v>89.749441972874806</v>
      </c>
      <c r="AK2699">
        <v>17.032633674593701</v>
      </c>
      <c r="AL2699">
        <v>82.377848575281405</v>
      </c>
      <c r="AM2699">
        <v>87.256997425885601</v>
      </c>
      <c r="AN2699">
        <v>1.0000000041303601</v>
      </c>
    </row>
    <row r="2700" spans="1:40" x14ac:dyDescent="0.25">
      <c r="A2700" t="str">
        <f>"20190312164318799"</f>
        <v>20190312164318799</v>
      </c>
      <c r="B2700" t="str">
        <f>"1552380198787055"</f>
        <v>1552380198787055</v>
      </c>
      <c r="C2700" t="s">
        <v>40</v>
      </c>
      <c r="D2700">
        <v>4.508038</v>
      </c>
      <c r="E2700">
        <v>0.48599429999999999</v>
      </c>
      <c r="F2700" t="s">
        <v>47</v>
      </c>
      <c r="G2700">
        <v>-308.68529999999998</v>
      </c>
      <c r="H2700" s="1">
        <v>1.112625E-6</v>
      </c>
      <c r="I2700">
        <v>213.7199</v>
      </c>
      <c r="J2700">
        <v>-325.85730000000001</v>
      </c>
      <c r="K2700">
        <v>1.109885</v>
      </c>
      <c r="L2700">
        <v>213.68889999999999</v>
      </c>
      <c r="M2700">
        <v>0.99988010000000005</v>
      </c>
      <c r="N2700">
        <v>0</v>
      </c>
      <c r="O2700">
        <v>4.7244369999999997E-3</v>
      </c>
      <c r="P2700">
        <v>0.99207699999999999</v>
      </c>
      <c r="Q2700">
        <v>0.11829770000000001</v>
      </c>
      <c r="R2700">
        <v>-4.2296010000000002E-2</v>
      </c>
      <c r="S2700">
        <v>3.0470280000000001</v>
      </c>
      <c r="T2700">
        <v>-0.1919266</v>
      </c>
      <c r="U2700">
        <v>5.7220459999999997E-3</v>
      </c>
      <c r="V2700">
        <v>4.6987969999999997E-2</v>
      </c>
      <c r="W2700">
        <v>0.13290950000000001</v>
      </c>
      <c r="X2700">
        <v>0.9900137</v>
      </c>
      <c r="Y2700">
        <v>2.8320810000000002E-3</v>
      </c>
      <c r="Z2700">
        <v>-3.8642530000000002E-4</v>
      </c>
      <c r="AA2700">
        <v>0.99999590000000005</v>
      </c>
      <c r="AB2700">
        <v>47</v>
      </c>
      <c r="AC2700">
        <v>17.172000000000001</v>
      </c>
      <c r="AD2700">
        <v>-1.1098838873749901</v>
      </c>
      <c r="AE2700">
        <v>3.1000000000005901E-2</v>
      </c>
      <c r="AF2700">
        <v>4.9928626255960298E-2</v>
      </c>
      <c r="AG2700">
        <v>-1.1098838873749901</v>
      </c>
      <c r="AH2700">
        <v>17.100518120964999</v>
      </c>
      <c r="AI2700">
        <v>93.713473740448094</v>
      </c>
      <c r="AJ2700">
        <v>89.832713172065297</v>
      </c>
      <c r="AK2700">
        <v>17.136570693012899</v>
      </c>
      <c r="AL2700">
        <v>82.362246008098495</v>
      </c>
      <c r="AM2700">
        <v>87.2826703587872</v>
      </c>
      <c r="AN2700">
        <v>0.99999996535132896</v>
      </c>
    </row>
    <row r="2701" spans="1:40" x14ac:dyDescent="0.25">
      <c r="A2701" t="str">
        <f>"20190312164318821"</f>
        <v>20190312164318821</v>
      </c>
      <c r="B2701" t="str">
        <f>"1552380198817312"</f>
        <v>1552380198817312</v>
      </c>
      <c r="C2701" t="s">
        <v>40</v>
      </c>
      <c r="D2701">
        <v>4.5267049999999998</v>
      </c>
      <c r="E2701">
        <v>0.48588680000000001</v>
      </c>
      <c r="F2701" t="s">
        <v>47</v>
      </c>
      <c r="G2701">
        <v>-307.6438</v>
      </c>
      <c r="H2701" s="1">
        <v>1.2973679999999901E-6</v>
      </c>
      <c r="I2701">
        <v>213.73509999999999</v>
      </c>
      <c r="J2701">
        <v>-325.40519999999998</v>
      </c>
      <c r="K2701">
        <v>1.1098870000000001</v>
      </c>
      <c r="L2701">
        <v>213.69110000000001</v>
      </c>
      <c r="M2701">
        <v>0.9998802</v>
      </c>
      <c r="N2701">
        <v>0</v>
      </c>
      <c r="O2701">
        <v>4.7246340000000001E-3</v>
      </c>
      <c r="P2701">
        <v>0.99207120000000004</v>
      </c>
      <c r="Q2701">
        <v>0.11848640000000001</v>
      </c>
      <c r="R2701">
        <v>-4.1904299999999998E-2</v>
      </c>
      <c r="S2701">
        <v>3.0464169999999999</v>
      </c>
      <c r="T2701">
        <v>-0.18564130000000001</v>
      </c>
      <c r="U2701">
        <v>7.7209469999999997E-3</v>
      </c>
      <c r="V2701">
        <v>4.6596350000000002E-2</v>
      </c>
      <c r="W2701">
        <v>0.1330962</v>
      </c>
      <c r="X2701">
        <v>0.99000719999999998</v>
      </c>
      <c r="Y2701">
        <v>2.1779289999999999E-3</v>
      </c>
      <c r="Z2701">
        <v>-3.5396769999999998E-4</v>
      </c>
      <c r="AA2701">
        <v>0.99999760000000004</v>
      </c>
      <c r="AB2701">
        <v>47</v>
      </c>
      <c r="AC2701">
        <v>17.761399999999899</v>
      </c>
      <c r="AD2701">
        <v>-1.1098857026319999</v>
      </c>
      <c r="AE2701">
        <v>4.3999999999982699E-2</v>
      </c>
      <c r="AF2701">
        <v>3.9770427162615203E-2</v>
      </c>
      <c r="AG2701">
        <v>-1.1098857026319999</v>
      </c>
      <c r="AH2701">
        <v>17.6923245313892</v>
      </c>
      <c r="AI2701">
        <v>93.589600875292305</v>
      </c>
      <c r="AJ2701">
        <v>89.871205517185999</v>
      </c>
      <c r="AK2701">
        <v>17.727147973765501</v>
      </c>
      <c r="AL2701">
        <v>82.351453549428797</v>
      </c>
      <c r="AM2701">
        <v>87.305266682473501</v>
      </c>
      <c r="AN2701">
        <v>1.0000000371697999</v>
      </c>
    </row>
    <row r="2702" spans="1:40" x14ac:dyDescent="0.25">
      <c r="A2702" t="str">
        <f>"20190312164318844"</f>
        <v>20190312164318844</v>
      </c>
      <c r="B2702" t="str">
        <f>"1552380198836832"</f>
        <v>1552380198836832</v>
      </c>
      <c r="C2702" t="s">
        <v>40</v>
      </c>
      <c r="D2702">
        <v>4.6671040000000001</v>
      </c>
      <c r="E2702">
        <v>0.4860061</v>
      </c>
      <c r="F2702" t="s">
        <v>47</v>
      </c>
      <c r="G2702">
        <v>-306.71249999999998</v>
      </c>
      <c r="H2702" s="1">
        <v>1.4625720000000001E-6</v>
      </c>
      <c r="I2702">
        <v>213.7533</v>
      </c>
      <c r="J2702">
        <v>-324.92880000000002</v>
      </c>
      <c r="K2702">
        <v>1.1098939999999999</v>
      </c>
      <c r="L2702">
        <v>213.69329999999999</v>
      </c>
      <c r="M2702">
        <v>0.99988030000000006</v>
      </c>
      <c r="N2702">
        <v>0</v>
      </c>
      <c r="O2702">
        <v>4.7247720000000003E-3</v>
      </c>
      <c r="P2702">
        <v>0.99206320000000003</v>
      </c>
      <c r="Q2702">
        <v>0.1187879</v>
      </c>
      <c r="R2702">
        <v>-4.1234710000000001E-2</v>
      </c>
      <c r="S2702">
        <v>3.0459900000000002</v>
      </c>
      <c r="T2702">
        <v>-0.1808573</v>
      </c>
      <c r="U2702">
        <v>1.013184E-2</v>
      </c>
      <c r="V2702">
        <v>4.5927099999999998E-2</v>
      </c>
      <c r="W2702">
        <v>0.13339489999999901</v>
      </c>
      <c r="X2702">
        <v>0.98999820000000005</v>
      </c>
      <c r="Y2702">
        <v>1.388261E-3</v>
      </c>
      <c r="Z2702">
        <v>-3.2149549999999999E-4</v>
      </c>
      <c r="AA2702">
        <v>0.99999899999999997</v>
      </c>
      <c r="AB2702">
        <v>47</v>
      </c>
      <c r="AC2702">
        <v>18.2163</v>
      </c>
      <c r="AD2702">
        <v>-1.109892537428</v>
      </c>
      <c r="AE2702">
        <v>6.0000000000002197E-2</v>
      </c>
      <c r="AF2702">
        <v>2.59814271348494E-2</v>
      </c>
      <c r="AG2702">
        <v>-1.109892537428</v>
      </c>
      <c r="AH2702">
        <v>18.149006559478799</v>
      </c>
      <c r="AI2702">
        <v>93.499530125338893</v>
      </c>
      <c r="AJ2702">
        <v>89.917977598456304</v>
      </c>
      <c r="AK2702">
        <v>18.1829308851791</v>
      </c>
      <c r="AL2702">
        <v>82.334184779168694</v>
      </c>
      <c r="AM2702">
        <v>87.343890423069595</v>
      </c>
      <c r="AN2702">
        <v>0.99999996693182902</v>
      </c>
    </row>
    <row r="2703" spans="1:40" x14ac:dyDescent="0.25">
      <c r="A2703" t="str">
        <f>"20190312164318867"</f>
        <v>20190312164318867</v>
      </c>
      <c r="B2703" t="str">
        <f>"1552380198857327"</f>
        <v>1552380198857327</v>
      </c>
      <c r="C2703" t="s">
        <v>40</v>
      </c>
      <c r="D2703">
        <v>4.7702609999999996</v>
      </c>
      <c r="E2703">
        <v>0.48626649999999999</v>
      </c>
      <c r="F2703" t="s">
        <v>47</v>
      </c>
      <c r="G2703">
        <v>-306.16500000000002</v>
      </c>
      <c r="H2703" s="1">
        <v>1.559696E-6</v>
      </c>
      <c r="I2703">
        <v>213.76230000000001</v>
      </c>
      <c r="J2703">
        <v>-324.4479</v>
      </c>
      <c r="K2703">
        <v>1.109899</v>
      </c>
      <c r="L2703">
        <v>213.69560000000001</v>
      </c>
      <c r="M2703">
        <v>0.99988030000000006</v>
      </c>
      <c r="N2703">
        <v>0</v>
      </c>
      <c r="O2703">
        <v>4.7247909999999999E-3</v>
      </c>
      <c r="P2703">
        <v>0.99200580000000005</v>
      </c>
      <c r="Q2703">
        <v>0.1193307</v>
      </c>
      <c r="R2703">
        <v>-4.1050349999999999E-2</v>
      </c>
      <c r="S2703">
        <v>3.0460509999999998</v>
      </c>
      <c r="T2703">
        <v>-0.18017610000000001</v>
      </c>
      <c r="U2703">
        <v>1.119995E-2</v>
      </c>
      <c r="V2703">
        <v>4.5742430000000001E-2</v>
      </c>
      <c r="W2703">
        <v>0.133934</v>
      </c>
      <c r="X2703">
        <v>0.98993399999999998</v>
      </c>
      <c r="Y2703">
        <v>1.0383879999999999E-3</v>
      </c>
      <c r="Z2703">
        <v>-3.099426E-4</v>
      </c>
      <c r="AA2703">
        <v>0.99999939999999998</v>
      </c>
      <c r="AB2703">
        <v>47</v>
      </c>
      <c r="AC2703">
        <v>18.282899999999898</v>
      </c>
      <c r="AD2703">
        <v>-1.1098974403039901</v>
      </c>
      <c r="AE2703">
        <v>6.6699999999997303E-2</v>
      </c>
      <c r="AF2703">
        <v>1.9620695148943199E-2</v>
      </c>
      <c r="AG2703">
        <v>-1.1098974403039901</v>
      </c>
      <c r="AH2703">
        <v>18.2158805556587</v>
      </c>
      <c r="AI2703">
        <v>93.486731341986996</v>
      </c>
      <c r="AJ2703">
        <v>89.938285575327598</v>
      </c>
      <c r="AK2703">
        <v>18.249672920841601</v>
      </c>
      <c r="AL2703">
        <v>82.303017240155299</v>
      </c>
      <c r="AM2703">
        <v>87.354383950207605</v>
      </c>
      <c r="AN2703">
        <v>1.0000000053071501</v>
      </c>
    </row>
    <row r="2704" spans="1:40" x14ac:dyDescent="0.25">
      <c r="A2704" t="str">
        <f>"20190312164318888"</f>
        <v>20190312164318888</v>
      </c>
      <c r="B2704" t="str">
        <f>"1552380198876848"</f>
        <v>1552380198876848</v>
      </c>
      <c r="C2704" t="s">
        <v>40</v>
      </c>
      <c r="D2704">
        <v>4.7387829999999997</v>
      </c>
      <c r="E2704">
        <v>0.48626740000000002</v>
      </c>
      <c r="F2704" t="s">
        <v>47</v>
      </c>
      <c r="G2704">
        <v>-305.52499999999998</v>
      </c>
      <c r="H2704" s="1">
        <v>1.6732239999999999E-6</v>
      </c>
      <c r="I2704">
        <v>213.75309999999999</v>
      </c>
      <c r="J2704">
        <v>-323.99770000000001</v>
      </c>
      <c r="K2704">
        <v>1.1099019999999999</v>
      </c>
      <c r="L2704">
        <v>213.6977</v>
      </c>
      <c r="M2704">
        <v>0.9998804</v>
      </c>
      <c r="N2704">
        <v>0</v>
      </c>
      <c r="O2704">
        <v>4.7251680000000001E-3</v>
      </c>
      <c r="P2704">
        <v>0.99199999999999999</v>
      </c>
      <c r="Q2704">
        <v>0.1191532</v>
      </c>
      <c r="R2704">
        <v>-4.1701250000000002E-2</v>
      </c>
      <c r="S2704">
        <v>3.0460509999999998</v>
      </c>
      <c r="T2704">
        <v>-0.1786615</v>
      </c>
      <c r="U2704">
        <v>9.2468259999999997E-3</v>
      </c>
      <c r="V2704">
        <v>4.6393520000000001E-2</v>
      </c>
      <c r="W2704">
        <v>0.13375399999999901</v>
      </c>
      <c r="X2704">
        <v>0.98992800000000003</v>
      </c>
      <c r="Y2704">
        <v>1.679023E-3</v>
      </c>
      <c r="Z2704">
        <v>-3.2613560000000001E-4</v>
      </c>
      <c r="AA2704">
        <v>0.99999850000000001</v>
      </c>
      <c r="AB2704">
        <v>47</v>
      </c>
      <c r="AC2704">
        <v>18.4727</v>
      </c>
      <c r="AD2704">
        <v>-1.1099003267759999</v>
      </c>
      <c r="AE2704">
        <v>5.5399999999991602E-2</v>
      </c>
      <c r="AF2704">
        <v>3.1781963618334498E-2</v>
      </c>
      <c r="AG2704">
        <v>-1.1099003267759999</v>
      </c>
      <c r="AH2704">
        <v>18.406309355398001</v>
      </c>
      <c r="AI2704">
        <v>93.450751604453004</v>
      </c>
      <c r="AJ2704">
        <v>89.901068131851005</v>
      </c>
      <c r="AK2704">
        <v>18.439769871535901</v>
      </c>
      <c r="AL2704">
        <v>82.313423830244403</v>
      </c>
      <c r="AM2704">
        <v>87.316765109214202</v>
      </c>
      <c r="AN2704">
        <v>0.99999996819899395</v>
      </c>
    </row>
    <row r="2705" spans="1:40" x14ac:dyDescent="0.25">
      <c r="A2705" t="str">
        <f>"20190312164318910"</f>
        <v>20190312164318910</v>
      </c>
      <c r="B2705" t="str">
        <f>"1552380198897344"</f>
        <v>1552380198897344</v>
      </c>
      <c r="C2705" t="s">
        <v>40</v>
      </c>
      <c r="D2705">
        <v>4.538392</v>
      </c>
      <c r="E2705">
        <v>0.4862573</v>
      </c>
      <c r="F2705" t="s">
        <v>47</v>
      </c>
      <c r="G2705">
        <v>-304.84829999999999</v>
      </c>
      <c r="H2705" s="1">
        <v>1.7932569999999999E-6</v>
      </c>
      <c r="I2705">
        <v>213.74260000000001</v>
      </c>
      <c r="J2705">
        <v>-323.54899999999998</v>
      </c>
      <c r="K2705">
        <v>1.109901</v>
      </c>
      <c r="L2705">
        <v>213.69980000000001</v>
      </c>
      <c r="M2705">
        <v>0.99988030000000006</v>
      </c>
      <c r="N2705">
        <v>0</v>
      </c>
      <c r="O2705">
        <v>4.7255439999999999E-3</v>
      </c>
      <c r="P2705">
        <v>0.99199329999999997</v>
      </c>
      <c r="Q2705">
        <v>0.1189934</v>
      </c>
      <c r="R2705">
        <v>-4.2306969999999999E-2</v>
      </c>
      <c r="S2705">
        <v>3.0456539999999999</v>
      </c>
      <c r="T2705">
        <v>-0.1765256</v>
      </c>
      <c r="U2705">
        <v>7.1411130000000001E-3</v>
      </c>
      <c r="V2705">
        <v>4.6999649999999997E-2</v>
      </c>
      <c r="W2705">
        <v>0.1335915</v>
      </c>
      <c r="X2705">
        <v>0.98992139999999995</v>
      </c>
      <c r="Y2705">
        <v>2.3694800000000002E-3</v>
      </c>
      <c r="Z2705">
        <v>-3.4229989999999999E-4</v>
      </c>
      <c r="AA2705">
        <v>0.99999709999999997</v>
      </c>
      <c r="AB2705">
        <v>47</v>
      </c>
      <c r="AC2705">
        <v>18.700700000000001</v>
      </c>
      <c r="AD2705">
        <v>-1.109899206743</v>
      </c>
      <c r="AE2705">
        <v>4.2799999999999699E-2</v>
      </c>
      <c r="AF2705">
        <v>4.5421055942808597E-2</v>
      </c>
      <c r="AG2705">
        <v>-1.109899206743</v>
      </c>
      <c r="AH2705">
        <v>18.635051748846799</v>
      </c>
      <c r="AI2705">
        <v>93.408486178774297</v>
      </c>
      <c r="AJ2705">
        <v>89.860347602570101</v>
      </c>
      <c r="AK2705">
        <v>18.6681304099701</v>
      </c>
      <c r="AL2705">
        <v>82.322819086301394</v>
      </c>
      <c r="AM2705">
        <v>87.281742867478101</v>
      </c>
      <c r="AN2705">
        <v>1.00000001707516</v>
      </c>
    </row>
    <row r="2706" spans="1:40" x14ac:dyDescent="0.25">
      <c r="A2706" t="str">
        <f>"20190312164318932"</f>
        <v>20190312164318932</v>
      </c>
      <c r="B2706" t="str">
        <f>"1552380198927599"</f>
        <v>1552380198927599</v>
      </c>
      <c r="C2706" t="s">
        <v>40</v>
      </c>
      <c r="D2706">
        <v>4.543793</v>
      </c>
      <c r="E2706">
        <v>0.48619230000000002</v>
      </c>
      <c r="F2706" t="s">
        <v>47</v>
      </c>
      <c r="G2706">
        <v>-304.23399999999998</v>
      </c>
      <c r="H2706" s="1">
        <v>1.902215E-6</v>
      </c>
      <c r="I2706">
        <v>213.732</v>
      </c>
      <c r="J2706">
        <v>-323.0763</v>
      </c>
      <c r="K2706">
        <v>1.1099000000000001</v>
      </c>
      <c r="L2706">
        <v>213.7021</v>
      </c>
      <c r="M2706">
        <v>0.9998804</v>
      </c>
      <c r="N2706">
        <v>0</v>
      </c>
      <c r="O2706">
        <v>4.7257439999999996E-3</v>
      </c>
      <c r="P2706">
        <v>0.99199590000000004</v>
      </c>
      <c r="Q2706">
        <v>0.1189055</v>
      </c>
      <c r="R2706">
        <v>-4.249265E-2</v>
      </c>
      <c r="S2706">
        <v>3.04541</v>
      </c>
      <c r="T2706">
        <v>-0.1749984</v>
      </c>
      <c r="U2706">
        <v>5.065918E-3</v>
      </c>
      <c r="V2706">
        <v>4.7185659999999997E-2</v>
      </c>
      <c r="W2706">
        <v>0.1335007</v>
      </c>
      <c r="X2706">
        <v>0.98992480000000005</v>
      </c>
      <c r="Y2706">
        <v>3.049983E-3</v>
      </c>
      <c r="Z2706">
        <v>-3.5891809999999999E-4</v>
      </c>
      <c r="AA2706">
        <v>0.99999530000000003</v>
      </c>
      <c r="AB2706">
        <v>47</v>
      </c>
      <c r="AC2706">
        <v>18.842299999999899</v>
      </c>
      <c r="AD2706">
        <v>-1.1098980977849999</v>
      </c>
      <c r="AE2706">
        <v>2.98999999999978E-2</v>
      </c>
      <c r="AF2706">
        <v>5.8949337364809E-2</v>
      </c>
      <c r="AG2706">
        <v>-1.1098980977849999</v>
      </c>
      <c r="AH2706">
        <v>18.777079232141201</v>
      </c>
      <c r="AI2706">
        <v>93.3827549336891</v>
      </c>
      <c r="AJ2706">
        <v>89.820124466749803</v>
      </c>
      <c r="AK2706">
        <v>18.8099455954011</v>
      </c>
      <c r="AL2706">
        <v>82.328068560471294</v>
      </c>
      <c r="AM2706">
        <v>87.271010441058493</v>
      </c>
      <c r="AN2706">
        <v>1.00000001653258</v>
      </c>
    </row>
    <row r="2707" spans="1:40" x14ac:dyDescent="0.25">
      <c r="A2707" t="str">
        <f>"20190312164318955"</f>
        <v>20190312164318955</v>
      </c>
      <c r="B2707" t="str">
        <f>"1552380198947119"</f>
        <v>1552380198947119</v>
      </c>
      <c r="C2707" t="s">
        <v>40</v>
      </c>
      <c r="D2707">
        <v>4.9056850000000001</v>
      </c>
      <c r="E2707">
        <v>0.48632609999999898</v>
      </c>
      <c r="F2707" t="s">
        <v>47</v>
      </c>
      <c r="G2707">
        <v>-303.6157</v>
      </c>
      <c r="H2707" s="1">
        <v>2.0118980000000001E-6</v>
      </c>
      <c r="I2707">
        <v>213.73480000000001</v>
      </c>
      <c r="J2707">
        <v>-322.59199999999998</v>
      </c>
      <c r="K2707">
        <v>1.109899</v>
      </c>
      <c r="L2707">
        <v>213.70429999999999</v>
      </c>
      <c r="M2707">
        <v>0.9998804</v>
      </c>
      <c r="N2707">
        <v>0</v>
      </c>
      <c r="O2707">
        <v>4.7257649999999998E-3</v>
      </c>
      <c r="P2707">
        <v>0.99196960000000001</v>
      </c>
      <c r="Q2707">
        <v>0.11899999999999999</v>
      </c>
      <c r="R2707">
        <v>-4.2843739999999998E-2</v>
      </c>
      <c r="S2707">
        <v>3.045258</v>
      </c>
      <c r="T2707">
        <v>-0.1736799</v>
      </c>
      <c r="U2707">
        <v>5.1269530000000001E-3</v>
      </c>
      <c r="V2707">
        <v>4.7536500000000002E-2</v>
      </c>
      <c r="W2707">
        <v>0.1335924</v>
      </c>
      <c r="X2707">
        <v>0.98989559999999999</v>
      </c>
      <c r="Y2707">
        <v>3.0301009999999999E-3</v>
      </c>
      <c r="Z2707">
        <v>-3.5567090000000002E-4</v>
      </c>
      <c r="AA2707">
        <v>0.99999539999999998</v>
      </c>
      <c r="AB2707">
        <v>47</v>
      </c>
      <c r="AC2707">
        <v>18.976299999999899</v>
      </c>
      <c r="AD2707">
        <v>-1.109896988102</v>
      </c>
      <c r="AE2707">
        <v>3.05000000000177E-2</v>
      </c>
      <c r="AF2707">
        <v>5.8985815084641298E-2</v>
      </c>
      <c r="AG2707">
        <v>-1.109896988102</v>
      </c>
      <c r="AH2707">
        <v>18.911537613178201</v>
      </c>
      <c r="AI2707">
        <v>93.358756142499303</v>
      </c>
      <c r="AJ2707">
        <v>89.821292833761603</v>
      </c>
      <c r="AK2707">
        <v>18.944170753697101</v>
      </c>
      <c r="AL2707">
        <v>82.322766717417096</v>
      </c>
      <c r="AM2707">
        <v>87.250669601536799</v>
      </c>
      <c r="AN2707">
        <v>0.99999997353468395</v>
      </c>
    </row>
    <row r="2708" spans="1:40" x14ac:dyDescent="0.25">
      <c r="A2708" t="str">
        <f>"20190312164318980"</f>
        <v>20190312164318980</v>
      </c>
      <c r="B2708" t="str">
        <f>"1552380198967615"</f>
        <v>1552380198967615</v>
      </c>
      <c r="C2708" t="s">
        <v>40</v>
      </c>
      <c r="D2708">
        <v>4.7348619999999997</v>
      </c>
      <c r="E2708">
        <v>0.48635859999999898</v>
      </c>
      <c r="F2708" t="s">
        <v>47</v>
      </c>
      <c r="G2708">
        <v>-302.92829999999998</v>
      </c>
      <c r="H2708" s="1">
        <v>2.1338319999999998E-6</v>
      </c>
      <c r="I2708">
        <v>213.7268</v>
      </c>
      <c r="J2708">
        <v>-322.10050000000001</v>
      </c>
      <c r="K2708">
        <v>1.1099019999999999</v>
      </c>
      <c r="L2708">
        <v>213.70670000000001</v>
      </c>
      <c r="M2708">
        <v>0.9998804</v>
      </c>
      <c r="N2708">
        <v>0</v>
      </c>
      <c r="O2708">
        <v>4.7262629999999996E-3</v>
      </c>
      <c r="P2708">
        <v>0.99199470000000001</v>
      </c>
      <c r="Q2708">
        <v>0.118679199999999</v>
      </c>
      <c r="R2708">
        <v>-4.3148069999999997E-2</v>
      </c>
      <c r="S2708">
        <v>3.045013</v>
      </c>
      <c r="T2708">
        <v>-0.17187249999999901</v>
      </c>
      <c r="U2708">
        <v>3.479004E-3</v>
      </c>
      <c r="V2708">
        <v>4.784157E-2</v>
      </c>
      <c r="W2708">
        <v>0.1332691</v>
      </c>
      <c r="X2708">
        <v>0.98992449999999999</v>
      </c>
      <c r="Y2708">
        <v>3.5710540000000002E-3</v>
      </c>
      <c r="Z2708">
        <v>-3.6728649999999999E-4</v>
      </c>
      <c r="AA2708">
        <v>0.99999360000000004</v>
      </c>
      <c r="AB2708">
        <v>47</v>
      </c>
      <c r="AC2708">
        <v>19.1722</v>
      </c>
      <c r="AD2708">
        <v>-1.109899866168</v>
      </c>
      <c r="AE2708">
        <v>2.0099999999985099E-2</v>
      </c>
      <c r="AF2708">
        <v>7.0287350868489307E-2</v>
      </c>
      <c r="AG2708">
        <v>-1.109899866168</v>
      </c>
      <c r="AH2708">
        <v>19.108042585701199</v>
      </c>
      <c r="AI2708">
        <v>93.324295231072696</v>
      </c>
      <c r="AJ2708">
        <v>89.789243174623195</v>
      </c>
      <c r="AK2708">
        <v>19.140379031816099</v>
      </c>
      <c r="AL2708">
        <v>82.3414577188923</v>
      </c>
      <c r="AM2708">
        <v>87.233133498361795</v>
      </c>
      <c r="AN2708">
        <v>0.99999999226756198</v>
      </c>
    </row>
    <row r="2709" spans="1:40" x14ac:dyDescent="0.25">
      <c r="A2709" t="str">
        <f>"20190312164319023"</f>
        <v>20190312164319023</v>
      </c>
      <c r="B2709" t="str">
        <f>"1552380199017391"</f>
        <v>1552380199017391</v>
      </c>
      <c r="C2709" t="s">
        <v>40</v>
      </c>
      <c r="D2709">
        <v>4.5654469999999998</v>
      </c>
      <c r="E2709">
        <v>0.48637160000000002</v>
      </c>
      <c r="F2709" t="s">
        <v>47</v>
      </c>
      <c r="G2709">
        <v>-302.39859999999999</v>
      </c>
      <c r="H2709" s="1">
        <v>2.2277810000000002E-6</v>
      </c>
      <c r="I2709">
        <v>213.72130000000001</v>
      </c>
      <c r="J2709">
        <v>-321.2079</v>
      </c>
      <c r="K2709">
        <v>1.109901</v>
      </c>
      <c r="L2709">
        <v>213.71090000000001</v>
      </c>
      <c r="M2709">
        <v>0.99988049999999995</v>
      </c>
      <c r="N2709">
        <v>0</v>
      </c>
      <c r="O2709">
        <v>4.7263030000000003E-3</v>
      </c>
      <c r="P2709">
        <v>0.99195149999999999</v>
      </c>
      <c r="Q2709">
        <v>0.1187155</v>
      </c>
      <c r="R2709">
        <v>-4.4034879999999998E-2</v>
      </c>
      <c r="S2709">
        <v>3.044861</v>
      </c>
      <c r="T2709">
        <v>-0.17153119999999999</v>
      </c>
      <c r="U2709">
        <v>2.2583009999999999E-3</v>
      </c>
      <c r="V2709">
        <v>4.872808E-2</v>
      </c>
      <c r="W2709">
        <v>0.13329939999999901</v>
      </c>
      <c r="X2709">
        <v>0.98987720000000001</v>
      </c>
      <c r="Y2709">
        <v>3.9713559999999997E-3</v>
      </c>
      <c r="Z2709">
        <v>-3.7784560000000001E-4</v>
      </c>
      <c r="AA2709">
        <v>0.99999199999999999</v>
      </c>
      <c r="AB2709">
        <v>47</v>
      </c>
      <c r="AC2709">
        <v>18.8093</v>
      </c>
      <c r="AD2709">
        <v>-1.1098987722189999</v>
      </c>
      <c r="AE2709">
        <v>1.04000000000041E-2</v>
      </c>
      <c r="AF2709">
        <v>7.8235786241220795E-2</v>
      </c>
      <c r="AG2709">
        <v>-1.1098987722189999</v>
      </c>
      <c r="AH2709">
        <v>18.743873978188301</v>
      </c>
      <c r="AI2709">
        <v>93.388722883130001</v>
      </c>
      <c r="AJ2709">
        <v>89.760852301263398</v>
      </c>
      <c r="AK2709">
        <v>18.776868957124499</v>
      </c>
      <c r="AL2709">
        <v>82.339706191153297</v>
      </c>
      <c r="AM2709">
        <v>87.181810587466401</v>
      </c>
      <c r="AN2709">
        <v>1.00000001345034</v>
      </c>
    </row>
    <row r="2710" spans="1:40" x14ac:dyDescent="0.25">
      <c r="A2710" t="str">
        <f>"20190312164319044"</f>
        <v>20190312164319044</v>
      </c>
      <c r="B2710" t="str">
        <f>"1552380199036911"</f>
        <v>1552380199036911</v>
      </c>
      <c r="C2710" t="s">
        <v>40</v>
      </c>
      <c r="D2710">
        <v>4.538735</v>
      </c>
      <c r="E2710">
        <v>0.50271899999999903</v>
      </c>
      <c r="F2710" t="s">
        <v>47</v>
      </c>
      <c r="G2710">
        <v>-301.43459999999999</v>
      </c>
      <c r="H2710" s="1">
        <v>2.3987820000000002E-6</v>
      </c>
      <c r="I2710">
        <v>213.71019999999999</v>
      </c>
      <c r="J2710">
        <v>-320.7362</v>
      </c>
      <c r="K2710">
        <v>1.1098980000000001</v>
      </c>
      <c r="L2710">
        <v>213.7131</v>
      </c>
      <c r="M2710">
        <v>0.99988060000000001</v>
      </c>
      <c r="N2710">
        <v>0</v>
      </c>
      <c r="O2710">
        <v>4.7266799999999996E-3</v>
      </c>
      <c r="P2710">
        <v>0.99195390000000006</v>
      </c>
      <c r="Q2710">
        <v>0.1183459</v>
      </c>
      <c r="R2710">
        <v>-4.4966829999999999E-2</v>
      </c>
      <c r="S2710">
        <v>3.0448</v>
      </c>
      <c r="T2710">
        <v>-0.1709087</v>
      </c>
      <c r="U2710">
        <v>-1.068115E-4</v>
      </c>
      <c r="V2710">
        <v>4.9660389999999999E-2</v>
      </c>
      <c r="W2710">
        <v>0.13292699999999999</v>
      </c>
      <c r="X2710">
        <v>0.98988089999999995</v>
      </c>
      <c r="Y2710">
        <v>4.7473560000000003E-3</v>
      </c>
      <c r="Z2710">
        <v>-3.9826709999999998E-4</v>
      </c>
      <c r="AA2710">
        <v>0.99998869999999895</v>
      </c>
      <c r="AB2710">
        <v>47</v>
      </c>
      <c r="AC2710">
        <v>19.301600000000001</v>
      </c>
      <c r="AD2710">
        <v>-1.1098956012179999</v>
      </c>
      <c r="AE2710">
        <v>-2.9000000000110001E-3</v>
      </c>
      <c r="AF2710">
        <v>9.3832067030359401E-2</v>
      </c>
      <c r="AG2710">
        <v>-1.1098956012179999</v>
      </c>
      <c r="AH2710">
        <v>19.2377596445866</v>
      </c>
      <c r="AI2710">
        <v>93.301900258120696</v>
      </c>
      <c r="AJ2710">
        <v>89.720542366121293</v>
      </c>
      <c r="AK2710">
        <v>19.269978433960201</v>
      </c>
      <c r="AL2710">
        <v>82.361234382989494</v>
      </c>
      <c r="AM2710">
        <v>87.127990569053097</v>
      </c>
      <c r="AN2710">
        <v>0.99999996892438003</v>
      </c>
    </row>
    <row r="2711" spans="1:40" x14ac:dyDescent="0.25">
      <c r="A2711" t="str">
        <f>"20190312164319067"</f>
        <v>20190312164319067</v>
      </c>
      <c r="B2711" t="str">
        <f>"1552380199057408"</f>
        <v>1552380199057408</v>
      </c>
      <c r="C2711" t="s">
        <v>40</v>
      </c>
      <c r="D2711">
        <v>4.5337909999999999</v>
      </c>
      <c r="E2711">
        <v>0.50452200000000003</v>
      </c>
      <c r="F2711" t="s">
        <v>41</v>
      </c>
      <c r="G2711">
        <v>-319.67579999999998</v>
      </c>
      <c r="H2711">
        <v>1.0261180000000001</v>
      </c>
      <c r="I2711">
        <v>213.66759999999999</v>
      </c>
      <c r="J2711">
        <v>-320.27839999999998</v>
      </c>
      <c r="K2711">
        <v>1.1099000000000001</v>
      </c>
      <c r="L2711">
        <v>213.71530000000001</v>
      </c>
      <c r="M2711">
        <v>0.99988060000000001</v>
      </c>
      <c r="N2711">
        <v>0</v>
      </c>
      <c r="O2711">
        <v>4.726999E-3</v>
      </c>
      <c r="P2711">
        <v>0.99191560000000001</v>
      </c>
      <c r="Q2711">
        <v>0.1184326</v>
      </c>
      <c r="R2711">
        <v>-4.5579130000000002E-2</v>
      </c>
      <c r="S2711">
        <v>3.0471499999999998</v>
      </c>
      <c r="T2711">
        <v>-0.2408276</v>
      </c>
      <c r="U2711">
        <v>-0.13012699999999999</v>
      </c>
      <c r="V2711">
        <v>5.0272810000000001E-2</v>
      </c>
      <c r="W2711">
        <v>0.13301070000000001</v>
      </c>
      <c r="X2711">
        <v>0.98983880000000002</v>
      </c>
      <c r="Y2711">
        <v>4.7226610000000002E-2</v>
      </c>
      <c r="Z2711">
        <v>-2.2353870000000001E-3</v>
      </c>
      <c r="AA2711">
        <v>0.99888169999999998</v>
      </c>
      <c r="AB2711">
        <v>46</v>
      </c>
      <c r="AC2711">
        <v>0.60259999999999503</v>
      </c>
      <c r="AD2711">
        <v>-8.3781999999999995E-2</v>
      </c>
      <c r="AE2711">
        <v>-4.7700000000020198E-2</v>
      </c>
      <c r="AF2711">
        <v>4.9595527979227602E-2</v>
      </c>
      <c r="AG2711">
        <v>-8.3781999999999995E-2</v>
      </c>
      <c r="AH2711">
        <v>0.59101429807365402</v>
      </c>
      <c r="AI2711">
        <v>98.040581464415993</v>
      </c>
      <c r="AJ2711">
        <v>85.203208489377303</v>
      </c>
      <c r="AK2711">
        <v>0.59898000003926</v>
      </c>
      <c r="AL2711">
        <v>82.356396197985006</v>
      </c>
      <c r="AM2711">
        <v>87.092509434962196</v>
      </c>
      <c r="AN2711">
        <v>1.0000000258626101</v>
      </c>
    </row>
    <row r="2712" spans="1:40" x14ac:dyDescent="0.25">
      <c r="A2712" t="str">
        <f>"20190312164319088"</f>
        <v>20190312164319088</v>
      </c>
      <c r="B2712" t="str">
        <f>"1552380199076928"</f>
        <v>1552380199076928</v>
      </c>
      <c r="C2712" t="s">
        <v>40</v>
      </c>
      <c r="D2712">
        <v>4.4993730000000003</v>
      </c>
      <c r="E2712">
        <v>0.50519590000000003</v>
      </c>
      <c r="F2712" t="s">
        <v>41</v>
      </c>
      <c r="G2712">
        <v>-319.25889999999998</v>
      </c>
      <c r="H2712">
        <v>1.029771</v>
      </c>
      <c r="I2712">
        <v>213.66589999999999</v>
      </c>
      <c r="J2712">
        <v>-319.83800000000002</v>
      </c>
      <c r="K2712">
        <v>1.109904</v>
      </c>
      <c r="L2712">
        <v>213.71729999999999</v>
      </c>
      <c r="M2712">
        <v>0.99988069999999896</v>
      </c>
      <c r="N2712">
        <v>0</v>
      </c>
      <c r="O2712">
        <v>4.7270209999999997E-3</v>
      </c>
      <c r="P2712">
        <v>0.99184329999999998</v>
      </c>
      <c r="Q2712">
        <v>0.1188471</v>
      </c>
      <c r="R2712">
        <v>-4.6071689999999998E-2</v>
      </c>
      <c r="S2712">
        <v>3.0463260000000001</v>
      </c>
      <c r="T2712">
        <v>-0.23960880000000001</v>
      </c>
      <c r="U2712">
        <v>-0.1465912</v>
      </c>
      <c r="V2712">
        <v>5.0764990000000003E-2</v>
      </c>
      <c r="W2712">
        <v>0.13342039999999999</v>
      </c>
      <c r="X2712">
        <v>0.98975849999999999</v>
      </c>
      <c r="Y2712">
        <v>5.2609879999999998E-2</v>
      </c>
      <c r="Z2712">
        <v>-2.4357020000000001E-3</v>
      </c>
      <c r="AA2712">
        <v>0.99861219999999995</v>
      </c>
      <c r="AB2712">
        <v>46</v>
      </c>
      <c r="AC2712">
        <v>0.57909999999998196</v>
      </c>
      <c r="AD2712">
        <v>-8.0132999999999996E-2</v>
      </c>
      <c r="AE2712">
        <v>-5.1400000000000903E-2</v>
      </c>
      <c r="AF2712">
        <v>5.3127817675700802E-2</v>
      </c>
      <c r="AG2712">
        <v>-8.0132999999999996E-2</v>
      </c>
      <c r="AH2712">
        <v>0.56805856188329396</v>
      </c>
      <c r="AI2712">
        <v>97.994994901608806</v>
      </c>
      <c r="AJ2712">
        <v>84.656940391216196</v>
      </c>
      <c r="AK2712">
        <v>0.57613747702167295</v>
      </c>
      <c r="AL2712">
        <v>82.332710720282094</v>
      </c>
      <c r="AM2712">
        <v>87.063856354102995</v>
      </c>
      <c r="AN2712">
        <v>0.99999998783405397</v>
      </c>
    </row>
    <row r="2713" spans="1:40" x14ac:dyDescent="0.25">
      <c r="A2713" t="str">
        <f>"20190312164319111"</f>
        <v>20190312164319111</v>
      </c>
      <c r="B2713" t="str">
        <f>"1552380199107185"</f>
        <v>1552380199107185</v>
      </c>
      <c r="C2713" t="s">
        <v>40</v>
      </c>
      <c r="D2713">
        <v>4.5024249999999997</v>
      </c>
      <c r="E2713">
        <v>0.50571679999999997</v>
      </c>
      <c r="F2713" t="s">
        <v>41</v>
      </c>
      <c r="G2713">
        <v>-318.84249999999997</v>
      </c>
      <c r="H2713">
        <v>1.033323</v>
      </c>
      <c r="I2713">
        <v>213.6669</v>
      </c>
      <c r="J2713">
        <v>-319.37130000000002</v>
      </c>
      <c r="K2713">
        <v>1.1099139999999901</v>
      </c>
      <c r="L2713">
        <v>213.71950000000001</v>
      </c>
      <c r="M2713">
        <v>0.99988080000000001</v>
      </c>
      <c r="N2713">
        <v>0</v>
      </c>
      <c r="O2713">
        <v>4.7272240000000004E-3</v>
      </c>
      <c r="P2713">
        <v>0.99178920000000004</v>
      </c>
      <c r="Q2713">
        <v>0.119272</v>
      </c>
      <c r="R2713">
        <v>-4.6137009999999999E-2</v>
      </c>
      <c r="S2713">
        <v>3.0456240000000001</v>
      </c>
      <c r="T2713">
        <v>-0.2343903</v>
      </c>
      <c r="U2713">
        <v>-0.15371699999999999</v>
      </c>
      <c r="V2713">
        <v>5.0830449999999999E-2</v>
      </c>
      <c r="W2713">
        <v>0.1338414</v>
      </c>
      <c r="X2713">
        <v>0.98969830000000003</v>
      </c>
      <c r="Y2713">
        <v>5.495241E-2</v>
      </c>
      <c r="Z2713">
        <v>-2.4731890000000002E-3</v>
      </c>
      <c r="AA2713">
        <v>0.99848590000000004</v>
      </c>
      <c r="AB2713">
        <v>46</v>
      </c>
      <c r="AC2713">
        <v>0.52880000000004601</v>
      </c>
      <c r="AD2713">
        <v>-7.6590999999999798E-2</v>
      </c>
      <c r="AE2713">
        <v>-5.2600000000012401E-2</v>
      </c>
      <c r="AF2713">
        <v>5.3978156707672101E-2</v>
      </c>
      <c r="AG2713">
        <v>-7.6590999999999798E-2</v>
      </c>
      <c r="AH2713">
        <v>0.51778943558617296</v>
      </c>
      <c r="AI2713">
        <v>98.3694257359044</v>
      </c>
      <c r="AJ2713">
        <v>84.048565960413796</v>
      </c>
      <c r="AK2713">
        <v>0.52619931802236797</v>
      </c>
      <c r="AL2713">
        <v>82.308370913765103</v>
      </c>
      <c r="AM2713">
        <v>87.0598984068573</v>
      </c>
      <c r="AN2713">
        <v>0.999999990012026</v>
      </c>
    </row>
    <row r="2714" spans="1:40" x14ac:dyDescent="0.25">
      <c r="A2714" t="str">
        <f>"20190312164319134"</f>
        <v>20190312164319134</v>
      </c>
      <c r="B2714" t="str">
        <f>"1552380199127680"</f>
        <v>1552380199127680</v>
      </c>
      <c r="C2714" t="s">
        <v>40</v>
      </c>
      <c r="D2714">
        <v>4.5105820000000003</v>
      </c>
      <c r="E2714">
        <v>0.50590479999999904</v>
      </c>
      <c r="F2714" t="s">
        <v>41</v>
      </c>
      <c r="G2714">
        <v>-318.42599999999999</v>
      </c>
      <c r="H2714">
        <v>1.0375970000000001</v>
      </c>
      <c r="I2714">
        <v>213.67009999999999</v>
      </c>
      <c r="J2714">
        <v>-318.88679999999999</v>
      </c>
      <c r="K2714">
        <v>1.109909</v>
      </c>
      <c r="L2714">
        <v>213.7218</v>
      </c>
      <c r="M2714">
        <v>0.99988069999999896</v>
      </c>
      <c r="N2714">
        <v>0</v>
      </c>
      <c r="O2714">
        <v>4.727785E-3</v>
      </c>
      <c r="P2714">
        <v>0.99170579999999997</v>
      </c>
      <c r="Q2714">
        <v>0.11996569999999999</v>
      </c>
      <c r="R2714">
        <v>-4.6128189999999999E-2</v>
      </c>
      <c r="S2714">
        <v>3.0455320000000001</v>
      </c>
      <c r="T2714">
        <v>-0.23323250000000001</v>
      </c>
      <c r="U2714">
        <v>-0.15794369999999999</v>
      </c>
      <c r="V2714">
        <v>5.0821709999999999E-2</v>
      </c>
      <c r="W2714">
        <v>0.13453080000000001</v>
      </c>
      <c r="X2714">
        <v>0.98960530000000002</v>
      </c>
      <c r="Y2714">
        <v>5.6334240000000001E-2</v>
      </c>
      <c r="Z2714">
        <v>-2.513838E-3</v>
      </c>
      <c r="AA2714">
        <v>0.99840879999999999</v>
      </c>
      <c r="AB2714">
        <v>46</v>
      </c>
      <c r="AC2714">
        <v>0.46080000000000598</v>
      </c>
      <c r="AD2714">
        <v>-7.2312000000000098E-2</v>
      </c>
      <c r="AE2714">
        <v>-5.1700000000010897E-2</v>
      </c>
      <c r="AF2714">
        <v>5.2599014518460302E-2</v>
      </c>
      <c r="AG2714">
        <v>-7.2312000000000098E-2</v>
      </c>
      <c r="AH2714">
        <v>0.44961575434367301</v>
      </c>
      <c r="AI2714">
        <v>99.075822746857497</v>
      </c>
      <c r="AJ2714">
        <v>83.327491432200404</v>
      </c>
      <c r="AK2714">
        <v>0.45842121267055602</v>
      </c>
      <c r="AL2714">
        <v>82.268510915146095</v>
      </c>
      <c r="AM2714">
        <v>87.060127283971894</v>
      </c>
      <c r="AN2714">
        <v>1.0000000160720199</v>
      </c>
    </row>
    <row r="2715" spans="1:40" x14ac:dyDescent="0.25">
      <c r="A2715" t="str">
        <f>"20190312164319156"</f>
        <v>20190312164319156</v>
      </c>
      <c r="B2715" t="str">
        <f>"1552380199147199"</f>
        <v>1552380199147199</v>
      </c>
      <c r="C2715" t="s">
        <v>40</v>
      </c>
      <c r="D2715">
        <v>4.5078279999999999</v>
      </c>
      <c r="E2715">
        <v>0.50565930000000003</v>
      </c>
      <c r="F2715" t="s">
        <v>41</v>
      </c>
      <c r="G2715">
        <v>-318.00830000000002</v>
      </c>
      <c r="H2715">
        <v>1.0435490000000001</v>
      </c>
      <c r="I2715">
        <v>213.67570000000001</v>
      </c>
      <c r="J2715">
        <v>-318.42410000000001</v>
      </c>
      <c r="K2715">
        <v>1.1099139999999901</v>
      </c>
      <c r="L2715">
        <v>213.72399999999999</v>
      </c>
      <c r="M2715">
        <v>0.99988089999999996</v>
      </c>
      <c r="N2715">
        <v>0</v>
      </c>
      <c r="O2715">
        <v>4.7278069999999997E-3</v>
      </c>
      <c r="P2715">
        <v>0.99165919999999996</v>
      </c>
      <c r="Q2715">
        <v>0.1202273</v>
      </c>
      <c r="R2715">
        <v>-4.6450760000000001E-2</v>
      </c>
      <c r="S2715">
        <v>3.045563</v>
      </c>
      <c r="T2715">
        <v>-0.23030200000000001</v>
      </c>
      <c r="U2715">
        <v>-0.1587219</v>
      </c>
      <c r="V2715">
        <v>5.1144080000000001E-2</v>
      </c>
      <c r="W2715">
        <v>0.13478879999999999</v>
      </c>
      <c r="X2715">
        <v>0.98955360000000003</v>
      </c>
      <c r="Y2715">
        <v>5.6591889999999999E-2</v>
      </c>
      <c r="Z2715">
        <v>-2.4920229999999999E-3</v>
      </c>
      <c r="AA2715">
        <v>0.99839429999999996</v>
      </c>
      <c r="AB2715">
        <v>46</v>
      </c>
      <c r="AC2715">
        <v>0.41579999999999001</v>
      </c>
      <c r="AD2715">
        <v>-6.6364999999999702E-2</v>
      </c>
      <c r="AE2715">
        <v>-4.8300000000011702E-2</v>
      </c>
      <c r="AF2715">
        <v>4.9033022812175003E-2</v>
      </c>
      <c r="AG2715">
        <v>-6.6364999999999702E-2</v>
      </c>
      <c r="AH2715">
        <v>0.40537758890588999</v>
      </c>
      <c r="AI2715">
        <v>99.231391277919002</v>
      </c>
      <c r="AJ2715">
        <v>83.103211659844405</v>
      </c>
      <c r="AK2715">
        <v>0.41369014991688102</v>
      </c>
      <c r="AL2715">
        <v>82.253592854991794</v>
      </c>
      <c r="AM2715">
        <v>87.041357945493999</v>
      </c>
      <c r="AN2715">
        <v>1.0000000323987199</v>
      </c>
    </row>
    <row r="2716" spans="1:40" x14ac:dyDescent="0.25">
      <c r="A2716" t="str">
        <f>"20190312164319179"</f>
        <v>20190312164319179</v>
      </c>
      <c r="B2716" t="str">
        <f>"1552380199167696"</f>
        <v>1552380199167696</v>
      </c>
      <c r="C2716" t="s">
        <v>40</v>
      </c>
      <c r="D2716">
        <v>4.5826710000000004</v>
      </c>
      <c r="E2716">
        <v>0.50558139999999996</v>
      </c>
      <c r="F2716" t="s">
        <v>41</v>
      </c>
      <c r="G2716">
        <v>-317.59129999999999</v>
      </c>
      <c r="H2716">
        <v>1.0470349999999999</v>
      </c>
      <c r="I2716">
        <v>213.6807</v>
      </c>
      <c r="J2716">
        <v>-317.9572</v>
      </c>
      <c r="K2716">
        <v>1.1099220000000001</v>
      </c>
      <c r="L2716">
        <v>213.72620000000001</v>
      </c>
      <c r="M2716">
        <v>0.99988100000000002</v>
      </c>
      <c r="N2716">
        <v>0</v>
      </c>
      <c r="O2716">
        <v>4.7281270000000004E-3</v>
      </c>
      <c r="P2716">
        <v>0.99161410000000005</v>
      </c>
      <c r="Q2716">
        <v>0.1205319</v>
      </c>
      <c r="R2716">
        <v>-4.6623829999999998E-2</v>
      </c>
      <c r="S2716">
        <v>3.0457459999999998</v>
      </c>
      <c r="T2716">
        <v>-0.23010159999999999</v>
      </c>
      <c r="U2716">
        <v>-0.15739439999999999</v>
      </c>
      <c r="V2716">
        <v>5.1317300000000003E-2</v>
      </c>
      <c r="W2716">
        <v>0.135089299999999</v>
      </c>
      <c r="X2716">
        <v>0.98950360000000004</v>
      </c>
      <c r="Y2716">
        <v>5.6156640000000001E-2</v>
      </c>
      <c r="Z2716">
        <v>-2.4733569999999998E-3</v>
      </c>
      <c r="AA2716">
        <v>0.9984189</v>
      </c>
      <c r="AB2716">
        <v>46</v>
      </c>
      <c r="AC2716">
        <v>0.36590000000001</v>
      </c>
      <c r="AD2716">
        <v>-6.2886999999999901E-2</v>
      </c>
      <c r="AE2716">
        <v>-4.5500000000004003E-2</v>
      </c>
      <c r="AF2716">
        <v>4.5894657611530901E-2</v>
      </c>
      <c r="AG2716">
        <v>-6.2886999999999901E-2</v>
      </c>
      <c r="AH2716">
        <v>0.35534405829149501</v>
      </c>
      <c r="AI2716">
        <v>99.954990190385004</v>
      </c>
      <c r="AJ2716">
        <v>82.640672276497995</v>
      </c>
      <c r="AK2716">
        <v>0.36377258573090498</v>
      </c>
      <c r="AL2716">
        <v>82.2362161337944</v>
      </c>
      <c r="AM2716">
        <v>87.031205469733905</v>
      </c>
      <c r="AN2716">
        <v>0.99999997933336904</v>
      </c>
    </row>
    <row r="2717" spans="1:40" x14ac:dyDescent="0.25">
      <c r="A2717" t="str">
        <f>"20190312164319202"</f>
        <v>20190312164319202</v>
      </c>
      <c r="B2717" t="str">
        <f>"1552380199196975"</f>
        <v>1552380199196975</v>
      </c>
      <c r="C2717" t="s">
        <v>40</v>
      </c>
      <c r="D2717">
        <v>4.570989</v>
      </c>
      <c r="E2717">
        <v>0.51351829999999998</v>
      </c>
      <c r="F2717" t="s">
        <v>41</v>
      </c>
      <c r="G2717">
        <v>-317.16480000000001</v>
      </c>
      <c r="H2717">
        <v>1.0508139999999999</v>
      </c>
      <c r="I2717">
        <v>213.68510000000001</v>
      </c>
      <c r="J2717">
        <v>-317.4896</v>
      </c>
      <c r="K2717">
        <v>1.109926</v>
      </c>
      <c r="L2717">
        <v>213.72839999999999</v>
      </c>
      <c r="M2717">
        <v>0.99988100000000002</v>
      </c>
      <c r="N2717">
        <v>0</v>
      </c>
      <c r="O2717">
        <v>4.7283280000000004E-3</v>
      </c>
      <c r="P2717">
        <v>0.99156</v>
      </c>
      <c r="Q2717">
        <v>0.1207482</v>
      </c>
      <c r="R2717">
        <v>-4.7209330000000001E-2</v>
      </c>
      <c r="S2717">
        <v>3.0455930000000002</v>
      </c>
      <c r="T2717">
        <v>-0.22729959999999999</v>
      </c>
      <c r="U2717">
        <v>-0.157135</v>
      </c>
      <c r="V2717">
        <v>5.1902799999999999E-2</v>
      </c>
      <c r="W2717">
        <v>0.13530239999999999</v>
      </c>
      <c r="X2717">
        <v>0.98944399999999999</v>
      </c>
      <c r="Y2717">
        <v>5.6078999999999997E-2</v>
      </c>
      <c r="Z2717">
        <v>-2.4405730000000001E-3</v>
      </c>
      <c r="AA2717">
        <v>0.99842330000000001</v>
      </c>
      <c r="AB2717">
        <v>46</v>
      </c>
      <c r="AC2717">
        <v>0.32479999999998199</v>
      </c>
      <c r="AD2717">
        <v>-5.9111999999999998E-2</v>
      </c>
      <c r="AE2717">
        <v>-4.3299999999987897E-2</v>
      </c>
      <c r="AF2717">
        <v>4.3422314075704897E-2</v>
      </c>
      <c r="AG2717">
        <v>-5.9111999999999998E-2</v>
      </c>
      <c r="AH2717">
        <v>0.31436109625164499</v>
      </c>
      <c r="AI2717">
        <v>100.551557381769</v>
      </c>
      <c r="AJ2717">
        <v>82.135568652971003</v>
      </c>
      <c r="AK2717">
        <v>0.32280431338540799</v>
      </c>
      <c r="AL2717">
        <v>82.223893697879006</v>
      </c>
      <c r="AM2717">
        <v>86.997214382224101</v>
      </c>
      <c r="AN2717">
        <v>1.0000000346147899</v>
      </c>
    </row>
    <row r="2718" spans="1:40" x14ac:dyDescent="0.25">
      <c r="A2718" t="str">
        <f>"20190312164319223"</f>
        <v>20190312164319223</v>
      </c>
      <c r="B2718" t="str">
        <f>"1552380199217472"</f>
        <v>1552380199217472</v>
      </c>
      <c r="C2718" t="s">
        <v>40</v>
      </c>
      <c r="D2718">
        <v>4.5183549999999997</v>
      </c>
      <c r="E2718">
        <v>0.51191609999999999</v>
      </c>
      <c r="F2718" t="s">
        <v>41</v>
      </c>
      <c r="G2718">
        <v>-316.3526</v>
      </c>
      <c r="H2718">
        <v>1.046143</v>
      </c>
      <c r="I2718">
        <v>213.64400000000001</v>
      </c>
      <c r="J2718">
        <v>-317.03800000000001</v>
      </c>
      <c r="K2718">
        <v>1.109926</v>
      </c>
      <c r="L2718">
        <v>213.73050000000001</v>
      </c>
      <c r="M2718">
        <v>0.99988089999999996</v>
      </c>
      <c r="N2718">
        <v>0</v>
      </c>
      <c r="O2718">
        <v>4.7285290000000004E-3</v>
      </c>
      <c r="P2718">
        <v>0.99147609999999997</v>
      </c>
      <c r="Q2718">
        <v>0.1211661</v>
      </c>
      <c r="R2718">
        <v>-4.789902E-2</v>
      </c>
      <c r="S2718">
        <v>3.0355829999999999</v>
      </c>
      <c r="T2718">
        <v>-0.1703519</v>
      </c>
      <c r="U2718">
        <v>-0.2248993</v>
      </c>
      <c r="V2718">
        <v>5.2592149999999997E-2</v>
      </c>
      <c r="W2718">
        <v>0.13571529999999901</v>
      </c>
      <c r="X2718">
        <v>0.98935099999999998</v>
      </c>
      <c r="Y2718">
        <v>7.8470250000000005E-2</v>
      </c>
      <c r="Z2718">
        <v>-2.4619009999999998E-3</v>
      </c>
      <c r="AA2718">
        <v>0.99691339999999995</v>
      </c>
      <c r="AB2718">
        <v>46</v>
      </c>
      <c r="AC2718">
        <v>0.685400000000015</v>
      </c>
      <c r="AD2718">
        <v>-6.3782999999999895E-2</v>
      </c>
      <c r="AE2718">
        <v>-8.6500000000000896E-2</v>
      </c>
      <c r="AF2718">
        <v>8.8981808184034297E-2</v>
      </c>
      <c r="AG2718">
        <v>-6.3782999999999895E-2</v>
      </c>
      <c r="AH2718">
        <v>0.67919361981955795</v>
      </c>
      <c r="AI2718">
        <v>95.319711217232495</v>
      </c>
      <c r="AJ2718">
        <v>82.536134150188701</v>
      </c>
      <c r="AK2718">
        <v>0.68796075940441104</v>
      </c>
      <c r="AL2718">
        <v>82.200015669149906</v>
      </c>
      <c r="AM2718">
        <v>86.957121688790195</v>
      </c>
      <c r="AN2718">
        <v>0.99999998904835596</v>
      </c>
    </row>
    <row r="2719" spans="1:40" x14ac:dyDescent="0.25">
      <c r="A2719" t="str">
        <f>"20190312164319256"</f>
        <v>20190312164319256</v>
      </c>
      <c r="B2719" t="str">
        <f>"1552380199247735"</f>
        <v>1552380199247735</v>
      </c>
      <c r="C2719" t="s">
        <v>40</v>
      </c>
      <c r="D2719">
        <v>4.5063230000000001</v>
      </c>
      <c r="E2719">
        <v>0.51154699999999997</v>
      </c>
      <c r="F2719" t="s">
        <v>41</v>
      </c>
      <c r="G2719">
        <v>-315.93720000000002</v>
      </c>
      <c r="H2719">
        <v>1.049663</v>
      </c>
      <c r="I2719">
        <v>213.6524</v>
      </c>
      <c r="J2719">
        <v>-316.35180000000003</v>
      </c>
      <c r="K2719">
        <v>1.1099330000000001</v>
      </c>
      <c r="L2719">
        <v>213.7338</v>
      </c>
      <c r="M2719">
        <v>0.99988109999999997</v>
      </c>
      <c r="N2719">
        <v>0</v>
      </c>
      <c r="O2719">
        <v>4.7287409999999998E-3</v>
      </c>
      <c r="P2719">
        <v>0.99142839999999999</v>
      </c>
      <c r="Q2719">
        <v>0.12125660000000001</v>
      </c>
      <c r="R2719">
        <v>-4.8652260000000003E-2</v>
      </c>
      <c r="S2719">
        <v>3.0357669999999999</v>
      </c>
      <c r="T2719">
        <v>-0.16640379999999999</v>
      </c>
      <c r="U2719">
        <v>-0.21418760000000001</v>
      </c>
      <c r="V2719">
        <v>5.3345400000000001E-2</v>
      </c>
      <c r="W2719">
        <v>0.135800799999999</v>
      </c>
      <c r="X2719">
        <v>0.98929889999999998</v>
      </c>
      <c r="Y2719">
        <v>7.4977429999999998E-2</v>
      </c>
      <c r="Z2719">
        <v>-2.3095630000000002E-3</v>
      </c>
      <c r="AA2719">
        <v>0.99718249999999997</v>
      </c>
      <c r="AB2719">
        <v>46</v>
      </c>
      <c r="AC2719">
        <v>0.41460000000000702</v>
      </c>
      <c r="AD2719">
        <v>-6.0269999999999997E-2</v>
      </c>
      <c r="AE2719">
        <v>-8.1400000000002096E-2</v>
      </c>
      <c r="AF2719">
        <v>8.1697472395124093E-2</v>
      </c>
      <c r="AG2719">
        <v>-6.0269999999999997E-2</v>
      </c>
      <c r="AH2719">
        <v>0.40595020544191701</v>
      </c>
      <c r="AI2719">
        <v>98.281151728107403</v>
      </c>
      <c r="AJ2719">
        <v>78.621219864572296</v>
      </c>
      <c r="AK2719">
        <v>0.418452529200251</v>
      </c>
      <c r="AL2719">
        <v>82.195070806495707</v>
      </c>
      <c r="AM2719">
        <v>86.913461565807395</v>
      </c>
      <c r="AN2719">
        <v>0.99999995126150298</v>
      </c>
    </row>
    <row r="2720" spans="1:40" x14ac:dyDescent="0.25">
      <c r="A2720" t="str">
        <f>"20190312164319277"</f>
        <v>20190312164319277</v>
      </c>
      <c r="B2720" t="str">
        <f>"1552380199267251"</f>
        <v>1552380199267251</v>
      </c>
      <c r="C2720" t="s">
        <v>40</v>
      </c>
      <c r="D2720">
        <v>4.7057529999999996</v>
      </c>
      <c r="E2720">
        <v>0.51125429999999905</v>
      </c>
      <c r="F2720" t="s">
        <v>47</v>
      </c>
      <c r="G2720">
        <v>-295.55419999999998</v>
      </c>
      <c r="H2720" s="1">
        <v>1.879632E-6</v>
      </c>
      <c r="I2720">
        <v>212.27070000000001</v>
      </c>
      <c r="J2720">
        <v>-315.91500000000002</v>
      </c>
      <c r="K2720">
        <v>1.109931</v>
      </c>
      <c r="L2720">
        <v>213.73589999999999</v>
      </c>
      <c r="M2720">
        <v>0.99988089999999996</v>
      </c>
      <c r="N2720">
        <v>0</v>
      </c>
      <c r="O2720">
        <v>4.7292380000000002E-3</v>
      </c>
      <c r="P2720">
        <v>0.99133150000000003</v>
      </c>
      <c r="Q2720">
        <v>0.121923</v>
      </c>
      <c r="R2720">
        <v>-4.895505E-2</v>
      </c>
      <c r="S2720">
        <v>3.0353089999999998</v>
      </c>
      <c r="T2720">
        <v>-0.16198889999999999</v>
      </c>
      <c r="U2720">
        <v>-0.21353150000000001</v>
      </c>
      <c r="V2720">
        <v>5.3648420000000002E-2</v>
      </c>
      <c r="W2720">
        <v>0.1364631</v>
      </c>
      <c r="X2720">
        <v>0.98919140000000005</v>
      </c>
      <c r="Y2720">
        <v>7.4780449999999998E-2</v>
      </c>
      <c r="Z2720">
        <v>-2.2435110000000001E-3</v>
      </c>
      <c r="AA2720">
        <v>0.99719749999999996</v>
      </c>
      <c r="AB2720">
        <v>46</v>
      </c>
      <c r="AC2720">
        <v>20.360800000000001</v>
      </c>
      <c r="AD2720">
        <v>-1.109929120368</v>
      </c>
      <c r="AE2720">
        <v>-1.4651999999999801</v>
      </c>
      <c r="AF2720">
        <v>1.5568823647968399</v>
      </c>
      <c r="AG2720">
        <v>-1.109929120368</v>
      </c>
      <c r="AH2720">
        <v>20.293646862327499</v>
      </c>
      <c r="AI2720">
        <v>93.121429455648396</v>
      </c>
      <c r="AJ2720">
        <v>85.612991569235703</v>
      </c>
      <c r="AK2720">
        <v>20.383520999152999</v>
      </c>
      <c r="AL2720">
        <v>82.156767443040494</v>
      </c>
      <c r="AM2720">
        <v>86.895626497162894</v>
      </c>
      <c r="AN2720">
        <v>0.99999997823203202</v>
      </c>
    </row>
    <row r="2721" spans="1:40" x14ac:dyDescent="0.25">
      <c r="A2721" t="str">
        <f>"20190312164319301"</f>
        <v>20190312164319301</v>
      </c>
      <c r="B2721" t="str">
        <f>"1552380199297504"</f>
        <v>1552380199297504</v>
      </c>
      <c r="C2721" t="s">
        <v>40</v>
      </c>
      <c r="D2721">
        <v>4.4663700000000004</v>
      </c>
      <c r="E2721">
        <v>0.51164339999999997</v>
      </c>
      <c r="F2721" t="s">
        <v>47</v>
      </c>
      <c r="G2721">
        <v>-294.86430000000001</v>
      </c>
      <c r="H2721" s="1">
        <v>1.757258E-6</v>
      </c>
      <c r="I2721">
        <v>212.2628</v>
      </c>
      <c r="J2721">
        <v>-315.43950000000001</v>
      </c>
      <c r="K2721">
        <v>1.1099289999999999</v>
      </c>
      <c r="L2721">
        <v>213.7381</v>
      </c>
      <c r="M2721">
        <v>0.99988109999999997</v>
      </c>
      <c r="N2721">
        <v>0</v>
      </c>
      <c r="O2721">
        <v>4.7294390000000002E-3</v>
      </c>
      <c r="P2721">
        <v>0.99132880000000001</v>
      </c>
      <c r="Q2721">
        <v>0.1219737</v>
      </c>
      <c r="R2721">
        <v>-4.8886390000000002E-2</v>
      </c>
      <c r="S2721">
        <v>3.0354610000000002</v>
      </c>
      <c r="T2721">
        <v>-0.1600492</v>
      </c>
      <c r="U2721">
        <v>-0.21241760000000001</v>
      </c>
      <c r="V2721">
        <v>5.3579920000000003E-2</v>
      </c>
      <c r="W2721">
        <v>0.13651079999999999</v>
      </c>
      <c r="X2721">
        <v>0.98918859999999997</v>
      </c>
      <c r="Y2721">
        <v>7.4416199999999905E-2</v>
      </c>
      <c r="Z2721">
        <v>-2.2070280000000002E-3</v>
      </c>
      <c r="AA2721">
        <v>0.99722480000000002</v>
      </c>
      <c r="AB2721">
        <v>46</v>
      </c>
      <c r="AC2721">
        <v>20.575199999999899</v>
      </c>
      <c r="AD2721">
        <v>-1.1099272427419999</v>
      </c>
      <c r="AE2721">
        <v>-1.4753000000000001</v>
      </c>
      <c r="AF2721">
        <v>1.5680633261674699</v>
      </c>
      <c r="AG2721">
        <v>-1.1099272427419999</v>
      </c>
      <c r="AH2721">
        <v>20.508615858172099</v>
      </c>
      <c r="AI2721">
        <v>93.088830244904401</v>
      </c>
      <c r="AJ2721">
        <v>85.627742524057894</v>
      </c>
      <c r="AK2721">
        <v>20.5984000712949</v>
      </c>
      <c r="AL2721">
        <v>82.154009154713094</v>
      </c>
      <c r="AM2721">
        <v>86.899573762450402</v>
      </c>
      <c r="AN2721">
        <v>1.0000000463569001</v>
      </c>
    </row>
    <row r="2722" spans="1:40" x14ac:dyDescent="0.25">
      <c r="A2722" t="str">
        <f>"20190312164319324"</f>
        <v>20190312164319324</v>
      </c>
      <c r="B2722" t="str">
        <f>"1552380199317024"</f>
        <v>1552380199317024</v>
      </c>
      <c r="C2722" t="s">
        <v>40</v>
      </c>
      <c r="D2722">
        <v>4.4799220000000002</v>
      </c>
      <c r="E2722">
        <v>0.51154049999999995</v>
      </c>
      <c r="F2722" t="s">
        <v>47</v>
      </c>
      <c r="G2722">
        <v>-294.92340000000002</v>
      </c>
      <c r="H2722" s="1">
        <v>1.7677349999999999E-6</v>
      </c>
      <c r="I2722">
        <v>212.2851</v>
      </c>
      <c r="J2722">
        <v>-314.97190000000001</v>
      </c>
      <c r="K2722">
        <v>1.1099319999999999</v>
      </c>
      <c r="L2722">
        <v>213.74029999999999</v>
      </c>
      <c r="M2722">
        <v>0.99988109999999997</v>
      </c>
      <c r="N2722">
        <v>0</v>
      </c>
      <c r="O2722">
        <v>4.7294599999999996E-3</v>
      </c>
      <c r="P2722">
        <v>0.99132129999999996</v>
      </c>
      <c r="Q2722">
        <v>0.1221486</v>
      </c>
      <c r="R2722">
        <v>-4.8600730000000002E-2</v>
      </c>
      <c r="S2722">
        <v>3.0358580000000002</v>
      </c>
      <c r="T2722">
        <v>-0.16424040000000001</v>
      </c>
      <c r="U2722">
        <v>-0.2150116</v>
      </c>
      <c r="V2722">
        <v>5.3294170000000002E-2</v>
      </c>
      <c r="W2722">
        <v>0.13668279999999999</v>
      </c>
      <c r="X2722">
        <v>0.98918030000000001</v>
      </c>
      <c r="Y2722">
        <v>7.5247999999999995E-2</v>
      </c>
      <c r="Z2722">
        <v>-2.2868340000000002E-3</v>
      </c>
      <c r="AA2722">
        <v>0.9971622</v>
      </c>
      <c r="AB2722">
        <v>46</v>
      </c>
      <c r="AC2722">
        <v>20.048499999999901</v>
      </c>
      <c r="AD2722">
        <v>-1.109930232265</v>
      </c>
      <c r="AE2722">
        <v>-1.4551999999999901</v>
      </c>
      <c r="AF2722">
        <v>1.5453010209278699</v>
      </c>
      <c r="AG2722">
        <v>-1.109930232265</v>
      </c>
      <c r="AH2722">
        <v>19.980473879849999</v>
      </c>
      <c r="AI2722">
        <v>93.170107840960497</v>
      </c>
      <c r="AJ2722">
        <v>85.577516144492606</v>
      </c>
      <c r="AK2722">
        <v>20.0708554085057</v>
      </c>
      <c r="AL2722">
        <v>82.144061151522095</v>
      </c>
      <c r="AM2722">
        <v>86.916050986014895</v>
      </c>
      <c r="AN2722">
        <v>1.00000006113995</v>
      </c>
    </row>
    <row r="2723" spans="1:40" x14ac:dyDescent="0.25">
      <c r="A2723" t="str">
        <f>"20190312164319347"</f>
        <v>20190312164319347</v>
      </c>
      <c r="B2723" t="str">
        <f>"1552380199337521"</f>
        <v>1552380199337521</v>
      </c>
      <c r="C2723" t="s">
        <v>40</v>
      </c>
      <c r="D2723">
        <v>4.4421809999999997</v>
      </c>
      <c r="E2723">
        <v>0.50614499999999996</v>
      </c>
      <c r="F2723" t="s">
        <v>41</v>
      </c>
      <c r="G2723">
        <v>-313.87790000000001</v>
      </c>
      <c r="H2723">
        <v>1.051291</v>
      </c>
      <c r="I2723">
        <v>213.66319999999999</v>
      </c>
      <c r="J2723">
        <v>-314.50639999999999</v>
      </c>
      <c r="K2723">
        <v>1.1099300000000001</v>
      </c>
      <c r="L2723">
        <v>213.74250000000001</v>
      </c>
      <c r="M2723">
        <v>0.99988109999999997</v>
      </c>
      <c r="N2723">
        <v>0</v>
      </c>
      <c r="O2723">
        <v>4.7298399999999999E-3</v>
      </c>
      <c r="P2723">
        <v>0.99128260000000001</v>
      </c>
      <c r="Q2723">
        <v>0.1225403</v>
      </c>
      <c r="R2723">
        <v>-4.8403630000000003E-2</v>
      </c>
      <c r="S2723">
        <v>3.0358580000000002</v>
      </c>
      <c r="T2723">
        <v>-0.16283929999999999</v>
      </c>
      <c r="U2723">
        <v>-0.21339420000000001</v>
      </c>
      <c r="V2723">
        <v>5.3097020000000002E-2</v>
      </c>
      <c r="W2723">
        <v>0.137071</v>
      </c>
      <c r="X2723">
        <v>0.98913709999999999</v>
      </c>
      <c r="Y2723">
        <v>7.4722469999999999E-2</v>
      </c>
      <c r="Z2723">
        <v>-2.2533499999999999E-3</v>
      </c>
      <c r="AA2723">
        <v>0.99720180000000003</v>
      </c>
      <c r="AB2723">
        <v>46</v>
      </c>
      <c r="AC2723">
        <v>0.62849999999997397</v>
      </c>
      <c r="AD2723">
        <v>-5.8638999999999802E-2</v>
      </c>
      <c r="AE2723">
        <v>-7.9300000000017606E-2</v>
      </c>
      <c r="AF2723">
        <v>8.1573180313174301E-2</v>
      </c>
      <c r="AG2723">
        <v>-5.8638999999999802E-2</v>
      </c>
      <c r="AH2723">
        <v>0.62278156793882</v>
      </c>
      <c r="AI2723">
        <v>95.333626171217603</v>
      </c>
      <c r="AJ2723">
        <v>82.537764994418396</v>
      </c>
      <c r="AK2723">
        <v>0.63083246383785696</v>
      </c>
      <c r="AL2723">
        <v>82.121606937319896</v>
      </c>
      <c r="AM2723">
        <v>86.927303538418101</v>
      </c>
      <c r="AN2723">
        <v>0.99999997758514403</v>
      </c>
    </row>
    <row r="2724" spans="1:40" x14ac:dyDescent="0.25">
      <c r="A2724" t="str">
        <f>"20190312164319369"</f>
        <v>20190312164319369</v>
      </c>
      <c r="B2724" t="str">
        <f>"1552380199357041"</f>
        <v>1552380199357041</v>
      </c>
      <c r="C2724" t="s">
        <v>40</v>
      </c>
      <c r="D2724">
        <v>4.4591880000000002</v>
      </c>
      <c r="E2724">
        <v>0.50576319999999997</v>
      </c>
      <c r="F2724" t="s">
        <v>41</v>
      </c>
      <c r="G2724">
        <v>-313.47829999999999</v>
      </c>
      <c r="H2724">
        <v>1.036503</v>
      </c>
      <c r="I2724">
        <v>213.68559999999999</v>
      </c>
      <c r="J2724">
        <v>-314.03800000000001</v>
      </c>
      <c r="K2724">
        <v>1.109942</v>
      </c>
      <c r="L2724">
        <v>213.74469999999999</v>
      </c>
      <c r="M2724">
        <v>0.99988120000000003</v>
      </c>
      <c r="N2724">
        <v>0</v>
      </c>
      <c r="O2724">
        <v>4.7299809999999899E-3</v>
      </c>
      <c r="P2724">
        <v>0.99124610000000002</v>
      </c>
      <c r="Q2724">
        <v>0.1227951</v>
      </c>
      <c r="R2724">
        <v>-4.8503409999999997E-2</v>
      </c>
      <c r="S2724">
        <v>3.0451350000000001</v>
      </c>
      <c r="T2724">
        <v>-0.21772369999999999</v>
      </c>
      <c r="U2724">
        <v>-0.16705320000000001</v>
      </c>
      <c r="V2724">
        <v>5.3197220000000003E-2</v>
      </c>
      <c r="W2724">
        <v>0.13732230000000001</v>
      </c>
      <c r="X2724">
        <v>0.98909689999999995</v>
      </c>
      <c r="Y2724">
        <v>5.9336390000000003E-2</v>
      </c>
      <c r="Z2724">
        <v>-2.4545029999999998E-3</v>
      </c>
      <c r="AA2724">
        <v>0.99823499999999998</v>
      </c>
      <c r="AB2724">
        <v>46</v>
      </c>
      <c r="AC2724">
        <v>0.55970000000001996</v>
      </c>
      <c r="AD2724">
        <v>-7.3438999999999796E-2</v>
      </c>
      <c r="AE2724">
        <v>-5.9100000000000798E-2</v>
      </c>
      <c r="AF2724">
        <v>6.07132549298217E-2</v>
      </c>
      <c r="AG2724">
        <v>-7.3438999999999796E-2</v>
      </c>
      <c r="AH2724">
        <v>0.55004871712373204</v>
      </c>
      <c r="AI2724">
        <v>97.559418639678995</v>
      </c>
      <c r="AJ2724">
        <v>83.701305814264302</v>
      </c>
      <c r="AK2724">
        <v>0.55824096701571202</v>
      </c>
      <c r="AL2724">
        <v>82.107071374331895</v>
      </c>
      <c r="AM2724">
        <v>86.921391281696401</v>
      </c>
      <c r="AN2724">
        <v>1.00000001794131</v>
      </c>
    </row>
    <row r="2725" spans="1:40" x14ac:dyDescent="0.25">
      <c r="A2725" t="str">
        <f>"20190312164319393"</f>
        <v>20190312164319393</v>
      </c>
      <c r="B2725" t="str">
        <f>"1552380199387296"</f>
        <v>1552380199387296</v>
      </c>
      <c r="C2725" t="s">
        <v>40</v>
      </c>
      <c r="D2725">
        <v>4.4019089999999998</v>
      </c>
      <c r="E2725">
        <v>0.50715580000000005</v>
      </c>
      <c r="F2725" t="s">
        <v>41</v>
      </c>
      <c r="G2725">
        <v>-313.06459999999998</v>
      </c>
      <c r="H2725">
        <v>1.0429759999999999</v>
      </c>
      <c r="I2725">
        <v>213.6918</v>
      </c>
      <c r="J2725">
        <v>-313.5573</v>
      </c>
      <c r="K2725">
        <v>1.109945</v>
      </c>
      <c r="L2725">
        <v>213.74700000000001</v>
      </c>
      <c r="M2725">
        <v>0.99988120000000003</v>
      </c>
      <c r="N2725">
        <v>0</v>
      </c>
      <c r="O2725">
        <v>4.730181E-3</v>
      </c>
      <c r="P2725">
        <v>0.99124020000000002</v>
      </c>
      <c r="Q2725">
        <v>0.12310889999999999</v>
      </c>
      <c r="R2725">
        <v>-4.7826800000000003E-2</v>
      </c>
      <c r="S2725">
        <v>3.0443419999999999</v>
      </c>
      <c r="T2725">
        <v>-0.20952390000000001</v>
      </c>
      <c r="U2725">
        <v>-0.16503909999999999</v>
      </c>
      <c r="V2725">
        <v>5.2520509999999999E-2</v>
      </c>
      <c r="W2725">
        <v>0.13763259999999999</v>
      </c>
      <c r="X2725">
        <v>0.98908989999999997</v>
      </c>
      <c r="Y2725">
        <v>5.8705769999999997E-2</v>
      </c>
      <c r="Z2725">
        <v>-2.3412950000000002E-3</v>
      </c>
      <c r="AA2725">
        <v>0.99827259999999995</v>
      </c>
      <c r="AB2725">
        <v>46</v>
      </c>
      <c r="AC2725">
        <v>0.49270000000001302</v>
      </c>
      <c r="AD2725">
        <v>-6.6969000000000001E-2</v>
      </c>
      <c r="AE2725">
        <v>-5.5200000000013398E-2</v>
      </c>
      <c r="AF2725">
        <v>5.6499312807622999E-2</v>
      </c>
      <c r="AG2725">
        <v>-6.6969000000000001E-2</v>
      </c>
      <c r="AH2725">
        <v>0.48360946528082799</v>
      </c>
      <c r="AI2725">
        <v>97.831436769034696</v>
      </c>
      <c r="AJ2725">
        <v>83.336433769285193</v>
      </c>
      <c r="AK2725">
        <v>0.491482587909218</v>
      </c>
      <c r="AL2725">
        <v>82.089121788780403</v>
      </c>
      <c r="AM2725">
        <v>86.960458201592303</v>
      </c>
      <c r="AN2725">
        <v>0.99999998341771401</v>
      </c>
    </row>
    <row r="2726" spans="1:40" x14ac:dyDescent="0.25">
      <c r="A2726" t="str">
        <f>"20190312164319415"</f>
        <v>20190312164319415</v>
      </c>
      <c r="B2726" t="str">
        <f>"1552380199406816"</f>
        <v>1552380199406816</v>
      </c>
      <c r="C2726" t="s">
        <v>40</v>
      </c>
      <c r="D2726">
        <v>4.4077469999999996</v>
      </c>
      <c r="E2726">
        <v>0.50797879999999995</v>
      </c>
      <c r="F2726" t="s">
        <v>41</v>
      </c>
      <c r="G2726">
        <v>-312.64760000000001</v>
      </c>
      <c r="H2726">
        <v>1.0505530000000001</v>
      </c>
      <c r="I2726">
        <v>213.6944</v>
      </c>
      <c r="J2726">
        <v>-313.10719999999998</v>
      </c>
      <c r="K2726">
        <v>1.1099490000000001</v>
      </c>
      <c r="L2726">
        <v>213.7491</v>
      </c>
      <c r="M2726">
        <v>0.99988129999999997</v>
      </c>
      <c r="N2726">
        <v>0</v>
      </c>
      <c r="O2726">
        <v>4.7303800000000002E-3</v>
      </c>
      <c r="P2726">
        <v>0.99121999999999999</v>
      </c>
      <c r="Q2726">
        <v>0.12334389999999899</v>
      </c>
      <c r="R2726">
        <v>-4.7635619999999997E-2</v>
      </c>
      <c r="S2726">
        <v>3.042786</v>
      </c>
      <c r="T2726">
        <v>-0.1988945</v>
      </c>
      <c r="U2726">
        <v>-0.17478940000000001</v>
      </c>
      <c r="V2726">
        <v>5.2329630000000002E-2</v>
      </c>
      <c r="W2726">
        <v>0.13786499999999999</v>
      </c>
      <c r="X2726">
        <v>0.98906769999999999</v>
      </c>
      <c r="Y2726">
        <v>6.1930010000000001E-2</v>
      </c>
      <c r="Z2726">
        <v>-2.3289040000000001E-3</v>
      </c>
      <c r="AA2726">
        <v>0.99807780000000001</v>
      </c>
      <c r="AB2726">
        <v>46</v>
      </c>
      <c r="AC2726">
        <v>0.45959999999996598</v>
      </c>
      <c r="AD2726">
        <v>-5.9395999999999997E-2</v>
      </c>
      <c r="AE2726">
        <v>-5.46999999999968E-2</v>
      </c>
      <c r="AF2726">
        <v>5.59522718520939E-2</v>
      </c>
      <c r="AG2726">
        <v>-5.9395999999999997E-2</v>
      </c>
      <c r="AH2726">
        <v>0.45189419936688102</v>
      </c>
      <c r="AI2726">
        <v>97.431801456707902</v>
      </c>
      <c r="AJ2726">
        <v>82.941720503128593</v>
      </c>
      <c r="AK2726">
        <v>0.45920247055394298</v>
      </c>
      <c r="AL2726">
        <v>82.075678479058894</v>
      </c>
      <c r="AM2726">
        <v>86.971416629347601</v>
      </c>
      <c r="AN2726">
        <v>1.0000000317921101</v>
      </c>
    </row>
    <row r="2727" spans="1:40" x14ac:dyDescent="0.25">
      <c r="A2727" t="str">
        <f>"20190312164319436"</f>
        <v>20190312164319436</v>
      </c>
      <c r="B2727" t="str">
        <f>"1552380199427312"</f>
        <v>1552380199427312</v>
      </c>
      <c r="C2727" t="s">
        <v>40</v>
      </c>
      <c r="D2727">
        <v>4.7545479999999998</v>
      </c>
      <c r="E2727">
        <v>0.50848230000000005</v>
      </c>
      <c r="F2727" t="s">
        <v>47</v>
      </c>
      <c r="G2727">
        <v>-295.03809999999999</v>
      </c>
      <c r="H2727" s="1">
        <v>1.7880840000000001E-6</v>
      </c>
      <c r="I2727">
        <v>212.6677</v>
      </c>
      <c r="J2727">
        <v>-312.67559999999997</v>
      </c>
      <c r="K2727">
        <v>1.1099540000000001</v>
      </c>
      <c r="L2727">
        <v>213.75120000000001</v>
      </c>
      <c r="M2727">
        <v>0.99988129999999997</v>
      </c>
      <c r="N2727">
        <v>0</v>
      </c>
      <c r="O2727">
        <v>4.7305790000000004E-3</v>
      </c>
      <c r="P2727">
        <v>0.99116530000000003</v>
      </c>
      <c r="Q2727">
        <v>0.12401619999999999</v>
      </c>
      <c r="R2727">
        <v>-4.7026039999999998E-2</v>
      </c>
      <c r="S2727">
        <v>3.0411380000000001</v>
      </c>
      <c r="T2727">
        <v>-0.18681030000000001</v>
      </c>
      <c r="U2727">
        <v>-0.1820068</v>
      </c>
      <c r="V2727">
        <v>5.1720059999999998E-2</v>
      </c>
      <c r="W2727">
        <v>0.13853370000000001</v>
      </c>
      <c r="X2727">
        <v>0.9890063</v>
      </c>
      <c r="Y2727">
        <v>6.4333619999999994E-2</v>
      </c>
      <c r="Z2727">
        <v>-2.2624120000000001E-3</v>
      </c>
      <c r="AA2727">
        <v>0.99792590000000003</v>
      </c>
      <c r="AB2727">
        <v>46</v>
      </c>
      <c r="AC2727">
        <v>17.6374999999999</v>
      </c>
      <c r="AD2727">
        <v>-1.1099522119159999</v>
      </c>
      <c r="AE2727">
        <v>-1.0835000000000099</v>
      </c>
      <c r="AF2727">
        <v>1.1623464302420701</v>
      </c>
      <c r="AG2727">
        <v>-1.1099522119159999</v>
      </c>
      <c r="AH2727">
        <v>17.562882664758298</v>
      </c>
      <c r="AI2727">
        <v>93.608339413604895</v>
      </c>
      <c r="AJ2727">
        <v>86.213573412034407</v>
      </c>
      <c r="AK2727">
        <v>17.636266346160099</v>
      </c>
      <c r="AL2727">
        <v>82.036993381896707</v>
      </c>
      <c r="AM2727">
        <v>87.006445528827996</v>
      </c>
      <c r="AN2727">
        <v>1.00000000604089</v>
      </c>
    </row>
    <row r="2728" spans="1:40" x14ac:dyDescent="0.25">
      <c r="A2728" t="str">
        <f>"20190312164319457"</f>
        <v>20190312164319457</v>
      </c>
      <c r="B2728" t="str">
        <f>"1552380199446832"</f>
        <v>1552380199446832</v>
      </c>
      <c r="C2728" t="s">
        <v>40</v>
      </c>
      <c r="D2728">
        <v>4.3272779999999997</v>
      </c>
      <c r="E2728">
        <v>0.53020829999999997</v>
      </c>
      <c r="F2728" t="s">
        <v>47</v>
      </c>
      <c r="G2728">
        <v>-294.041</v>
      </c>
      <c r="H2728" s="1">
        <v>1.6112149999999999E-6</v>
      </c>
      <c r="I2728">
        <v>212.62379999999999</v>
      </c>
      <c r="J2728">
        <v>-312.23570000000001</v>
      </c>
      <c r="K2728">
        <v>1.109952</v>
      </c>
      <c r="L2728">
        <v>213.7533</v>
      </c>
      <c r="M2728">
        <v>0.99988129999999997</v>
      </c>
      <c r="N2728">
        <v>0</v>
      </c>
      <c r="O2728">
        <v>4.7307779999999997E-3</v>
      </c>
      <c r="P2728">
        <v>0.99121029999999999</v>
      </c>
      <c r="Q2728">
        <v>0.1236564</v>
      </c>
      <c r="R2728">
        <v>-4.7024499999999997E-2</v>
      </c>
      <c r="S2728">
        <v>3.0406490000000002</v>
      </c>
      <c r="T2728">
        <v>-0.1811131</v>
      </c>
      <c r="U2728">
        <v>-0.18396000000000001</v>
      </c>
      <c r="V2728">
        <v>5.171883E-2</v>
      </c>
      <c r="W2728">
        <v>0.13817199999999999</v>
      </c>
      <c r="X2728">
        <v>0.98905690000000002</v>
      </c>
      <c r="Y2728">
        <v>6.4988649999999995E-2</v>
      </c>
      <c r="Z2728">
        <v>-2.2133330000000001E-3</v>
      </c>
      <c r="AA2728">
        <v>0.99788359999999998</v>
      </c>
      <c r="AB2728">
        <v>46</v>
      </c>
      <c r="AC2728">
        <v>18.194700000000001</v>
      </c>
      <c r="AD2728">
        <v>-1.109950388785</v>
      </c>
      <c r="AE2728">
        <v>-1.1294999999999999</v>
      </c>
      <c r="AF2728">
        <v>1.2110819670967099</v>
      </c>
      <c r="AG2728">
        <v>-1.109950388785</v>
      </c>
      <c r="AH2728">
        <v>18.121970461007798</v>
      </c>
      <c r="AI2728">
        <v>93.497142553209699</v>
      </c>
      <c r="AJ2728">
        <v>86.176637696645201</v>
      </c>
      <c r="AK2728">
        <v>18.196277717880299</v>
      </c>
      <c r="AL2728">
        <v>82.057918015870101</v>
      </c>
      <c r="AM2728">
        <v>87.006669459317806</v>
      </c>
      <c r="AN2728">
        <v>0.99999994519908697</v>
      </c>
    </row>
    <row r="2729" spans="1:40" x14ac:dyDescent="0.25">
      <c r="A2729" t="str">
        <f>"20190312164319480"</f>
        <v>20190312164319480</v>
      </c>
      <c r="B2729" t="str">
        <f>"1552380199467328"</f>
        <v>1552380199467328</v>
      </c>
      <c r="C2729" t="s">
        <v>40</v>
      </c>
      <c r="D2729">
        <v>4.3607509999999996</v>
      </c>
      <c r="E2729">
        <v>0.53270169999999994</v>
      </c>
      <c r="F2729" t="s">
        <v>47</v>
      </c>
      <c r="G2729">
        <v>-293.85050000000001</v>
      </c>
      <c r="H2729" s="1">
        <v>1.5774290000000001E-6</v>
      </c>
      <c r="I2729">
        <v>211.59190000000001</v>
      </c>
      <c r="J2729">
        <v>-311.78570000000002</v>
      </c>
      <c r="K2729">
        <v>1.1099559999999999</v>
      </c>
      <c r="L2729">
        <v>213.75540000000001</v>
      </c>
      <c r="M2729">
        <v>0.99988140000000003</v>
      </c>
      <c r="N2729">
        <v>0</v>
      </c>
      <c r="O2729">
        <v>4.7309769999999999E-3</v>
      </c>
      <c r="P2729">
        <v>0.99129469999999997</v>
      </c>
      <c r="Q2729">
        <v>0.1229386</v>
      </c>
      <c r="R2729">
        <v>-4.7125630000000002E-2</v>
      </c>
      <c r="S2729">
        <v>3.0325009999999999</v>
      </c>
      <c r="T2729">
        <v>-0.18307880000000001</v>
      </c>
      <c r="U2729">
        <v>-0.3565063</v>
      </c>
      <c r="V2729">
        <v>5.182055E-2</v>
      </c>
      <c r="W2729">
        <v>0.1374532</v>
      </c>
      <c r="X2729">
        <v>0.98915180000000003</v>
      </c>
      <c r="Y2729">
        <v>0.1212293</v>
      </c>
      <c r="Z2729">
        <v>-3.9280319999999997E-3</v>
      </c>
      <c r="AA2729">
        <v>0.99261679999999997</v>
      </c>
      <c r="AB2729">
        <v>46</v>
      </c>
      <c r="AC2729">
        <v>17.935199999999998</v>
      </c>
      <c r="AD2729">
        <v>-1.1099544225710001</v>
      </c>
      <c r="AE2729">
        <v>-2.1634999999999902</v>
      </c>
      <c r="AF2729">
        <v>2.2398802342092399</v>
      </c>
      <c r="AG2729">
        <v>-1.1099544225710001</v>
      </c>
      <c r="AH2729">
        <v>17.857350108413399</v>
      </c>
      <c r="AI2729">
        <v>93.529159025060693</v>
      </c>
      <c r="AJ2729">
        <v>82.850623143198803</v>
      </c>
      <c r="AK2729">
        <v>18.031472906510899</v>
      </c>
      <c r="AL2729">
        <v>82.099499552599497</v>
      </c>
      <c r="AM2729">
        <v>87.0010801702945</v>
      </c>
      <c r="AN2729">
        <v>1.00000001751789</v>
      </c>
    </row>
    <row r="2730" spans="1:40" x14ac:dyDescent="0.25">
      <c r="A2730" t="str">
        <f>"20190312164319502"</f>
        <v>20190312164319502</v>
      </c>
      <c r="B2730" t="str">
        <f>"1552380199497583"</f>
        <v>1552380199497583</v>
      </c>
      <c r="C2730" t="s">
        <v>40</v>
      </c>
      <c r="D2730">
        <v>4.3606059999999998</v>
      </c>
      <c r="E2730">
        <v>0.53399350000000001</v>
      </c>
      <c r="F2730" t="s">
        <v>47</v>
      </c>
      <c r="G2730">
        <v>-293.07479999999998</v>
      </c>
      <c r="H2730" s="1">
        <v>1.4398219999999999E-6</v>
      </c>
      <c r="I2730">
        <v>211.42070000000001</v>
      </c>
      <c r="J2730">
        <v>-311.32490000000001</v>
      </c>
      <c r="K2730">
        <v>1.1099509999999999</v>
      </c>
      <c r="L2730">
        <v>213.7576</v>
      </c>
      <c r="M2730">
        <v>0.99988140000000003</v>
      </c>
      <c r="N2730">
        <v>0</v>
      </c>
      <c r="O2730">
        <v>4.7311180000000003E-3</v>
      </c>
      <c r="P2730">
        <v>0.99132070000000005</v>
      </c>
      <c r="Q2730">
        <v>0.1228175</v>
      </c>
      <c r="R2730">
        <v>-4.689451E-2</v>
      </c>
      <c r="S2730">
        <v>3.0306700000000002</v>
      </c>
      <c r="T2730">
        <v>-0.17978259999999999</v>
      </c>
      <c r="U2730">
        <v>-0.37815860000000001</v>
      </c>
      <c r="V2730">
        <v>5.1589679999999999E-2</v>
      </c>
      <c r="W2730">
        <v>0.1373289</v>
      </c>
      <c r="X2730">
        <v>0.98918110000000004</v>
      </c>
      <c r="Y2730">
        <v>0.12828059999999999</v>
      </c>
      <c r="Z2730">
        <v>-4.066264E-3</v>
      </c>
      <c r="AA2730">
        <v>0.99172959999999999</v>
      </c>
      <c r="AB2730">
        <v>46</v>
      </c>
      <c r="AC2730">
        <v>18.2501</v>
      </c>
      <c r="AD2730">
        <v>-1.1099495601780001</v>
      </c>
      <c r="AE2730">
        <v>-2.33689999999998</v>
      </c>
      <c r="AF2730">
        <v>2.4144397225504601</v>
      </c>
      <c r="AG2730">
        <v>-1.1099495601780001</v>
      </c>
      <c r="AH2730">
        <v>18.1727032108532</v>
      </c>
      <c r="AI2730">
        <v>93.464789557812296</v>
      </c>
      <c r="AJ2730">
        <v>82.431960039545899</v>
      </c>
      <c r="AK2730">
        <v>18.3659644230768</v>
      </c>
      <c r="AL2730">
        <v>82.106689345432599</v>
      </c>
      <c r="AM2730">
        <v>87.014504953230599</v>
      </c>
      <c r="AN2730">
        <v>0.99999998522746103</v>
      </c>
    </row>
    <row r="2731" spans="1:40" x14ac:dyDescent="0.25">
      <c r="A2731" t="str">
        <f>"20190312164319524"</f>
        <v>20190312164319524</v>
      </c>
      <c r="B2731" t="str">
        <f>"1552380199517104"</f>
        <v>1552380199517104</v>
      </c>
      <c r="C2731" t="s">
        <v>40</v>
      </c>
      <c r="D2731">
        <v>4.3423970000000001</v>
      </c>
      <c r="E2731">
        <v>0.53453919999999999</v>
      </c>
      <c r="F2731" t="s">
        <v>47</v>
      </c>
      <c r="G2731">
        <v>-292.81130000000002</v>
      </c>
      <c r="H2731" s="1">
        <v>1.393091E-6</v>
      </c>
      <c r="I2731">
        <v>211.38839999999999</v>
      </c>
      <c r="J2731">
        <v>-310.86439999999999</v>
      </c>
      <c r="K2731">
        <v>1.1099479999999999</v>
      </c>
      <c r="L2731">
        <v>213.75980000000001</v>
      </c>
      <c r="M2731">
        <v>0.99988140000000003</v>
      </c>
      <c r="N2731">
        <v>0</v>
      </c>
      <c r="O2731">
        <v>4.731318E-3</v>
      </c>
      <c r="P2731">
        <v>0.99133559999999998</v>
      </c>
      <c r="Q2731">
        <v>0.1226748</v>
      </c>
      <c r="R2731">
        <v>-4.6954679999999999E-2</v>
      </c>
      <c r="S2731">
        <v>3.0304570000000002</v>
      </c>
      <c r="T2731">
        <v>-0.18168619999999999</v>
      </c>
      <c r="U2731">
        <v>-0.38781739999999998</v>
      </c>
      <c r="V2731">
        <v>5.1650010000000003E-2</v>
      </c>
      <c r="W2731">
        <v>0.1371839</v>
      </c>
      <c r="X2731">
        <v>0.98919809999999997</v>
      </c>
      <c r="Y2731">
        <v>0.1313896</v>
      </c>
      <c r="Z2731">
        <v>-4.2014629999999999E-3</v>
      </c>
      <c r="AA2731">
        <v>0.99132189999999998</v>
      </c>
      <c r="AB2731">
        <v>46</v>
      </c>
      <c r="AC2731">
        <v>18.053099999999901</v>
      </c>
      <c r="AD2731">
        <v>-1.109946606909</v>
      </c>
      <c r="AE2731">
        <v>-2.3714000000000199</v>
      </c>
      <c r="AF2731">
        <v>2.4477020234114901</v>
      </c>
      <c r="AG2731">
        <v>-1.109946606909</v>
      </c>
      <c r="AH2731">
        <v>17.974882911451299</v>
      </c>
      <c r="AI2731">
        <v>93.501288139021995</v>
      </c>
      <c r="AJ2731">
        <v>82.245531562563301</v>
      </c>
      <c r="AK2731">
        <v>18.174697861202102</v>
      </c>
      <c r="AL2731">
        <v>82.115076838791097</v>
      </c>
      <c r="AM2731">
        <v>87.011071257337804</v>
      </c>
      <c r="AN2731">
        <v>1.0000000134979099</v>
      </c>
    </row>
    <row r="2732" spans="1:40" x14ac:dyDescent="0.25">
      <c r="A2732" t="str">
        <f>"20190312164319546"</f>
        <v>20190312164319546</v>
      </c>
      <c r="B2732" t="str">
        <f>"1552380199537603"</f>
        <v>1552380199537603</v>
      </c>
      <c r="C2732" t="s">
        <v>40</v>
      </c>
      <c r="D2732">
        <v>4.3670030000000004</v>
      </c>
      <c r="E2732">
        <v>0.5352498</v>
      </c>
      <c r="F2732" t="s">
        <v>47</v>
      </c>
      <c r="G2732">
        <v>-292.91500000000002</v>
      </c>
      <c r="H2732" s="1">
        <v>1.411478E-6</v>
      </c>
      <c r="I2732">
        <v>211.43799999999999</v>
      </c>
      <c r="J2732">
        <v>-310.41090000000003</v>
      </c>
      <c r="K2732">
        <v>1.1099429999999999</v>
      </c>
      <c r="L2732">
        <v>213.7619</v>
      </c>
      <c r="M2732">
        <v>0.99988160000000004</v>
      </c>
      <c r="N2732">
        <v>0</v>
      </c>
      <c r="O2732">
        <v>4.7313390000000002E-3</v>
      </c>
      <c r="P2732">
        <v>0.99141409999999996</v>
      </c>
      <c r="Q2732">
        <v>0.1222664</v>
      </c>
      <c r="R2732">
        <v>-4.6357839999999997E-2</v>
      </c>
      <c r="S2732">
        <v>3.0308229999999998</v>
      </c>
      <c r="T2732">
        <v>-0.18741859999999999</v>
      </c>
      <c r="U2732">
        <v>-0.39204410000000001</v>
      </c>
      <c r="V2732">
        <v>5.1053769999999998E-2</v>
      </c>
      <c r="W2732">
        <v>0.1367739</v>
      </c>
      <c r="X2732">
        <v>0.98928579999999999</v>
      </c>
      <c r="Y2732">
        <v>0.13271669999999999</v>
      </c>
      <c r="Z2732">
        <v>-4.3737009999999998E-3</v>
      </c>
      <c r="AA2732">
        <v>0.99114440000000004</v>
      </c>
      <c r="AB2732">
        <v>46</v>
      </c>
      <c r="AC2732">
        <v>17.495899999999999</v>
      </c>
      <c r="AD2732">
        <v>-1.1099415885220001</v>
      </c>
      <c r="AE2732">
        <v>-2.3239000000000001</v>
      </c>
      <c r="AF2732">
        <v>2.3971813480548998</v>
      </c>
      <c r="AG2732">
        <v>-1.1099415885220001</v>
      </c>
      <c r="AH2732">
        <v>17.415830416625401</v>
      </c>
      <c r="AI2732">
        <v>93.612658865048601</v>
      </c>
      <c r="AJ2732">
        <v>82.162836524859102</v>
      </c>
      <c r="AK2732">
        <v>17.6150389680536</v>
      </c>
      <c r="AL2732">
        <v>82.138791463818905</v>
      </c>
      <c r="AM2732">
        <v>87.045774967826802</v>
      </c>
      <c r="AN2732">
        <v>0.99999999061703104</v>
      </c>
    </row>
    <row r="2733" spans="1:40" x14ac:dyDescent="0.25">
      <c r="A2733" t="str">
        <f>"20190312164319568"</f>
        <v>20190312164319568</v>
      </c>
      <c r="B2733" t="str">
        <f>"1552380199557121"</f>
        <v>1552380199557121</v>
      </c>
      <c r="C2733" t="s">
        <v>40</v>
      </c>
      <c r="D2733">
        <v>4.3610749999999996</v>
      </c>
      <c r="E2733">
        <v>0.53499919999999901</v>
      </c>
      <c r="F2733" t="s">
        <v>47</v>
      </c>
      <c r="G2733">
        <v>-292.74610000000001</v>
      </c>
      <c r="H2733" s="1">
        <v>1.3815170000000001E-6</v>
      </c>
      <c r="I2733">
        <v>211.45500000000001</v>
      </c>
      <c r="J2733">
        <v>-309.96679999999998</v>
      </c>
      <c r="K2733">
        <v>1.1099410000000001</v>
      </c>
      <c r="L2733">
        <v>213.76400000000001</v>
      </c>
      <c r="M2733">
        <v>0.99988160000000004</v>
      </c>
      <c r="N2733">
        <v>0</v>
      </c>
      <c r="O2733">
        <v>4.7317180000000002E-3</v>
      </c>
      <c r="P2733">
        <v>0.99145499999999998</v>
      </c>
      <c r="Q2733">
        <v>0.122071</v>
      </c>
      <c r="R2733">
        <v>-4.6000439999999997E-2</v>
      </c>
      <c r="S2733">
        <v>3.0309750000000002</v>
      </c>
      <c r="T2733">
        <v>-0.190446</v>
      </c>
      <c r="U2733">
        <v>-0.39582820000000002</v>
      </c>
      <c r="V2733">
        <v>5.0696600000000001E-2</v>
      </c>
      <c r="W2733">
        <v>0.136576</v>
      </c>
      <c r="X2733">
        <v>0.98933150000000003</v>
      </c>
      <c r="Y2733">
        <v>0.1339168</v>
      </c>
      <c r="Z2733">
        <v>-4.4811690000000001E-3</v>
      </c>
      <c r="AA2733">
        <v>0.99098249999999999</v>
      </c>
      <c r="AB2733">
        <v>46</v>
      </c>
      <c r="AC2733">
        <v>17.220699999999901</v>
      </c>
      <c r="AD2733">
        <v>-1.1099396184829999</v>
      </c>
      <c r="AE2733">
        <v>-2.3089999999999899</v>
      </c>
      <c r="AF2733">
        <v>2.3807507131068002</v>
      </c>
      <c r="AG2733">
        <v>-1.1099396184829999</v>
      </c>
      <c r="AH2733">
        <v>17.139634904202499</v>
      </c>
      <c r="AI2733">
        <v>93.6700849381848</v>
      </c>
      <c r="AJ2733">
        <v>82.092030954373001</v>
      </c>
      <c r="AK2733">
        <v>17.339752724995598</v>
      </c>
      <c r="AL2733">
        <v>82.150237650395695</v>
      </c>
      <c r="AM2733">
        <v>87.066541646126296</v>
      </c>
      <c r="AN2733">
        <v>0.999999982959904</v>
      </c>
    </row>
    <row r="2734" spans="1:40" x14ac:dyDescent="0.25">
      <c r="A2734" t="str">
        <f>"20190312164319592"</f>
        <v>20190312164319592</v>
      </c>
      <c r="B2734" t="str">
        <f>"1552380199587376"</f>
        <v>1552380199587376</v>
      </c>
      <c r="C2734" t="s">
        <v>40</v>
      </c>
      <c r="D2734">
        <v>4.9653580000000002</v>
      </c>
      <c r="E2734">
        <v>0.53504200000000002</v>
      </c>
      <c r="F2734" t="s">
        <v>47</v>
      </c>
      <c r="G2734">
        <v>-292.29020000000003</v>
      </c>
      <c r="H2734" s="1">
        <v>1.3006549999999999E-6</v>
      </c>
      <c r="I2734">
        <v>211.4725</v>
      </c>
      <c r="J2734">
        <v>-309.49950000000001</v>
      </c>
      <c r="K2734">
        <v>1.1099429999999999</v>
      </c>
      <c r="L2734">
        <v>213.7662</v>
      </c>
      <c r="M2734">
        <v>0.99988160000000004</v>
      </c>
      <c r="N2734">
        <v>0</v>
      </c>
      <c r="O2734">
        <v>4.7319199999999997E-3</v>
      </c>
      <c r="P2734">
        <v>0.99147010000000002</v>
      </c>
      <c r="Q2734">
        <v>0.1220508</v>
      </c>
      <c r="R2734">
        <v>-4.5724830000000001E-2</v>
      </c>
      <c r="S2734">
        <v>3.0310670000000002</v>
      </c>
      <c r="T2734">
        <v>-0.19032540000000001</v>
      </c>
      <c r="U2734">
        <v>-0.39292909999999998</v>
      </c>
      <c r="V2734">
        <v>5.0421519999999997E-2</v>
      </c>
      <c r="W2734">
        <v>0.1365529</v>
      </c>
      <c r="X2734">
        <v>0.98934880000000003</v>
      </c>
      <c r="Y2734">
        <v>0.1329832</v>
      </c>
      <c r="Z2734">
        <v>-4.4493270000000003E-3</v>
      </c>
      <c r="AA2734">
        <v>0.99110830000000005</v>
      </c>
      <c r="AB2734">
        <v>46</v>
      </c>
      <c r="AC2734">
        <v>17.209299999999899</v>
      </c>
      <c r="AD2734">
        <v>-1.109941699345</v>
      </c>
      <c r="AE2734">
        <v>-2.2936999999999999</v>
      </c>
      <c r="AF2734">
        <v>2.3654479989775199</v>
      </c>
      <c r="AG2734">
        <v>-1.109941699345</v>
      </c>
      <c r="AH2734">
        <v>17.128245819375199</v>
      </c>
      <c r="AI2734">
        <v>93.672924198112199</v>
      </c>
      <c r="AJ2734">
        <v>82.137064369173402</v>
      </c>
      <c r="AK2734">
        <v>17.326399500783602</v>
      </c>
      <c r="AL2734">
        <v>82.151574119972196</v>
      </c>
      <c r="AM2734">
        <v>87.082481959414295</v>
      </c>
      <c r="AN2734">
        <v>1.0000000361194701</v>
      </c>
    </row>
    <row r="2735" spans="1:40" x14ac:dyDescent="0.25">
      <c r="A2735" t="str">
        <f>"20190312164319614"</f>
        <v>20190312164319614</v>
      </c>
      <c r="B2735" t="str">
        <f>"1552380199606897"</f>
        <v>1552380199606897</v>
      </c>
      <c r="C2735" t="s">
        <v>40</v>
      </c>
      <c r="D2735">
        <v>4.779801</v>
      </c>
      <c r="E2735">
        <v>0.53507799999999905</v>
      </c>
      <c r="F2735" t="s">
        <v>47</v>
      </c>
      <c r="G2735">
        <v>-291.54300000000001</v>
      </c>
      <c r="H2735" s="1">
        <v>1.1681070000000001E-6</v>
      </c>
      <c r="I2735">
        <v>211.43879999999999</v>
      </c>
      <c r="J2735">
        <v>-309.02359999999999</v>
      </c>
      <c r="K2735">
        <v>1.1099460000000001</v>
      </c>
      <c r="L2735">
        <v>213.76849999999999</v>
      </c>
      <c r="M2735">
        <v>0.99988180000000004</v>
      </c>
      <c r="N2735">
        <v>0</v>
      </c>
      <c r="O2735">
        <v>4.7319420000000003E-3</v>
      </c>
      <c r="P2735">
        <v>0.99149229999999999</v>
      </c>
      <c r="Q2735">
        <v>0.1219789</v>
      </c>
      <c r="R2735">
        <v>-4.5437930000000001E-2</v>
      </c>
      <c r="S2735">
        <v>3.0307620000000002</v>
      </c>
      <c r="T2735">
        <v>-0.1873399</v>
      </c>
      <c r="U2735">
        <v>-0.39283750000000001</v>
      </c>
      <c r="V2735">
        <v>5.0134499999999999E-2</v>
      </c>
      <c r="W2735">
        <v>0.13647819999999999</v>
      </c>
      <c r="X2735">
        <v>0.98937359999999996</v>
      </c>
      <c r="Y2735">
        <v>0.1329747</v>
      </c>
      <c r="Z2735">
        <v>-4.3798550000000002E-3</v>
      </c>
      <c r="AA2735">
        <v>0.99110969999999998</v>
      </c>
      <c r="AB2735">
        <v>46</v>
      </c>
      <c r="AC2735">
        <v>17.4805999999999</v>
      </c>
      <c r="AD2735">
        <v>-1.1099448318930001</v>
      </c>
      <c r="AE2735">
        <v>-2.3296999999999999</v>
      </c>
      <c r="AF2735">
        <v>2.4028812789073299</v>
      </c>
      <c r="AG2735">
        <v>-1.1099448318930001</v>
      </c>
      <c r="AH2735">
        <v>17.400449675459502</v>
      </c>
      <c r="AI2735">
        <v>93.615635079342496</v>
      </c>
      <c r="AJ2735">
        <v>82.137577039017202</v>
      </c>
      <c r="AK2735">
        <v>17.600609787122899</v>
      </c>
      <c r="AL2735">
        <v>82.155893833892605</v>
      </c>
      <c r="AM2735">
        <v>87.099133813201803</v>
      </c>
      <c r="AN2735">
        <v>0.99999994377122303</v>
      </c>
    </row>
    <row r="2736" spans="1:40" x14ac:dyDescent="0.25">
      <c r="A2736" t="str">
        <f>"20190312164319636"</f>
        <v>20190312164319636</v>
      </c>
      <c r="B2736" t="str">
        <f>"1552380199627392"</f>
        <v>1552380199627392</v>
      </c>
      <c r="C2736" t="s">
        <v>40</v>
      </c>
      <c r="D2736">
        <v>4.3765239999999999</v>
      </c>
      <c r="E2736">
        <v>0.53485519999999998</v>
      </c>
      <c r="F2736" t="s">
        <v>47</v>
      </c>
      <c r="G2736">
        <v>-290.22289999999998</v>
      </c>
      <c r="H2736" s="1">
        <v>9.3394339999999996E-7</v>
      </c>
      <c r="I2736">
        <v>211.3322</v>
      </c>
      <c r="J2736">
        <v>-308.58390000000003</v>
      </c>
      <c r="K2736">
        <v>1.1099410000000001</v>
      </c>
      <c r="L2736">
        <v>213.7706</v>
      </c>
      <c r="M2736">
        <v>0.99988180000000004</v>
      </c>
      <c r="N2736">
        <v>0</v>
      </c>
      <c r="O2736">
        <v>4.7320829999999998E-3</v>
      </c>
      <c r="P2736">
        <v>0.9914809</v>
      </c>
      <c r="Q2736">
        <v>0.1221714</v>
      </c>
      <c r="R2736">
        <v>-4.516912E-2</v>
      </c>
      <c r="S2736">
        <v>3.0297239999999999</v>
      </c>
      <c r="T2736">
        <v>-0.17886729999999901</v>
      </c>
      <c r="U2736">
        <v>-0.39260859999999997</v>
      </c>
      <c r="V2736">
        <v>4.9865979999999997E-2</v>
      </c>
      <c r="W2736">
        <v>0.1366677</v>
      </c>
      <c r="X2736">
        <v>0.98936100000000005</v>
      </c>
      <c r="Y2736">
        <v>0.13296720000000001</v>
      </c>
      <c r="Z2736">
        <v>-4.1833449999999998E-3</v>
      </c>
      <c r="AA2736">
        <v>0.99111159999999998</v>
      </c>
      <c r="AB2736">
        <v>46</v>
      </c>
      <c r="AC2736">
        <v>18.361000000000001</v>
      </c>
      <c r="AD2736">
        <v>-1.1099400660565999</v>
      </c>
      <c r="AE2736">
        <v>-2.4384000000000001</v>
      </c>
      <c r="AF2736">
        <v>2.5162320145122199</v>
      </c>
      <c r="AG2736">
        <v>-1.1099400660565999</v>
      </c>
      <c r="AH2736">
        <v>18.283598299373999</v>
      </c>
      <c r="AI2736">
        <v>93.441624087056198</v>
      </c>
      <c r="AJ2736">
        <v>82.1640427719597</v>
      </c>
      <c r="AK2736">
        <v>18.489276818576901</v>
      </c>
      <c r="AL2736">
        <v>82.1449334946401</v>
      </c>
      <c r="AM2736">
        <v>87.114607820722497</v>
      </c>
      <c r="AN2736">
        <v>0.99999993225282202</v>
      </c>
    </row>
    <row r="2737" spans="1:40" x14ac:dyDescent="0.25">
      <c r="A2737" t="str">
        <f>"20190312164319657"</f>
        <v>20190312164319657</v>
      </c>
      <c r="B2737" t="str">
        <f>"1552380199646912"</f>
        <v>1552380199646912</v>
      </c>
      <c r="C2737" t="s">
        <v>40</v>
      </c>
      <c r="D2737">
        <v>4.7142039999999996</v>
      </c>
      <c r="E2737">
        <v>0.48688930000000002</v>
      </c>
      <c r="F2737" t="s">
        <v>47</v>
      </c>
      <c r="G2737">
        <v>-288.99149999999997</v>
      </c>
      <c r="H2737" s="1">
        <v>3.5055140000000001E-6</v>
      </c>
      <c r="I2737">
        <v>211.24449999999999</v>
      </c>
      <c r="J2737">
        <v>-308.15429999999998</v>
      </c>
      <c r="K2737">
        <v>1.109942</v>
      </c>
      <c r="L2737">
        <v>213.77260000000001</v>
      </c>
      <c r="M2737">
        <v>0.99988169999999998</v>
      </c>
      <c r="N2737">
        <v>0</v>
      </c>
      <c r="O2737">
        <v>4.7324610000000003E-3</v>
      </c>
      <c r="P2737">
        <v>0.99149219999999905</v>
      </c>
      <c r="Q2737">
        <v>0.1222866</v>
      </c>
      <c r="R2737">
        <v>-4.4599229999999997E-2</v>
      </c>
      <c r="S2737">
        <v>3.0291440000000001</v>
      </c>
      <c r="T2737">
        <v>-0.17160520000000001</v>
      </c>
      <c r="U2737">
        <v>-0.39054870000000003</v>
      </c>
      <c r="V2737">
        <v>4.9296769999999997E-2</v>
      </c>
      <c r="W2737">
        <v>0.1367806</v>
      </c>
      <c r="X2737">
        <v>0.98937399999999998</v>
      </c>
      <c r="Y2737">
        <v>0.1323484</v>
      </c>
      <c r="Z2737">
        <v>-3.9972879999999999E-3</v>
      </c>
      <c r="AA2737">
        <v>0.99119520000000005</v>
      </c>
      <c r="AB2737">
        <v>45</v>
      </c>
      <c r="AC2737">
        <v>19.162800000000001</v>
      </c>
      <c r="AD2737">
        <v>-1.109938494486</v>
      </c>
      <c r="AE2737">
        <v>-2.5281000000000202</v>
      </c>
      <c r="AF2737">
        <v>2.6101615680683099</v>
      </c>
      <c r="AG2737">
        <v>-1.109938494486</v>
      </c>
      <c r="AH2737">
        <v>19.0876781455108</v>
      </c>
      <c r="AI2737">
        <v>93.297354054739799</v>
      </c>
      <c r="AJ2737">
        <v>82.213333293325306</v>
      </c>
      <c r="AK2737">
        <v>19.297263118369301</v>
      </c>
      <c r="AL2737">
        <v>82.138404077381793</v>
      </c>
      <c r="AM2737">
        <v>87.147526693158397</v>
      </c>
      <c r="AN2737">
        <v>1.0000000079723901</v>
      </c>
    </row>
    <row r="2738" spans="1:40" x14ac:dyDescent="0.25">
      <c r="A2738" t="str">
        <f>"20190312164319680"</f>
        <v>20190312164319680</v>
      </c>
      <c r="B2738" t="str">
        <f>"1552380199677168"</f>
        <v>1552380199677168</v>
      </c>
      <c r="C2738" t="s">
        <v>40</v>
      </c>
      <c r="D2738">
        <v>4.6919170000000001</v>
      </c>
      <c r="E2738">
        <v>0.45863660000000001</v>
      </c>
      <c r="F2738" t="s">
        <v>46</v>
      </c>
      <c r="G2738">
        <v>-272.14679999999998</v>
      </c>
      <c r="H2738" s="1">
        <v>-3.525982E-7</v>
      </c>
      <c r="I2738">
        <v>213.6601</v>
      </c>
      <c r="J2738">
        <v>-307.70310000000001</v>
      </c>
      <c r="K2738">
        <v>1.109947</v>
      </c>
      <c r="L2738">
        <v>213.7747</v>
      </c>
      <c r="M2738">
        <v>0.99988169999999998</v>
      </c>
      <c r="N2738">
        <v>0</v>
      </c>
      <c r="O2738">
        <v>4.7326599999999996E-3</v>
      </c>
      <c r="P2738">
        <v>0.99147580000000002</v>
      </c>
      <c r="Q2738">
        <v>0.1225768</v>
      </c>
      <c r="R2738">
        <v>-4.4166700000000003E-2</v>
      </c>
      <c r="S2738">
        <v>3.036896</v>
      </c>
      <c r="T2738">
        <v>-9.3613150000000006E-2</v>
      </c>
      <c r="U2738">
        <v>-9.4909669999999995E-3</v>
      </c>
      <c r="V2738">
        <v>4.8864270000000001E-2</v>
      </c>
      <c r="W2738">
        <v>0.13706769999999999</v>
      </c>
      <c r="X2738">
        <v>0.98935569999999895</v>
      </c>
      <c r="Y2738">
        <v>7.8523369999999992E-3</v>
      </c>
      <c r="Z2738">
        <v>-2.6686229999999997E-4</v>
      </c>
      <c r="AA2738">
        <v>0.99996910000000006</v>
      </c>
      <c r="AB2738">
        <v>45</v>
      </c>
      <c r="AC2738">
        <v>35.5563</v>
      </c>
      <c r="AD2738">
        <v>-1.1099473525982</v>
      </c>
      <c r="AE2738">
        <v>-0.114599999999995</v>
      </c>
      <c r="AF2738">
        <v>0.28261721814837798</v>
      </c>
      <c r="AG2738">
        <v>-1.1099473525982</v>
      </c>
      <c r="AH2738">
        <v>35.520745501941903</v>
      </c>
      <c r="AI2738">
        <v>91.789731616688798</v>
      </c>
      <c r="AJ2738">
        <v>89.544141545703695</v>
      </c>
      <c r="AK2738">
        <v>35.5392067529828</v>
      </c>
      <c r="AL2738">
        <v>82.121797883259106</v>
      </c>
      <c r="AM2738">
        <v>87.172459561129102</v>
      </c>
      <c r="AN2738">
        <v>0.99999998619420605</v>
      </c>
    </row>
    <row r="2739" spans="1:40" x14ac:dyDescent="0.25">
      <c r="A2739" t="str">
        <f>"20190312164319703"</f>
        <v>20190312164319703</v>
      </c>
      <c r="B2739" t="str">
        <f>"1552380199697664"</f>
        <v>1552380199697664</v>
      </c>
      <c r="C2739" t="s">
        <v>40</v>
      </c>
      <c r="D2739">
        <v>4.4632050000000003</v>
      </c>
      <c r="E2739">
        <v>0.45397219999999999</v>
      </c>
      <c r="F2739" t="s">
        <v>46</v>
      </c>
      <c r="G2739">
        <v>-276.94889999999998</v>
      </c>
      <c r="H2739" s="1">
        <v>2.101827E-6</v>
      </c>
      <c r="I2739">
        <v>215.97130000000001</v>
      </c>
      <c r="J2739">
        <v>-307.226</v>
      </c>
      <c r="K2739">
        <v>1.10995</v>
      </c>
      <c r="L2739">
        <v>213.77699999999999</v>
      </c>
      <c r="M2739">
        <v>0.99988189999999999</v>
      </c>
      <c r="N2739">
        <v>0</v>
      </c>
      <c r="O2739">
        <v>4.7326809999999999E-3</v>
      </c>
      <c r="P2739">
        <v>0.99148329999999996</v>
      </c>
      <c r="Q2739">
        <v>0.1224835</v>
      </c>
      <c r="R2739">
        <v>-4.4262620000000003E-2</v>
      </c>
      <c r="S2739">
        <v>3.0491030000000001</v>
      </c>
      <c r="T2739">
        <v>-0.11004460000000001</v>
      </c>
      <c r="U2739">
        <v>0.21777340000000001</v>
      </c>
      <c r="V2739">
        <v>4.8960040000000003E-2</v>
      </c>
      <c r="W2739">
        <v>0.13697139999999999</v>
      </c>
      <c r="X2739">
        <v>0.98936429999999997</v>
      </c>
      <c r="Y2739">
        <v>-6.6478720000000005E-2</v>
      </c>
      <c r="Z2739">
        <v>1.027177E-3</v>
      </c>
      <c r="AA2739">
        <v>0.99778730000000004</v>
      </c>
      <c r="AB2739">
        <v>45</v>
      </c>
      <c r="AC2739">
        <v>30.277100000000001</v>
      </c>
      <c r="AD2739">
        <v>-1.109947898173</v>
      </c>
      <c r="AE2739">
        <v>2.1942999999999899</v>
      </c>
      <c r="AF2739">
        <v>-2.0482299501721002</v>
      </c>
      <c r="AG2739">
        <v>-1.109947898173</v>
      </c>
      <c r="AH2739">
        <v>30.246709815342498</v>
      </c>
      <c r="AI2739">
        <v>92.096812793287697</v>
      </c>
      <c r="AJ2739">
        <v>93.874009480508604</v>
      </c>
      <c r="AK2739">
        <v>30.336293196746599</v>
      </c>
      <c r="AL2739">
        <v>82.127367985168206</v>
      </c>
      <c r="AM2739">
        <v>87.166951417426006</v>
      </c>
      <c r="AN2739">
        <v>0.99999998402462498</v>
      </c>
    </row>
    <row r="2740" spans="1:40" x14ac:dyDescent="0.25">
      <c r="A2740" t="str">
        <f>"20190312164319725"</f>
        <v>20190312164319725</v>
      </c>
      <c r="B2740" t="str">
        <f>"1552380199717187"</f>
        <v>1552380199717187</v>
      </c>
      <c r="C2740" t="s">
        <v>40</v>
      </c>
      <c r="D2740">
        <v>4.6572789999999999</v>
      </c>
      <c r="E2740">
        <v>0.4500364</v>
      </c>
      <c r="F2740" t="s">
        <v>46</v>
      </c>
      <c r="G2740">
        <v>-276.18759999999997</v>
      </c>
      <c r="H2740" s="1">
        <v>1.6794270000000001E-6</v>
      </c>
      <c r="I2740">
        <v>216.36660000000001</v>
      </c>
      <c r="J2740">
        <v>-306.774</v>
      </c>
      <c r="K2740">
        <v>1.1099490000000001</v>
      </c>
      <c r="L2740">
        <v>213.7792</v>
      </c>
      <c r="M2740">
        <v>0.99988200000000005</v>
      </c>
      <c r="N2740">
        <v>0</v>
      </c>
      <c r="O2740">
        <v>4.7328810000000004E-3</v>
      </c>
      <c r="P2740">
        <v>0.99145229999999995</v>
      </c>
      <c r="Q2740">
        <v>0.1227337</v>
      </c>
      <c r="R2740">
        <v>-4.4263049999999998E-2</v>
      </c>
      <c r="S2740">
        <v>3.0505979999999999</v>
      </c>
      <c r="T2740">
        <v>-0.1090909</v>
      </c>
      <c r="U2740">
        <v>0.25451659999999998</v>
      </c>
      <c r="V2740">
        <v>4.89606E-2</v>
      </c>
      <c r="W2740">
        <v>0.13721889999999901</v>
      </c>
      <c r="X2740">
        <v>0.98933000000000004</v>
      </c>
      <c r="Y2740">
        <v>-7.8378160000000002E-2</v>
      </c>
      <c r="Z2740">
        <v>1.2296339999999901E-3</v>
      </c>
      <c r="AA2740">
        <v>0.996923</v>
      </c>
      <c r="AB2740">
        <v>45</v>
      </c>
      <c r="AC2740">
        <v>30.586400000000001</v>
      </c>
      <c r="AD2740">
        <v>-1.1099473205729999</v>
      </c>
      <c r="AE2740">
        <v>2.5874000000000001</v>
      </c>
      <c r="AF2740">
        <v>-2.4394041699278501</v>
      </c>
      <c r="AG2740">
        <v>-1.1099473205729999</v>
      </c>
      <c r="AH2740">
        <v>30.5583485983061</v>
      </c>
      <c r="AI2740">
        <v>92.073605199245193</v>
      </c>
      <c r="AJ2740">
        <v>94.564114609918406</v>
      </c>
      <c r="AK2740">
        <v>30.675647422903801</v>
      </c>
      <c r="AL2740">
        <v>82.113052296658296</v>
      </c>
      <c r="AM2740">
        <v>87.166821003412196</v>
      </c>
      <c r="AN2740">
        <v>1.0000000078847799</v>
      </c>
    </row>
    <row r="2741" spans="1:40" x14ac:dyDescent="0.25">
      <c r="A2741" t="str">
        <f>"20190312164319747"</f>
        <v>20190312164319747</v>
      </c>
      <c r="B2741" t="str">
        <f>"1552380199737680"</f>
        <v>1552380199737680</v>
      </c>
      <c r="C2741" t="s">
        <v>40</v>
      </c>
      <c r="D2741">
        <v>4.4361009999999998</v>
      </c>
      <c r="E2741">
        <v>0.44833800000000001</v>
      </c>
      <c r="F2741" t="s">
        <v>46</v>
      </c>
      <c r="G2741">
        <v>-277.8141</v>
      </c>
      <c r="H2741" s="1">
        <v>2.539178E-6</v>
      </c>
      <c r="I2741">
        <v>216.5</v>
      </c>
      <c r="J2741">
        <v>-306.33839999999998</v>
      </c>
      <c r="K2741">
        <v>1.109958</v>
      </c>
      <c r="L2741">
        <v>213.78120000000001</v>
      </c>
      <c r="M2741">
        <v>0.99988189999999999</v>
      </c>
      <c r="N2741">
        <v>0</v>
      </c>
      <c r="O2741">
        <v>4.7331980000000001E-3</v>
      </c>
      <c r="P2741">
        <v>0.99143840000000005</v>
      </c>
      <c r="Q2741">
        <v>0.12275320000000001</v>
      </c>
      <c r="R2741">
        <v>-4.4516350000000003E-2</v>
      </c>
      <c r="S2741">
        <v>3.053131</v>
      </c>
      <c r="T2741">
        <v>-0.1170176</v>
      </c>
      <c r="U2741">
        <v>0.28684999999999999</v>
      </c>
      <c r="V2741">
        <v>4.921441E-2</v>
      </c>
      <c r="W2741">
        <v>0.13723489999999999</v>
      </c>
      <c r="X2741">
        <v>0.98931519999999995</v>
      </c>
      <c r="Y2741">
        <v>-8.8765640000000007E-2</v>
      </c>
      <c r="Z2741">
        <v>1.515754E-3</v>
      </c>
      <c r="AA2741">
        <v>0.99605140000000003</v>
      </c>
      <c r="AB2741">
        <v>45</v>
      </c>
      <c r="AC2741">
        <v>28.524299999999901</v>
      </c>
      <c r="AD2741">
        <v>-1.1099554608219999</v>
      </c>
      <c r="AE2741">
        <v>2.7187999999999799</v>
      </c>
      <c r="AF2741">
        <v>-2.57987269111646</v>
      </c>
      <c r="AG2741">
        <v>-1.1099554608219999</v>
      </c>
      <c r="AH2741">
        <v>28.494093310315002</v>
      </c>
      <c r="AI2741">
        <v>92.221686486770395</v>
      </c>
      <c r="AJ2741">
        <v>95.173489066750093</v>
      </c>
      <c r="AK2741">
        <v>28.632168932938299</v>
      </c>
      <c r="AL2741">
        <v>82.112126908411497</v>
      </c>
      <c r="AM2741">
        <v>87.152115487261696</v>
      </c>
      <c r="AN2741">
        <v>1.0000000204403401</v>
      </c>
    </row>
    <row r="2742" spans="1:40" x14ac:dyDescent="0.25">
      <c r="A2742" t="str">
        <f>"20190312164319769"</f>
        <v>20190312164319769</v>
      </c>
      <c r="B2742" t="str">
        <f>"1552380199766960"</f>
        <v>1552380199766960</v>
      </c>
      <c r="C2742" t="s">
        <v>40</v>
      </c>
      <c r="D2742">
        <v>4.3964420000000004</v>
      </c>
      <c r="E2742">
        <v>0.44652419999999998</v>
      </c>
      <c r="F2742" t="s">
        <v>46</v>
      </c>
      <c r="G2742">
        <v>-277.86180000000002</v>
      </c>
      <c r="H2742" s="1">
        <v>2.561316E-6</v>
      </c>
      <c r="I2742">
        <v>216.57380000000001</v>
      </c>
      <c r="J2742">
        <v>-305.88420000000002</v>
      </c>
      <c r="K2742">
        <v>1.1099650000000001</v>
      </c>
      <c r="L2742">
        <v>213.7834</v>
      </c>
      <c r="M2742">
        <v>0.99988189999999999</v>
      </c>
      <c r="N2742">
        <v>0</v>
      </c>
      <c r="O2742">
        <v>4.7333979999999998E-3</v>
      </c>
      <c r="P2742">
        <v>0.99148239999999999</v>
      </c>
      <c r="Q2742">
        <v>0.122267</v>
      </c>
      <c r="R2742">
        <v>-4.4873780000000002E-2</v>
      </c>
      <c r="S2742">
        <v>3.0541079999999998</v>
      </c>
      <c r="T2742">
        <v>-0.1190423</v>
      </c>
      <c r="U2742">
        <v>0.29949949999999997</v>
      </c>
      <c r="V2742">
        <v>4.9571980000000002E-2</v>
      </c>
      <c r="W2742">
        <v>0.13674649999999999</v>
      </c>
      <c r="X2742">
        <v>0.98936489999999999</v>
      </c>
      <c r="Y2742">
        <v>-9.2817709999999998E-2</v>
      </c>
      <c r="Z2742">
        <v>1.61991E-3</v>
      </c>
      <c r="AA2742">
        <v>0.99568179999999995</v>
      </c>
      <c r="AB2742">
        <v>45</v>
      </c>
      <c r="AC2742">
        <v>28.022400000000001</v>
      </c>
      <c r="AD2742">
        <v>-1.1099624386839999</v>
      </c>
      <c r="AE2742">
        <v>2.7904</v>
      </c>
      <c r="AF2742">
        <v>-2.65359093707522</v>
      </c>
      <c r="AG2742">
        <v>-1.1099624386839999</v>
      </c>
      <c r="AH2742">
        <v>27.991809264442999</v>
      </c>
      <c r="AI2742">
        <v>92.260641801846504</v>
      </c>
      <c r="AJ2742">
        <v>95.415389527156606</v>
      </c>
      <c r="AK2742">
        <v>28.139206587492399</v>
      </c>
      <c r="AL2742">
        <v>82.140375905014906</v>
      </c>
      <c r="AM2742">
        <v>87.131602318755796</v>
      </c>
      <c r="AN2742">
        <v>0.99999994590768804</v>
      </c>
    </row>
    <row r="2743" spans="1:40" x14ac:dyDescent="0.25">
      <c r="A2743" t="str">
        <f>"20190312164319793"</f>
        <v>20190312164319793</v>
      </c>
      <c r="B2743" t="str">
        <f>"1552380199787457"</f>
        <v>1552380199787457</v>
      </c>
      <c r="C2743" t="s">
        <v>40</v>
      </c>
      <c r="D2743">
        <v>4.6437200000000001</v>
      </c>
      <c r="E2743">
        <v>0.44584590000000002</v>
      </c>
      <c r="F2743" t="s">
        <v>46</v>
      </c>
      <c r="G2743">
        <v>-277.4667</v>
      </c>
      <c r="H2743" s="1">
        <v>2.3457339999999999E-6</v>
      </c>
      <c r="I2743">
        <v>216.6951</v>
      </c>
      <c r="J2743">
        <v>-305.40879999999999</v>
      </c>
      <c r="K2743">
        <v>1.1099650000000001</v>
      </c>
      <c r="L2743">
        <v>213.78559999999999</v>
      </c>
      <c r="M2743">
        <v>0.99988189999999999</v>
      </c>
      <c r="N2743">
        <v>0</v>
      </c>
      <c r="O2743">
        <v>4.7337780000000001E-3</v>
      </c>
      <c r="P2743">
        <v>0.99145839999999996</v>
      </c>
      <c r="Q2743">
        <v>0.1224581</v>
      </c>
      <c r="R2743">
        <v>-4.4879130000000003E-2</v>
      </c>
      <c r="S2743">
        <v>3.0546570000000002</v>
      </c>
      <c r="T2743">
        <v>-0.119312</v>
      </c>
      <c r="U2743">
        <v>0.3129883</v>
      </c>
      <c r="V2743">
        <v>4.9577749999999997E-2</v>
      </c>
      <c r="W2743">
        <v>0.13693449999999999</v>
      </c>
      <c r="X2743">
        <v>0.98933859999999996</v>
      </c>
      <c r="Y2743">
        <v>-9.7148520000000002E-2</v>
      </c>
      <c r="Z2743">
        <v>1.7072439999999999E-3</v>
      </c>
      <c r="AA2743">
        <v>0.99526840000000005</v>
      </c>
      <c r="AB2743">
        <v>45</v>
      </c>
      <c r="AC2743">
        <v>27.9420999999999</v>
      </c>
      <c r="AD2743">
        <v>-1.1099626542659999</v>
      </c>
      <c r="AE2743">
        <v>2.9095</v>
      </c>
      <c r="AF2743">
        <v>-2.7728530081730698</v>
      </c>
      <c r="AG2743">
        <v>-1.1099626542659999</v>
      </c>
      <c r="AH2743">
        <v>27.911989402084298</v>
      </c>
      <c r="AI2743">
        <v>92.266110878050299</v>
      </c>
      <c r="AJ2743">
        <v>95.673304333884303</v>
      </c>
      <c r="AK2743">
        <v>28.0713356162629</v>
      </c>
      <c r="AL2743">
        <v>82.129501945635795</v>
      </c>
      <c r="AM2743">
        <v>87.131192871986698</v>
      </c>
      <c r="AN2743">
        <v>0.99999993801763398</v>
      </c>
    </row>
    <row r="2744" spans="1:40" x14ac:dyDescent="0.25">
      <c r="A2744" t="str">
        <f>"20190312164319815"</f>
        <v>20190312164319815</v>
      </c>
      <c r="B2744" t="str">
        <f>"1552380199806977"</f>
        <v>1552380199806977</v>
      </c>
      <c r="C2744" t="s">
        <v>40</v>
      </c>
      <c r="D2744">
        <v>4.4419360000000001</v>
      </c>
      <c r="E2744">
        <v>0.44542029999999999</v>
      </c>
      <c r="F2744" t="s">
        <v>46</v>
      </c>
      <c r="G2744">
        <v>-276.80040000000002</v>
      </c>
      <c r="H2744" s="1">
        <v>1.9880080000000001E-6</v>
      </c>
      <c r="I2744">
        <v>216.76769999999999</v>
      </c>
      <c r="J2744">
        <v>-304.95429999999999</v>
      </c>
      <c r="K2744">
        <v>1.1099669999999999</v>
      </c>
      <c r="L2744">
        <v>213.7878</v>
      </c>
      <c r="M2744">
        <v>0.99988189999999999</v>
      </c>
      <c r="N2744">
        <v>0</v>
      </c>
      <c r="O2744">
        <v>4.7339770000000003E-3</v>
      </c>
      <c r="P2744">
        <v>0.99144540000000003</v>
      </c>
      <c r="Q2744">
        <v>0.122654</v>
      </c>
      <c r="R2744">
        <v>-4.4633899999999997E-2</v>
      </c>
      <c r="S2744">
        <v>3.0549010000000001</v>
      </c>
      <c r="T2744">
        <v>-0.11852550000000001</v>
      </c>
      <c r="U2744">
        <v>0.31843569999999999</v>
      </c>
      <c r="V2744">
        <v>4.9332479999999998E-2</v>
      </c>
      <c r="W2744">
        <v>0.13712729999999901</v>
      </c>
      <c r="X2744">
        <v>0.98932419999999999</v>
      </c>
      <c r="Y2744">
        <v>-9.8895709999999998E-2</v>
      </c>
      <c r="Z2744">
        <v>1.72949E-3</v>
      </c>
      <c r="AA2744">
        <v>0.99509630000000004</v>
      </c>
      <c r="AB2744">
        <v>45</v>
      </c>
      <c r="AC2744">
        <v>28.153899999999901</v>
      </c>
      <c r="AD2744">
        <v>-1.1099650119919999</v>
      </c>
      <c r="AE2744">
        <v>2.9798999999999798</v>
      </c>
      <c r="AF2744">
        <v>-2.8422036767330501</v>
      </c>
      <c r="AG2744">
        <v>-1.1099650119919999</v>
      </c>
      <c r="AH2744">
        <v>28.124462527159601</v>
      </c>
      <c r="AI2744">
        <v>92.248631121401303</v>
      </c>
      <c r="AJ2744">
        <v>95.770609090653906</v>
      </c>
      <c r="AK2744">
        <v>28.2894951617996</v>
      </c>
      <c r="AL2744">
        <v>82.118350464616299</v>
      </c>
      <c r="AM2744">
        <v>87.145320359124995</v>
      </c>
      <c r="AN2744">
        <v>0.99999998134694001</v>
      </c>
    </row>
    <row r="2745" spans="1:40" x14ac:dyDescent="0.25">
      <c r="A2745" t="str">
        <f>"20190312164319837"</f>
        <v>20190312164319837</v>
      </c>
      <c r="B2745" t="str">
        <f>"1552380199827472"</f>
        <v>1552380199827472</v>
      </c>
      <c r="C2745" t="s">
        <v>40</v>
      </c>
      <c r="D2745">
        <v>4.444839</v>
      </c>
      <c r="E2745">
        <v>0.44485069999999999</v>
      </c>
      <c r="F2745" t="s">
        <v>46</v>
      </c>
      <c r="G2745">
        <v>-276.05130000000003</v>
      </c>
      <c r="H2745" s="1">
        <v>1.5860489999999901E-6</v>
      </c>
      <c r="I2745">
        <v>216.8441</v>
      </c>
      <c r="J2745">
        <v>-304.5172</v>
      </c>
      <c r="K2745">
        <v>1.109966</v>
      </c>
      <c r="L2745">
        <v>213.78980000000001</v>
      </c>
      <c r="M2745">
        <v>0.99988200000000005</v>
      </c>
      <c r="N2745">
        <v>0</v>
      </c>
      <c r="O2745">
        <v>4.7341759999999997E-3</v>
      </c>
      <c r="P2745">
        <v>0.99142629999999998</v>
      </c>
      <c r="Q2745">
        <v>0.1227878</v>
      </c>
      <c r="R2745">
        <v>-4.4689970000000002E-2</v>
      </c>
      <c r="S2745">
        <v>3.0549010000000001</v>
      </c>
      <c r="T2745">
        <v>-0.1173179</v>
      </c>
      <c r="U2745">
        <v>0.32304379999999999</v>
      </c>
      <c r="V2745">
        <v>4.9388719999999997E-2</v>
      </c>
      <c r="W2745">
        <v>0.13725809999999999</v>
      </c>
      <c r="X2745">
        <v>0.9893033</v>
      </c>
      <c r="Y2745">
        <v>-0.1003805</v>
      </c>
      <c r="Z2745">
        <v>1.7401599999999999E-3</v>
      </c>
      <c r="AA2745">
        <v>0.99494760000000004</v>
      </c>
      <c r="AB2745">
        <v>45</v>
      </c>
      <c r="AC2745">
        <v>28.465899999999898</v>
      </c>
      <c r="AD2745">
        <v>-1.1099644139509901</v>
      </c>
      <c r="AE2745">
        <v>3.05429999999998</v>
      </c>
      <c r="AF2745">
        <v>-2.9151070024588202</v>
      </c>
      <c r="AG2745">
        <v>-1.1099644139509901</v>
      </c>
      <c r="AH2745">
        <v>28.437297076529099</v>
      </c>
      <c r="AI2745">
        <v>92.223593101132906</v>
      </c>
      <c r="AJ2745">
        <v>95.852945349341994</v>
      </c>
      <c r="AK2745">
        <v>28.607861417009101</v>
      </c>
      <c r="AL2745">
        <v>82.110784987722198</v>
      </c>
      <c r="AM2745">
        <v>87.142011083892697</v>
      </c>
      <c r="AN2745">
        <v>1.00000002553486</v>
      </c>
    </row>
    <row r="2746" spans="1:40" x14ac:dyDescent="0.25">
      <c r="A2746" t="str">
        <f>"20190312164319859"</f>
        <v>20190312164319859</v>
      </c>
      <c r="B2746" t="str">
        <f>"1552380199846993"</f>
        <v>1552380199846993</v>
      </c>
      <c r="C2746" t="s">
        <v>40</v>
      </c>
      <c r="D2746">
        <v>4.6343529999999999</v>
      </c>
      <c r="E2746">
        <v>0.44491579999999997</v>
      </c>
      <c r="F2746" t="s">
        <v>46</v>
      </c>
      <c r="G2746">
        <v>-275.86619999999999</v>
      </c>
      <c r="H2746" s="1">
        <v>1.48681099999999E-6</v>
      </c>
      <c r="I2746">
        <v>216.8605</v>
      </c>
      <c r="J2746">
        <v>-304.0795</v>
      </c>
      <c r="K2746">
        <v>1.1099699999999999</v>
      </c>
      <c r="L2746">
        <v>213.7919</v>
      </c>
      <c r="M2746">
        <v>0.9998821</v>
      </c>
      <c r="N2746">
        <v>0</v>
      </c>
      <c r="O2746">
        <v>4.7343150000000002E-3</v>
      </c>
      <c r="P2746">
        <v>0.99144449999999995</v>
      </c>
      <c r="Q2746">
        <v>0.12254130000000001</v>
      </c>
      <c r="R2746">
        <v>-4.4960260000000002E-2</v>
      </c>
      <c r="S2746">
        <v>3.0553279999999998</v>
      </c>
      <c r="T2746">
        <v>-0.1183662</v>
      </c>
      <c r="U2746">
        <v>0.32745360000000001</v>
      </c>
      <c r="V2746">
        <v>4.965928E-2</v>
      </c>
      <c r="W2746">
        <v>0.1370092</v>
      </c>
      <c r="X2746">
        <v>0.98932419999999999</v>
      </c>
      <c r="Y2746">
        <v>-0.10178329999999999</v>
      </c>
      <c r="Z2746">
        <v>1.782402E-3</v>
      </c>
      <c r="AA2746">
        <v>0.99480500000000005</v>
      </c>
      <c r="AB2746">
        <v>45</v>
      </c>
      <c r="AC2746">
        <v>28.2133</v>
      </c>
      <c r="AD2746">
        <v>-1.109968513189</v>
      </c>
      <c r="AE2746">
        <v>3.0686</v>
      </c>
      <c r="AF2746">
        <v>-2.93049791997099</v>
      </c>
      <c r="AG2746">
        <v>-1.109968513189</v>
      </c>
      <c r="AH2746">
        <v>28.184399354756401</v>
      </c>
      <c r="AI2746">
        <v>92.243197715888002</v>
      </c>
      <c r="AJ2746">
        <v>95.936049301127397</v>
      </c>
      <c r="AK2746">
        <v>28.358071428565399</v>
      </c>
      <c r="AL2746">
        <v>82.1251814718714</v>
      </c>
      <c r="AM2746">
        <v>87.126441299289098</v>
      </c>
      <c r="AN2746">
        <v>0.99999996884019804</v>
      </c>
    </row>
    <row r="2747" spans="1:40" x14ac:dyDescent="0.25">
      <c r="A2747" t="str">
        <f>"20190312164319881"</f>
        <v>20190312164319881</v>
      </c>
      <c r="B2747" t="str">
        <f>"1552380199877249"</f>
        <v>1552380199877249</v>
      </c>
      <c r="C2747" t="s">
        <v>40</v>
      </c>
      <c r="D2747">
        <v>4.5573709999999998</v>
      </c>
      <c r="E2747">
        <v>0.44458259999999999</v>
      </c>
      <c r="F2747" t="s">
        <v>46</v>
      </c>
      <c r="G2747">
        <v>-275.82139999999998</v>
      </c>
      <c r="H2747" s="1">
        <v>1.465177E-6</v>
      </c>
      <c r="I2747">
        <v>216.81020000000001</v>
      </c>
      <c r="J2747">
        <v>-303.63740000000001</v>
      </c>
      <c r="K2747">
        <v>1.1099699999999999</v>
      </c>
      <c r="L2747">
        <v>213.79400000000001</v>
      </c>
      <c r="M2747">
        <v>0.99988220000000005</v>
      </c>
      <c r="N2747">
        <v>0</v>
      </c>
      <c r="O2747">
        <v>4.7345140000000004E-3</v>
      </c>
      <c r="P2747">
        <v>0.99143579999999998</v>
      </c>
      <c r="Q2747">
        <v>0.1224654</v>
      </c>
      <c r="R2747">
        <v>-4.5358200000000001E-2</v>
      </c>
      <c r="S2747">
        <v>3.0554809999999999</v>
      </c>
      <c r="T2747">
        <v>-0.1200181</v>
      </c>
      <c r="U2747">
        <v>0.32635500000000001</v>
      </c>
      <c r="V2747">
        <v>5.0057459999999998E-2</v>
      </c>
      <c r="W2747">
        <v>0.13693029999999901</v>
      </c>
      <c r="X2747">
        <v>0.9893151</v>
      </c>
      <c r="Y2747">
        <v>-0.1014225</v>
      </c>
      <c r="Z2747">
        <v>1.800131E-3</v>
      </c>
      <c r="AA2747">
        <v>0.9948418</v>
      </c>
      <c r="AB2747">
        <v>45</v>
      </c>
      <c r="AC2747">
        <v>27.815999999999999</v>
      </c>
      <c r="AD2747">
        <v>-1.109968534823</v>
      </c>
      <c r="AE2747">
        <v>3.0161999999999898</v>
      </c>
      <c r="AF2747">
        <v>-2.8799244213538602</v>
      </c>
      <c r="AG2747">
        <v>-1.109968534823</v>
      </c>
      <c r="AH2747">
        <v>27.786239369034</v>
      </c>
      <c r="AI2747">
        <v>92.275384957861107</v>
      </c>
      <c r="AJ2747">
        <v>95.917333078643594</v>
      </c>
      <c r="AK2747">
        <v>27.957129557489601</v>
      </c>
      <c r="AL2747">
        <v>82.129745459998404</v>
      </c>
      <c r="AM2747">
        <v>87.103412901692295</v>
      </c>
      <c r="AN2747">
        <v>1.0000000117238701</v>
      </c>
    </row>
    <row r="2748" spans="1:40" x14ac:dyDescent="0.25">
      <c r="A2748" t="str">
        <f>"20190312164319905"</f>
        <v>20190312164319905</v>
      </c>
      <c r="B2748" t="str">
        <f>"1552380199897745"</f>
        <v>1552380199897745</v>
      </c>
      <c r="C2748" t="s">
        <v>40</v>
      </c>
      <c r="D2748">
        <v>4.434088</v>
      </c>
      <c r="E2748">
        <v>0.44442209999999899</v>
      </c>
      <c r="F2748" t="s">
        <v>46</v>
      </c>
      <c r="G2748">
        <v>-275.49270000000001</v>
      </c>
      <c r="H2748" s="1">
        <v>1.2902029999999901E-6</v>
      </c>
      <c r="I2748">
        <v>216.81200000000001</v>
      </c>
      <c r="J2748">
        <v>-303.15469999999999</v>
      </c>
      <c r="K2748">
        <v>1.1099669999999999</v>
      </c>
      <c r="L2748">
        <v>213.7963</v>
      </c>
      <c r="M2748">
        <v>0.9998821</v>
      </c>
      <c r="N2748">
        <v>0</v>
      </c>
      <c r="O2748">
        <v>4.7347149999999996E-3</v>
      </c>
      <c r="P2748">
        <v>0.99145970000000005</v>
      </c>
      <c r="Q2748">
        <v>0.1221261</v>
      </c>
      <c r="R2748">
        <v>-4.5749720000000001E-2</v>
      </c>
      <c r="S2748">
        <v>3.0557859999999999</v>
      </c>
      <c r="T2748">
        <v>-0.1205143</v>
      </c>
      <c r="U2748">
        <v>0.32768249999999999</v>
      </c>
      <c r="V2748">
        <v>5.0449050000000002E-2</v>
      </c>
      <c r="W2748">
        <v>0.136588299999999</v>
      </c>
      <c r="X2748">
        <v>0.98934250000000001</v>
      </c>
      <c r="Y2748">
        <v>-0.1018381</v>
      </c>
      <c r="Z2748">
        <v>1.815508E-3</v>
      </c>
      <c r="AA2748">
        <v>0.99479930000000005</v>
      </c>
      <c r="AB2748">
        <v>45</v>
      </c>
      <c r="AC2748">
        <v>27.6619999999999</v>
      </c>
      <c r="AD2748">
        <v>-1.1099657097969999</v>
      </c>
      <c r="AE2748">
        <v>3.0156999999999998</v>
      </c>
      <c r="AF2748">
        <v>-2.8800977605774398</v>
      </c>
      <c r="AG2748">
        <v>-1.1099657097969999</v>
      </c>
      <c r="AH2748">
        <v>27.632002249332999</v>
      </c>
      <c r="AI2748">
        <v>92.287929049424406</v>
      </c>
      <c r="AJ2748">
        <v>95.9504818698299</v>
      </c>
      <c r="AK2748">
        <v>27.8038582807234</v>
      </c>
      <c r="AL2748">
        <v>82.149526588120494</v>
      </c>
      <c r="AM2748">
        <v>87.080873201281804</v>
      </c>
      <c r="AN2748">
        <v>1.0000000263245199</v>
      </c>
    </row>
    <row r="2749" spans="1:40" x14ac:dyDescent="0.25">
      <c r="A2749" t="str">
        <f>"20190312164319927"</f>
        <v>20190312164319927</v>
      </c>
      <c r="B2749" t="str">
        <f>"1552380199917268"</f>
        <v>1552380199917268</v>
      </c>
      <c r="C2749" t="s">
        <v>40</v>
      </c>
      <c r="D2749">
        <v>4.4561019999999996</v>
      </c>
      <c r="E2749">
        <v>0.44427109999999898</v>
      </c>
      <c r="F2749" t="s">
        <v>46</v>
      </c>
      <c r="G2749">
        <v>-274.89449999999999</v>
      </c>
      <c r="H2749" s="1">
        <v>9.7112870000000004E-7</v>
      </c>
      <c r="I2749">
        <v>216.82810000000001</v>
      </c>
      <c r="J2749">
        <v>-302.71140000000003</v>
      </c>
      <c r="K2749">
        <v>1.10997099999999</v>
      </c>
      <c r="L2749">
        <v>213.79839999999999</v>
      </c>
      <c r="M2749">
        <v>0.99988220000000005</v>
      </c>
      <c r="N2749">
        <v>0</v>
      </c>
      <c r="O2749">
        <v>4.7349150000000001E-3</v>
      </c>
      <c r="P2749">
        <v>0.99148919999999996</v>
      </c>
      <c r="Q2749">
        <v>0.1218838</v>
      </c>
      <c r="R2749">
        <v>-4.5755909999999997E-2</v>
      </c>
      <c r="S2749">
        <v>3.0557560000000001</v>
      </c>
      <c r="T2749">
        <v>-0.120019899999999</v>
      </c>
      <c r="U2749">
        <v>0.32783509999999999</v>
      </c>
      <c r="V2749">
        <v>5.0455729999999997E-2</v>
      </c>
      <c r="W2749">
        <v>0.1363441</v>
      </c>
      <c r="X2749">
        <v>0.98937580000000003</v>
      </c>
      <c r="Y2749">
        <v>-0.1018887</v>
      </c>
      <c r="Z2749">
        <v>1.809061E-3</v>
      </c>
      <c r="AA2749">
        <v>0.99479419999999996</v>
      </c>
      <c r="AB2749">
        <v>45</v>
      </c>
      <c r="AC2749">
        <v>27.8169</v>
      </c>
      <c r="AD2749">
        <v>-1.1099700288712999</v>
      </c>
      <c r="AE2749">
        <v>3.02970000000002</v>
      </c>
      <c r="AF2749">
        <v>-2.89338841096404</v>
      </c>
      <c r="AG2749">
        <v>-1.1099700288712999</v>
      </c>
      <c r="AH2749">
        <v>27.787210153824301</v>
      </c>
      <c r="AI2749">
        <v>92.275196265693495</v>
      </c>
      <c r="AJ2749">
        <v>95.944593451693294</v>
      </c>
      <c r="AK2749">
        <v>27.9594845820607</v>
      </c>
      <c r="AL2749">
        <v>82.163650014700593</v>
      </c>
      <c r="AM2749">
        <v>87.080585439727301</v>
      </c>
      <c r="AN2749">
        <v>0.999999983960141</v>
      </c>
    </row>
    <row r="2750" spans="1:40" x14ac:dyDescent="0.25">
      <c r="A2750" t="str">
        <f>"20190312164319947"</f>
        <v>20190312164319947</v>
      </c>
      <c r="B2750" t="str">
        <f>"1552380199936785"</f>
        <v>1552380199936785</v>
      </c>
      <c r="C2750" t="s">
        <v>40</v>
      </c>
      <c r="D2750">
        <v>4.7226540000000004</v>
      </c>
      <c r="E2750">
        <v>0.4442374</v>
      </c>
      <c r="F2750" t="s">
        <v>46</v>
      </c>
      <c r="G2750">
        <v>-274.31369999999998</v>
      </c>
      <c r="H2750" s="1">
        <v>6.6084689999999997E-7</v>
      </c>
      <c r="I2750">
        <v>216.85579999999999</v>
      </c>
      <c r="J2750">
        <v>-302.3</v>
      </c>
      <c r="K2750">
        <v>1.1099680000000001</v>
      </c>
      <c r="L2750">
        <v>213.80029999999999</v>
      </c>
      <c r="M2750">
        <v>0.99988239999999995</v>
      </c>
      <c r="N2750">
        <v>0</v>
      </c>
      <c r="O2750">
        <v>4.7349339999999997E-3</v>
      </c>
      <c r="P2750">
        <v>0.99143780000000004</v>
      </c>
      <c r="Q2750">
        <v>0.1222992</v>
      </c>
      <c r="R2750">
        <v>-4.5764869999999999E-2</v>
      </c>
      <c r="S2750">
        <v>3.0556030000000001</v>
      </c>
      <c r="T2750">
        <v>-0.119433</v>
      </c>
      <c r="U2750">
        <v>0.32897949999999998</v>
      </c>
      <c r="V2750">
        <v>5.0464429999999998E-2</v>
      </c>
      <c r="W2750">
        <v>0.13675599999999999</v>
      </c>
      <c r="X2750">
        <v>0.98931849999999999</v>
      </c>
      <c r="Y2750">
        <v>-0.1022627</v>
      </c>
      <c r="Z2750">
        <v>1.8075599999999999E-3</v>
      </c>
      <c r="AA2750">
        <v>0.99475579999999997</v>
      </c>
      <c r="AB2750">
        <v>45</v>
      </c>
      <c r="AC2750">
        <v>27.9863</v>
      </c>
      <c r="AD2750">
        <v>-1.1099673391531</v>
      </c>
      <c r="AE2750">
        <v>3.0554999999999901</v>
      </c>
      <c r="AF2750">
        <v>-2.9184017803308202</v>
      </c>
      <c r="AG2750">
        <v>-1.1099673391531</v>
      </c>
      <c r="AH2750">
        <v>27.956996934169801</v>
      </c>
      <c r="AI2750">
        <v>92.261326473091799</v>
      </c>
      <c r="AJ2750">
        <v>95.959462408704198</v>
      </c>
      <c r="AK2750">
        <v>28.130815381403401</v>
      </c>
      <c r="AL2750">
        <v>82.1398266895294</v>
      </c>
      <c r="AM2750">
        <v>87.079914095857205</v>
      </c>
      <c r="AN2750">
        <v>0.99999997833673704</v>
      </c>
    </row>
    <row r="2751" spans="1:40" x14ac:dyDescent="0.25">
      <c r="A2751" t="str">
        <f>"20190312164319969"</f>
        <v>20190312164319969</v>
      </c>
      <c r="B2751" t="str">
        <f>"1552380199967040"</f>
        <v>1552380199967040</v>
      </c>
      <c r="C2751" t="s">
        <v>40</v>
      </c>
      <c r="D2751">
        <v>4.403365</v>
      </c>
      <c r="E2751">
        <v>0.44402589999999997</v>
      </c>
      <c r="F2751" t="s">
        <v>46</v>
      </c>
      <c r="G2751">
        <v>-273.62970000000001</v>
      </c>
      <c r="H2751" s="1">
        <v>2.9534190000000001E-7</v>
      </c>
      <c r="I2751">
        <v>216.8903</v>
      </c>
      <c r="J2751">
        <v>-301.85149999999999</v>
      </c>
      <c r="K2751">
        <v>1.109969</v>
      </c>
      <c r="L2751">
        <v>213.80240000000001</v>
      </c>
      <c r="M2751">
        <v>0.99988220000000005</v>
      </c>
      <c r="N2751">
        <v>0</v>
      </c>
      <c r="O2751">
        <v>4.7352519999999997E-3</v>
      </c>
      <c r="P2751">
        <v>0.99138760000000004</v>
      </c>
      <c r="Q2751">
        <v>0.12278210000000001</v>
      </c>
      <c r="R2751">
        <v>-4.5554959999999999E-2</v>
      </c>
      <c r="S2751">
        <v>3.0556950000000001</v>
      </c>
      <c r="T2751">
        <v>-0.1183008</v>
      </c>
      <c r="U2751">
        <v>0.32933040000000002</v>
      </c>
      <c r="V2751">
        <v>5.0254739999999999E-2</v>
      </c>
      <c r="W2751">
        <v>0.13723489999999999</v>
      </c>
      <c r="X2751">
        <v>0.98926289999999995</v>
      </c>
      <c r="Y2751">
        <v>-0.1023734</v>
      </c>
      <c r="Z2751">
        <v>1.7924970000000001E-3</v>
      </c>
      <c r="AA2751">
        <v>0.99474439999999997</v>
      </c>
      <c r="AB2751">
        <v>45</v>
      </c>
      <c r="AC2751">
        <v>28.221799999999899</v>
      </c>
      <c r="AD2751">
        <v>-1.1099687046580999</v>
      </c>
      <c r="AE2751">
        <v>3.0878999999999901</v>
      </c>
      <c r="AF2751">
        <v>-2.9497049793068402</v>
      </c>
      <c r="AG2751">
        <v>-1.1099687046580999</v>
      </c>
      <c r="AH2751">
        <v>28.193012243369999</v>
      </c>
      <c r="AI2751">
        <v>92.242363388026703</v>
      </c>
      <c r="AJ2751">
        <v>95.972862764507795</v>
      </c>
      <c r="AK2751">
        <v>28.368622267305799</v>
      </c>
      <c r="AL2751">
        <v>82.112126912801997</v>
      </c>
      <c r="AM2751">
        <v>87.091863621336799</v>
      </c>
      <c r="AN2751">
        <v>1.0000000209934401</v>
      </c>
    </row>
    <row r="2752" spans="1:40" x14ac:dyDescent="0.25">
      <c r="A2752" t="str">
        <f>"20190312164319994"</f>
        <v>20190312164319994</v>
      </c>
      <c r="B2752" t="str">
        <f>"1552380199987536"</f>
        <v>1552380199987536</v>
      </c>
      <c r="C2752" t="s">
        <v>40</v>
      </c>
      <c r="D2752">
        <v>4.0965790000000002</v>
      </c>
      <c r="E2752">
        <v>0.44394420000000001</v>
      </c>
      <c r="F2752" t="s">
        <v>46</v>
      </c>
      <c r="G2752">
        <v>-273.68119999999999</v>
      </c>
      <c r="H2752" s="1">
        <v>3.2409100000000001E-7</v>
      </c>
      <c r="I2752">
        <v>216.86</v>
      </c>
      <c r="J2752">
        <v>-301.37459999999999</v>
      </c>
      <c r="K2752">
        <v>1.10997099999999</v>
      </c>
      <c r="L2752">
        <v>213.8047</v>
      </c>
      <c r="M2752">
        <v>0.9998823</v>
      </c>
      <c r="N2752">
        <v>0</v>
      </c>
      <c r="O2752">
        <v>4.7354529999999997E-3</v>
      </c>
      <c r="P2752">
        <v>0.99141219999999997</v>
      </c>
      <c r="Q2752">
        <v>0.1227298</v>
      </c>
      <c r="R2752">
        <v>-4.5159650000000003E-2</v>
      </c>
      <c r="S2752">
        <v>3.0562130000000001</v>
      </c>
      <c r="T2752">
        <v>-0.12042120000000001</v>
      </c>
      <c r="U2752">
        <v>0.33171079999999997</v>
      </c>
      <c r="V2752">
        <v>4.9859550000000002E-2</v>
      </c>
      <c r="W2752">
        <v>0.1371801</v>
      </c>
      <c r="X2752">
        <v>0.98929049999999996</v>
      </c>
      <c r="Y2752">
        <v>-0.103117899999999</v>
      </c>
      <c r="Z2752">
        <v>1.8388269999999999E-3</v>
      </c>
      <c r="AA2752">
        <v>0.99466750000000004</v>
      </c>
      <c r="AB2752">
        <v>45</v>
      </c>
      <c r="AC2752">
        <v>27.6934</v>
      </c>
      <c r="AD2752">
        <v>-1.10997067590899</v>
      </c>
      <c r="AE2752">
        <v>3.0553000000000101</v>
      </c>
      <c r="AF2752">
        <v>-2.9194773456627598</v>
      </c>
      <c r="AG2752">
        <v>-1.10997067590899</v>
      </c>
      <c r="AH2752">
        <v>27.663653007777601</v>
      </c>
      <c r="AI2752">
        <v>92.285015487822704</v>
      </c>
      <c r="AJ2752">
        <v>96.024397384753698</v>
      </c>
      <c r="AK2752">
        <v>27.839415953067999</v>
      </c>
      <c r="AL2752">
        <v>82.115296723933298</v>
      </c>
      <c r="AM2752">
        <v>87.114774002400495</v>
      </c>
      <c r="AN2752">
        <v>1.0000000239762299</v>
      </c>
    </row>
    <row r="2753" spans="1:40" x14ac:dyDescent="0.25">
      <c r="A2753" t="str">
        <f>"20190312164320018"</f>
        <v>20190312164320018</v>
      </c>
      <c r="B2753" t="str">
        <f>"1552380200007056"</f>
        <v>1552380200007056</v>
      </c>
      <c r="C2753" t="s">
        <v>40</v>
      </c>
      <c r="D2753">
        <v>4.4159090000000001</v>
      </c>
      <c r="E2753">
        <v>0.44390740000000001</v>
      </c>
      <c r="F2753" t="s">
        <v>46</v>
      </c>
      <c r="G2753">
        <v>-273.63400000000001</v>
      </c>
      <c r="H2753" s="1">
        <v>3.0000490000000003E-7</v>
      </c>
      <c r="I2753">
        <v>216.8366</v>
      </c>
      <c r="J2753">
        <v>-300.88279999999997</v>
      </c>
      <c r="K2753">
        <v>1.1099779999999999</v>
      </c>
      <c r="L2753">
        <v>213.80699999999999</v>
      </c>
      <c r="M2753">
        <v>0.99988239999999995</v>
      </c>
      <c r="N2753">
        <v>0</v>
      </c>
      <c r="O2753">
        <v>4.7356539999999997E-3</v>
      </c>
      <c r="P2753">
        <v>0.99140220000000001</v>
      </c>
      <c r="Q2753">
        <v>0.1229016</v>
      </c>
      <c r="R2753">
        <v>-4.491042E-2</v>
      </c>
      <c r="S2753">
        <v>3.0563349999999998</v>
      </c>
      <c r="T2753">
        <v>-0.1222917</v>
      </c>
      <c r="U2753">
        <v>0.33404539999999999</v>
      </c>
      <c r="V2753">
        <v>4.9610580000000001E-2</v>
      </c>
      <c r="W2753">
        <v>0.1373492</v>
      </c>
      <c r="X2753">
        <v>0.98927949999999998</v>
      </c>
      <c r="Y2753">
        <v>-0.1038613</v>
      </c>
      <c r="Z2753">
        <v>1.8820309999999999E-3</v>
      </c>
      <c r="AA2753">
        <v>0.99458999999999997</v>
      </c>
      <c r="AB2753">
        <v>45</v>
      </c>
      <c r="AC2753">
        <v>27.2487999999999</v>
      </c>
      <c r="AD2753">
        <v>-1.1099776999951001</v>
      </c>
      <c r="AE2753">
        <v>3.0295999999999799</v>
      </c>
      <c r="AF2753">
        <v>-2.89576503500014</v>
      </c>
      <c r="AG2753">
        <v>-1.1099776999951001</v>
      </c>
      <c r="AH2753">
        <v>27.2182304075628</v>
      </c>
      <c r="AI2753">
        <v>92.322175476449502</v>
      </c>
      <c r="AJ2753">
        <v>96.072890624669299</v>
      </c>
      <c r="AK2753">
        <v>27.394334672548499</v>
      </c>
      <c r="AL2753">
        <v>82.105514999202896</v>
      </c>
      <c r="AM2753">
        <v>87.129125136628502</v>
      </c>
      <c r="AN2753">
        <v>0.99999997075441205</v>
      </c>
    </row>
    <row r="2754" spans="1:40" x14ac:dyDescent="0.25">
      <c r="A2754" t="str">
        <f>"20190312164320039"</f>
        <v>20190312164320039</v>
      </c>
      <c r="B2754" t="str">
        <f>"1552380200027552"</f>
        <v>1552380200027552</v>
      </c>
      <c r="C2754" t="s">
        <v>40</v>
      </c>
      <c r="D2754">
        <v>4.454377</v>
      </c>
      <c r="E2754">
        <v>0.44371559999999999</v>
      </c>
      <c r="F2754" t="s">
        <v>46</v>
      </c>
      <c r="G2754">
        <v>-273.31049999999999</v>
      </c>
      <c r="H2754" s="1">
        <v>1.2812920000000001E-7</v>
      </c>
      <c r="I2754">
        <v>216.83009999999999</v>
      </c>
      <c r="J2754">
        <v>-300.46530000000001</v>
      </c>
      <c r="K2754">
        <v>1.1099760000000001</v>
      </c>
      <c r="L2754">
        <v>213.809</v>
      </c>
      <c r="M2754">
        <v>0.99988239999999995</v>
      </c>
      <c r="N2754">
        <v>0</v>
      </c>
      <c r="O2754">
        <v>4.7358519999999996E-3</v>
      </c>
      <c r="P2754">
        <v>0.99142989999999998</v>
      </c>
      <c r="Q2754">
        <v>0.122708</v>
      </c>
      <c r="R2754">
        <v>-4.4829109999999998E-2</v>
      </c>
      <c r="S2754">
        <v>3.0564580000000001</v>
      </c>
      <c r="T2754">
        <v>-0.12304370000000001</v>
      </c>
      <c r="U2754">
        <v>0.33511350000000001</v>
      </c>
      <c r="V2754">
        <v>4.9529570000000002E-2</v>
      </c>
      <c r="W2754">
        <v>0.1371532</v>
      </c>
      <c r="X2754">
        <v>0.98931080000000005</v>
      </c>
      <c r="Y2754">
        <v>-0.1041991</v>
      </c>
      <c r="Z2754">
        <v>1.9002520000000001E-3</v>
      </c>
      <c r="AA2754">
        <v>0.99455459999999996</v>
      </c>
      <c r="AB2754">
        <v>45</v>
      </c>
      <c r="AC2754">
        <v>27.154800000000002</v>
      </c>
      <c r="AD2754">
        <v>-1.1099758718707999</v>
      </c>
      <c r="AE2754">
        <v>3.0210999999999602</v>
      </c>
      <c r="AF2754">
        <v>-2.8876854577734399</v>
      </c>
      <c r="AG2754">
        <v>-1.1099758718707999</v>
      </c>
      <c r="AH2754">
        <v>27.124038689263699</v>
      </c>
      <c r="AI2754">
        <v>92.330209288800404</v>
      </c>
      <c r="AJ2754">
        <v>96.0769459271323</v>
      </c>
      <c r="AK2754">
        <v>27.299894661991701</v>
      </c>
      <c r="AL2754">
        <v>82.116852646176099</v>
      </c>
      <c r="AM2754">
        <v>87.133895746045596</v>
      </c>
      <c r="AN2754">
        <v>1.0000000187856299</v>
      </c>
    </row>
    <row r="2755" spans="1:40" x14ac:dyDescent="0.25">
      <c r="A2755" t="str">
        <f>"20190312164320059"</f>
        <v>20190312164320059</v>
      </c>
      <c r="B2755" t="str">
        <f>"1552380200047072"</f>
        <v>1552380200047072</v>
      </c>
      <c r="C2755" t="s">
        <v>40</v>
      </c>
      <c r="D2755">
        <v>4.43445</v>
      </c>
      <c r="E2755">
        <v>0.44355109999999998</v>
      </c>
      <c r="F2755" t="s">
        <v>46</v>
      </c>
      <c r="G2755">
        <v>-273.38099999999997</v>
      </c>
      <c r="H2755" s="1">
        <v>1.6711220000000001E-7</v>
      </c>
      <c r="I2755">
        <v>216.79660000000001</v>
      </c>
      <c r="J2755">
        <v>-300.05450000000002</v>
      </c>
      <c r="K2755">
        <v>1.1099760000000001</v>
      </c>
      <c r="L2755">
        <v>213.8109</v>
      </c>
      <c r="M2755">
        <v>0.99988250000000001</v>
      </c>
      <c r="N2755">
        <v>0</v>
      </c>
      <c r="O2755">
        <v>4.7360500000000003E-3</v>
      </c>
      <c r="P2755">
        <v>0.99137989999999998</v>
      </c>
      <c r="Q2755">
        <v>0.1230052</v>
      </c>
      <c r="R2755">
        <v>-4.5118350000000002E-2</v>
      </c>
      <c r="S2755">
        <v>3.056702</v>
      </c>
      <c r="T2755">
        <v>-0.1252704</v>
      </c>
      <c r="U2755">
        <v>0.33717350000000001</v>
      </c>
      <c r="V2755">
        <v>4.9818939999999999E-2</v>
      </c>
      <c r="W2755">
        <v>0.13744700000000001</v>
      </c>
      <c r="X2755">
        <v>0.98925549999999995</v>
      </c>
      <c r="Y2755">
        <v>-0.1048491</v>
      </c>
      <c r="Z2755">
        <v>1.9476529999999999E-3</v>
      </c>
      <c r="AA2755">
        <v>0.99448619999999999</v>
      </c>
      <c r="AB2755">
        <v>45</v>
      </c>
      <c r="AC2755">
        <v>26.673500000000001</v>
      </c>
      <c r="AD2755">
        <v>-1.1099758328878</v>
      </c>
      <c r="AE2755">
        <v>2.9857</v>
      </c>
      <c r="AF2755">
        <v>-2.8544442395654599</v>
      </c>
      <c r="AG2755">
        <v>-1.1099758328878</v>
      </c>
      <c r="AH2755">
        <v>26.6417786391692</v>
      </c>
      <c r="AI2755">
        <v>92.372172058504304</v>
      </c>
      <c r="AJ2755">
        <v>96.115435436304907</v>
      </c>
      <c r="AK2755">
        <v>26.817238249396201</v>
      </c>
      <c r="AL2755">
        <v>82.099858245370399</v>
      </c>
      <c r="AM2755">
        <v>87.117018193558906</v>
      </c>
      <c r="AN2755">
        <v>1.0000000244359799</v>
      </c>
    </row>
    <row r="2756" spans="1:40" x14ac:dyDescent="0.25">
      <c r="A2756" t="str">
        <f>"20190312164320083"</f>
        <v>20190312164320083</v>
      </c>
      <c r="B2756" t="str">
        <f>"1552380200077329"</f>
        <v>1552380200077329</v>
      </c>
      <c r="C2756" t="s">
        <v>40</v>
      </c>
      <c r="D2756">
        <v>4.4504049999999999</v>
      </c>
      <c r="E2756">
        <v>0.44329679999999999</v>
      </c>
      <c r="F2756" t="s">
        <v>46</v>
      </c>
      <c r="G2756">
        <v>-273.02199999999999</v>
      </c>
      <c r="H2756" s="1">
        <v>-2.401612E-8</v>
      </c>
      <c r="I2756">
        <v>216.79849999999999</v>
      </c>
      <c r="J2756">
        <v>-299.59620000000001</v>
      </c>
      <c r="K2756">
        <v>1.1099829999999999</v>
      </c>
      <c r="L2756">
        <v>213.81309999999999</v>
      </c>
      <c r="M2756">
        <v>0.99988250000000001</v>
      </c>
      <c r="N2756">
        <v>0</v>
      </c>
      <c r="O2756">
        <v>4.7358920000000002E-3</v>
      </c>
      <c r="P2756">
        <v>0.99139219999999895</v>
      </c>
      <c r="Q2756">
        <v>0.1229529</v>
      </c>
      <c r="R2756">
        <v>-4.4994180000000002E-2</v>
      </c>
      <c r="S2756">
        <v>3.0570369999999998</v>
      </c>
      <c r="T2756">
        <v>-0.12552449999999901</v>
      </c>
      <c r="U2756">
        <v>0.337860099999999</v>
      </c>
      <c r="V2756">
        <v>4.9694469999999998E-2</v>
      </c>
      <c r="W2756">
        <v>0.13739219999999999</v>
      </c>
      <c r="X2756">
        <v>0.98926939999999997</v>
      </c>
      <c r="Y2756">
        <v>-0.1050575</v>
      </c>
      <c r="Z2756">
        <v>1.9556349999999998E-3</v>
      </c>
      <c r="AA2756">
        <v>0.99446420000000002</v>
      </c>
      <c r="AB2756">
        <v>45</v>
      </c>
      <c r="AC2756">
        <v>26.574200000000001</v>
      </c>
      <c r="AD2756">
        <v>-1.1099830240161199</v>
      </c>
      <c r="AE2756">
        <v>2.9853999999999901</v>
      </c>
      <c r="AF2756">
        <v>-2.8545823736551399</v>
      </c>
      <c r="AG2756">
        <v>-1.1099830240161199</v>
      </c>
      <c r="AH2756">
        <v>26.542311641724702</v>
      </c>
      <c r="AI2756">
        <v>92.380964290695999</v>
      </c>
      <c r="AJ2756">
        <v>96.138473105750094</v>
      </c>
      <c r="AK2756">
        <v>26.7184395152116</v>
      </c>
      <c r="AL2756">
        <v>82.103028340992793</v>
      </c>
      <c r="AM2756">
        <v>87.124249404794597</v>
      </c>
      <c r="AN2756">
        <v>1.00000005137288</v>
      </c>
    </row>
    <row r="2757" spans="1:40" x14ac:dyDescent="0.25">
      <c r="A2757" t="str">
        <f>"20190312164320105"</f>
        <v>20190312164320105</v>
      </c>
      <c r="B2757" t="str">
        <f>"1552380200097825"</f>
        <v>1552380200097825</v>
      </c>
      <c r="C2757" t="s">
        <v>40</v>
      </c>
      <c r="D2757">
        <v>4.4339430000000002</v>
      </c>
      <c r="E2757">
        <v>0.44314110000000001</v>
      </c>
      <c r="F2757" t="s">
        <v>46</v>
      </c>
      <c r="G2757">
        <v>-273.25439999999998</v>
      </c>
      <c r="H2757" s="1">
        <v>1.019592E-7</v>
      </c>
      <c r="I2757">
        <v>216.74529999999999</v>
      </c>
      <c r="J2757">
        <v>-299.14640000000003</v>
      </c>
      <c r="K2757">
        <v>1.1099829999999999</v>
      </c>
      <c r="L2757">
        <v>213.8152</v>
      </c>
      <c r="M2757">
        <v>0.99988250000000001</v>
      </c>
      <c r="N2757">
        <v>0</v>
      </c>
      <c r="O2757">
        <v>4.7362699999999999E-3</v>
      </c>
      <c r="P2757">
        <v>0.99134160000000004</v>
      </c>
      <c r="Q2757">
        <v>0.12317069999999999</v>
      </c>
      <c r="R2757">
        <v>-4.5506190000000002E-2</v>
      </c>
      <c r="S2757">
        <v>3.0574650000000001</v>
      </c>
      <c r="T2757">
        <v>-0.12883439999999999</v>
      </c>
      <c r="U2757">
        <v>0.34033200000000002</v>
      </c>
      <c r="V2757">
        <v>5.0206639999999997E-2</v>
      </c>
      <c r="W2757">
        <v>0.1376066</v>
      </c>
      <c r="X2757">
        <v>0.98921369999999997</v>
      </c>
      <c r="Y2757">
        <v>-0.1058311</v>
      </c>
      <c r="Z2757">
        <v>2.0230140000000001E-3</v>
      </c>
      <c r="AA2757">
        <v>0.99438210000000005</v>
      </c>
      <c r="AB2757">
        <v>45</v>
      </c>
      <c r="AC2757">
        <v>25.891999999999999</v>
      </c>
      <c r="AD2757">
        <v>-1.1099828980408</v>
      </c>
      <c r="AE2757">
        <v>2.9300999999999799</v>
      </c>
      <c r="AF2757">
        <v>-2.80233753976092</v>
      </c>
      <c r="AG2757">
        <v>-1.1099828980408</v>
      </c>
      <c r="AH2757">
        <v>25.8586662662794</v>
      </c>
      <c r="AI2757">
        <v>92.443621704033404</v>
      </c>
      <c r="AJ2757">
        <v>96.1850808230827</v>
      </c>
      <c r="AK2757">
        <v>26.033743080692702</v>
      </c>
      <c r="AL2757">
        <v>82.090626030176907</v>
      </c>
      <c r="AM2757">
        <v>87.094498041564293</v>
      </c>
      <c r="AN2757">
        <v>1.0000000136656599</v>
      </c>
    </row>
    <row r="2758" spans="1:40" x14ac:dyDescent="0.25">
      <c r="A2758" t="str">
        <f>"20190312164320126"</f>
        <v>20190312164320126</v>
      </c>
      <c r="B2758" t="str">
        <f>"1552380200117016"</f>
        <v>1552380200117016</v>
      </c>
      <c r="C2758" t="s">
        <v>40</v>
      </c>
      <c r="D2758">
        <v>4.4741070000000001</v>
      </c>
      <c r="E2758">
        <v>0.44298379999999998</v>
      </c>
      <c r="F2758" t="s">
        <v>46</v>
      </c>
      <c r="G2758">
        <v>-272.83539999999999</v>
      </c>
      <c r="H2758" s="1">
        <v>-1.2094220000000001E-7</v>
      </c>
      <c r="I2758">
        <v>216.74359999999999</v>
      </c>
      <c r="J2758">
        <v>-298.71359999999999</v>
      </c>
      <c r="K2758">
        <v>1.1099840000000001</v>
      </c>
      <c r="L2758">
        <v>213.81729999999999</v>
      </c>
      <c r="M2758">
        <v>0.99988259999999995</v>
      </c>
      <c r="N2758">
        <v>0</v>
      </c>
      <c r="O2758">
        <v>4.7364089999999996E-3</v>
      </c>
      <c r="P2758">
        <v>0.99135890000000004</v>
      </c>
      <c r="Q2758">
        <v>0.1229671</v>
      </c>
      <c r="R2758">
        <v>-4.5679860000000003E-2</v>
      </c>
      <c r="S2758">
        <v>3.0578609999999999</v>
      </c>
      <c r="T2758">
        <v>-0.12900210000000001</v>
      </c>
      <c r="U2758">
        <v>0.34033200000000002</v>
      </c>
      <c r="V2758">
        <v>5.0380649999999999E-2</v>
      </c>
      <c r="W2758">
        <v>0.1374003</v>
      </c>
      <c r="X2758">
        <v>0.98923349999999999</v>
      </c>
      <c r="Y2758">
        <v>-0.1058166</v>
      </c>
      <c r="Z2758">
        <v>2.025074E-3</v>
      </c>
      <c r="AA2758">
        <v>0.99438360000000003</v>
      </c>
      <c r="AB2758">
        <v>45</v>
      </c>
      <c r="AC2758">
        <v>25.8782</v>
      </c>
      <c r="AD2758">
        <v>-1.1099841209421999</v>
      </c>
      <c r="AE2758">
        <v>2.9262999999999901</v>
      </c>
      <c r="AF2758">
        <v>-2.7986006167350599</v>
      </c>
      <c r="AG2758">
        <v>-1.1099841209421999</v>
      </c>
      <c r="AH2758">
        <v>25.8448228880602</v>
      </c>
      <c r="AI2758">
        <v>92.444954322711595</v>
      </c>
      <c r="AJ2758">
        <v>96.180179767125694</v>
      </c>
      <c r="AK2758">
        <v>26.019590701545201</v>
      </c>
      <c r="AL2758">
        <v>82.102559273562505</v>
      </c>
      <c r="AM2758">
        <v>87.0845035316853</v>
      </c>
      <c r="AN2758">
        <v>0.99999998492838105</v>
      </c>
    </row>
    <row r="2759" spans="1:40" x14ac:dyDescent="0.25">
      <c r="A2759" t="str">
        <f>"20190312164320149"</f>
        <v>20190312164320149</v>
      </c>
      <c r="B2759" t="str">
        <f>"1552380200137512"</f>
        <v>1552380200137512</v>
      </c>
      <c r="C2759" t="s">
        <v>40</v>
      </c>
      <c r="D2759">
        <v>4.4772449999999999</v>
      </c>
      <c r="E2759">
        <v>0.44294679999999997</v>
      </c>
      <c r="F2759" t="s">
        <v>46</v>
      </c>
      <c r="G2759">
        <v>-272.74720000000002</v>
      </c>
      <c r="H2759" s="1">
        <v>-1.6654699999999999E-7</v>
      </c>
      <c r="I2759">
        <v>216.71369999999999</v>
      </c>
      <c r="J2759">
        <v>-298.27260000000001</v>
      </c>
      <c r="K2759">
        <v>1.1099760000000001</v>
      </c>
      <c r="L2759">
        <v>213.8194</v>
      </c>
      <c r="M2759">
        <v>0.99988259999999995</v>
      </c>
      <c r="N2759">
        <v>0</v>
      </c>
      <c r="O2759">
        <v>4.7366070000000003E-3</v>
      </c>
      <c r="P2759">
        <v>0.99132260000000005</v>
      </c>
      <c r="Q2759">
        <v>0.1230431</v>
      </c>
      <c r="R2759">
        <v>-4.6260019999999999E-2</v>
      </c>
      <c r="S2759">
        <v>3.058014</v>
      </c>
      <c r="T2759">
        <v>-0.130721</v>
      </c>
      <c r="U2759">
        <v>0.34111019999999997</v>
      </c>
      <c r="V2759">
        <v>5.0960709999999999E-2</v>
      </c>
      <c r="W2759">
        <v>0.13747300000000001</v>
      </c>
      <c r="X2759">
        <v>0.98919369999999995</v>
      </c>
      <c r="Y2759">
        <v>-0.10605820000000001</v>
      </c>
      <c r="Z2759">
        <v>2.0570409999999999E-3</v>
      </c>
      <c r="AA2759">
        <v>0.99435779999999996</v>
      </c>
      <c r="AB2759">
        <v>45</v>
      </c>
      <c r="AC2759">
        <v>25.525399999999902</v>
      </c>
      <c r="AD2759">
        <v>-1.109976166547</v>
      </c>
      <c r="AE2759">
        <v>2.8942999999999799</v>
      </c>
      <c r="AF2759">
        <v>-2.7681828231833099</v>
      </c>
      <c r="AG2759">
        <v>-1.109976166547</v>
      </c>
      <c r="AH2759">
        <v>25.491233213044101</v>
      </c>
      <c r="AI2759">
        <v>92.478726677419701</v>
      </c>
      <c r="AJ2759">
        <v>96.197664601756401</v>
      </c>
      <c r="AK2759">
        <v>25.665109661847801</v>
      </c>
      <c r="AL2759">
        <v>82.098354067493403</v>
      </c>
      <c r="AM2759">
        <v>87.050876298003701</v>
      </c>
      <c r="AN2759">
        <v>0.99999999790619698</v>
      </c>
    </row>
    <row r="2760" spans="1:40" x14ac:dyDescent="0.25">
      <c r="A2760" t="str">
        <f>"20190312164320170"</f>
        <v>20190312164320170</v>
      </c>
      <c r="B2760" t="str">
        <f>"1552380200166792"</f>
        <v>1552380200166792</v>
      </c>
      <c r="C2760" t="s">
        <v>40</v>
      </c>
      <c r="D2760">
        <v>4.5452490000000001</v>
      </c>
      <c r="E2760">
        <v>0.44352419999999998</v>
      </c>
      <c r="F2760" t="s">
        <v>46</v>
      </c>
      <c r="G2760">
        <v>-272.26310000000001</v>
      </c>
      <c r="H2760" s="1">
        <v>-4.239748E-7</v>
      </c>
      <c r="I2760">
        <v>216.70910000000001</v>
      </c>
      <c r="J2760">
        <v>-297.83760000000001</v>
      </c>
      <c r="K2760">
        <v>1.1099749999999999</v>
      </c>
      <c r="L2760">
        <v>213.82140000000001</v>
      </c>
      <c r="M2760">
        <v>0.99988259999999995</v>
      </c>
      <c r="N2760">
        <v>0</v>
      </c>
      <c r="O2760">
        <v>4.7366279999999997E-3</v>
      </c>
      <c r="P2760">
        <v>0.99129679999999998</v>
      </c>
      <c r="Q2760">
        <v>0.1229543</v>
      </c>
      <c r="R2760">
        <v>-4.7038009999999998E-2</v>
      </c>
      <c r="S2760">
        <v>3.058319</v>
      </c>
      <c r="T2760">
        <v>-0.1305162</v>
      </c>
      <c r="U2760">
        <v>0.33978269999999999</v>
      </c>
      <c r="V2760">
        <v>5.1738810000000003E-2</v>
      </c>
      <c r="W2760">
        <v>0.13738129999999901</v>
      </c>
      <c r="X2760">
        <v>0.98916599999999999</v>
      </c>
      <c r="Y2760">
        <v>-0.1056216</v>
      </c>
      <c r="Z2760">
        <v>2.044382E-3</v>
      </c>
      <c r="AA2760">
        <v>0.99440430000000002</v>
      </c>
      <c r="AB2760">
        <v>45</v>
      </c>
      <c r="AC2760">
        <v>25.5745</v>
      </c>
      <c r="AD2760">
        <v>-1.1099754239748001</v>
      </c>
      <c r="AE2760">
        <v>2.8876999999999899</v>
      </c>
      <c r="AF2760">
        <v>-2.7613817024544098</v>
      </c>
      <c r="AG2760">
        <v>-1.1099754239748001</v>
      </c>
      <c r="AH2760">
        <v>25.540387614788099</v>
      </c>
      <c r="AI2760">
        <v>92.474086237958403</v>
      </c>
      <c r="AJ2760">
        <v>96.170748779957805</v>
      </c>
      <c r="AK2760">
        <v>25.713200381557002</v>
      </c>
      <c r="AL2760">
        <v>82.1036580445097</v>
      </c>
      <c r="AM2760">
        <v>87.005844856641502</v>
      </c>
      <c r="AN2760">
        <v>0.99999995080295101</v>
      </c>
    </row>
    <row r="2761" spans="1:40" x14ac:dyDescent="0.25">
      <c r="A2761" t="str">
        <f>"20190312164320194"</f>
        <v>20190312164320194</v>
      </c>
      <c r="B2761" t="str">
        <f>"1552380200187287"</f>
        <v>1552380200187287</v>
      </c>
      <c r="C2761" t="s">
        <v>40</v>
      </c>
      <c r="D2761">
        <v>4.5144630000000001</v>
      </c>
      <c r="E2761">
        <v>0.44387840000000001</v>
      </c>
      <c r="F2761" t="s">
        <v>46</v>
      </c>
      <c r="G2761">
        <v>-272.30970000000002</v>
      </c>
      <c r="H2761" s="1">
        <v>-3.9441279999999999E-7</v>
      </c>
      <c r="I2761">
        <v>216.6</v>
      </c>
      <c r="J2761">
        <v>-297.37849999999997</v>
      </c>
      <c r="K2761">
        <v>1.109972</v>
      </c>
      <c r="L2761">
        <v>213.8236</v>
      </c>
      <c r="M2761">
        <v>0.99988259999999995</v>
      </c>
      <c r="N2761">
        <v>0</v>
      </c>
      <c r="O2761">
        <v>4.7370069999999997E-3</v>
      </c>
      <c r="P2761">
        <v>0.99127270000000001</v>
      </c>
      <c r="Q2761">
        <v>0.1231956</v>
      </c>
      <c r="R2761">
        <v>-4.691973E-2</v>
      </c>
      <c r="S2761">
        <v>3.0586549999999999</v>
      </c>
      <c r="T2761">
        <v>-0.132993</v>
      </c>
      <c r="U2761">
        <v>0.3329163</v>
      </c>
      <c r="V2761">
        <v>5.1620560000000003E-2</v>
      </c>
      <c r="W2761">
        <v>0.13761889999999999</v>
      </c>
      <c r="X2761">
        <v>0.9891392</v>
      </c>
      <c r="Y2761">
        <v>-0.1034019</v>
      </c>
      <c r="Z2761">
        <v>2.03506E-3</v>
      </c>
      <c r="AA2761">
        <v>0.99463749999999995</v>
      </c>
      <c r="AB2761">
        <v>45</v>
      </c>
      <c r="AC2761">
        <v>25.0687999999999</v>
      </c>
      <c r="AD2761">
        <v>-1.1099723944127999</v>
      </c>
      <c r="AE2761">
        <v>2.77639999999999</v>
      </c>
      <c r="AF2761">
        <v>-2.6524681128061101</v>
      </c>
      <c r="AG2761">
        <v>-1.1099723944127999</v>
      </c>
      <c r="AH2761">
        <v>25.033190082599202</v>
      </c>
      <c r="AI2761">
        <v>92.524718979188407</v>
      </c>
      <c r="AJ2761">
        <v>96.048381406287604</v>
      </c>
      <c r="AK2761">
        <v>25.197782273790601</v>
      </c>
      <c r="AL2761">
        <v>82.089914417404898</v>
      </c>
      <c r="AM2761">
        <v>87.012594851149998</v>
      </c>
      <c r="AN2761">
        <v>1.0000000004142799</v>
      </c>
    </row>
    <row r="2762" spans="1:40" x14ac:dyDescent="0.25">
      <c r="A2762" t="str">
        <f>"20190312164320218"</f>
        <v>20190312164320218</v>
      </c>
      <c r="B2762" t="str">
        <f>"1552380200207491"</f>
        <v>1552380200207491</v>
      </c>
      <c r="C2762" t="s">
        <v>40</v>
      </c>
      <c r="D2762">
        <v>4.6586949999999998</v>
      </c>
      <c r="E2762">
        <v>0.44427929999999999</v>
      </c>
      <c r="F2762" t="s">
        <v>46</v>
      </c>
      <c r="G2762">
        <v>-271.87360000000001</v>
      </c>
      <c r="H2762" s="1">
        <v>-6.254268E-7</v>
      </c>
      <c r="I2762">
        <v>216.57599999999999</v>
      </c>
      <c r="J2762">
        <v>-296.89699999999999</v>
      </c>
      <c r="K2762">
        <v>1.1099779999999999</v>
      </c>
      <c r="L2762">
        <v>213.82589999999999</v>
      </c>
      <c r="M2762">
        <v>0.99988279999999996</v>
      </c>
      <c r="N2762">
        <v>0</v>
      </c>
      <c r="O2762">
        <v>4.7370310000000001E-3</v>
      </c>
      <c r="P2762">
        <v>0.99124860000000004</v>
      </c>
      <c r="Q2762">
        <v>0.1233293</v>
      </c>
      <c r="R2762">
        <v>-4.7077630000000002E-2</v>
      </c>
      <c r="S2762">
        <v>3.0585330000000002</v>
      </c>
      <c r="T2762">
        <v>-0.1331069</v>
      </c>
      <c r="U2762">
        <v>0.33006289999999999</v>
      </c>
      <c r="V2762">
        <v>5.177847E-2</v>
      </c>
      <c r="W2762">
        <v>0.13774929999999999</v>
      </c>
      <c r="X2762">
        <v>0.98911280000000001</v>
      </c>
      <c r="Y2762">
        <v>-0.1024897</v>
      </c>
      <c r="Z2762">
        <v>2.0171999999999998E-3</v>
      </c>
      <c r="AA2762">
        <v>0.99473199999999995</v>
      </c>
      <c r="AB2762">
        <v>45</v>
      </c>
      <c r="AC2762">
        <v>25.023399999999899</v>
      </c>
      <c r="AD2762">
        <v>-1.1099786254268</v>
      </c>
      <c r="AE2762">
        <v>2.7501000000000002</v>
      </c>
      <c r="AF2762">
        <v>-2.6264138955525098</v>
      </c>
      <c r="AG2762">
        <v>-1.1099786254268</v>
      </c>
      <c r="AH2762">
        <v>24.9875691035476</v>
      </c>
      <c r="AI2762">
        <v>92.529560584431593</v>
      </c>
      <c r="AJ2762">
        <v>96.000259798431003</v>
      </c>
      <c r="AK2762">
        <v>25.149725887258199</v>
      </c>
      <c r="AL2762">
        <v>82.082371247127995</v>
      </c>
      <c r="AM2762">
        <v>87.003393018471499</v>
      </c>
      <c r="AN2762">
        <v>1.0000000053649301</v>
      </c>
    </row>
    <row r="2763" spans="1:40" x14ac:dyDescent="0.25">
      <c r="A2763" t="str">
        <f>"20190312164320242"</f>
        <v>20190312164320242</v>
      </c>
      <c r="B2763" t="str">
        <f>"1552380200237748"</f>
        <v>1552380200237748</v>
      </c>
      <c r="C2763" t="s">
        <v>40</v>
      </c>
      <c r="D2763">
        <v>4.5526350000000004</v>
      </c>
      <c r="E2763">
        <v>0.44491140000000001</v>
      </c>
      <c r="F2763" t="s">
        <v>46</v>
      </c>
      <c r="G2763">
        <v>-271.61380000000003</v>
      </c>
      <c r="H2763" s="1">
        <v>-7.6142040000000002E-7</v>
      </c>
      <c r="I2763">
        <v>216.5248</v>
      </c>
      <c r="J2763">
        <v>-296.43169999999998</v>
      </c>
      <c r="K2763">
        <v>1.109988</v>
      </c>
      <c r="L2763">
        <v>213.82810000000001</v>
      </c>
      <c r="M2763">
        <v>0.99988270000000001</v>
      </c>
      <c r="N2763">
        <v>0</v>
      </c>
      <c r="O2763">
        <v>4.7370540000000001E-3</v>
      </c>
      <c r="P2763">
        <v>0.9912919</v>
      </c>
      <c r="Q2763">
        <v>0.12304</v>
      </c>
      <c r="R2763">
        <v>-4.692325E-2</v>
      </c>
      <c r="S2763">
        <v>3.0586850000000001</v>
      </c>
      <c r="T2763">
        <v>-0.13428199999999901</v>
      </c>
      <c r="U2763">
        <v>0.32650759999999901</v>
      </c>
      <c r="V2763">
        <v>5.1624160000000002E-2</v>
      </c>
      <c r="W2763">
        <v>0.13745779999999999</v>
      </c>
      <c r="X2763">
        <v>0.98916139999999997</v>
      </c>
      <c r="Y2763">
        <v>-0.10134070000000001</v>
      </c>
      <c r="Z2763">
        <v>2.0098770000000002E-3</v>
      </c>
      <c r="AA2763">
        <v>0.99484969999999995</v>
      </c>
      <c r="AB2763">
        <v>45</v>
      </c>
      <c r="AC2763">
        <v>24.817899999999899</v>
      </c>
      <c r="AD2763">
        <v>-1.10998876142039</v>
      </c>
      <c r="AE2763">
        <v>2.6966999999999901</v>
      </c>
      <c r="AF2763">
        <v>-2.5740046919084199</v>
      </c>
      <c r="AG2763">
        <v>-1.10998876142039</v>
      </c>
      <c r="AH2763">
        <v>24.781404102960298</v>
      </c>
      <c r="AI2763">
        <v>92.550927052735105</v>
      </c>
      <c r="AJ2763">
        <v>95.929956321919704</v>
      </c>
      <c r="AK2763">
        <v>24.9394379350992</v>
      </c>
      <c r="AL2763">
        <v>82.099233231316603</v>
      </c>
      <c r="AM2763">
        <v>87.012453818264405</v>
      </c>
      <c r="AN2763">
        <v>0.99999998796325196</v>
      </c>
    </row>
    <row r="2764" spans="1:40" x14ac:dyDescent="0.25">
      <c r="A2764" t="str">
        <f>"20190312164320260"</f>
        <v>20190312164320260</v>
      </c>
      <c r="B2764" t="str">
        <f>"1552380200257266"</f>
        <v>1552380200257266</v>
      </c>
      <c r="C2764" t="s">
        <v>40</v>
      </c>
      <c r="D2764">
        <v>4.6262359999999996</v>
      </c>
      <c r="E2764">
        <v>0.44518210000000003</v>
      </c>
      <c r="F2764" t="s">
        <v>46</v>
      </c>
      <c r="G2764">
        <v>-271.85059999999999</v>
      </c>
      <c r="H2764" s="1">
        <v>-6.3069869999999905E-7</v>
      </c>
      <c r="I2764">
        <v>216.41720000000001</v>
      </c>
      <c r="J2764">
        <v>-296.05009999999999</v>
      </c>
      <c r="K2764">
        <v>1.1099909999999999</v>
      </c>
      <c r="L2764">
        <v>213.82990000000001</v>
      </c>
      <c r="M2764">
        <v>0.99988290000000002</v>
      </c>
      <c r="N2764">
        <v>0</v>
      </c>
      <c r="O2764">
        <v>4.7372509999999996E-3</v>
      </c>
      <c r="P2764">
        <v>0.99134889999999998</v>
      </c>
      <c r="Q2764">
        <v>0.1226778</v>
      </c>
      <c r="R2764">
        <v>-4.6669580000000002E-2</v>
      </c>
      <c r="S2764">
        <v>3.0587460000000002</v>
      </c>
      <c r="T2764">
        <v>-0.13812160000000001</v>
      </c>
      <c r="U2764">
        <v>0.32217410000000002</v>
      </c>
      <c r="V2764">
        <v>5.1370699999999998E-2</v>
      </c>
      <c r="W2764">
        <v>0.1370942</v>
      </c>
      <c r="X2764">
        <v>0.98922509999999997</v>
      </c>
      <c r="Y2764">
        <v>-9.9940580000000001E-2</v>
      </c>
      <c r="Z2764">
        <v>2.0358849999999999E-3</v>
      </c>
      <c r="AA2764">
        <v>0.99499130000000002</v>
      </c>
      <c r="AB2764">
        <v>44</v>
      </c>
      <c r="AC2764">
        <v>24.1995</v>
      </c>
      <c r="AD2764">
        <v>-1.1099916306987001</v>
      </c>
      <c r="AE2764">
        <v>2.5872999999999902</v>
      </c>
      <c r="AF2764">
        <v>-2.4674870246838001</v>
      </c>
      <c r="AG2764">
        <v>-1.1099916306987001</v>
      </c>
      <c r="AH2764">
        <v>24.1612279050659</v>
      </c>
      <c r="AI2764">
        <v>92.616785792330802</v>
      </c>
      <c r="AJ2764">
        <v>95.831166404972905</v>
      </c>
      <c r="AK2764">
        <v>24.312250153322701</v>
      </c>
      <c r="AL2764">
        <v>82.120265450114502</v>
      </c>
      <c r="AM2764">
        <v>87.027286539713401</v>
      </c>
      <c r="AN2764">
        <v>1.0000000334810599</v>
      </c>
    </row>
    <row r="2765" spans="1:40" x14ac:dyDescent="0.25">
      <c r="A2765" t="str">
        <f>"20190312164320283"</f>
        <v>20190312164320283</v>
      </c>
      <c r="B2765" t="str">
        <f>"1552380200277763"</f>
        <v>1552380200277763</v>
      </c>
      <c r="C2765" t="s">
        <v>40</v>
      </c>
      <c r="D2765">
        <v>4.9659559999999896</v>
      </c>
      <c r="E2765">
        <v>0.44537900000000002</v>
      </c>
      <c r="F2765" t="s">
        <v>46</v>
      </c>
      <c r="G2765">
        <v>-272.08920000000001</v>
      </c>
      <c r="H2765" s="1">
        <v>-5.0050179999999998E-7</v>
      </c>
      <c r="I2765">
        <v>216.34280000000001</v>
      </c>
      <c r="J2765">
        <v>-295.5949</v>
      </c>
      <c r="K2765">
        <v>1.1099909999999999</v>
      </c>
      <c r="L2765">
        <v>213.83199999999999</v>
      </c>
      <c r="M2765">
        <v>0.99988290000000002</v>
      </c>
      <c r="N2765">
        <v>0</v>
      </c>
      <c r="O2765">
        <v>4.7372719999999998E-3</v>
      </c>
      <c r="P2765">
        <v>0.99142799999999998</v>
      </c>
      <c r="Q2765">
        <v>0.12215239999999999</v>
      </c>
      <c r="R2765">
        <v>-4.6364919999999997E-2</v>
      </c>
      <c r="S2765">
        <v>3.0588380000000002</v>
      </c>
      <c r="T2765">
        <v>-0.14170099999999999</v>
      </c>
      <c r="U2765">
        <v>0.3208008</v>
      </c>
      <c r="V2765">
        <v>5.1066569999999999E-2</v>
      </c>
      <c r="W2765">
        <v>0.13656699999999999</v>
      </c>
      <c r="X2765">
        <v>0.98931369999999996</v>
      </c>
      <c r="Y2765">
        <v>-9.9491019999999999E-2</v>
      </c>
      <c r="Z2765">
        <v>2.0781950000000001E-3</v>
      </c>
      <c r="AA2765">
        <v>0.99503629999999998</v>
      </c>
      <c r="AB2765">
        <v>44</v>
      </c>
      <c r="AC2765">
        <v>23.505699999999901</v>
      </c>
      <c r="AD2765">
        <v>-1.1099915005018</v>
      </c>
      <c r="AE2765">
        <v>2.5108000000000099</v>
      </c>
      <c r="AF2765">
        <v>-2.39412860191343</v>
      </c>
      <c r="AG2765">
        <v>-1.1099915005018</v>
      </c>
      <c r="AH2765">
        <v>23.4655952540563</v>
      </c>
      <c r="AI2765">
        <v>92.694273708313602</v>
      </c>
      <c r="AJ2765">
        <v>95.825568996089103</v>
      </c>
      <c r="AK2765">
        <v>23.6135150606782</v>
      </c>
      <c r="AL2765">
        <v>82.150758075816398</v>
      </c>
      <c r="AM2765">
        <v>87.045118795050001</v>
      </c>
      <c r="AN2765">
        <v>0.99999996853412698</v>
      </c>
    </row>
    <row r="2766" spans="1:40" x14ac:dyDescent="0.25">
      <c r="A2766" t="str">
        <f>"20190312164320306"</f>
        <v>20190312164320306</v>
      </c>
      <c r="B2766" t="str">
        <f>"1552380200297283"</f>
        <v>1552380200297283</v>
      </c>
      <c r="C2766" t="s">
        <v>40</v>
      </c>
      <c r="D2766">
        <v>4.7949449999999896</v>
      </c>
      <c r="E2766">
        <v>0.44558720000000002</v>
      </c>
      <c r="F2766" t="s">
        <v>46</v>
      </c>
      <c r="G2766">
        <v>-272.18869999999998</v>
      </c>
      <c r="H2766" s="1">
        <v>-4.4478879999999999E-7</v>
      </c>
      <c r="I2766">
        <v>216.28</v>
      </c>
      <c r="J2766">
        <v>-295.13909999999998</v>
      </c>
      <c r="K2766">
        <v>1.109985</v>
      </c>
      <c r="L2766">
        <v>213.83420000000001</v>
      </c>
      <c r="M2766">
        <v>0.99988279999999996</v>
      </c>
      <c r="N2766">
        <v>0</v>
      </c>
      <c r="O2766">
        <v>4.7375919999999997E-3</v>
      </c>
      <c r="P2766">
        <v>0.99143009999999998</v>
      </c>
      <c r="Q2766">
        <v>0.1220619</v>
      </c>
      <c r="R2766">
        <v>-4.655513E-2</v>
      </c>
      <c r="S2766">
        <v>3.0587770000000001</v>
      </c>
      <c r="T2766">
        <v>-0.14505599999999999</v>
      </c>
      <c r="U2766">
        <v>0.31990049999999998</v>
      </c>
      <c r="V2766">
        <v>5.1257209999999997E-2</v>
      </c>
      <c r="W2766">
        <v>0.1364735</v>
      </c>
      <c r="X2766">
        <v>0.9893168</v>
      </c>
      <c r="Y2766">
        <v>-9.9198590000000003E-2</v>
      </c>
      <c r="Z2766">
        <v>2.1204940000000001E-3</v>
      </c>
      <c r="AA2766">
        <v>0.99506539999999999</v>
      </c>
      <c r="AB2766">
        <v>44</v>
      </c>
      <c r="AC2766">
        <v>22.950399999999998</v>
      </c>
      <c r="AD2766">
        <v>-1.1099854447888</v>
      </c>
      <c r="AE2766">
        <v>2.44579999999999</v>
      </c>
      <c r="AF2766">
        <v>-2.3316386341078301</v>
      </c>
      <c r="AG2766">
        <v>-1.1099854447888</v>
      </c>
      <c r="AH2766">
        <v>22.908746063954599</v>
      </c>
      <c r="AI2766">
        <v>92.759717942768305</v>
      </c>
      <c r="AJ2766">
        <v>95.811518442954394</v>
      </c>
      <c r="AK2766">
        <v>23.053833794630901</v>
      </c>
      <c r="AL2766">
        <v>82.156166302909995</v>
      </c>
      <c r="AM2766">
        <v>87.034116667581202</v>
      </c>
      <c r="AN2766">
        <v>1.0000000242707301</v>
      </c>
    </row>
    <row r="2767" spans="1:40" x14ac:dyDescent="0.25">
      <c r="A2767" t="str">
        <f>"20190312164320328"</f>
        <v>20190312164320328</v>
      </c>
      <c r="B2767" t="str">
        <f>"1552380200317364"</f>
        <v>1552380200317364</v>
      </c>
      <c r="C2767" t="s">
        <v>40</v>
      </c>
      <c r="D2767">
        <v>4.6757549999999997</v>
      </c>
      <c r="E2767">
        <v>0.44581460000000001</v>
      </c>
      <c r="F2767" t="s">
        <v>46</v>
      </c>
      <c r="G2767">
        <v>-271.75909999999999</v>
      </c>
      <c r="H2767" s="1">
        <v>-6.7269909999999899E-7</v>
      </c>
      <c r="I2767">
        <v>216.26419999999999</v>
      </c>
      <c r="J2767">
        <v>-294.71620000000001</v>
      </c>
      <c r="K2767">
        <v>1.109982</v>
      </c>
      <c r="L2767">
        <v>213.83619999999999</v>
      </c>
      <c r="M2767">
        <v>0.99988290000000002</v>
      </c>
      <c r="N2767">
        <v>0</v>
      </c>
      <c r="O2767">
        <v>4.7376120000000004E-3</v>
      </c>
      <c r="P2767">
        <v>0.99143669999999995</v>
      </c>
      <c r="Q2767">
        <v>0.1221674</v>
      </c>
      <c r="R2767">
        <v>-4.6135200000000001E-2</v>
      </c>
      <c r="S2767">
        <v>3.0586850000000001</v>
      </c>
      <c r="T2767">
        <v>-0.14521400000000001</v>
      </c>
      <c r="U2767">
        <v>0.31790159999999901</v>
      </c>
      <c r="V2767">
        <v>5.0837439999999998E-2</v>
      </c>
      <c r="W2767">
        <v>0.13657649999999999</v>
      </c>
      <c r="X2767">
        <v>0.98932419999999999</v>
      </c>
      <c r="Y2767">
        <v>-9.8558800000000002E-2</v>
      </c>
      <c r="Z2767">
        <v>2.1077959999999999E-3</v>
      </c>
      <c r="AA2767">
        <v>0.99512900000000004</v>
      </c>
      <c r="AB2767">
        <v>44</v>
      </c>
      <c r="AC2767">
        <v>22.957100000000001</v>
      </c>
      <c r="AD2767">
        <v>-1.1099826726991</v>
      </c>
      <c r="AE2767">
        <v>2.4279999999999902</v>
      </c>
      <c r="AF2767">
        <v>-2.3138500269916502</v>
      </c>
      <c r="AG2767">
        <v>-1.1099826726991</v>
      </c>
      <c r="AH2767">
        <v>22.915368605103001</v>
      </c>
      <c r="AI2767">
        <v>92.759137451635397</v>
      </c>
      <c r="AJ2767">
        <v>95.765825499350797</v>
      </c>
      <c r="AK2767">
        <v>23.058622720987501</v>
      </c>
      <c r="AL2767">
        <v>82.150208701678807</v>
      </c>
      <c r="AM2767">
        <v>87.058384844335094</v>
      </c>
      <c r="AN2767">
        <v>0.99999997918182104</v>
      </c>
    </row>
    <row r="2768" spans="1:40" x14ac:dyDescent="0.25">
      <c r="A2768" t="str">
        <f>"20190312164320372"</f>
        <v>20190312164320372</v>
      </c>
      <c r="B2768" t="str">
        <f>"1552380200367142"</f>
        <v>1552380200367142</v>
      </c>
      <c r="C2768" t="s">
        <v>40</v>
      </c>
      <c r="D2768">
        <v>4.8904199999999998</v>
      </c>
      <c r="E2768">
        <v>0.44620320000000002</v>
      </c>
      <c r="F2768" t="s">
        <v>46</v>
      </c>
      <c r="G2768">
        <v>-271.36130000000003</v>
      </c>
      <c r="H2768" s="1">
        <v>-8.8417169999999998E-7</v>
      </c>
      <c r="I2768">
        <v>216.25839999999999</v>
      </c>
      <c r="J2768">
        <v>-293.82760000000002</v>
      </c>
      <c r="K2768">
        <v>1.1099840000000001</v>
      </c>
      <c r="L2768">
        <v>213.84039999999999</v>
      </c>
      <c r="M2768">
        <v>0.99988299999999997</v>
      </c>
      <c r="N2768">
        <v>0</v>
      </c>
      <c r="O2768">
        <v>4.7380110000000003E-3</v>
      </c>
      <c r="P2768">
        <v>0.99142960000000002</v>
      </c>
      <c r="Q2768">
        <v>0.1224628</v>
      </c>
      <c r="R2768">
        <v>-4.5500899999999997E-2</v>
      </c>
      <c r="S2768">
        <v>3.058624</v>
      </c>
      <c r="T2768">
        <v>-0.145366</v>
      </c>
      <c r="U2768">
        <v>0.31721500000000002</v>
      </c>
      <c r="V2768">
        <v>5.0203409999999997E-2</v>
      </c>
      <c r="W2768">
        <v>0.13686699999999999</v>
      </c>
      <c r="X2768">
        <v>0.98931650000000004</v>
      </c>
      <c r="Y2768">
        <v>-9.833944E-2</v>
      </c>
      <c r="Z2768">
        <v>2.104851E-3</v>
      </c>
      <c r="AA2768">
        <v>0.99515070000000005</v>
      </c>
      <c r="AB2768">
        <v>44</v>
      </c>
      <c r="AC2768">
        <v>22.466299999999901</v>
      </c>
      <c r="AD2768">
        <v>-1.1099848841716999</v>
      </c>
      <c r="AE2768">
        <v>2.4180000000000001</v>
      </c>
      <c r="AF2768">
        <v>-2.3059516035657901</v>
      </c>
      <c r="AG2768">
        <v>-1.1099848841716999</v>
      </c>
      <c r="AH2768">
        <v>22.4233963655773</v>
      </c>
      <c r="AI2768">
        <v>92.819053326704093</v>
      </c>
      <c r="AJ2768">
        <v>95.871478147665698</v>
      </c>
      <c r="AK2768">
        <v>22.568965058435001</v>
      </c>
      <c r="AL2768">
        <v>82.133407037817506</v>
      </c>
      <c r="AM2768">
        <v>87.0949860187512</v>
      </c>
      <c r="AN2768">
        <v>1.0000000476184301</v>
      </c>
    </row>
    <row r="2769" spans="1:40" x14ac:dyDescent="0.25">
      <c r="A2769" t="str">
        <f>"20190312164320395"</f>
        <v>20190312164320395</v>
      </c>
      <c r="B2769" t="str">
        <f>"1552380200387638"</f>
        <v>1552380200387638</v>
      </c>
      <c r="C2769" t="s">
        <v>40</v>
      </c>
      <c r="D2769">
        <v>4.9402059999999999</v>
      </c>
      <c r="E2769">
        <v>0.44636490000000001</v>
      </c>
      <c r="F2769" t="s">
        <v>46</v>
      </c>
      <c r="G2769">
        <v>-270.73689999999999</v>
      </c>
      <c r="H2769" s="1">
        <v>-1.2149250000000001E-6</v>
      </c>
      <c r="I2769">
        <v>216.22409999999999</v>
      </c>
      <c r="J2769">
        <v>-293.37970000000001</v>
      </c>
      <c r="K2769">
        <v>1.10999</v>
      </c>
      <c r="L2769">
        <v>213.8426</v>
      </c>
      <c r="M2769">
        <v>0.99988310000000002</v>
      </c>
      <c r="N2769">
        <v>0</v>
      </c>
      <c r="O2769">
        <v>4.7380310000000002E-3</v>
      </c>
      <c r="P2769">
        <v>0.99144659999999996</v>
      </c>
      <c r="Q2769">
        <v>0.1224862</v>
      </c>
      <c r="R2769">
        <v>-4.506727E-2</v>
      </c>
      <c r="S2769">
        <v>3.0585939999999998</v>
      </c>
      <c r="T2769">
        <v>-0.147028399999999</v>
      </c>
      <c r="U2769">
        <v>0.31573489999999999</v>
      </c>
      <c r="V2769">
        <v>4.9769830000000001E-2</v>
      </c>
      <c r="W2769">
        <v>0.13688729999999999</v>
      </c>
      <c r="X2769">
        <v>0.98933550000000003</v>
      </c>
      <c r="Y2769">
        <v>-9.7862099999999994E-2</v>
      </c>
      <c r="Z2769">
        <v>2.117533E-3</v>
      </c>
      <c r="AA2769">
        <v>0.99519769999999996</v>
      </c>
      <c r="AB2769">
        <v>44</v>
      </c>
      <c r="AC2769">
        <v>22.642800000000001</v>
      </c>
      <c r="AD2769">
        <v>-1.109991214925</v>
      </c>
      <c r="AE2769">
        <v>2.38149999999998</v>
      </c>
      <c r="AF2769">
        <v>-2.2687870802358998</v>
      </c>
      <c r="AG2769">
        <v>-1.109991214925</v>
      </c>
      <c r="AH2769">
        <v>22.6001136261652</v>
      </c>
      <c r="AI2769">
        <v>92.797749145715201</v>
      </c>
      <c r="AJ2769">
        <v>95.732620198693496</v>
      </c>
      <c r="AK2769">
        <v>22.740813776737099</v>
      </c>
      <c r="AL2769">
        <v>82.132232111272501</v>
      </c>
      <c r="AM2769">
        <v>87.120087865335094</v>
      </c>
      <c r="AN2769">
        <v>0.99999995021988297</v>
      </c>
    </row>
    <row r="2770" spans="1:40" x14ac:dyDescent="0.25">
      <c r="A2770" t="str">
        <f>"20190312164320418"</f>
        <v>20190312164320418</v>
      </c>
      <c r="B2770" t="str">
        <f>"1552380200406936"</f>
        <v>1552380200406936</v>
      </c>
      <c r="C2770" t="s">
        <v>40</v>
      </c>
      <c r="D2770">
        <v>4.7535800000000004</v>
      </c>
      <c r="E2770">
        <v>0.45844360000000001</v>
      </c>
      <c r="F2770" t="s">
        <v>46</v>
      </c>
      <c r="G2770">
        <v>-270.53089999999997</v>
      </c>
      <c r="H2770" s="1">
        <v>-1.3235919999999999E-6</v>
      </c>
      <c r="I2770">
        <v>216.2022</v>
      </c>
      <c r="J2770">
        <v>-292.94099999999997</v>
      </c>
      <c r="K2770">
        <v>1.109998</v>
      </c>
      <c r="L2770">
        <v>213.84469999999999</v>
      </c>
      <c r="M2770">
        <v>0.99988319999999997</v>
      </c>
      <c r="N2770">
        <v>0</v>
      </c>
      <c r="O2770">
        <v>4.7382300000000004E-3</v>
      </c>
      <c r="P2770">
        <v>0.99142300000000005</v>
      </c>
      <c r="Q2770">
        <v>0.1226532</v>
      </c>
      <c r="R2770">
        <v>-4.513329E-2</v>
      </c>
      <c r="S2770">
        <v>3.0585629999999999</v>
      </c>
      <c r="T2770">
        <v>-0.14858469999999999</v>
      </c>
      <c r="U2770">
        <v>0.3158569</v>
      </c>
      <c r="V2770">
        <v>4.9835909999999997E-2</v>
      </c>
      <c r="W2770">
        <v>0.1370516</v>
      </c>
      <c r="X2770">
        <v>0.98930949999999995</v>
      </c>
      <c r="Y2770">
        <v>-9.7899910000000007E-2</v>
      </c>
      <c r="Z2770">
        <v>2.1408439999999998E-3</v>
      </c>
      <c r="AA2770">
        <v>0.99519400000000002</v>
      </c>
      <c r="AB2770">
        <v>44</v>
      </c>
      <c r="AC2770">
        <v>22.4101</v>
      </c>
      <c r="AD2770">
        <v>-1.109999323592</v>
      </c>
      <c r="AE2770">
        <v>2.3575000000000101</v>
      </c>
      <c r="AF2770">
        <v>-2.24582863572178</v>
      </c>
      <c r="AG2770">
        <v>-1.109999323592</v>
      </c>
      <c r="AH2770">
        <v>22.366747306820901</v>
      </c>
      <c r="AI2770">
        <v>92.826907451267203</v>
      </c>
      <c r="AJ2770">
        <v>95.733809127535494</v>
      </c>
      <c r="AK2770">
        <v>22.5066041384875</v>
      </c>
      <c r="AL2770">
        <v>82.122729424614406</v>
      </c>
      <c r="AM2770">
        <v>87.116194962057705</v>
      </c>
      <c r="AN2770">
        <v>1.0000000228891599</v>
      </c>
    </row>
    <row r="2771" spans="1:40" x14ac:dyDescent="0.25">
      <c r="A2771" t="str">
        <f>"20190312164320441"</f>
        <v>20190312164320441</v>
      </c>
      <c r="B2771" t="str">
        <f>"1552380200437192"</f>
        <v>1552380200437192</v>
      </c>
      <c r="C2771" t="s">
        <v>40</v>
      </c>
      <c r="D2771">
        <v>4.8789230000000003</v>
      </c>
      <c r="E2771">
        <v>0.45605020000000002</v>
      </c>
      <c r="F2771" t="s">
        <v>46</v>
      </c>
      <c r="G2771">
        <v>-274.81130000000002</v>
      </c>
      <c r="H2771" s="1">
        <v>9.999059999999999E-7</v>
      </c>
      <c r="I2771">
        <v>215.15719999999999</v>
      </c>
      <c r="J2771">
        <v>-292.48419999999999</v>
      </c>
      <c r="K2771">
        <v>1.109999</v>
      </c>
      <c r="L2771">
        <v>213.8468</v>
      </c>
      <c r="M2771">
        <v>0.99988319999999997</v>
      </c>
      <c r="N2771">
        <v>0</v>
      </c>
      <c r="O2771">
        <v>4.7384300000000001E-3</v>
      </c>
      <c r="P2771">
        <v>0.9913594</v>
      </c>
      <c r="Q2771">
        <v>0.1232642</v>
      </c>
      <c r="R2771">
        <v>-4.4863180000000003E-2</v>
      </c>
      <c r="S2771">
        <v>3.0592039999999998</v>
      </c>
      <c r="T2771">
        <v>-0.18730060000000001</v>
      </c>
      <c r="U2771">
        <v>0.22148129999999999</v>
      </c>
      <c r="V2771">
        <v>4.9565720000000001E-2</v>
      </c>
      <c r="W2771">
        <v>0.13765859999999999</v>
      </c>
      <c r="X2771">
        <v>0.98923879999999997</v>
      </c>
      <c r="Y2771">
        <v>-6.7365339999999996E-2</v>
      </c>
      <c r="Z2771">
        <v>1.768136E-3</v>
      </c>
      <c r="AA2771">
        <v>0.99772680000000002</v>
      </c>
      <c r="AB2771">
        <v>44</v>
      </c>
      <c r="AC2771">
        <v>17.672899999999899</v>
      </c>
      <c r="AD2771">
        <v>-1.109998000094</v>
      </c>
      <c r="AE2771">
        <v>1.31039999999998</v>
      </c>
      <c r="AF2771">
        <v>-1.2218410386743801</v>
      </c>
      <c r="AG2771">
        <v>-1.109998000094</v>
      </c>
      <c r="AH2771">
        <v>17.609823450262301</v>
      </c>
      <c r="AI2771">
        <v>93.5981189676003</v>
      </c>
      <c r="AJ2771">
        <v>93.9690527308464</v>
      </c>
      <c r="AK2771">
        <v>17.6870255564187</v>
      </c>
      <c r="AL2771">
        <v>82.087618130431096</v>
      </c>
      <c r="AM2771">
        <v>87.131598955060298</v>
      </c>
      <c r="AN2771">
        <v>1.00000002708925</v>
      </c>
    </row>
    <row r="2772" spans="1:40" x14ac:dyDescent="0.25">
      <c r="A2772" t="str">
        <f>"20190312164320462"</f>
        <v>20190312164320462</v>
      </c>
      <c r="B2772" t="str">
        <f>"1552380200457689"</f>
        <v>1552380200457689</v>
      </c>
      <c r="C2772" t="s">
        <v>40</v>
      </c>
      <c r="D2772">
        <v>4.7982690000000003</v>
      </c>
      <c r="E2772">
        <v>0.4557003</v>
      </c>
      <c r="F2772" t="s">
        <v>46</v>
      </c>
      <c r="G2772">
        <v>-272.68270000000001</v>
      </c>
      <c r="H2772" s="1">
        <v>-1.4357529999999999E-7</v>
      </c>
      <c r="I2772">
        <v>215.40299999999999</v>
      </c>
      <c r="J2772">
        <v>-292.06569999999999</v>
      </c>
      <c r="K2772">
        <v>1.110001</v>
      </c>
      <c r="L2772">
        <v>213.84880000000001</v>
      </c>
      <c r="M2772">
        <v>0.99988310000000002</v>
      </c>
      <c r="N2772">
        <v>0</v>
      </c>
      <c r="O2772">
        <v>4.7385680000000003E-3</v>
      </c>
      <c r="P2772">
        <v>0.9913168</v>
      </c>
      <c r="Q2772">
        <v>0.1236749</v>
      </c>
      <c r="R2772">
        <v>-4.4672660000000003E-2</v>
      </c>
      <c r="S2772">
        <v>3.0583800000000001</v>
      </c>
      <c r="T2772">
        <v>-0.17144129999999999</v>
      </c>
      <c r="U2772">
        <v>0.2403564</v>
      </c>
      <c r="V2772">
        <v>4.9375160000000001E-2</v>
      </c>
      <c r="W2772">
        <v>0.13806669999999999</v>
      </c>
      <c r="X2772">
        <v>0.98919140000000005</v>
      </c>
      <c r="Y2772">
        <v>-7.3515209999999998E-2</v>
      </c>
      <c r="Z2772">
        <v>1.7906899999999999E-3</v>
      </c>
      <c r="AA2772">
        <v>0.99729250000000003</v>
      </c>
      <c r="AB2772">
        <v>44</v>
      </c>
      <c r="AC2772">
        <v>19.3829999999999</v>
      </c>
      <c r="AD2772">
        <v>-1.1100011435752899</v>
      </c>
      <c r="AE2772">
        <v>1.55419999999998</v>
      </c>
      <c r="AF2772">
        <v>-1.4575756250563101</v>
      </c>
      <c r="AG2772">
        <v>-1.1100011435752899</v>
      </c>
      <c r="AH2772">
        <v>19.327169665169802</v>
      </c>
      <c r="AI2772">
        <v>93.277722144075298</v>
      </c>
      <c r="AJ2772">
        <v>94.3128478220533</v>
      </c>
      <c r="AK2772">
        <v>19.413812518610499</v>
      </c>
      <c r="AL2772">
        <v>82.064009868146698</v>
      </c>
      <c r="AM2772">
        <v>87.142471784120005</v>
      </c>
      <c r="AN2772">
        <v>0.99999997295393706</v>
      </c>
    </row>
    <row r="2773" spans="1:40" x14ac:dyDescent="0.25">
      <c r="A2773" t="str">
        <f>"20190312164320485"</f>
        <v>20190312164320485</v>
      </c>
      <c r="B2773" t="str">
        <f>"1552380200477212"</f>
        <v>1552380200477212</v>
      </c>
      <c r="C2773" t="s">
        <v>40</v>
      </c>
      <c r="D2773">
        <v>4.90238</v>
      </c>
      <c r="E2773">
        <v>0.4554877</v>
      </c>
      <c r="F2773" t="s">
        <v>46</v>
      </c>
      <c r="G2773">
        <v>-271.66469999999998</v>
      </c>
      <c r="H2773" s="1">
        <v>-6.8823079999999995E-7</v>
      </c>
      <c r="I2773">
        <v>215.47049999999999</v>
      </c>
      <c r="J2773">
        <v>-291.62060000000002</v>
      </c>
      <c r="K2773">
        <v>1.1100019999999999</v>
      </c>
      <c r="L2773">
        <v>213.8509</v>
      </c>
      <c r="M2773">
        <v>0.99988330000000003</v>
      </c>
      <c r="N2773">
        <v>0</v>
      </c>
      <c r="O2773">
        <v>4.7385889999999996E-3</v>
      </c>
      <c r="P2773">
        <v>0.99119040000000003</v>
      </c>
      <c r="Q2773">
        <v>0.1246674</v>
      </c>
      <c r="R2773">
        <v>-4.4717220000000002E-2</v>
      </c>
      <c r="S2773">
        <v>3.058014</v>
      </c>
      <c r="T2773">
        <v>-0.1663847</v>
      </c>
      <c r="U2773">
        <v>0.24308779999999999</v>
      </c>
      <c r="V2773">
        <v>4.9419280000000003E-2</v>
      </c>
      <c r="W2773">
        <v>0.13905410000000001</v>
      </c>
      <c r="X2773">
        <v>0.98905089999999996</v>
      </c>
      <c r="Y2773">
        <v>-7.4414599999999997E-2</v>
      </c>
      <c r="Z2773">
        <v>1.762509E-3</v>
      </c>
      <c r="AA2773">
        <v>0.99722580000000005</v>
      </c>
      <c r="AB2773">
        <v>44</v>
      </c>
      <c r="AC2773">
        <v>19.9559</v>
      </c>
      <c r="AD2773">
        <v>-1.1100026882307901</v>
      </c>
      <c r="AE2773">
        <v>1.6195999999999899</v>
      </c>
      <c r="AF2773">
        <v>-1.5203360510125401</v>
      </c>
      <c r="AG2773">
        <v>-1.1100026882307901</v>
      </c>
      <c r="AH2773">
        <v>19.902179029596802</v>
      </c>
      <c r="AI2773">
        <v>93.182991348252898</v>
      </c>
      <c r="AJ2773">
        <v>94.3683653273944</v>
      </c>
      <c r="AK2773">
        <v>19.991004422039701</v>
      </c>
      <c r="AL2773">
        <v>82.006885164322298</v>
      </c>
      <c r="AM2773">
        <v>87.139517015014704</v>
      </c>
      <c r="AN2773">
        <v>0.99999999537666895</v>
      </c>
    </row>
    <row r="2774" spans="1:40" x14ac:dyDescent="0.25">
      <c r="A2774" t="str">
        <f>"20190312164320506"</f>
        <v>20190312164320506</v>
      </c>
      <c r="B2774" t="str">
        <f>"1552380200497704"</f>
        <v>1552380200497704</v>
      </c>
      <c r="C2774" t="s">
        <v>40</v>
      </c>
      <c r="D2774">
        <v>4.8019970000000001</v>
      </c>
      <c r="E2774">
        <v>0.45539800000000003</v>
      </c>
      <c r="F2774" t="s">
        <v>46</v>
      </c>
      <c r="G2774">
        <v>-270.52760000000001</v>
      </c>
      <c r="H2774" s="1">
        <v>-1.2961979999999999E-6</v>
      </c>
      <c r="I2774">
        <v>215.53579999999999</v>
      </c>
      <c r="J2774">
        <v>-291.1986</v>
      </c>
      <c r="K2774">
        <v>1.1100019999999999</v>
      </c>
      <c r="L2774">
        <v>213.85290000000001</v>
      </c>
      <c r="M2774">
        <v>0.99988319999999997</v>
      </c>
      <c r="N2774">
        <v>0</v>
      </c>
      <c r="O2774">
        <v>4.7389659999999998E-3</v>
      </c>
      <c r="P2774">
        <v>0.9911335</v>
      </c>
      <c r="Q2774">
        <v>0.12504419999999999</v>
      </c>
      <c r="R2774">
        <v>-4.4929280000000002E-2</v>
      </c>
      <c r="S2774">
        <v>3.057922</v>
      </c>
      <c r="T2774">
        <v>-0.16092129999999999</v>
      </c>
      <c r="U2774">
        <v>0.2442627</v>
      </c>
      <c r="V2774">
        <v>4.9631389999999997E-2</v>
      </c>
      <c r="W2774">
        <v>0.13942760000000001</v>
      </c>
      <c r="X2774">
        <v>0.98898770000000003</v>
      </c>
      <c r="Y2774">
        <v>-7.4803389999999997E-2</v>
      </c>
      <c r="Z2774">
        <v>1.7149279999999999E-3</v>
      </c>
      <c r="AA2774">
        <v>0.99719690000000005</v>
      </c>
      <c r="AB2774">
        <v>44</v>
      </c>
      <c r="AC2774">
        <v>20.6709999999999</v>
      </c>
      <c r="AD2774">
        <v>-1.110003296198</v>
      </c>
      <c r="AE2774">
        <v>1.6828999999999801</v>
      </c>
      <c r="AF2774">
        <v>-1.5803844987681199</v>
      </c>
      <c r="AG2774">
        <v>-1.110003296198</v>
      </c>
      <c r="AH2774">
        <v>20.619677776705402</v>
      </c>
      <c r="AI2774">
        <v>93.072391878430594</v>
      </c>
      <c r="AJ2774">
        <v>94.382836535265994</v>
      </c>
      <c r="AK2774">
        <v>20.709921151387199</v>
      </c>
      <c r="AL2774">
        <v>81.985274715212</v>
      </c>
      <c r="AM2774">
        <v>87.127076930770002</v>
      </c>
      <c r="AN2774">
        <v>1.0000000006331899</v>
      </c>
    </row>
    <row r="2775" spans="1:40" x14ac:dyDescent="0.25">
      <c r="A2775" t="str">
        <f>"20190312164320527"</f>
        <v>20190312164320527</v>
      </c>
      <c r="B2775" t="str">
        <f>"1552380200517224"</f>
        <v>1552380200517224</v>
      </c>
      <c r="C2775" t="s">
        <v>40</v>
      </c>
      <c r="D2775">
        <v>4.8079010000000002</v>
      </c>
      <c r="E2775">
        <v>0.4553103</v>
      </c>
      <c r="F2775" t="s">
        <v>46</v>
      </c>
      <c r="G2775">
        <v>-269.91309999999999</v>
      </c>
      <c r="H2775" s="1">
        <v>3.6973499999999998E-6</v>
      </c>
      <c r="I2775">
        <v>215.5564</v>
      </c>
      <c r="J2775">
        <v>-290.76639999999998</v>
      </c>
      <c r="K2775">
        <v>1.1100019999999999</v>
      </c>
      <c r="L2775">
        <v>213.85489999999999</v>
      </c>
      <c r="M2775">
        <v>0.99988330000000003</v>
      </c>
      <c r="N2775">
        <v>0</v>
      </c>
      <c r="O2775">
        <v>4.7376019999999996E-3</v>
      </c>
      <c r="P2775">
        <v>0.99108470000000004</v>
      </c>
      <c r="Q2775">
        <v>0.12559960000000001</v>
      </c>
      <c r="R2775">
        <v>-4.4448889999999998E-2</v>
      </c>
      <c r="S2775">
        <v>3.0580750000000001</v>
      </c>
      <c r="T2775">
        <v>-0.15947259999999999</v>
      </c>
      <c r="U2775">
        <v>0.2447357</v>
      </c>
      <c r="V2775">
        <v>4.914984E-2</v>
      </c>
      <c r="W2775">
        <v>0.1399791</v>
      </c>
      <c r="X2775">
        <v>0.98893390000000003</v>
      </c>
      <c r="Y2775">
        <v>-7.4955599999999997E-2</v>
      </c>
      <c r="Z2775">
        <v>1.703446E-3</v>
      </c>
      <c r="AA2775">
        <v>0.9971854</v>
      </c>
      <c r="AB2775">
        <v>44</v>
      </c>
      <c r="AC2775">
        <v>20.853299999999901</v>
      </c>
      <c r="AD2775">
        <v>-1.10999830265</v>
      </c>
      <c r="AE2775">
        <v>1.70150000000001</v>
      </c>
      <c r="AF2775">
        <v>-1.598177647819</v>
      </c>
      <c r="AG2775">
        <v>-1.10999830265</v>
      </c>
      <c r="AH2775">
        <v>20.802577327584899</v>
      </c>
      <c r="AI2775">
        <v>93.045374244344998</v>
      </c>
      <c r="AJ2775">
        <v>94.393172763621806</v>
      </c>
      <c r="AK2775">
        <v>20.8933839168294</v>
      </c>
      <c r="AL2775">
        <v>81.953363604172097</v>
      </c>
      <c r="AM2775">
        <v>87.154751003260699</v>
      </c>
      <c r="AN2775">
        <v>1.0000000568890199</v>
      </c>
    </row>
    <row r="2776" spans="1:40" x14ac:dyDescent="0.25">
      <c r="A2776" t="str">
        <f>"20190312164320551"</f>
        <v>20190312164320551</v>
      </c>
      <c r="B2776" t="str">
        <f>"1552380200547481"</f>
        <v>1552380200547481</v>
      </c>
      <c r="C2776" t="s">
        <v>40</v>
      </c>
      <c r="D2776">
        <v>4.8883199999999896</v>
      </c>
      <c r="E2776">
        <v>0.4571366</v>
      </c>
      <c r="F2776" t="s">
        <v>46</v>
      </c>
      <c r="G2776">
        <v>-269.1345</v>
      </c>
      <c r="H2776" s="1">
        <v>3.281113E-6</v>
      </c>
      <c r="I2776">
        <v>215.60079999999999</v>
      </c>
      <c r="J2776">
        <v>-290.31720000000001</v>
      </c>
      <c r="K2776">
        <v>1.1100000000000001</v>
      </c>
      <c r="L2776">
        <v>213.8571</v>
      </c>
      <c r="M2776">
        <v>0.99988339999999998</v>
      </c>
      <c r="N2776">
        <v>0</v>
      </c>
      <c r="O2776">
        <v>4.7276519999999997E-3</v>
      </c>
      <c r="P2776">
        <v>0.99112769999999994</v>
      </c>
      <c r="Q2776">
        <v>0.1254941</v>
      </c>
      <c r="R2776">
        <v>-4.378692E-2</v>
      </c>
      <c r="S2776">
        <v>3.0579830000000001</v>
      </c>
      <c r="T2776">
        <v>-0.15691479999999999</v>
      </c>
      <c r="U2776">
        <v>0.24679570000000001</v>
      </c>
      <c r="V2776">
        <v>4.8479479999999998E-2</v>
      </c>
      <c r="W2776">
        <v>0.13987140000000001</v>
      </c>
      <c r="X2776">
        <v>0.98898209999999998</v>
      </c>
      <c r="Y2776">
        <v>-7.5637419999999997E-2</v>
      </c>
      <c r="Z2776">
        <v>1.6941279999999901E-3</v>
      </c>
      <c r="AA2776">
        <v>0.99713399999999996</v>
      </c>
      <c r="AB2776">
        <v>44</v>
      </c>
      <c r="AC2776">
        <v>21.182700000000001</v>
      </c>
      <c r="AD2776">
        <v>-1.1099967188869999</v>
      </c>
      <c r="AE2776">
        <v>1.74369999999998</v>
      </c>
      <c r="AF2776">
        <v>-1.63905516767028</v>
      </c>
      <c r="AG2776">
        <v>-1.1099967188869999</v>
      </c>
      <c r="AH2776">
        <v>21.1330694972524</v>
      </c>
      <c r="AI2776">
        <v>92.997663796798903</v>
      </c>
      <c r="AJ2776">
        <v>94.434912654919103</v>
      </c>
      <c r="AK2776">
        <v>21.225579401615999</v>
      </c>
      <c r="AL2776">
        <v>81.959594653590401</v>
      </c>
      <c r="AM2776">
        <v>87.193631754045597</v>
      </c>
      <c r="AN2776">
        <v>0.99999993131971698</v>
      </c>
    </row>
    <row r="2777" spans="1:40" x14ac:dyDescent="0.25">
      <c r="A2777" t="str">
        <f>"20190312164320573"</f>
        <v>20190312164320573</v>
      </c>
      <c r="B2777" t="str">
        <f>"1552380200567000"</f>
        <v>1552380200567000</v>
      </c>
      <c r="C2777" t="s">
        <v>40</v>
      </c>
      <c r="D2777">
        <v>5.0229499999999998</v>
      </c>
      <c r="E2777">
        <v>0.50730699999999995</v>
      </c>
      <c r="F2777" t="s">
        <v>46</v>
      </c>
      <c r="G2777">
        <v>-269.69720000000001</v>
      </c>
      <c r="H2777" s="1">
        <v>3.5877899999999999E-6</v>
      </c>
      <c r="I2777">
        <v>215.435</v>
      </c>
      <c r="J2777">
        <v>-289.87360000000001</v>
      </c>
      <c r="K2777">
        <v>1.1099840000000001</v>
      </c>
      <c r="L2777">
        <v>213.85919999999999</v>
      </c>
      <c r="M2777">
        <v>0.99988359999999998</v>
      </c>
      <c r="N2777">
        <v>0</v>
      </c>
      <c r="O2777">
        <v>4.7010860000000002E-3</v>
      </c>
      <c r="P2777">
        <v>0.99121329999999996</v>
      </c>
      <c r="Q2777">
        <v>0.1250317</v>
      </c>
      <c r="R2777">
        <v>-4.316652E-2</v>
      </c>
      <c r="S2777">
        <v>3.0580440000000002</v>
      </c>
      <c r="T2777">
        <v>-0.16461770000000001</v>
      </c>
      <c r="U2777">
        <v>0.23400879999999999</v>
      </c>
      <c r="V2777">
        <v>4.783681E-2</v>
      </c>
      <c r="W2777">
        <v>0.13940629999999901</v>
      </c>
      <c r="X2777">
        <v>0.98907909999999999</v>
      </c>
      <c r="Y2777">
        <v>-7.151441E-2</v>
      </c>
      <c r="Z2777">
        <v>1.6681249999999999E-3</v>
      </c>
      <c r="AA2777">
        <v>0.99743820000000005</v>
      </c>
      <c r="AB2777">
        <v>44</v>
      </c>
      <c r="AC2777">
        <v>20.176400000000001</v>
      </c>
      <c r="AD2777">
        <v>-1.1099804122100001</v>
      </c>
      <c r="AE2777">
        <v>1.5758000000000101</v>
      </c>
      <c r="AF2777">
        <v>-1.4764800969601199</v>
      </c>
      <c r="AG2777">
        <v>-1.1099804122100001</v>
      </c>
      <c r="AH2777">
        <v>20.123052212963501</v>
      </c>
      <c r="AI2777">
        <v>93.148768133496105</v>
      </c>
      <c r="AJ2777">
        <v>94.196418965161499</v>
      </c>
      <c r="AK2777">
        <v>20.207654004308999</v>
      </c>
      <c r="AL2777">
        <v>81.986506916289699</v>
      </c>
      <c r="AM2777">
        <v>87.231047337559701</v>
      </c>
      <c r="AN2777">
        <v>0.99999997146373698</v>
      </c>
    </row>
    <row r="2778" spans="1:40" x14ac:dyDescent="0.25">
      <c r="A2778" t="str">
        <f>"20190312164320596"</f>
        <v>20190312164320596</v>
      </c>
      <c r="B2778" t="str">
        <f>"1552380200587496"</f>
        <v>1552380200587496</v>
      </c>
      <c r="C2778" t="s">
        <v>40</v>
      </c>
      <c r="D2778">
        <v>4.9028859999999996</v>
      </c>
      <c r="E2778">
        <v>0.51007469999999999</v>
      </c>
      <c r="F2778" t="s">
        <v>41</v>
      </c>
      <c r="G2778">
        <v>-288.99270000000001</v>
      </c>
      <c r="H2778">
        <v>1.0472999999999999</v>
      </c>
      <c r="I2778">
        <v>213.81200000000001</v>
      </c>
      <c r="J2778">
        <v>-289.42939999999999</v>
      </c>
      <c r="K2778">
        <v>1.1099680000000001</v>
      </c>
      <c r="L2778">
        <v>213.8612</v>
      </c>
      <c r="M2778">
        <v>0.99988379999999999</v>
      </c>
      <c r="N2778">
        <v>0</v>
      </c>
      <c r="O2778">
        <v>4.6483280000000002E-3</v>
      </c>
      <c r="P2778">
        <v>0.99121859999999995</v>
      </c>
      <c r="Q2778">
        <v>0.125081</v>
      </c>
      <c r="R2778">
        <v>-4.2899529999999998E-2</v>
      </c>
      <c r="S2778">
        <v>3.046875</v>
      </c>
      <c r="T2778">
        <v>-0.2168881</v>
      </c>
      <c r="U2778">
        <v>-0.1622314</v>
      </c>
      <c r="V2778">
        <v>4.7523860000000001E-2</v>
      </c>
      <c r="W2778">
        <v>0.13945070000000001</v>
      </c>
      <c r="X2778">
        <v>0.98908790000000002</v>
      </c>
      <c r="Y2778">
        <v>5.7654339999999998E-2</v>
      </c>
      <c r="Z2778">
        <v>-2.3782669999999999E-3</v>
      </c>
      <c r="AA2778">
        <v>0.99833380000000005</v>
      </c>
      <c r="AB2778">
        <v>44</v>
      </c>
      <c r="AC2778">
        <v>0.436699999999973</v>
      </c>
      <c r="AD2778">
        <v>-6.2668000000000099E-2</v>
      </c>
      <c r="AE2778">
        <v>-4.9199999999984798E-2</v>
      </c>
      <c r="AF2778">
        <v>5.0208607354519097E-2</v>
      </c>
      <c r="AG2778">
        <v>-6.2668000000000099E-2</v>
      </c>
      <c r="AH2778">
        <v>0.427767834120727</v>
      </c>
      <c r="AI2778">
        <v>98.278510849792596</v>
      </c>
      <c r="AJ2778">
        <v>83.305623541533294</v>
      </c>
      <c r="AK2778">
        <v>0.43523959193163803</v>
      </c>
      <c r="AL2778">
        <v>81.983937671853994</v>
      </c>
      <c r="AM2778">
        <v>87.249158438868307</v>
      </c>
      <c r="AN2778">
        <v>0.99999994446309803</v>
      </c>
    </row>
    <row r="2779" spans="1:40" x14ac:dyDescent="0.25">
      <c r="A2779" t="str">
        <f>"20190312164320619"</f>
        <v>20190312164320619</v>
      </c>
      <c r="B2779" t="str">
        <f>"1552380200607017"</f>
        <v>1552380200607017</v>
      </c>
      <c r="C2779" t="s">
        <v>40</v>
      </c>
      <c r="D2779">
        <v>4.853059</v>
      </c>
      <c r="E2779">
        <v>0.5113837</v>
      </c>
      <c r="F2779" t="s">
        <v>41</v>
      </c>
      <c r="G2779">
        <v>-288.60300000000001</v>
      </c>
      <c r="H2779">
        <v>1.0447040000000001</v>
      </c>
      <c r="I2779">
        <v>213.8115</v>
      </c>
      <c r="J2779">
        <v>-288.98719999999997</v>
      </c>
      <c r="K2779">
        <v>1.109953</v>
      </c>
      <c r="L2779">
        <v>213.86320000000001</v>
      </c>
      <c r="M2779">
        <v>0.99988429999999995</v>
      </c>
      <c r="N2779">
        <v>0</v>
      </c>
      <c r="O2779">
        <v>4.5603789999999998E-3</v>
      </c>
      <c r="P2779">
        <v>0.99121559999999997</v>
      </c>
      <c r="Q2779">
        <v>0.1251024</v>
      </c>
      <c r="R2779">
        <v>-4.2910370000000003E-2</v>
      </c>
      <c r="S2779">
        <v>3.0491030000000001</v>
      </c>
      <c r="T2779">
        <v>-0.2409538</v>
      </c>
      <c r="U2779">
        <v>-0.18211359999999999</v>
      </c>
      <c r="V2779">
        <v>4.7456369999999998E-2</v>
      </c>
      <c r="W2779">
        <v>0.139465899999999</v>
      </c>
      <c r="X2779">
        <v>0.98908910000000005</v>
      </c>
      <c r="Y2779">
        <v>6.3959959999999996E-2</v>
      </c>
      <c r="Z2779">
        <v>-2.8805839999999998E-3</v>
      </c>
      <c r="AA2779">
        <v>0.99794830000000001</v>
      </c>
      <c r="AB2779">
        <v>44</v>
      </c>
      <c r="AC2779">
        <v>0.38419999999996401</v>
      </c>
      <c r="AD2779">
        <v>-6.5248999999999793E-2</v>
      </c>
      <c r="AE2779">
        <v>-5.1700000000010897E-2</v>
      </c>
      <c r="AF2779">
        <v>5.19791986389639E-2</v>
      </c>
      <c r="AG2779">
        <v>-6.5248999999999793E-2</v>
      </c>
      <c r="AH2779">
        <v>0.37338246153434002</v>
      </c>
      <c r="AI2779">
        <v>99.819583278088103</v>
      </c>
      <c r="AJ2779">
        <v>82.074693705760495</v>
      </c>
      <c r="AK2779">
        <v>0.38258820116881798</v>
      </c>
      <c r="AL2779">
        <v>81.983059001120395</v>
      </c>
      <c r="AM2779">
        <v>87.253062327898206</v>
      </c>
      <c r="AN2779">
        <v>1.00000004602759</v>
      </c>
    </row>
    <row r="2780" spans="1:40" x14ac:dyDescent="0.25">
      <c r="A2780" t="str">
        <f>"20190312164320641"</f>
        <v>20190312164320641</v>
      </c>
      <c r="B2780" t="str">
        <f>"1552380200637272"</f>
        <v>1552380200637272</v>
      </c>
      <c r="C2780" t="s">
        <v>40</v>
      </c>
      <c r="D2780">
        <v>5.4526649999999997</v>
      </c>
      <c r="E2780">
        <v>0.51257749999999902</v>
      </c>
      <c r="F2780" t="s">
        <v>41</v>
      </c>
      <c r="G2780">
        <v>-288.2081</v>
      </c>
      <c r="H2780">
        <v>1.048149</v>
      </c>
      <c r="I2780">
        <v>213.81399999999999</v>
      </c>
      <c r="J2780">
        <v>-288.5643</v>
      </c>
      <c r="K2780">
        <v>1.1099250000000001</v>
      </c>
      <c r="L2780">
        <v>213.86500000000001</v>
      </c>
      <c r="M2780">
        <v>0.99988480000000002</v>
      </c>
      <c r="N2780">
        <v>0</v>
      </c>
      <c r="O2780">
        <v>4.4365569999999998E-3</v>
      </c>
      <c r="P2780">
        <v>0.99122880000000002</v>
      </c>
      <c r="Q2780">
        <v>0.12498289999999999</v>
      </c>
      <c r="R2780">
        <v>-4.2948699999999999E-2</v>
      </c>
      <c r="S2780">
        <v>3.0487980000000001</v>
      </c>
      <c r="T2780">
        <v>-0.24194309999999999</v>
      </c>
      <c r="U2780">
        <v>-0.19215389999999999</v>
      </c>
      <c r="V2780">
        <v>4.7383260000000003E-2</v>
      </c>
      <c r="W2780">
        <v>0.1393402</v>
      </c>
      <c r="X2780">
        <v>0.9891103</v>
      </c>
      <c r="Y2780">
        <v>6.7104910000000004E-2</v>
      </c>
      <c r="Z2780">
        <v>-3.0070370000000002E-3</v>
      </c>
      <c r="AA2780">
        <v>0.9977414</v>
      </c>
      <c r="AB2780">
        <v>44</v>
      </c>
      <c r="AC2780">
        <v>0.35620000000000102</v>
      </c>
      <c r="AD2780">
        <v>-6.1775999999999998E-2</v>
      </c>
      <c r="AE2780">
        <v>-5.0999999999987701E-2</v>
      </c>
      <c r="AF2780">
        <v>5.1074594609844703E-2</v>
      </c>
      <c r="AG2780">
        <v>-6.1775999999999998E-2</v>
      </c>
      <c r="AH2780">
        <v>0.34577873071802101</v>
      </c>
      <c r="AI2780">
        <v>100.022946834338</v>
      </c>
      <c r="AJ2780">
        <v>81.597659328132096</v>
      </c>
      <c r="AK2780">
        <v>0.35494762854190998</v>
      </c>
      <c r="AL2780">
        <v>81.9903319281823</v>
      </c>
      <c r="AM2780">
        <v>87.257346414863804</v>
      </c>
      <c r="AN2780">
        <v>1.0000000251151699</v>
      </c>
    </row>
    <row r="2781" spans="1:40" x14ac:dyDescent="0.25">
      <c r="A2781" t="str">
        <f>"20190312164320663"</f>
        <v>20190312164320663</v>
      </c>
      <c r="B2781" t="str">
        <f>"1552380200657769"</f>
        <v>1552380200657769</v>
      </c>
      <c r="C2781" t="s">
        <v>40</v>
      </c>
      <c r="D2781">
        <v>4.8501849999999997</v>
      </c>
      <c r="E2781">
        <v>0.5132951</v>
      </c>
      <c r="F2781" t="s">
        <v>46</v>
      </c>
      <c r="G2781">
        <v>-273.8562</v>
      </c>
      <c r="H2781" s="1">
        <v>5.9077090000000002E-7</v>
      </c>
      <c r="I2781">
        <v>212.89</v>
      </c>
      <c r="J2781">
        <v>-288.11720000000003</v>
      </c>
      <c r="K2781">
        <v>1.10988</v>
      </c>
      <c r="L2781">
        <v>213.86689999999999</v>
      </c>
      <c r="M2781">
        <v>0.99988580000000005</v>
      </c>
      <c r="N2781">
        <v>0</v>
      </c>
      <c r="O2781">
        <v>4.2551940000000003E-3</v>
      </c>
      <c r="P2781">
        <v>0.99118569999999995</v>
      </c>
      <c r="Q2781">
        <v>0.12519430000000001</v>
      </c>
      <c r="R2781">
        <v>-4.3329689999999997E-2</v>
      </c>
      <c r="S2781">
        <v>3.046783</v>
      </c>
      <c r="T2781">
        <v>-0.22992209999999999</v>
      </c>
      <c r="U2781">
        <v>-0.20198060000000001</v>
      </c>
      <c r="V2781">
        <v>4.7598120000000001E-2</v>
      </c>
      <c r="W2781">
        <v>0.13954330000000001</v>
      </c>
      <c r="X2781">
        <v>0.98907129999999999</v>
      </c>
      <c r="Y2781">
        <v>7.0182850000000005E-2</v>
      </c>
      <c r="Z2781">
        <v>-2.9618399999999999E-3</v>
      </c>
      <c r="AA2781">
        <v>0.99752969999999996</v>
      </c>
      <c r="AB2781">
        <v>44</v>
      </c>
      <c r="AC2781">
        <v>14.260999999999999</v>
      </c>
      <c r="AD2781">
        <v>-1.1098794092291</v>
      </c>
      <c r="AE2781">
        <v>-0.97689999999999999</v>
      </c>
      <c r="AF2781">
        <v>1.0313631519953099</v>
      </c>
      <c r="AG2781">
        <v>-1.1098794092291</v>
      </c>
      <c r="AH2781">
        <v>14.1712801499389</v>
      </c>
      <c r="AI2781">
        <v>94.466437430559793</v>
      </c>
      <c r="AJ2781">
        <v>85.837443524666</v>
      </c>
      <c r="AK2781">
        <v>14.252042777874999</v>
      </c>
      <c r="AL2781">
        <v>81.978579941623195</v>
      </c>
      <c r="AM2781">
        <v>87.244820467766701</v>
      </c>
      <c r="AN2781">
        <v>0.99999997504305604</v>
      </c>
    </row>
    <row r="2782" spans="1:40" x14ac:dyDescent="0.25">
      <c r="A2782" t="str">
        <f>"20190312164320686"</f>
        <v>20190312164320686</v>
      </c>
      <c r="B2782" t="str">
        <f>"1552380200677288"</f>
        <v>1552380200677288</v>
      </c>
      <c r="C2782" t="s">
        <v>40</v>
      </c>
      <c r="D2782">
        <v>5.0240960000000001</v>
      </c>
      <c r="E2782">
        <v>0.5138566</v>
      </c>
      <c r="F2782" t="s">
        <v>41</v>
      </c>
      <c r="G2782">
        <v>-287.04390000000001</v>
      </c>
      <c r="H2782">
        <v>1.0340400000000001</v>
      </c>
      <c r="I2782">
        <v>213.7927</v>
      </c>
      <c r="J2782">
        <v>-287.6721</v>
      </c>
      <c r="K2782">
        <v>1.1098410000000001</v>
      </c>
      <c r="L2782">
        <v>213.86850000000001</v>
      </c>
      <c r="M2782">
        <v>0.99988670000000002</v>
      </c>
      <c r="N2782">
        <v>0</v>
      </c>
      <c r="O2782">
        <v>4.0280170000000001E-3</v>
      </c>
      <c r="P2782">
        <v>0.99112979999999995</v>
      </c>
      <c r="Q2782">
        <v>0.1252954</v>
      </c>
      <c r="R2782">
        <v>-4.4306930000000001E-2</v>
      </c>
      <c r="S2782">
        <v>3.044708</v>
      </c>
      <c r="T2782">
        <v>-0.2152356</v>
      </c>
      <c r="U2782">
        <v>-0.20956420000000001</v>
      </c>
      <c r="V2782">
        <v>4.8364259999999999E-2</v>
      </c>
      <c r="W2782">
        <v>0.13963629999999999</v>
      </c>
      <c r="X2782">
        <v>0.98902100000000004</v>
      </c>
      <c r="Y2782">
        <v>7.2494829999999996E-2</v>
      </c>
      <c r="Z2782">
        <v>-2.840282E-3</v>
      </c>
      <c r="AA2782">
        <v>0.99736480000000005</v>
      </c>
      <c r="AB2782">
        <v>44</v>
      </c>
      <c r="AC2782">
        <v>0.62819999999999199</v>
      </c>
      <c r="AD2782">
        <v>-7.5800999999999993E-2</v>
      </c>
      <c r="AE2782">
        <v>-7.5800000000015105E-2</v>
      </c>
      <c r="AF2782">
        <v>7.7221854926439903E-2</v>
      </c>
      <c r="AG2782">
        <v>-7.5800999999999993E-2</v>
      </c>
      <c r="AH2782">
        <v>0.61900630244287103</v>
      </c>
      <c r="AI2782">
        <v>96.928274573160493</v>
      </c>
      <c r="AJ2782">
        <v>82.889013043237199</v>
      </c>
      <c r="AK2782">
        <v>0.62839303699458304</v>
      </c>
      <c r="AL2782">
        <v>81.973198693537299</v>
      </c>
      <c r="AM2782">
        <v>87.200400899024302</v>
      </c>
      <c r="AN2782">
        <v>0.99999996818201797</v>
      </c>
    </row>
    <row r="2783" spans="1:40" x14ac:dyDescent="0.25">
      <c r="A2783" t="str">
        <f>"20190312164320707"</f>
        <v>20190312164320707</v>
      </c>
      <c r="B2783" t="str">
        <f>"1552380200697785"</f>
        <v>1552380200697785</v>
      </c>
      <c r="C2783" t="s">
        <v>40</v>
      </c>
      <c r="D2783">
        <v>4.7935509999999999</v>
      </c>
      <c r="E2783">
        <v>0.51374160000000002</v>
      </c>
      <c r="F2783" t="s">
        <v>41</v>
      </c>
      <c r="G2783">
        <v>-286.6497</v>
      </c>
      <c r="H2783">
        <v>1.0411820000000001</v>
      </c>
      <c r="I2783">
        <v>213.7953</v>
      </c>
      <c r="J2783">
        <v>-287.25909999999999</v>
      </c>
      <c r="K2783">
        <v>1.109804</v>
      </c>
      <c r="L2783">
        <v>213.87</v>
      </c>
      <c r="M2783">
        <v>0.99988770000000005</v>
      </c>
      <c r="N2783">
        <v>0</v>
      </c>
      <c r="O2783">
        <v>3.781853E-3</v>
      </c>
      <c r="P2783">
        <v>0.99111249999999995</v>
      </c>
      <c r="Q2783">
        <v>0.12534699999999999</v>
      </c>
      <c r="R2783">
        <v>-4.454781E-2</v>
      </c>
      <c r="S2783">
        <v>3.0429379999999999</v>
      </c>
      <c r="T2783">
        <v>-0.2044059</v>
      </c>
      <c r="U2783">
        <v>-0.2172241</v>
      </c>
      <c r="V2783">
        <v>4.8374010000000002E-2</v>
      </c>
      <c r="W2783">
        <v>0.13968069999999999</v>
      </c>
      <c r="X2783">
        <v>0.98901430000000001</v>
      </c>
      <c r="Y2783">
        <v>7.4801049999999994E-2</v>
      </c>
      <c r="Z2783">
        <v>-2.7598010000000001E-3</v>
      </c>
      <c r="AA2783">
        <v>0.99719460000000004</v>
      </c>
      <c r="AB2783">
        <v>44</v>
      </c>
      <c r="AC2783">
        <v>0.60939999999999295</v>
      </c>
      <c r="AD2783">
        <v>-6.8621999999999905E-2</v>
      </c>
      <c r="AE2783">
        <v>-7.4700000000007094E-2</v>
      </c>
      <c r="AF2783">
        <v>7.6054271293769404E-2</v>
      </c>
      <c r="AG2783">
        <v>-6.8621999999999905E-2</v>
      </c>
      <c r="AH2783">
        <v>0.60159772660038102</v>
      </c>
      <c r="AI2783">
        <v>96.456439235653804</v>
      </c>
      <c r="AJ2783">
        <v>82.794862511488404</v>
      </c>
      <c r="AK2783">
        <v>0.61025654909781502</v>
      </c>
      <c r="AL2783">
        <v>81.970629954798596</v>
      </c>
      <c r="AM2783">
        <v>87.199818472309204</v>
      </c>
      <c r="AN2783">
        <v>1.0000000142002201</v>
      </c>
    </row>
    <row r="2784" spans="1:40" x14ac:dyDescent="0.25">
      <c r="A2784" t="str">
        <f>"20190312164320729"</f>
        <v>20190312164320729</v>
      </c>
      <c r="B2784" t="str">
        <f>"1552380200717304"</f>
        <v>1552380200717304</v>
      </c>
      <c r="C2784" t="s">
        <v>40</v>
      </c>
      <c r="D2784">
        <v>4.7554790000000002</v>
      </c>
      <c r="E2784">
        <v>0.51371709999999904</v>
      </c>
      <c r="F2784" t="s">
        <v>41</v>
      </c>
      <c r="G2784">
        <v>-286.2593</v>
      </c>
      <c r="H2784">
        <v>1.04138</v>
      </c>
      <c r="I2784">
        <v>213.79839999999999</v>
      </c>
      <c r="J2784">
        <v>-286.83229999999998</v>
      </c>
      <c r="K2784">
        <v>1.109774</v>
      </c>
      <c r="L2784">
        <v>213.87139999999999</v>
      </c>
      <c r="M2784">
        <v>0.99988889999999997</v>
      </c>
      <c r="N2784">
        <v>0</v>
      </c>
      <c r="O2784">
        <v>3.4936329999999999E-3</v>
      </c>
      <c r="P2784">
        <v>0.99108620000000003</v>
      </c>
      <c r="Q2784">
        <v>0.12543969999999999</v>
      </c>
      <c r="R2784">
        <v>-4.4868909999999998E-2</v>
      </c>
      <c r="S2784">
        <v>3.0434570000000001</v>
      </c>
      <c r="T2784">
        <v>-0.20840500000000001</v>
      </c>
      <c r="U2784">
        <v>-0.21711730000000001</v>
      </c>
      <c r="V2784">
        <v>4.842175E-2</v>
      </c>
      <c r="W2784">
        <v>0.13976620000000001</v>
      </c>
      <c r="X2784">
        <v>0.98899990000000004</v>
      </c>
      <c r="Y2784">
        <v>7.4461269999999996E-2</v>
      </c>
      <c r="Z2784">
        <v>-2.7818999999999999E-3</v>
      </c>
      <c r="AA2784">
        <v>0.99722</v>
      </c>
      <c r="AB2784">
        <v>44</v>
      </c>
      <c r="AC2784">
        <v>0.57299999999997897</v>
      </c>
      <c r="AD2784">
        <v>-6.8393999999999996E-2</v>
      </c>
      <c r="AE2784">
        <v>-7.3000000000007503E-2</v>
      </c>
      <c r="AF2784">
        <v>7.3964664081798595E-2</v>
      </c>
      <c r="AG2784">
        <v>-6.8393999999999996E-2</v>
      </c>
      <c r="AH2784">
        <v>0.56482287077243798</v>
      </c>
      <c r="AI2784">
        <v>96.846400104189698</v>
      </c>
      <c r="AJ2784">
        <v>82.5394573764342</v>
      </c>
      <c r="AK2784">
        <v>0.57373633850084105</v>
      </c>
      <c r="AL2784">
        <v>81.965682757982805</v>
      </c>
      <c r="AM2784">
        <v>87.197018649743498</v>
      </c>
      <c r="AN2784">
        <v>1.00000002936775</v>
      </c>
    </row>
    <row r="2785" spans="1:40" x14ac:dyDescent="0.25">
      <c r="A2785" t="str">
        <f>"20190312164320752"</f>
        <v>20190312164320752</v>
      </c>
      <c r="B2785" t="str">
        <f>"1552380200747561"</f>
        <v>1552380200747561</v>
      </c>
      <c r="C2785" t="s">
        <v>40</v>
      </c>
      <c r="D2785">
        <v>4.6654400000000003</v>
      </c>
      <c r="E2785">
        <v>0.51364589999999999</v>
      </c>
      <c r="F2785" t="s">
        <v>41</v>
      </c>
      <c r="G2785">
        <v>-285.86860000000001</v>
      </c>
      <c r="H2785">
        <v>1.0425850000000001</v>
      </c>
      <c r="I2785">
        <v>213.8023</v>
      </c>
      <c r="J2785">
        <v>-286.38940000000002</v>
      </c>
      <c r="K2785">
        <v>1.109745</v>
      </c>
      <c r="L2785">
        <v>213.87270000000001</v>
      </c>
      <c r="M2785">
        <v>0.9998899</v>
      </c>
      <c r="N2785">
        <v>0</v>
      </c>
      <c r="O2785">
        <v>3.1623340000000002E-3</v>
      </c>
      <c r="P2785">
        <v>0.9911006</v>
      </c>
      <c r="Q2785">
        <v>0.1252955</v>
      </c>
      <c r="R2785">
        <v>-4.4951640000000001E-2</v>
      </c>
      <c r="S2785">
        <v>3.0439759999999998</v>
      </c>
      <c r="T2785">
        <v>-0.21225730000000001</v>
      </c>
      <c r="U2785">
        <v>-0.2179565</v>
      </c>
      <c r="V2785">
        <v>4.8188109999999999E-2</v>
      </c>
      <c r="W2785">
        <v>0.1396155</v>
      </c>
      <c r="X2785">
        <v>0.98903260000000004</v>
      </c>
      <c r="Y2785">
        <v>7.4386629999999995E-2</v>
      </c>
      <c r="Z2785">
        <v>-2.807047E-3</v>
      </c>
      <c r="AA2785">
        <v>0.99722549999999999</v>
      </c>
      <c r="AB2785">
        <v>44</v>
      </c>
      <c r="AC2785">
        <v>0.52080000000000803</v>
      </c>
      <c r="AD2785">
        <v>-6.7159999999999803E-2</v>
      </c>
      <c r="AE2785">
        <v>-7.0400000000006402E-2</v>
      </c>
      <c r="AF2785">
        <v>7.0889068441600894E-2</v>
      </c>
      <c r="AG2785">
        <v>-6.7159999999999803E-2</v>
      </c>
      <c r="AH2785">
        <v>0.51220979666144495</v>
      </c>
      <c r="AI2785">
        <v>97.400160725072595</v>
      </c>
      <c r="AJ2785">
        <v>82.120404510667299</v>
      </c>
      <c r="AK2785">
        <v>0.52143513635012895</v>
      </c>
      <c r="AL2785">
        <v>81.974402757503896</v>
      </c>
      <c r="AM2785">
        <v>87.210613996127506</v>
      </c>
      <c r="AN2785">
        <v>1.00000003282419</v>
      </c>
    </row>
    <row r="2786" spans="1:40" x14ac:dyDescent="0.25">
      <c r="A2786" t="str">
        <f>"20190312164320774"</f>
        <v>20190312164320774</v>
      </c>
      <c r="B2786" t="str">
        <f>"1552380200767080"</f>
        <v>1552380200767080</v>
      </c>
      <c r="C2786" t="s">
        <v>40</v>
      </c>
      <c r="D2786">
        <v>4.6816339999999999</v>
      </c>
      <c r="E2786">
        <v>0.51350680000000004</v>
      </c>
      <c r="F2786" t="s">
        <v>41</v>
      </c>
      <c r="G2786">
        <v>-285.4769</v>
      </c>
      <c r="H2786">
        <v>1.045023</v>
      </c>
      <c r="I2786">
        <v>213.80719999999999</v>
      </c>
      <c r="J2786">
        <v>-285.94349999999997</v>
      </c>
      <c r="K2786">
        <v>1.1097159999999999</v>
      </c>
      <c r="L2786">
        <v>213.87379999999999</v>
      </c>
      <c r="M2786">
        <v>0.99989099999999997</v>
      </c>
      <c r="N2786">
        <v>0</v>
      </c>
      <c r="O2786">
        <v>2.8018660000000001E-3</v>
      </c>
      <c r="P2786">
        <v>0.99111039999999995</v>
      </c>
      <c r="Q2786">
        <v>0.12523199999999901</v>
      </c>
      <c r="R2786">
        <v>-4.491585E-2</v>
      </c>
      <c r="S2786">
        <v>3.0443730000000002</v>
      </c>
      <c r="T2786">
        <v>-0.216006</v>
      </c>
      <c r="U2786">
        <v>-0.2176208</v>
      </c>
      <c r="V2786">
        <v>4.7806199999999903E-2</v>
      </c>
      <c r="W2786">
        <v>0.13954659999999999</v>
      </c>
      <c r="X2786">
        <v>0.98906079999999996</v>
      </c>
      <c r="Y2786">
        <v>7.3903919999999998E-2</v>
      </c>
      <c r="Z2786">
        <v>-2.8135439999999999E-3</v>
      </c>
      <c r="AA2786">
        <v>0.99726139999999996</v>
      </c>
      <c r="AB2786">
        <v>44</v>
      </c>
      <c r="AC2786">
        <v>0.46659999999997098</v>
      </c>
      <c r="AD2786">
        <v>-6.4692999999999806E-2</v>
      </c>
      <c r="AE2786">
        <v>-6.6599999999993997E-2</v>
      </c>
      <c r="AF2786">
        <v>6.6651554162623999E-2</v>
      </c>
      <c r="AG2786">
        <v>-6.4692999999999806E-2</v>
      </c>
      <c r="AH2786">
        <v>0.45778712907879798</v>
      </c>
      <c r="AI2786">
        <v>97.960751831202003</v>
      </c>
      <c r="AJ2786">
        <v>81.716222063039993</v>
      </c>
      <c r="AK2786">
        <v>0.46711526358223598</v>
      </c>
      <c r="AL2786">
        <v>81.9783890067458</v>
      </c>
      <c r="AM2786">
        <v>87.232765270751997</v>
      </c>
      <c r="AN2786">
        <v>0.99999997621331904</v>
      </c>
    </row>
    <row r="2787" spans="1:40" x14ac:dyDescent="0.25">
      <c r="A2787" t="str">
        <f>"20190312164320797"</f>
        <v>20190312164320797</v>
      </c>
      <c r="B2787" t="str">
        <f>"1552380200787576"</f>
        <v>1552380200787576</v>
      </c>
      <c r="C2787" t="s">
        <v>40</v>
      </c>
      <c r="D2787">
        <v>4.6735309999999997</v>
      </c>
      <c r="E2787">
        <v>0.51347240000000005</v>
      </c>
      <c r="F2787" t="s">
        <v>41</v>
      </c>
      <c r="G2787">
        <v>-285.08449999999999</v>
      </c>
      <c r="H2787">
        <v>1.048079</v>
      </c>
      <c r="I2787">
        <v>213.8126</v>
      </c>
      <c r="J2787">
        <v>-285.50970000000001</v>
      </c>
      <c r="K2787">
        <v>1.109683</v>
      </c>
      <c r="L2787">
        <v>213.87469999999999</v>
      </c>
      <c r="M2787">
        <v>0.99989209999999995</v>
      </c>
      <c r="N2787">
        <v>0</v>
      </c>
      <c r="O2787">
        <v>2.4311480000000002E-3</v>
      </c>
      <c r="P2787">
        <v>0.9910641</v>
      </c>
      <c r="Q2787">
        <v>0.1256215</v>
      </c>
      <c r="R2787">
        <v>-4.4845099999999999E-2</v>
      </c>
      <c r="S2787">
        <v>3.044708</v>
      </c>
      <c r="T2787">
        <v>-0.21856690000000001</v>
      </c>
      <c r="U2787">
        <v>-0.2163696</v>
      </c>
      <c r="V2787">
        <v>4.737835E-2</v>
      </c>
      <c r="W2787">
        <v>0.13993</v>
      </c>
      <c r="X2787">
        <v>0.98902730000000005</v>
      </c>
      <c r="Y2787">
        <v>7.311703E-2</v>
      </c>
      <c r="Z2787">
        <v>-2.791824E-3</v>
      </c>
      <c r="AA2787">
        <v>0.99731950000000003</v>
      </c>
      <c r="AB2787">
        <v>44</v>
      </c>
      <c r="AC2787">
        <v>0.42520000000001701</v>
      </c>
      <c r="AD2787">
        <v>-6.1603999999999902E-2</v>
      </c>
      <c r="AE2787">
        <v>-6.2099999999986701E-2</v>
      </c>
      <c r="AF2787">
        <v>6.1862224395283001E-2</v>
      </c>
      <c r="AG2787">
        <v>-6.1603999999999902E-2</v>
      </c>
      <c r="AH2787">
        <v>0.41648787716073199</v>
      </c>
      <c r="AI2787">
        <v>98.323770133459902</v>
      </c>
      <c r="AJ2787">
        <v>81.551451251505696</v>
      </c>
      <c r="AK2787">
        <v>0.42553982122121697</v>
      </c>
      <c r="AL2787">
        <v>81.956204787166499</v>
      </c>
      <c r="AM2787">
        <v>87.257400392635105</v>
      </c>
      <c r="AN2787">
        <v>1.000000056547</v>
      </c>
    </row>
    <row r="2788" spans="1:40" x14ac:dyDescent="0.25">
      <c r="A2788" t="str">
        <f>"20190312164320819"</f>
        <v>20190312164320819</v>
      </c>
      <c r="B2788" t="str">
        <f>"1552380200807096"</f>
        <v>1552380200807096</v>
      </c>
      <c r="C2788" t="s">
        <v>40</v>
      </c>
      <c r="D2788">
        <v>4.6984909999999998</v>
      </c>
      <c r="E2788">
        <v>0.51358349999999997</v>
      </c>
      <c r="F2788" t="s">
        <v>41</v>
      </c>
      <c r="G2788">
        <v>-284.6927</v>
      </c>
      <c r="H2788">
        <v>1.0508820000000001</v>
      </c>
      <c r="I2788">
        <v>213.8167</v>
      </c>
      <c r="J2788">
        <v>-285.07089999999999</v>
      </c>
      <c r="K2788">
        <v>1.109658</v>
      </c>
      <c r="L2788">
        <v>213.87549999999999</v>
      </c>
      <c r="M2788">
        <v>0.99989300000000003</v>
      </c>
      <c r="N2788">
        <v>0</v>
      </c>
      <c r="O2788">
        <v>2.0405140000000002E-3</v>
      </c>
      <c r="P2788">
        <v>0.99104579999999998</v>
      </c>
      <c r="Q2788">
        <v>0.12582650000000001</v>
      </c>
      <c r="R2788">
        <v>-4.4678900000000001E-2</v>
      </c>
      <c r="S2788">
        <v>3.0450740000000001</v>
      </c>
      <c r="T2788">
        <v>-0.2193329</v>
      </c>
      <c r="U2788">
        <v>-0.2153168</v>
      </c>
      <c r="V2788">
        <v>4.6834199999999999E-2</v>
      </c>
      <c r="W2788">
        <v>0.1401297</v>
      </c>
      <c r="X2788">
        <v>0.98902489999999998</v>
      </c>
      <c r="Y2788">
        <v>7.2377399999999995E-2</v>
      </c>
      <c r="Z2788">
        <v>-2.746643E-3</v>
      </c>
      <c r="AA2788">
        <v>0.99737350000000002</v>
      </c>
      <c r="AB2788">
        <v>44</v>
      </c>
      <c r="AC2788">
        <v>0.37819999999999199</v>
      </c>
      <c r="AD2788">
        <v>-5.8776000000000099E-2</v>
      </c>
      <c r="AE2788">
        <v>-5.8799999999990797E-2</v>
      </c>
      <c r="AF2788">
        <v>5.81992159780821E-2</v>
      </c>
      <c r="AG2788">
        <v>-5.8776000000000099E-2</v>
      </c>
      <c r="AH2788">
        <v>0.36936869501429198</v>
      </c>
      <c r="AI2788">
        <v>98.933021096166698</v>
      </c>
      <c r="AJ2788">
        <v>81.045862163094696</v>
      </c>
      <c r="AK2788">
        <v>0.37851684212598002</v>
      </c>
      <c r="AL2788">
        <v>81.944648619096199</v>
      </c>
      <c r="AM2788">
        <v>87.288845868563399</v>
      </c>
      <c r="AN2788">
        <v>1.00000001396587</v>
      </c>
    </row>
    <row r="2789" spans="1:40" x14ac:dyDescent="0.25">
      <c r="A2789" t="str">
        <f>"20190312164320843"</f>
        <v>20190312164320843</v>
      </c>
      <c r="B2789" t="str">
        <f>"1552380200837355"</f>
        <v>1552380200837355</v>
      </c>
      <c r="C2789" t="s">
        <v>40</v>
      </c>
      <c r="D2789">
        <v>4.5629330000000001</v>
      </c>
      <c r="E2789">
        <v>0.51346559999999997</v>
      </c>
      <c r="F2789" t="s">
        <v>46</v>
      </c>
      <c r="G2789">
        <v>-269.65640000000002</v>
      </c>
      <c r="H2789" s="1">
        <v>3.6819639999999999E-6</v>
      </c>
      <c r="I2789">
        <v>212.7842</v>
      </c>
      <c r="J2789">
        <v>-284.62950000000001</v>
      </c>
      <c r="K2789">
        <v>1.1096360000000001</v>
      </c>
      <c r="L2789">
        <v>213.876</v>
      </c>
      <c r="M2789">
        <v>0.9998937</v>
      </c>
      <c r="N2789">
        <v>0</v>
      </c>
      <c r="O2789">
        <v>1.6355129999999999E-3</v>
      </c>
      <c r="P2789">
        <v>0.9910215</v>
      </c>
      <c r="Q2789">
        <v>0.1260366</v>
      </c>
      <c r="R2789">
        <v>-4.462228E-2</v>
      </c>
      <c r="S2789">
        <v>3.0452270000000001</v>
      </c>
      <c r="T2789">
        <v>-0.21921969999999999</v>
      </c>
      <c r="U2789">
        <v>-0.21559139999999999</v>
      </c>
      <c r="V2789">
        <v>4.6384519999999999E-2</v>
      </c>
      <c r="W2789">
        <v>0.1403355</v>
      </c>
      <c r="X2789">
        <v>0.98901689999999998</v>
      </c>
      <c r="Y2789">
        <v>7.2061479999999997E-2</v>
      </c>
      <c r="Z2789">
        <v>-2.7046549999999998E-3</v>
      </c>
      <c r="AA2789">
        <v>0.99739650000000002</v>
      </c>
      <c r="AB2789">
        <v>44</v>
      </c>
      <c r="AC2789">
        <v>14.973099999999899</v>
      </c>
      <c r="AD2789">
        <v>-1.1096323180359999</v>
      </c>
      <c r="AE2789">
        <v>-1.0917999999999699</v>
      </c>
      <c r="AF2789">
        <v>1.1102246450811899</v>
      </c>
      <c r="AG2789">
        <v>-1.1096323180359999</v>
      </c>
      <c r="AH2789">
        <v>14.8899502306349</v>
      </c>
      <c r="AI2789">
        <v>94.250176731751907</v>
      </c>
      <c r="AJ2789">
        <v>85.735801989933094</v>
      </c>
      <c r="AK2789">
        <v>14.972458065213001</v>
      </c>
      <c r="AL2789">
        <v>81.932739374428706</v>
      </c>
      <c r="AM2789">
        <v>87.314817126851395</v>
      </c>
      <c r="AN2789">
        <v>1.00000000237074</v>
      </c>
    </row>
    <row r="2790" spans="1:40" x14ac:dyDescent="0.25">
      <c r="A2790" t="str">
        <f>"20190312164320870"</f>
        <v>20190312164320870</v>
      </c>
      <c r="B2790" t="str">
        <f>"1552380200857848"</f>
        <v>1552380200857848</v>
      </c>
      <c r="C2790" t="s">
        <v>40</v>
      </c>
      <c r="D2790">
        <v>4.940544</v>
      </c>
      <c r="E2790">
        <v>0.51355949999999995</v>
      </c>
      <c r="F2790" t="s">
        <v>41</v>
      </c>
      <c r="G2790">
        <v>-283.5401</v>
      </c>
      <c r="H2790">
        <v>1.0308489999999999</v>
      </c>
      <c r="I2790">
        <v>213.79900000000001</v>
      </c>
      <c r="J2790">
        <v>-284.08999999999997</v>
      </c>
      <c r="K2790">
        <v>1.109613</v>
      </c>
      <c r="L2790">
        <v>213.87639999999999</v>
      </c>
      <c r="M2790">
        <v>0.99989439999999996</v>
      </c>
      <c r="N2790">
        <v>0</v>
      </c>
      <c r="O2790">
        <v>1.1273450000000001E-3</v>
      </c>
      <c r="P2790">
        <v>0.99107500000000004</v>
      </c>
      <c r="Q2790">
        <v>0.12551969999999901</v>
      </c>
      <c r="R2790">
        <v>-4.4889900000000003E-2</v>
      </c>
      <c r="S2790">
        <v>3.0455320000000001</v>
      </c>
      <c r="T2790">
        <v>-0.2203029</v>
      </c>
      <c r="U2790">
        <v>-0.21490480000000001</v>
      </c>
      <c r="V2790">
        <v>4.6155880000000003E-2</v>
      </c>
      <c r="W2790">
        <v>0.13981379999999999</v>
      </c>
      <c r="X2790">
        <v>0.98910149999999997</v>
      </c>
      <c r="Y2790">
        <v>7.1325159999999999E-2</v>
      </c>
      <c r="Z2790">
        <v>-2.6545010000000001E-3</v>
      </c>
      <c r="AA2790">
        <v>0.99744960000000005</v>
      </c>
      <c r="AB2790">
        <v>43</v>
      </c>
      <c r="AC2790">
        <v>0.54989999999997896</v>
      </c>
      <c r="AD2790">
        <v>-7.8764000000000001E-2</v>
      </c>
      <c r="AE2790">
        <v>-7.7399999999982996E-2</v>
      </c>
      <c r="AF2790">
        <v>7.6481349790790604E-2</v>
      </c>
      <c r="AG2790">
        <v>-7.8764000000000001E-2</v>
      </c>
      <c r="AH2790">
        <v>0.53896980388975402</v>
      </c>
      <c r="AI2790">
        <v>98.232909874967504</v>
      </c>
      <c r="AJ2790">
        <v>81.923488354632795</v>
      </c>
      <c r="AK2790">
        <v>0.55003782966881598</v>
      </c>
      <c r="AL2790">
        <v>81.962928363930203</v>
      </c>
      <c r="AM2790">
        <v>87.328261991411694</v>
      </c>
      <c r="AN2790">
        <v>1.0000000206156301</v>
      </c>
    </row>
    <row r="2791" spans="1:40" x14ac:dyDescent="0.25">
      <c r="A2791" t="str">
        <f>"20190312164320888"</f>
        <v>20190312164320888</v>
      </c>
      <c r="B2791" t="str">
        <f>"1552380200877368"</f>
        <v>1552380200877368</v>
      </c>
      <c r="C2791" t="s">
        <v>40</v>
      </c>
      <c r="D2791">
        <v>4.5798940000000004</v>
      </c>
      <c r="E2791">
        <v>0.51381619999999995</v>
      </c>
      <c r="F2791" t="s">
        <v>41</v>
      </c>
      <c r="G2791">
        <v>-283.14679999999998</v>
      </c>
      <c r="H2791">
        <v>1.0414099999999999</v>
      </c>
      <c r="I2791">
        <v>213.80930000000001</v>
      </c>
      <c r="J2791">
        <v>-283.74979999999999</v>
      </c>
      <c r="K2791">
        <v>1.109602</v>
      </c>
      <c r="L2791">
        <v>213.8766</v>
      </c>
      <c r="M2791">
        <v>0.99989490000000003</v>
      </c>
      <c r="N2791">
        <v>0</v>
      </c>
      <c r="O2791">
        <v>8.024776E-4</v>
      </c>
      <c r="P2791">
        <v>0.99105290000000001</v>
      </c>
      <c r="Q2791">
        <v>0.12555839999999999</v>
      </c>
      <c r="R2791">
        <v>-4.5275139999999998E-2</v>
      </c>
      <c r="S2791">
        <v>3.045105</v>
      </c>
      <c r="T2791">
        <v>-0.2202501</v>
      </c>
      <c r="U2791">
        <v>-0.21658330000000001</v>
      </c>
      <c r="V2791">
        <v>4.6223350000000003E-2</v>
      </c>
      <c r="W2791">
        <v>0.13984929999999901</v>
      </c>
      <c r="X2791">
        <v>0.98909329999999995</v>
      </c>
      <c r="Y2791">
        <v>7.1558269999999993E-2</v>
      </c>
      <c r="Z2791">
        <v>-2.6391549999999998E-3</v>
      </c>
      <c r="AA2791">
        <v>0.99743289999999996</v>
      </c>
      <c r="AB2791">
        <v>43</v>
      </c>
      <c r="AC2791">
        <v>0.60300000000000797</v>
      </c>
      <c r="AD2791">
        <v>-6.8192000000000003E-2</v>
      </c>
      <c r="AE2791">
        <v>-6.7299999999988799E-2</v>
      </c>
      <c r="AF2791">
        <v>6.6938388937439405E-2</v>
      </c>
      <c r="AG2791">
        <v>-6.8192000000000003E-2</v>
      </c>
      <c r="AH2791">
        <v>0.59542467041503999</v>
      </c>
      <c r="AI2791">
        <v>96.492879795842498</v>
      </c>
      <c r="AJ2791">
        <v>83.585668654645403</v>
      </c>
      <c r="AK2791">
        <v>0.60304347680444903</v>
      </c>
      <c r="AL2791">
        <v>81.960873937986307</v>
      </c>
      <c r="AM2791">
        <v>87.324340004773106</v>
      </c>
      <c r="AN2791">
        <v>0.99999999045030097</v>
      </c>
    </row>
    <row r="2792" spans="1:40" x14ac:dyDescent="0.25">
      <c r="A2792" t="str">
        <f>"20190312164320908"</f>
        <v>20190312164320908</v>
      </c>
      <c r="B2792" t="str">
        <f>"1552380200896889"</f>
        <v>1552380200896889</v>
      </c>
      <c r="C2792" t="s">
        <v>40</v>
      </c>
      <c r="D2792">
        <v>4.5525190000000002</v>
      </c>
      <c r="E2792">
        <v>0.51406540000000001</v>
      </c>
      <c r="F2792" t="s">
        <v>41</v>
      </c>
      <c r="G2792">
        <v>-282.7602</v>
      </c>
      <c r="H2792">
        <v>1.03922</v>
      </c>
      <c r="I2792">
        <v>213.8049</v>
      </c>
      <c r="J2792">
        <v>-283.346</v>
      </c>
      <c r="K2792">
        <v>1.1095930000000001</v>
      </c>
      <c r="L2792">
        <v>213.8766</v>
      </c>
      <c r="M2792">
        <v>0.99989499999999998</v>
      </c>
      <c r="N2792">
        <v>0</v>
      </c>
      <c r="O2792">
        <v>4.1378429999999999E-4</v>
      </c>
      <c r="P2792">
        <v>0.99104400000000004</v>
      </c>
      <c r="Q2792">
        <v>0.12560470000000001</v>
      </c>
      <c r="R2792">
        <v>-4.533409E-2</v>
      </c>
      <c r="S2792">
        <v>3.0444640000000001</v>
      </c>
      <c r="T2792">
        <v>-0.2165802</v>
      </c>
      <c r="U2792">
        <v>-0.22016910000000001</v>
      </c>
      <c r="V2792">
        <v>4.5901450000000003E-2</v>
      </c>
      <c r="W2792">
        <v>0.13989270000000001</v>
      </c>
      <c r="X2792">
        <v>0.98910220000000004</v>
      </c>
      <c r="Y2792">
        <v>7.235925E-2</v>
      </c>
      <c r="Z2792">
        <v>-2.596559E-3</v>
      </c>
      <c r="AA2792">
        <v>0.99737520000000002</v>
      </c>
      <c r="AB2792">
        <v>43</v>
      </c>
      <c r="AC2792">
        <v>0.58580000000000598</v>
      </c>
      <c r="AD2792">
        <v>-7.0373000000000005E-2</v>
      </c>
      <c r="AE2792">
        <v>-7.16999999999927E-2</v>
      </c>
      <c r="AF2792">
        <v>7.0933837377208805E-2</v>
      </c>
      <c r="AG2792">
        <v>-7.0373000000000005E-2</v>
      </c>
      <c r="AH2792">
        <v>0.57755823412948704</v>
      </c>
      <c r="AI2792">
        <v>96.895693330452204</v>
      </c>
      <c r="AJ2792">
        <v>82.998181914417103</v>
      </c>
      <c r="AK2792">
        <v>0.58613776727389599</v>
      </c>
      <c r="AL2792">
        <v>81.958362985582397</v>
      </c>
      <c r="AM2792">
        <v>87.342970412337806</v>
      </c>
      <c r="AN2792">
        <v>1.00000003633511</v>
      </c>
    </row>
    <row r="2793" spans="1:40" x14ac:dyDescent="0.25">
      <c r="A2793" t="str">
        <f>"20190312164320930"</f>
        <v>20190312164320930</v>
      </c>
      <c r="B2793" t="str">
        <f>"1552380200927145"</f>
        <v>1552380200927145</v>
      </c>
      <c r="C2793" t="s">
        <v>40</v>
      </c>
      <c r="D2793">
        <v>4.7580780000000003</v>
      </c>
      <c r="E2793">
        <v>0.51443930000000004</v>
      </c>
      <c r="F2793" t="s">
        <v>41</v>
      </c>
      <c r="G2793">
        <v>-282.37169999999998</v>
      </c>
      <c r="H2793">
        <v>1.0412509999999999</v>
      </c>
      <c r="I2793">
        <v>213.80520000000001</v>
      </c>
      <c r="J2793">
        <v>-282.92829999999998</v>
      </c>
      <c r="K2793">
        <v>1.109586</v>
      </c>
      <c r="L2793">
        <v>213.87639999999999</v>
      </c>
      <c r="M2793">
        <v>0.99989519999999998</v>
      </c>
      <c r="N2793">
        <v>0</v>
      </c>
      <c r="O2793" s="1">
        <v>9.0975299999999993E-6</v>
      </c>
      <c r="P2793">
        <v>0.99098989999999998</v>
      </c>
      <c r="Q2793">
        <v>0.1259682</v>
      </c>
      <c r="R2793">
        <v>-4.5510309999999998E-2</v>
      </c>
      <c r="S2793">
        <v>3.044006</v>
      </c>
      <c r="T2793">
        <v>-0.21362049999999999</v>
      </c>
      <c r="U2793">
        <v>-0.22228999999999999</v>
      </c>
      <c r="V2793">
        <v>4.5680169999999999E-2</v>
      </c>
      <c r="W2793">
        <v>0.1402524</v>
      </c>
      <c r="X2793">
        <v>0.98906150000000004</v>
      </c>
      <c r="Y2793">
        <v>7.2662840000000006E-2</v>
      </c>
      <c r="Z2793">
        <v>-2.5437770000000001E-3</v>
      </c>
      <c r="AA2793">
        <v>0.9973533</v>
      </c>
      <c r="AB2793">
        <v>43</v>
      </c>
      <c r="AC2793">
        <v>0.55660000000000298</v>
      </c>
      <c r="AD2793">
        <v>-6.8335000000000007E-2</v>
      </c>
      <c r="AE2793">
        <v>-7.1199999999976102E-2</v>
      </c>
      <c r="AF2793">
        <v>7.0164501122214104E-2</v>
      </c>
      <c r="AG2793">
        <v>-6.8335000000000007E-2</v>
      </c>
      <c r="AH2793">
        <v>0.548465425897252</v>
      </c>
      <c r="AI2793">
        <v>97.045227106109806</v>
      </c>
      <c r="AJ2793">
        <v>82.709819754987393</v>
      </c>
      <c r="AK2793">
        <v>0.55714186061306004</v>
      </c>
      <c r="AL2793">
        <v>81.937548455787393</v>
      </c>
      <c r="AM2793">
        <v>87.355652441423601</v>
      </c>
      <c r="AN2793">
        <v>1.0000000322096101</v>
      </c>
    </row>
    <row r="2794" spans="1:40" x14ac:dyDescent="0.25">
      <c r="A2794" t="str">
        <f>"20190312164320953"</f>
        <v>20190312164320953</v>
      </c>
      <c r="B2794" t="str">
        <f>"1552380200947641"</f>
        <v>1552380200947641</v>
      </c>
      <c r="C2794" t="s">
        <v>40</v>
      </c>
      <c r="D2794">
        <v>4.5297850000000004</v>
      </c>
      <c r="E2794">
        <v>0.51449060000000002</v>
      </c>
      <c r="F2794" t="s">
        <v>41</v>
      </c>
      <c r="G2794">
        <v>-281.98219999999998</v>
      </c>
      <c r="H2794">
        <v>1.0448789999999999</v>
      </c>
      <c r="I2794">
        <v>213.80590000000001</v>
      </c>
      <c r="J2794">
        <v>-282.47430000000003</v>
      </c>
      <c r="K2794">
        <v>1.1095809999999999</v>
      </c>
      <c r="L2794">
        <v>213.87610000000001</v>
      </c>
      <c r="M2794">
        <v>0.99989510000000004</v>
      </c>
      <c r="N2794">
        <v>0</v>
      </c>
      <c r="O2794">
        <v>-4.3227400000000002E-4</v>
      </c>
      <c r="P2794">
        <v>0.9909462</v>
      </c>
      <c r="Q2794">
        <v>0.126170899999999</v>
      </c>
      <c r="R2794">
        <v>-4.589679E-2</v>
      </c>
      <c r="S2794">
        <v>3.0433349999999999</v>
      </c>
      <c r="T2794">
        <v>-0.20822869999999999</v>
      </c>
      <c r="U2794">
        <v>-0.22636410000000001</v>
      </c>
      <c r="V2794">
        <v>4.5632399999999997E-2</v>
      </c>
      <c r="W2794">
        <v>0.1404512</v>
      </c>
      <c r="X2794">
        <v>0.98903549999999996</v>
      </c>
      <c r="Y2794">
        <v>7.3574189999999998E-2</v>
      </c>
      <c r="Z2794">
        <v>-2.4811189999999999E-3</v>
      </c>
      <c r="AA2794">
        <v>0.99728669999999997</v>
      </c>
      <c r="AB2794">
        <v>43</v>
      </c>
      <c r="AC2794">
        <v>0.49210000000005</v>
      </c>
      <c r="AD2794">
        <v>-6.4701999999999801E-2</v>
      </c>
      <c r="AE2794">
        <v>-7.0199999999999804E-2</v>
      </c>
      <c r="AF2794">
        <v>6.8821239997174002E-2</v>
      </c>
      <c r="AG2794">
        <v>-6.4701999999999801E-2</v>
      </c>
      <c r="AH2794">
        <v>0.48393126051988</v>
      </c>
      <c r="AI2794">
        <v>97.540347126900301</v>
      </c>
      <c r="AJ2794">
        <v>81.9060782977607</v>
      </c>
      <c r="AK2794">
        <v>0.49306406965739102</v>
      </c>
      <c r="AL2794">
        <v>81.926044228535503</v>
      </c>
      <c r="AM2794">
        <v>87.358344502365995</v>
      </c>
      <c r="AN2794">
        <v>1.0000000378857199</v>
      </c>
    </row>
    <row r="2795" spans="1:40" x14ac:dyDescent="0.25">
      <c r="A2795" t="str">
        <f>"20190312164320975"</f>
        <v>20190312164320975</v>
      </c>
      <c r="B2795" t="str">
        <f>"1552380200967160"</f>
        <v>1552380200967160</v>
      </c>
      <c r="C2795" t="s">
        <v>40</v>
      </c>
      <c r="D2795">
        <v>4.4774269999999996</v>
      </c>
      <c r="E2795">
        <v>0.53588990000000003</v>
      </c>
      <c r="F2795" t="s">
        <v>41</v>
      </c>
      <c r="G2795">
        <v>-281.59129999999999</v>
      </c>
      <c r="H2795">
        <v>1.0490360000000001</v>
      </c>
      <c r="I2795">
        <v>213.8098</v>
      </c>
      <c r="J2795">
        <v>-282.041</v>
      </c>
      <c r="K2795">
        <v>1.109567</v>
      </c>
      <c r="L2795">
        <v>213.87549999999999</v>
      </c>
      <c r="M2795">
        <v>0.99989490000000003</v>
      </c>
      <c r="N2795">
        <v>0</v>
      </c>
      <c r="O2795">
        <v>-8.5423349999999999E-4</v>
      </c>
      <c r="P2795">
        <v>0.9909019</v>
      </c>
      <c r="Q2795">
        <v>0.1262528</v>
      </c>
      <c r="R2795">
        <v>-4.6626000000000001E-2</v>
      </c>
      <c r="S2795">
        <v>3.0434570000000001</v>
      </c>
      <c r="T2795">
        <v>-0.20877589999999999</v>
      </c>
      <c r="U2795">
        <v>-0.2280121</v>
      </c>
      <c r="V2795">
        <v>4.5945609999999998E-2</v>
      </c>
      <c r="W2795">
        <v>0.14052909999999999</v>
      </c>
      <c r="X2795">
        <v>0.9890099</v>
      </c>
      <c r="Y2795">
        <v>7.3687240000000001E-2</v>
      </c>
      <c r="Z2795">
        <v>-2.4624680000000002E-3</v>
      </c>
      <c r="AA2795">
        <v>0.99727829999999995</v>
      </c>
      <c r="AB2795">
        <v>43</v>
      </c>
      <c r="AC2795">
        <v>0.44970000000000698</v>
      </c>
      <c r="AD2795">
        <v>-6.05309999999998E-2</v>
      </c>
      <c r="AE2795">
        <v>-6.5699999999992501E-2</v>
      </c>
      <c r="AF2795">
        <v>6.4177323020761706E-2</v>
      </c>
      <c r="AG2795">
        <v>-6.05309999999998E-2</v>
      </c>
      <c r="AH2795">
        <v>0.44191665100739802</v>
      </c>
      <c r="AI2795">
        <v>97.719497560610705</v>
      </c>
      <c r="AJ2795">
        <v>81.736989960217301</v>
      </c>
      <c r="AK2795">
        <v>0.45063628037332498</v>
      </c>
      <c r="AL2795">
        <v>81.921535906777905</v>
      </c>
      <c r="AM2795">
        <v>87.340170005224195</v>
      </c>
      <c r="AN2795">
        <v>1.00000000466154</v>
      </c>
    </row>
    <row r="2796" spans="1:40" x14ac:dyDescent="0.25">
      <c r="A2796" t="str">
        <f>"20190312164320998"</f>
        <v>20190312164320998</v>
      </c>
      <c r="B2796" t="str">
        <f>"1552380200987659"</f>
        <v>1552380200987659</v>
      </c>
      <c r="C2796" t="s">
        <v>40</v>
      </c>
      <c r="D2796">
        <v>4.643338</v>
      </c>
      <c r="E2796">
        <v>0.53619349999999999</v>
      </c>
      <c r="F2796" t="s">
        <v>41</v>
      </c>
      <c r="G2796">
        <v>-281.20549999999997</v>
      </c>
      <c r="H2796">
        <v>1.0463559999999901</v>
      </c>
      <c r="I2796">
        <v>213.7655</v>
      </c>
      <c r="J2796">
        <v>-281.60750000000002</v>
      </c>
      <c r="K2796">
        <v>1.109564</v>
      </c>
      <c r="L2796">
        <v>213.87479999999999</v>
      </c>
      <c r="M2796">
        <v>0.99989459999999997</v>
      </c>
      <c r="N2796">
        <v>0</v>
      </c>
      <c r="O2796">
        <v>-1.2771200000000001E-3</v>
      </c>
      <c r="P2796">
        <v>0.99083359999999998</v>
      </c>
      <c r="Q2796">
        <v>0.12670090000000001</v>
      </c>
      <c r="R2796">
        <v>-4.6864240000000001E-2</v>
      </c>
      <c r="S2796">
        <v>3.0380549999999999</v>
      </c>
      <c r="T2796">
        <v>-0.22992969999999999</v>
      </c>
      <c r="U2796">
        <v>-0.3997192</v>
      </c>
      <c r="V2796">
        <v>4.576711E-2</v>
      </c>
      <c r="W2796">
        <v>0.14097379999999901</v>
      </c>
      <c r="X2796">
        <v>0.98895489999999997</v>
      </c>
      <c r="Y2796">
        <v>0.12882160000000001</v>
      </c>
      <c r="Z2796">
        <v>-4.7509400000000004E-3</v>
      </c>
      <c r="AA2796">
        <v>0.99165639999999999</v>
      </c>
      <c r="AB2796">
        <v>43</v>
      </c>
      <c r="AC2796">
        <v>0.40200000000004299</v>
      </c>
      <c r="AD2796">
        <v>-6.3208000000000097E-2</v>
      </c>
      <c r="AE2796">
        <v>-0.10929999999999</v>
      </c>
      <c r="AF2796">
        <v>0.106338470412423</v>
      </c>
      <c r="AG2796">
        <v>-6.3208000000000097E-2</v>
      </c>
      <c r="AH2796">
        <v>0.39309007293267501</v>
      </c>
      <c r="AI2796">
        <v>98.822959189303901</v>
      </c>
      <c r="AJ2796">
        <v>74.862693883643502</v>
      </c>
      <c r="AK2796">
        <v>0.41209577405242798</v>
      </c>
      <c r="AL2796">
        <v>81.895800378604804</v>
      </c>
      <c r="AM2796">
        <v>87.350341625960695</v>
      </c>
      <c r="AN2796">
        <v>1.0000000174390999</v>
      </c>
    </row>
    <row r="2797" spans="1:40" x14ac:dyDescent="0.25">
      <c r="A2797" t="str">
        <f>"20190312164321021"</f>
        <v>20190312164321021</v>
      </c>
      <c r="B2797" t="str">
        <f>"1552380201016936"</f>
        <v>1552380201016936</v>
      </c>
      <c r="C2797" t="s">
        <v>40</v>
      </c>
      <c r="D2797">
        <v>4.4975329999999998</v>
      </c>
      <c r="E2797">
        <v>0.53624259999999901</v>
      </c>
      <c r="F2797" t="s">
        <v>46</v>
      </c>
      <c r="G2797">
        <v>-266.69080000000002</v>
      </c>
      <c r="H2797" s="1">
        <v>2.1427190000000001E-6</v>
      </c>
      <c r="I2797">
        <v>211.89400000000001</v>
      </c>
      <c r="J2797">
        <v>-281.17809999999997</v>
      </c>
      <c r="K2797">
        <v>1.1095680000000001</v>
      </c>
      <c r="L2797">
        <v>213.87389999999999</v>
      </c>
      <c r="M2797">
        <v>0.99989399999999995</v>
      </c>
      <c r="N2797">
        <v>0</v>
      </c>
      <c r="O2797">
        <v>-1.695694E-3</v>
      </c>
      <c r="P2797">
        <v>0.99079490000000003</v>
      </c>
      <c r="Q2797">
        <v>0.12722120000000001</v>
      </c>
      <c r="R2797">
        <v>-4.626454E-2</v>
      </c>
      <c r="S2797">
        <v>3.0375670000000001</v>
      </c>
      <c r="T2797">
        <v>-0.2259468</v>
      </c>
      <c r="U2797">
        <v>-0.40336610000000001</v>
      </c>
      <c r="V2797">
        <v>4.4754710000000003E-2</v>
      </c>
      <c r="W2797">
        <v>0.14149210000000001</v>
      </c>
      <c r="X2797">
        <v>0.98892720000000001</v>
      </c>
      <c r="Y2797">
        <v>0.12960839999999901</v>
      </c>
      <c r="Z2797">
        <v>-4.6673840000000001E-3</v>
      </c>
      <c r="AA2797">
        <v>0.9915543</v>
      </c>
      <c r="AB2797">
        <v>43</v>
      </c>
      <c r="AC2797">
        <v>14.4872999999999</v>
      </c>
      <c r="AD2797">
        <v>-1.1095658572810001</v>
      </c>
      <c r="AE2797">
        <v>-1.97989999999998</v>
      </c>
      <c r="AF2797">
        <v>1.9441336414430901</v>
      </c>
      <c r="AG2797">
        <v>-1.1095658572810001</v>
      </c>
      <c r="AH2797">
        <v>14.407673044491</v>
      </c>
      <c r="AI2797">
        <v>94.3643793509452</v>
      </c>
      <c r="AJ2797">
        <v>82.315075945924605</v>
      </c>
      <c r="AK2797">
        <v>14.5805292964414</v>
      </c>
      <c r="AL2797">
        <v>81.865803176231395</v>
      </c>
      <c r="AM2797">
        <v>87.408800631470001</v>
      </c>
      <c r="AN2797">
        <v>1.00000000266471</v>
      </c>
    </row>
    <row r="2798" spans="1:40" x14ac:dyDescent="0.25">
      <c r="A2798" t="str">
        <f>"20190312164321045"</f>
        <v>20190312164321045</v>
      </c>
      <c r="B2798" t="str">
        <f>"1552380201037433"</f>
        <v>1552380201037433</v>
      </c>
      <c r="C2798" t="s">
        <v>40</v>
      </c>
      <c r="D2798">
        <v>4.4933709999999998</v>
      </c>
      <c r="E2798">
        <v>0.53683369999999997</v>
      </c>
      <c r="F2798" t="s">
        <v>46</v>
      </c>
      <c r="G2798">
        <v>-259.92829999999998</v>
      </c>
      <c r="H2798" s="1">
        <v>3.9032969999999997E-6</v>
      </c>
      <c r="I2798">
        <v>211.03110000000001</v>
      </c>
      <c r="J2798">
        <v>-280.72559999999999</v>
      </c>
      <c r="K2798">
        <v>1.1095740000000001</v>
      </c>
      <c r="L2798">
        <v>213.87280000000001</v>
      </c>
      <c r="M2798">
        <v>0.99989320000000004</v>
      </c>
      <c r="N2798">
        <v>0</v>
      </c>
      <c r="O2798">
        <v>-2.1374900000000001E-3</v>
      </c>
      <c r="P2798">
        <v>0.99075919999999895</v>
      </c>
      <c r="Q2798">
        <v>0.12761520000000001</v>
      </c>
      <c r="R2798">
        <v>-4.594239E-2</v>
      </c>
      <c r="S2798">
        <v>3.0292970000000001</v>
      </c>
      <c r="T2798">
        <v>-0.15817590000000001</v>
      </c>
      <c r="U2798">
        <v>-0.40525820000000001</v>
      </c>
      <c r="V2798">
        <v>4.3996159999999999E-2</v>
      </c>
      <c r="W2798">
        <v>0.14188390000000001</v>
      </c>
      <c r="X2798">
        <v>0.98890509999999998</v>
      </c>
      <c r="Y2798">
        <v>0.1303077</v>
      </c>
      <c r="Z2798">
        <v>-3.2736229999999998E-3</v>
      </c>
      <c r="AA2798">
        <v>0.99146820000000002</v>
      </c>
      <c r="AB2798">
        <v>43</v>
      </c>
      <c r="AC2798">
        <v>20.7973</v>
      </c>
      <c r="AD2798">
        <v>-1.109570096703</v>
      </c>
      <c r="AE2798">
        <v>-2.8416999999999999</v>
      </c>
      <c r="AF2798">
        <v>2.7894405023231199</v>
      </c>
      <c r="AG2798">
        <v>-1.109570096703</v>
      </c>
      <c r="AH2798">
        <v>20.745359921226701</v>
      </c>
      <c r="AI2798">
        <v>93.0343049711785</v>
      </c>
      <c r="AJ2798">
        <v>82.341887691697707</v>
      </c>
      <c r="AK2798">
        <v>20.961442755133401</v>
      </c>
      <c r="AL2798">
        <v>81.843125885066996</v>
      </c>
      <c r="AM2798">
        <v>87.452603808121395</v>
      </c>
      <c r="AN2798">
        <v>0.99999999998998201</v>
      </c>
    </row>
    <row r="2799" spans="1:40" x14ac:dyDescent="0.25">
      <c r="A2799" t="str">
        <f>"20190312164321068"</f>
        <v>20190312164321068</v>
      </c>
      <c r="B2799" t="str">
        <f>"1552380201056953"</f>
        <v>1552380201056953</v>
      </c>
      <c r="C2799" t="s">
        <v>40</v>
      </c>
      <c r="D2799">
        <v>4.4946529999999996</v>
      </c>
      <c r="E2799">
        <v>0.53683669999999895</v>
      </c>
      <c r="F2799" t="s">
        <v>46</v>
      </c>
      <c r="G2799">
        <v>-259.98759999999999</v>
      </c>
      <c r="H2799" s="1">
        <v>-1.388594E-6</v>
      </c>
      <c r="I2799">
        <v>211.0752</v>
      </c>
      <c r="J2799">
        <v>-280.25740000000002</v>
      </c>
      <c r="K2799">
        <v>1.109575</v>
      </c>
      <c r="L2799">
        <v>213.87139999999999</v>
      </c>
      <c r="M2799">
        <v>0.99989209999999995</v>
      </c>
      <c r="N2799">
        <v>0</v>
      </c>
      <c r="O2799">
        <v>-2.5945339999999999E-3</v>
      </c>
      <c r="P2799">
        <v>0.99082740000000002</v>
      </c>
      <c r="Q2799">
        <v>0.1272597</v>
      </c>
      <c r="R2799">
        <v>-4.5454469999999997E-2</v>
      </c>
      <c r="S2799">
        <v>3.0298769999999999</v>
      </c>
      <c r="T2799">
        <v>-0.16211210000000001</v>
      </c>
      <c r="U2799">
        <v>-0.40873720000000002</v>
      </c>
      <c r="V2799">
        <v>4.305552E-2</v>
      </c>
      <c r="W2799">
        <v>0.14152799999999999</v>
      </c>
      <c r="X2799">
        <v>0.98899749999999997</v>
      </c>
      <c r="Y2799">
        <v>0.130939</v>
      </c>
      <c r="Z2799">
        <v>-3.3465579999999999E-3</v>
      </c>
      <c r="AA2799">
        <v>0.99138479999999995</v>
      </c>
      <c r="AB2799">
        <v>43</v>
      </c>
      <c r="AC2799">
        <v>20.2698</v>
      </c>
      <c r="AD2799">
        <v>-1.109576388594</v>
      </c>
      <c r="AE2799">
        <v>-2.79619999999999</v>
      </c>
      <c r="AF2799">
        <v>2.7355503810632902</v>
      </c>
      <c r="AG2799">
        <v>-1.109576388594</v>
      </c>
      <c r="AH2799">
        <v>20.217536682337101</v>
      </c>
      <c r="AI2799">
        <v>93.113038166450295</v>
      </c>
      <c r="AJ2799">
        <v>82.294344353988095</v>
      </c>
      <c r="AK2799">
        <v>20.431915846320098</v>
      </c>
      <c r="AL2799">
        <v>81.863725357462599</v>
      </c>
      <c r="AM2799">
        <v>87.507230418749003</v>
      </c>
      <c r="AN2799">
        <v>1.0000000037963599</v>
      </c>
    </row>
    <row r="2800" spans="1:40" x14ac:dyDescent="0.25">
      <c r="A2800" t="str">
        <f>"20190312164321088"</f>
        <v>20190312164321088</v>
      </c>
      <c r="B2800" t="str">
        <f>"1552380201077449"</f>
        <v>1552380201077449</v>
      </c>
      <c r="C2800" t="s">
        <v>40</v>
      </c>
      <c r="D2800">
        <v>4.5010669999999999</v>
      </c>
      <c r="E2800">
        <v>0.53691129999999998</v>
      </c>
      <c r="F2800" t="s">
        <v>46</v>
      </c>
      <c r="G2800">
        <v>-260.05650000000003</v>
      </c>
      <c r="H2800" s="1">
        <v>-1.355707E-6</v>
      </c>
      <c r="I2800">
        <v>211.16079999999999</v>
      </c>
      <c r="J2800">
        <v>-279.88220000000001</v>
      </c>
      <c r="K2800">
        <v>1.1095710000000001</v>
      </c>
      <c r="L2800">
        <v>213.87010000000001</v>
      </c>
      <c r="M2800">
        <v>0.99989110000000003</v>
      </c>
      <c r="N2800">
        <v>0</v>
      </c>
      <c r="O2800">
        <v>-2.9612079999999999E-3</v>
      </c>
      <c r="P2800">
        <v>0.99087029999999998</v>
      </c>
      <c r="Q2800">
        <v>0.12713859999999999</v>
      </c>
      <c r="R2800">
        <v>-4.4855239999999998E-2</v>
      </c>
      <c r="S2800">
        <v>3.0304869999999999</v>
      </c>
      <c r="T2800">
        <v>-0.16645509999999999</v>
      </c>
      <c r="U2800">
        <v>-0.40663149999999998</v>
      </c>
      <c r="V2800">
        <v>4.2092900000000003E-2</v>
      </c>
      <c r="W2800">
        <v>0.1414067</v>
      </c>
      <c r="X2800">
        <v>0.9890563</v>
      </c>
      <c r="Y2800">
        <v>0.1298647</v>
      </c>
      <c r="Z2800">
        <v>-3.3861690000000001E-3</v>
      </c>
      <c r="AA2800">
        <v>0.99152589999999996</v>
      </c>
      <c r="AB2800">
        <v>43</v>
      </c>
      <c r="AC2800">
        <v>19.825699999999902</v>
      </c>
      <c r="AD2800">
        <v>-1.1095723557070001</v>
      </c>
      <c r="AE2800">
        <v>-2.70930000000001</v>
      </c>
      <c r="AF2800">
        <v>2.64244892644101</v>
      </c>
      <c r="AG2800">
        <v>-1.1095723557070001</v>
      </c>
      <c r="AH2800">
        <v>19.7728389291436</v>
      </c>
      <c r="AI2800">
        <v>93.183596337305602</v>
      </c>
      <c r="AJ2800">
        <v>82.388074366742003</v>
      </c>
      <c r="AK2800">
        <v>19.979460614822798</v>
      </c>
      <c r="AL2800">
        <v>81.870746040323098</v>
      </c>
      <c r="AM2800">
        <v>87.563039621093395</v>
      </c>
      <c r="AN2800">
        <v>1.00000001580249</v>
      </c>
    </row>
    <row r="2801" spans="1:40" x14ac:dyDescent="0.25">
      <c r="A2801" t="str">
        <f>"20190312164321108"</f>
        <v>20190312164321108</v>
      </c>
      <c r="B2801" t="str">
        <f>"1552380201096969"</f>
        <v>1552380201096969</v>
      </c>
      <c r="C2801" t="s">
        <v>40</v>
      </c>
      <c r="D2801">
        <v>4.4679739999999999</v>
      </c>
      <c r="E2801">
        <v>0.53705209999999903</v>
      </c>
      <c r="F2801" t="s">
        <v>46</v>
      </c>
      <c r="G2801">
        <v>-259.61930000000001</v>
      </c>
      <c r="H2801" s="1">
        <v>3.7334659999999998E-6</v>
      </c>
      <c r="I2801">
        <v>211.1541</v>
      </c>
      <c r="J2801">
        <v>-279.48489999999998</v>
      </c>
      <c r="K2801">
        <v>1.1095649999999999</v>
      </c>
      <c r="L2801">
        <v>213.86859999999999</v>
      </c>
      <c r="M2801">
        <v>0.99988999999999995</v>
      </c>
      <c r="N2801">
        <v>0</v>
      </c>
      <c r="O2801">
        <v>-3.3496899999999998E-3</v>
      </c>
      <c r="P2801">
        <v>0.99083100000000002</v>
      </c>
      <c r="Q2801">
        <v>0.12745399999999901</v>
      </c>
      <c r="R2801">
        <v>-4.4830200000000001E-2</v>
      </c>
      <c r="S2801">
        <v>3.030548</v>
      </c>
      <c r="T2801">
        <v>-0.16594829999999999</v>
      </c>
      <c r="U2801">
        <v>-0.40620420000000002</v>
      </c>
      <c r="V2801">
        <v>4.1683379999999999E-2</v>
      </c>
      <c r="W2801">
        <v>0.14172009999999999</v>
      </c>
      <c r="X2801">
        <v>0.98902880000000004</v>
      </c>
      <c r="Y2801">
        <v>0.12934200000000001</v>
      </c>
      <c r="Z2801">
        <v>-3.3404379999999998E-3</v>
      </c>
      <c r="AA2801">
        <v>0.99159439999999999</v>
      </c>
      <c r="AB2801">
        <v>43</v>
      </c>
      <c r="AC2801">
        <v>19.865599999999901</v>
      </c>
      <c r="AD2801">
        <v>-1.109561266534</v>
      </c>
      <c r="AE2801">
        <v>-2.7144999999999802</v>
      </c>
      <c r="AF2801">
        <v>2.63984988349879</v>
      </c>
      <c r="AG2801">
        <v>-1.109561266534</v>
      </c>
      <c r="AH2801">
        <v>19.8139036656532</v>
      </c>
      <c r="AI2801">
        <v>93.177149762111299</v>
      </c>
      <c r="AJ2801">
        <v>82.411050268500105</v>
      </c>
      <c r="AK2801">
        <v>20.019758042578498</v>
      </c>
      <c r="AL2801">
        <v>81.852606975927003</v>
      </c>
      <c r="AM2801">
        <v>87.586653512500405</v>
      </c>
      <c r="AN2801">
        <v>1.00000002907083</v>
      </c>
    </row>
    <row r="2802" spans="1:40" x14ac:dyDescent="0.25">
      <c r="A2802" t="str">
        <f>"20190312164321131"</f>
        <v>20190312164321131</v>
      </c>
      <c r="B2802" t="str">
        <f>"1552380201127224"</f>
        <v>1552380201127224</v>
      </c>
      <c r="C2802" t="s">
        <v>40</v>
      </c>
      <c r="D2802">
        <v>4.5019819999999999</v>
      </c>
      <c r="E2802">
        <v>0.53745759999999998</v>
      </c>
      <c r="F2802" t="s">
        <v>46</v>
      </c>
      <c r="G2802">
        <v>-259.28230000000002</v>
      </c>
      <c r="H2802" s="1">
        <v>3.5543430000000001E-6</v>
      </c>
      <c r="I2802">
        <v>211.14920000000001</v>
      </c>
      <c r="J2802">
        <v>-279.0496</v>
      </c>
      <c r="K2802">
        <v>1.1095680000000001</v>
      </c>
      <c r="L2802">
        <v>213.86670000000001</v>
      </c>
      <c r="M2802">
        <v>0.99988840000000001</v>
      </c>
      <c r="N2802">
        <v>0</v>
      </c>
      <c r="O2802">
        <v>-3.7758330000000001E-3</v>
      </c>
      <c r="P2802">
        <v>0.99072249999999995</v>
      </c>
      <c r="Q2802">
        <v>0.1282893</v>
      </c>
      <c r="R2802">
        <v>-4.4846700000000003E-2</v>
      </c>
      <c r="S2802">
        <v>3.0307309999999998</v>
      </c>
      <c r="T2802">
        <v>-0.1664532</v>
      </c>
      <c r="U2802">
        <v>-0.40794370000000002</v>
      </c>
      <c r="V2802">
        <v>4.1279259999999998E-2</v>
      </c>
      <c r="W2802">
        <v>0.14255229999999999</v>
      </c>
      <c r="X2802">
        <v>0.98892610000000003</v>
      </c>
      <c r="Y2802">
        <v>0.12947</v>
      </c>
      <c r="Z2802">
        <v>-3.3304739999999999E-3</v>
      </c>
      <c r="AA2802">
        <v>0.99157770000000001</v>
      </c>
      <c r="AB2802">
        <v>43</v>
      </c>
      <c r="AC2802">
        <v>19.767299999999899</v>
      </c>
      <c r="AD2802">
        <v>-1.109564445657</v>
      </c>
      <c r="AE2802">
        <v>-2.7174999999999998</v>
      </c>
      <c r="AF2802">
        <v>2.6346876048023198</v>
      </c>
      <c r="AG2802">
        <v>-1.109564445657</v>
      </c>
      <c r="AH2802">
        <v>19.716452124386102</v>
      </c>
      <c r="AI2802">
        <v>93.192664327864605</v>
      </c>
      <c r="AJ2802">
        <v>82.388718940366203</v>
      </c>
      <c r="AK2802">
        <v>19.9226302582559</v>
      </c>
      <c r="AL2802">
        <v>81.804435980272004</v>
      </c>
      <c r="AM2802">
        <v>87.609775710461605</v>
      </c>
      <c r="AN2802">
        <v>0.99999998340132301</v>
      </c>
    </row>
    <row r="2803" spans="1:40" x14ac:dyDescent="0.25">
      <c r="A2803" t="str">
        <f>"20190312164321154"</f>
        <v>20190312164321154</v>
      </c>
      <c r="B2803" t="str">
        <f>"1552380201147721"</f>
        <v>1552380201147721</v>
      </c>
      <c r="C2803" t="s">
        <v>40</v>
      </c>
      <c r="D2803">
        <v>4.4849360000000003</v>
      </c>
      <c r="E2803">
        <v>0.53751800000000005</v>
      </c>
      <c r="F2803" t="s">
        <v>46</v>
      </c>
      <c r="G2803">
        <v>-258.7192</v>
      </c>
      <c r="H2803" s="1">
        <v>3.2565329999999999E-6</v>
      </c>
      <c r="I2803">
        <v>211.10720000000001</v>
      </c>
      <c r="J2803">
        <v>-278.601</v>
      </c>
      <c r="K2803">
        <v>1.1095660000000001</v>
      </c>
      <c r="L2803">
        <v>213.8647</v>
      </c>
      <c r="M2803">
        <v>0.99988659999999996</v>
      </c>
      <c r="N2803">
        <v>0</v>
      </c>
      <c r="O2803">
        <v>-4.2147230000000001E-3</v>
      </c>
      <c r="P2803">
        <v>0.99074379999999995</v>
      </c>
      <c r="Q2803">
        <v>0.1281795</v>
      </c>
      <c r="R2803">
        <v>-4.4684929999999998E-2</v>
      </c>
      <c r="S2803">
        <v>3.030945</v>
      </c>
      <c r="T2803">
        <v>-0.16541919999999999</v>
      </c>
      <c r="U2803">
        <v>-0.41140749999999998</v>
      </c>
      <c r="V2803">
        <v>4.0682490000000002E-2</v>
      </c>
      <c r="W2803">
        <v>0.14244129999999899</v>
      </c>
      <c r="X2803">
        <v>0.98896680000000003</v>
      </c>
      <c r="Y2803">
        <v>0.13014029999999999</v>
      </c>
      <c r="Z2803">
        <v>-3.3037019999999999E-3</v>
      </c>
      <c r="AA2803">
        <v>0.99149010000000004</v>
      </c>
      <c r="AB2803">
        <v>43</v>
      </c>
      <c r="AC2803">
        <v>19.881799999999998</v>
      </c>
      <c r="AD2803">
        <v>-1.1095627434669999</v>
      </c>
      <c r="AE2803">
        <v>-2.7574999999999901</v>
      </c>
      <c r="AF2803">
        <v>2.6655252914223002</v>
      </c>
      <c r="AG2803">
        <v>-1.1095627434669999</v>
      </c>
      <c r="AH2803">
        <v>19.832643134545599</v>
      </c>
      <c r="AI2803">
        <v>93.173671444636</v>
      </c>
      <c r="AJ2803">
        <v>82.345265832353604</v>
      </c>
      <c r="AK2803">
        <v>20.0417037265582</v>
      </c>
      <c r="AL2803">
        <v>81.810861190304195</v>
      </c>
      <c r="AM2803">
        <v>87.644388559975596</v>
      </c>
      <c r="AN2803">
        <v>0.99999996022026405</v>
      </c>
    </row>
    <row r="2804" spans="1:40" x14ac:dyDescent="0.25">
      <c r="A2804" t="str">
        <f>"20190312164321176"</f>
        <v>20190312164321176</v>
      </c>
      <c r="B2804" t="str">
        <f>"1552380201167241"</f>
        <v>1552380201167241</v>
      </c>
      <c r="C2804" t="s">
        <v>40</v>
      </c>
      <c r="D2804">
        <v>4.4432879999999999</v>
      </c>
      <c r="E2804">
        <v>0.53782050000000003</v>
      </c>
      <c r="F2804" t="s">
        <v>46</v>
      </c>
      <c r="G2804">
        <v>-258.29939999999999</v>
      </c>
      <c r="H2804" s="1">
        <v>3.0332399999999999E-6</v>
      </c>
      <c r="I2804">
        <v>211.1052</v>
      </c>
      <c r="J2804">
        <v>-278.19080000000002</v>
      </c>
      <c r="K2804">
        <v>1.109564</v>
      </c>
      <c r="L2804">
        <v>213.86259999999999</v>
      </c>
      <c r="M2804">
        <v>0.99988489999999997</v>
      </c>
      <c r="N2804">
        <v>0</v>
      </c>
      <c r="O2804">
        <v>-4.6165379999999999E-3</v>
      </c>
      <c r="P2804">
        <v>0.99098059999999999</v>
      </c>
      <c r="Q2804">
        <v>0.1264892</v>
      </c>
      <c r="R2804">
        <v>-4.4252050000000001E-2</v>
      </c>
      <c r="S2804">
        <v>3.0308839999999999</v>
      </c>
      <c r="T2804">
        <v>-0.16565009999999999</v>
      </c>
      <c r="U2804">
        <v>-0.411972</v>
      </c>
      <c r="V2804">
        <v>3.9848109999999999E-2</v>
      </c>
      <c r="W2804">
        <v>0.14075379999999901</v>
      </c>
      <c r="X2804">
        <v>0.98924239999999997</v>
      </c>
      <c r="Y2804">
        <v>0.12992619999999999</v>
      </c>
      <c r="Z2804">
        <v>-3.2806710000000002E-3</v>
      </c>
      <c r="AA2804">
        <v>0.99151829999999996</v>
      </c>
      <c r="AB2804">
        <v>43</v>
      </c>
      <c r="AC2804">
        <v>19.891400000000001</v>
      </c>
      <c r="AD2804">
        <v>-1.1095609667599999</v>
      </c>
      <c r="AE2804">
        <v>-2.7573999999999899</v>
      </c>
      <c r="AF2804">
        <v>2.65741891622713</v>
      </c>
      <c r="AG2804">
        <v>-1.1095609667599999</v>
      </c>
      <c r="AH2804">
        <v>19.843340241623999</v>
      </c>
      <c r="AI2804">
        <v>93.172159668911306</v>
      </c>
      <c r="AJ2804">
        <v>82.372336214126406</v>
      </c>
      <c r="AK2804">
        <v>20.051213249580101</v>
      </c>
      <c r="AL2804">
        <v>81.908532381402495</v>
      </c>
      <c r="AM2804">
        <v>87.693290480238204</v>
      </c>
      <c r="AN2804">
        <v>1.0000000150213799</v>
      </c>
    </row>
    <row r="2805" spans="1:40" x14ac:dyDescent="0.25">
      <c r="A2805" t="str">
        <f>"20190312164321198"</f>
        <v>20190312164321198</v>
      </c>
      <c r="B2805" t="str">
        <f>"1552380201187737"</f>
        <v>1552380201187737</v>
      </c>
      <c r="C2805" t="s">
        <v>40</v>
      </c>
      <c r="D2805">
        <v>4.4315089999999904</v>
      </c>
      <c r="E2805">
        <v>0.53799030000000003</v>
      </c>
      <c r="F2805" t="s">
        <v>46</v>
      </c>
      <c r="G2805">
        <v>-258.56939999999997</v>
      </c>
      <c r="H2805" s="1">
        <v>3.1733120000000001E-6</v>
      </c>
      <c r="I2805">
        <v>211.18680000000001</v>
      </c>
      <c r="J2805">
        <v>-277.75779999999997</v>
      </c>
      <c r="K2805">
        <v>1.1095600000000001</v>
      </c>
      <c r="L2805">
        <v>213.86019999999999</v>
      </c>
      <c r="M2805">
        <v>0.99988290000000002</v>
      </c>
      <c r="N2805">
        <v>0</v>
      </c>
      <c r="O2805">
        <v>-5.0407589999999997E-3</v>
      </c>
      <c r="P2805">
        <v>0.99113969999999996</v>
      </c>
      <c r="Q2805">
        <v>0.12528259999999999</v>
      </c>
      <c r="R2805">
        <v>-4.4119430000000001E-2</v>
      </c>
      <c r="S2805">
        <v>3.0307309999999998</v>
      </c>
      <c r="T2805">
        <v>-0.17138310000000001</v>
      </c>
      <c r="U2805">
        <v>-0.41329959999999999</v>
      </c>
      <c r="V2805">
        <v>3.9292750000000001E-2</v>
      </c>
      <c r="W2805">
        <v>0.13954749999999999</v>
      </c>
      <c r="X2805">
        <v>0.98943550000000002</v>
      </c>
      <c r="Y2805">
        <v>0.1299264</v>
      </c>
      <c r="Z2805">
        <v>-3.3702530000000001E-3</v>
      </c>
      <c r="AA2805">
        <v>0.99151789999999995</v>
      </c>
      <c r="AB2805">
        <v>43</v>
      </c>
      <c r="AC2805">
        <v>19.188400000000001</v>
      </c>
      <c r="AD2805">
        <v>-1.109556826688</v>
      </c>
      <c r="AE2805">
        <v>-2.67339999999998</v>
      </c>
      <c r="AF2805">
        <v>2.56820813865526</v>
      </c>
      <c r="AG2805">
        <v>-1.109556826688</v>
      </c>
      <c r="AH2805">
        <v>19.138858318875599</v>
      </c>
      <c r="AI2805">
        <v>93.288543742897303</v>
      </c>
      <c r="AJ2805">
        <v>82.357239709544501</v>
      </c>
      <c r="AK2805">
        <v>19.342251863345702</v>
      </c>
      <c r="AL2805">
        <v>81.978337258798504</v>
      </c>
      <c r="AM2805">
        <v>87.725848353365805</v>
      </c>
      <c r="AN2805">
        <v>1.00000001680953</v>
      </c>
    </row>
    <row r="2806" spans="1:40" x14ac:dyDescent="0.25">
      <c r="A2806" t="str">
        <f>"20190312164321220"</f>
        <v>20190312164321220</v>
      </c>
      <c r="B2806" t="str">
        <f>"1552380201217017"</f>
        <v>1552380201217017</v>
      </c>
      <c r="C2806" t="s">
        <v>40</v>
      </c>
      <c r="D2806">
        <v>4.4424099999999997</v>
      </c>
      <c r="E2806">
        <v>0.53829959999999999</v>
      </c>
      <c r="F2806" t="s">
        <v>46</v>
      </c>
      <c r="G2806">
        <v>-258.55680000000001</v>
      </c>
      <c r="H2806" s="1">
        <v>3.1645860000000002E-6</v>
      </c>
      <c r="I2806">
        <v>211.23330000000001</v>
      </c>
      <c r="J2806">
        <v>-277.3356</v>
      </c>
      <c r="K2806">
        <v>1.109559</v>
      </c>
      <c r="L2806">
        <v>213.85769999999999</v>
      </c>
      <c r="M2806">
        <v>0.99988089999999996</v>
      </c>
      <c r="N2806">
        <v>0</v>
      </c>
      <c r="O2806">
        <v>-5.4548440000000004E-3</v>
      </c>
      <c r="P2806">
        <v>0.9912204</v>
      </c>
      <c r="Q2806">
        <v>0.1247385</v>
      </c>
      <c r="R2806">
        <v>-4.3852170000000003E-2</v>
      </c>
      <c r="S2806">
        <v>3.0304869999999999</v>
      </c>
      <c r="T2806">
        <v>-0.17512130000000001</v>
      </c>
      <c r="U2806">
        <v>-0.41459659999999898</v>
      </c>
      <c r="V2806">
        <v>3.8613599999999998E-2</v>
      </c>
      <c r="W2806">
        <v>0.13900309999999999</v>
      </c>
      <c r="X2806">
        <v>0.98953880000000005</v>
      </c>
      <c r="Y2806">
        <v>0.1299351</v>
      </c>
      <c r="Z2806">
        <v>-3.4202719999999998E-3</v>
      </c>
      <c r="AA2806">
        <v>0.99151659999999997</v>
      </c>
      <c r="AB2806">
        <v>43</v>
      </c>
      <c r="AC2806">
        <v>18.778799999999901</v>
      </c>
      <c r="AD2806">
        <v>-1.109555835414</v>
      </c>
      <c r="AE2806">
        <v>-2.6243999999999801</v>
      </c>
      <c r="AF2806">
        <v>2.5133087121256699</v>
      </c>
      <c r="AG2806">
        <v>-1.109555835414</v>
      </c>
      <c r="AH2806">
        <v>18.728706446319801</v>
      </c>
      <c r="AI2806">
        <v>93.360392126106404</v>
      </c>
      <c r="AJ2806">
        <v>82.356824707601504</v>
      </c>
      <c r="AK2806">
        <v>18.929138384690599</v>
      </c>
      <c r="AL2806">
        <v>82.009835575336993</v>
      </c>
      <c r="AM2806">
        <v>87.765348466878706</v>
      </c>
      <c r="AN2806">
        <v>0.99999995431000399</v>
      </c>
    </row>
    <row r="2807" spans="1:40" x14ac:dyDescent="0.25">
      <c r="A2807" t="str">
        <f>"20190312164321245"</f>
        <v>20190312164321245</v>
      </c>
      <c r="B2807" t="str">
        <f>"1552380201237513"</f>
        <v>1552380201237513</v>
      </c>
      <c r="C2807" t="s">
        <v>40</v>
      </c>
      <c r="D2807">
        <v>4.5071899999999996</v>
      </c>
      <c r="E2807">
        <v>0.53840589999999999</v>
      </c>
      <c r="F2807" t="s">
        <v>46</v>
      </c>
      <c r="G2807">
        <v>-258.31720000000001</v>
      </c>
      <c r="H2807" s="1">
        <v>3.036496E-6</v>
      </c>
      <c r="I2807">
        <v>211.2465</v>
      </c>
      <c r="J2807">
        <v>-276.88780000000003</v>
      </c>
      <c r="K2807">
        <v>1.1095600000000001</v>
      </c>
      <c r="L2807">
        <v>213.85489999999999</v>
      </c>
      <c r="M2807">
        <v>0.9998783</v>
      </c>
      <c r="N2807">
        <v>0</v>
      </c>
      <c r="O2807">
        <v>-5.8934879999999997E-3</v>
      </c>
      <c r="P2807">
        <v>0.99115410000000004</v>
      </c>
      <c r="Q2807">
        <v>0.12531709999999999</v>
      </c>
      <c r="R2807">
        <v>-4.36929E-2</v>
      </c>
      <c r="S2807">
        <v>3.0304570000000002</v>
      </c>
      <c r="T2807">
        <v>-0.17679990000000001</v>
      </c>
      <c r="U2807">
        <v>-0.41607670000000002</v>
      </c>
      <c r="V2807">
        <v>3.802059E-2</v>
      </c>
      <c r="W2807">
        <v>0.13957919999999999</v>
      </c>
      <c r="X2807">
        <v>0.98948069999999999</v>
      </c>
      <c r="Y2807">
        <v>0.12997359999999999</v>
      </c>
      <c r="Z2807">
        <v>-3.4285919999999998E-3</v>
      </c>
      <c r="AA2807">
        <v>0.99151149999999999</v>
      </c>
      <c r="AB2807">
        <v>43</v>
      </c>
      <c r="AC2807">
        <v>18.570599999999999</v>
      </c>
      <c r="AD2807">
        <v>-1.1095569635039999</v>
      </c>
      <c r="AE2807">
        <v>-2.6083999999999801</v>
      </c>
      <c r="AF2807">
        <v>2.4901801321689199</v>
      </c>
      <c r="AG2807">
        <v>-1.1095569635039999</v>
      </c>
      <c r="AH2807">
        <v>18.5208146142201</v>
      </c>
      <c r="AI2807">
        <v>93.397912107484501</v>
      </c>
      <c r="AJ2807">
        <v>82.342331113641094</v>
      </c>
      <c r="AK2807">
        <v>18.720381612569199</v>
      </c>
      <c r="AL2807">
        <v>81.976502790583496</v>
      </c>
      <c r="AM2807">
        <v>87.799504153380695</v>
      </c>
      <c r="AN2807">
        <v>0.99999998700453896</v>
      </c>
    </row>
    <row r="2808" spans="1:40" x14ac:dyDescent="0.25">
      <c r="A2808" t="str">
        <f>"20190312164321267"</f>
        <v>20190312164321267</v>
      </c>
      <c r="B2808" t="str">
        <f>"1552380201257032"</f>
        <v>1552380201257032</v>
      </c>
      <c r="C2808" t="s">
        <v>40</v>
      </c>
      <c r="D2808">
        <v>4.6711340000000003</v>
      </c>
      <c r="E2808">
        <v>0.54280299999999904</v>
      </c>
      <c r="F2808" t="s">
        <v>46</v>
      </c>
      <c r="G2808">
        <v>-257.68430000000001</v>
      </c>
      <c r="H2808" s="1">
        <v>2.7012519999999998E-6</v>
      </c>
      <c r="I2808">
        <v>211.21109999999999</v>
      </c>
      <c r="J2808">
        <v>-276.44290000000001</v>
      </c>
      <c r="K2808">
        <v>1.109564</v>
      </c>
      <c r="L2808">
        <v>213.8519</v>
      </c>
      <c r="M2808">
        <v>0.99987570000000003</v>
      </c>
      <c r="N2808">
        <v>0</v>
      </c>
      <c r="O2808">
        <v>-6.3296259999999997E-3</v>
      </c>
      <c r="P2808">
        <v>0.99111649999999996</v>
      </c>
      <c r="Q2808">
        <v>0.12586989999999901</v>
      </c>
      <c r="R2808">
        <v>-4.2953739999999997E-2</v>
      </c>
      <c r="S2808">
        <v>3.030548</v>
      </c>
      <c r="T2808">
        <v>-0.17510129999999999</v>
      </c>
      <c r="U2808">
        <v>-0.41722110000000001</v>
      </c>
      <c r="V2808">
        <v>3.6849769999999997E-2</v>
      </c>
      <c r="W2808">
        <v>0.14013020000000001</v>
      </c>
      <c r="X2808">
        <v>0.98944710000000002</v>
      </c>
      <c r="Y2808">
        <v>0.12990930000000001</v>
      </c>
      <c r="Z2808">
        <v>-3.3686139999999998E-3</v>
      </c>
      <c r="AA2808">
        <v>0.99152019999999996</v>
      </c>
      <c r="AB2808">
        <v>43</v>
      </c>
      <c r="AC2808">
        <v>18.758600000000001</v>
      </c>
      <c r="AD2808">
        <v>-1.1095612987479999</v>
      </c>
      <c r="AE2808">
        <v>-2.6408000000000098</v>
      </c>
      <c r="AF2808">
        <v>2.5133772176225002</v>
      </c>
      <c r="AG2808">
        <v>-1.1095612987479999</v>
      </c>
      <c r="AH2808">
        <v>18.7107507615606</v>
      </c>
      <c r="AI2808">
        <v>93.363567417257499</v>
      </c>
      <c r="AJ2808">
        <v>82.349370740800794</v>
      </c>
      <c r="AK2808">
        <v>18.911382428976101</v>
      </c>
      <c r="AL2808">
        <v>81.944619338128604</v>
      </c>
      <c r="AM2808">
        <v>87.867131098166794</v>
      </c>
      <c r="AN2808">
        <v>0.99999997109975103</v>
      </c>
    </row>
    <row r="2809" spans="1:40" x14ac:dyDescent="0.25">
      <c r="A2809" t="str">
        <f>"20190312164321288"</f>
        <v>20190312164321288</v>
      </c>
      <c r="B2809" t="str">
        <f>"1552380201277530"</f>
        <v>1552380201277530</v>
      </c>
      <c r="C2809" t="s">
        <v>40</v>
      </c>
      <c r="D2809">
        <v>4.4326480000000004</v>
      </c>
      <c r="E2809">
        <v>0.54070490000000004</v>
      </c>
      <c r="F2809" t="s">
        <v>41</v>
      </c>
      <c r="G2809">
        <v>-275.45299999999997</v>
      </c>
      <c r="H2809">
        <v>1.0293969999999999</v>
      </c>
      <c r="I2809">
        <v>213.70580000000001</v>
      </c>
      <c r="J2809">
        <v>-276.0455</v>
      </c>
      <c r="K2809">
        <v>1.109564</v>
      </c>
      <c r="L2809">
        <v>213.84899999999999</v>
      </c>
      <c r="M2809">
        <v>0.99987320000000002</v>
      </c>
      <c r="N2809">
        <v>0</v>
      </c>
      <c r="O2809">
        <v>-6.7193950000000004E-3</v>
      </c>
      <c r="P2809">
        <v>0.99115750000000002</v>
      </c>
      <c r="Q2809">
        <v>0.1257123</v>
      </c>
      <c r="R2809">
        <v>-4.2465999999999997E-2</v>
      </c>
      <c r="S2809">
        <v>3.0387569999999999</v>
      </c>
      <c r="T2809">
        <v>-0.2461827</v>
      </c>
      <c r="U2809">
        <v>-0.44766240000000002</v>
      </c>
      <c r="V2809">
        <v>3.5974850000000003E-2</v>
      </c>
      <c r="W2809">
        <v>0.13997299999999999</v>
      </c>
      <c r="X2809">
        <v>0.98950159999999998</v>
      </c>
      <c r="Y2809">
        <v>0.13866989999999901</v>
      </c>
      <c r="Z2809">
        <v>-5.0374180000000001E-3</v>
      </c>
      <c r="AA2809">
        <v>0.99032589999999998</v>
      </c>
      <c r="AB2809">
        <v>43</v>
      </c>
      <c r="AC2809">
        <v>0.592500000000029</v>
      </c>
      <c r="AD2809">
        <v>-8.0167000000000099E-2</v>
      </c>
      <c r="AE2809">
        <v>-0.14320000000000699</v>
      </c>
      <c r="AF2809">
        <v>0.13684811031098401</v>
      </c>
      <c r="AG2809">
        <v>-8.0167000000000099E-2</v>
      </c>
      <c r="AH2809">
        <v>0.58335884554909201</v>
      </c>
      <c r="AI2809">
        <v>97.620412571054999</v>
      </c>
      <c r="AJ2809">
        <v>76.797902727499803</v>
      </c>
      <c r="AK2809">
        <v>0.60453428014055299</v>
      </c>
      <c r="AL2809">
        <v>81.953716312944394</v>
      </c>
      <c r="AM2809">
        <v>87.917841035377506</v>
      </c>
      <c r="AN2809">
        <v>1.0000000234820401</v>
      </c>
    </row>
    <row r="2810" spans="1:40" x14ac:dyDescent="0.25">
      <c r="A2810" t="str">
        <f>"20190312164321310"</f>
        <v>20190312164321310</v>
      </c>
      <c r="B2810" t="str">
        <f>"1552380201307785"</f>
        <v>1552380201307785</v>
      </c>
      <c r="C2810" t="s">
        <v>40</v>
      </c>
      <c r="D2810">
        <v>4.4325340000000004</v>
      </c>
      <c r="E2810">
        <v>0.540049</v>
      </c>
      <c r="F2810" t="s">
        <v>41</v>
      </c>
      <c r="G2810">
        <v>-275.07049999999998</v>
      </c>
      <c r="H2810">
        <v>1.0309269999999999</v>
      </c>
      <c r="I2810">
        <v>213.71109999999999</v>
      </c>
      <c r="J2810">
        <v>-275.61590000000001</v>
      </c>
      <c r="K2810">
        <v>1.1095710000000001</v>
      </c>
      <c r="L2810">
        <v>213.8458</v>
      </c>
      <c r="M2810">
        <v>0.99987040000000005</v>
      </c>
      <c r="N2810">
        <v>0</v>
      </c>
      <c r="O2810">
        <v>-7.141105E-3</v>
      </c>
      <c r="P2810">
        <v>0.99111249999999995</v>
      </c>
      <c r="Q2810">
        <v>0.12621399999999999</v>
      </c>
      <c r="R2810">
        <v>-4.2024680000000002E-2</v>
      </c>
      <c r="S2810">
        <v>3.0394899999999998</v>
      </c>
      <c r="T2810">
        <v>-0.2452029</v>
      </c>
      <c r="U2810">
        <v>-0.42964170000000002</v>
      </c>
      <c r="V2810">
        <v>3.5116359999999999E-2</v>
      </c>
      <c r="W2810">
        <v>0.14047200000000001</v>
      </c>
      <c r="X2810">
        <v>0.9894617</v>
      </c>
      <c r="Y2810">
        <v>0.13248760000000001</v>
      </c>
      <c r="Z2810">
        <v>-4.7368100000000002E-3</v>
      </c>
      <c r="AA2810">
        <v>0.99117330000000003</v>
      </c>
      <c r="AB2810">
        <v>43</v>
      </c>
      <c r="AC2810">
        <v>0.54540000000002897</v>
      </c>
      <c r="AD2810">
        <v>-7.86439999999997E-2</v>
      </c>
      <c r="AE2810">
        <v>-0.13470000000000901</v>
      </c>
      <c r="AF2810">
        <v>0.12828736817830599</v>
      </c>
      <c r="AG2810">
        <v>-7.86439999999997E-2</v>
      </c>
      <c r="AH2810">
        <v>0.53584716401258503</v>
      </c>
      <c r="AI2810">
        <v>98.123087145522703</v>
      </c>
      <c r="AJ2810">
        <v>76.536214324564796</v>
      </c>
      <c r="AK2810">
        <v>0.55657408379338602</v>
      </c>
      <c r="AL2810">
        <v>81.924840224196203</v>
      </c>
      <c r="AM2810">
        <v>87.967404801469797</v>
      </c>
      <c r="AN2810">
        <v>0.99999999864526901</v>
      </c>
    </row>
    <row r="2811" spans="1:40" x14ac:dyDescent="0.25">
      <c r="A2811" t="str">
        <f>"20190312164321334"</f>
        <v>20190312164321334</v>
      </c>
      <c r="B2811" t="str">
        <f>"1552380201327306"</f>
        <v>1552380201327306</v>
      </c>
      <c r="C2811" t="s">
        <v>40</v>
      </c>
      <c r="D2811">
        <v>4.3833380000000002</v>
      </c>
      <c r="E2811">
        <v>0.54030219999999995</v>
      </c>
      <c r="F2811" t="s">
        <v>41</v>
      </c>
      <c r="G2811">
        <v>-274.6866</v>
      </c>
      <c r="H2811">
        <v>1.0351619999999999</v>
      </c>
      <c r="I2811">
        <v>213.71619999999999</v>
      </c>
      <c r="J2811">
        <v>-275.16070000000002</v>
      </c>
      <c r="K2811">
        <v>1.1095740000000001</v>
      </c>
      <c r="L2811">
        <v>213.84209999999999</v>
      </c>
      <c r="M2811">
        <v>0.99986699999999995</v>
      </c>
      <c r="N2811">
        <v>0</v>
      </c>
      <c r="O2811">
        <v>-7.5874899999999997E-3</v>
      </c>
      <c r="P2811">
        <v>0.99099800000000005</v>
      </c>
      <c r="Q2811">
        <v>0.12687370000000001</v>
      </c>
      <c r="R2811">
        <v>-4.2736150000000001E-2</v>
      </c>
      <c r="S2811">
        <v>3.0399780000000001</v>
      </c>
      <c r="T2811">
        <v>-0.243504</v>
      </c>
      <c r="U2811">
        <v>-0.42288209999999998</v>
      </c>
      <c r="V2811">
        <v>3.5386540000000001E-2</v>
      </c>
      <c r="W2811">
        <v>0.14112720000000001</v>
      </c>
      <c r="X2811">
        <v>0.98935879999999998</v>
      </c>
      <c r="Y2811">
        <v>0.1298763</v>
      </c>
      <c r="Z2811">
        <v>-4.5646250000000001E-3</v>
      </c>
      <c r="AA2811">
        <v>0.9915197</v>
      </c>
      <c r="AB2811">
        <v>43</v>
      </c>
      <c r="AC2811">
        <v>0.474100000000021</v>
      </c>
      <c r="AD2811">
        <v>-7.4411999999999895E-2</v>
      </c>
      <c r="AE2811">
        <v>-0.12590000000000101</v>
      </c>
      <c r="AF2811">
        <v>0.11954775760568501</v>
      </c>
      <c r="AG2811">
        <v>-7.4411999999999895E-2</v>
      </c>
      <c r="AH2811">
        <v>0.46435602882052002</v>
      </c>
      <c r="AI2811">
        <v>98.821215137630602</v>
      </c>
      <c r="AJ2811">
        <v>75.562802794439193</v>
      </c>
      <c r="AK2811">
        <v>0.48523739921249998</v>
      </c>
      <c r="AL2811">
        <v>81.886922015520597</v>
      </c>
      <c r="AM2811">
        <v>87.951566741085898</v>
      </c>
      <c r="AN2811">
        <v>0.99999996446522499</v>
      </c>
    </row>
    <row r="2812" spans="1:40" x14ac:dyDescent="0.25">
      <c r="A2812" t="str">
        <f>"20190312164321356"</f>
        <v>20190312164321356</v>
      </c>
      <c r="B2812" t="str">
        <f>"1552380201347801"</f>
        <v>1552380201347801</v>
      </c>
      <c r="C2812" t="s">
        <v>40</v>
      </c>
      <c r="D2812">
        <v>4.4262810000000004</v>
      </c>
      <c r="E2812">
        <v>0.54080030000000001</v>
      </c>
      <c r="F2812" t="s">
        <v>41</v>
      </c>
      <c r="G2812">
        <v>-274.30070000000001</v>
      </c>
      <c r="H2812">
        <v>1.041733</v>
      </c>
      <c r="I2812">
        <v>213.72130000000001</v>
      </c>
      <c r="J2812">
        <v>-274.73899999999998</v>
      </c>
      <c r="K2812">
        <v>1.10958</v>
      </c>
      <c r="L2812">
        <v>213.83860000000001</v>
      </c>
      <c r="M2812">
        <v>0.99986370000000002</v>
      </c>
      <c r="N2812">
        <v>0</v>
      </c>
      <c r="O2812">
        <v>-8.0018069999999997E-3</v>
      </c>
      <c r="P2812">
        <v>0.99086370000000001</v>
      </c>
      <c r="Q2812">
        <v>0.12781500000000001</v>
      </c>
      <c r="R2812">
        <v>-4.3040109999999999E-2</v>
      </c>
      <c r="S2812">
        <v>3.0395509999999999</v>
      </c>
      <c r="T2812">
        <v>-0.23970810000000001</v>
      </c>
      <c r="U2812">
        <v>-0.42686459999999998</v>
      </c>
      <c r="V2812">
        <v>3.5281729999999997E-2</v>
      </c>
      <c r="W2812">
        <v>0.14206469999999999</v>
      </c>
      <c r="X2812">
        <v>0.98922840000000001</v>
      </c>
      <c r="Y2812">
        <v>0.130769</v>
      </c>
      <c r="Z2812">
        <v>-4.4964239999999997E-3</v>
      </c>
      <c r="AA2812">
        <v>0.99140269999999997</v>
      </c>
      <c r="AB2812">
        <v>43</v>
      </c>
      <c r="AC2812">
        <v>0.438300000000026</v>
      </c>
      <c r="AD2812">
        <v>-6.7846999999999894E-2</v>
      </c>
      <c r="AE2812">
        <v>-0.1173</v>
      </c>
      <c r="AF2812">
        <v>0.111299992498554</v>
      </c>
      <c r="AG2812">
        <v>-6.7846999999999894E-2</v>
      </c>
      <c r="AH2812">
        <v>0.42961830996597999</v>
      </c>
      <c r="AI2812">
        <v>98.6919087041137</v>
      </c>
      <c r="AJ2812">
        <v>75.475859035954699</v>
      </c>
      <c r="AK2812">
        <v>0.44895745455132202</v>
      </c>
      <c r="AL2812">
        <v>81.832660828550601</v>
      </c>
      <c r="AM2812">
        <v>87.957359771983803</v>
      </c>
      <c r="AN2812">
        <v>1.0000000034122201</v>
      </c>
    </row>
    <row r="2813" spans="1:40" x14ac:dyDescent="0.25">
      <c r="A2813" t="str">
        <f>"20190312164321378"</f>
        <v>20190312164321378</v>
      </c>
      <c r="B2813" t="str">
        <f>"1552380201367322"</f>
        <v>1552380201367322</v>
      </c>
      <c r="C2813" t="s">
        <v>40</v>
      </c>
      <c r="D2813">
        <v>4.4424609999999998</v>
      </c>
      <c r="E2813">
        <v>0.54196080000000002</v>
      </c>
      <c r="F2813" t="s">
        <v>41</v>
      </c>
      <c r="G2813">
        <v>-273.91669999999999</v>
      </c>
      <c r="H2813">
        <v>1.045639</v>
      </c>
      <c r="I2813">
        <v>213.72139999999999</v>
      </c>
      <c r="J2813">
        <v>-274.33879999999999</v>
      </c>
      <c r="K2813">
        <v>1.10958</v>
      </c>
      <c r="L2813">
        <v>213.83510000000001</v>
      </c>
      <c r="M2813">
        <v>0.99986079999999999</v>
      </c>
      <c r="N2813">
        <v>0</v>
      </c>
      <c r="O2813">
        <v>-8.3952660000000002E-3</v>
      </c>
      <c r="P2813">
        <v>0.99069759999999996</v>
      </c>
      <c r="Q2813">
        <v>0.12913369999999999</v>
      </c>
      <c r="R2813">
        <v>-4.2929639999999998E-2</v>
      </c>
      <c r="S2813">
        <v>3.0394290000000002</v>
      </c>
      <c r="T2813">
        <v>-0.23647860000000001</v>
      </c>
      <c r="U2813">
        <v>-0.43229679999999998</v>
      </c>
      <c r="V2813">
        <v>3.4784080000000002E-2</v>
      </c>
      <c r="W2813">
        <v>0.14337859999999999</v>
      </c>
      <c r="X2813">
        <v>0.98905639999999995</v>
      </c>
      <c r="Y2813">
        <v>0.13212860000000001</v>
      </c>
      <c r="Z2813">
        <v>-4.4577949999999996E-3</v>
      </c>
      <c r="AA2813">
        <v>0.99122259999999995</v>
      </c>
      <c r="AB2813">
        <v>43</v>
      </c>
      <c r="AC2813">
        <v>0.42209999999999998</v>
      </c>
      <c r="AD2813">
        <v>-6.3940999999999998E-2</v>
      </c>
      <c r="AE2813">
        <v>-0.11370000000002201</v>
      </c>
      <c r="AF2813">
        <v>0.107844673277184</v>
      </c>
      <c r="AG2813">
        <v>-6.3940999999999998E-2</v>
      </c>
      <c r="AH2813">
        <v>0.41417852072601402</v>
      </c>
      <c r="AI2813">
        <v>98.497074795768697</v>
      </c>
      <c r="AJ2813">
        <v>75.405279195839299</v>
      </c>
      <c r="AK2813">
        <v>0.43273868797006398</v>
      </c>
      <c r="AL2813">
        <v>81.756600895733698</v>
      </c>
      <c r="AM2813">
        <v>87.985797462045895</v>
      </c>
      <c r="AN2813">
        <v>0.999999958770182</v>
      </c>
    </row>
    <row r="2814" spans="1:40" x14ac:dyDescent="0.25">
      <c r="A2814" t="str">
        <f>"20190312164321399"</f>
        <v>20190312164321399</v>
      </c>
      <c r="B2814" t="str">
        <f>"1552380201387818"</f>
        <v>1552380201387818</v>
      </c>
      <c r="C2814" t="s">
        <v>40</v>
      </c>
      <c r="D2814">
        <v>4.4082819999999998</v>
      </c>
      <c r="E2814">
        <v>0.55912640000000002</v>
      </c>
      <c r="F2814" t="s">
        <v>41</v>
      </c>
      <c r="G2814">
        <v>-273.52890000000002</v>
      </c>
      <c r="H2814">
        <v>1.048359</v>
      </c>
      <c r="I2814">
        <v>213.7174</v>
      </c>
      <c r="J2814">
        <v>-273.93</v>
      </c>
      <c r="K2814">
        <v>1.1095889999999999</v>
      </c>
      <c r="L2814">
        <v>213.8313</v>
      </c>
      <c r="M2814">
        <v>0.9998572</v>
      </c>
      <c r="N2814">
        <v>0</v>
      </c>
      <c r="O2814">
        <v>-8.7953909999999996E-3</v>
      </c>
      <c r="P2814">
        <v>0.99058460000000004</v>
      </c>
      <c r="Q2814">
        <v>0.1301128</v>
      </c>
      <c r="R2814">
        <v>-4.2579390000000002E-2</v>
      </c>
      <c r="S2814">
        <v>3.0390009999999998</v>
      </c>
      <c r="T2814">
        <v>-0.2296745</v>
      </c>
      <c r="U2814">
        <v>-0.44175720000000002</v>
      </c>
      <c r="V2814">
        <v>3.4039E-2</v>
      </c>
      <c r="W2814">
        <v>0.14435490000000001</v>
      </c>
      <c r="X2814">
        <v>0.98894040000000005</v>
      </c>
      <c r="Y2814">
        <v>0.13478860000000001</v>
      </c>
      <c r="Z2814">
        <v>-4.3993670000000004E-3</v>
      </c>
      <c r="AA2814">
        <v>0.99086459999999998</v>
      </c>
      <c r="AB2814">
        <v>43</v>
      </c>
      <c r="AC2814">
        <v>0.40109999999998502</v>
      </c>
      <c r="AD2814">
        <v>-6.1229999999999903E-2</v>
      </c>
      <c r="AE2814">
        <v>-0.1139</v>
      </c>
      <c r="AF2814">
        <v>0.108037599734158</v>
      </c>
      <c r="AG2814">
        <v>-6.1229999999999903E-2</v>
      </c>
      <c r="AH2814">
        <v>0.39359855911797198</v>
      </c>
      <c r="AI2814">
        <v>98.531655856427193</v>
      </c>
      <c r="AJ2814">
        <v>74.651090432689003</v>
      </c>
      <c r="AK2814">
        <v>0.41272395326181699</v>
      </c>
      <c r="AL2814">
        <v>81.700075771494397</v>
      </c>
      <c r="AM2814">
        <v>88.028676543984204</v>
      </c>
      <c r="AN2814">
        <v>1.0000000527135799</v>
      </c>
    </row>
    <row r="2815" spans="1:40" x14ac:dyDescent="0.25">
      <c r="A2815" t="str">
        <f>"20190312164321421"</f>
        <v>20190312164321421</v>
      </c>
      <c r="B2815" t="str">
        <f>"1552380201417101"</f>
        <v>1552380201417101</v>
      </c>
      <c r="C2815" t="s">
        <v>40</v>
      </c>
      <c r="D2815">
        <v>4.4918170000000002</v>
      </c>
      <c r="E2815">
        <v>0.56008259999999999</v>
      </c>
      <c r="F2815" t="s">
        <v>46</v>
      </c>
      <c r="G2815">
        <v>-259.97239999999999</v>
      </c>
      <c r="H2815" s="1">
        <v>-1.4010429999999999E-6</v>
      </c>
      <c r="I2815">
        <v>211.17449999999999</v>
      </c>
      <c r="J2815">
        <v>-273.49900000000002</v>
      </c>
      <c r="K2815">
        <v>1.1095919999999999</v>
      </c>
      <c r="L2815">
        <v>213.8271</v>
      </c>
      <c r="M2815">
        <v>0.99985360000000001</v>
      </c>
      <c r="N2815">
        <v>0</v>
      </c>
      <c r="O2815">
        <v>-9.2156430000000008E-3</v>
      </c>
      <c r="P2815">
        <v>0.99059129999999995</v>
      </c>
      <c r="Q2815">
        <v>0.13015299999999999</v>
      </c>
      <c r="R2815">
        <v>-4.2300879999999999E-2</v>
      </c>
      <c r="S2815">
        <v>3.035339</v>
      </c>
      <c r="T2815">
        <v>-0.24130080000000001</v>
      </c>
      <c r="U2815">
        <v>-0.57775880000000002</v>
      </c>
      <c r="V2815">
        <v>3.3343209999999998E-2</v>
      </c>
      <c r="W2815">
        <v>0.14439360000000001</v>
      </c>
      <c r="X2815">
        <v>0.98895840000000002</v>
      </c>
      <c r="Y2815">
        <v>0.17741299999999999</v>
      </c>
      <c r="Z2815">
        <v>-6.2535589999999997E-3</v>
      </c>
      <c r="AA2815">
        <v>0.98411660000000001</v>
      </c>
      <c r="AB2815">
        <v>43</v>
      </c>
      <c r="AC2815">
        <v>13.5266</v>
      </c>
      <c r="AD2815">
        <v>-1.109593401043</v>
      </c>
      <c r="AE2815">
        <v>-2.6526000000000001</v>
      </c>
      <c r="AF2815">
        <v>2.5115437348751102</v>
      </c>
      <c r="AG2815">
        <v>-1.109593401043</v>
      </c>
      <c r="AH2815">
        <v>13.463234233044499</v>
      </c>
      <c r="AI2815">
        <v>94.631922405472594</v>
      </c>
      <c r="AJ2815">
        <v>79.433029140880095</v>
      </c>
      <c r="AK2815">
        <v>13.7403684616406</v>
      </c>
      <c r="AL2815">
        <v>81.697834500376899</v>
      </c>
      <c r="AM2815">
        <v>88.068976591828402</v>
      </c>
      <c r="AN2815">
        <v>0.99999999915231197</v>
      </c>
    </row>
    <row r="2816" spans="1:40" x14ac:dyDescent="0.25">
      <c r="A2816" t="str">
        <f>"20190312164321446"</f>
        <v>20190312164321446</v>
      </c>
      <c r="B2816" t="str">
        <f>"1552380201437596"</f>
        <v>1552380201437596</v>
      </c>
      <c r="C2816" t="s">
        <v>40</v>
      </c>
      <c r="D2816">
        <v>5.1766949999999996</v>
      </c>
      <c r="E2816">
        <v>0.56052539999999995</v>
      </c>
      <c r="F2816" t="s">
        <v>46</v>
      </c>
      <c r="G2816">
        <v>-259.58449999999999</v>
      </c>
      <c r="H2816" s="1">
        <v>3.7152399999999999E-6</v>
      </c>
      <c r="I2816">
        <v>211.14680000000001</v>
      </c>
      <c r="J2816">
        <v>-273.04939999999999</v>
      </c>
      <c r="K2816">
        <v>1.1095930000000001</v>
      </c>
      <c r="L2816">
        <v>213.82259999999999</v>
      </c>
      <c r="M2816">
        <v>0.99984960000000001</v>
      </c>
      <c r="N2816">
        <v>0</v>
      </c>
      <c r="O2816">
        <v>-9.6518569999999998E-3</v>
      </c>
      <c r="P2816">
        <v>0.99064529999999995</v>
      </c>
      <c r="Q2816">
        <v>0.12990160000000001</v>
      </c>
      <c r="R2816">
        <v>-4.1806030000000001E-2</v>
      </c>
      <c r="S2816">
        <v>3.035339</v>
      </c>
      <c r="T2816">
        <v>-0.24204700000000001</v>
      </c>
      <c r="U2816">
        <v>-0.58468629999999999</v>
      </c>
      <c r="V2816">
        <v>3.2414419999999999E-2</v>
      </c>
      <c r="W2816">
        <v>0.14414170000000001</v>
      </c>
      <c r="X2816">
        <v>0.98902599999999996</v>
      </c>
      <c r="Y2816">
        <v>0.1791431</v>
      </c>
      <c r="Z2816">
        <v>-6.3053550000000003E-3</v>
      </c>
      <c r="AA2816">
        <v>0.98380279999999998</v>
      </c>
      <c r="AB2816">
        <v>43</v>
      </c>
      <c r="AC2816">
        <v>13.4649</v>
      </c>
      <c r="AD2816">
        <v>-1.10958928476</v>
      </c>
      <c r="AE2816">
        <v>-2.6757999999999802</v>
      </c>
      <c r="AF2816">
        <v>2.52917801258315</v>
      </c>
      <c r="AG2816">
        <v>-1.10958928476</v>
      </c>
      <c r="AH2816">
        <v>13.402546034654501</v>
      </c>
      <c r="AI2816">
        <v>94.650973618485395</v>
      </c>
      <c r="AJ2816">
        <v>79.313453972503893</v>
      </c>
      <c r="AK2816">
        <v>13.684157628850301</v>
      </c>
      <c r="AL2816">
        <v>81.712419700231607</v>
      </c>
      <c r="AM2816">
        <v>88.122855292348802</v>
      </c>
      <c r="AN2816">
        <v>0.99999997648941197</v>
      </c>
    </row>
    <row r="2817" spans="1:40" x14ac:dyDescent="0.25">
      <c r="A2817" t="str">
        <f>"20190312164321469"</f>
        <v>20190312164321469</v>
      </c>
      <c r="B2817" t="str">
        <f>"1552380201457116"</f>
        <v>1552380201457116</v>
      </c>
      <c r="C2817" t="s">
        <v>40</v>
      </c>
      <c r="D2817">
        <v>4.4450659999999997</v>
      </c>
      <c r="E2817">
        <v>0.56047069999999999</v>
      </c>
      <c r="F2817" t="s">
        <v>46</v>
      </c>
      <c r="G2817">
        <v>-258.608</v>
      </c>
      <c r="H2817" s="1">
        <v>3.2007909999999999E-6</v>
      </c>
      <c r="I2817">
        <v>211.02860000000001</v>
      </c>
      <c r="J2817">
        <v>-272.58870000000002</v>
      </c>
      <c r="K2817">
        <v>1.1095950000000001</v>
      </c>
      <c r="L2817">
        <v>213.8177</v>
      </c>
      <c r="M2817">
        <v>0.99984499999999998</v>
      </c>
      <c r="N2817">
        <v>0</v>
      </c>
      <c r="O2817">
        <v>-1.0097729999999999E-2</v>
      </c>
      <c r="P2817">
        <v>0.99056880000000003</v>
      </c>
      <c r="Q2817">
        <v>0.1307471</v>
      </c>
      <c r="R2817">
        <v>-4.0972050000000003E-2</v>
      </c>
      <c r="S2817">
        <v>3.034119</v>
      </c>
      <c r="T2817">
        <v>-0.2331239</v>
      </c>
      <c r="U2817">
        <v>-0.58700559999999902</v>
      </c>
      <c r="V2817">
        <v>3.113956E-2</v>
      </c>
      <c r="W2817">
        <v>0.14498529999999901</v>
      </c>
      <c r="X2817">
        <v>0.98894369999999998</v>
      </c>
      <c r="Y2817">
        <v>0.17954030000000001</v>
      </c>
      <c r="Z2817">
        <v>-6.0567599999999996E-3</v>
      </c>
      <c r="AA2817">
        <v>0.98373200000000005</v>
      </c>
      <c r="AB2817">
        <v>42</v>
      </c>
      <c r="AC2817">
        <v>13.980700000000001</v>
      </c>
      <c r="AD2817">
        <v>-1.1095917992090001</v>
      </c>
      <c r="AE2817">
        <v>-2.7890999999999901</v>
      </c>
      <c r="AF2817">
        <v>2.6318265140246799</v>
      </c>
      <c r="AG2817">
        <v>-1.1095917992090001</v>
      </c>
      <c r="AH2817">
        <v>13.9238050983005</v>
      </c>
      <c r="AI2817">
        <v>94.477338991098904</v>
      </c>
      <c r="AJ2817">
        <v>79.296439238201003</v>
      </c>
      <c r="AK2817">
        <v>14.213727631281399</v>
      </c>
      <c r="AL2817">
        <v>81.663572269227899</v>
      </c>
      <c r="AM2817">
        <v>88.196483720374204</v>
      </c>
      <c r="AN2817">
        <v>1.0000000255913799</v>
      </c>
    </row>
    <row r="2818" spans="1:40" x14ac:dyDescent="0.25">
      <c r="A2818" t="str">
        <f>"20190312164321491"</f>
        <v>20190312164321491</v>
      </c>
      <c r="B2818" t="str">
        <f>"1552380201487372"</f>
        <v>1552380201487372</v>
      </c>
      <c r="C2818" t="s">
        <v>40</v>
      </c>
      <c r="D2818">
        <v>4.6333820000000001</v>
      </c>
      <c r="E2818">
        <v>0.56057609999999902</v>
      </c>
      <c r="F2818" t="s">
        <v>46</v>
      </c>
      <c r="G2818">
        <v>-257.0351</v>
      </c>
      <c r="H2818" s="1">
        <v>2.3728859999999998E-6</v>
      </c>
      <c r="I2818">
        <v>210.81970000000001</v>
      </c>
      <c r="J2818">
        <v>-272.19200000000001</v>
      </c>
      <c r="K2818">
        <v>1.1095969999999999</v>
      </c>
      <c r="L2818">
        <v>213.8134</v>
      </c>
      <c r="M2818">
        <v>0.99984130000000004</v>
      </c>
      <c r="N2818">
        <v>0</v>
      </c>
      <c r="O2818">
        <v>-1.04807999999999E-2</v>
      </c>
      <c r="P2818">
        <v>0.99048659999999999</v>
      </c>
      <c r="Q2818">
        <v>0.13181089999999901</v>
      </c>
      <c r="R2818">
        <v>-3.9527920000000001E-2</v>
      </c>
      <c r="S2818">
        <v>3.032959</v>
      </c>
      <c r="T2818">
        <v>-0.21637129999999999</v>
      </c>
      <c r="U2818">
        <v>-0.58462519999999996</v>
      </c>
      <c r="V2818">
        <v>2.9317449999999998E-2</v>
      </c>
      <c r="W2818">
        <v>0.14604719999999999</v>
      </c>
      <c r="X2818">
        <v>0.98884309999999997</v>
      </c>
      <c r="Y2818">
        <v>0.17855869999999999</v>
      </c>
      <c r="Z2818">
        <v>-5.5634589999999998E-3</v>
      </c>
      <c r="AA2818">
        <v>0.9839135</v>
      </c>
      <c r="AB2818">
        <v>42</v>
      </c>
      <c r="AC2818">
        <v>15.1569</v>
      </c>
      <c r="AD2818">
        <v>-1.109594627114</v>
      </c>
      <c r="AE2818">
        <v>-2.9936999999999898</v>
      </c>
      <c r="AF2818">
        <v>2.82011624873134</v>
      </c>
      <c r="AG2818">
        <v>-1.109594627114</v>
      </c>
      <c r="AH2818">
        <v>15.109511006080201</v>
      </c>
      <c r="AI2818">
        <v>94.129029529801002</v>
      </c>
      <c r="AJ2818">
        <v>79.427670452889998</v>
      </c>
      <c r="AK2818">
        <v>15.410437331099301</v>
      </c>
      <c r="AL2818">
        <v>81.602074970397993</v>
      </c>
      <c r="AM2818">
        <v>88.301778887751098</v>
      </c>
      <c r="AN2818">
        <v>0.99999998695997605</v>
      </c>
    </row>
    <row r="2819" spans="1:40" x14ac:dyDescent="0.25">
      <c r="A2819" t="str">
        <f>"20190312164321510"</f>
        <v>20190312164321510</v>
      </c>
      <c r="B2819" t="str">
        <f>"1552380201506892"</f>
        <v>1552380201506892</v>
      </c>
      <c r="C2819" t="s">
        <v>40</v>
      </c>
      <c r="D2819">
        <v>4.5428660000000001</v>
      </c>
      <c r="E2819">
        <v>0.52568380000000003</v>
      </c>
      <c r="F2819" t="s">
        <v>46</v>
      </c>
      <c r="G2819">
        <v>-255.55070000000001</v>
      </c>
      <c r="H2819" s="1">
        <v>1.5919580000000001E-6</v>
      </c>
      <c r="I2819">
        <v>210.614</v>
      </c>
      <c r="J2819">
        <v>-271.8075</v>
      </c>
      <c r="K2819">
        <v>1.109604</v>
      </c>
      <c r="L2819">
        <v>213.8091</v>
      </c>
      <c r="M2819">
        <v>0.99983739999999999</v>
      </c>
      <c r="N2819">
        <v>0</v>
      </c>
      <c r="O2819">
        <v>-1.085099E-2</v>
      </c>
      <c r="P2819">
        <v>0.99052300000000004</v>
      </c>
      <c r="Q2819">
        <v>0.131973799999999</v>
      </c>
      <c r="R2819">
        <v>-3.8040310000000001E-2</v>
      </c>
      <c r="S2819">
        <v>3.0325009999999999</v>
      </c>
      <c r="T2819">
        <v>-0.20219909999999999</v>
      </c>
      <c r="U2819">
        <v>-0.58300779999999996</v>
      </c>
      <c r="V2819">
        <v>2.7462480000000001E-2</v>
      </c>
      <c r="W2819">
        <v>0.14621039999999999</v>
      </c>
      <c r="X2819">
        <v>0.98887219999999998</v>
      </c>
      <c r="Y2819">
        <v>0.1777704</v>
      </c>
      <c r="Z2819">
        <v>-5.1504599999999999E-3</v>
      </c>
      <c r="AA2819">
        <v>0.98405849999999995</v>
      </c>
      <c r="AB2819">
        <v>42</v>
      </c>
      <c r="AC2819">
        <v>16.256799999999998</v>
      </c>
      <c r="AD2819">
        <v>-1.1096024080419999</v>
      </c>
      <c r="AE2819">
        <v>-3.1950999999999898</v>
      </c>
      <c r="AF2819">
        <v>3.0050123873044399</v>
      </c>
      <c r="AG2819">
        <v>-1.1096024080419999</v>
      </c>
      <c r="AH2819">
        <v>16.217772501430499</v>
      </c>
      <c r="AI2819">
        <v>93.848706251406</v>
      </c>
      <c r="AJ2819">
        <v>79.502643946658296</v>
      </c>
      <c r="AK2819">
        <v>16.531105887385198</v>
      </c>
      <c r="AL2819">
        <v>81.592622509297897</v>
      </c>
      <c r="AM2819">
        <v>88.409218232882495</v>
      </c>
      <c r="AN2819">
        <v>0.99999994840437301</v>
      </c>
    </row>
    <row r="2820" spans="1:40" x14ac:dyDescent="0.25">
      <c r="A2820" t="str">
        <f>"20190312164321533"</f>
        <v>20190312164321533</v>
      </c>
      <c r="B2820" t="str">
        <f>"1552380201527391"</f>
        <v>1552380201527391</v>
      </c>
      <c r="C2820" t="s">
        <v>40</v>
      </c>
      <c r="D2820">
        <v>4.7364509999999997</v>
      </c>
      <c r="E2820">
        <v>0.45682899999999999</v>
      </c>
      <c r="F2820" t="s">
        <v>41</v>
      </c>
      <c r="G2820">
        <v>-270.87569999999999</v>
      </c>
      <c r="H2820">
        <v>1.050554</v>
      </c>
      <c r="I2820">
        <v>213.7167</v>
      </c>
      <c r="J2820">
        <v>-271.37650000000002</v>
      </c>
      <c r="K2820">
        <v>1.1095980000000001</v>
      </c>
      <c r="L2820">
        <v>213.804</v>
      </c>
      <c r="M2820">
        <v>0.99983270000000002</v>
      </c>
      <c r="N2820">
        <v>0</v>
      </c>
      <c r="O2820">
        <v>-1.1265529999999999E-2</v>
      </c>
      <c r="P2820">
        <v>0.99074859999999998</v>
      </c>
      <c r="Q2820">
        <v>0.13071469999999999</v>
      </c>
      <c r="R2820">
        <v>-3.64844E-2</v>
      </c>
      <c r="S2820">
        <v>3.0428470000000001</v>
      </c>
      <c r="T2820">
        <v>-0.1929128</v>
      </c>
      <c r="U2820">
        <v>-0.3013458</v>
      </c>
      <c r="V2820">
        <v>2.5491030000000001E-2</v>
      </c>
      <c r="W2820">
        <v>0.1449541</v>
      </c>
      <c r="X2820">
        <v>0.98910989999999999</v>
      </c>
      <c r="Y2820">
        <v>8.7183079999999996E-2</v>
      </c>
      <c r="Z2820">
        <v>-2.04243E-3</v>
      </c>
      <c r="AA2820">
        <v>0.99619020000000003</v>
      </c>
      <c r="AB2820">
        <v>42</v>
      </c>
      <c r="AC2820">
        <v>0.500800000000026</v>
      </c>
      <c r="AD2820">
        <v>-5.9043999999999798E-2</v>
      </c>
      <c r="AE2820">
        <v>-8.7299999999999003E-2</v>
      </c>
      <c r="AF2820">
        <v>8.0565244907646494E-2</v>
      </c>
      <c r="AG2820">
        <v>-5.9043999999999798E-2</v>
      </c>
      <c r="AH2820">
        <v>0.49507310303987101</v>
      </c>
      <c r="AI2820">
        <v>96.713659310462901</v>
      </c>
      <c r="AJ2820">
        <v>80.757049861696601</v>
      </c>
      <c r="AK2820">
        <v>0.505048839199296</v>
      </c>
      <c r="AL2820">
        <v>81.665378256599297</v>
      </c>
      <c r="AM2820">
        <v>88.523717928542197</v>
      </c>
      <c r="AN2820">
        <v>0.99999993899763795</v>
      </c>
    </row>
    <row r="2821" spans="1:40" x14ac:dyDescent="0.25">
      <c r="A2821" t="str">
        <f>"20190312164321555"</f>
        <v>20190312164321555</v>
      </c>
      <c r="B2821" t="str">
        <f>"1552380201546908"</f>
        <v>1552380201546908</v>
      </c>
      <c r="C2821" t="s">
        <v>40</v>
      </c>
      <c r="D2821">
        <v>4.582109</v>
      </c>
      <c r="E2821">
        <v>0.44693339999999998</v>
      </c>
      <c r="F2821" t="s">
        <v>46</v>
      </c>
      <c r="G2821">
        <v>-241.30449999999999</v>
      </c>
      <c r="H2821" s="1">
        <v>-9.1477800000000004E-7</v>
      </c>
      <c r="I2821">
        <v>216.2672</v>
      </c>
      <c r="J2821">
        <v>-270.96129999999999</v>
      </c>
      <c r="K2821">
        <v>1.1095950000000001</v>
      </c>
      <c r="L2821">
        <v>213.79900000000001</v>
      </c>
      <c r="M2821">
        <v>0.99982819999999994</v>
      </c>
      <c r="N2821">
        <v>0</v>
      </c>
      <c r="O2821">
        <v>-1.1664580000000001E-2</v>
      </c>
      <c r="P2821">
        <v>0.99082669999999995</v>
      </c>
      <c r="Q2821">
        <v>0.13050870000000001</v>
      </c>
      <c r="R2821">
        <v>-3.5077759999999999E-2</v>
      </c>
      <c r="S2821">
        <v>3.0520320000000001</v>
      </c>
      <c r="T2821">
        <v>-0.1126139</v>
      </c>
      <c r="U2821">
        <v>0.2499847</v>
      </c>
      <c r="V2821">
        <v>2.3687179999999999E-2</v>
      </c>
      <c r="W2821">
        <v>0.1447494</v>
      </c>
      <c r="X2821">
        <v>0.98918479999999998</v>
      </c>
      <c r="Y2821">
        <v>-9.3184649999999994E-2</v>
      </c>
      <c r="Z2821">
        <v>2.1453330000000001E-3</v>
      </c>
      <c r="AA2821">
        <v>0.99564649999999999</v>
      </c>
      <c r="AB2821">
        <v>42</v>
      </c>
      <c r="AC2821">
        <v>29.6568</v>
      </c>
      <c r="AD2821">
        <v>-1.1095959147779999</v>
      </c>
      <c r="AE2821">
        <v>2.4681999999999902</v>
      </c>
      <c r="AF2821">
        <v>-2.8100954092674399</v>
      </c>
      <c r="AG2821">
        <v>-1.1095959147779999</v>
      </c>
      <c r="AH2821">
        <v>29.584858973948101</v>
      </c>
      <c r="AI2821">
        <v>92.138286854418695</v>
      </c>
      <c r="AJ2821">
        <v>95.425917715344994</v>
      </c>
      <c r="AK2821">
        <v>29.738724246538801</v>
      </c>
      <c r="AL2821">
        <v>81.6772323957981</v>
      </c>
      <c r="AM2821">
        <v>88.628248107073205</v>
      </c>
      <c r="AN2821">
        <v>1.0000000199238701</v>
      </c>
    </row>
    <row r="2822" spans="1:40" x14ac:dyDescent="0.25">
      <c r="A2822" t="str">
        <f>"20190312164321578"</f>
        <v>20190312164321578</v>
      </c>
      <c r="B2822" t="str">
        <f>"1552380201567404"</f>
        <v>1552380201567404</v>
      </c>
      <c r="C2822" t="s">
        <v>40</v>
      </c>
      <c r="D2822">
        <v>4.5235300000000001</v>
      </c>
      <c r="E2822">
        <v>0.44442680000000001</v>
      </c>
      <c r="F2822" t="s">
        <v>46</v>
      </c>
      <c r="G2822">
        <v>-244.63810000000001</v>
      </c>
      <c r="H2822" s="1">
        <v>8.4134249999999905E-7</v>
      </c>
      <c r="I2822">
        <v>216.6763</v>
      </c>
      <c r="J2822">
        <v>-270.54360000000003</v>
      </c>
      <c r="K2822">
        <v>1.1095999999999999</v>
      </c>
      <c r="L2822">
        <v>213.7938</v>
      </c>
      <c r="M2822">
        <v>0.99982360000000003</v>
      </c>
      <c r="N2822">
        <v>0</v>
      </c>
      <c r="O2822">
        <v>-1.206433E-2</v>
      </c>
      <c r="P2822">
        <v>0.99085630000000002</v>
      </c>
      <c r="Q2822">
        <v>0.13088279999999999</v>
      </c>
      <c r="R2822">
        <v>-3.2767520000000001E-2</v>
      </c>
      <c r="S2822">
        <v>3.0565799999999999</v>
      </c>
      <c r="T2822">
        <v>-0.12884329999999999</v>
      </c>
      <c r="U2822">
        <v>0.33410640000000003</v>
      </c>
      <c r="V2822">
        <v>2.0980349999999998E-2</v>
      </c>
      <c r="W2822">
        <v>0.14512449999999999</v>
      </c>
      <c r="X2822">
        <v>0.98919089999999998</v>
      </c>
      <c r="Y2822">
        <v>-0.1205299</v>
      </c>
      <c r="Z2822">
        <v>3.038617E-3</v>
      </c>
      <c r="AA2822">
        <v>0.99270499999999995</v>
      </c>
      <c r="AB2822">
        <v>42</v>
      </c>
      <c r="AC2822">
        <v>25.9055</v>
      </c>
      <c r="AD2822">
        <v>-1.1095991586575</v>
      </c>
      <c r="AE2822">
        <v>2.8824999999999901</v>
      </c>
      <c r="AF2822">
        <v>-3.1890758461807298</v>
      </c>
      <c r="AG2822">
        <v>-1.1095991586575</v>
      </c>
      <c r="AH2822">
        <v>25.822040751933699</v>
      </c>
      <c r="AI2822">
        <v>92.442013229784195</v>
      </c>
      <c r="AJ2822">
        <v>97.040496937133895</v>
      </c>
      <c r="AK2822">
        <v>26.041874042397801</v>
      </c>
      <c r="AL2822">
        <v>81.655510942614598</v>
      </c>
      <c r="AM2822">
        <v>88.784961219663998</v>
      </c>
      <c r="AN2822">
        <v>0.99999996611458997</v>
      </c>
    </row>
    <row r="2823" spans="1:40" x14ac:dyDescent="0.25">
      <c r="A2823" t="str">
        <f>"20190312164321600"</f>
        <v>20190312164321600</v>
      </c>
      <c r="B2823" t="str">
        <f>"1552380201586925"</f>
        <v>1552380201586925</v>
      </c>
      <c r="C2823" t="s">
        <v>40</v>
      </c>
      <c r="D2823">
        <v>4.8103389999999999</v>
      </c>
      <c r="E2823">
        <v>0.44343149999999998</v>
      </c>
      <c r="F2823" t="s">
        <v>46</v>
      </c>
      <c r="G2823">
        <v>-245.4683</v>
      </c>
      <c r="H2823" s="1">
        <v>1.2796349999999999E-6</v>
      </c>
      <c r="I2823">
        <v>216.7561</v>
      </c>
      <c r="J2823">
        <v>-270.1191</v>
      </c>
      <c r="K2823">
        <v>1.1095999999999999</v>
      </c>
      <c r="L2823">
        <v>213.78829999999999</v>
      </c>
      <c r="M2823">
        <v>0.9998186</v>
      </c>
      <c r="N2823">
        <v>0</v>
      </c>
      <c r="O2823">
        <v>-1.246595E-2</v>
      </c>
      <c r="P2823">
        <v>0.99082539999999997</v>
      </c>
      <c r="Q2823">
        <v>0.13169639999999999</v>
      </c>
      <c r="R2823">
        <v>-3.0358940000000001E-2</v>
      </c>
      <c r="S2823">
        <v>3.0574949999999999</v>
      </c>
      <c r="T2823">
        <v>-0.135296</v>
      </c>
      <c r="U2823">
        <v>0.36120609999999997</v>
      </c>
      <c r="V2823">
        <v>1.8173580000000002E-2</v>
      </c>
      <c r="W2823">
        <v>0.14593829999999999</v>
      </c>
      <c r="X2823">
        <v>0.98912670000000003</v>
      </c>
      <c r="Y2823">
        <v>-0.1295569</v>
      </c>
      <c r="Z2823">
        <v>3.404766E-3</v>
      </c>
      <c r="AA2823">
        <v>0.99156610000000001</v>
      </c>
      <c r="AB2823">
        <v>42</v>
      </c>
      <c r="AC2823">
        <v>24.6508</v>
      </c>
      <c r="AD2823">
        <v>-1.109598720365</v>
      </c>
      <c r="AE2823">
        <v>2.9678000000000102</v>
      </c>
      <c r="AF2823">
        <v>-3.26836928671529</v>
      </c>
      <c r="AG2823">
        <v>-1.109598720365</v>
      </c>
      <c r="AH2823">
        <v>24.562827165029098</v>
      </c>
      <c r="AI2823">
        <v>92.563947700370505</v>
      </c>
      <c r="AJ2823">
        <v>97.579346068540104</v>
      </c>
      <c r="AK2823">
        <v>24.804151375398199</v>
      </c>
      <c r="AL2823">
        <v>81.608381723919393</v>
      </c>
      <c r="AM2823">
        <v>88.947402505988293</v>
      </c>
      <c r="AN2823">
        <v>0.99999994753489596</v>
      </c>
    </row>
    <row r="2824" spans="1:40" x14ac:dyDescent="0.25">
      <c r="A2824" t="str">
        <f>"20190312164321623"</f>
        <v>20190312164321623</v>
      </c>
      <c r="B2824" t="str">
        <f>"1552380201617180"</f>
        <v>1552380201617180</v>
      </c>
      <c r="C2824" t="s">
        <v>40</v>
      </c>
      <c r="D2824">
        <v>4.5215519999999998</v>
      </c>
      <c r="E2824">
        <v>0.441938</v>
      </c>
      <c r="F2824" t="s">
        <v>46</v>
      </c>
      <c r="G2824">
        <v>-244.9812</v>
      </c>
      <c r="H2824" s="1">
        <v>1.0151410000000001E-6</v>
      </c>
      <c r="I2824">
        <v>216.87700000000001</v>
      </c>
      <c r="J2824">
        <v>-269.69729999999998</v>
      </c>
      <c r="K2824">
        <v>1.1096109999999999</v>
      </c>
      <c r="L2824">
        <v>213.78270000000001</v>
      </c>
      <c r="M2824">
        <v>0.99981370000000003</v>
      </c>
      <c r="N2824">
        <v>0</v>
      </c>
      <c r="O2824">
        <v>-1.285475E-2</v>
      </c>
      <c r="P2824">
        <v>0.99092550000000001</v>
      </c>
      <c r="Q2824">
        <v>0.1315346</v>
      </c>
      <c r="R2824">
        <v>-2.7666909999999999E-2</v>
      </c>
      <c r="S2824">
        <v>3.0572509999999999</v>
      </c>
      <c r="T2824">
        <v>-0.1349485</v>
      </c>
      <c r="U2824">
        <v>0.3756409</v>
      </c>
      <c r="V2824">
        <v>1.5092319999999999E-2</v>
      </c>
      <c r="W2824">
        <v>0.14577789999999999</v>
      </c>
      <c r="X2824">
        <v>0.98920220000000003</v>
      </c>
      <c r="Y2824">
        <v>-0.13456029999999999</v>
      </c>
      <c r="Z2824">
        <v>3.5224050000000002E-3</v>
      </c>
      <c r="AA2824">
        <v>0.99089910000000003</v>
      </c>
      <c r="AB2824">
        <v>42</v>
      </c>
      <c r="AC2824">
        <v>24.716099999999901</v>
      </c>
      <c r="AD2824">
        <v>-1.109609984859</v>
      </c>
      <c r="AE2824">
        <v>3.0943000000000001</v>
      </c>
      <c r="AF2824">
        <v>-3.4050395830581901</v>
      </c>
      <c r="AG2824">
        <v>-1.109609984859</v>
      </c>
      <c r="AH2824">
        <v>24.6254104310438</v>
      </c>
      <c r="AI2824">
        <v>92.555693597614805</v>
      </c>
      <c r="AJ2824">
        <v>97.872563093789594</v>
      </c>
      <c r="AK2824">
        <v>24.884460367427099</v>
      </c>
      <c r="AL2824">
        <v>81.617671617314699</v>
      </c>
      <c r="AM2824">
        <v>89.125902518184404</v>
      </c>
      <c r="AN2824">
        <v>0.99999998336811602</v>
      </c>
    </row>
    <row r="2825" spans="1:40" x14ac:dyDescent="0.25">
      <c r="A2825" t="str">
        <f>"20190312164321646"</f>
        <v>20190312164321646</v>
      </c>
      <c r="B2825" t="str">
        <f>"1552380201637676"</f>
        <v>1552380201637676</v>
      </c>
      <c r="C2825" t="s">
        <v>40</v>
      </c>
      <c r="D2825">
        <v>4.5537419999999997</v>
      </c>
      <c r="E2825">
        <v>0.44148330000000002</v>
      </c>
      <c r="F2825" t="s">
        <v>46</v>
      </c>
      <c r="G2825">
        <v>-246.51609999999999</v>
      </c>
      <c r="H2825" s="1">
        <v>1.836027E-6</v>
      </c>
      <c r="I2825">
        <v>216.78399999999999</v>
      </c>
      <c r="J2825">
        <v>-269.25189999999998</v>
      </c>
      <c r="K2825">
        <v>1.109615</v>
      </c>
      <c r="L2825">
        <v>213.7766</v>
      </c>
      <c r="M2825">
        <v>0.99980849999999999</v>
      </c>
      <c r="N2825">
        <v>0</v>
      </c>
      <c r="O2825">
        <v>-1.3249779999999999E-2</v>
      </c>
      <c r="P2825">
        <v>0.99101669999999997</v>
      </c>
      <c r="Q2825">
        <v>0.1312729</v>
      </c>
      <c r="R2825">
        <v>-2.555783E-2</v>
      </c>
      <c r="S2825">
        <v>3.0578919999999998</v>
      </c>
      <c r="T2825">
        <v>-0.14637149999999999</v>
      </c>
      <c r="U2825">
        <v>0.39590449999999999</v>
      </c>
      <c r="V2825">
        <v>1.258622E-2</v>
      </c>
      <c r="W2825">
        <v>0.14551749999999999</v>
      </c>
      <c r="X2825">
        <v>0.98927560000000003</v>
      </c>
      <c r="Y2825">
        <v>-0.14135410000000001</v>
      </c>
      <c r="Z2825">
        <v>3.9985389999999997E-3</v>
      </c>
      <c r="AA2825">
        <v>0.98995100000000003</v>
      </c>
      <c r="AB2825">
        <v>42</v>
      </c>
      <c r="AC2825">
        <v>22.735799999999902</v>
      </c>
      <c r="AD2825">
        <v>-1.109613163973</v>
      </c>
      <c r="AE2825">
        <v>3.0074000000000098</v>
      </c>
      <c r="AF2825">
        <v>-3.3006848488500902</v>
      </c>
      <c r="AG2825">
        <v>-1.109613163973</v>
      </c>
      <c r="AH2825">
        <v>22.640951239832201</v>
      </c>
      <c r="AI2825">
        <v>92.776468679614993</v>
      </c>
      <c r="AJ2825">
        <v>98.294368333154097</v>
      </c>
      <c r="AK2825">
        <v>22.9071699450095</v>
      </c>
      <c r="AL2825">
        <v>81.632752258061799</v>
      </c>
      <c r="AM2825">
        <v>89.271084437377795</v>
      </c>
      <c r="AN2825">
        <v>0.99999998424774905</v>
      </c>
    </row>
    <row r="2826" spans="1:40" x14ac:dyDescent="0.25">
      <c r="A2826" t="str">
        <f>"20190312164321669"</f>
        <v>20190312164321669</v>
      </c>
      <c r="B2826" t="str">
        <f>"1552380201657197"</f>
        <v>1552380201657197</v>
      </c>
      <c r="C2826" t="s">
        <v>40</v>
      </c>
      <c r="D2826">
        <v>4.5723070000000003</v>
      </c>
      <c r="E2826">
        <v>0.4410287</v>
      </c>
      <c r="F2826" t="s">
        <v>46</v>
      </c>
      <c r="G2826">
        <v>-246.60910000000001</v>
      </c>
      <c r="H2826" s="1">
        <v>1.885233E-6</v>
      </c>
      <c r="I2826">
        <v>216.78989999999999</v>
      </c>
      <c r="J2826">
        <v>-268.82229999999998</v>
      </c>
      <c r="K2826">
        <v>1.1096360000000001</v>
      </c>
      <c r="L2826">
        <v>213.7706</v>
      </c>
      <c r="M2826">
        <v>0.99980380000000002</v>
      </c>
      <c r="N2826">
        <v>0</v>
      </c>
      <c r="O2826">
        <v>-1.3616049999999999E-2</v>
      </c>
      <c r="P2826">
        <v>0.99103810000000003</v>
      </c>
      <c r="Q2826">
        <v>0.1314941</v>
      </c>
      <c r="R2826">
        <v>-2.35128E-2</v>
      </c>
      <c r="S2826">
        <v>3.0575260000000002</v>
      </c>
      <c r="T2826">
        <v>-0.149834299999999</v>
      </c>
      <c r="U2826">
        <v>0.4068909</v>
      </c>
      <c r="V2826">
        <v>1.0173440000000001E-2</v>
      </c>
      <c r="W2826">
        <v>0.1457387</v>
      </c>
      <c r="X2826">
        <v>0.98927080000000001</v>
      </c>
      <c r="Y2826">
        <v>-0.14521429999999999</v>
      </c>
      <c r="Z2826">
        <v>4.2045449999999996E-3</v>
      </c>
      <c r="AA2826">
        <v>0.98939129999999997</v>
      </c>
      <c r="AB2826">
        <v>42</v>
      </c>
      <c r="AC2826">
        <v>22.213199999999901</v>
      </c>
      <c r="AD2826">
        <v>-1.1096341147669999</v>
      </c>
      <c r="AE2826">
        <v>3.0192999999999799</v>
      </c>
      <c r="AF2826">
        <v>-3.3133891983252401</v>
      </c>
      <c r="AG2826">
        <v>-1.1096341147669999</v>
      </c>
      <c r="AH2826">
        <v>22.115838757241001</v>
      </c>
      <c r="AI2826">
        <v>92.840683090509998</v>
      </c>
      <c r="AJ2826">
        <v>98.520664439350497</v>
      </c>
      <c r="AK2826">
        <v>22.390179985531901</v>
      </c>
      <c r="AL2826">
        <v>81.619941927420001</v>
      </c>
      <c r="AM2826">
        <v>89.410803767582806</v>
      </c>
      <c r="AN2826">
        <v>0.99999999164588105</v>
      </c>
    </row>
    <row r="2827" spans="1:40" x14ac:dyDescent="0.25">
      <c r="A2827" t="str">
        <f>"20190312164321691"</f>
        <v>20190312164321691</v>
      </c>
      <c r="B2827" t="str">
        <f>"1552380201687452"</f>
        <v>1552380201687452</v>
      </c>
      <c r="C2827" t="s">
        <v>40</v>
      </c>
      <c r="D2827">
        <v>4.5741719999999999</v>
      </c>
      <c r="E2827">
        <v>0.44124219999999997</v>
      </c>
      <c r="F2827" t="s">
        <v>46</v>
      </c>
      <c r="G2827">
        <v>-245.74459999999999</v>
      </c>
      <c r="H2827" s="1">
        <v>1.4193670000000001E-6</v>
      </c>
      <c r="I2827">
        <v>216.92259999999999</v>
      </c>
      <c r="J2827">
        <v>-268.4058</v>
      </c>
      <c r="K2827">
        <v>1.1096539999999999</v>
      </c>
      <c r="L2827">
        <v>213.7646</v>
      </c>
      <c r="M2827">
        <v>0.99979910000000005</v>
      </c>
      <c r="N2827">
        <v>0</v>
      </c>
      <c r="O2827">
        <v>-1.3952000000000001E-2</v>
      </c>
      <c r="P2827">
        <v>0.99098120000000001</v>
      </c>
      <c r="Q2827">
        <v>0.13229179999999999</v>
      </c>
      <c r="R2827">
        <v>-2.1346179999999999E-2</v>
      </c>
      <c r="S2827">
        <v>3.0565190000000002</v>
      </c>
      <c r="T2827">
        <v>-0.1469647</v>
      </c>
      <c r="U2827">
        <v>0.41746519999999998</v>
      </c>
      <c r="V2827">
        <v>7.6696319999999896E-3</v>
      </c>
      <c r="W2827">
        <v>0.14653540000000001</v>
      </c>
      <c r="X2827">
        <v>0.98917569999999999</v>
      </c>
      <c r="Y2827">
        <v>-0.14895259999999999</v>
      </c>
      <c r="Z2827">
        <v>4.2299999999999898E-3</v>
      </c>
      <c r="AA2827">
        <v>0.98883529999999997</v>
      </c>
      <c r="AB2827">
        <v>42</v>
      </c>
      <c r="AC2827">
        <v>22.661200000000001</v>
      </c>
      <c r="AD2827">
        <v>-1.109652580633</v>
      </c>
      <c r="AE2827">
        <v>3.1579999999999799</v>
      </c>
      <c r="AF2827">
        <v>-3.4657426058620402</v>
      </c>
      <c r="AG2827">
        <v>-1.109652580633</v>
      </c>
      <c r="AH2827">
        <v>22.561861212461402</v>
      </c>
      <c r="AI2827">
        <v>92.783098911976197</v>
      </c>
      <c r="AJ2827">
        <v>98.732981496511997</v>
      </c>
      <c r="AK2827">
        <v>22.853452300039098</v>
      </c>
      <c r="AL2827">
        <v>81.573799126688499</v>
      </c>
      <c r="AM2827">
        <v>89.555762703887297</v>
      </c>
      <c r="AN2827">
        <v>1.0000000060893299</v>
      </c>
    </row>
    <row r="2828" spans="1:40" x14ac:dyDescent="0.25">
      <c r="A2828" t="str">
        <f>"20190312164321711"</f>
        <v>20190312164321711</v>
      </c>
      <c r="B2828" t="str">
        <f>"1552380201706973"</f>
        <v>1552380201706973</v>
      </c>
      <c r="C2828" t="s">
        <v>40</v>
      </c>
      <c r="D2828">
        <v>4.7364980000000001</v>
      </c>
      <c r="E2828">
        <v>0.44134230000000002</v>
      </c>
      <c r="F2828" t="s">
        <v>46</v>
      </c>
      <c r="G2828">
        <v>-244.03899999999999</v>
      </c>
      <c r="H2828" s="1">
        <v>5.0253079999999998E-7</v>
      </c>
      <c r="I2828">
        <v>217.13339999999999</v>
      </c>
      <c r="J2828">
        <v>-268.01589999999999</v>
      </c>
      <c r="K2828">
        <v>1.1096809999999999</v>
      </c>
      <c r="L2828">
        <v>213.75890000000001</v>
      </c>
      <c r="M2828">
        <v>0.99979499999999999</v>
      </c>
      <c r="N2828">
        <v>0</v>
      </c>
      <c r="O2828">
        <v>-1.4243799999999999E-2</v>
      </c>
      <c r="P2828">
        <v>0.9908825</v>
      </c>
      <c r="Q2828">
        <v>0.13341059999999999</v>
      </c>
      <c r="R2828">
        <v>-1.8807150000000002E-2</v>
      </c>
      <c r="S2828">
        <v>3.0549620000000002</v>
      </c>
      <c r="T2828">
        <v>-0.13912179999999999</v>
      </c>
      <c r="U2828">
        <v>0.4223633</v>
      </c>
      <c r="V2828">
        <v>4.8377400000000001E-3</v>
      </c>
      <c r="W2828">
        <v>0.147652799999999</v>
      </c>
      <c r="X2828">
        <v>0.9890274</v>
      </c>
      <c r="Y2828">
        <v>-0.1508813</v>
      </c>
      <c r="Z2828">
        <v>4.0629969999999996E-3</v>
      </c>
      <c r="AA2828">
        <v>0.98854350000000002</v>
      </c>
      <c r="AB2828">
        <v>42</v>
      </c>
      <c r="AC2828">
        <v>23.976899999999901</v>
      </c>
      <c r="AD2828">
        <v>-1.1096804974691901</v>
      </c>
      <c r="AE2828">
        <v>3.3744999999999798</v>
      </c>
      <c r="AF2828">
        <v>-3.7079271829412801</v>
      </c>
      <c r="AG2828">
        <v>-1.1096804974691901</v>
      </c>
      <c r="AH2828">
        <v>23.876247938786999</v>
      </c>
      <c r="AI2828">
        <v>92.629508503455696</v>
      </c>
      <c r="AJ2828">
        <v>98.827390868658398</v>
      </c>
      <c r="AK2828">
        <v>24.1879170338186</v>
      </c>
      <c r="AL2828">
        <v>81.509072497012099</v>
      </c>
      <c r="AM2828">
        <v>89.719745000186506</v>
      </c>
      <c r="AN2828">
        <v>0.99999997551345299</v>
      </c>
    </row>
    <row r="2829" spans="1:40" x14ac:dyDescent="0.25">
      <c r="A2829" t="str">
        <f>"20190312164321734"</f>
        <v>20190312164321734</v>
      </c>
      <c r="B2829" t="str">
        <f>"1552380201727103"</f>
        <v>1552380201727103</v>
      </c>
      <c r="C2829" t="s">
        <v>40</v>
      </c>
      <c r="D2829">
        <v>4.5520149999999999</v>
      </c>
      <c r="E2829">
        <v>0.44122689999999998</v>
      </c>
      <c r="F2829" t="s">
        <v>46</v>
      </c>
      <c r="G2829">
        <v>-242.69399999999999</v>
      </c>
      <c r="H2829" s="1">
        <v>-2.2088489999999999E-7</v>
      </c>
      <c r="I2829">
        <v>217.30879999999999</v>
      </c>
      <c r="J2829">
        <v>-267.5849</v>
      </c>
      <c r="K2829">
        <v>1.1097079999999999</v>
      </c>
      <c r="L2829">
        <v>213.7525</v>
      </c>
      <c r="M2829">
        <v>0.99979099999999999</v>
      </c>
      <c r="N2829">
        <v>0</v>
      </c>
      <c r="O2829">
        <v>-1.4538000000000001E-2</v>
      </c>
      <c r="P2829">
        <v>0.99096949999999995</v>
      </c>
      <c r="Q2829">
        <v>0.13299569999999999</v>
      </c>
      <c r="R2829">
        <v>-1.7088240000000001E-2</v>
      </c>
      <c r="S2829">
        <v>3.053741</v>
      </c>
      <c r="T2829">
        <v>-0.13382379999999999</v>
      </c>
      <c r="U2829">
        <v>0.4281006</v>
      </c>
      <c r="V2829">
        <v>2.8167259999999999E-3</v>
      </c>
      <c r="W2829">
        <v>0.14723820000000001</v>
      </c>
      <c r="X2829">
        <v>0.98909709999999995</v>
      </c>
      <c r="Y2829">
        <v>-0.15305750000000001</v>
      </c>
      <c r="Z2829">
        <v>3.9697220000000002E-3</v>
      </c>
      <c r="AA2829">
        <v>0.98820929999999996</v>
      </c>
      <c r="AB2829">
        <v>42</v>
      </c>
      <c r="AC2829">
        <v>24.890899999999899</v>
      </c>
      <c r="AD2829">
        <v>-1.1097082208848901</v>
      </c>
      <c r="AE2829">
        <v>3.55629999999999</v>
      </c>
      <c r="AF2829">
        <v>-3.9102087920883801</v>
      </c>
      <c r="AG2829">
        <v>-1.1097082208848901</v>
      </c>
      <c r="AH2829">
        <v>24.788277723935899</v>
      </c>
      <c r="AI2829">
        <v>92.532007807519506</v>
      </c>
      <c r="AJ2829">
        <v>98.964215048288693</v>
      </c>
      <c r="AK2829">
        <v>25.119313240059</v>
      </c>
      <c r="AL2829">
        <v>81.533090445850803</v>
      </c>
      <c r="AM2829">
        <v>89.836834952225701</v>
      </c>
      <c r="AN2829">
        <v>1.0000000473565001</v>
      </c>
    </row>
    <row r="2830" spans="1:40" x14ac:dyDescent="0.25">
      <c r="A2830" t="str">
        <f>"20190312164321756"</f>
        <v>20190312164321756</v>
      </c>
      <c r="B2830" t="str">
        <f>"1552380201747599"</f>
        <v>1552380201747599</v>
      </c>
      <c r="C2830" t="s">
        <v>40</v>
      </c>
      <c r="D2830">
        <v>4.5433389999999996</v>
      </c>
      <c r="E2830">
        <v>0.44133820000000001</v>
      </c>
      <c r="F2830" t="s">
        <v>46</v>
      </c>
      <c r="G2830">
        <v>-242.35159999999999</v>
      </c>
      <c r="H2830" s="1">
        <v>-4.044182E-7</v>
      </c>
      <c r="I2830">
        <v>217.3399</v>
      </c>
      <c r="J2830">
        <v>-267.17860000000002</v>
      </c>
      <c r="K2830">
        <v>1.109729</v>
      </c>
      <c r="L2830">
        <v>213.74639999999999</v>
      </c>
      <c r="M2830">
        <v>0.99978730000000005</v>
      </c>
      <c r="N2830">
        <v>0</v>
      </c>
      <c r="O2830">
        <v>-1.4785070000000001E-2</v>
      </c>
      <c r="P2830">
        <v>0.99118470000000003</v>
      </c>
      <c r="Q2830">
        <v>0.13165879999999999</v>
      </c>
      <c r="R2830">
        <v>-1.479746E-2</v>
      </c>
      <c r="S2830">
        <v>3.0528870000000001</v>
      </c>
      <c r="T2830">
        <v>-0.13425989999999999</v>
      </c>
      <c r="U2830">
        <v>0.43402099999999999</v>
      </c>
      <c r="V2830">
        <v>2.677434E-4</v>
      </c>
      <c r="W2830">
        <v>0.14590429999999999</v>
      </c>
      <c r="X2830">
        <v>0.98929860000000003</v>
      </c>
      <c r="Y2830">
        <v>-0.15521499999999999</v>
      </c>
      <c r="Z2830">
        <v>4.0412099999999999E-3</v>
      </c>
      <c r="AA2830">
        <v>0.98787250000000004</v>
      </c>
      <c r="AB2830">
        <v>42</v>
      </c>
      <c r="AC2830">
        <v>24.827000000000002</v>
      </c>
      <c r="AD2830">
        <v>-1.1097294044182</v>
      </c>
      <c r="AE2830">
        <v>3.5935000000000001</v>
      </c>
      <c r="AF2830">
        <v>-3.9524791867592199</v>
      </c>
      <c r="AG2830">
        <v>-1.1097294044182</v>
      </c>
      <c r="AH2830">
        <v>24.722768695660701</v>
      </c>
      <c r="AI2830">
        <v>92.537921091065698</v>
      </c>
      <c r="AJ2830">
        <v>99.083127582840703</v>
      </c>
      <c r="AK2830">
        <v>25.061302501105899</v>
      </c>
      <c r="AL2830">
        <v>81.610350694386199</v>
      </c>
      <c r="AM2830">
        <v>89.984493492219698</v>
      </c>
      <c r="AN2830">
        <v>0.99999992820348604</v>
      </c>
    </row>
    <row r="2831" spans="1:40" x14ac:dyDescent="0.25">
      <c r="A2831" t="str">
        <f>"20190312164321778"</f>
        <v>20190312164321778</v>
      </c>
      <c r="B2831" t="str">
        <f>"1552380201767120"</f>
        <v>1552380201767120</v>
      </c>
      <c r="C2831" t="s">
        <v>40</v>
      </c>
      <c r="D2831">
        <v>4.6008829999999996</v>
      </c>
      <c r="E2831">
        <v>0.44152819999999998</v>
      </c>
      <c r="F2831" t="s">
        <v>46</v>
      </c>
      <c r="G2831">
        <v>-242.65100000000001</v>
      </c>
      <c r="H2831" s="1">
        <v>-2.4270540000000002E-7</v>
      </c>
      <c r="I2831">
        <v>217.285</v>
      </c>
      <c r="J2831">
        <v>-266.76139999999998</v>
      </c>
      <c r="K2831">
        <v>1.1097509999999999</v>
      </c>
      <c r="L2831">
        <v>213.74</v>
      </c>
      <c r="M2831">
        <v>0.99978420000000001</v>
      </c>
      <c r="N2831">
        <v>0</v>
      </c>
      <c r="O2831">
        <v>-1.500524E-2</v>
      </c>
      <c r="P2831">
        <v>0.99139639999999996</v>
      </c>
      <c r="Q2831">
        <v>0.13024539999999901</v>
      </c>
      <c r="R2831">
        <v>-1.3019269999999999E-2</v>
      </c>
      <c r="S2831">
        <v>3.0516049999999999</v>
      </c>
      <c r="T2831">
        <v>-0.1380671</v>
      </c>
      <c r="U2831">
        <v>0.44026179999999898</v>
      </c>
      <c r="V2831">
        <v>-1.7437220000000001E-3</v>
      </c>
      <c r="W2831">
        <v>0.1444927</v>
      </c>
      <c r="X2831">
        <v>0.9895043</v>
      </c>
      <c r="Y2831">
        <v>-0.15745780000000001</v>
      </c>
      <c r="Z2831">
        <v>4.217185E-3</v>
      </c>
      <c r="AA2831">
        <v>0.98751670000000003</v>
      </c>
      <c r="AB2831">
        <v>42</v>
      </c>
      <c r="AC2831">
        <v>24.110399999999998</v>
      </c>
      <c r="AD2831">
        <v>-1.1097512427053999</v>
      </c>
      <c r="AE2831">
        <v>3.5449999999999799</v>
      </c>
      <c r="AF2831">
        <v>-3.8983363579395101</v>
      </c>
      <c r="AG2831">
        <v>-1.1097512427053999</v>
      </c>
      <c r="AH2831">
        <v>24.004706449969799</v>
      </c>
      <c r="AI2831">
        <v>92.612750887443198</v>
      </c>
      <c r="AJ2831">
        <v>99.224238937871405</v>
      </c>
      <c r="AK2831">
        <v>24.344496419715501</v>
      </c>
      <c r="AL2831">
        <v>81.692096071587898</v>
      </c>
      <c r="AM2831">
        <v>90.100967532759498</v>
      </c>
      <c r="AN2831">
        <v>0.99999997031909604</v>
      </c>
    </row>
    <row r="2832" spans="1:40" x14ac:dyDescent="0.25">
      <c r="A2832" t="str">
        <f>"20190312164321802"</f>
        <v>20190312164321802</v>
      </c>
      <c r="B2832" t="str">
        <f>"1552380201797375"</f>
        <v>1552380201797375</v>
      </c>
      <c r="C2832" t="s">
        <v>40</v>
      </c>
      <c r="D2832">
        <v>4.5594099999999997</v>
      </c>
      <c r="E2832">
        <v>0.441662</v>
      </c>
      <c r="F2832" t="s">
        <v>46</v>
      </c>
      <c r="G2832">
        <v>-243.01669999999999</v>
      </c>
      <c r="H2832" s="1">
        <v>-4.4585990000000003E-8</v>
      </c>
      <c r="I2832">
        <v>217.20439999999999</v>
      </c>
      <c r="J2832">
        <v>-266.34030000000001</v>
      </c>
      <c r="K2832">
        <v>1.109782</v>
      </c>
      <c r="L2832">
        <v>213.73349999999999</v>
      </c>
      <c r="M2832">
        <v>0.99978129999999998</v>
      </c>
      <c r="N2832">
        <v>0</v>
      </c>
      <c r="O2832">
        <v>-1.518706E-2</v>
      </c>
      <c r="P2832">
        <v>0.99151699999999998</v>
      </c>
      <c r="Q2832">
        <v>0.12948989999999999</v>
      </c>
      <c r="R2832">
        <v>-1.124643E-2</v>
      </c>
      <c r="S2832">
        <v>3.0505979999999999</v>
      </c>
      <c r="T2832">
        <v>-0.14257510000000001</v>
      </c>
      <c r="U2832">
        <v>0.44508359999999902</v>
      </c>
      <c r="V2832">
        <v>-3.7116710000000002E-3</v>
      </c>
      <c r="W2832">
        <v>0.14373729999999901</v>
      </c>
      <c r="X2832">
        <v>0.98960890000000001</v>
      </c>
      <c r="Y2832">
        <v>-0.15919829999999999</v>
      </c>
      <c r="Z2832">
        <v>4.4045559999999996E-3</v>
      </c>
      <c r="AA2832">
        <v>0.98723680000000003</v>
      </c>
      <c r="AB2832">
        <v>42</v>
      </c>
      <c r="AC2832">
        <v>23.323599999999999</v>
      </c>
      <c r="AD2832">
        <v>-1.1097820445859901</v>
      </c>
      <c r="AE2832">
        <v>3.4708999999999999</v>
      </c>
      <c r="AF2832">
        <v>-3.81630008768746</v>
      </c>
      <c r="AG2832">
        <v>-1.1097820445859901</v>
      </c>
      <c r="AH2832">
        <v>23.216766462597899</v>
      </c>
      <c r="AI2832">
        <v>92.700520189057201</v>
      </c>
      <c r="AJ2832">
        <v>99.334626793614405</v>
      </c>
      <c r="AK2832">
        <v>23.554490177556001</v>
      </c>
      <c r="AL2832">
        <v>81.735833979775805</v>
      </c>
      <c r="AM2832">
        <v>90.214895082338799</v>
      </c>
      <c r="AN2832">
        <v>0.99999998143605595</v>
      </c>
    </row>
    <row r="2833" spans="1:40" x14ac:dyDescent="0.25">
      <c r="A2833" t="str">
        <f>"20190312164321825"</f>
        <v>20190312164321825</v>
      </c>
      <c r="B2833" t="str">
        <f>"1552380201817458"</f>
        <v>1552380201817458</v>
      </c>
      <c r="C2833" t="s">
        <v>40</v>
      </c>
      <c r="D2833">
        <v>4.5615420000000002</v>
      </c>
      <c r="E2833">
        <v>0.4415229</v>
      </c>
      <c r="F2833" t="s">
        <v>46</v>
      </c>
      <c r="G2833">
        <v>-243.2587</v>
      </c>
      <c r="H2833" s="1">
        <v>8.7165469999999998E-8</v>
      </c>
      <c r="I2833">
        <v>217.13659999999999</v>
      </c>
      <c r="J2833">
        <v>-265.90429999999998</v>
      </c>
      <c r="K2833">
        <v>1.1098209999999999</v>
      </c>
      <c r="L2833">
        <v>213.7268</v>
      </c>
      <c r="M2833">
        <v>0.99977930000000004</v>
      </c>
      <c r="N2833">
        <v>0</v>
      </c>
      <c r="O2833">
        <v>-1.5321049999999999E-2</v>
      </c>
      <c r="P2833">
        <v>0.99152340000000005</v>
      </c>
      <c r="Q2833">
        <v>0.12957589999999999</v>
      </c>
      <c r="R2833">
        <v>-9.5591280000000001E-3</v>
      </c>
      <c r="S2833">
        <v>3.049957</v>
      </c>
      <c r="T2833">
        <v>-0.1466442</v>
      </c>
      <c r="U2833">
        <v>0.44967649999999998</v>
      </c>
      <c r="V2833">
        <v>-5.5472179999999996E-3</v>
      </c>
      <c r="W2833">
        <v>0.14382029999999901</v>
      </c>
      <c r="X2833">
        <v>0.98958829999999998</v>
      </c>
      <c r="Y2833">
        <v>-0.16080259999999999</v>
      </c>
      <c r="Z2833">
        <v>4.5753189999999996E-3</v>
      </c>
      <c r="AA2833">
        <v>0.98697599999999996</v>
      </c>
      <c r="AB2833">
        <v>42</v>
      </c>
      <c r="AC2833">
        <v>22.645599999999899</v>
      </c>
      <c r="AD2833">
        <v>-1.10982091283453</v>
      </c>
      <c r="AE2833">
        <v>3.40979999999999</v>
      </c>
      <c r="AF2833">
        <v>-3.74758847488288</v>
      </c>
      <c r="AG2833">
        <v>-1.10982091283453</v>
      </c>
      <c r="AH2833">
        <v>22.5377630255085</v>
      </c>
      <c r="AI2833">
        <v>92.781000394337298</v>
      </c>
      <c r="AJ2833">
        <v>99.440788111557197</v>
      </c>
      <c r="AK2833">
        <v>22.874153187159099</v>
      </c>
      <c r="AL2833">
        <v>81.731028878976701</v>
      </c>
      <c r="AM2833">
        <v>90.321172805367297</v>
      </c>
      <c r="AN2833">
        <v>1.0000000269082501</v>
      </c>
    </row>
    <row r="2834" spans="1:40" x14ac:dyDescent="0.25">
      <c r="A2834" t="str">
        <f>"20190312164321846"</f>
        <v>20190312164321846</v>
      </c>
      <c r="B2834" t="str">
        <f>"1552380201836978"</f>
        <v>1552380201836978</v>
      </c>
      <c r="C2834" t="s">
        <v>40</v>
      </c>
      <c r="D2834">
        <v>4.4957129999999896</v>
      </c>
      <c r="E2834">
        <v>0.44141950000000002</v>
      </c>
      <c r="F2834" t="s">
        <v>46</v>
      </c>
      <c r="G2834">
        <v>-243.1859</v>
      </c>
      <c r="H2834" s="1">
        <v>4.8927880000000001E-8</v>
      </c>
      <c r="I2834">
        <v>217.12450000000001</v>
      </c>
      <c r="J2834">
        <v>-265.49349999999998</v>
      </c>
      <c r="K2834">
        <v>1.1098669999999999</v>
      </c>
      <c r="L2834">
        <v>213.72040000000001</v>
      </c>
      <c r="M2834">
        <v>0.9997781</v>
      </c>
      <c r="N2834">
        <v>0</v>
      </c>
      <c r="O2834">
        <v>-1.540848E-2</v>
      </c>
      <c r="P2834">
        <v>0.99151540000000005</v>
      </c>
      <c r="Q2834">
        <v>0.12974639999999901</v>
      </c>
      <c r="R2834">
        <v>-7.9745590000000009E-3</v>
      </c>
      <c r="S2834">
        <v>3.0495299999999999</v>
      </c>
      <c r="T2834">
        <v>-0.14897270000000001</v>
      </c>
      <c r="U2834">
        <v>0.45608520000000002</v>
      </c>
      <c r="V2834">
        <v>-7.2330299999999997E-3</v>
      </c>
      <c r="W2834">
        <v>0.1439888</v>
      </c>
      <c r="X2834">
        <v>0.98955289999999996</v>
      </c>
      <c r="Y2834">
        <v>-0.16292889999999999</v>
      </c>
      <c r="Z2834">
        <v>4.7036860000000003E-3</v>
      </c>
      <c r="AA2834">
        <v>0.98662660000000002</v>
      </c>
      <c r="AB2834">
        <v>42</v>
      </c>
      <c r="AC2834">
        <v>22.307599999999901</v>
      </c>
      <c r="AD2834">
        <v>-1.10986695107212</v>
      </c>
      <c r="AE2834">
        <v>3.4041000000000001</v>
      </c>
      <c r="AF2834">
        <v>-3.7384141746547499</v>
      </c>
      <c r="AG2834">
        <v>-1.10986695107212</v>
      </c>
      <c r="AH2834">
        <v>22.198794455022298</v>
      </c>
      <c r="AI2834">
        <v>92.822538820420107</v>
      </c>
      <c r="AJ2834">
        <v>99.559267844295604</v>
      </c>
      <c r="AK2834">
        <v>22.538722688889699</v>
      </c>
      <c r="AL2834">
        <v>81.721272910832099</v>
      </c>
      <c r="AM2834">
        <v>90.418789851311601</v>
      </c>
      <c r="AN2834">
        <v>1.00000001657341</v>
      </c>
    </row>
    <row r="2835" spans="1:40" x14ac:dyDescent="0.25">
      <c r="A2835" t="str">
        <f>"20190312164321871"</f>
        <v>20190312164321871</v>
      </c>
      <c r="B2835" t="str">
        <f>"1552380201867234"</f>
        <v>1552380201867234</v>
      </c>
      <c r="C2835" t="s">
        <v>40</v>
      </c>
      <c r="D2835">
        <v>4.5291410000000001</v>
      </c>
      <c r="E2835">
        <v>0.44139279999999997</v>
      </c>
      <c r="F2835" t="s">
        <v>46</v>
      </c>
      <c r="G2835">
        <v>-242.89060000000001</v>
      </c>
      <c r="H2835" s="1">
        <v>-1.08987E-7</v>
      </c>
      <c r="I2835">
        <v>217.14279999999999</v>
      </c>
      <c r="J2835">
        <v>-265.04739999999998</v>
      </c>
      <c r="K2835">
        <v>1.1099139999999901</v>
      </c>
      <c r="L2835">
        <v>213.71340000000001</v>
      </c>
      <c r="M2835">
        <v>0.99977720000000003</v>
      </c>
      <c r="N2835">
        <v>0</v>
      </c>
      <c r="O2835">
        <v>-1.5468869999999999E-2</v>
      </c>
      <c r="P2835">
        <v>0.99147470000000004</v>
      </c>
      <c r="Q2835">
        <v>0.13014400000000001</v>
      </c>
      <c r="R2835">
        <v>-6.3599650000000004E-3</v>
      </c>
      <c r="S2835">
        <v>3.0489809999999999</v>
      </c>
      <c r="T2835">
        <v>-0.1497135</v>
      </c>
      <c r="U2835">
        <v>0.46165469999999997</v>
      </c>
      <c r="V2835">
        <v>-8.9207999999999996E-3</v>
      </c>
      <c r="W2835">
        <v>0.14438229999999999</v>
      </c>
      <c r="X2835">
        <v>0.98948170000000002</v>
      </c>
      <c r="Y2835">
        <v>-0.16477220000000001</v>
      </c>
      <c r="Z2835">
        <v>4.7751729999999997E-3</v>
      </c>
      <c r="AA2835">
        <v>0.98632010000000003</v>
      </c>
      <c r="AB2835">
        <v>42</v>
      </c>
      <c r="AC2835">
        <v>22.156799999999901</v>
      </c>
      <c r="AD2835">
        <v>-1.1099141089869999</v>
      </c>
      <c r="AE2835">
        <v>3.4293999999999798</v>
      </c>
      <c r="AF2835">
        <v>-3.7625448781584101</v>
      </c>
      <c r="AG2835">
        <v>-1.1099141089869999</v>
      </c>
      <c r="AH2835">
        <v>22.047064100529798</v>
      </c>
      <c r="AI2835">
        <v>92.8409991432694</v>
      </c>
      <c r="AJ2835">
        <v>99.684776473053205</v>
      </c>
      <c r="AK2835">
        <v>22.3933402765723</v>
      </c>
      <c r="AL2835">
        <v>81.698488236996894</v>
      </c>
      <c r="AM2835">
        <v>90.516543501744806</v>
      </c>
      <c r="AN2835">
        <v>0.99999993193040704</v>
      </c>
    </row>
    <row r="2836" spans="1:40" x14ac:dyDescent="0.25">
      <c r="A2836" t="str">
        <f>"20190312164321894"</f>
        <v>20190312164321894</v>
      </c>
      <c r="B2836" t="str">
        <f>"1552380201887730"</f>
        <v>1552380201887730</v>
      </c>
      <c r="C2836" t="s">
        <v>40</v>
      </c>
      <c r="D2836">
        <v>4.5249649999999999</v>
      </c>
      <c r="E2836">
        <v>0.44135150000000001</v>
      </c>
      <c r="F2836" t="s">
        <v>46</v>
      </c>
      <c r="G2836">
        <v>-242.37700000000001</v>
      </c>
      <c r="H2836" s="1">
        <v>-3.8423230000000003E-7</v>
      </c>
      <c r="I2836">
        <v>217.18719999999999</v>
      </c>
      <c r="J2836">
        <v>-264.61329999999998</v>
      </c>
      <c r="K2836">
        <v>1.109953</v>
      </c>
      <c r="L2836">
        <v>213.70670000000001</v>
      </c>
      <c r="M2836">
        <v>0.99977680000000002</v>
      </c>
      <c r="N2836">
        <v>0</v>
      </c>
      <c r="O2836">
        <v>-1.5501869999999999E-2</v>
      </c>
      <c r="P2836">
        <v>0.99142160000000001</v>
      </c>
      <c r="Q2836">
        <v>0.13059599999999999</v>
      </c>
      <c r="R2836">
        <v>-5.3232399999999999E-3</v>
      </c>
      <c r="S2836">
        <v>3.0483699999999998</v>
      </c>
      <c r="T2836">
        <v>-0.1492445</v>
      </c>
      <c r="U2836">
        <v>0.46710210000000002</v>
      </c>
      <c r="V2836">
        <v>-1.0001080000000001E-2</v>
      </c>
      <c r="W2836">
        <v>0.14483009999999999</v>
      </c>
      <c r="X2836">
        <v>0.98940600000000001</v>
      </c>
      <c r="Y2836">
        <v>-0.1665555</v>
      </c>
      <c r="Z2836">
        <v>4.8055210000000001E-3</v>
      </c>
      <c r="AA2836">
        <v>0.98602040000000002</v>
      </c>
      <c r="AB2836">
        <v>42</v>
      </c>
      <c r="AC2836">
        <v>22.2362999999999</v>
      </c>
      <c r="AD2836">
        <v>-1.1099533842322999</v>
      </c>
      <c r="AE2836">
        <v>3.48049999999997</v>
      </c>
      <c r="AF2836">
        <v>-3.81554185001968</v>
      </c>
      <c r="AG2836">
        <v>-1.1099533842322999</v>
      </c>
      <c r="AH2836">
        <v>22.1258564822915</v>
      </c>
      <c r="AI2836">
        <v>92.830156738139905</v>
      </c>
      <c r="AJ2836">
        <v>99.784265467338898</v>
      </c>
      <c r="AK2836">
        <v>22.479855008415399</v>
      </c>
      <c r="AL2836">
        <v>81.672559268862599</v>
      </c>
      <c r="AM2836">
        <v>90.579135521384003</v>
      </c>
      <c r="AN2836">
        <v>1.0000000061515799</v>
      </c>
    </row>
    <row r="2837" spans="1:40" x14ac:dyDescent="0.25">
      <c r="A2837" t="str">
        <f>"20190312164321915"</f>
        <v>20190312164321915</v>
      </c>
      <c r="B2837" t="str">
        <f>"1552380201907250"</f>
        <v>1552380201907250</v>
      </c>
      <c r="C2837" t="s">
        <v>40</v>
      </c>
      <c r="D2837">
        <v>4.5530210000000002</v>
      </c>
      <c r="E2837">
        <v>0.44136120000000001</v>
      </c>
      <c r="F2837" t="s">
        <v>46</v>
      </c>
      <c r="G2837">
        <v>-241.4769</v>
      </c>
      <c r="H2837" s="1">
        <v>-8.6772139999999999E-7</v>
      </c>
      <c r="I2837">
        <v>217.28980000000001</v>
      </c>
      <c r="J2837">
        <v>-264.2054</v>
      </c>
      <c r="K2837">
        <v>1.1099810000000001</v>
      </c>
      <c r="L2837">
        <v>213.7003</v>
      </c>
      <c r="M2837">
        <v>0.99977660000000002</v>
      </c>
      <c r="N2837">
        <v>0</v>
      </c>
      <c r="O2837">
        <v>-1.5511260000000001E-2</v>
      </c>
      <c r="P2837">
        <v>0.991344</v>
      </c>
      <c r="Q2837">
        <v>0.13125220000000001</v>
      </c>
      <c r="R2837">
        <v>-3.1937210000000001E-3</v>
      </c>
      <c r="S2837">
        <v>3.0477599999999998</v>
      </c>
      <c r="T2837">
        <v>-0.14621400000000001</v>
      </c>
      <c r="U2837">
        <v>0.47200009999999998</v>
      </c>
      <c r="V2837">
        <v>-1.2147450000000001E-2</v>
      </c>
      <c r="W2837">
        <v>0.1454821</v>
      </c>
      <c r="X2837">
        <v>0.98928629999999995</v>
      </c>
      <c r="Y2837">
        <v>-0.16814879999999999</v>
      </c>
      <c r="Z2837">
        <v>4.746831E-3</v>
      </c>
      <c r="AA2837">
        <v>0.98575020000000002</v>
      </c>
      <c r="AB2837">
        <v>42</v>
      </c>
      <c r="AC2837">
        <v>22.7285</v>
      </c>
      <c r="AD2837">
        <v>-1.1099818677214</v>
      </c>
      <c r="AE2837">
        <v>3.5895000000000099</v>
      </c>
      <c r="AF2837">
        <v>-3.9325012690766101</v>
      </c>
      <c r="AG2837">
        <v>-1.1099818677214</v>
      </c>
      <c r="AH2837">
        <v>22.617451471613801</v>
      </c>
      <c r="AI2837">
        <v>92.768149125950202</v>
      </c>
      <c r="AJ2837">
        <v>99.863425368157095</v>
      </c>
      <c r="AK2837">
        <v>22.983597130318099</v>
      </c>
      <c r="AL2837">
        <v>81.634802416054796</v>
      </c>
      <c r="AM2837">
        <v>90.7034997255886</v>
      </c>
      <c r="AN2837">
        <v>0.999999992664801</v>
      </c>
    </row>
    <row r="2838" spans="1:40" x14ac:dyDescent="0.25">
      <c r="A2838" t="str">
        <f>"20190312164321936"</f>
        <v>20190312164321936</v>
      </c>
      <c r="B2838" t="str">
        <f>"1552380201927383"</f>
        <v>1552380201927383</v>
      </c>
      <c r="C2838" t="s">
        <v>40</v>
      </c>
      <c r="D2838">
        <v>4.5535560000000004</v>
      </c>
      <c r="E2838">
        <v>0.44129479999999999</v>
      </c>
      <c r="F2838" t="s">
        <v>46</v>
      </c>
      <c r="G2838">
        <v>-240.79750000000001</v>
      </c>
      <c r="H2838" s="1">
        <v>-1.232926E-6</v>
      </c>
      <c r="I2838">
        <v>217.37389999999999</v>
      </c>
      <c r="J2838">
        <v>-263.82510000000002</v>
      </c>
      <c r="K2838">
        <v>1.110001</v>
      </c>
      <c r="L2838">
        <v>213.6944</v>
      </c>
      <c r="M2838">
        <v>0.99977680000000002</v>
      </c>
      <c r="N2838">
        <v>0</v>
      </c>
      <c r="O2838">
        <v>-1.549769E-2</v>
      </c>
      <c r="P2838">
        <v>0.99125359999999996</v>
      </c>
      <c r="Q2838">
        <v>0.13197039999999999</v>
      </c>
      <c r="R2838">
        <v>-7.2061270000000005E-4</v>
      </c>
      <c r="S2838">
        <v>3.046875</v>
      </c>
      <c r="T2838">
        <v>-0.1444802</v>
      </c>
      <c r="U2838">
        <v>0.4781647</v>
      </c>
      <c r="V2838">
        <v>-1.461441E-2</v>
      </c>
      <c r="W2838">
        <v>0.14619579999999999</v>
      </c>
      <c r="X2838">
        <v>0.98914769999999996</v>
      </c>
      <c r="Y2838">
        <v>-0.1701281</v>
      </c>
      <c r="Z2838">
        <v>4.7372079999999997E-3</v>
      </c>
      <c r="AA2838">
        <v>0.98541060000000003</v>
      </c>
      <c r="AB2838">
        <v>42</v>
      </c>
      <c r="AC2838">
        <v>23.0276</v>
      </c>
      <c r="AD2838">
        <v>-1.110002232926</v>
      </c>
      <c r="AE2838">
        <v>3.6794999999999898</v>
      </c>
      <c r="AF2838">
        <v>-4.0268458145289499</v>
      </c>
      <c r="AG2838">
        <v>-1.110002232926</v>
      </c>
      <c r="AH2838">
        <v>22.915883888084601</v>
      </c>
      <c r="AI2838">
        <v>92.731347552451396</v>
      </c>
      <c r="AJ2838">
        <v>99.966429504478398</v>
      </c>
      <c r="AK2838">
        <v>23.293461025430801</v>
      </c>
      <c r="AL2838">
        <v>81.593468404197594</v>
      </c>
      <c r="AM2838">
        <v>90.846469230234604</v>
      </c>
      <c r="AN2838">
        <v>0.99999998266628798</v>
      </c>
    </row>
    <row r="2839" spans="1:40" x14ac:dyDescent="0.25">
      <c r="A2839" t="str">
        <f>"20190312164321957"</f>
        <v>20190312164321957</v>
      </c>
      <c r="B2839" t="str">
        <f>"1552380201946902"</f>
        <v>1552380201946902</v>
      </c>
      <c r="C2839" t="s">
        <v>40</v>
      </c>
      <c r="D2839">
        <v>4.5441339999999997</v>
      </c>
      <c r="E2839">
        <v>0.44115330000000003</v>
      </c>
      <c r="F2839" t="s">
        <v>46</v>
      </c>
      <c r="G2839">
        <v>-240.37299999999999</v>
      </c>
      <c r="H2839" s="1">
        <v>-1.4613319999999999E-6</v>
      </c>
      <c r="I2839">
        <v>217.4316</v>
      </c>
      <c r="J2839">
        <v>-263.42610000000002</v>
      </c>
      <c r="K2839">
        <v>1.110028</v>
      </c>
      <c r="L2839">
        <v>213.68819999999999</v>
      </c>
      <c r="M2839">
        <v>0.99977740000000004</v>
      </c>
      <c r="N2839">
        <v>0</v>
      </c>
      <c r="O2839">
        <v>-1.546165E-2</v>
      </c>
      <c r="P2839">
        <v>0.99132509999999996</v>
      </c>
      <c r="Q2839">
        <v>0.13143250000000001</v>
      </c>
      <c r="R2839">
        <v>8.4547979999999995E-4</v>
      </c>
      <c r="S2839">
        <v>3.0460210000000001</v>
      </c>
      <c r="T2839">
        <v>-0.1441702</v>
      </c>
      <c r="U2839">
        <v>0.48539729999999998</v>
      </c>
      <c r="V2839">
        <v>-1.6155659999999999E-2</v>
      </c>
      <c r="W2839">
        <v>0.1456557</v>
      </c>
      <c r="X2839">
        <v>0.98920350000000001</v>
      </c>
      <c r="Y2839">
        <v>-0.1724155</v>
      </c>
      <c r="Z2839">
        <v>4.7795629999999997E-3</v>
      </c>
      <c r="AA2839">
        <v>0.98501269999999996</v>
      </c>
      <c r="AB2839">
        <v>42</v>
      </c>
      <c r="AC2839">
        <v>23.053100000000001</v>
      </c>
      <c r="AD2839">
        <v>-1.1100294613320001</v>
      </c>
      <c r="AE2839">
        <v>3.7433999999999998</v>
      </c>
      <c r="AF2839">
        <v>-4.0901885791011496</v>
      </c>
      <c r="AG2839">
        <v>-1.1100294613320001</v>
      </c>
      <c r="AH2839">
        <v>22.940636758415799</v>
      </c>
      <c r="AI2839">
        <v>92.727269570332993</v>
      </c>
      <c r="AJ2839">
        <v>100.109292511513</v>
      </c>
      <c r="AK2839">
        <v>23.3288367240892</v>
      </c>
      <c r="AL2839">
        <v>81.6247494844052</v>
      </c>
      <c r="AM2839">
        <v>90.9356708155495</v>
      </c>
      <c r="AN2839">
        <v>1.00000007635238</v>
      </c>
    </row>
    <row r="2840" spans="1:40" x14ac:dyDescent="0.25">
      <c r="A2840" t="str">
        <f>"20190312164321980"</f>
        <v>20190312164321980</v>
      </c>
      <c r="B2840" t="str">
        <f>"1552380201967398"</f>
        <v>1552380201967398</v>
      </c>
      <c r="C2840" t="s">
        <v>40</v>
      </c>
      <c r="D2840">
        <v>4.545973</v>
      </c>
      <c r="E2840">
        <v>0.44115769999999999</v>
      </c>
      <c r="F2840" t="s">
        <v>46</v>
      </c>
      <c r="G2840">
        <v>-240.58760000000001</v>
      </c>
      <c r="H2840" s="1">
        <v>-1.3446410000000001E-6</v>
      </c>
      <c r="I2840">
        <v>217.374</v>
      </c>
      <c r="J2840">
        <v>-263.01530000000002</v>
      </c>
      <c r="K2840">
        <v>1.1100540000000001</v>
      </c>
      <c r="L2840">
        <v>213.68190000000001</v>
      </c>
      <c r="M2840">
        <v>0.99977819999999995</v>
      </c>
      <c r="N2840">
        <v>0</v>
      </c>
      <c r="O2840">
        <v>-1.5406410000000001E-2</v>
      </c>
      <c r="P2840">
        <v>0.99146999999999996</v>
      </c>
      <c r="Q2840">
        <v>0.130302</v>
      </c>
      <c r="R2840">
        <v>2.9727460000000001E-3</v>
      </c>
      <c r="S2840">
        <v>3.045471</v>
      </c>
      <c r="T2840">
        <v>-0.1480204</v>
      </c>
      <c r="U2840">
        <v>0.49148560000000002</v>
      </c>
      <c r="V2840">
        <v>-1.824025E-2</v>
      </c>
      <c r="W2840">
        <v>0.14452290000000001</v>
      </c>
      <c r="X2840">
        <v>0.98933329999999997</v>
      </c>
      <c r="Y2840">
        <v>-0.17429500000000001</v>
      </c>
      <c r="Z2840">
        <v>4.9498529999999997E-3</v>
      </c>
      <c r="AA2840">
        <v>0.98468109999999998</v>
      </c>
      <c r="AB2840">
        <v>42</v>
      </c>
      <c r="AC2840">
        <v>22.427700000000002</v>
      </c>
      <c r="AD2840">
        <v>-1.110055344641</v>
      </c>
      <c r="AE2840">
        <v>3.6921000000000102</v>
      </c>
      <c r="AF2840">
        <v>-4.0276213946053696</v>
      </c>
      <c r="AG2840">
        <v>-1.110055344641</v>
      </c>
      <c r="AH2840">
        <v>22.314926368668701</v>
      </c>
      <c r="AI2840">
        <v>92.802619176883695</v>
      </c>
      <c r="AJ2840">
        <v>100.231166079175</v>
      </c>
      <c r="AK2840">
        <v>22.702640723174799</v>
      </c>
      <c r="AL2840">
        <v>81.690347439390095</v>
      </c>
      <c r="AM2840">
        <v>91.056237519679001</v>
      </c>
      <c r="AN2840">
        <v>0.99999997691668097</v>
      </c>
    </row>
    <row r="2841" spans="1:40" x14ac:dyDescent="0.25">
      <c r="A2841" t="str">
        <f>"20190312164322005"</f>
        <v>20190312164322005</v>
      </c>
      <c r="B2841" t="str">
        <f>"1552380201997656"</f>
        <v>1552380201997656</v>
      </c>
      <c r="C2841" t="s">
        <v>40</v>
      </c>
      <c r="D2841">
        <v>4.5566490000000002</v>
      </c>
      <c r="E2841">
        <v>0.44119000000000003</v>
      </c>
      <c r="F2841" t="s">
        <v>46</v>
      </c>
      <c r="G2841">
        <v>-241.12440000000001</v>
      </c>
      <c r="H2841" s="1">
        <v>-1.054031E-6</v>
      </c>
      <c r="I2841">
        <v>217.2603</v>
      </c>
      <c r="J2841">
        <v>-262.53629999999998</v>
      </c>
      <c r="K2841">
        <v>1.1100810000000001</v>
      </c>
      <c r="L2841">
        <v>213.6746</v>
      </c>
      <c r="M2841">
        <v>0.99977959999999999</v>
      </c>
      <c r="N2841">
        <v>0</v>
      </c>
      <c r="O2841">
        <v>-1.5324569999999999E-2</v>
      </c>
      <c r="P2841">
        <v>0.99158469999999999</v>
      </c>
      <c r="Q2841">
        <v>0.12935579999999999</v>
      </c>
      <c r="R2841">
        <v>5.1756770000000001E-3</v>
      </c>
      <c r="S2841">
        <v>3.0445859999999998</v>
      </c>
      <c r="T2841">
        <v>-0.154386299999999</v>
      </c>
      <c r="U2841">
        <v>0.49768069999999998</v>
      </c>
      <c r="V2841">
        <v>-2.0374429999999999E-2</v>
      </c>
      <c r="W2841">
        <v>0.14357400000000001</v>
      </c>
      <c r="X2841">
        <v>0.98942980000000003</v>
      </c>
      <c r="Y2841">
        <v>-0.1761897</v>
      </c>
      <c r="Z2841">
        <v>5.2066859999999899E-3</v>
      </c>
      <c r="AA2841">
        <v>0.98434250000000001</v>
      </c>
      <c r="AB2841">
        <v>42</v>
      </c>
      <c r="AC2841">
        <v>21.4118999999999</v>
      </c>
      <c r="AD2841">
        <v>-1.1100820540309999</v>
      </c>
      <c r="AE2841">
        <v>3.5857000000000001</v>
      </c>
      <c r="AF2841">
        <v>-3.9032358016155402</v>
      </c>
      <c r="AG2841">
        <v>-1.1100820540309999</v>
      </c>
      <c r="AH2841">
        <v>21.298744654397598</v>
      </c>
      <c r="AI2841">
        <v>92.934746771748195</v>
      </c>
      <c r="AJ2841">
        <v>100.38486520448301</v>
      </c>
      <c r="AK2841">
        <v>21.681883122619301</v>
      </c>
      <c r="AL2841">
        <v>81.745288349923499</v>
      </c>
      <c r="AM2841">
        <v>91.179673271902601</v>
      </c>
      <c r="AN2841">
        <v>0.99999997000093199</v>
      </c>
    </row>
    <row r="2842" spans="1:40" x14ac:dyDescent="0.25">
      <c r="A2842" t="str">
        <f>"20190312164322024"</f>
        <v>20190312164322024</v>
      </c>
      <c r="B2842" t="str">
        <f>"1552380202016903"</f>
        <v>1552380202016903</v>
      </c>
      <c r="C2842" t="s">
        <v>40</v>
      </c>
      <c r="D2842">
        <v>4.6104979999999998</v>
      </c>
      <c r="E2842">
        <v>0.44120559999999998</v>
      </c>
      <c r="F2842" t="s">
        <v>46</v>
      </c>
      <c r="G2842">
        <v>-241.536</v>
      </c>
      <c r="H2842" s="1">
        <v>-8.3030400000000002E-7</v>
      </c>
      <c r="I2842">
        <v>217.15309999999999</v>
      </c>
      <c r="J2842">
        <v>-262.1703</v>
      </c>
      <c r="K2842">
        <v>1.1101030000000001</v>
      </c>
      <c r="L2842">
        <v>213.66909999999999</v>
      </c>
      <c r="M2842">
        <v>0.99978069999999997</v>
      </c>
      <c r="N2842">
        <v>0</v>
      </c>
      <c r="O2842">
        <v>-1.5252470000000001E-2</v>
      </c>
      <c r="P2842">
        <v>0.99156149999999998</v>
      </c>
      <c r="Q2842">
        <v>0.1294247</v>
      </c>
      <c r="R2842">
        <v>7.4470980000000001E-3</v>
      </c>
      <c r="S2842">
        <v>3.0438540000000001</v>
      </c>
      <c r="T2842">
        <v>-0.1608984</v>
      </c>
      <c r="U2842">
        <v>0.50418090000000004</v>
      </c>
      <c r="V2842">
        <v>-2.2579809999999999E-2</v>
      </c>
      <c r="W2842">
        <v>0.14363870000000001</v>
      </c>
      <c r="X2842">
        <v>0.98937260000000005</v>
      </c>
      <c r="Y2842">
        <v>-0.17817939999999999</v>
      </c>
      <c r="Z2842">
        <v>5.4747839999999999E-3</v>
      </c>
      <c r="AA2842">
        <v>0.98398280000000005</v>
      </c>
      <c r="AB2842">
        <v>42</v>
      </c>
      <c r="AC2842">
        <v>20.6343</v>
      </c>
      <c r="AD2842">
        <v>-1.1101038303039901</v>
      </c>
      <c r="AE2842">
        <v>3.484</v>
      </c>
      <c r="AF2842">
        <v>-3.7876921372235799</v>
      </c>
      <c r="AG2842">
        <v>-1.1101038303039901</v>
      </c>
      <c r="AH2842">
        <v>20.521005934064998</v>
      </c>
      <c r="AI2842">
        <v>93.045115511680905</v>
      </c>
      <c r="AJ2842">
        <v>100.457745635316</v>
      </c>
      <c r="AK2842">
        <v>20.897143986353001</v>
      </c>
      <c r="AL2842">
        <v>81.741543008786294</v>
      </c>
      <c r="AM2842">
        <v>91.307397504697903</v>
      </c>
      <c r="AN2842">
        <v>1.0000000327940399</v>
      </c>
    </row>
    <row r="2843" spans="1:40" x14ac:dyDescent="0.25">
      <c r="A2843" t="str">
        <f>"20190312164322046"</f>
        <v>20190312164322046</v>
      </c>
      <c r="B2843" t="str">
        <f>"1552380202037399"</f>
        <v>1552380202037399</v>
      </c>
      <c r="C2843" t="s">
        <v>40</v>
      </c>
      <c r="D2843">
        <v>4.7287650000000001</v>
      </c>
      <c r="E2843">
        <v>0.44137389999999999</v>
      </c>
      <c r="F2843" t="s">
        <v>46</v>
      </c>
      <c r="G2843">
        <v>-241.4076</v>
      </c>
      <c r="H2843" s="1">
        <v>-8.9879920000000004E-7</v>
      </c>
      <c r="I2843">
        <v>217.15690000000001</v>
      </c>
      <c r="J2843">
        <v>-261.77140000000003</v>
      </c>
      <c r="K2843">
        <v>1.1101240000000001</v>
      </c>
      <c r="L2843">
        <v>213.66300000000001</v>
      </c>
      <c r="M2843">
        <v>0.99978199999999995</v>
      </c>
      <c r="N2843">
        <v>0</v>
      </c>
      <c r="O2843">
        <v>-1.5166239999999999E-2</v>
      </c>
      <c r="P2843">
        <v>0.99145970000000005</v>
      </c>
      <c r="Q2843">
        <v>0.13003000000000001</v>
      </c>
      <c r="R2843">
        <v>9.9972930000000008E-3</v>
      </c>
      <c r="S2843">
        <v>3.0429379999999999</v>
      </c>
      <c r="T2843">
        <v>-0.1626947</v>
      </c>
      <c r="U2843">
        <v>0.5111694</v>
      </c>
      <c r="V2843">
        <v>-2.5048190000000001E-2</v>
      </c>
      <c r="W2843">
        <v>0.14423839999999999</v>
      </c>
      <c r="X2843">
        <v>0.98922589999999999</v>
      </c>
      <c r="Y2843">
        <v>-0.18033170000000001</v>
      </c>
      <c r="Z2843">
        <v>5.5889449999999997E-3</v>
      </c>
      <c r="AA2843">
        <v>0.98358999999999996</v>
      </c>
      <c r="AB2843">
        <v>42</v>
      </c>
      <c r="AC2843">
        <v>20.363800000000001</v>
      </c>
      <c r="AD2843">
        <v>-1.1101248987991901</v>
      </c>
      <c r="AE2843">
        <v>3.49390000000002</v>
      </c>
      <c r="AF2843">
        <v>-3.7914268286988402</v>
      </c>
      <c r="AG2843">
        <v>-1.1101248987991901</v>
      </c>
      <c r="AH2843">
        <v>20.250003650487301</v>
      </c>
      <c r="AI2843">
        <v>93.084379188215806</v>
      </c>
      <c r="AJ2843">
        <v>100.60476104506201</v>
      </c>
      <c r="AK2843">
        <v>20.631770222960998</v>
      </c>
      <c r="AL2843">
        <v>81.706820922921196</v>
      </c>
      <c r="AM2843">
        <v>91.450476550640204</v>
      </c>
      <c r="AN2843">
        <v>1.00000000454382</v>
      </c>
    </row>
    <row r="2844" spans="1:40" x14ac:dyDescent="0.25">
      <c r="A2844" t="str">
        <f>"20190312164322069"</f>
        <v>20190312164322069</v>
      </c>
      <c r="B2844" t="str">
        <f>"1552380202056919"</f>
        <v>1552380202056919</v>
      </c>
      <c r="C2844" t="s">
        <v>40</v>
      </c>
      <c r="D2844">
        <v>4.6356640000000002</v>
      </c>
      <c r="E2844">
        <v>0.4413977</v>
      </c>
      <c r="F2844" t="s">
        <v>46</v>
      </c>
      <c r="G2844">
        <v>-240.90129999999999</v>
      </c>
      <c r="H2844" s="1">
        <v>-1.1708220000000001E-6</v>
      </c>
      <c r="I2844">
        <v>217.21709999999999</v>
      </c>
      <c r="J2844">
        <v>-261.34280000000001</v>
      </c>
      <c r="K2844">
        <v>1.1101430000000001</v>
      </c>
      <c r="L2844">
        <v>213.6566</v>
      </c>
      <c r="M2844">
        <v>0.99978370000000005</v>
      </c>
      <c r="N2844">
        <v>0</v>
      </c>
      <c r="O2844">
        <v>-1.50673E-2</v>
      </c>
      <c r="P2844">
        <v>0.99127569999999998</v>
      </c>
      <c r="Q2844">
        <v>0.13121459999999999</v>
      </c>
      <c r="R2844">
        <v>1.247059E-2</v>
      </c>
      <c r="S2844">
        <v>3.0418400000000001</v>
      </c>
      <c r="T2844">
        <v>-0.16180249999999999</v>
      </c>
      <c r="U2844">
        <v>0.51800539999999995</v>
      </c>
      <c r="V2844">
        <v>-2.742495E-2</v>
      </c>
      <c r="W2844">
        <v>0.1454165</v>
      </c>
      <c r="X2844">
        <v>0.98899040000000005</v>
      </c>
      <c r="Y2844">
        <v>-0.18244099999999999</v>
      </c>
      <c r="Z2844">
        <v>5.6097229999999996E-3</v>
      </c>
      <c r="AA2844">
        <v>0.98320079999999999</v>
      </c>
      <c r="AB2844">
        <v>42</v>
      </c>
      <c r="AC2844">
        <v>20.441500000000001</v>
      </c>
      <c r="AD2844">
        <v>-1.1101441708219999</v>
      </c>
      <c r="AE2844">
        <v>3.56049999999999</v>
      </c>
      <c r="AF2844">
        <v>-3.85708450311511</v>
      </c>
      <c r="AG2844">
        <v>-1.1101441708219999</v>
      </c>
      <c r="AH2844">
        <v>20.327338360478599</v>
      </c>
      <c r="AI2844">
        <v>93.071315390172103</v>
      </c>
      <c r="AJ2844">
        <v>100.744065542006</v>
      </c>
      <c r="AK2844">
        <v>20.719802261739002</v>
      </c>
      <c r="AL2844">
        <v>81.6386018918584</v>
      </c>
      <c r="AM2844">
        <v>91.588419165918296</v>
      </c>
      <c r="AN2844">
        <v>1.0000000488234499</v>
      </c>
    </row>
    <row r="2845" spans="1:40" x14ac:dyDescent="0.25">
      <c r="A2845" t="str">
        <f>"20190312164322094"</f>
        <v>20190312164322094</v>
      </c>
      <c r="B2845" t="str">
        <f>"1552380202087175"</f>
        <v>1552380202087175</v>
      </c>
      <c r="C2845" t="s">
        <v>40</v>
      </c>
      <c r="D2845">
        <v>4.6271709999999997</v>
      </c>
      <c r="E2845">
        <v>0.42178569999999999</v>
      </c>
      <c r="F2845" t="s">
        <v>46</v>
      </c>
      <c r="G2845">
        <v>-239.9091</v>
      </c>
      <c r="H2845" s="1">
        <v>3.6162819999999999E-6</v>
      </c>
      <c r="I2845">
        <v>217.36340000000001</v>
      </c>
      <c r="J2845">
        <v>-260.89409999999998</v>
      </c>
      <c r="K2845">
        <v>1.110163</v>
      </c>
      <c r="L2845">
        <v>213.6499</v>
      </c>
      <c r="M2845">
        <v>0.99978520000000004</v>
      </c>
      <c r="N2845">
        <v>0</v>
      </c>
      <c r="O2845">
        <v>-1.495995E-2</v>
      </c>
      <c r="P2845">
        <v>0.99111930000000004</v>
      </c>
      <c r="Q2845">
        <v>0.1321078</v>
      </c>
      <c r="R2845">
        <v>1.517514E-2</v>
      </c>
      <c r="S2845">
        <v>3.0406490000000002</v>
      </c>
      <c r="T2845">
        <v>-0.15748809999999999</v>
      </c>
      <c r="U2845">
        <v>0.52584839999999999</v>
      </c>
      <c r="V2845">
        <v>-3.0024039999999998E-2</v>
      </c>
      <c r="W2845">
        <v>0.14630290000000001</v>
      </c>
      <c r="X2845">
        <v>0.98878410000000005</v>
      </c>
      <c r="Y2845">
        <v>-0.18487329999999999</v>
      </c>
      <c r="Z2845">
        <v>5.5182319999999997E-3</v>
      </c>
      <c r="AA2845">
        <v>0.98274689999999998</v>
      </c>
      <c r="AB2845">
        <v>41</v>
      </c>
      <c r="AC2845">
        <v>20.9849999999999</v>
      </c>
      <c r="AD2845">
        <v>-1.1101593837179999</v>
      </c>
      <c r="AE2845">
        <v>3.71350000000001</v>
      </c>
      <c r="AF2845">
        <v>-4.0161525780335703</v>
      </c>
      <c r="AG2845">
        <v>-1.1101593837179999</v>
      </c>
      <c r="AH2845">
        <v>20.870455561545999</v>
      </c>
      <c r="AI2845">
        <v>92.990100668384798</v>
      </c>
      <c r="AJ2845">
        <v>100.892419217051</v>
      </c>
      <c r="AK2845">
        <v>21.282336590087301</v>
      </c>
      <c r="AL2845">
        <v>81.587265382550797</v>
      </c>
      <c r="AM2845">
        <v>91.739229395443203</v>
      </c>
      <c r="AN2845">
        <v>0.99999998896956999</v>
      </c>
    </row>
    <row r="2846" spans="1:40" x14ac:dyDescent="0.25">
      <c r="A2846" t="str">
        <f>"20190312164322115"</f>
        <v>20190312164322115</v>
      </c>
      <c r="B2846" t="str">
        <f>"1552380202107672"</f>
        <v>1552380202107672</v>
      </c>
      <c r="C2846" t="s">
        <v>40</v>
      </c>
      <c r="D2846">
        <v>4.7233460000000003</v>
      </c>
      <c r="E2846">
        <v>0.4215063</v>
      </c>
      <c r="F2846" t="s">
        <v>46</v>
      </c>
      <c r="G2846">
        <v>-245.08580000000001</v>
      </c>
      <c r="H2846" s="1">
        <v>1.0545649999999999E-6</v>
      </c>
      <c r="I2846">
        <v>217.2484</v>
      </c>
      <c r="J2846">
        <v>-260.48259999999999</v>
      </c>
      <c r="K2846">
        <v>1.1101749999999999</v>
      </c>
      <c r="L2846">
        <v>213.6439</v>
      </c>
      <c r="M2846">
        <v>0.99978679999999998</v>
      </c>
      <c r="N2846">
        <v>0</v>
      </c>
      <c r="O2846">
        <v>-1.4860989999999999E-2</v>
      </c>
      <c r="P2846">
        <v>0.99078949999999999</v>
      </c>
      <c r="Q2846">
        <v>0.1341618</v>
      </c>
      <c r="R2846">
        <v>1.8358780000000002E-2</v>
      </c>
      <c r="S2846">
        <v>3.0447389999999999</v>
      </c>
      <c r="T2846">
        <v>-0.21382139999999999</v>
      </c>
      <c r="U2846">
        <v>0.6930847</v>
      </c>
      <c r="V2846">
        <v>-3.3107129999999999E-2</v>
      </c>
      <c r="W2846">
        <v>0.1483479</v>
      </c>
      <c r="X2846">
        <v>0.98838090000000001</v>
      </c>
      <c r="Y2846">
        <v>-0.2358354</v>
      </c>
      <c r="Z2846">
        <v>9.1964290000000008E-3</v>
      </c>
      <c r="AA2846">
        <v>0.97174950000000004</v>
      </c>
      <c r="AB2846">
        <v>41</v>
      </c>
      <c r="AC2846">
        <v>15.396799999999899</v>
      </c>
      <c r="AD2846">
        <v>-1.1101739454349999</v>
      </c>
      <c r="AE2846">
        <v>3.6044999999999998</v>
      </c>
      <c r="AF2846">
        <v>-3.8141376396182598</v>
      </c>
      <c r="AG2846">
        <v>-1.1101739454349999</v>
      </c>
      <c r="AH2846">
        <v>15.2662817176715</v>
      </c>
      <c r="AI2846">
        <v>94.035646992947207</v>
      </c>
      <c r="AJ2846">
        <v>104.027649746159</v>
      </c>
      <c r="AK2846">
        <v>15.774647051721599</v>
      </c>
      <c r="AL2846">
        <v>81.468802866065403</v>
      </c>
      <c r="AM2846">
        <v>91.918480876512604</v>
      </c>
      <c r="AN2846">
        <v>0.99999999248802796</v>
      </c>
    </row>
    <row r="2847" spans="1:40" x14ac:dyDescent="0.25">
      <c r="A2847" t="str">
        <f>"20190312164322136"</f>
        <v>20190312164322136</v>
      </c>
      <c r="B2847" t="str">
        <f>"1552380202127191"</f>
        <v>1552380202127191</v>
      </c>
      <c r="C2847" t="s">
        <v>40</v>
      </c>
      <c r="D2847">
        <v>4.5860190000000003</v>
      </c>
      <c r="E2847">
        <v>0.42109679999999999</v>
      </c>
      <c r="F2847" t="s">
        <v>46</v>
      </c>
      <c r="G2847">
        <v>-244.2724</v>
      </c>
      <c r="H2847" s="1">
        <v>6.1526610000000002E-7</v>
      </c>
      <c r="I2847">
        <v>217.39580000000001</v>
      </c>
      <c r="J2847">
        <v>-260.10399999999998</v>
      </c>
      <c r="K2847">
        <v>1.110188</v>
      </c>
      <c r="L2847">
        <v>213.63829999999999</v>
      </c>
      <c r="M2847">
        <v>0.99978820000000002</v>
      </c>
      <c r="N2847">
        <v>0</v>
      </c>
      <c r="O2847">
        <v>-1.4770520000000001E-2</v>
      </c>
      <c r="P2847">
        <v>0.99042549999999996</v>
      </c>
      <c r="Q2847">
        <v>0.1363201</v>
      </c>
      <c r="R2847">
        <v>2.1785820000000001E-2</v>
      </c>
      <c r="S2847">
        <v>3.0430299999999999</v>
      </c>
      <c r="T2847">
        <v>-0.2084048</v>
      </c>
      <c r="U2847">
        <v>0.70433040000000002</v>
      </c>
      <c r="V2847">
        <v>-3.6441649999999999E-2</v>
      </c>
      <c r="W2847">
        <v>0.15049650000000001</v>
      </c>
      <c r="X2847">
        <v>0.98793869999999895</v>
      </c>
      <c r="Y2847">
        <v>-0.23929719999999999</v>
      </c>
      <c r="Z2847">
        <v>9.0759959999999994E-3</v>
      </c>
      <c r="AA2847">
        <v>0.97090390000000004</v>
      </c>
      <c r="AB2847">
        <v>41</v>
      </c>
      <c r="AC2847">
        <v>15.8316</v>
      </c>
      <c r="AD2847">
        <v>-1.1101873847339001</v>
      </c>
      <c r="AE2847">
        <v>3.7575000000000198</v>
      </c>
      <c r="AF2847">
        <v>-3.9724621924830199</v>
      </c>
      <c r="AG2847">
        <v>-1.1101873847339001</v>
      </c>
      <c r="AH2847">
        <v>15.701273313457101</v>
      </c>
      <c r="AI2847">
        <v>93.921320217427606</v>
      </c>
      <c r="AJ2847">
        <v>104.198042578165</v>
      </c>
      <c r="AK2847">
        <v>16.2340061464756</v>
      </c>
      <c r="AL2847">
        <v>81.344299737707203</v>
      </c>
      <c r="AM2847">
        <v>92.112485873299605</v>
      </c>
      <c r="AN2847">
        <v>1.00000003266233</v>
      </c>
    </row>
    <row r="2848" spans="1:40" x14ac:dyDescent="0.25">
      <c r="A2848" t="str">
        <f>"20190312164322158"</f>
        <v>20190312164322158</v>
      </c>
      <c r="B2848" t="str">
        <f>"1552380202147687"</f>
        <v>1552380202147687</v>
      </c>
      <c r="C2848" t="s">
        <v>40</v>
      </c>
      <c r="D2848">
        <v>4.5566719999999998</v>
      </c>
      <c r="E2848">
        <v>0.42077949999999997</v>
      </c>
      <c r="F2848" t="s">
        <v>46</v>
      </c>
      <c r="G2848">
        <v>-243.55789999999999</v>
      </c>
      <c r="H2848" s="1">
        <v>2.2873780000000001E-7</v>
      </c>
      <c r="I2848">
        <v>217.54</v>
      </c>
      <c r="J2848">
        <v>-259.70499999999998</v>
      </c>
      <c r="K2848">
        <v>1.1101939999999999</v>
      </c>
      <c r="L2848">
        <v>213.63249999999999</v>
      </c>
      <c r="M2848">
        <v>0.99978959999999995</v>
      </c>
      <c r="N2848">
        <v>0</v>
      </c>
      <c r="O2848">
        <v>-1.467565E-2</v>
      </c>
      <c r="P2848">
        <v>0.99011249999999995</v>
      </c>
      <c r="Q2848">
        <v>0.13799020000000001</v>
      </c>
      <c r="R2848">
        <v>2.522551E-2</v>
      </c>
      <c r="S2848">
        <v>3.0413209999999999</v>
      </c>
      <c r="T2848">
        <v>-0.20406199999999999</v>
      </c>
      <c r="U2848">
        <v>0.71716309999999905</v>
      </c>
      <c r="V2848">
        <v>-3.9784380000000001E-2</v>
      </c>
      <c r="W2848">
        <v>0.1521575</v>
      </c>
      <c r="X2848">
        <v>0.98755519999999997</v>
      </c>
      <c r="Y2848">
        <v>-0.24322260000000001</v>
      </c>
      <c r="Z2848">
        <v>9.0114359999999994E-3</v>
      </c>
      <c r="AA2848">
        <v>0.96992860000000003</v>
      </c>
      <c r="AB2848">
        <v>41</v>
      </c>
      <c r="AC2848">
        <v>16.147099999999899</v>
      </c>
      <c r="AD2848">
        <v>-1.1101937712621901</v>
      </c>
      <c r="AE2848">
        <v>3.90749999999999</v>
      </c>
      <c r="AF2848">
        <v>-4.1256485907879297</v>
      </c>
      <c r="AG2848">
        <v>-1.1101937712621901</v>
      </c>
      <c r="AH2848">
        <v>16.016484402571901</v>
      </c>
      <c r="AI2848">
        <v>93.840193026800307</v>
      </c>
      <c r="AJ2848">
        <v>104.444674755455</v>
      </c>
      <c r="AK2848">
        <v>16.576527957393498</v>
      </c>
      <c r="AL2848">
        <v>81.248022289821904</v>
      </c>
      <c r="AM2848">
        <v>92.306954702432705</v>
      </c>
      <c r="AN2848">
        <v>0.99999998737263696</v>
      </c>
    </row>
    <row r="2849" spans="1:40" x14ac:dyDescent="0.25">
      <c r="A2849" t="str">
        <f>"20190312164322180"</f>
        <v>20190312164322180</v>
      </c>
      <c r="B2849" t="str">
        <f>"1552380202176967"</f>
        <v>1552380202176967</v>
      </c>
      <c r="C2849" t="s">
        <v>40</v>
      </c>
      <c r="D2849">
        <v>4.5407339999999996</v>
      </c>
      <c r="E2849">
        <v>0.42093789999999998</v>
      </c>
      <c r="F2849" t="s">
        <v>46</v>
      </c>
      <c r="G2849">
        <v>-242.73740000000001</v>
      </c>
      <c r="H2849" s="1">
        <v>-2.152314E-7</v>
      </c>
      <c r="I2849">
        <v>217.70760000000001</v>
      </c>
      <c r="J2849">
        <v>-259.2919</v>
      </c>
      <c r="K2849">
        <v>1.1101970000000001</v>
      </c>
      <c r="L2849">
        <v>213.62649999999999</v>
      </c>
      <c r="M2849">
        <v>0.99979099999999999</v>
      </c>
      <c r="N2849">
        <v>0</v>
      </c>
      <c r="O2849">
        <v>-1.457781E-2</v>
      </c>
      <c r="P2849">
        <v>0.98994210000000005</v>
      </c>
      <c r="Q2849">
        <v>0.13843949999999999</v>
      </c>
      <c r="R2849">
        <v>2.9144989999999999E-2</v>
      </c>
      <c r="S2849">
        <v>3.0390630000000001</v>
      </c>
      <c r="T2849">
        <v>-0.1988462</v>
      </c>
      <c r="U2849">
        <v>0.72988889999999995</v>
      </c>
      <c r="V2849">
        <v>-4.3606209999999999E-2</v>
      </c>
      <c r="W2849">
        <v>0.15260000000000001</v>
      </c>
      <c r="X2849">
        <v>0.98732549999999997</v>
      </c>
      <c r="Y2849">
        <v>-0.24715019999999999</v>
      </c>
      <c r="Z2849">
        <v>8.9039889999999993E-3</v>
      </c>
      <c r="AA2849">
        <v>0.96893629999999997</v>
      </c>
      <c r="AB2849">
        <v>41</v>
      </c>
      <c r="AC2849">
        <v>16.554499999999901</v>
      </c>
      <c r="AD2849">
        <v>-1.1101972152313999</v>
      </c>
      <c r="AE2849">
        <v>4.0811000000000197</v>
      </c>
      <c r="AF2849">
        <v>-4.3037722761674804</v>
      </c>
      <c r="AG2849">
        <v>-1.1101972152313999</v>
      </c>
      <c r="AH2849">
        <v>16.423608157583701</v>
      </c>
      <c r="AI2849">
        <v>93.741232668901802</v>
      </c>
      <c r="AJ2849">
        <v>104.68406844302</v>
      </c>
      <c r="AK2849">
        <v>17.014402680542901</v>
      </c>
      <c r="AL2849">
        <v>81.222369025337898</v>
      </c>
      <c r="AM2849">
        <v>92.528881478151504</v>
      </c>
      <c r="AN2849">
        <v>0.99999995225040506</v>
      </c>
    </row>
    <row r="2850" spans="1:40" x14ac:dyDescent="0.25">
      <c r="A2850" t="str">
        <f>"20190312164322204"</f>
        <v>20190312164322204</v>
      </c>
      <c r="B2850" t="str">
        <f>"1552380202197463"</f>
        <v>1552380202197463</v>
      </c>
      <c r="C2850" t="s">
        <v>40</v>
      </c>
      <c r="D2850">
        <v>4.5602019999999897</v>
      </c>
      <c r="E2850">
        <v>0.421155</v>
      </c>
      <c r="F2850" t="s">
        <v>46</v>
      </c>
      <c r="G2850">
        <v>-242.4727</v>
      </c>
      <c r="H2850" s="1">
        <v>-3.5698569999999999E-7</v>
      </c>
      <c r="I2850">
        <v>217.72890000000001</v>
      </c>
      <c r="J2850">
        <v>-258.85840000000002</v>
      </c>
      <c r="K2850">
        <v>1.1102080000000001</v>
      </c>
      <c r="L2850">
        <v>213.62029999999999</v>
      </c>
      <c r="M2850">
        <v>0.99979260000000003</v>
      </c>
      <c r="N2850">
        <v>0</v>
      </c>
      <c r="O2850">
        <v>-1.4471380000000001E-2</v>
      </c>
      <c r="P2850">
        <v>0.98979689999999998</v>
      </c>
      <c r="Q2850">
        <v>0.1383944</v>
      </c>
      <c r="R2850">
        <v>3.3900039999999999E-2</v>
      </c>
      <c r="S2850">
        <v>3.0367130000000002</v>
      </c>
      <c r="T2850">
        <v>-0.2004464</v>
      </c>
      <c r="U2850">
        <v>0.74067689999999997</v>
      </c>
      <c r="V2850">
        <v>-4.8254730000000003E-2</v>
      </c>
      <c r="W2850">
        <v>0.15254719999999999</v>
      </c>
      <c r="X2850">
        <v>0.98711740000000003</v>
      </c>
      <c r="Y2850">
        <v>-0.25045200000000001</v>
      </c>
      <c r="Z2850">
        <v>9.0789140000000004E-3</v>
      </c>
      <c r="AA2850">
        <v>0.96808640000000001</v>
      </c>
      <c r="AB2850">
        <v>41</v>
      </c>
      <c r="AC2850">
        <v>16.3857</v>
      </c>
      <c r="AD2850">
        <v>-1.1102083569857</v>
      </c>
      <c r="AE2850">
        <v>4.1086000000000196</v>
      </c>
      <c r="AF2850">
        <v>-4.32663036304751</v>
      </c>
      <c r="AG2850">
        <v>-1.1102083569857</v>
      </c>
      <c r="AH2850">
        <v>16.254315806490698</v>
      </c>
      <c r="AI2850">
        <v>93.776277364161501</v>
      </c>
      <c r="AJ2850">
        <v>104.90556754727299</v>
      </c>
      <c r="AK2850">
        <v>16.856899929450201</v>
      </c>
      <c r="AL2850">
        <v>81.225430187613199</v>
      </c>
      <c r="AM2850">
        <v>92.798647037973694</v>
      </c>
      <c r="AN2850">
        <v>0.99999996428898497</v>
      </c>
    </row>
    <row r="2851" spans="1:40" x14ac:dyDescent="0.25">
      <c r="A2851" t="str">
        <f>"20190312164322225"</f>
        <v>20190312164322225</v>
      </c>
      <c r="B2851" t="str">
        <f>"1552380202216983"</f>
        <v>1552380202216983</v>
      </c>
      <c r="C2851" t="s">
        <v>40</v>
      </c>
      <c r="D2851">
        <v>4.5279199999999999</v>
      </c>
      <c r="E2851">
        <v>0.42116730000000002</v>
      </c>
      <c r="F2851" t="s">
        <v>46</v>
      </c>
      <c r="G2851">
        <v>-242.24420000000001</v>
      </c>
      <c r="H2851" s="1">
        <v>-4.7941769999999996E-7</v>
      </c>
      <c r="I2851">
        <v>217.74780000000001</v>
      </c>
      <c r="J2851">
        <v>-258.4556</v>
      </c>
      <c r="K2851">
        <v>1.1102190000000001</v>
      </c>
      <c r="L2851">
        <v>213.6146</v>
      </c>
      <c r="M2851">
        <v>0.99979419999999997</v>
      </c>
      <c r="N2851">
        <v>0</v>
      </c>
      <c r="O2851">
        <v>-1.436432E-2</v>
      </c>
      <c r="P2851">
        <v>0.98955570000000004</v>
      </c>
      <c r="Q2851">
        <v>0.138851</v>
      </c>
      <c r="R2851">
        <v>3.8731889999999998E-2</v>
      </c>
      <c r="S2851">
        <v>3.0334629999999998</v>
      </c>
      <c r="T2851">
        <v>-0.20270469999999999</v>
      </c>
      <c r="U2851">
        <v>0.75360109999999902</v>
      </c>
      <c r="V2851">
        <v>-5.2979030000000003E-2</v>
      </c>
      <c r="W2851">
        <v>0.1529954</v>
      </c>
      <c r="X2851">
        <v>0.98680579999999996</v>
      </c>
      <c r="Y2851">
        <v>-0.25445259999999997</v>
      </c>
      <c r="Z2851">
        <v>9.3104079999999992E-3</v>
      </c>
      <c r="AA2851">
        <v>0.96704040000000002</v>
      </c>
      <c r="AB2851">
        <v>41</v>
      </c>
      <c r="AC2851">
        <v>16.211399999999902</v>
      </c>
      <c r="AD2851">
        <v>-1.1102194794177001</v>
      </c>
      <c r="AE2851">
        <v>4.1332000000000102</v>
      </c>
      <c r="AF2851">
        <v>-4.3465219774697097</v>
      </c>
      <c r="AG2851">
        <v>-1.1102194794177001</v>
      </c>
      <c r="AH2851">
        <v>16.079539588031299</v>
      </c>
      <c r="AI2851">
        <v>93.813309201705493</v>
      </c>
      <c r="AJ2851">
        <v>105.126333329723</v>
      </c>
      <c r="AK2851">
        <v>16.6936045824792</v>
      </c>
      <c r="AL2851">
        <v>81.199445764410299</v>
      </c>
      <c r="AM2851">
        <v>93.073110672296394</v>
      </c>
      <c r="AN2851">
        <v>1.0000000284772701</v>
      </c>
    </row>
    <row r="2852" spans="1:40" x14ac:dyDescent="0.25">
      <c r="A2852" t="str">
        <f>"20190312164322248"</f>
        <v>20190312164322248</v>
      </c>
      <c r="B2852" t="str">
        <f>"1552380202237479"</f>
        <v>1552380202237479</v>
      </c>
      <c r="C2852" t="s">
        <v>40</v>
      </c>
      <c r="D2852">
        <v>4.7080849999999996</v>
      </c>
      <c r="E2852">
        <v>0.42151119999999997</v>
      </c>
      <c r="F2852" t="s">
        <v>46</v>
      </c>
      <c r="G2852">
        <v>-241.65780000000001</v>
      </c>
      <c r="H2852" s="1">
        <v>-7.9703499999999996E-7</v>
      </c>
      <c r="I2852">
        <v>217.87479999999999</v>
      </c>
      <c r="J2852">
        <v>-258.05529999999999</v>
      </c>
      <c r="K2852">
        <v>1.110241</v>
      </c>
      <c r="L2852">
        <v>213.60900000000001</v>
      </c>
      <c r="M2852">
        <v>0.99979589999999996</v>
      </c>
      <c r="N2852">
        <v>0</v>
      </c>
      <c r="O2852">
        <v>-1.4246969999999999E-2</v>
      </c>
      <c r="P2852">
        <v>0.98913669999999998</v>
      </c>
      <c r="Q2852">
        <v>0.14020929999999901</v>
      </c>
      <c r="R2852">
        <v>4.4158919999999997E-2</v>
      </c>
      <c r="S2852">
        <v>3.0296940000000001</v>
      </c>
      <c r="T2852">
        <v>-0.2002419</v>
      </c>
      <c r="U2852">
        <v>0.76838680000000004</v>
      </c>
      <c r="V2852">
        <v>-5.8287289999999999E-2</v>
      </c>
      <c r="W2852">
        <v>0.15434149999999999</v>
      </c>
      <c r="X2852">
        <v>0.98629679999999997</v>
      </c>
      <c r="Y2852">
        <v>-0.25906089999999998</v>
      </c>
      <c r="Z2852">
        <v>9.3453730000000006E-3</v>
      </c>
      <c r="AA2852">
        <v>0.9658158</v>
      </c>
      <c r="AB2852">
        <v>41</v>
      </c>
      <c r="AC2852">
        <v>16.397499999999901</v>
      </c>
      <c r="AD2852">
        <v>-1.110241797035</v>
      </c>
      <c r="AE2852">
        <v>4.2657999999999801</v>
      </c>
      <c r="AF2852">
        <v>-4.4797704779581</v>
      </c>
      <c r="AG2852">
        <v>-1.110241797035</v>
      </c>
      <c r="AH2852">
        <v>16.265215223072399</v>
      </c>
      <c r="AI2852">
        <v>93.765108404418399</v>
      </c>
      <c r="AJ2852">
        <v>105.39863721396399</v>
      </c>
      <c r="AK2852">
        <v>16.9073417968626</v>
      </c>
      <c r="AL2852">
        <v>81.121392958343307</v>
      </c>
      <c r="AM2852">
        <v>93.382081345902094</v>
      </c>
      <c r="AN2852">
        <v>1.0000000422440101</v>
      </c>
    </row>
    <row r="2853" spans="1:40" x14ac:dyDescent="0.25">
      <c r="A2853" t="str">
        <f>"20190312164322271"</f>
        <v>20190312164322271</v>
      </c>
      <c r="B2853" t="str">
        <f>"1552380202267735"</f>
        <v>1552380202267735</v>
      </c>
      <c r="C2853" t="s">
        <v>40</v>
      </c>
      <c r="D2853">
        <v>4.6614940000000002</v>
      </c>
      <c r="E2853">
        <v>0.42225240000000003</v>
      </c>
      <c r="F2853" t="s">
        <v>46</v>
      </c>
      <c r="G2853">
        <v>-240.98320000000001</v>
      </c>
      <c r="H2853" s="1">
        <v>-1.162572E-6</v>
      </c>
      <c r="I2853">
        <v>218.0249</v>
      </c>
      <c r="J2853">
        <v>-257.61540000000002</v>
      </c>
      <c r="K2853">
        <v>1.110269</v>
      </c>
      <c r="L2853">
        <v>213.6028</v>
      </c>
      <c r="M2853">
        <v>0.99979810000000002</v>
      </c>
      <c r="N2853">
        <v>0</v>
      </c>
      <c r="O2853">
        <v>-1.4092530000000001E-2</v>
      </c>
      <c r="P2853">
        <v>0.98854920000000002</v>
      </c>
      <c r="Q2853">
        <v>0.14234279999999999</v>
      </c>
      <c r="R2853">
        <v>5.0092249999999998E-2</v>
      </c>
      <c r="S2853">
        <v>3.0258940000000001</v>
      </c>
      <c r="T2853">
        <v>-0.19678129999999999</v>
      </c>
      <c r="U2853">
        <v>0.7826843</v>
      </c>
      <c r="V2853">
        <v>-6.4066310000000001E-2</v>
      </c>
      <c r="W2853">
        <v>0.156458399999999</v>
      </c>
      <c r="X2853">
        <v>0.98560449999999999</v>
      </c>
      <c r="Y2853">
        <v>-0.26349040000000001</v>
      </c>
      <c r="Z2853">
        <v>9.3217379999999996E-3</v>
      </c>
      <c r="AA2853">
        <v>0.96461699999999995</v>
      </c>
      <c r="AB2853">
        <v>41</v>
      </c>
      <c r="AC2853">
        <v>16.632200000000001</v>
      </c>
      <c r="AD2853">
        <v>-1.110270162572</v>
      </c>
      <c r="AE2853">
        <v>4.4221000000000004</v>
      </c>
      <c r="AF2853">
        <v>-4.6367766846504299</v>
      </c>
      <c r="AG2853">
        <v>-1.110270162572</v>
      </c>
      <c r="AH2853">
        <v>16.499553139493901</v>
      </c>
      <c r="AI2853">
        <v>93.706526110889598</v>
      </c>
      <c r="AJ2853">
        <v>105.696657624973</v>
      </c>
      <c r="AK2853">
        <v>17.1746223149215</v>
      </c>
      <c r="AL2853">
        <v>80.998611319482094</v>
      </c>
      <c r="AM2853">
        <v>93.719110762284899</v>
      </c>
      <c r="AN2853">
        <v>0.99999997671391205</v>
      </c>
    </row>
    <row r="2854" spans="1:40" x14ac:dyDescent="0.25">
      <c r="A2854" t="str">
        <f>"20190312164322297"</f>
        <v>20190312164322297</v>
      </c>
      <c r="B2854" t="str">
        <f>"1552380202287255"</f>
        <v>1552380202287255</v>
      </c>
      <c r="C2854" t="s">
        <v>40</v>
      </c>
      <c r="D2854">
        <v>4.4958770000000001</v>
      </c>
      <c r="E2854">
        <v>0.42274339999999999</v>
      </c>
      <c r="F2854" t="s">
        <v>46</v>
      </c>
      <c r="G2854">
        <v>-239.79669999999999</v>
      </c>
      <c r="H2854" s="1">
        <v>3.515737E-6</v>
      </c>
      <c r="I2854">
        <v>218.29519999999999</v>
      </c>
      <c r="J2854">
        <v>-257.15780000000001</v>
      </c>
      <c r="K2854">
        <v>1.1103069999999999</v>
      </c>
      <c r="L2854">
        <v>213.5966</v>
      </c>
      <c r="M2854">
        <v>0.9998011</v>
      </c>
      <c r="N2854">
        <v>0</v>
      </c>
      <c r="O2854">
        <v>-1.388373E-2</v>
      </c>
      <c r="P2854">
        <v>0.98806309999999997</v>
      </c>
      <c r="Q2854">
        <v>0.1430978</v>
      </c>
      <c r="R2854">
        <v>5.7048420000000002E-2</v>
      </c>
      <c r="S2854">
        <v>3.0215450000000001</v>
      </c>
      <c r="T2854">
        <v>-0.1882703</v>
      </c>
      <c r="U2854">
        <v>0.79568479999999997</v>
      </c>
      <c r="V2854">
        <v>-7.0820670000000002E-2</v>
      </c>
      <c r="W2854">
        <v>0.15719540000000001</v>
      </c>
      <c r="X2854">
        <v>0.98502489999999998</v>
      </c>
      <c r="Y2854">
        <v>-0.26754729999999999</v>
      </c>
      <c r="Z2854">
        <v>9.0383379999999999E-3</v>
      </c>
      <c r="AA2854">
        <v>0.96350230000000003</v>
      </c>
      <c r="AB2854">
        <v>41</v>
      </c>
      <c r="AC2854">
        <v>17.3611</v>
      </c>
      <c r="AD2854">
        <v>-1.110303484263</v>
      </c>
      <c r="AE2854">
        <v>4.6985999999999901</v>
      </c>
      <c r="AF2854">
        <v>-4.9204571095391003</v>
      </c>
      <c r="AG2854">
        <v>-1.110303484263</v>
      </c>
      <c r="AH2854">
        <v>17.228529016668801</v>
      </c>
      <c r="AI2854">
        <v>93.545965001497507</v>
      </c>
      <c r="AJ2854">
        <v>105.939308685155</v>
      </c>
      <c r="AK2854">
        <v>17.951765486218399</v>
      </c>
      <c r="AL2854">
        <v>80.955855548447303</v>
      </c>
      <c r="AM2854">
        <v>94.112338002887498</v>
      </c>
      <c r="AN2854">
        <v>1.0000000073502</v>
      </c>
    </row>
    <row r="2855" spans="1:40" x14ac:dyDescent="0.25">
      <c r="A2855" t="str">
        <f>"20190312164322319"</f>
        <v>20190312164322319</v>
      </c>
      <c r="B2855" t="str">
        <f>"1552380202307752"</f>
        <v>1552380202307752</v>
      </c>
      <c r="C2855" t="s">
        <v>40</v>
      </c>
      <c r="D2855">
        <v>4.5381769999999904</v>
      </c>
      <c r="E2855">
        <v>0.4232862</v>
      </c>
      <c r="F2855" t="s">
        <v>46</v>
      </c>
      <c r="G2855">
        <v>-238.87629999999999</v>
      </c>
      <c r="H2855" s="1">
        <v>3.0157659999999999E-6</v>
      </c>
      <c r="I2855">
        <v>218.5275</v>
      </c>
      <c r="J2855">
        <v>-256.74810000000002</v>
      </c>
      <c r="K2855">
        <v>1.1103430000000001</v>
      </c>
      <c r="L2855">
        <v>213.59110000000001</v>
      </c>
      <c r="M2855">
        <v>0.99980469999999999</v>
      </c>
      <c r="N2855">
        <v>0</v>
      </c>
      <c r="O2855">
        <v>-1.36312E-2</v>
      </c>
      <c r="P2855">
        <v>0.98751529999999998</v>
      </c>
      <c r="Q2855">
        <v>0.14322779999999999</v>
      </c>
      <c r="R2855">
        <v>6.5573530000000005E-2</v>
      </c>
      <c r="S2855">
        <v>3.0158079999999998</v>
      </c>
      <c r="T2855">
        <v>-0.1831615</v>
      </c>
      <c r="U2855">
        <v>0.81343080000000001</v>
      </c>
      <c r="V2855">
        <v>-7.9105910000000002E-2</v>
      </c>
      <c r="W2855">
        <v>0.15730139999999901</v>
      </c>
      <c r="X2855">
        <v>0.98437719999999995</v>
      </c>
      <c r="Y2855">
        <v>-0.2730611</v>
      </c>
      <c r="Z2855">
        <v>8.9524059999999996E-3</v>
      </c>
      <c r="AA2855">
        <v>0.961955</v>
      </c>
      <c r="AB2855">
        <v>41</v>
      </c>
      <c r="AC2855">
        <v>17.8718</v>
      </c>
      <c r="AD2855">
        <v>-1.110339984234</v>
      </c>
      <c r="AE2855">
        <v>4.9363999999999901</v>
      </c>
      <c r="AF2855">
        <v>-5.16107121742359</v>
      </c>
      <c r="AG2855">
        <v>-1.110339984234</v>
      </c>
      <c r="AH2855">
        <v>17.739225329624801</v>
      </c>
      <c r="AI2855">
        <v>93.439360629039498</v>
      </c>
      <c r="AJ2855">
        <v>106.221888997829</v>
      </c>
      <c r="AK2855">
        <v>18.508096236164</v>
      </c>
      <c r="AL2855">
        <v>80.949705378453402</v>
      </c>
      <c r="AM2855">
        <v>94.594494530563296</v>
      </c>
      <c r="AN2855">
        <v>0.999999973659363</v>
      </c>
    </row>
    <row r="2856" spans="1:40" x14ac:dyDescent="0.25">
      <c r="A2856" t="str">
        <f>"20190312164322342"</f>
        <v>20190312164322342</v>
      </c>
      <c r="B2856" t="str">
        <f>"1552380202337032"</f>
        <v>1552380202337032</v>
      </c>
      <c r="C2856" t="s">
        <v>40</v>
      </c>
      <c r="D2856">
        <v>4.5453109999999999</v>
      </c>
      <c r="E2856">
        <v>0.42376320000000001</v>
      </c>
      <c r="F2856" t="s">
        <v>46</v>
      </c>
      <c r="G2856">
        <v>-238.39519999999999</v>
      </c>
      <c r="H2856" s="1">
        <v>2.7529170000000002E-6</v>
      </c>
      <c r="I2856">
        <v>218.68440000000001</v>
      </c>
      <c r="J2856">
        <v>-256.32049999999998</v>
      </c>
      <c r="K2856">
        <v>1.1104130000000001</v>
      </c>
      <c r="L2856">
        <v>213.5856</v>
      </c>
      <c r="M2856">
        <v>0.99980939999999996</v>
      </c>
      <c r="N2856">
        <v>0</v>
      </c>
      <c r="O2856">
        <v>-1.3279620000000001E-2</v>
      </c>
      <c r="P2856">
        <v>0.98697380000000001</v>
      </c>
      <c r="Q2856">
        <v>0.1429076</v>
      </c>
      <c r="R2856">
        <v>7.3896710000000004E-2</v>
      </c>
      <c r="S2856">
        <v>3.0088499999999998</v>
      </c>
      <c r="T2856">
        <v>-0.18203369999999999</v>
      </c>
      <c r="U2856">
        <v>0.83500669999999899</v>
      </c>
      <c r="V2856">
        <v>-8.709944E-2</v>
      </c>
      <c r="W2856">
        <v>0.15695190000000001</v>
      </c>
      <c r="X2856">
        <v>0.98375800000000002</v>
      </c>
      <c r="Y2856">
        <v>-0.2796863</v>
      </c>
      <c r="Z2856">
        <v>9.0845930000000002E-3</v>
      </c>
      <c r="AA2856">
        <v>0.96004840000000002</v>
      </c>
      <c r="AB2856">
        <v>41</v>
      </c>
      <c r="AC2856">
        <v>17.925299999999901</v>
      </c>
      <c r="AD2856">
        <v>-1.110410247083</v>
      </c>
      <c r="AE2856">
        <v>5.0988000000000104</v>
      </c>
      <c r="AF2856">
        <v>-5.3175378996184701</v>
      </c>
      <c r="AG2856">
        <v>-1.110410247083</v>
      </c>
      <c r="AH2856">
        <v>17.792835090271399</v>
      </c>
      <c r="AI2856">
        <v>93.421898651081094</v>
      </c>
      <c r="AJ2856">
        <v>106.639216298759</v>
      </c>
      <c r="AK2856">
        <v>18.603607198075899</v>
      </c>
      <c r="AL2856">
        <v>80.969982425667396</v>
      </c>
      <c r="AM2856">
        <v>95.059630010294399</v>
      </c>
      <c r="AN2856">
        <v>1.00000000696296</v>
      </c>
    </row>
    <row r="2857" spans="1:40" x14ac:dyDescent="0.25">
      <c r="A2857" t="str">
        <f>"20190312164322363"</f>
        <v>20190312164322363</v>
      </c>
      <c r="B2857" t="str">
        <f>"1552380202357528"</f>
        <v>1552380202357528</v>
      </c>
      <c r="C2857" t="s">
        <v>40</v>
      </c>
      <c r="D2857">
        <v>4.7956849999999998</v>
      </c>
      <c r="E2857">
        <v>0.43171759999999898</v>
      </c>
      <c r="F2857" t="s">
        <v>46</v>
      </c>
      <c r="G2857">
        <v>-238.10499999999999</v>
      </c>
      <c r="H2857" s="1">
        <v>2.5941310000000001E-6</v>
      </c>
      <c r="I2857">
        <v>218.7835</v>
      </c>
      <c r="J2857">
        <v>-255.94069999999999</v>
      </c>
      <c r="K2857">
        <v>1.1104909999999999</v>
      </c>
      <c r="L2857">
        <v>213.58090000000001</v>
      </c>
      <c r="M2857">
        <v>0.9998148</v>
      </c>
      <c r="N2857">
        <v>0</v>
      </c>
      <c r="O2857">
        <v>-1.2876449999999999E-2</v>
      </c>
      <c r="P2857">
        <v>0.98627330000000002</v>
      </c>
      <c r="Q2857">
        <v>0.14330860000000001</v>
      </c>
      <c r="R2857">
        <v>8.2023789999999999E-2</v>
      </c>
      <c r="S2857">
        <v>3.0019230000000001</v>
      </c>
      <c r="T2857">
        <v>-0.18299599999999999</v>
      </c>
      <c r="U2857">
        <v>0.85661319999999996</v>
      </c>
      <c r="V2857">
        <v>-9.4847029999999999E-2</v>
      </c>
      <c r="W2857">
        <v>0.15731879999999901</v>
      </c>
      <c r="X2857">
        <v>0.98298260000000004</v>
      </c>
      <c r="Y2857">
        <v>-0.28624840000000001</v>
      </c>
      <c r="Z2857">
        <v>9.3159079999999995E-3</v>
      </c>
      <c r="AA2857">
        <v>0.95811020000000002</v>
      </c>
      <c r="AB2857">
        <v>41</v>
      </c>
      <c r="AC2857">
        <v>17.835699999999999</v>
      </c>
      <c r="AD2857">
        <v>-1.1104884058690001</v>
      </c>
      <c r="AE2857">
        <v>5.2025999999999897</v>
      </c>
      <c r="AF2857">
        <v>-5.4125158740727004</v>
      </c>
      <c r="AG2857">
        <v>-1.1104884058690001</v>
      </c>
      <c r="AH2857">
        <v>17.703974087174998</v>
      </c>
      <c r="AI2857">
        <v>93.432756837277196</v>
      </c>
      <c r="AJ2857">
        <v>106.99960876486401</v>
      </c>
      <c r="AK2857">
        <v>18.546137362427299</v>
      </c>
      <c r="AL2857">
        <v>80.948695901509893</v>
      </c>
      <c r="AM2857">
        <v>95.511352199810702</v>
      </c>
      <c r="AN2857">
        <v>0.99999997791800999</v>
      </c>
    </row>
    <row r="2858" spans="1:40" x14ac:dyDescent="0.25">
      <c r="A2858" t="str">
        <f>"20190312164322384"</f>
        <v>20190312164322384</v>
      </c>
      <c r="B2858" t="str">
        <f>"1552380202377048"</f>
        <v>1552380202377048</v>
      </c>
      <c r="C2858" t="s">
        <v>40</v>
      </c>
      <c r="D2858">
        <v>4.5837760000000003</v>
      </c>
      <c r="E2858">
        <v>0.43190410000000001</v>
      </c>
      <c r="F2858" t="s">
        <v>46</v>
      </c>
      <c r="G2858">
        <v>-237.12280000000001</v>
      </c>
      <c r="H2858" s="1">
        <v>2.0748099999999999E-6</v>
      </c>
      <c r="I2858">
        <v>218.70670000000001</v>
      </c>
      <c r="J2858">
        <v>-255.55019999999999</v>
      </c>
      <c r="K2858">
        <v>1.1105689999999999</v>
      </c>
      <c r="L2858">
        <v>213.57640000000001</v>
      </c>
      <c r="M2858">
        <v>0.99982090000000001</v>
      </c>
      <c r="N2858">
        <v>0</v>
      </c>
      <c r="O2858">
        <v>-1.2384050000000001E-2</v>
      </c>
      <c r="P2858">
        <v>0.98536539999999995</v>
      </c>
      <c r="Q2858">
        <v>0.1444532</v>
      </c>
      <c r="R2858">
        <v>9.0490719999999997E-2</v>
      </c>
      <c r="S2858">
        <v>2.9995270000000001</v>
      </c>
      <c r="T2858">
        <v>-0.1770091</v>
      </c>
      <c r="U2858">
        <v>0.81703190000000003</v>
      </c>
      <c r="V2858">
        <v>-0.1028481</v>
      </c>
      <c r="W2858">
        <v>0.15842149999999999</v>
      </c>
      <c r="X2858">
        <v>0.98200050000000005</v>
      </c>
      <c r="Y2858">
        <v>-0.27427679999999999</v>
      </c>
      <c r="Z2858">
        <v>8.6590250000000007E-3</v>
      </c>
      <c r="AA2858">
        <v>0.96161180000000002</v>
      </c>
      <c r="AB2858">
        <v>41</v>
      </c>
      <c r="AC2858">
        <v>18.427399999999899</v>
      </c>
      <c r="AD2858">
        <v>-1.1105669251899899</v>
      </c>
      <c r="AE2858">
        <v>5.1303000000000001</v>
      </c>
      <c r="AF2858">
        <v>-5.34013489617044</v>
      </c>
      <c r="AG2858">
        <v>-1.1105669251899899</v>
      </c>
      <c r="AH2858">
        <v>18.300757004834001</v>
      </c>
      <c r="AI2858">
        <v>93.3339845907837</v>
      </c>
      <c r="AJ2858">
        <v>106.267169954246</v>
      </c>
      <c r="AK2858">
        <v>19.0962851506413</v>
      </c>
      <c r="AL2858">
        <v>80.8847140886826</v>
      </c>
      <c r="AM2858">
        <v>95.978975323070998</v>
      </c>
      <c r="AN2858">
        <v>1.00000004266805</v>
      </c>
    </row>
    <row r="2859" spans="1:40" x14ac:dyDescent="0.25">
      <c r="A2859" t="str">
        <f>"20190312164322406"</f>
        <v>20190312164322406</v>
      </c>
      <c r="B2859" t="str">
        <f>"1552380202397544"</f>
        <v>1552380202397544</v>
      </c>
      <c r="C2859" t="s">
        <v>40</v>
      </c>
      <c r="D2859">
        <v>5.7936110000000003</v>
      </c>
      <c r="E2859">
        <v>0.43258370000000002</v>
      </c>
      <c r="F2859" t="s">
        <v>46</v>
      </c>
      <c r="G2859">
        <v>-236.94649999999999</v>
      </c>
      <c r="H2859" s="1">
        <v>1.9769200000000002E-6</v>
      </c>
      <c r="I2859">
        <v>218.8006</v>
      </c>
      <c r="J2859">
        <v>-255.13460000000001</v>
      </c>
      <c r="K2859">
        <v>1.1106640000000001</v>
      </c>
      <c r="L2859">
        <v>213.5718</v>
      </c>
      <c r="M2859">
        <v>0.99982850000000001</v>
      </c>
      <c r="N2859">
        <v>0</v>
      </c>
      <c r="O2859">
        <v>-1.176484E-2</v>
      </c>
      <c r="P2859">
        <v>0.98412619999999895</v>
      </c>
      <c r="Q2859">
        <v>0.14723220000000001</v>
      </c>
      <c r="R2859">
        <v>9.908815E-2</v>
      </c>
      <c r="S2859">
        <v>2.9935610000000001</v>
      </c>
      <c r="T2859">
        <v>-0.1787041</v>
      </c>
      <c r="U2859">
        <v>0.84063719999999997</v>
      </c>
      <c r="V2859">
        <v>-0.11085689999999999</v>
      </c>
      <c r="W2859">
        <v>0.16114879999999901</v>
      </c>
      <c r="X2859">
        <v>0.98068429999999995</v>
      </c>
      <c r="Y2859">
        <v>-0.28118290000000001</v>
      </c>
      <c r="Z2859">
        <v>8.9153689999999994E-3</v>
      </c>
      <c r="AA2859">
        <v>0.95961280000000004</v>
      </c>
      <c r="AB2859">
        <v>41</v>
      </c>
      <c r="AC2859">
        <v>18.188099999999999</v>
      </c>
      <c r="AD2859">
        <v>-1.1106620230799999</v>
      </c>
      <c r="AE2859">
        <v>5.2287999999999997</v>
      </c>
      <c r="AF2859">
        <v>-5.4237589235757504</v>
      </c>
      <c r="AG2859">
        <v>-1.1106620230799999</v>
      </c>
      <c r="AH2859">
        <v>18.063103776341102</v>
      </c>
      <c r="AI2859">
        <v>93.370277544840903</v>
      </c>
      <c r="AJ2859">
        <v>106.713292419515</v>
      </c>
      <c r="AK2859">
        <v>18.892497162245299</v>
      </c>
      <c r="AL2859">
        <v>80.726416497340693</v>
      </c>
      <c r="AM2859">
        <v>96.449357930404901</v>
      </c>
      <c r="AN2859">
        <v>0.99999994214276799</v>
      </c>
    </row>
    <row r="2860" spans="1:40" x14ac:dyDescent="0.25">
      <c r="A2860" t="str">
        <f>"20190312164322426"</f>
        <v>20190312164322426</v>
      </c>
      <c r="B2860" t="str">
        <f>"1552380202417063"</f>
        <v>1552380202417063</v>
      </c>
      <c r="C2860" t="s">
        <v>40</v>
      </c>
      <c r="D2860">
        <v>4.8623469999999998</v>
      </c>
      <c r="E2860">
        <v>0.4336854</v>
      </c>
      <c r="F2860" t="s">
        <v>46</v>
      </c>
      <c r="G2860">
        <v>-236.73699999999999</v>
      </c>
      <c r="H2860" s="1">
        <v>1.861879E-6</v>
      </c>
      <c r="I2860">
        <v>218.8817</v>
      </c>
      <c r="J2860">
        <v>-254.77109999999999</v>
      </c>
      <c r="K2860">
        <v>1.1107549999999999</v>
      </c>
      <c r="L2860">
        <v>213.56809999999999</v>
      </c>
      <c r="M2860">
        <v>0.99983549999999999</v>
      </c>
      <c r="N2860">
        <v>0</v>
      </c>
      <c r="O2860">
        <v>-1.11372E-2</v>
      </c>
      <c r="P2860">
        <v>0.98249569999999997</v>
      </c>
      <c r="Q2860">
        <v>0.15031630000000001</v>
      </c>
      <c r="R2860">
        <v>0.11003259999999999</v>
      </c>
      <c r="S2860">
        <v>2.9885410000000001</v>
      </c>
      <c r="T2860">
        <v>-0.18041850000000001</v>
      </c>
      <c r="U2860">
        <v>0.8625488</v>
      </c>
      <c r="V2860">
        <v>-0.1212</v>
      </c>
      <c r="W2860">
        <v>0.1641717</v>
      </c>
      <c r="X2860">
        <v>0.97895770000000004</v>
      </c>
      <c r="Y2860">
        <v>-0.28748210000000002</v>
      </c>
      <c r="Z2860">
        <v>9.1554759999999992E-3</v>
      </c>
      <c r="AA2860">
        <v>0.95774230000000005</v>
      </c>
      <c r="AB2860">
        <v>41</v>
      </c>
      <c r="AC2860">
        <v>18.034099999999899</v>
      </c>
      <c r="AD2860">
        <v>-1.1107531381210001</v>
      </c>
      <c r="AE2860">
        <v>5.3136000000000001</v>
      </c>
      <c r="AF2860">
        <v>-5.4949600358545796</v>
      </c>
      <c r="AG2860">
        <v>-1.1107531381210001</v>
      </c>
      <c r="AH2860">
        <v>17.911276799520198</v>
      </c>
      <c r="AI2860">
        <v>93.392917866795898</v>
      </c>
      <c r="AJ2860">
        <v>107.05537116695101</v>
      </c>
      <c r="AK2860">
        <v>18.768116445677599</v>
      </c>
      <c r="AL2860">
        <v>80.550879607894203</v>
      </c>
      <c r="AM2860">
        <v>97.057599550335297</v>
      </c>
      <c r="AN2860">
        <v>0.99999998273508905</v>
      </c>
    </row>
    <row r="2861" spans="1:40" x14ac:dyDescent="0.25">
      <c r="A2861" t="str">
        <f>"20190312164322448"</f>
        <v>20190312164322448</v>
      </c>
      <c r="B2861" t="str">
        <f>"1552380202437559"</f>
        <v>1552380202437559</v>
      </c>
      <c r="C2861" t="s">
        <v>40</v>
      </c>
      <c r="D2861">
        <v>4.9172379999999896</v>
      </c>
      <c r="E2861">
        <v>0.4342551</v>
      </c>
      <c r="F2861" t="s">
        <v>46</v>
      </c>
      <c r="G2861">
        <v>-234.8914</v>
      </c>
      <c r="H2861" s="1">
        <v>8.5320040000000001E-7</v>
      </c>
      <c r="I2861">
        <v>219.48849999999999</v>
      </c>
      <c r="J2861">
        <v>-254.36959999999999</v>
      </c>
      <c r="K2861">
        <v>1.1108690000000001</v>
      </c>
      <c r="L2861">
        <v>213.56440000000001</v>
      </c>
      <c r="M2861">
        <v>0.99984439999999997</v>
      </c>
      <c r="N2861">
        <v>0</v>
      </c>
      <c r="O2861">
        <v>-1.0335499999999999E-2</v>
      </c>
      <c r="P2861">
        <v>0.98038860000000005</v>
      </c>
      <c r="Q2861">
        <v>0.15295899999999901</v>
      </c>
      <c r="R2861">
        <v>0.1242655</v>
      </c>
      <c r="S2861">
        <v>2.9795229999999999</v>
      </c>
      <c r="T2861">
        <v>-0.16647709999999999</v>
      </c>
      <c r="U2861">
        <v>0.88732909999999898</v>
      </c>
      <c r="V2861">
        <v>-0.13466520000000001</v>
      </c>
      <c r="W2861">
        <v>0.1667323</v>
      </c>
      <c r="X2861">
        <v>0.97676280000000004</v>
      </c>
      <c r="Y2861">
        <v>-0.29487459999999999</v>
      </c>
      <c r="Z2861">
        <v>8.6220700000000008E-3</v>
      </c>
      <c r="AA2861">
        <v>0.95549700000000004</v>
      </c>
      <c r="AB2861">
        <v>41</v>
      </c>
      <c r="AC2861">
        <v>19.478199999999902</v>
      </c>
      <c r="AD2861">
        <v>-1.1108681467996</v>
      </c>
      <c r="AE2861">
        <v>5.9240999999999797</v>
      </c>
      <c r="AF2861">
        <v>-6.1069395475678698</v>
      </c>
      <c r="AG2861">
        <v>-1.1108681467996</v>
      </c>
      <c r="AH2861">
        <v>19.35829144125</v>
      </c>
      <c r="AI2861">
        <v>93.132444809842696</v>
      </c>
      <c r="AJ2861">
        <v>107.50886661065201</v>
      </c>
      <c r="AK2861">
        <v>20.329097033601698</v>
      </c>
      <c r="AL2861">
        <v>80.4021176213096</v>
      </c>
      <c r="AM2861">
        <v>97.849818957550795</v>
      </c>
      <c r="AN2861">
        <v>0.99999997170908395</v>
      </c>
    </row>
    <row r="2862" spans="1:40" x14ac:dyDescent="0.25">
      <c r="A2862" t="str">
        <f>"20190312164322471"</f>
        <v>20190312164322471</v>
      </c>
      <c r="B2862" t="str">
        <f>"1552380202467815"</f>
        <v>1552380202467815</v>
      </c>
      <c r="C2862" t="s">
        <v>40</v>
      </c>
      <c r="D2862">
        <v>5.2349519999999998</v>
      </c>
      <c r="E2862">
        <v>0.41173910000000002</v>
      </c>
      <c r="F2862" t="s">
        <v>46</v>
      </c>
      <c r="G2862">
        <v>-234.76560000000001</v>
      </c>
      <c r="H2862">
        <v>8.0001199999999995E-2</v>
      </c>
      <c r="I2862">
        <v>219.6832</v>
      </c>
      <c r="J2862">
        <v>-253.94970000000001</v>
      </c>
      <c r="K2862">
        <v>1.1109929999999999</v>
      </c>
      <c r="L2862">
        <v>213.5609</v>
      </c>
      <c r="M2862">
        <v>0.99985389999999996</v>
      </c>
      <c r="N2862">
        <v>0</v>
      </c>
      <c r="O2862">
        <v>-9.3701470000000005E-3</v>
      </c>
      <c r="P2862">
        <v>0.97775449999999997</v>
      </c>
      <c r="Q2862">
        <v>0.15417220000000001</v>
      </c>
      <c r="R2862">
        <v>0.14222319999999999</v>
      </c>
      <c r="S2862">
        <v>2.9669490000000001</v>
      </c>
      <c r="T2862">
        <v>-0.15601590000000001</v>
      </c>
      <c r="U2862">
        <v>0.92604059999999999</v>
      </c>
      <c r="V2862">
        <v>-0.15170020000000001</v>
      </c>
      <c r="W2862">
        <v>0.1678366</v>
      </c>
      <c r="X2862">
        <v>0.97407290000000002</v>
      </c>
      <c r="Y2862">
        <v>-0.30647790000000003</v>
      </c>
      <c r="Z2862">
        <v>8.3468910000000004E-3</v>
      </c>
      <c r="AA2862">
        <v>0.95184120000000005</v>
      </c>
      <c r="AB2862">
        <v>41</v>
      </c>
      <c r="AC2862">
        <v>19.184100000000001</v>
      </c>
      <c r="AD2862">
        <v>-1.0309918</v>
      </c>
      <c r="AE2862">
        <v>6.1222999999999903</v>
      </c>
      <c r="AF2862">
        <v>-6.2853320297565096</v>
      </c>
      <c r="AG2862">
        <v>-1.0309918</v>
      </c>
      <c r="AH2862">
        <v>19.075882489741701</v>
      </c>
      <c r="AI2862">
        <v>92.938540860850694</v>
      </c>
      <c r="AJ2862">
        <v>108.236587598429</v>
      </c>
      <c r="AK2862">
        <v>20.111132130697801</v>
      </c>
      <c r="AL2862">
        <v>80.337942273208697</v>
      </c>
      <c r="AM2862">
        <v>98.852022598723806</v>
      </c>
      <c r="AN2862">
        <v>1.0000000447470001</v>
      </c>
    </row>
    <row r="2863" spans="1:40" x14ac:dyDescent="0.25">
      <c r="A2863" t="str">
        <f>"20190312164322496"</f>
        <v>20190312164322496</v>
      </c>
      <c r="B2863" t="str">
        <f>"1552380202487335"</f>
        <v>1552380202487335</v>
      </c>
      <c r="C2863" t="s">
        <v>40</v>
      </c>
      <c r="D2863">
        <v>4.7684369999999996</v>
      </c>
      <c r="E2863">
        <v>0.36760569999999998</v>
      </c>
      <c r="F2863" t="s">
        <v>46</v>
      </c>
      <c r="G2863">
        <v>-240.0232</v>
      </c>
      <c r="H2863" s="1">
        <v>-1.7196260000000001E-6</v>
      </c>
      <c r="I2863">
        <v>219.08189999999999</v>
      </c>
      <c r="J2863">
        <v>-253.5129</v>
      </c>
      <c r="K2863">
        <v>1.111127</v>
      </c>
      <c r="L2863">
        <v>213.55789999999999</v>
      </c>
      <c r="M2863">
        <v>0.99986390000000003</v>
      </c>
      <c r="N2863">
        <v>0</v>
      </c>
      <c r="O2863">
        <v>-8.2231359999999903E-3</v>
      </c>
      <c r="P2863">
        <v>0.97469510000000004</v>
      </c>
      <c r="Q2863">
        <v>0.15498509999999999</v>
      </c>
      <c r="R2863">
        <v>0.16108749999999999</v>
      </c>
      <c r="S2863">
        <v>2.9358979999999999</v>
      </c>
      <c r="T2863">
        <v>-0.2342139</v>
      </c>
      <c r="U2863">
        <v>1.1638949999999999</v>
      </c>
      <c r="V2863">
        <v>-0.1694735</v>
      </c>
      <c r="W2863">
        <v>0.16851669999999999</v>
      </c>
      <c r="X2863">
        <v>0.97102049999999995</v>
      </c>
      <c r="Y2863">
        <v>-0.37511169999999999</v>
      </c>
      <c r="Z2863">
        <v>1.502767E-2</v>
      </c>
      <c r="AA2863">
        <v>0.92685779999999995</v>
      </c>
      <c r="AB2863">
        <v>41</v>
      </c>
      <c r="AC2863">
        <v>13.489699999999999</v>
      </c>
      <c r="AD2863">
        <v>-1.111128719626</v>
      </c>
      <c r="AE2863">
        <v>5.524</v>
      </c>
      <c r="AF2863">
        <v>-5.6022018033834504</v>
      </c>
      <c r="AG2863">
        <v>-1.111128719626</v>
      </c>
      <c r="AH2863">
        <v>13.3661534373742</v>
      </c>
      <c r="AI2863">
        <v>94.384181786551196</v>
      </c>
      <c r="AJ2863">
        <v>112.740187206134</v>
      </c>
      <c r="AK2863">
        <v>14.535244400726199</v>
      </c>
      <c r="AL2863">
        <v>80.298411735450003</v>
      </c>
      <c r="AM2863">
        <v>99.900188591424296</v>
      </c>
      <c r="AN2863">
        <v>0.99999997840069399</v>
      </c>
    </row>
    <row r="2864" spans="1:40" x14ac:dyDescent="0.25">
      <c r="A2864" t="str">
        <f>"20190312164322519"</f>
        <v>20190312164322519</v>
      </c>
      <c r="B2864" t="str">
        <f>"1552380202507831"</f>
        <v>1552380202507831</v>
      </c>
      <c r="C2864" t="s">
        <v>40</v>
      </c>
      <c r="D2864">
        <v>4.7376800000000001</v>
      </c>
      <c r="E2864">
        <v>0.36476740000000002</v>
      </c>
      <c r="F2864" t="s">
        <v>41</v>
      </c>
      <c r="G2864">
        <v>-252.6841</v>
      </c>
      <c r="H2864">
        <v>1.0089129999999999</v>
      </c>
      <c r="I2864">
        <v>214.0127</v>
      </c>
      <c r="J2864">
        <v>-253.07849999999999</v>
      </c>
      <c r="K2864">
        <v>1.1112789999999999</v>
      </c>
      <c r="L2864">
        <v>213.55549999999999</v>
      </c>
      <c r="M2864">
        <v>0.99987380000000003</v>
      </c>
      <c r="N2864">
        <v>0</v>
      </c>
      <c r="O2864">
        <v>-6.9218519999999896E-3</v>
      </c>
      <c r="P2864">
        <v>0.97105629999999998</v>
      </c>
      <c r="Q2864">
        <v>0.1559709</v>
      </c>
      <c r="R2864">
        <v>0.18089430000000001</v>
      </c>
      <c r="S2864">
        <v>2.8736419999999998</v>
      </c>
      <c r="T2864">
        <v>-0.35437459999999998</v>
      </c>
      <c r="U2864">
        <v>1.576859</v>
      </c>
      <c r="V2864">
        <v>-0.1880492</v>
      </c>
      <c r="W2864">
        <v>0.16934440000000001</v>
      </c>
      <c r="X2864">
        <v>0.96745029999999999</v>
      </c>
      <c r="Y2864">
        <v>-0.4842574</v>
      </c>
      <c r="Z2864">
        <v>2.860617E-2</v>
      </c>
      <c r="AA2864">
        <v>0.87445779999999995</v>
      </c>
      <c r="AB2864">
        <v>41</v>
      </c>
      <c r="AC2864">
        <v>0.39439999999998998</v>
      </c>
      <c r="AD2864">
        <v>-0.102366</v>
      </c>
      <c r="AE2864">
        <v>0.4572</v>
      </c>
      <c r="AF2864">
        <v>-0.44706968971834599</v>
      </c>
      <c r="AG2864">
        <v>-0.102366</v>
      </c>
      <c r="AH2864">
        <v>0.38029516633856397</v>
      </c>
      <c r="AI2864">
        <v>99.893273293649898</v>
      </c>
      <c r="AJ2864">
        <v>139.614196195631</v>
      </c>
      <c r="AK2864">
        <v>0.59579738079428901</v>
      </c>
      <c r="AL2864">
        <v>80.250297258055795</v>
      </c>
      <c r="AM2864">
        <v>100.999766686581</v>
      </c>
      <c r="AN2864">
        <v>1.00000005520104</v>
      </c>
    </row>
    <row r="2865" spans="1:40" x14ac:dyDescent="0.25">
      <c r="A2865" t="str">
        <f>"20190312164322538"</f>
        <v>20190312164322538</v>
      </c>
      <c r="B2865" t="str">
        <f>"1552380202527352"</f>
        <v>1552380202527352</v>
      </c>
      <c r="C2865" t="s">
        <v>40</v>
      </c>
      <c r="D2865">
        <v>4.7699889999999998</v>
      </c>
      <c r="E2865">
        <v>0.36607430000000002</v>
      </c>
      <c r="F2865" t="s">
        <v>41</v>
      </c>
      <c r="G2865">
        <v>-252.31800000000001</v>
      </c>
      <c r="H2865">
        <v>1.024119</v>
      </c>
      <c r="I2865">
        <v>214</v>
      </c>
      <c r="J2865">
        <v>-252.7364</v>
      </c>
      <c r="K2865">
        <v>1.1114139999999999</v>
      </c>
      <c r="L2865">
        <v>213.55410000000001</v>
      </c>
      <c r="M2865">
        <v>0.99988120000000003</v>
      </c>
      <c r="N2865">
        <v>0</v>
      </c>
      <c r="O2865">
        <v>-5.7554579999999998E-3</v>
      </c>
      <c r="P2865">
        <v>0.96705129999999995</v>
      </c>
      <c r="Q2865">
        <v>0.1579749</v>
      </c>
      <c r="R2865">
        <v>0.1996387</v>
      </c>
      <c r="S2865">
        <v>2.8330380000000002</v>
      </c>
      <c r="T2865">
        <v>-0.32467190000000001</v>
      </c>
      <c r="U2865">
        <v>1.656204</v>
      </c>
      <c r="V2865">
        <v>-0.2056965</v>
      </c>
      <c r="W2865">
        <v>0.1711839</v>
      </c>
      <c r="X2865">
        <v>0.96352740000000003</v>
      </c>
      <c r="Y2865">
        <v>-0.50714359999999903</v>
      </c>
      <c r="Z2865">
        <v>2.7467419999999999E-2</v>
      </c>
      <c r="AA2865">
        <v>0.86142379999999996</v>
      </c>
      <c r="AB2865">
        <v>41</v>
      </c>
      <c r="AC2865">
        <v>0.41840000000001898</v>
      </c>
      <c r="AD2865">
        <v>-8.72949999999999E-2</v>
      </c>
      <c r="AE2865">
        <v>0.44589999999999402</v>
      </c>
      <c r="AF2865">
        <v>-0.43934632092303699</v>
      </c>
      <c r="AG2865">
        <v>-8.72949999999999E-2</v>
      </c>
      <c r="AH2865">
        <v>0.407520489861596</v>
      </c>
      <c r="AI2865">
        <v>98.288219794555502</v>
      </c>
      <c r="AJ2865">
        <v>137.15220157630799</v>
      </c>
      <c r="AK2865">
        <v>0.605572915833134</v>
      </c>
      <c r="AL2865">
        <v>80.143339510025399</v>
      </c>
      <c r="AM2865">
        <v>102.050764370918</v>
      </c>
      <c r="AN2865">
        <v>1.0000000141411101</v>
      </c>
    </row>
    <row r="2866" spans="1:40" x14ac:dyDescent="0.25">
      <c r="A2866" t="str">
        <f>"20190312164322560"</f>
        <v>20190312164322560</v>
      </c>
      <c r="B2866" t="str">
        <f>"1552380202557608"</f>
        <v>1552380202557608</v>
      </c>
      <c r="C2866" t="s">
        <v>40</v>
      </c>
      <c r="D2866">
        <v>4.7385140000000003</v>
      </c>
      <c r="E2866">
        <v>0.36913249999999997</v>
      </c>
      <c r="F2866" t="s">
        <v>41</v>
      </c>
      <c r="G2866">
        <v>-251.96019999999999</v>
      </c>
      <c r="H2866">
        <v>1.0189379999999999</v>
      </c>
      <c r="I2866">
        <v>214.0249</v>
      </c>
      <c r="J2866">
        <v>-252.33539999999999</v>
      </c>
      <c r="K2866">
        <v>1.111586</v>
      </c>
      <c r="L2866">
        <v>213.5531</v>
      </c>
      <c r="M2866">
        <v>0.99988880000000002</v>
      </c>
      <c r="N2866">
        <v>0</v>
      </c>
      <c r="O2866">
        <v>-4.2273060000000001E-3</v>
      </c>
      <c r="P2866">
        <v>0.96250250000000004</v>
      </c>
      <c r="Q2866">
        <v>0.1595782</v>
      </c>
      <c r="R2866">
        <v>0.21937129999999999</v>
      </c>
      <c r="S2866">
        <v>2.805542</v>
      </c>
      <c r="T2866">
        <v>-0.3342116</v>
      </c>
      <c r="U2866">
        <v>1.7014769999999999</v>
      </c>
      <c r="V2866">
        <v>-0.22400629999999999</v>
      </c>
      <c r="W2866">
        <v>0.17258380000000001</v>
      </c>
      <c r="X2866">
        <v>0.95918510000000001</v>
      </c>
      <c r="Y2866">
        <v>-0.51945680000000005</v>
      </c>
      <c r="Z2866">
        <v>2.8906319999999999E-2</v>
      </c>
      <c r="AA2866">
        <v>0.85400769999999904</v>
      </c>
      <c r="AB2866">
        <v>41</v>
      </c>
      <c r="AC2866">
        <v>0.37520000000000597</v>
      </c>
      <c r="AD2866">
        <v>-9.2647999999999994E-2</v>
      </c>
      <c r="AE2866">
        <v>0.471800000000001</v>
      </c>
      <c r="AF2866">
        <v>-0.46245770347339499</v>
      </c>
      <c r="AG2866">
        <v>-9.2647999999999994E-2</v>
      </c>
      <c r="AH2866">
        <v>0.36458954610636901</v>
      </c>
      <c r="AI2866">
        <v>98.940842328242198</v>
      </c>
      <c r="AJ2866">
        <v>141.748679000631</v>
      </c>
      <c r="AK2866">
        <v>0.59613447856665303</v>
      </c>
      <c r="AL2866">
        <v>80.061919476042803</v>
      </c>
      <c r="AM2866">
        <v>103.14515022943201</v>
      </c>
      <c r="AN2866">
        <v>1.0000000232620601</v>
      </c>
    </row>
    <row r="2867" spans="1:40" x14ac:dyDescent="0.25">
      <c r="A2867" t="str">
        <f>"20190312164322583"</f>
        <v>20190312164322583</v>
      </c>
      <c r="B2867" t="str">
        <f>"1552380202577127"</f>
        <v>1552380202577127</v>
      </c>
      <c r="C2867" t="s">
        <v>40</v>
      </c>
      <c r="D2867">
        <v>4.7596730000000003</v>
      </c>
      <c r="E2867">
        <v>0.37104359999999997</v>
      </c>
      <c r="F2867" t="s">
        <v>41</v>
      </c>
      <c r="G2867">
        <v>-251.59540000000001</v>
      </c>
      <c r="H2867">
        <v>1.02521</v>
      </c>
      <c r="I2867">
        <v>214.01570000000001</v>
      </c>
      <c r="J2867">
        <v>-251.9102</v>
      </c>
      <c r="K2867">
        <v>1.111774</v>
      </c>
      <c r="L2867">
        <v>213.553</v>
      </c>
      <c r="M2867">
        <v>0.99989490000000003</v>
      </c>
      <c r="N2867">
        <v>0</v>
      </c>
      <c r="O2867">
        <v>-2.3720989999999999E-3</v>
      </c>
      <c r="P2867">
        <v>0.95765169999999999</v>
      </c>
      <c r="Q2867">
        <v>0.16192799999999999</v>
      </c>
      <c r="R2867">
        <v>0.23808109999999999</v>
      </c>
      <c r="S2867">
        <v>2.7751459999999999</v>
      </c>
      <c r="T2867">
        <v>-0.32391490000000001</v>
      </c>
      <c r="U2867">
        <v>1.7348790000000001</v>
      </c>
      <c r="V2867">
        <v>-0.2410098</v>
      </c>
      <c r="W2867">
        <v>0.17470069999999999</v>
      </c>
      <c r="X2867">
        <v>0.95466949999999995</v>
      </c>
      <c r="Y2867">
        <v>-0.52949999999999997</v>
      </c>
      <c r="Z2867">
        <v>2.8537570000000002E-2</v>
      </c>
      <c r="AA2867">
        <v>0.84782979999999997</v>
      </c>
      <c r="AB2867">
        <v>41</v>
      </c>
      <c r="AC2867">
        <v>0.31479999999999098</v>
      </c>
      <c r="AD2867">
        <v>-8.6564000000000002E-2</v>
      </c>
      <c r="AE2867">
        <v>0.46270000000001199</v>
      </c>
      <c r="AF2867">
        <v>-0.452616308325684</v>
      </c>
      <c r="AG2867">
        <v>-8.6564000000000002E-2</v>
      </c>
      <c r="AH2867">
        <v>0.30637125727234499</v>
      </c>
      <c r="AI2867">
        <v>98.999778056493497</v>
      </c>
      <c r="AJ2867">
        <v>145.90633869228699</v>
      </c>
      <c r="AK2867">
        <v>0.55336985456474597</v>
      </c>
      <c r="AL2867">
        <v>79.938758381878003</v>
      </c>
      <c r="AM2867">
        <v>104.16848105331</v>
      </c>
      <c r="AN2867">
        <v>0.999999956253389</v>
      </c>
    </row>
    <row r="2868" spans="1:40" x14ac:dyDescent="0.25">
      <c r="A2868" t="str">
        <f>"20190312164322605"</f>
        <v>20190312164322605</v>
      </c>
      <c r="B2868" t="str">
        <f>"1552380202597623"</f>
        <v>1552380202597623</v>
      </c>
      <c r="C2868" t="s">
        <v>40</v>
      </c>
      <c r="D2868">
        <v>4.8281519999999896</v>
      </c>
      <c r="E2868">
        <v>0.37299569999999999</v>
      </c>
      <c r="F2868" t="s">
        <v>46</v>
      </c>
      <c r="G2868">
        <v>-242.5367</v>
      </c>
      <c r="H2868" s="1">
        <v>-4.0507919999999998E-7</v>
      </c>
      <c r="I2868">
        <v>219.608</v>
      </c>
      <c r="J2868">
        <v>-251.51560000000001</v>
      </c>
      <c r="K2868">
        <v>1.11198</v>
      </c>
      <c r="L2868">
        <v>213.5538</v>
      </c>
      <c r="M2868">
        <v>0.9998977</v>
      </c>
      <c r="N2868">
        <v>0</v>
      </c>
      <c r="O2868">
        <v>-4.2863450000000001E-4</v>
      </c>
      <c r="P2868">
        <v>0.95253390000000004</v>
      </c>
      <c r="Q2868">
        <v>0.1643097</v>
      </c>
      <c r="R2868">
        <v>0.25628459999999997</v>
      </c>
      <c r="S2868">
        <v>2.746658</v>
      </c>
      <c r="T2868">
        <v>-0.32577719999999999</v>
      </c>
      <c r="U2868">
        <v>1.7742610000000001</v>
      </c>
      <c r="V2868">
        <v>-0.25744450000000002</v>
      </c>
      <c r="W2868">
        <v>0.1768323</v>
      </c>
      <c r="X2868">
        <v>0.94997509999999996</v>
      </c>
      <c r="Y2868">
        <v>-0.54028980000000004</v>
      </c>
      <c r="Z2868">
        <v>2.9222830000000002E-2</v>
      </c>
      <c r="AA2868">
        <v>0.84097140000000004</v>
      </c>
      <c r="AB2868">
        <v>41</v>
      </c>
      <c r="AC2868">
        <v>8.9789000000000101</v>
      </c>
      <c r="AD2868">
        <v>-1.1119804050791999</v>
      </c>
      <c r="AE2868">
        <v>6.0541999999999998</v>
      </c>
      <c r="AF2868">
        <v>-5.9948407658656704</v>
      </c>
      <c r="AG2868">
        <v>-1.1119804050791999</v>
      </c>
      <c r="AH2868">
        <v>8.8826479914389793</v>
      </c>
      <c r="AI2868">
        <v>95.924102125052997</v>
      </c>
      <c r="AJ2868">
        <v>124.015154992909</v>
      </c>
      <c r="AK2868">
        <v>10.773859641241801</v>
      </c>
      <c r="AL2868">
        <v>79.814695808794696</v>
      </c>
      <c r="AM2868">
        <v>105.163034507532</v>
      </c>
      <c r="AN2868">
        <v>1.00000001176177</v>
      </c>
    </row>
    <row r="2869" spans="1:40" x14ac:dyDescent="0.25">
      <c r="A2869" t="str">
        <f>"20190312164322627"</f>
        <v>20190312164322627</v>
      </c>
      <c r="B2869" t="str">
        <f>"1552380202617143"</f>
        <v>1552380202617143</v>
      </c>
      <c r="C2869" t="s">
        <v>40</v>
      </c>
      <c r="D2869">
        <v>4.6450300000000002</v>
      </c>
      <c r="E2869">
        <v>0.37505470000000002</v>
      </c>
      <c r="F2869" t="s">
        <v>46</v>
      </c>
      <c r="G2869">
        <v>-242.6969</v>
      </c>
      <c r="H2869" s="1">
        <v>-3.1199140000000003E-7</v>
      </c>
      <c r="I2869">
        <v>219.4281</v>
      </c>
      <c r="J2869">
        <v>-251.12350000000001</v>
      </c>
      <c r="K2869">
        <v>1.1121840000000001</v>
      </c>
      <c r="L2869">
        <v>213.55549999999999</v>
      </c>
      <c r="M2869">
        <v>0.99989620000000001</v>
      </c>
      <c r="N2869">
        <v>0</v>
      </c>
      <c r="O2869">
        <v>1.695139E-3</v>
      </c>
      <c r="P2869">
        <v>0.94754360000000004</v>
      </c>
      <c r="Q2869">
        <v>0.16525870000000001</v>
      </c>
      <c r="R2869">
        <v>0.27358890000000002</v>
      </c>
      <c r="S2869">
        <v>2.7210079999999999</v>
      </c>
      <c r="T2869">
        <v>-0.34310069999999998</v>
      </c>
      <c r="U2869">
        <v>1.8125309999999999</v>
      </c>
      <c r="V2869">
        <v>-0.27282299999999998</v>
      </c>
      <c r="W2869">
        <v>0.17752399999999999</v>
      </c>
      <c r="X2869">
        <v>0.94554360000000004</v>
      </c>
      <c r="Y2869">
        <v>-0.54996630000000002</v>
      </c>
      <c r="Z2869">
        <v>3.1211470000000002E-2</v>
      </c>
      <c r="AA2869">
        <v>0.83460349999999905</v>
      </c>
      <c r="AB2869">
        <v>41</v>
      </c>
      <c r="AC2869">
        <v>8.4266000000000005</v>
      </c>
      <c r="AD2869">
        <v>-1.1121843119913899</v>
      </c>
      <c r="AE2869">
        <v>5.8726000000000003</v>
      </c>
      <c r="AF2869">
        <v>-5.79041189651584</v>
      </c>
      <c r="AG2869">
        <v>-1.1121843119913899</v>
      </c>
      <c r="AH2869">
        <v>8.3387697432113193</v>
      </c>
      <c r="AI2869">
        <v>96.251979340940196</v>
      </c>
      <c r="AJ2869">
        <v>124.77597514650699</v>
      </c>
      <c r="AK2869">
        <v>10.2127814382492</v>
      </c>
      <c r="AL2869">
        <v>79.774426372027605</v>
      </c>
      <c r="AM2869">
        <v>106.094734276567</v>
      </c>
      <c r="AN2869">
        <v>0.99999992970297702</v>
      </c>
    </row>
    <row r="2870" spans="1:40" x14ac:dyDescent="0.25">
      <c r="A2870" t="str">
        <f>"20190312164322649"</f>
        <v>20190312164322649</v>
      </c>
      <c r="B2870" t="str">
        <f>"1552380202637019"</f>
        <v>1552380202637019</v>
      </c>
      <c r="C2870" t="s">
        <v>40</v>
      </c>
      <c r="D2870">
        <v>4.828964</v>
      </c>
      <c r="E2870">
        <v>0.37693130000000002</v>
      </c>
      <c r="F2870" t="s">
        <v>46</v>
      </c>
      <c r="G2870">
        <v>-242.3758</v>
      </c>
      <c r="H2870" s="1">
        <v>-4.8818800000000003E-7</v>
      </c>
      <c r="I2870">
        <v>219.5506</v>
      </c>
      <c r="J2870">
        <v>-250.72149999999999</v>
      </c>
      <c r="K2870">
        <v>1.112398</v>
      </c>
      <c r="L2870">
        <v>213.5583</v>
      </c>
      <c r="M2870">
        <v>0.99988920000000003</v>
      </c>
      <c r="N2870">
        <v>0</v>
      </c>
      <c r="O2870">
        <v>4.0984860000000001E-3</v>
      </c>
      <c r="P2870">
        <v>0.94222349999999999</v>
      </c>
      <c r="Q2870">
        <v>0.16717399999999999</v>
      </c>
      <c r="R2870">
        <v>0.29028900000000002</v>
      </c>
      <c r="S2870">
        <v>2.6929020000000001</v>
      </c>
      <c r="T2870">
        <v>-0.34237499999999998</v>
      </c>
      <c r="U2870">
        <v>1.8455509999999999</v>
      </c>
      <c r="V2870">
        <v>-0.28736669999999997</v>
      </c>
      <c r="W2870">
        <v>0.17916009999999999</v>
      </c>
      <c r="X2870">
        <v>0.94091550000000002</v>
      </c>
      <c r="Y2870">
        <v>-0.55889140000000004</v>
      </c>
      <c r="Z2870">
        <v>3.1553310000000001E-2</v>
      </c>
      <c r="AA2870">
        <v>0.8286403</v>
      </c>
      <c r="AB2870">
        <v>41</v>
      </c>
      <c r="AC2870">
        <v>8.3456999999999901</v>
      </c>
      <c r="AD2870">
        <v>-1.112398488188</v>
      </c>
      <c r="AE2870">
        <v>5.9923000000000002</v>
      </c>
      <c r="AF2870">
        <v>-5.8890062961748404</v>
      </c>
      <c r="AG2870">
        <v>-1.112398488188</v>
      </c>
      <c r="AH2870">
        <v>8.2732073333871003</v>
      </c>
      <c r="AI2870">
        <v>96.251296496155703</v>
      </c>
      <c r="AJ2870">
        <v>125.443892296557</v>
      </c>
      <c r="AK2870">
        <v>10.2158594907193</v>
      </c>
      <c r="AL2870">
        <v>79.679157849117402</v>
      </c>
      <c r="AM2870">
        <v>106.98328993344801</v>
      </c>
      <c r="AN2870">
        <v>0.99999996992057405</v>
      </c>
    </row>
    <row r="2871" spans="1:40" x14ac:dyDescent="0.25">
      <c r="A2871" t="str">
        <f>"20190312164322674"</f>
        <v>20190312164322674</v>
      </c>
      <c r="B2871" t="str">
        <f>"1552380202667275"</f>
        <v>1552380202667275</v>
      </c>
      <c r="C2871" t="s">
        <v>40</v>
      </c>
      <c r="D2871">
        <v>4.8357809999999999</v>
      </c>
      <c r="E2871">
        <v>0.37977129999999998</v>
      </c>
      <c r="F2871" t="s">
        <v>46</v>
      </c>
      <c r="G2871">
        <v>-242.12289999999999</v>
      </c>
      <c r="H2871">
        <v>2.4135529999999999E-2</v>
      </c>
      <c r="I2871">
        <v>219.6163</v>
      </c>
      <c r="J2871">
        <v>-250.28919999999999</v>
      </c>
      <c r="K2871">
        <v>1.1126590000000001</v>
      </c>
      <c r="L2871">
        <v>213.5625</v>
      </c>
      <c r="M2871">
        <v>0.99987329999999996</v>
      </c>
      <c r="N2871">
        <v>0</v>
      </c>
      <c r="O2871">
        <v>6.9626569999999997E-3</v>
      </c>
      <c r="P2871">
        <v>0.93616049999999995</v>
      </c>
      <c r="Q2871">
        <v>0.169431</v>
      </c>
      <c r="R2871">
        <v>0.30805349999999998</v>
      </c>
      <c r="S2871">
        <v>2.6652830000000001</v>
      </c>
      <c r="T2871">
        <v>-0.33732509999999999</v>
      </c>
      <c r="U2871">
        <v>1.8777919999999999</v>
      </c>
      <c r="V2871">
        <v>-0.30258889999999999</v>
      </c>
      <c r="W2871">
        <v>0.1810869</v>
      </c>
      <c r="X2871">
        <v>0.93576040000000005</v>
      </c>
      <c r="Y2871">
        <v>-0.56725570000000003</v>
      </c>
      <c r="Z2871">
        <v>3.1407270000000001E-2</v>
      </c>
      <c r="AA2871">
        <v>0.82294269999999903</v>
      </c>
      <c r="AB2871">
        <v>41</v>
      </c>
      <c r="AC2871">
        <v>8.1662999999999997</v>
      </c>
      <c r="AD2871">
        <v>-1.0885234699999999</v>
      </c>
      <c r="AE2871">
        <v>6.0537999999999901</v>
      </c>
      <c r="AF2871">
        <v>-5.9288072966846803</v>
      </c>
      <c r="AG2871">
        <v>-1.0885234699999999</v>
      </c>
      <c r="AH2871">
        <v>8.1152061916767906</v>
      </c>
      <c r="AI2871">
        <v>96.1815071002693</v>
      </c>
      <c r="AJ2871">
        <v>126.151116836828</v>
      </c>
      <c r="AK2871">
        <v>10.1090163141322</v>
      </c>
      <c r="AL2871">
        <v>79.566925128629705</v>
      </c>
      <c r="AM2871">
        <v>107.919211029202</v>
      </c>
      <c r="AN2871">
        <v>1.00000001698148</v>
      </c>
    </row>
    <row r="2872" spans="1:40" x14ac:dyDescent="0.25">
      <c r="A2872" t="str">
        <f>"20190312164322702"</f>
        <v>20190312164322702</v>
      </c>
      <c r="B2872" t="str">
        <f>"1552380202697530"</f>
        <v>1552380202697530</v>
      </c>
      <c r="C2872" t="s">
        <v>40</v>
      </c>
      <c r="D2872">
        <v>4.8674439999999999</v>
      </c>
      <c r="E2872">
        <v>0.3823627</v>
      </c>
      <c r="F2872" t="s">
        <v>41</v>
      </c>
      <c r="G2872">
        <v>-249.4571</v>
      </c>
      <c r="H2872">
        <v>1.0059830000000001</v>
      </c>
      <c r="I2872">
        <v>214.1634</v>
      </c>
      <c r="J2872">
        <v>-249.78229999999999</v>
      </c>
      <c r="K2872">
        <v>1.1129800000000001</v>
      </c>
      <c r="L2872">
        <v>213.5693</v>
      </c>
      <c r="M2872">
        <v>0.99984039999999996</v>
      </c>
      <c r="N2872">
        <v>0</v>
      </c>
      <c r="O2872">
        <v>1.068441E-2</v>
      </c>
      <c r="P2872">
        <v>0.93030959999999996</v>
      </c>
      <c r="Q2872">
        <v>0.17103869999999999</v>
      </c>
      <c r="R2872">
        <v>0.3244533</v>
      </c>
      <c r="S2872">
        <v>2.6386259999999999</v>
      </c>
      <c r="T2872">
        <v>-0.33821560000000001</v>
      </c>
      <c r="U2872">
        <v>1.9059299999999999</v>
      </c>
      <c r="V2872">
        <v>-0.3157025</v>
      </c>
      <c r="W2872">
        <v>0.1823215</v>
      </c>
      <c r="X2872">
        <v>0.93117709999999998</v>
      </c>
      <c r="Y2872">
        <v>-0.57382049999999996</v>
      </c>
      <c r="Z2872">
        <v>3.1610409999999999E-2</v>
      </c>
      <c r="AA2872">
        <v>0.81837079999999995</v>
      </c>
      <c r="AB2872">
        <v>41</v>
      </c>
      <c r="AC2872">
        <v>0.32519999999999499</v>
      </c>
      <c r="AD2872">
        <v>-0.106996999999999</v>
      </c>
      <c r="AE2872">
        <v>0.59409999999999696</v>
      </c>
      <c r="AF2872">
        <v>-0.57621025376774004</v>
      </c>
      <c r="AG2872">
        <v>-0.106996999999999</v>
      </c>
      <c r="AH2872">
        <v>0.32345694057171698</v>
      </c>
      <c r="AI2872">
        <v>99.197673807807107</v>
      </c>
      <c r="AJ2872">
        <v>150.69222470323001</v>
      </c>
      <c r="AK2872">
        <v>0.66939600160151802</v>
      </c>
      <c r="AL2872">
        <v>79.494990036130403</v>
      </c>
      <c r="AM2872">
        <v>108.72850561471</v>
      </c>
      <c r="AN2872">
        <v>0.99999999471645495</v>
      </c>
    </row>
    <row r="2873" spans="1:40" x14ac:dyDescent="0.25">
      <c r="A2873" t="str">
        <f>"20190312164322721"</f>
        <v>20190312164322721</v>
      </c>
      <c r="B2873" t="str">
        <f>"1552380202717052"</f>
        <v>1552380202717052</v>
      </c>
      <c r="C2873" t="s">
        <v>40</v>
      </c>
      <c r="D2873">
        <v>4.7854989999999997</v>
      </c>
      <c r="E2873">
        <v>0.38421470000000002</v>
      </c>
      <c r="F2873" t="s">
        <v>46</v>
      </c>
      <c r="G2873">
        <v>-241.60929999999999</v>
      </c>
      <c r="H2873">
        <v>3.8082419999999999E-2</v>
      </c>
      <c r="I2873">
        <v>219.6163</v>
      </c>
      <c r="J2873">
        <v>-249.42519999999999</v>
      </c>
      <c r="K2873">
        <v>1.113219</v>
      </c>
      <c r="L2873">
        <v>213.57550000000001</v>
      </c>
      <c r="M2873">
        <v>0.99980530000000001</v>
      </c>
      <c r="N2873">
        <v>0</v>
      </c>
      <c r="O2873">
        <v>1.35713E-2</v>
      </c>
      <c r="P2873">
        <v>0.92449369999999997</v>
      </c>
      <c r="Q2873">
        <v>0.17153679999999999</v>
      </c>
      <c r="R2873">
        <v>0.34042149999999999</v>
      </c>
      <c r="S2873">
        <v>2.6135100000000002</v>
      </c>
      <c r="T2873">
        <v>-0.3437248</v>
      </c>
      <c r="U2873">
        <v>1.93367</v>
      </c>
      <c r="V2873">
        <v>-0.32915549999999999</v>
      </c>
      <c r="W2873">
        <v>0.18248710000000001</v>
      </c>
      <c r="X2873">
        <v>0.92647460000000004</v>
      </c>
      <c r="Y2873">
        <v>-0.5806595</v>
      </c>
      <c r="Z2873">
        <v>3.2343459999999997E-2</v>
      </c>
      <c r="AA2873">
        <v>0.81350389999999995</v>
      </c>
      <c r="AB2873">
        <v>40</v>
      </c>
      <c r="AC2873">
        <v>7.8158999999999903</v>
      </c>
      <c r="AD2873">
        <v>-1.0751365799999999</v>
      </c>
      <c r="AE2873">
        <v>6.0407999999999902</v>
      </c>
      <c r="AF2873">
        <v>-5.8646881859693298</v>
      </c>
      <c r="AG2873">
        <v>-1.0751365799999999</v>
      </c>
      <c r="AH2873">
        <v>7.8047160088380396</v>
      </c>
      <c r="AI2873">
        <v>96.2845566951774</v>
      </c>
      <c r="AJ2873">
        <v>126.922253884521</v>
      </c>
      <c r="AK2873">
        <v>9.82161280864376</v>
      </c>
      <c r="AL2873">
        <v>79.4853403862069</v>
      </c>
      <c r="AM2873">
        <v>109.558976808552</v>
      </c>
      <c r="AN2873">
        <v>1.0000000346458999</v>
      </c>
    </row>
    <row r="2874" spans="1:40" x14ac:dyDescent="0.25">
      <c r="A2874" t="str">
        <f>"20190312164322742"</f>
        <v>20190312164322742</v>
      </c>
      <c r="B2874" t="str">
        <f>"1552380202737547"</f>
        <v>1552380202737547</v>
      </c>
      <c r="C2874" t="s">
        <v>40</v>
      </c>
      <c r="D2874">
        <v>4.760427</v>
      </c>
      <c r="E2874">
        <v>0.38568069999999999</v>
      </c>
      <c r="F2874" t="s">
        <v>46</v>
      </c>
      <c r="G2874">
        <v>-241.46960000000001</v>
      </c>
      <c r="H2874">
        <v>3.9459130000000002E-2</v>
      </c>
      <c r="I2874">
        <v>219.6163</v>
      </c>
      <c r="J2874">
        <v>-249.05080000000001</v>
      </c>
      <c r="K2874">
        <v>1.1134489999999999</v>
      </c>
      <c r="L2874">
        <v>213.58340000000001</v>
      </c>
      <c r="M2874">
        <v>0.99975639999999999</v>
      </c>
      <c r="N2874">
        <v>0</v>
      </c>
      <c r="O2874">
        <v>1.6787449999999999E-2</v>
      </c>
      <c r="P2874">
        <v>0.91858839999999997</v>
      </c>
      <c r="Q2874">
        <v>0.17059469999999999</v>
      </c>
      <c r="R2874">
        <v>0.35650130000000002</v>
      </c>
      <c r="S2874">
        <v>2.5865939999999998</v>
      </c>
      <c r="T2874">
        <v>-0.34911140000000002</v>
      </c>
      <c r="U2874">
        <v>1.964035</v>
      </c>
      <c r="V2874">
        <v>-0.34243459999999998</v>
      </c>
      <c r="W2874">
        <v>0.1812018</v>
      </c>
      <c r="X2874">
        <v>0.92190269999999996</v>
      </c>
      <c r="Y2874">
        <v>-0.58799969999999901</v>
      </c>
      <c r="Z2874">
        <v>3.3071910000000003E-2</v>
      </c>
      <c r="AA2874">
        <v>0.80818469999999998</v>
      </c>
      <c r="AB2874">
        <v>40</v>
      </c>
      <c r="AC2874">
        <v>7.5811999999999902</v>
      </c>
      <c r="AD2874">
        <v>-1.0739898699999999</v>
      </c>
      <c r="AE2874">
        <v>6.0328999999999802</v>
      </c>
      <c r="AF2874">
        <v>-5.8330921798880002</v>
      </c>
      <c r="AG2874">
        <v>-1.0739898699999999</v>
      </c>
      <c r="AH2874">
        <v>7.58817744091479</v>
      </c>
      <c r="AI2874">
        <v>96.402496248073902</v>
      </c>
      <c r="AJ2874">
        <v>127.54976706236</v>
      </c>
      <c r="AK2874">
        <v>9.6311398855349104</v>
      </c>
      <c r="AL2874">
        <v>79.560231639054507</v>
      </c>
      <c r="AM2874">
        <v>110.377177816376</v>
      </c>
      <c r="AN2874">
        <v>1.0000000679338401</v>
      </c>
    </row>
    <row r="2875" spans="1:40" x14ac:dyDescent="0.25">
      <c r="A2875" t="str">
        <f>"20190312164322761"</f>
        <v>20190312164322761</v>
      </c>
      <c r="B2875" t="str">
        <f>"1552380202757068"</f>
        <v>1552380202757068</v>
      </c>
      <c r="C2875" t="s">
        <v>40</v>
      </c>
      <c r="D2875">
        <v>4.9530629999999896</v>
      </c>
      <c r="E2875">
        <v>0.38669320000000001</v>
      </c>
      <c r="F2875" t="s">
        <v>46</v>
      </c>
      <c r="G2875">
        <v>-241.3177</v>
      </c>
      <c r="H2875">
        <v>3.3862040000000003E-2</v>
      </c>
      <c r="I2875">
        <v>219.6163</v>
      </c>
      <c r="J2875">
        <v>-248.69550000000001</v>
      </c>
      <c r="K2875">
        <v>1.1136440000000001</v>
      </c>
      <c r="L2875">
        <v>213.59200000000001</v>
      </c>
      <c r="M2875">
        <v>0.99969710000000001</v>
      </c>
      <c r="N2875">
        <v>0</v>
      </c>
      <c r="O2875">
        <v>2.0006400000000001E-2</v>
      </c>
      <c r="P2875">
        <v>0.91280539999999999</v>
      </c>
      <c r="Q2875">
        <v>0.17023859999999999</v>
      </c>
      <c r="R2875">
        <v>0.37122159999999998</v>
      </c>
      <c r="S2875">
        <v>2.5577549999999998</v>
      </c>
      <c r="T2875">
        <v>-0.35707519999999998</v>
      </c>
      <c r="U2875">
        <v>1.9954069999999999</v>
      </c>
      <c r="V2875">
        <v>-0.3543752</v>
      </c>
      <c r="W2875">
        <v>0.18052090000000001</v>
      </c>
      <c r="X2875">
        <v>0.91751320000000003</v>
      </c>
      <c r="Y2875">
        <v>-0.59573790000000004</v>
      </c>
      <c r="Z2875">
        <v>3.4091450000000002E-2</v>
      </c>
      <c r="AA2875">
        <v>0.80245509999999998</v>
      </c>
      <c r="AB2875">
        <v>40</v>
      </c>
      <c r="AC2875">
        <v>7.3777999999999997</v>
      </c>
      <c r="AD2875">
        <v>-1.07978196</v>
      </c>
      <c r="AE2875">
        <v>6.0242999999999798</v>
      </c>
      <c r="AF2875">
        <v>-5.8009257862326997</v>
      </c>
      <c r="AG2875">
        <v>-1.07978196</v>
      </c>
      <c r="AH2875">
        <v>7.4017375310003297</v>
      </c>
      <c r="AI2875">
        <v>96.550060229862794</v>
      </c>
      <c r="AJ2875">
        <v>128.08668184657</v>
      </c>
      <c r="AK2875">
        <v>9.4658537669002598</v>
      </c>
      <c r="AL2875">
        <v>79.599898043234901</v>
      </c>
      <c r="AM2875">
        <v>111.11827810438299</v>
      </c>
      <c r="AN2875">
        <v>1.0000000249430401</v>
      </c>
    </row>
    <row r="2876" spans="1:40" x14ac:dyDescent="0.25">
      <c r="A2876" t="str">
        <f>"20190312164322784"</f>
        <v>20190312164322784</v>
      </c>
      <c r="B2876" t="str">
        <f>"1552380202777563"</f>
        <v>1552380202777563</v>
      </c>
      <c r="C2876" t="s">
        <v>40</v>
      </c>
      <c r="D2876">
        <v>4.9862789999999997</v>
      </c>
      <c r="E2876">
        <v>0.38717439999999997</v>
      </c>
      <c r="F2876" t="s">
        <v>46</v>
      </c>
      <c r="G2876">
        <v>-241.18029999999999</v>
      </c>
      <c r="H2876">
        <v>3.9308780000000001E-2</v>
      </c>
      <c r="I2876">
        <v>219.6163</v>
      </c>
      <c r="J2876">
        <v>-248.29239999999999</v>
      </c>
      <c r="K2876">
        <v>1.11385</v>
      </c>
      <c r="L2876">
        <v>213.60339999999999</v>
      </c>
      <c r="M2876">
        <v>0.99961239999999996</v>
      </c>
      <c r="N2876">
        <v>0</v>
      </c>
      <c r="O2876">
        <v>2.3858600000000001E-2</v>
      </c>
      <c r="P2876">
        <v>0.90697539999999999</v>
      </c>
      <c r="Q2876">
        <v>0.16969419999999999</v>
      </c>
      <c r="R2876">
        <v>0.38548650000000001</v>
      </c>
      <c r="S2876">
        <v>2.529404</v>
      </c>
      <c r="T2876">
        <v>-0.36159049999999998</v>
      </c>
      <c r="U2876">
        <v>2.027603</v>
      </c>
      <c r="V2876">
        <v>-0.36531669999999999</v>
      </c>
      <c r="W2876">
        <v>0.17964189999999999</v>
      </c>
      <c r="X2876">
        <v>0.91338520000000001</v>
      </c>
      <c r="Y2876">
        <v>-0.60309119999999905</v>
      </c>
      <c r="Z2876">
        <v>3.4682049999999999E-2</v>
      </c>
      <c r="AA2876">
        <v>0.79691789999999996</v>
      </c>
      <c r="AB2876">
        <v>40</v>
      </c>
      <c r="AC2876">
        <v>7.1120999999999901</v>
      </c>
      <c r="AD2876">
        <v>-1.07454122</v>
      </c>
      <c r="AE2876">
        <v>6.0129000000000001</v>
      </c>
      <c r="AF2876">
        <v>-5.7647457387800296</v>
      </c>
      <c r="AG2876">
        <v>-1.07454122</v>
      </c>
      <c r="AH2876">
        <v>7.1582587412273098</v>
      </c>
      <c r="AI2876">
        <v>96.6683705131354</v>
      </c>
      <c r="AJ2876">
        <v>128.84546426509399</v>
      </c>
      <c r="AK2876">
        <v>9.2535182753706593</v>
      </c>
      <c r="AL2876">
        <v>79.651097947598501</v>
      </c>
      <c r="AM2876">
        <v>111.799388068491</v>
      </c>
      <c r="AN2876">
        <v>1.0000000135567699</v>
      </c>
    </row>
    <row r="2877" spans="1:40" x14ac:dyDescent="0.25">
      <c r="A2877" t="str">
        <f>"20190312164322805"</f>
        <v>20190312164322805</v>
      </c>
      <c r="B2877" t="str">
        <f>"1552380202797083"</f>
        <v>1552380202797083</v>
      </c>
      <c r="C2877" t="s">
        <v>40</v>
      </c>
      <c r="D2877">
        <v>4.6343310000000004</v>
      </c>
      <c r="E2877">
        <v>0.38790760000000002</v>
      </c>
      <c r="F2877" t="s">
        <v>46</v>
      </c>
      <c r="G2877">
        <v>-241.005</v>
      </c>
      <c r="H2877">
        <v>4.799983E-2</v>
      </c>
      <c r="I2877">
        <v>219.6163</v>
      </c>
      <c r="J2877">
        <v>-247.90389999999999</v>
      </c>
      <c r="K2877">
        <v>1.1140219999999901</v>
      </c>
      <c r="L2877">
        <v>213.61600000000001</v>
      </c>
      <c r="M2877">
        <v>0.99951210000000001</v>
      </c>
      <c r="N2877">
        <v>0</v>
      </c>
      <c r="O2877">
        <v>2.773813E-2</v>
      </c>
      <c r="P2877">
        <v>0.90182300000000004</v>
      </c>
      <c r="Q2877">
        <v>0.1689602</v>
      </c>
      <c r="R2877">
        <v>0.39770309999999998</v>
      </c>
      <c r="S2877">
        <v>2.4995419999999999</v>
      </c>
      <c r="T2877">
        <v>-0.3655815</v>
      </c>
      <c r="U2877">
        <v>2.0623930000000001</v>
      </c>
      <c r="V2877">
        <v>-0.374191</v>
      </c>
      <c r="W2877">
        <v>0.1786112</v>
      </c>
      <c r="X2877">
        <v>0.90998849999999998</v>
      </c>
      <c r="Y2877">
        <v>-0.6111103</v>
      </c>
      <c r="Z2877">
        <v>3.5270240000000001E-2</v>
      </c>
      <c r="AA2877">
        <v>0.79075930000000005</v>
      </c>
      <c r="AB2877">
        <v>40</v>
      </c>
      <c r="AC2877">
        <v>6.8988999999999896</v>
      </c>
      <c r="AD2877">
        <v>-1.0660221700000001</v>
      </c>
      <c r="AE2877">
        <v>6.00030000000001</v>
      </c>
      <c r="AF2877">
        <v>-5.72873433204016</v>
      </c>
      <c r="AG2877">
        <v>-1.0660221700000001</v>
      </c>
      <c r="AH2877">
        <v>6.9679792782598602</v>
      </c>
      <c r="AI2877">
        <v>96.739754566615503</v>
      </c>
      <c r="AJ2877">
        <v>129.42538308046801</v>
      </c>
      <c r="AK2877">
        <v>9.0833658704406499</v>
      </c>
      <c r="AL2877">
        <v>79.711123084435499</v>
      </c>
      <c r="AM2877">
        <v>112.352665665988</v>
      </c>
      <c r="AN2877">
        <v>0.99999996768934396</v>
      </c>
    </row>
    <row r="2878" spans="1:40" x14ac:dyDescent="0.25">
      <c r="A2878" t="str">
        <f>"20190312164322828"</f>
        <v>20190312164322828</v>
      </c>
      <c r="B2878" t="str">
        <f>"1552380202817579"</f>
        <v>1552380202817579</v>
      </c>
      <c r="C2878" t="s">
        <v>40</v>
      </c>
      <c r="D2878">
        <v>4.6264750000000001</v>
      </c>
      <c r="E2878">
        <v>0.3888085</v>
      </c>
      <c r="F2878" t="s">
        <v>46</v>
      </c>
      <c r="G2878">
        <v>-240.79990000000001</v>
      </c>
      <c r="H2878">
        <v>4.0041489999999999E-2</v>
      </c>
      <c r="I2878">
        <v>219.6163</v>
      </c>
      <c r="J2878">
        <v>-247.50710000000001</v>
      </c>
      <c r="K2878">
        <v>1.1141989999999999</v>
      </c>
      <c r="L2878">
        <v>213.63050000000001</v>
      </c>
      <c r="M2878">
        <v>0.99938950000000004</v>
      </c>
      <c r="N2878">
        <v>0</v>
      </c>
      <c r="O2878">
        <v>3.1847569999999999E-2</v>
      </c>
      <c r="P2878">
        <v>0.89669940000000004</v>
      </c>
      <c r="Q2878">
        <v>0.16861880000000001</v>
      </c>
      <c r="R2878">
        <v>0.40926499999999999</v>
      </c>
      <c r="S2878">
        <v>2.4748380000000001</v>
      </c>
      <c r="T2878">
        <v>-0.37414540000000002</v>
      </c>
      <c r="U2878">
        <v>2.090347</v>
      </c>
      <c r="V2878">
        <v>-0.38223000000000001</v>
      </c>
      <c r="W2878">
        <v>0.1779867</v>
      </c>
      <c r="X2878">
        <v>0.90676400000000001</v>
      </c>
      <c r="Y2878">
        <v>-0.61674530000000005</v>
      </c>
      <c r="Z2878">
        <v>3.6087000000000001E-2</v>
      </c>
      <c r="AA2878">
        <v>0.78633509999999995</v>
      </c>
      <c r="AB2878">
        <v>40</v>
      </c>
      <c r="AC2878">
        <v>6.7072000000000003</v>
      </c>
      <c r="AD2878">
        <v>-1.07415751</v>
      </c>
      <c r="AE2878">
        <v>5.9857999999999798</v>
      </c>
      <c r="AF2878">
        <v>-5.68792644116066</v>
      </c>
      <c r="AG2878">
        <v>-1.07415751</v>
      </c>
      <c r="AH2878">
        <v>6.7974033525533297</v>
      </c>
      <c r="AI2878">
        <v>96.910107022470996</v>
      </c>
      <c r="AJ2878">
        <v>129.92189548350601</v>
      </c>
      <c r="AK2878">
        <v>8.9281024800148501</v>
      </c>
      <c r="AL2878">
        <v>79.747487265359396</v>
      </c>
      <c r="AM2878">
        <v>112.856977662977</v>
      </c>
      <c r="AN2878">
        <v>0.99999999498644498</v>
      </c>
    </row>
    <row r="2879" spans="1:40" x14ac:dyDescent="0.25">
      <c r="A2879" t="str">
        <f>"20190312164322850"</f>
        <v>20190312164322850</v>
      </c>
      <c r="B2879" t="str">
        <f>"1552380202847835"</f>
        <v>1552380202847835</v>
      </c>
      <c r="C2879" t="s">
        <v>40</v>
      </c>
      <c r="D2879">
        <v>4.5813160000000002</v>
      </c>
      <c r="E2879">
        <v>0.3898489</v>
      </c>
      <c r="F2879" t="s">
        <v>46</v>
      </c>
      <c r="G2879">
        <v>-240.56739999999999</v>
      </c>
      <c r="H2879">
        <v>4.128151E-2</v>
      </c>
      <c r="I2879">
        <v>219.6163</v>
      </c>
      <c r="J2879">
        <v>-247.10720000000001</v>
      </c>
      <c r="K2879">
        <v>1.114368</v>
      </c>
      <c r="L2879">
        <v>213.64680000000001</v>
      </c>
      <c r="M2879">
        <v>0.99924449999999998</v>
      </c>
      <c r="N2879">
        <v>0</v>
      </c>
      <c r="O2879">
        <v>3.6109479999999999E-2</v>
      </c>
      <c r="P2879">
        <v>0.89153400000000005</v>
      </c>
      <c r="Q2879">
        <v>0.1684319</v>
      </c>
      <c r="R2879">
        <v>0.4204734</v>
      </c>
      <c r="S2879">
        <v>2.4517060000000002</v>
      </c>
      <c r="T2879">
        <v>-0.37905109999999997</v>
      </c>
      <c r="U2879">
        <v>2.1147309999999999</v>
      </c>
      <c r="V2879">
        <v>-0.38980510000000002</v>
      </c>
      <c r="W2879">
        <v>0.1775302</v>
      </c>
      <c r="X2879">
        <v>0.90362330000000002</v>
      </c>
      <c r="Y2879">
        <v>-0.62141139999999995</v>
      </c>
      <c r="Z2879">
        <v>3.6463710000000003E-2</v>
      </c>
      <c r="AA2879">
        <v>0.78263549999999904</v>
      </c>
      <c r="AB2879">
        <v>40</v>
      </c>
      <c r="AC2879">
        <v>6.5398000000000103</v>
      </c>
      <c r="AD2879">
        <v>-1.0730864899999999</v>
      </c>
      <c r="AE2879">
        <v>5.9694999999999796</v>
      </c>
      <c r="AF2879">
        <v>-5.6465030338307702</v>
      </c>
      <c r="AG2879">
        <v>-1.0730864899999999</v>
      </c>
      <c r="AH2879">
        <v>6.6533938437192504</v>
      </c>
      <c r="AI2879">
        <v>97.010446988148203</v>
      </c>
      <c r="AJ2879">
        <v>130.32010374117399</v>
      </c>
      <c r="AK2879">
        <v>8.7921647371806007</v>
      </c>
      <c r="AL2879">
        <v>79.774066421557393</v>
      </c>
      <c r="AM2879">
        <v>113.334405530296</v>
      </c>
      <c r="AN2879">
        <v>1.00000002810046</v>
      </c>
    </row>
    <row r="2880" spans="1:40" x14ac:dyDescent="0.25">
      <c r="A2880" t="str">
        <f>"20190312164322874"</f>
        <v>20190312164322874</v>
      </c>
      <c r="B2880" t="str">
        <f>"1552380202867355"</f>
        <v>1552380202867355</v>
      </c>
      <c r="C2880" t="s">
        <v>40</v>
      </c>
      <c r="D2880">
        <v>4.7114520000000004</v>
      </c>
      <c r="E2880">
        <v>0.39052540000000002</v>
      </c>
      <c r="F2880" t="s">
        <v>46</v>
      </c>
      <c r="G2880">
        <v>-240.32140000000001</v>
      </c>
      <c r="H2880">
        <v>3.7091569999999997E-2</v>
      </c>
      <c r="I2880">
        <v>219.6163</v>
      </c>
      <c r="J2880">
        <v>-246.68960000000001</v>
      </c>
      <c r="K2880">
        <v>1.114511</v>
      </c>
      <c r="L2880">
        <v>213.66569999999999</v>
      </c>
      <c r="M2880">
        <v>0.99906980000000001</v>
      </c>
      <c r="N2880">
        <v>0</v>
      </c>
      <c r="O2880">
        <v>4.0658300000000001E-2</v>
      </c>
      <c r="P2880">
        <v>0.88692959999999998</v>
      </c>
      <c r="Q2880">
        <v>0.166576799999999</v>
      </c>
      <c r="R2880">
        <v>0.43082280000000001</v>
      </c>
      <c r="S2880">
        <v>2.4297490000000002</v>
      </c>
      <c r="T2880">
        <v>-0.38573489999999999</v>
      </c>
      <c r="U2880">
        <v>2.1374659999999999</v>
      </c>
      <c r="V2880">
        <v>-0.39624819999999999</v>
      </c>
      <c r="W2880">
        <v>0.1754368</v>
      </c>
      <c r="X2880">
        <v>0.90122650000000004</v>
      </c>
      <c r="Y2880">
        <v>-0.625324199999999</v>
      </c>
      <c r="Z2880">
        <v>3.6908650000000001E-2</v>
      </c>
      <c r="AA2880">
        <v>0.77949179999999996</v>
      </c>
      <c r="AB2880">
        <v>40</v>
      </c>
      <c r="AC2880">
        <v>6.3681999999999999</v>
      </c>
      <c r="AD2880">
        <v>-1.07741943</v>
      </c>
      <c r="AE2880">
        <v>5.9505999999999997</v>
      </c>
      <c r="AF2880">
        <v>-5.6011381710863404</v>
      </c>
      <c r="AG2880">
        <v>-1.07741943</v>
      </c>
      <c r="AH2880">
        <v>6.5054862308213801</v>
      </c>
      <c r="AI2880">
        <v>97.153624686186205</v>
      </c>
      <c r="AJ2880">
        <v>130.728018628011</v>
      </c>
      <c r="AK2880">
        <v>8.6518745101364303</v>
      </c>
      <c r="AL2880">
        <v>79.895921382958093</v>
      </c>
      <c r="AM2880">
        <v>113.733968456564</v>
      </c>
      <c r="AN2880">
        <v>0.99999995554986398</v>
      </c>
    </row>
    <row r="2881" spans="1:40" x14ac:dyDescent="0.25">
      <c r="A2881" t="str">
        <f>"20190312164322900"</f>
        <v>20190312164322900</v>
      </c>
      <c r="B2881" t="str">
        <f>"1552380202887850"</f>
        <v>1552380202887850</v>
      </c>
      <c r="C2881" t="s">
        <v>40</v>
      </c>
      <c r="D2881">
        <v>4.5789650000000002</v>
      </c>
      <c r="E2881">
        <v>0.39141350000000003</v>
      </c>
      <c r="F2881" t="s">
        <v>46</v>
      </c>
      <c r="G2881">
        <v>-240.05719999999999</v>
      </c>
      <c r="H2881">
        <v>1.843933E-2</v>
      </c>
      <c r="I2881">
        <v>219.6163</v>
      </c>
      <c r="J2881">
        <v>-246.22880000000001</v>
      </c>
      <c r="K2881">
        <v>1.11463</v>
      </c>
      <c r="L2881">
        <v>213.68879999999999</v>
      </c>
      <c r="M2881">
        <v>0.99884919999999999</v>
      </c>
      <c r="N2881">
        <v>0</v>
      </c>
      <c r="O2881">
        <v>4.575738E-2</v>
      </c>
      <c r="P2881">
        <v>0.88334889999999999</v>
      </c>
      <c r="Q2881">
        <v>0.16422500000000001</v>
      </c>
      <c r="R2881">
        <v>0.43900440000000002</v>
      </c>
      <c r="S2881">
        <v>2.4078059999999999</v>
      </c>
      <c r="T2881">
        <v>-0.39791910000000003</v>
      </c>
      <c r="U2881">
        <v>2.1603089999999998</v>
      </c>
      <c r="V2881">
        <v>-0.39999970000000001</v>
      </c>
      <c r="W2881">
        <v>0.17290030000000001</v>
      </c>
      <c r="X2881">
        <v>0.90005869999999999</v>
      </c>
      <c r="Y2881">
        <v>-0.62870479999999995</v>
      </c>
      <c r="Z2881">
        <v>3.7748150000000001E-2</v>
      </c>
      <c r="AA2881">
        <v>0.77672730000000001</v>
      </c>
      <c r="AB2881">
        <v>40</v>
      </c>
      <c r="AC2881">
        <v>6.1716000000000104</v>
      </c>
      <c r="AD2881">
        <v>-1.0961906699999999</v>
      </c>
      <c r="AE2881">
        <v>5.9275000000000002</v>
      </c>
      <c r="AF2881">
        <v>-5.5478227121653596</v>
      </c>
      <c r="AG2881">
        <v>-1.0961906699999999</v>
      </c>
      <c r="AH2881">
        <v>6.3324708867653703</v>
      </c>
      <c r="AI2881">
        <v>97.418480936077998</v>
      </c>
      <c r="AJ2881">
        <v>131.22131978680099</v>
      </c>
      <c r="AK2881">
        <v>8.4900034371220201</v>
      </c>
      <c r="AL2881">
        <v>80.043508043320102</v>
      </c>
      <c r="AM2881">
        <v>113.961086190225</v>
      </c>
      <c r="AN2881">
        <v>0.99999996859293405</v>
      </c>
    </row>
    <row r="2882" spans="1:40" x14ac:dyDescent="0.25">
      <c r="A2882" t="str">
        <f>"20190312164322922"</f>
        <v>20190312164322922</v>
      </c>
      <c r="B2882" t="str">
        <f>"1552380202917132"</f>
        <v>1552380202917132</v>
      </c>
      <c r="C2882" t="s">
        <v>40</v>
      </c>
      <c r="D2882">
        <v>4.5770679999999997</v>
      </c>
      <c r="E2882">
        <v>0.3922001</v>
      </c>
      <c r="F2882" t="s">
        <v>41</v>
      </c>
      <c r="G2882">
        <v>-245.53450000000001</v>
      </c>
      <c r="H2882">
        <v>0.9966642</v>
      </c>
      <c r="I2882">
        <v>214.3202</v>
      </c>
      <c r="J2882">
        <v>-245.8254</v>
      </c>
      <c r="K2882">
        <v>1.114711</v>
      </c>
      <c r="L2882">
        <v>213.71100000000001</v>
      </c>
      <c r="M2882">
        <v>0.99863210000000002</v>
      </c>
      <c r="N2882">
        <v>0</v>
      </c>
      <c r="O2882">
        <v>5.0271929999999999E-2</v>
      </c>
      <c r="P2882">
        <v>0.88136680000000001</v>
      </c>
      <c r="Q2882">
        <v>0.162998799999999</v>
      </c>
      <c r="R2882">
        <v>0.44342310000000001</v>
      </c>
      <c r="S2882">
        <v>2.3908079999999998</v>
      </c>
      <c r="T2882">
        <v>-0.40626129999999999</v>
      </c>
      <c r="U2882">
        <v>2.1748959999999999</v>
      </c>
      <c r="V2882">
        <v>-0.40045429999999999</v>
      </c>
      <c r="W2882">
        <v>0.1715814</v>
      </c>
      <c r="X2882">
        <v>0.90010900000000005</v>
      </c>
      <c r="Y2882">
        <v>-0.63035909999999995</v>
      </c>
      <c r="Z2882">
        <v>3.8143940000000001E-2</v>
      </c>
      <c r="AA2882">
        <v>0.77536609999999995</v>
      </c>
      <c r="AB2882">
        <v>40</v>
      </c>
      <c r="AC2882">
        <v>0.290899999999993</v>
      </c>
      <c r="AD2882">
        <v>-0.11804679999999999</v>
      </c>
      <c r="AE2882">
        <v>0.60920000000001495</v>
      </c>
      <c r="AF2882">
        <v>-0.576186316747755</v>
      </c>
      <c r="AG2882">
        <v>-0.11804679999999999</v>
      </c>
      <c r="AH2882">
        <v>0.311632376443226</v>
      </c>
      <c r="AI2882">
        <v>100.215474381139</v>
      </c>
      <c r="AJ2882">
        <v>151.59310643139301</v>
      </c>
      <c r="AK2882">
        <v>0.66561284290887701</v>
      </c>
      <c r="AL2882">
        <v>80.120222443712805</v>
      </c>
      <c r="AM2882">
        <v>113.984058451715</v>
      </c>
      <c r="AN2882">
        <v>1.0000000175477199</v>
      </c>
    </row>
    <row r="2883" spans="1:40" x14ac:dyDescent="0.25">
      <c r="A2883" t="str">
        <f>"20190312164322943"</f>
        <v>20190312164322943</v>
      </c>
      <c r="B2883" t="str">
        <f>"1552380202937627"</f>
        <v>1552380202937627</v>
      </c>
      <c r="C2883" t="s">
        <v>40</v>
      </c>
      <c r="D2883">
        <v>4.6612390000000001</v>
      </c>
      <c r="E2883">
        <v>0.3926634</v>
      </c>
      <c r="F2883" t="s">
        <v>46</v>
      </c>
      <c r="G2883">
        <v>-239.4068</v>
      </c>
      <c r="H2883" s="1">
        <v>3.2518290000000001E-6</v>
      </c>
      <c r="I2883">
        <v>219.58600000000001</v>
      </c>
      <c r="J2883">
        <v>-245.45439999999999</v>
      </c>
      <c r="K2883">
        <v>1.114781</v>
      </c>
      <c r="L2883">
        <v>213.73310000000001</v>
      </c>
      <c r="M2883">
        <v>0.99841290000000005</v>
      </c>
      <c r="N2883">
        <v>0</v>
      </c>
      <c r="O2883">
        <v>5.4450489999999997E-2</v>
      </c>
      <c r="P2883">
        <v>0.88255399999999995</v>
      </c>
      <c r="Q2883">
        <v>0.16106300000000001</v>
      </c>
      <c r="R2883">
        <v>0.44176599999999999</v>
      </c>
      <c r="S2883">
        <v>2.3829799999999999</v>
      </c>
      <c r="T2883">
        <v>-0.41385169999999999</v>
      </c>
      <c r="U2883">
        <v>2.181168</v>
      </c>
      <c r="V2883">
        <v>-0.3949627</v>
      </c>
      <c r="W2883">
        <v>0.16968179999999999</v>
      </c>
      <c r="X2883">
        <v>0.9028912</v>
      </c>
      <c r="Y2883">
        <v>-0.62936689999999995</v>
      </c>
      <c r="Z2883">
        <v>3.8235379999999999E-2</v>
      </c>
      <c r="AA2883">
        <v>0.776167099999999</v>
      </c>
      <c r="AB2883">
        <v>40</v>
      </c>
      <c r="AC2883">
        <v>6.0475999999999797</v>
      </c>
      <c r="AD2883">
        <v>-1.1147777481709999</v>
      </c>
      <c r="AE2883">
        <v>5.8528999999999698</v>
      </c>
      <c r="AF2883">
        <v>-5.4197946843074201</v>
      </c>
      <c r="AG2883">
        <v>-1.1147777481709999</v>
      </c>
      <c r="AH2883">
        <v>6.2477344361037401</v>
      </c>
      <c r="AI2883">
        <v>97.676212028880002</v>
      </c>
      <c r="AJ2883">
        <v>130.941036919493</v>
      </c>
      <c r="AK2883">
        <v>8.3457228226164304</v>
      </c>
      <c r="AL2883">
        <v>80.230681077732598</v>
      </c>
      <c r="AM2883">
        <v>113.626597332057</v>
      </c>
      <c r="AN2883">
        <v>0.99999998333998397</v>
      </c>
    </row>
    <row r="2884" spans="1:40" x14ac:dyDescent="0.25">
      <c r="A2884" t="str">
        <f>"20190312164322963"</f>
        <v>20190312164322963</v>
      </c>
      <c r="B2884" t="str">
        <f>"1552380202957147"</f>
        <v>1552380202957147</v>
      </c>
      <c r="C2884" t="s">
        <v>40</v>
      </c>
      <c r="D2884">
        <v>4.6496130000000004</v>
      </c>
      <c r="E2884">
        <v>0.39303709999999997</v>
      </c>
      <c r="F2884" t="s">
        <v>46</v>
      </c>
      <c r="G2884">
        <v>-239.13239999999999</v>
      </c>
      <c r="H2884" s="1">
        <v>3.110459E-6</v>
      </c>
      <c r="I2884">
        <v>219.47900000000001</v>
      </c>
      <c r="J2884">
        <v>-245.1019</v>
      </c>
      <c r="K2884">
        <v>1.114827</v>
      </c>
      <c r="L2884">
        <v>213.75550000000001</v>
      </c>
      <c r="M2884">
        <v>0.99818770000000001</v>
      </c>
      <c r="N2884">
        <v>0</v>
      </c>
      <c r="O2884">
        <v>5.8432820000000003E-2</v>
      </c>
      <c r="P2884">
        <v>0.88636269999999995</v>
      </c>
      <c r="Q2884">
        <v>0.15848809999999999</v>
      </c>
      <c r="R2884">
        <v>0.43502039999999997</v>
      </c>
      <c r="S2884">
        <v>2.3891909999999998</v>
      </c>
      <c r="T2884">
        <v>-0.42129299999999997</v>
      </c>
      <c r="U2884">
        <v>2.1714630000000001</v>
      </c>
      <c r="V2884">
        <v>-0.38438519999999998</v>
      </c>
      <c r="W2884">
        <v>0.16724849999999999</v>
      </c>
      <c r="X2884">
        <v>0.9078965</v>
      </c>
      <c r="Y2884">
        <v>-0.62345810000000002</v>
      </c>
      <c r="Z2884">
        <v>3.785823E-2</v>
      </c>
      <c r="AA2884">
        <v>0.78093959999999996</v>
      </c>
      <c r="AB2884">
        <v>40</v>
      </c>
      <c r="AC2884">
        <v>5.9695000000000098</v>
      </c>
      <c r="AD2884">
        <v>-1.1148238895409901</v>
      </c>
      <c r="AE2884">
        <v>5.7234999999999996</v>
      </c>
      <c r="AF2884">
        <v>-5.2691181902709303</v>
      </c>
      <c r="AG2884">
        <v>-1.1148238895409901</v>
      </c>
      <c r="AH2884">
        <v>6.1814448028564604</v>
      </c>
      <c r="AI2884">
        <v>97.815159086873507</v>
      </c>
      <c r="AJ2884">
        <v>130.44456698153499</v>
      </c>
      <c r="AK2884">
        <v>8.1985790633802207</v>
      </c>
      <c r="AL2884">
        <v>80.372121080940602</v>
      </c>
      <c r="AM2884">
        <v>112.94682643786</v>
      </c>
      <c r="AN2884">
        <v>1.00000004872176</v>
      </c>
    </row>
    <row r="2885" spans="1:40" x14ac:dyDescent="0.25">
      <c r="A2885" t="str">
        <f>"20190312164322986"</f>
        <v>20190312164322986</v>
      </c>
      <c r="B2885" t="str">
        <f>"1552380202977643"</f>
        <v>1552380202977643</v>
      </c>
      <c r="C2885" t="s">
        <v>40</v>
      </c>
      <c r="D2885">
        <v>5.2105160000000001</v>
      </c>
      <c r="E2885">
        <v>0.39328570000000002</v>
      </c>
      <c r="F2885" t="s">
        <v>46</v>
      </c>
      <c r="G2885">
        <v>-238.8929</v>
      </c>
      <c r="H2885" s="1">
        <v>2.9907839999999998E-6</v>
      </c>
      <c r="I2885">
        <v>219.30170000000001</v>
      </c>
      <c r="J2885">
        <v>-244.69399999999999</v>
      </c>
      <c r="K2885">
        <v>1.114878</v>
      </c>
      <c r="L2885">
        <v>213.7833</v>
      </c>
      <c r="M2885">
        <v>0.99790659999999998</v>
      </c>
      <c r="N2885">
        <v>0</v>
      </c>
      <c r="O2885">
        <v>6.3052159999999996E-2</v>
      </c>
      <c r="P2885">
        <v>0.89151639999999999</v>
      </c>
      <c r="Q2885">
        <v>0.15696019999999999</v>
      </c>
      <c r="R2885">
        <v>0.42492580000000002</v>
      </c>
      <c r="S2885">
        <v>2.4067690000000002</v>
      </c>
      <c r="T2885">
        <v>-0.43213390000000002</v>
      </c>
      <c r="U2885">
        <v>2.1498409999999999</v>
      </c>
      <c r="V2885">
        <v>-0.36977320000000002</v>
      </c>
      <c r="W2885">
        <v>0.165932</v>
      </c>
      <c r="X2885">
        <v>0.91418500000000003</v>
      </c>
      <c r="Y2885">
        <v>-0.61298079999999999</v>
      </c>
      <c r="Z2885">
        <v>3.7215419999999999E-2</v>
      </c>
      <c r="AA2885">
        <v>0.7892209</v>
      </c>
      <c r="AB2885">
        <v>40</v>
      </c>
      <c r="AC2885">
        <v>5.8011000000000204</v>
      </c>
      <c r="AD2885">
        <v>-1.114875009216</v>
      </c>
      <c r="AE2885">
        <v>5.5184000000000104</v>
      </c>
      <c r="AF2885">
        <v>-5.0438128153224397</v>
      </c>
      <c r="AG2885">
        <v>-1.114875009216</v>
      </c>
      <c r="AH2885">
        <v>6.0208000639036801</v>
      </c>
      <c r="AI2885">
        <v>98.078849954901401</v>
      </c>
      <c r="AJ2885">
        <v>129.953963059248</v>
      </c>
      <c r="AK2885">
        <v>7.9330339348629897</v>
      </c>
      <c r="AL2885">
        <v>80.448618822565706</v>
      </c>
      <c r="AM2885">
        <v>112.022543991653</v>
      </c>
      <c r="AN2885">
        <v>0.99999993114361696</v>
      </c>
    </row>
    <row r="2886" spans="1:40" x14ac:dyDescent="0.25">
      <c r="A2886" t="str">
        <f>"20190312164323008"</f>
        <v>20190312164323008</v>
      </c>
      <c r="B2886" t="str">
        <f>"1552380202997164"</f>
        <v>1552380202997164</v>
      </c>
      <c r="C2886" t="s">
        <v>40</v>
      </c>
      <c r="D2886">
        <v>5.3509330000000004</v>
      </c>
      <c r="E2886">
        <v>0.44820359999999998</v>
      </c>
      <c r="F2886" t="s">
        <v>46</v>
      </c>
      <c r="G2886">
        <v>-238.44290000000001</v>
      </c>
      <c r="H2886" s="1">
        <v>2.7541809999999999E-6</v>
      </c>
      <c r="I2886">
        <v>219.23609999999999</v>
      </c>
      <c r="J2886">
        <v>-244.28649999999999</v>
      </c>
      <c r="K2886">
        <v>1.114919</v>
      </c>
      <c r="L2886">
        <v>213.81290000000001</v>
      </c>
      <c r="M2886">
        <v>0.99760420000000005</v>
      </c>
      <c r="N2886">
        <v>0</v>
      </c>
      <c r="O2886">
        <v>6.7668779999999998E-2</v>
      </c>
      <c r="P2886">
        <v>0.89813539999999903</v>
      </c>
      <c r="Q2886">
        <v>0.15608159999999999</v>
      </c>
      <c r="R2886">
        <v>0.4110856</v>
      </c>
      <c r="S2886">
        <v>2.4307249999999998</v>
      </c>
      <c r="T2886">
        <v>-0.43352069999999998</v>
      </c>
      <c r="U2886">
        <v>2.1203460000000001</v>
      </c>
      <c r="V2886">
        <v>-0.351280599999999</v>
      </c>
      <c r="W2886">
        <v>0.1653376</v>
      </c>
      <c r="X2886">
        <v>0.92155600000000004</v>
      </c>
      <c r="Y2886">
        <v>-0.60012919999999903</v>
      </c>
      <c r="Z2886">
        <v>3.5510930000000003E-2</v>
      </c>
      <c r="AA2886">
        <v>0.79911449999999995</v>
      </c>
      <c r="AB2886">
        <v>40</v>
      </c>
      <c r="AC2886">
        <v>5.8435999999999799</v>
      </c>
      <c r="AD2886">
        <v>-1.1149162458190001</v>
      </c>
      <c r="AE2886">
        <v>5.42319999999998</v>
      </c>
      <c r="AF2886">
        <v>-4.9190922120638598</v>
      </c>
      <c r="AG2886">
        <v>-1.1149162458190001</v>
      </c>
      <c r="AH2886">
        <v>6.0783459608100099</v>
      </c>
      <c r="AI2886">
        <v>98.114679779310094</v>
      </c>
      <c r="AJ2886">
        <v>128.98260187874899</v>
      </c>
      <c r="AK2886">
        <v>7.8985312587387897</v>
      </c>
      <c r="AL2886">
        <v>80.483153312422502</v>
      </c>
      <c r="AM2886">
        <v>110.86594825878301</v>
      </c>
      <c r="AN2886">
        <v>1.00000002152305</v>
      </c>
    </row>
    <row r="2887" spans="1:40" x14ac:dyDescent="0.25">
      <c r="A2887" t="str">
        <f>"20190312164323029"</f>
        <v>20190312164323029</v>
      </c>
      <c r="B2887" t="str">
        <f>"1552380203017661"</f>
        <v>1552380203017661</v>
      </c>
      <c r="C2887" t="s">
        <v>40</v>
      </c>
      <c r="D2887">
        <v>4.6160420000000002</v>
      </c>
      <c r="E2887">
        <v>0.53428330000000002</v>
      </c>
      <c r="F2887" t="s">
        <v>41</v>
      </c>
      <c r="G2887">
        <v>-243.3895</v>
      </c>
      <c r="H2887">
        <v>1.0517920000000001</v>
      </c>
      <c r="I2887">
        <v>214.3852</v>
      </c>
      <c r="J2887">
        <v>-243.91829999999999</v>
      </c>
      <c r="K2887">
        <v>1.1149359999999999</v>
      </c>
      <c r="L2887">
        <v>213.84119999999999</v>
      </c>
      <c r="M2887">
        <v>0.99731270000000005</v>
      </c>
      <c r="N2887">
        <v>0</v>
      </c>
      <c r="O2887">
        <v>7.1836880000000006E-2</v>
      </c>
      <c r="P2887">
        <v>0.90494470000000005</v>
      </c>
      <c r="Q2887">
        <v>0.15363969999999999</v>
      </c>
      <c r="R2887">
        <v>0.39682499999999998</v>
      </c>
      <c r="S2887">
        <v>2.6099239999999999</v>
      </c>
      <c r="T2887">
        <v>-0.1836556</v>
      </c>
      <c r="U2887">
        <v>1.665375</v>
      </c>
      <c r="V2887">
        <v>-0.33268829999999999</v>
      </c>
      <c r="W2887">
        <v>0.1631928</v>
      </c>
      <c r="X2887">
        <v>0.9288092</v>
      </c>
      <c r="Y2887">
        <v>-0.47525659999999997</v>
      </c>
      <c r="Z2887">
        <v>1.0688899999999999E-2</v>
      </c>
      <c r="AA2887">
        <v>0.87978230000000002</v>
      </c>
      <c r="AB2887">
        <v>40</v>
      </c>
      <c r="AC2887">
        <v>0.52879999999998895</v>
      </c>
      <c r="AD2887">
        <v>-6.3144000000000006E-2</v>
      </c>
      <c r="AE2887">
        <v>0.54400000000001103</v>
      </c>
      <c r="AF2887">
        <v>-0.50113142418965095</v>
      </c>
      <c r="AG2887">
        <v>-6.3144000000000006E-2</v>
      </c>
      <c r="AH2887">
        <v>0.562619328976948</v>
      </c>
      <c r="AI2887">
        <v>94.790621048741897</v>
      </c>
      <c r="AJ2887">
        <v>131.69181749764701</v>
      </c>
      <c r="AK2887">
        <v>0.75608225636158</v>
      </c>
      <c r="AL2887">
        <v>80.607733036241299</v>
      </c>
      <c r="AM2887">
        <v>109.706914197461</v>
      </c>
      <c r="AN2887">
        <v>0.99999996246668399</v>
      </c>
    </row>
    <row r="2888" spans="1:40" x14ac:dyDescent="0.25">
      <c r="A2888" t="str">
        <f>"20190312164323056"</f>
        <v>20190312164323056</v>
      </c>
      <c r="B2888" t="str">
        <f>"1552380203047916"</f>
        <v>1552380203047916</v>
      </c>
      <c r="C2888" t="s">
        <v>40</v>
      </c>
      <c r="D2888">
        <v>4.8922429999999997</v>
      </c>
      <c r="E2888">
        <v>0.56202919999999901</v>
      </c>
      <c r="F2888" t="s">
        <v>48</v>
      </c>
      <c r="G2888">
        <v>-157.25</v>
      </c>
      <c r="H2888">
        <v>0.39831640000000001</v>
      </c>
      <c r="I2888">
        <v>243.2962</v>
      </c>
      <c r="J2888">
        <v>-243.4417</v>
      </c>
      <c r="K2888">
        <v>1.1149340000000001</v>
      </c>
      <c r="L2888">
        <v>213.8802</v>
      </c>
      <c r="M2888">
        <v>0.99691110000000005</v>
      </c>
      <c r="N2888">
        <v>0</v>
      </c>
      <c r="O2888">
        <v>7.7208979999999997E-2</v>
      </c>
      <c r="P2888">
        <v>0.91118809999999995</v>
      </c>
      <c r="Q2888">
        <v>0.1522231</v>
      </c>
      <c r="R2888">
        <v>0.38283729999999999</v>
      </c>
      <c r="S2888">
        <v>2.8886569999999998</v>
      </c>
      <c r="T2888">
        <v>-2.388299E-2</v>
      </c>
      <c r="U2888">
        <v>0.98173520000000003</v>
      </c>
      <c r="V2888">
        <v>-0.31323040000000002</v>
      </c>
      <c r="W2888">
        <v>0.1620895</v>
      </c>
      <c r="X2888">
        <v>0.93574239999999997</v>
      </c>
      <c r="Y2888">
        <v>-0.2477068</v>
      </c>
      <c r="Z2888">
        <v>3.7747619999999998E-4</v>
      </c>
      <c r="AA2888">
        <v>0.96883490000000005</v>
      </c>
      <c r="AB2888">
        <v>40</v>
      </c>
      <c r="AC2888">
        <v>86.191699999999997</v>
      </c>
      <c r="AD2888">
        <v>-0.71661759999999997</v>
      </c>
      <c r="AE2888">
        <v>29.416</v>
      </c>
      <c r="AF2888">
        <v>-22.671307097067</v>
      </c>
      <c r="AG2888">
        <v>-0.71661759999999997</v>
      </c>
      <c r="AH2888">
        <v>88.200312092478995</v>
      </c>
      <c r="AI2888">
        <v>90.450856037872299</v>
      </c>
      <c r="AJ2888">
        <v>104.415427340432</v>
      </c>
      <c r="AK2888">
        <v>91.0702847227615</v>
      </c>
      <c r="AL2888">
        <v>80.671801474506395</v>
      </c>
      <c r="AM2888">
        <v>108.507454039263</v>
      </c>
      <c r="AN2888">
        <v>1.00000006432608</v>
      </c>
    </row>
    <row r="2889" spans="1:40" x14ac:dyDescent="0.25">
      <c r="A2889" t="str">
        <f>"20190312164323078"</f>
        <v>20190312164323078</v>
      </c>
      <c r="B2889" t="str">
        <f>"1552380203067435"</f>
        <v>1552380203067435</v>
      </c>
      <c r="C2889" t="s">
        <v>40</v>
      </c>
      <c r="D2889">
        <v>4.9087589999999999</v>
      </c>
      <c r="E2889">
        <v>0.56800719999999905</v>
      </c>
      <c r="F2889" t="s">
        <v>48</v>
      </c>
      <c r="G2889">
        <v>-157.25</v>
      </c>
      <c r="H2889">
        <v>1.2192379999999901</v>
      </c>
      <c r="I2889">
        <v>235.00229999999999</v>
      </c>
      <c r="J2889">
        <v>-243.0719</v>
      </c>
      <c r="K2889">
        <v>1.1149070000000001</v>
      </c>
      <c r="L2889">
        <v>213.91210000000001</v>
      </c>
      <c r="M2889">
        <v>0.9965832</v>
      </c>
      <c r="N2889">
        <v>0</v>
      </c>
      <c r="O2889">
        <v>8.1334370000000003E-2</v>
      </c>
      <c r="P2889">
        <v>0.91675079999999998</v>
      </c>
      <c r="Q2889">
        <v>0.15301020000000001</v>
      </c>
      <c r="R2889">
        <v>0.36899320000000002</v>
      </c>
      <c r="S2889">
        <v>2.9845120000000001</v>
      </c>
      <c r="T2889">
        <v>3.6135910000000002E-3</v>
      </c>
      <c r="U2889">
        <v>0.73138429999999999</v>
      </c>
      <c r="V2889">
        <v>-0.29510249999999999</v>
      </c>
      <c r="W2889">
        <v>0.16317400000000001</v>
      </c>
      <c r="X2889">
        <v>0.94142910000000002</v>
      </c>
      <c r="Y2889">
        <v>-0.15822320000000001</v>
      </c>
      <c r="Z2889" s="1">
        <v>2.344386E-6</v>
      </c>
      <c r="AA2889">
        <v>0.98740340000000004</v>
      </c>
      <c r="AB2889">
        <v>40</v>
      </c>
      <c r="AC2889">
        <v>85.821899999999999</v>
      </c>
      <c r="AD2889">
        <v>0.10433099999999899</v>
      </c>
      <c r="AE2889">
        <v>21.0901999999999</v>
      </c>
      <c r="AF2889">
        <v>-14.0392999272557</v>
      </c>
      <c r="AG2889">
        <v>0.10433099999999899</v>
      </c>
      <c r="AH2889">
        <v>87.252915958911899</v>
      </c>
      <c r="AI2889">
        <v>89.932359709234007</v>
      </c>
      <c r="AJ2889">
        <v>99.140744614811496</v>
      </c>
      <c r="AK2889">
        <v>88.375246368753906</v>
      </c>
      <c r="AL2889">
        <v>80.608825140442406</v>
      </c>
      <c r="AM2889">
        <v>107.40423956414</v>
      </c>
      <c r="AN2889">
        <v>0.99999999505452997</v>
      </c>
    </row>
    <row r="2890" spans="1:40" x14ac:dyDescent="0.25">
      <c r="A2890" t="str">
        <f>"20190312164323104"</f>
        <v>20190312164323104</v>
      </c>
      <c r="B2890" t="str">
        <f>"1552380203097692"</f>
        <v>1552380203097692</v>
      </c>
      <c r="C2890" t="s">
        <v>40</v>
      </c>
      <c r="D2890">
        <v>4.8458030000000001</v>
      </c>
      <c r="E2890">
        <v>0.56965350000000003</v>
      </c>
      <c r="F2890" t="s">
        <v>48</v>
      </c>
      <c r="G2890">
        <v>-157.25</v>
      </c>
      <c r="H2890">
        <v>0.9684393</v>
      </c>
      <c r="I2890">
        <v>232.26220000000001</v>
      </c>
      <c r="J2890">
        <v>-242.61359999999999</v>
      </c>
      <c r="K2890">
        <v>1.114857</v>
      </c>
      <c r="L2890">
        <v>213.9539</v>
      </c>
      <c r="M2890">
        <v>0.99616099999999996</v>
      </c>
      <c r="N2890">
        <v>0</v>
      </c>
      <c r="O2890">
        <v>8.635052E-2</v>
      </c>
      <c r="P2890">
        <v>0.92149840000000005</v>
      </c>
      <c r="Q2890">
        <v>0.15251219999999999</v>
      </c>
      <c r="R2890">
        <v>0.35718460000000002</v>
      </c>
      <c r="S2890">
        <v>3.0139309999999999</v>
      </c>
      <c r="T2890">
        <v>-5.1417349999999997E-3</v>
      </c>
      <c r="U2890">
        <v>0.64442440000000001</v>
      </c>
      <c r="V2890">
        <v>-0.2781497</v>
      </c>
      <c r="W2890">
        <v>0.16297639999999999</v>
      </c>
      <c r="X2890">
        <v>0.94661050000000002</v>
      </c>
      <c r="Y2890">
        <v>-0.12385739999999899</v>
      </c>
      <c r="Z2890" s="1">
        <v>-4.0745519999999999E-5</v>
      </c>
      <c r="AA2890">
        <v>0.99229999999999996</v>
      </c>
      <c r="AB2890">
        <v>40</v>
      </c>
      <c r="AC2890">
        <v>85.363599999999906</v>
      </c>
      <c r="AD2890">
        <v>-0.14641769999999901</v>
      </c>
      <c r="AE2890">
        <v>18.308299999999999</v>
      </c>
      <c r="AF2890">
        <v>-10.8679166943112</v>
      </c>
      <c r="AG2890">
        <v>-0.14641769999999901</v>
      </c>
      <c r="AH2890">
        <v>86.625536445500003</v>
      </c>
      <c r="AI2890">
        <v>90.096090094818706</v>
      </c>
      <c r="AJ2890">
        <v>97.150885294479707</v>
      </c>
      <c r="AK2890">
        <v>87.304734212343902</v>
      </c>
      <c r="AL2890">
        <v>80.620300451311195</v>
      </c>
      <c r="AM2890">
        <v>106.374768008122</v>
      </c>
      <c r="AN2890">
        <v>1.00000000063865</v>
      </c>
    </row>
    <row r="2891" spans="1:40" x14ac:dyDescent="0.25">
      <c r="A2891" t="str">
        <f>"20190312164323125"</f>
        <v>20190312164323125</v>
      </c>
      <c r="B2891" t="str">
        <f>"1552380203117212"</f>
        <v>1552380203117212</v>
      </c>
      <c r="C2891" t="s">
        <v>40</v>
      </c>
      <c r="D2891">
        <v>4.9458219999999997</v>
      </c>
      <c r="E2891">
        <v>0.56920709999999997</v>
      </c>
      <c r="F2891" t="s">
        <v>48</v>
      </c>
      <c r="G2891">
        <v>-157.25</v>
      </c>
      <c r="H2891">
        <v>0.36637350000000002</v>
      </c>
      <c r="I2891">
        <v>230.79329999999999</v>
      </c>
      <c r="J2891">
        <v>-242.22909999999999</v>
      </c>
      <c r="K2891">
        <v>1.114771</v>
      </c>
      <c r="L2891">
        <v>213.9906</v>
      </c>
      <c r="M2891">
        <v>0.9957992</v>
      </c>
      <c r="N2891">
        <v>0</v>
      </c>
      <c r="O2891">
        <v>9.0428239999999993E-2</v>
      </c>
      <c r="P2891">
        <v>0.92643750000000002</v>
      </c>
      <c r="Q2891">
        <v>0.15098919999999999</v>
      </c>
      <c r="R2891">
        <v>0.34484160000000003</v>
      </c>
      <c r="S2891">
        <v>3.0283660000000001</v>
      </c>
      <c r="T2891">
        <v>-2.6551249999999998E-2</v>
      </c>
      <c r="U2891">
        <v>0.59739690000000001</v>
      </c>
      <c r="V2891">
        <v>-0.26147599999999999</v>
      </c>
      <c r="W2891">
        <v>0.1617615</v>
      </c>
      <c r="X2891">
        <v>0.95155849999999997</v>
      </c>
      <c r="Y2891">
        <v>-0.104016</v>
      </c>
      <c r="Z2891">
        <v>-3.3117699999999999E-4</v>
      </c>
      <c r="AA2891">
        <v>0.9945756</v>
      </c>
      <c r="AB2891">
        <v>40</v>
      </c>
      <c r="AC2891">
        <v>84.979099999999903</v>
      </c>
      <c r="AD2891">
        <v>-0.74839749999999905</v>
      </c>
      <c r="AE2891">
        <v>16.802699999999898</v>
      </c>
      <c r="AF2891">
        <v>-9.0478645698742497</v>
      </c>
      <c r="AG2891">
        <v>-0.74839749999999905</v>
      </c>
      <c r="AH2891">
        <v>86.144031938363597</v>
      </c>
      <c r="AI2891">
        <v>90.495035764179505</v>
      </c>
      <c r="AJ2891">
        <v>95.995896288296294</v>
      </c>
      <c r="AK2891">
        <v>86.621118618328794</v>
      </c>
      <c r="AL2891">
        <v>80.690845496905098</v>
      </c>
      <c r="AM2891">
        <v>105.364909956856</v>
      </c>
      <c r="AN2891">
        <v>1.0000000301902401</v>
      </c>
    </row>
    <row r="2892" spans="1:40" x14ac:dyDescent="0.25">
      <c r="A2892" t="str">
        <f>"20190312164323145"</f>
        <v>20190312164323145</v>
      </c>
      <c r="B2892" t="str">
        <f>"1552380203137707"</f>
        <v>1552380203137707</v>
      </c>
      <c r="C2892" t="s">
        <v>40</v>
      </c>
      <c r="D2892">
        <v>4.8760709999999996</v>
      </c>
      <c r="E2892">
        <v>0.56845100000000004</v>
      </c>
      <c r="F2892" t="s">
        <v>45</v>
      </c>
      <c r="G2892">
        <v>-179.94120000000001</v>
      </c>
      <c r="H2892">
        <v>6.6549780000000003E-2</v>
      </c>
      <c r="I2892">
        <v>225.55940000000001</v>
      </c>
      <c r="J2892">
        <v>-241.8614</v>
      </c>
      <c r="K2892">
        <v>1.1146780000000001</v>
      </c>
      <c r="L2892">
        <v>214.02719999999999</v>
      </c>
      <c r="M2892">
        <v>0.99544820000000001</v>
      </c>
      <c r="N2892">
        <v>0</v>
      </c>
      <c r="O2892">
        <v>9.4214629999999994E-2</v>
      </c>
      <c r="P2892">
        <v>0.93059570000000003</v>
      </c>
      <c r="Q2892">
        <v>0.1507424</v>
      </c>
      <c r="R2892">
        <v>0.33356930000000001</v>
      </c>
      <c r="S2892">
        <v>3.0366209999999998</v>
      </c>
      <c r="T2892">
        <v>-5.110228E-2</v>
      </c>
      <c r="U2892">
        <v>0.56399540000000004</v>
      </c>
      <c r="V2892">
        <v>-0.2461933</v>
      </c>
      <c r="W2892">
        <v>0.16179730000000001</v>
      </c>
      <c r="X2892">
        <v>0.95562049999999998</v>
      </c>
      <c r="Y2892">
        <v>-8.9156490000000005E-2</v>
      </c>
      <c r="Z2892">
        <v>-8.2318979999999897E-4</v>
      </c>
      <c r="AA2892">
        <v>0.99601729999999999</v>
      </c>
      <c r="AB2892">
        <v>40</v>
      </c>
      <c r="AC2892">
        <v>61.920200000000001</v>
      </c>
      <c r="AD2892">
        <v>-1.0481282199999999</v>
      </c>
      <c r="AE2892">
        <v>11.5322</v>
      </c>
      <c r="AF2892">
        <v>-5.6449387872630199</v>
      </c>
      <c r="AG2892">
        <v>-1.0481282199999999</v>
      </c>
      <c r="AH2892">
        <v>62.713963658443603</v>
      </c>
      <c r="AI2892">
        <v>90.953631222574202</v>
      </c>
      <c r="AJ2892">
        <v>95.143382681953696</v>
      </c>
      <c r="AK2892">
        <v>62.976226819571302</v>
      </c>
      <c r="AL2892">
        <v>80.6887668653833</v>
      </c>
      <c r="AM2892">
        <v>104.44676973619799</v>
      </c>
      <c r="AN2892">
        <v>1.0000000236362101</v>
      </c>
    </row>
    <row r="2893" spans="1:40" x14ac:dyDescent="0.25">
      <c r="A2893" t="str">
        <f>"20190312164323164"</f>
        <v>20190312164323164</v>
      </c>
      <c r="B2893" t="str">
        <f>"1552380203157227"</f>
        <v>1552380203157227</v>
      </c>
      <c r="C2893" t="s">
        <v>40</v>
      </c>
      <c r="D2893">
        <v>4.7382860000000004</v>
      </c>
      <c r="E2893">
        <v>0.5670364</v>
      </c>
      <c r="F2893" t="s">
        <v>45</v>
      </c>
      <c r="G2893">
        <v>-193.75190000000001</v>
      </c>
      <c r="H2893" s="1">
        <v>1.8390000000000001E-6</v>
      </c>
      <c r="I2893">
        <v>222.5102</v>
      </c>
      <c r="J2893">
        <v>-241.54089999999999</v>
      </c>
      <c r="K2893">
        <v>1.1145830000000001</v>
      </c>
      <c r="L2893">
        <v>214.06010000000001</v>
      </c>
      <c r="M2893">
        <v>0.99514159999999996</v>
      </c>
      <c r="N2893">
        <v>0</v>
      </c>
      <c r="O2893">
        <v>9.740058E-2</v>
      </c>
      <c r="P2893">
        <v>0.93389949999999999</v>
      </c>
      <c r="Q2893">
        <v>0.15256140000000001</v>
      </c>
      <c r="R2893">
        <v>0.32335249999999999</v>
      </c>
      <c r="S2893">
        <v>3.0428310000000001</v>
      </c>
      <c r="T2893">
        <v>-7.0500969999999996E-2</v>
      </c>
      <c r="U2893">
        <v>0.53652949999999999</v>
      </c>
      <c r="V2893">
        <v>-0.23261599999999999</v>
      </c>
      <c r="W2893">
        <v>0.1638617</v>
      </c>
      <c r="X2893">
        <v>0.95866530000000005</v>
      </c>
      <c r="Y2893">
        <v>-7.6895660000000005E-2</v>
      </c>
      <c r="Z2893">
        <v>-1.348087E-3</v>
      </c>
      <c r="AA2893">
        <v>0.99703819999999999</v>
      </c>
      <c r="AB2893">
        <v>40</v>
      </c>
      <c r="AC2893">
        <v>47.788999999999902</v>
      </c>
      <c r="AD2893">
        <v>-1.114581161</v>
      </c>
      <c r="AE2893">
        <v>8.4500999999999902</v>
      </c>
      <c r="AF2893">
        <v>-3.7527776089438798</v>
      </c>
      <c r="AG2893">
        <v>-1.114581161</v>
      </c>
      <c r="AH2893">
        <v>48.359350216142602</v>
      </c>
      <c r="AI2893">
        <v>91.316357040997701</v>
      </c>
      <c r="AJ2893">
        <v>94.437368428979795</v>
      </c>
      <c r="AK2893">
        <v>48.517547179079202</v>
      </c>
      <c r="AL2893">
        <v>80.568885386816703</v>
      </c>
      <c r="AM2893">
        <v>103.63897780494</v>
      </c>
      <c r="AN2893">
        <v>1.0000000088034899</v>
      </c>
    </row>
    <row r="2894" spans="1:40" x14ac:dyDescent="0.25">
      <c r="A2894" t="str">
        <f>"20190312164323186"</f>
        <v>20190312164323186</v>
      </c>
      <c r="B2894" t="str">
        <f>"1552380203177723"</f>
        <v>1552380203177723</v>
      </c>
      <c r="C2894" t="s">
        <v>40</v>
      </c>
      <c r="D2894">
        <v>4.9096359999999999</v>
      </c>
      <c r="E2894">
        <v>0.56466539999999998</v>
      </c>
      <c r="F2894" t="s">
        <v>45</v>
      </c>
      <c r="G2894">
        <v>-203.4991</v>
      </c>
      <c r="H2894">
        <v>8.0000119999999994E-2</v>
      </c>
      <c r="I2894">
        <v>220.5326</v>
      </c>
      <c r="J2894">
        <v>-241.14949999999999</v>
      </c>
      <c r="K2894">
        <v>1.1144289999999999</v>
      </c>
      <c r="L2894">
        <v>214.10149999999999</v>
      </c>
      <c r="M2894">
        <v>0.99477400000000005</v>
      </c>
      <c r="N2894">
        <v>0</v>
      </c>
      <c r="O2894">
        <v>0.1010867</v>
      </c>
      <c r="P2894">
        <v>0.93685569999999896</v>
      </c>
      <c r="Q2894">
        <v>0.1534961</v>
      </c>
      <c r="R2894">
        <v>0.31422949999999999</v>
      </c>
      <c r="S2894">
        <v>3.0464020000000001</v>
      </c>
      <c r="T2894">
        <v>-8.2849740000000005E-2</v>
      </c>
      <c r="U2894">
        <v>0.51832579999999995</v>
      </c>
      <c r="V2894">
        <v>-0.21962660000000001</v>
      </c>
      <c r="W2894">
        <v>0.16505400000000001</v>
      </c>
      <c r="X2894">
        <v>0.96152029999999999</v>
      </c>
      <c r="Y2894">
        <v>-6.7220929999999998E-2</v>
      </c>
      <c r="Z2894">
        <v>-1.8126329999999999E-3</v>
      </c>
      <c r="AA2894">
        <v>0.99773650000000003</v>
      </c>
      <c r="AB2894">
        <v>40</v>
      </c>
      <c r="AC2894">
        <v>37.650399999999898</v>
      </c>
      <c r="AD2894">
        <v>-1.0344288800000001</v>
      </c>
      <c r="AE2894">
        <v>6.4311000000000096</v>
      </c>
      <c r="AF2894">
        <v>-2.58990399618042</v>
      </c>
      <c r="AG2894">
        <v>-1.0344288800000001</v>
      </c>
      <c r="AH2894">
        <v>38.079736483115198</v>
      </c>
      <c r="AI2894">
        <v>91.552461677158405</v>
      </c>
      <c r="AJ2894">
        <v>93.890846168561694</v>
      </c>
      <c r="AK2894">
        <v>38.181723067990397</v>
      </c>
      <c r="AL2894">
        <v>80.499628326184506</v>
      </c>
      <c r="AM2894">
        <v>102.86653685335401</v>
      </c>
      <c r="AN2894">
        <v>0.99999997682782404</v>
      </c>
    </row>
    <row r="2895" spans="1:40" x14ac:dyDescent="0.25">
      <c r="A2895" t="str">
        <f>"20190312164323210"</f>
        <v>20190312164323210</v>
      </c>
      <c r="B2895" t="str">
        <f>"1552380203207979"</f>
        <v>1552380203207979</v>
      </c>
      <c r="C2895" t="s">
        <v>40</v>
      </c>
      <c r="D2895">
        <v>4.970377</v>
      </c>
      <c r="E2895">
        <v>0.56199569999999999</v>
      </c>
      <c r="F2895" t="s">
        <v>45</v>
      </c>
      <c r="G2895">
        <v>-206.1662</v>
      </c>
      <c r="H2895">
        <v>8.0000269999999998E-2</v>
      </c>
      <c r="I2895">
        <v>219.9631</v>
      </c>
      <c r="J2895">
        <v>-240.71879999999999</v>
      </c>
      <c r="K2895">
        <v>1.114217</v>
      </c>
      <c r="L2895">
        <v>214.14869999999999</v>
      </c>
      <c r="M2895">
        <v>0.99438349999999998</v>
      </c>
      <c r="N2895">
        <v>0</v>
      </c>
      <c r="O2895">
        <v>0.1048613</v>
      </c>
      <c r="P2895">
        <v>0.93998789999999999</v>
      </c>
      <c r="Q2895">
        <v>0.15393419999999999</v>
      </c>
      <c r="R2895">
        <v>0.30451129999999998</v>
      </c>
      <c r="S2895">
        <v>3.045776</v>
      </c>
      <c r="T2895">
        <v>-9.0061189999999999E-2</v>
      </c>
      <c r="U2895">
        <v>0.51033019999999996</v>
      </c>
      <c r="V2895">
        <v>-0.2058943</v>
      </c>
      <c r="W2895">
        <v>0.16577220000000001</v>
      </c>
      <c r="X2895">
        <v>0.96443100000000004</v>
      </c>
      <c r="Y2895">
        <v>-6.0926830000000001E-2</v>
      </c>
      <c r="Z2895">
        <v>-2.173566E-3</v>
      </c>
      <c r="AA2895">
        <v>0.99813989999999997</v>
      </c>
      <c r="AB2895">
        <v>40</v>
      </c>
      <c r="AC2895">
        <v>34.552599999999899</v>
      </c>
      <c r="AD2895">
        <v>-1.03421673</v>
      </c>
      <c r="AE2895">
        <v>5.8144</v>
      </c>
      <c r="AF2895">
        <v>-2.1568556320295298</v>
      </c>
      <c r="AG2895">
        <v>-1.03421673</v>
      </c>
      <c r="AH2895">
        <v>34.941393386566197</v>
      </c>
      <c r="AI2895">
        <v>91.692161644389998</v>
      </c>
      <c r="AJ2895">
        <v>93.532261091437704</v>
      </c>
      <c r="AK2895">
        <v>35.023172361406701</v>
      </c>
      <c r="AL2895">
        <v>80.457904122649694</v>
      </c>
      <c r="AM2895">
        <v>102.051042613178</v>
      </c>
      <c r="AN2895">
        <v>1.00000001941316</v>
      </c>
    </row>
    <row r="2896" spans="1:40" x14ac:dyDescent="0.25">
      <c r="A2896" t="str">
        <f>"20190312164323233"</f>
        <v>20190312164323233</v>
      </c>
      <c r="B2896" t="str">
        <f>"1552380203227500"</f>
        <v>1552380203227500</v>
      </c>
      <c r="C2896" t="s">
        <v>40</v>
      </c>
      <c r="D2896">
        <v>6.1311530000000003</v>
      </c>
      <c r="E2896">
        <v>0.5601488</v>
      </c>
      <c r="F2896" t="s">
        <v>45</v>
      </c>
      <c r="G2896">
        <v>-207.5728</v>
      </c>
      <c r="H2896">
        <v>4.0717499999999997E-2</v>
      </c>
      <c r="I2896">
        <v>219.6163</v>
      </c>
      <c r="J2896">
        <v>-240.34</v>
      </c>
      <c r="K2896">
        <v>1.113998</v>
      </c>
      <c r="L2896">
        <v>214.19120000000001</v>
      </c>
      <c r="M2896">
        <v>0.99405659999999896</v>
      </c>
      <c r="N2896">
        <v>0</v>
      </c>
      <c r="O2896">
        <v>0.1079156</v>
      </c>
      <c r="P2896">
        <v>0.94318369999999996</v>
      </c>
      <c r="Q2896">
        <v>0.1543503</v>
      </c>
      <c r="R2896">
        <v>0.2942459</v>
      </c>
      <c r="S2896">
        <v>3.0449679999999999</v>
      </c>
      <c r="T2896">
        <v>-9.8617430000000006E-2</v>
      </c>
      <c r="U2896">
        <v>0.50228879999999998</v>
      </c>
      <c r="V2896">
        <v>-0.19228980000000001</v>
      </c>
      <c r="W2896">
        <v>0.16645160000000001</v>
      </c>
      <c r="X2896">
        <v>0.9671187</v>
      </c>
      <c r="Y2896">
        <v>-5.5345819999999997E-2</v>
      </c>
      <c r="Z2896">
        <v>-2.5683500000000001E-3</v>
      </c>
      <c r="AA2896">
        <v>0.99846389999999996</v>
      </c>
      <c r="AB2896">
        <v>40</v>
      </c>
      <c r="AC2896">
        <v>32.767200000000003</v>
      </c>
      <c r="AD2896">
        <v>-1.0732805000000001</v>
      </c>
      <c r="AE2896">
        <v>5.42509999999998</v>
      </c>
      <c r="AF2896">
        <v>-1.8550183118320001</v>
      </c>
      <c r="AG2896">
        <v>-1.0732805000000001</v>
      </c>
      <c r="AH2896">
        <v>33.126722665144797</v>
      </c>
      <c r="AI2896">
        <v>91.852789713895305</v>
      </c>
      <c r="AJ2896">
        <v>93.205081173001801</v>
      </c>
      <c r="AK2896">
        <v>33.1959753359098</v>
      </c>
      <c r="AL2896">
        <v>80.4184291474986</v>
      </c>
      <c r="AM2896">
        <v>101.245322831347</v>
      </c>
      <c r="AN2896">
        <v>1.00000004110814</v>
      </c>
    </row>
    <row r="2897" spans="1:40" x14ac:dyDescent="0.25">
      <c r="A2897" t="str">
        <f>"20190312164323254"</f>
        <v>20190312164323254</v>
      </c>
      <c r="B2897" t="str">
        <f>"1552380203247020"</f>
        <v>1552380203247020</v>
      </c>
      <c r="C2897" t="s">
        <v>40</v>
      </c>
      <c r="D2897">
        <v>5.0374569999999999</v>
      </c>
      <c r="E2897">
        <v>0.5335915</v>
      </c>
      <c r="F2897" t="s">
        <v>45</v>
      </c>
      <c r="G2897">
        <v>-206.2825</v>
      </c>
      <c r="H2897">
        <v>7.4779690000000001E-3</v>
      </c>
      <c r="I2897">
        <v>219.6163</v>
      </c>
      <c r="J2897">
        <v>-239.9408</v>
      </c>
      <c r="K2897">
        <v>1.1137429999999999</v>
      </c>
      <c r="L2897">
        <v>214.2371</v>
      </c>
      <c r="M2897">
        <v>0.99373610000000001</v>
      </c>
      <c r="N2897">
        <v>0</v>
      </c>
      <c r="O2897">
        <v>0.1108295</v>
      </c>
      <c r="P2897">
        <v>0.94570359999999998</v>
      </c>
      <c r="Q2897">
        <v>0.15547359999999999</v>
      </c>
      <c r="R2897">
        <v>0.28543410000000002</v>
      </c>
      <c r="S2897">
        <v>3.0455779999999999</v>
      </c>
      <c r="T2897">
        <v>-9.8949910000000002E-2</v>
      </c>
      <c r="U2897">
        <v>0.48513790000000001</v>
      </c>
      <c r="V2897">
        <v>-0.1803149</v>
      </c>
      <c r="W2897">
        <v>0.1678192</v>
      </c>
      <c r="X2897">
        <v>0.96918689999999996</v>
      </c>
      <c r="Y2897">
        <v>-4.6911710000000002E-2</v>
      </c>
      <c r="Z2897">
        <v>-2.8072570000000001E-3</v>
      </c>
      <c r="AA2897">
        <v>0.99889510000000004</v>
      </c>
      <c r="AB2897">
        <v>40</v>
      </c>
      <c r="AC2897">
        <v>33.658299999999997</v>
      </c>
      <c r="AD2897">
        <v>-1.106265031</v>
      </c>
      <c r="AE2897">
        <v>5.3791999999999902</v>
      </c>
      <c r="AF2897">
        <v>-1.6136388037457201</v>
      </c>
      <c r="AG2897">
        <v>-1.106265031</v>
      </c>
      <c r="AH2897">
        <v>34.011311922497498</v>
      </c>
      <c r="AI2897">
        <v>91.860876073449305</v>
      </c>
      <c r="AJ2897">
        <v>92.716314400310907</v>
      </c>
      <c r="AK2897">
        <v>34.067535737079503</v>
      </c>
      <c r="AL2897">
        <v>80.338953098736496</v>
      </c>
      <c r="AM2897">
        <v>100.539244190264</v>
      </c>
      <c r="AN2897">
        <v>0.99999999709112997</v>
      </c>
    </row>
    <row r="2898" spans="1:40" x14ac:dyDescent="0.25">
      <c r="A2898" t="str">
        <f>"20190312164323276"</f>
        <v>20190312164323276</v>
      </c>
      <c r="B2898" t="str">
        <f>"1552380203267515"</f>
        <v>1552380203267515</v>
      </c>
      <c r="C2898" t="s">
        <v>40</v>
      </c>
      <c r="D2898">
        <v>4.9249179999999999</v>
      </c>
      <c r="E2898">
        <v>0.52931660000000003</v>
      </c>
      <c r="F2898" t="s">
        <v>46</v>
      </c>
      <c r="G2898">
        <v>-218.74809999999999</v>
      </c>
      <c r="H2898" s="1">
        <v>2.9281470000000002E-6</v>
      </c>
      <c r="I2898">
        <v>218.9709</v>
      </c>
      <c r="J2898">
        <v>-239.5788</v>
      </c>
      <c r="K2898">
        <v>1.113491</v>
      </c>
      <c r="L2898">
        <v>214.27940000000001</v>
      </c>
      <c r="M2898">
        <v>0.99347220000000003</v>
      </c>
      <c r="N2898">
        <v>0</v>
      </c>
      <c r="O2898">
        <v>0.11317240000000001</v>
      </c>
      <c r="P2898">
        <v>0.94858390000000004</v>
      </c>
      <c r="Q2898">
        <v>0.156471</v>
      </c>
      <c r="R2898">
        <v>0.27514650000000002</v>
      </c>
      <c r="S2898">
        <v>2.99614</v>
      </c>
      <c r="T2898">
        <v>-0.15745590000000001</v>
      </c>
      <c r="U2898">
        <v>0.66925049999999997</v>
      </c>
      <c r="V2898">
        <v>-0.1673771</v>
      </c>
      <c r="W2898">
        <v>0.16905490000000001</v>
      </c>
      <c r="X2898">
        <v>0.9712906</v>
      </c>
      <c r="Y2898">
        <v>-0.10614469999999999</v>
      </c>
      <c r="Z2898">
        <v>-3.090846E-3</v>
      </c>
      <c r="AA2898">
        <v>0.9943459</v>
      </c>
      <c r="AB2898">
        <v>40</v>
      </c>
      <c r="AC2898">
        <v>20.8307</v>
      </c>
      <c r="AD2898">
        <v>-1.113488071853</v>
      </c>
      <c r="AE2898">
        <v>4.6914999999999898</v>
      </c>
      <c r="AF2898">
        <v>-2.2974030646763</v>
      </c>
      <c r="AG2898">
        <v>-1.113488071853</v>
      </c>
      <c r="AH2898">
        <v>21.170274939202098</v>
      </c>
      <c r="AI2898">
        <v>92.993257148934404</v>
      </c>
      <c r="AJ2898">
        <v>96.193514017816</v>
      </c>
      <c r="AK2898">
        <v>21.323659571685901</v>
      </c>
      <c r="AL2898">
        <v>80.267126903300706</v>
      </c>
      <c r="AM2898">
        <v>99.777434695219</v>
      </c>
      <c r="AN2898">
        <v>1.00000004123338</v>
      </c>
    </row>
    <row r="2899" spans="1:40" x14ac:dyDescent="0.25">
      <c r="A2899" t="str">
        <f>"20190312164323305"</f>
        <v>20190312164323305</v>
      </c>
      <c r="B2899" t="str">
        <f>"1552380203297771"</f>
        <v>1552380203297771</v>
      </c>
      <c r="C2899" t="s">
        <v>40</v>
      </c>
      <c r="D2899">
        <v>5.6868420000000004</v>
      </c>
      <c r="E2899">
        <v>0.53257600000000005</v>
      </c>
      <c r="F2899" t="s">
        <v>46</v>
      </c>
      <c r="G2899">
        <v>-218.28829999999999</v>
      </c>
      <c r="H2899" s="1">
        <v>2.6794039999999998E-6</v>
      </c>
      <c r="I2899">
        <v>219.06460000000001</v>
      </c>
      <c r="J2899">
        <v>-239.09549999999999</v>
      </c>
      <c r="K2899">
        <v>1.113108</v>
      </c>
      <c r="L2899">
        <v>214.33699999999999</v>
      </c>
      <c r="M2899">
        <v>0.99316369999999998</v>
      </c>
      <c r="N2899">
        <v>0</v>
      </c>
      <c r="O2899">
        <v>0.1158513</v>
      </c>
      <c r="P2899">
        <v>0.95172380000000001</v>
      </c>
      <c r="Q2899">
        <v>0.1565714</v>
      </c>
      <c r="R2899">
        <v>0.26402179999999997</v>
      </c>
      <c r="S2899">
        <v>2.9933010000000002</v>
      </c>
      <c r="T2899">
        <v>-0.1565492</v>
      </c>
      <c r="U2899">
        <v>0.67276000000000002</v>
      </c>
      <c r="V2899">
        <v>-0.1531816</v>
      </c>
      <c r="W2899">
        <v>0.16942989999999999</v>
      </c>
      <c r="X2899">
        <v>0.97356500000000001</v>
      </c>
      <c r="Y2899">
        <v>-0.1047787</v>
      </c>
      <c r="Z2899">
        <v>-3.247411E-3</v>
      </c>
      <c r="AA2899">
        <v>0.99449030000000005</v>
      </c>
      <c r="AB2899">
        <v>40</v>
      </c>
      <c r="AC2899">
        <v>20.807199999999899</v>
      </c>
      <c r="AD2899">
        <v>-1.113105320596</v>
      </c>
      <c r="AE2899">
        <v>4.72759999999999</v>
      </c>
      <c r="AF2899">
        <v>-2.2787716694216198</v>
      </c>
      <c r="AG2899">
        <v>-1.113105320596</v>
      </c>
      <c r="AH2899">
        <v>21.157245687515299</v>
      </c>
      <c r="AI2899">
        <v>92.994329381110404</v>
      </c>
      <c r="AJ2899">
        <v>96.147426247324006</v>
      </c>
      <c r="AK2899">
        <v>21.308703594024198</v>
      </c>
      <c r="AL2899">
        <v>80.245325619381404</v>
      </c>
      <c r="AM2899">
        <v>98.941663718750206</v>
      </c>
      <c r="AN2899">
        <v>0.99999995140878295</v>
      </c>
    </row>
    <row r="2900" spans="1:40" x14ac:dyDescent="0.25">
      <c r="A2900" t="str">
        <f>"20190312164323329"</f>
        <v>20190312164323329</v>
      </c>
      <c r="B2900" t="str">
        <f>"1552380203317292"</f>
        <v>1552380203317292</v>
      </c>
      <c r="C2900" t="s">
        <v>40</v>
      </c>
      <c r="D2900">
        <v>5.8411309999999999</v>
      </c>
      <c r="E2900">
        <v>0.53495190000000004</v>
      </c>
      <c r="F2900" t="s">
        <v>46</v>
      </c>
      <c r="G2900">
        <v>-213.19980000000001</v>
      </c>
      <c r="H2900">
        <v>5.4699500000000003E-3</v>
      </c>
      <c r="I2900">
        <v>219.6163</v>
      </c>
      <c r="J2900">
        <v>-238.6516</v>
      </c>
      <c r="K2900">
        <v>1.112741</v>
      </c>
      <c r="L2900">
        <v>214.39070000000001</v>
      </c>
      <c r="M2900">
        <v>0.99292990000000003</v>
      </c>
      <c r="N2900">
        <v>0</v>
      </c>
      <c r="O2900">
        <v>0.11783920000000001</v>
      </c>
      <c r="P2900">
        <v>0.95533809999999997</v>
      </c>
      <c r="Q2900">
        <v>0.155645799999999</v>
      </c>
      <c r="R2900">
        <v>0.25120479999999901</v>
      </c>
      <c r="S2900">
        <v>3.0034329999999998</v>
      </c>
      <c r="T2900">
        <v>-0.12846589999999999</v>
      </c>
      <c r="U2900">
        <v>0.61230469999999904</v>
      </c>
      <c r="V2900">
        <v>-0.13791979999999901</v>
      </c>
      <c r="W2900">
        <v>0.1687546</v>
      </c>
      <c r="X2900">
        <v>0.97596110000000003</v>
      </c>
      <c r="Y2900">
        <v>-8.2921399999999895E-2</v>
      </c>
      <c r="Z2900">
        <v>-3.2093040000000001E-3</v>
      </c>
      <c r="AA2900">
        <v>0.99655090000000002</v>
      </c>
      <c r="AB2900">
        <v>40</v>
      </c>
      <c r="AC2900">
        <v>25.451799999999899</v>
      </c>
      <c r="AD2900">
        <v>-1.10727105</v>
      </c>
      <c r="AE2900">
        <v>5.2255999999999796</v>
      </c>
      <c r="AF2900">
        <v>-2.1856888173206701</v>
      </c>
      <c r="AG2900">
        <v>-1.10727105</v>
      </c>
      <c r="AH2900">
        <v>25.8433424381039</v>
      </c>
      <c r="AI2900">
        <v>92.444649195518807</v>
      </c>
      <c r="AJ2900">
        <v>94.8342598908702</v>
      </c>
      <c r="AK2900">
        <v>25.959230211187499</v>
      </c>
      <c r="AL2900">
        <v>80.284583502089703</v>
      </c>
      <c r="AM2900">
        <v>98.043599502777596</v>
      </c>
      <c r="AN2900">
        <v>1.0000000274831999</v>
      </c>
    </row>
    <row r="2901" spans="1:40" x14ac:dyDescent="0.25">
      <c r="A2901" t="str">
        <f>"20190312164323351"</f>
        <v>20190312164323351</v>
      </c>
      <c r="B2901" t="str">
        <f>"1552380203347548"</f>
        <v>1552380203347548</v>
      </c>
      <c r="C2901" t="s">
        <v>40</v>
      </c>
      <c r="D2901">
        <v>4.9236240000000002</v>
      </c>
      <c r="E2901">
        <v>0.53588029999999998</v>
      </c>
      <c r="F2901" t="s">
        <v>46</v>
      </c>
      <c r="G2901">
        <v>-211.34110000000001</v>
      </c>
      <c r="H2901" s="1">
        <v>-1.032637E-6</v>
      </c>
      <c r="I2901">
        <v>219.40969999999999</v>
      </c>
      <c r="J2901">
        <v>-238.262</v>
      </c>
      <c r="K2901">
        <v>1.1124430000000001</v>
      </c>
      <c r="L2901">
        <v>214.43819999999999</v>
      </c>
      <c r="M2901">
        <v>0.99275639999999998</v>
      </c>
      <c r="N2901">
        <v>0</v>
      </c>
      <c r="O2901">
        <v>0.1192937</v>
      </c>
      <c r="P2901">
        <v>0.95910609999999996</v>
      </c>
      <c r="Q2901">
        <v>0.15470410000000001</v>
      </c>
      <c r="R2901">
        <v>0.23702819999999999</v>
      </c>
      <c r="S2901">
        <v>3.0145870000000001</v>
      </c>
      <c r="T2901">
        <v>-0.12282709999999999</v>
      </c>
      <c r="U2901">
        <v>0.55401610000000001</v>
      </c>
      <c r="V2901">
        <v>-0.121834</v>
      </c>
      <c r="W2901">
        <v>0.16802420000000001</v>
      </c>
      <c r="X2901">
        <v>0.97822509999999996</v>
      </c>
      <c r="Y2901">
        <v>-6.216493E-2</v>
      </c>
      <c r="Z2901">
        <v>-3.5416430000000001E-3</v>
      </c>
      <c r="AA2901">
        <v>0.99805960000000005</v>
      </c>
      <c r="AB2901">
        <v>40</v>
      </c>
      <c r="AC2901">
        <v>26.9208999999999</v>
      </c>
      <c r="AD2901">
        <v>-1.112444032637</v>
      </c>
      <c r="AE2901">
        <v>4.97149999999999</v>
      </c>
      <c r="AF2901">
        <v>-1.72132798154448</v>
      </c>
      <c r="AG2901">
        <v>-1.112444032637</v>
      </c>
      <c r="AH2901">
        <v>27.276707142694999</v>
      </c>
      <c r="AI2901">
        <v>92.330806143592</v>
      </c>
      <c r="AJ2901">
        <v>93.610927785565593</v>
      </c>
      <c r="AK2901">
        <v>27.353596734143501</v>
      </c>
      <c r="AL2901">
        <v>80.3270383136975</v>
      </c>
      <c r="AM2901">
        <v>97.099401480359305</v>
      </c>
      <c r="AN2901">
        <v>1.0000000008058201</v>
      </c>
    </row>
    <row r="2902" spans="1:40" x14ac:dyDescent="0.25">
      <c r="A2902" t="str">
        <f>"20190312164323370"</f>
        <v>20190312164323370</v>
      </c>
      <c r="B2902" t="str">
        <f>"1552380203367068"</f>
        <v>1552380203367068</v>
      </c>
      <c r="C2902" t="s">
        <v>40</v>
      </c>
      <c r="D2902">
        <v>5.0638310000000004</v>
      </c>
      <c r="E2902">
        <v>0.53553269999999997</v>
      </c>
      <c r="F2902" t="s">
        <v>46</v>
      </c>
      <c r="G2902">
        <v>-210.18860000000001</v>
      </c>
      <c r="H2902" s="1">
        <v>-1.632865E-6</v>
      </c>
      <c r="I2902">
        <v>219.11070000000001</v>
      </c>
      <c r="J2902">
        <v>-237.9247</v>
      </c>
      <c r="K2902">
        <v>1.1121970000000001</v>
      </c>
      <c r="L2902">
        <v>214.47970000000001</v>
      </c>
      <c r="M2902">
        <v>0.99263259999999998</v>
      </c>
      <c r="N2902">
        <v>0</v>
      </c>
      <c r="O2902">
        <v>0.1203205</v>
      </c>
      <c r="P2902">
        <v>0.96274530000000003</v>
      </c>
      <c r="Q2902">
        <v>0.153462299999999</v>
      </c>
      <c r="R2902">
        <v>0.2226455</v>
      </c>
      <c r="S2902">
        <v>3.0228730000000001</v>
      </c>
      <c r="T2902">
        <v>-0.1197854</v>
      </c>
      <c r="U2902">
        <v>0.50312809999999997</v>
      </c>
      <c r="V2902">
        <v>-0.10599459999999999</v>
      </c>
      <c r="W2902">
        <v>0.16695470000000001</v>
      </c>
      <c r="X2902">
        <v>0.98025059999999997</v>
      </c>
      <c r="Y2902">
        <v>-4.4346330000000003E-2</v>
      </c>
      <c r="Z2902">
        <v>-3.8413090000000002E-3</v>
      </c>
      <c r="AA2902">
        <v>0.99900880000000003</v>
      </c>
      <c r="AB2902">
        <v>39</v>
      </c>
      <c r="AC2902">
        <v>27.7361</v>
      </c>
      <c r="AD2902">
        <v>-1.112198632865</v>
      </c>
      <c r="AE2902">
        <v>4.6310000000000002</v>
      </c>
      <c r="AF2902">
        <v>-1.25782067471751</v>
      </c>
      <c r="AG2902">
        <v>-1.112198632865</v>
      </c>
      <c r="AH2902">
        <v>28.0479431134215</v>
      </c>
      <c r="AI2902">
        <v>92.268509939745002</v>
      </c>
      <c r="AJ2902">
        <v>92.567730614336497</v>
      </c>
      <c r="AK2902">
        <v>28.098153169602099</v>
      </c>
      <c r="AL2902">
        <v>80.389194001659305</v>
      </c>
      <c r="AM2902">
        <v>96.171420843829196</v>
      </c>
      <c r="AN2902">
        <v>0.99999998294080406</v>
      </c>
    </row>
    <row r="2903" spans="1:40" x14ac:dyDescent="0.25">
      <c r="A2903" t="str">
        <f>"20190312164323395"</f>
        <v>20190312164323395</v>
      </c>
      <c r="B2903" t="str">
        <f>"1552380203387563"</f>
        <v>1552380203387563</v>
      </c>
      <c r="C2903" t="s">
        <v>40</v>
      </c>
      <c r="D2903">
        <v>5.2872830000000004</v>
      </c>
      <c r="E2903">
        <v>0.53478740000000002</v>
      </c>
      <c r="F2903" t="s">
        <v>46</v>
      </c>
      <c r="G2903">
        <v>-210.9109</v>
      </c>
      <c r="H2903" s="1">
        <v>-1.2266179999999999E-6</v>
      </c>
      <c r="I2903">
        <v>218.60990000000001</v>
      </c>
      <c r="J2903">
        <v>-237.50030000000001</v>
      </c>
      <c r="K2903">
        <v>1.1118749999999999</v>
      </c>
      <c r="L2903">
        <v>214.53210000000001</v>
      </c>
      <c r="M2903">
        <v>0.99251259999999997</v>
      </c>
      <c r="N2903">
        <v>0</v>
      </c>
      <c r="O2903">
        <v>0.121307399999999</v>
      </c>
      <c r="P2903">
        <v>0.96638020000000002</v>
      </c>
      <c r="Q2903">
        <v>0.1520474</v>
      </c>
      <c r="R2903">
        <v>0.2073422</v>
      </c>
      <c r="S2903">
        <v>3.0288849999999998</v>
      </c>
      <c r="T2903">
        <v>-0.1247036</v>
      </c>
      <c r="U2903">
        <v>0.46308899999999997</v>
      </c>
      <c r="V2903">
        <v>-8.9251339999999998E-2</v>
      </c>
      <c r="W2903">
        <v>0.1657072</v>
      </c>
      <c r="X2903">
        <v>0.982128</v>
      </c>
      <c r="Y2903">
        <v>-3.0166950000000001E-2</v>
      </c>
      <c r="Z2903">
        <v>-4.3262359999999998E-3</v>
      </c>
      <c r="AA2903">
        <v>0.99953550000000002</v>
      </c>
      <c r="AB2903">
        <v>39</v>
      </c>
      <c r="AC2903">
        <v>26.589400000000001</v>
      </c>
      <c r="AD2903">
        <v>-1.111876226618</v>
      </c>
      <c r="AE2903">
        <v>4.0777999999999901</v>
      </c>
      <c r="AF2903">
        <v>-0.820458722106991</v>
      </c>
      <c r="AG2903">
        <v>-1.111876226618</v>
      </c>
      <c r="AH2903">
        <v>26.841856811071199</v>
      </c>
      <c r="AI2903">
        <v>92.370913727660493</v>
      </c>
      <c r="AJ2903">
        <v>91.750780148771</v>
      </c>
      <c r="AK2903">
        <v>26.8774012568933</v>
      </c>
      <c r="AL2903">
        <v>80.461680806462994</v>
      </c>
      <c r="AM2903">
        <v>95.192518147083106</v>
      </c>
      <c r="AN2903">
        <v>1.0000000431038101</v>
      </c>
    </row>
    <row r="2904" spans="1:40" x14ac:dyDescent="0.25">
      <c r="A2904" t="str">
        <f>"20190312164323416"</f>
        <v>20190312164323416</v>
      </c>
      <c r="B2904" t="str">
        <f>"1552380203408061"</f>
        <v>1552380203408061</v>
      </c>
      <c r="C2904" t="s">
        <v>40</v>
      </c>
      <c r="D2904">
        <v>4.9937269999999998</v>
      </c>
      <c r="E2904">
        <v>0.53394350000000002</v>
      </c>
      <c r="F2904" t="s">
        <v>46</v>
      </c>
      <c r="G2904">
        <v>-211.65190000000001</v>
      </c>
      <c r="H2904" s="1">
        <v>-8.1169199999999999E-7</v>
      </c>
      <c r="I2904">
        <v>218.1387</v>
      </c>
      <c r="J2904">
        <v>-237.11439999999999</v>
      </c>
      <c r="K2904">
        <v>1.1115809999999999</v>
      </c>
      <c r="L2904">
        <v>214.58</v>
      </c>
      <c r="M2904">
        <v>0.99243630000000005</v>
      </c>
      <c r="N2904">
        <v>0</v>
      </c>
      <c r="O2904">
        <v>0.121931399999999</v>
      </c>
      <c r="P2904">
        <v>0.96983090000000005</v>
      </c>
      <c r="Q2904">
        <v>0.150918</v>
      </c>
      <c r="R2904">
        <v>0.1914477</v>
      </c>
      <c r="S2904">
        <v>3.0340729999999998</v>
      </c>
      <c r="T2904">
        <v>-0.13051160000000001</v>
      </c>
      <c r="U2904">
        <v>0.42333979999999999</v>
      </c>
      <c r="V2904">
        <v>-7.2314519999999993E-2</v>
      </c>
      <c r="W2904">
        <v>0.1647121</v>
      </c>
      <c r="X2904">
        <v>0.98368719999999998</v>
      </c>
      <c r="Y2904">
        <v>-1.6479609999999999E-2</v>
      </c>
      <c r="Z2904">
        <v>-4.8444539999999998E-3</v>
      </c>
      <c r="AA2904">
        <v>0.99985250000000003</v>
      </c>
      <c r="AB2904">
        <v>39</v>
      </c>
      <c r="AC2904">
        <v>25.462499999999899</v>
      </c>
      <c r="AD2904">
        <v>-1.111581811692</v>
      </c>
      <c r="AE2904">
        <v>3.55869999999998</v>
      </c>
      <c r="AF2904">
        <v>-0.42635115115400202</v>
      </c>
      <c r="AG2904">
        <v>-1.111581811692</v>
      </c>
      <c r="AH2904">
        <v>25.6584715125876</v>
      </c>
      <c r="AI2904">
        <v>92.480286986248402</v>
      </c>
      <c r="AJ2904">
        <v>90.951961369750194</v>
      </c>
      <c r="AK2904">
        <v>25.6860769638036</v>
      </c>
      <c r="AL2904">
        <v>80.519489685628898</v>
      </c>
      <c r="AM2904">
        <v>94.204463610043703</v>
      </c>
      <c r="AN2904">
        <v>0.99999998656653999</v>
      </c>
    </row>
    <row r="2905" spans="1:40" x14ac:dyDescent="0.25">
      <c r="A2905" t="str">
        <f>"20190312164323434"</f>
        <v>20190312164323434</v>
      </c>
      <c r="B2905" t="str">
        <f>"1552380203427580"</f>
        <v>1552380203427580</v>
      </c>
      <c r="C2905" t="s">
        <v>40</v>
      </c>
      <c r="D2905">
        <v>4.977608</v>
      </c>
      <c r="E2905">
        <v>0.53291369999999905</v>
      </c>
      <c r="F2905" t="s">
        <v>46</v>
      </c>
      <c r="G2905">
        <v>-211.9528</v>
      </c>
      <c r="H2905" s="1">
        <v>-6.3436459999999898E-7</v>
      </c>
      <c r="I2905">
        <v>217.74469999999999</v>
      </c>
      <c r="J2905">
        <v>-236.80549999999999</v>
      </c>
      <c r="K2905">
        <v>1.1113390000000001</v>
      </c>
      <c r="L2905">
        <v>214.6183</v>
      </c>
      <c r="M2905">
        <v>0.99239560000000004</v>
      </c>
      <c r="N2905">
        <v>0</v>
      </c>
      <c r="O2905">
        <v>0.1222621</v>
      </c>
      <c r="P2905">
        <v>0.97309880000000004</v>
      </c>
      <c r="Q2905">
        <v>0.1493312</v>
      </c>
      <c r="R2905">
        <v>0.1754396</v>
      </c>
      <c r="S2905">
        <v>3.0387569999999999</v>
      </c>
      <c r="T2905">
        <v>-0.13424520000000001</v>
      </c>
      <c r="U2905">
        <v>0.38220209999999999</v>
      </c>
      <c r="V2905">
        <v>-5.5603439999999997E-2</v>
      </c>
      <c r="W2905">
        <v>0.16322519999999999</v>
      </c>
      <c r="X2905">
        <v>0.98502069999999997</v>
      </c>
      <c r="Y2905">
        <v>-2.651502E-3</v>
      </c>
      <c r="Z2905">
        <v>-5.2993169999999996E-3</v>
      </c>
      <c r="AA2905">
        <v>0.99998240000000005</v>
      </c>
      <c r="AB2905">
        <v>39</v>
      </c>
      <c r="AC2905">
        <v>24.852699999999999</v>
      </c>
      <c r="AD2905">
        <v>-1.11133963436459</v>
      </c>
      <c r="AE2905">
        <v>3.1263999999999799</v>
      </c>
      <c r="AF2905">
        <v>-6.3962906267736E-2</v>
      </c>
      <c r="AG2905">
        <v>-1.11133963436459</v>
      </c>
      <c r="AH2905">
        <v>24.999282108557999</v>
      </c>
      <c r="AI2905">
        <v>92.545391759942802</v>
      </c>
      <c r="AJ2905">
        <v>90.146596072702394</v>
      </c>
      <c r="AK2905">
        <v>25.0240538878008</v>
      </c>
      <c r="AL2905">
        <v>80.605851721698798</v>
      </c>
      <c r="AM2905">
        <v>93.230861044807298</v>
      </c>
      <c r="AN2905">
        <v>0.99999999394168104</v>
      </c>
    </row>
    <row r="2906" spans="1:40" x14ac:dyDescent="0.25">
      <c r="A2906" t="str">
        <f>"20190312164323455"</f>
        <v>20190312164323455</v>
      </c>
      <c r="B2906" t="str">
        <f>"1552380203447100"</f>
        <v>1552380203447100</v>
      </c>
      <c r="C2906" t="s">
        <v>40</v>
      </c>
      <c r="D2906">
        <v>5.0160309999999999</v>
      </c>
      <c r="E2906">
        <v>0.51478449999999998</v>
      </c>
      <c r="F2906" t="s">
        <v>46</v>
      </c>
      <c r="G2906">
        <v>-212.60319999999999</v>
      </c>
      <c r="H2906" s="1">
        <v>-2.7043420000000001E-7</v>
      </c>
      <c r="I2906">
        <v>217.33690000000001</v>
      </c>
      <c r="J2906">
        <v>-236.43780000000001</v>
      </c>
      <c r="K2906">
        <v>1.111076</v>
      </c>
      <c r="L2906">
        <v>214.66390000000001</v>
      </c>
      <c r="M2906">
        <v>0.99236740000000001</v>
      </c>
      <c r="N2906">
        <v>0</v>
      </c>
      <c r="O2906">
        <v>0.122492</v>
      </c>
      <c r="P2906">
        <v>0.97586309999999998</v>
      </c>
      <c r="Q2906">
        <v>0.14824899999999999</v>
      </c>
      <c r="R2906">
        <v>0.16035439999999901</v>
      </c>
      <c r="S2906">
        <v>3.0427550000000001</v>
      </c>
      <c r="T2906">
        <v>-0.13971910000000001</v>
      </c>
      <c r="U2906">
        <v>0.34178160000000002</v>
      </c>
      <c r="V2906">
        <v>-3.9960170000000003E-2</v>
      </c>
      <c r="W2906">
        <v>0.16221749999999999</v>
      </c>
      <c r="X2906">
        <v>0.98594559999999998</v>
      </c>
      <c r="Y2906">
        <v>1.0817439999999999E-2</v>
      </c>
      <c r="Z2906">
        <v>-5.8319599999999997E-3</v>
      </c>
      <c r="AA2906">
        <v>0.99992449999999999</v>
      </c>
      <c r="AB2906">
        <v>39</v>
      </c>
      <c r="AC2906">
        <v>23.834599999999998</v>
      </c>
      <c r="AD2906">
        <v>-1.1110762704342001</v>
      </c>
      <c r="AE2906">
        <v>2.673</v>
      </c>
      <c r="AF2906">
        <v>0.266405092263445</v>
      </c>
      <c r="AG2906">
        <v>-1.1110762704342001</v>
      </c>
      <c r="AH2906">
        <v>23.9311733677409</v>
      </c>
      <c r="AI2906">
        <v>92.658054517680199</v>
      </c>
      <c r="AJ2906">
        <v>89.362201898052106</v>
      </c>
      <c r="AK2906">
        <v>23.958433189772101</v>
      </c>
      <c r="AL2906">
        <v>80.664368924153294</v>
      </c>
      <c r="AM2906">
        <v>92.320915748762403</v>
      </c>
      <c r="AN2906">
        <v>1.0000000293260101</v>
      </c>
    </row>
    <row r="2907" spans="1:40" x14ac:dyDescent="0.25">
      <c r="A2907" t="str">
        <f>"20190312164323478"</f>
        <v>20190312164323478</v>
      </c>
      <c r="B2907" t="str">
        <f>"1552380203467596"</f>
        <v>1552380203467596</v>
      </c>
      <c r="C2907" t="s">
        <v>40</v>
      </c>
      <c r="D2907">
        <v>4.9378209999999996</v>
      </c>
      <c r="E2907">
        <v>0.5131251</v>
      </c>
      <c r="F2907" t="s">
        <v>46</v>
      </c>
      <c r="G2907">
        <v>-214.4434</v>
      </c>
      <c r="H2907" s="1">
        <v>6.854985E-7</v>
      </c>
      <c r="I2907">
        <v>217.87049999999999</v>
      </c>
      <c r="J2907">
        <v>-236.05289999999999</v>
      </c>
      <c r="K2907">
        <v>1.1108290000000001</v>
      </c>
      <c r="L2907">
        <v>214.7116</v>
      </c>
      <c r="M2907">
        <v>0.99236049999999998</v>
      </c>
      <c r="N2907">
        <v>0</v>
      </c>
      <c r="O2907">
        <v>0.12254809999999999</v>
      </c>
      <c r="P2907">
        <v>0.97847070000000003</v>
      </c>
      <c r="Q2907">
        <v>0.14678450000000001</v>
      </c>
      <c r="R2907">
        <v>0.14508480000000001</v>
      </c>
      <c r="S2907">
        <v>3.0249480000000002</v>
      </c>
      <c r="T2907">
        <v>-0.1528089</v>
      </c>
      <c r="U2907">
        <v>0.4410095</v>
      </c>
      <c r="V2907">
        <v>-2.4329489999999999E-2</v>
      </c>
      <c r="W2907">
        <v>0.16080620000000001</v>
      </c>
      <c r="X2907">
        <v>0.98668610000000001</v>
      </c>
      <c r="Y2907">
        <v>-2.2023999999999998E-2</v>
      </c>
      <c r="Z2907">
        <v>-5.5766080000000003E-3</v>
      </c>
      <c r="AA2907">
        <v>0.99974189999999996</v>
      </c>
      <c r="AB2907">
        <v>39</v>
      </c>
      <c r="AC2907">
        <v>21.609500000000001</v>
      </c>
      <c r="AD2907">
        <v>-1.1108283145014901</v>
      </c>
      <c r="AE2907">
        <v>3.1588999999999801</v>
      </c>
      <c r="AF2907">
        <v>-0.485358018678131</v>
      </c>
      <c r="AG2907">
        <v>-1.1108283145014901</v>
      </c>
      <c r="AH2907">
        <v>21.777401869814799</v>
      </c>
      <c r="AI2907">
        <v>92.919306054737703</v>
      </c>
      <c r="AJ2907">
        <v>91.276752990604393</v>
      </c>
      <c r="AK2907">
        <v>21.811115151454501</v>
      </c>
      <c r="AL2907">
        <v>80.746306046514803</v>
      </c>
      <c r="AM2907">
        <v>91.412500573549195</v>
      </c>
      <c r="AN2907">
        <v>1.00000000898765</v>
      </c>
    </row>
    <row r="2908" spans="1:40" x14ac:dyDescent="0.25">
      <c r="A2908" t="str">
        <f>"20190312164323504"</f>
        <v>20190312164323504</v>
      </c>
      <c r="B2908" t="str">
        <f>"1552380203497851"</f>
        <v>1552380203497851</v>
      </c>
      <c r="C2908" t="s">
        <v>40</v>
      </c>
      <c r="D2908">
        <v>5.0313949999999998</v>
      </c>
      <c r="E2908">
        <v>0.51188469999999997</v>
      </c>
      <c r="F2908" t="s">
        <v>46</v>
      </c>
      <c r="G2908">
        <v>-215.14449999999999</v>
      </c>
      <c r="H2908" s="1">
        <v>1.0730430000000001E-6</v>
      </c>
      <c r="I2908">
        <v>217.54</v>
      </c>
      <c r="J2908">
        <v>-235.60759999999999</v>
      </c>
      <c r="K2908">
        <v>1.110565</v>
      </c>
      <c r="L2908">
        <v>214.76660000000001</v>
      </c>
      <c r="M2908">
        <v>0.99238190000000004</v>
      </c>
      <c r="N2908">
        <v>0</v>
      </c>
      <c r="O2908">
        <v>0.1223759</v>
      </c>
      <c r="P2908">
        <v>0.98093529999999995</v>
      </c>
      <c r="Q2908">
        <v>0.1459242</v>
      </c>
      <c r="R2908">
        <v>0.12834409999999999</v>
      </c>
      <c r="S2908">
        <v>3.029388</v>
      </c>
      <c r="T2908">
        <v>-0.16094600000000001</v>
      </c>
      <c r="U2908">
        <v>0.40980529999999998</v>
      </c>
      <c r="V2908">
        <v>-7.4781709999999996E-3</v>
      </c>
      <c r="W2908">
        <v>0.15997600000000001</v>
      </c>
      <c r="X2908">
        <v>0.98709259999999999</v>
      </c>
      <c r="Y2908">
        <v>-1.191593E-2</v>
      </c>
      <c r="Z2908">
        <v>-6.1279380000000003E-3</v>
      </c>
      <c r="AA2908">
        <v>0.99991019999999997</v>
      </c>
      <c r="AB2908">
        <v>39</v>
      </c>
      <c r="AC2908">
        <v>20.463100000000001</v>
      </c>
      <c r="AD2908">
        <v>-1.110563926957</v>
      </c>
      <c r="AE2908">
        <v>2.7733999999999801</v>
      </c>
      <c r="AF2908">
        <v>-0.24739125703985601</v>
      </c>
      <c r="AG2908">
        <v>-1.110563926957</v>
      </c>
      <c r="AH2908">
        <v>20.589146721389199</v>
      </c>
      <c r="AI2908">
        <v>93.0872791750743</v>
      </c>
      <c r="AJ2908">
        <v>90.688410890509303</v>
      </c>
      <c r="AK2908">
        <v>20.6205605497234</v>
      </c>
      <c r="AL2908">
        <v>80.794497028231703</v>
      </c>
      <c r="AM2908">
        <v>90.434062052275294</v>
      </c>
      <c r="AN2908">
        <v>1.0000000222961301</v>
      </c>
    </row>
    <row r="2909" spans="1:40" x14ac:dyDescent="0.25">
      <c r="A2909" t="str">
        <f>"20190312164323528"</f>
        <v>20190312164323528</v>
      </c>
      <c r="B2909" t="str">
        <f>"1552380203517373"</f>
        <v>1552380203517373</v>
      </c>
      <c r="C2909" t="s">
        <v>40</v>
      </c>
      <c r="D2909">
        <v>5.1779149999999996</v>
      </c>
      <c r="E2909">
        <v>0.51016439999999996</v>
      </c>
      <c r="F2909" t="s">
        <v>46</v>
      </c>
      <c r="G2909">
        <v>-215.4511</v>
      </c>
      <c r="H2909" s="1">
        <v>1.2500479999999999E-6</v>
      </c>
      <c r="I2909">
        <v>217.2234</v>
      </c>
      <c r="J2909">
        <v>-235.1831</v>
      </c>
      <c r="K2909">
        <v>1.1103209999999999</v>
      </c>
      <c r="L2909">
        <v>214.81870000000001</v>
      </c>
      <c r="M2909">
        <v>0.99243179999999998</v>
      </c>
      <c r="N2909">
        <v>0</v>
      </c>
      <c r="O2909">
        <v>0.1219716</v>
      </c>
      <c r="P2909">
        <v>0.9832246</v>
      </c>
      <c r="Q2909">
        <v>0.1444539</v>
      </c>
      <c r="R2909">
        <v>0.11136649999999999</v>
      </c>
      <c r="S2909">
        <v>3.0347749999999998</v>
      </c>
      <c r="T2909">
        <v>-0.16720679999999999</v>
      </c>
      <c r="U2909">
        <v>0.3699036</v>
      </c>
      <c r="V2909">
        <v>9.3462679999999996E-3</v>
      </c>
      <c r="W2909">
        <v>0.15851289999999901</v>
      </c>
      <c r="X2909">
        <v>0.98731270000000004</v>
      </c>
      <c r="Y2909">
        <v>8.1634839999999997E-4</v>
      </c>
      <c r="Z2909">
        <v>-6.6886489999999996E-3</v>
      </c>
      <c r="AA2909">
        <v>0.99997729999999996</v>
      </c>
      <c r="AB2909">
        <v>39</v>
      </c>
      <c r="AC2909">
        <v>19.731999999999999</v>
      </c>
      <c r="AD2909">
        <v>-1.1103197499519999</v>
      </c>
      <c r="AE2909">
        <v>2.4046999999999898</v>
      </c>
      <c r="AF2909">
        <v>2.0181939924178001E-2</v>
      </c>
      <c r="AG2909">
        <v>-1.1103197499519999</v>
      </c>
      <c r="AH2909">
        <v>19.816151747570299</v>
      </c>
      <c r="AI2909">
        <v>93.206987626885606</v>
      </c>
      <c r="AJ2909">
        <v>89.941646612573194</v>
      </c>
      <c r="AK2909">
        <v>19.8472438222683</v>
      </c>
      <c r="AL2909">
        <v>80.879410118900594</v>
      </c>
      <c r="AM2909">
        <v>89.457633112959996</v>
      </c>
      <c r="AN2909">
        <v>1.0000000298866101</v>
      </c>
    </row>
    <row r="2910" spans="1:40" x14ac:dyDescent="0.25">
      <c r="A2910" t="str">
        <f>"20190312164323549"</f>
        <v>20190312164323549</v>
      </c>
      <c r="B2910" t="str">
        <f>"1552380203537867"</f>
        <v>1552380203537867</v>
      </c>
      <c r="C2910" t="s">
        <v>40</v>
      </c>
      <c r="D2910">
        <v>5.1181839999999896</v>
      </c>
      <c r="E2910">
        <v>0.50816989999999995</v>
      </c>
      <c r="F2910" t="s">
        <v>46</v>
      </c>
      <c r="G2910">
        <v>-216.0239</v>
      </c>
      <c r="H2910" s="1">
        <v>1.568206E-6</v>
      </c>
      <c r="I2910">
        <v>216.91849999999999</v>
      </c>
      <c r="J2910">
        <v>-234.79730000000001</v>
      </c>
      <c r="K2910">
        <v>1.1100939999999999</v>
      </c>
      <c r="L2910">
        <v>214.86580000000001</v>
      </c>
      <c r="M2910">
        <v>0.9924963</v>
      </c>
      <c r="N2910">
        <v>0</v>
      </c>
      <c r="O2910">
        <v>0.1214462</v>
      </c>
      <c r="P2910">
        <v>0.98501930000000004</v>
      </c>
      <c r="Q2910">
        <v>0.1429898</v>
      </c>
      <c r="R2910">
        <v>9.63894E-2</v>
      </c>
      <c r="S2910">
        <v>3.0393370000000002</v>
      </c>
      <c r="T2910">
        <v>-0.17613670000000001</v>
      </c>
      <c r="U2910">
        <v>0.33311459999999998</v>
      </c>
      <c r="V2910">
        <v>2.398952E-2</v>
      </c>
      <c r="W2910">
        <v>0.15703529999999999</v>
      </c>
      <c r="X2910">
        <v>0.9873016</v>
      </c>
      <c r="Y2910">
        <v>1.237298E-2</v>
      </c>
      <c r="Z2910">
        <v>-7.3444929999999997E-3</v>
      </c>
      <c r="AA2910">
        <v>0.99989649999999997</v>
      </c>
      <c r="AB2910">
        <v>39</v>
      </c>
      <c r="AC2910">
        <v>18.773399999999999</v>
      </c>
      <c r="AD2910">
        <v>-1.110092431794</v>
      </c>
      <c r="AE2910">
        <v>2.0526999999999802</v>
      </c>
      <c r="AF2910">
        <v>0.24184980293540001</v>
      </c>
      <c r="AG2910">
        <v>-1.110092431794</v>
      </c>
      <c r="AH2910">
        <v>18.8187071297308</v>
      </c>
      <c r="AI2910">
        <v>93.375617543780805</v>
      </c>
      <c r="AJ2910">
        <v>89.263700206425995</v>
      </c>
      <c r="AK2910">
        <v>18.852971505014398</v>
      </c>
      <c r="AL2910">
        <v>80.965144040640297</v>
      </c>
      <c r="AM2910">
        <v>88.608097216813107</v>
      </c>
      <c r="AN2910">
        <v>1.0000000159392399</v>
      </c>
    </row>
    <row r="2911" spans="1:40" x14ac:dyDescent="0.25">
      <c r="A2911" t="str">
        <f>"20190312164323569"</f>
        <v>20190312164323569</v>
      </c>
      <c r="B2911" t="str">
        <f>"1552380203557388"</f>
        <v>1552380203557388</v>
      </c>
      <c r="C2911" t="s">
        <v>40</v>
      </c>
      <c r="D2911">
        <v>5.1294839999999997</v>
      </c>
      <c r="E2911">
        <v>0.50586160000000002</v>
      </c>
      <c r="F2911" t="s">
        <v>46</v>
      </c>
      <c r="G2911">
        <v>-216.3586</v>
      </c>
      <c r="H2911" s="1">
        <v>1.7554130000000001E-6</v>
      </c>
      <c r="I2911">
        <v>216.71080000000001</v>
      </c>
      <c r="J2911">
        <v>-234.47219999999999</v>
      </c>
      <c r="K2911">
        <v>1.109904</v>
      </c>
      <c r="L2911">
        <v>214.9051</v>
      </c>
      <c r="M2911">
        <v>0.99256679999999997</v>
      </c>
      <c r="N2911">
        <v>0</v>
      </c>
      <c r="O2911">
        <v>0.1208698</v>
      </c>
      <c r="P2911">
        <v>0.98647799999999997</v>
      </c>
      <c r="Q2911">
        <v>0.14229749999999999</v>
      </c>
      <c r="R2911">
        <v>8.1319530000000001E-2</v>
      </c>
      <c r="S2911">
        <v>3.0424190000000002</v>
      </c>
      <c r="T2911">
        <v>-0.18316789999999999</v>
      </c>
      <c r="U2911">
        <v>0.30444339999999998</v>
      </c>
      <c r="V2911">
        <v>3.8620729999999999E-2</v>
      </c>
      <c r="W2911">
        <v>0.15631429999999999</v>
      </c>
      <c r="X2911">
        <v>0.98695200000000005</v>
      </c>
      <c r="Y2911">
        <v>2.1189340000000001E-2</v>
      </c>
      <c r="Z2911">
        <v>-7.8644509999999997E-3</v>
      </c>
      <c r="AA2911">
        <v>0.99974450000000004</v>
      </c>
      <c r="AB2911">
        <v>39</v>
      </c>
      <c r="AC2911">
        <v>18.113599999999899</v>
      </c>
      <c r="AD2911">
        <v>-1.1099022445869999</v>
      </c>
      <c r="AE2911">
        <v>1.8057000000000001</v>
      </c>
      <c r="AF2911">
        <v>0.39567839774357899</v>
      </c>
      <c r="AG2911">
        <v>-1.1099022445869999</v>
      </c>
      <c r="AH2911">
        <v>18.131640888620598</v>
      </c>
      <c r="AI2911">
        <v>93.502075907310697</v>
      </c>
      <c r="AJ2911">
        <v>88.749859175369494</v>
      </c>
      <c r="AK2911">
        <v>18.169888433914</v>
      </c>
      <c r="AL2911">
        <v>81.006970574940098</v>
      </c>
      <c r="AM2911">
        <v>87.759084122073801</v>
      </c>
      <c r="AN2911">
        <v>0.99999998573711102</v>
      </c>
    </row>
    <row r="2912" spans="1:40" x14ac:dyDescent="0.25">
      <c r="A2912" t="str">
        <f>"20190312164323588"</f>
        <v>20190312164323588</v>
      </c>
      <c r="B2912" t="str">
        <f>"1552380203577884"</f>
        <v>1552380203577884</v>
      </c>
      <c r="C2912" t="s">
        <v>40</v>
      </c>
      <c r="D2912">
        <v>5.2655529999999997</v>
      </c>
      <c r="E2912">
        <v>0.50608790000000003</v>
      </c>
      <c r="F2912" t="s">
        <v>46</v>
      </c>
      <c r="G2912">
        <v>-216.5172</v>
      </c>
      <c r="H2912" s="1">
        <v>1.846869E-6</v>
      </c>
      <c r="I2912">
        <v>216.54920000000001</v>
      </c>
      <c r="J2912">
        <v>-234.12119999999999</v>
      </c>
      <c r="K2912">
        <v>1.1096870000000001</v>
      </c>
      <c r="L2912">
        <v>214.94720000000001</v>
      </c>
      <c r="M2912">
        <v>0.99266270000000001</v>
      </c>
      <c r="N2912">
        <v>0</v>
      </c>
      <c r="O2912">
        <v>0.1200799</v>
      </c>
      <c r="P2912">
        <v>0.98788679999999995</v>
      </c>
      <c r="Q2912">
        <v>0.14200979999999999</v>
      </c>
      <c r="R2912">
        <v>6.255637E-2</v>
      </c>
      <c r="S2912">
        <v>3.0452880000000002</v>
      </c>
      <c r="T2912">
        <v>-0.18824679999999999</v>
      </c>
      <c r="U2912">
        <v>0.2788544</v>
      </c>
      <c r="V2912">
        <v>5.6710249999999997E-2</v>
      </c>
      <c r="W2912">
        <v>0.15597049999999901</v>
      </c>
      <c r="X2912">
        <v>0.98613240000000002</v>
      </c>
      <c r="Y2912">
        <v>2.878383E-2</v>
      </c>
      <c r="Z2912">
        <v>-8.2644499999999996E-3</v>
      </c>
      <c r="AA2912">
        <v>0.99955150000000004</v>
      </c>
      <c r="AB2912">
        <v>39</v>
      </c>
      <c r="AC2912">
        <v>17.6039999999999</v>
      </c>
      <c r="AD2912">
        <v>-1.1096851531309999</v>
      </c>
      <c r="AE2912">
        <v>1.6020000000000001</v>
      </c>
      <c r="AF2912">
        <v>0.52163797881788998</v>
      </c>
      <c r="AG2912">
        <v>-1.1096851531309999</v>
      </c>
      <c r="AH2912">
        <v>17.599624822515299</v>
      </c>
      <c r="AI2912">
        <v>93.606237299029601</v>
      </c>
      <c r="AJ2912">
        <v>88.302298620849299</v>
      </c>
      <c r="AK2912">
        <v>17.642287301065</v>
      </c>
      <c r="AL2912">
        <v>81.026913419386304</v>
      </c>
      <c r="AM2912">
        <v>86.708674055131297</v>
      </c>
      <c r="AN2912">
        <v>0.99999997982753597</v>
      </c>
    </row>
    <row r="2913" spans="1:40" x14ac:dyDescent="0.25">
      <c r="A2913" t="str">
        <f>"20190312164323613"</f>
        <v>20190312164323613</v>
      </c>
      <c r="B2913" t="str">
        <f>"1552380203607163"</f>
        <v>1552380203607163</v>
      </c>
      <c r="C2913" t="s">
        <v>40</v>
      </c>
      <c r="D2913">
        <v>5.1106280000000002</v>
      </c>
      <c r="E2913">
        <v>0.56368830000000003</v>
      </c>
      <c r="F2913" t="s">
        <v>41</v>
      </c>
      <c r="G2913">
        <v>-233.17</v>
      </c>
      <c r="H2913">
        <v>1.0498149999999999</v>
      </c>
      <c r="I2913">
        <v>215.0164</v>
      </c>
      <c r="J2913">
        <v>-233.70359999999999</v>
      </c>
      <c r="K2913">
        <v>1.109418</v>
      </c>
      <c r="L2913">
        <v>214.9966</v>
      </c>
      <c r="M2913">
        <v>0.9928072</v>
      </c>
      <c r="N2913">
        <v>0</v>
      </c>
      <c r="O2913">
        <v>0.1188797</v>
      </c>
      <c r="P2913">
        <v>0.98895420000000001</v>
      </c>
      <c r="Q2913">
        <v>0.14204049999999999</v>
      </c>
      <c r="R2913">
        <v>4.2355200000000003E-2</v>
      </c>
      <c r="S2913">
        <v>3.0503230000000001</v>
      </c>
      <c r="T2913">
        <v>-0.192081</v>
      </c>
      <c r="U2913">
        <v>0.2223358</v>
      </c>
      <c r="V2913">
        <v>7.5802880000000003E-2</v>
      </c>
      <c r="W2913">
        <v>0.15590870000000001</v>
      </c>
      <c r="X2913">
        <v>0.98485860000000003</v>
      </c>
      <c r="Y2913">
        <v>4.6072790000000002E-2</v>
      </c>
      <c r="Z2913">
        <v>-8.8953119999999903E-3</v>
      </c>
      <c r="AA2913">
        <v>0.99889850000000002</v>
      </c>
      <c r="AB2913">
        <v>39</v>
      </c>
      <c r="AC2913">
        <v>0.53360000000000696</v>
      </c>
      <c r="AD2913">
        <v>-5.9603000000000003E-2</v>
      </c>
      <c r="AE2913">
        <v>1.9800000000003599E-2</v>
      </c>
      <c r="AF2913">
        <v>4.3242251302090202E-2</v>
      </c>
      <c r="AG2913">
        <v>-5.9603000000000003E-2</v>
      </c>
      <c r="AH2913">
        <v>0.52562029075542704</v>
      </c>
      <c r="AI2913">
        <v>96.447852441316002</v>
      </c>
      <c r="AJ2913">
        <v>85.296925341580405</v>
      </c>
      <c r="AK2913">
        <v>0.53075333250059997</v>
      </c>
      <c r="AL2913">
        <v>81.030498611951302</v>
      </c>
      <c r="AM2913">
        <v>85.598719508740402</v>
      </c>
      <c r="AN2913">
        <v>1.0000000306729699</v>
      </c>
    </row>
    <row r="2914" spans="1:40" x14ac:dyDescent="0.25">
      <c r="A2914" t="str">
        <f>"20190312164323635"</f>
        <v>20190312164323635</v>
      </c>
      <c r="B2914" t="str">
        <f>"1552380203627623"</f>
        <v>1552380203627623</v>
      </c>
      <c r="C2914" t="s">
        <v>40</v>
      </c>
      <c r="D2914">
        <v>5.1531760000000002</v>
      </c>
      <c r="E2914">
        <v>0.56423319999999999</v>
      </c>
      <c r="F2914" t="s">
        <v>46</v>
      </c>
      <c r="G2914">
        <v>-210.41810000000001</v>
      </c>
      <c r="H2914" s="1">
        <v>-1.228725E-6</v>
      </c>
      <c r="I2914">
        <v>212.65889999999999</v>
      </c>
      <c r="J2914">
        <v>-233.31979999999999</v>
      </c>
      <c r="K2914">
        <v>1.109159</v>
      </c>
      <c r="L2914">
        <v>215.04140000000001</v>
      </c>
      <c r="M2914">
        <v>0.99297139999999995</v>
      </c>
      <c r="N2914">
        <v>0</v>
      </c>
      <c r="O2914">
        <v>0.11749950000000001</v>
      </c>
      <c r="P2914">
        <v>0.98943539999999996</v>
      </c>
      <c r="Q2914">
        <v>0.14285149999999999</v>
      </c>
      <c r="R2914">
        <v>2.4719850000000002E-2</v>
      </c>
      <c r="S2914">
        <v>3.0677189999999999</v>
      </c>
      <c r="T2914">
        <v>-0.14615880000000001</v>
      </c>
      <c r="U2914">
        <v>-0.30798340000000002</v>
      </c>
      <c r="V2914">
        <v>9.2103439999999995E-2</v>
      </c>
      <c r="W2914">
        <v>0.1566091</v>
      </c>
      <c r="X2914">
        <v>0.98335680000000003</v>
      </c>
      <c r="Y2914">
        <v>0.21574940000000001</v>
      </c>
      <c r="Z2914">
        <v>-1.0703900000000001E-2</v>
      </c>
      <c r="AA2914">
        <v>0.97639010000000004</v>
      </c>
      <c r="AB2914">
        <v>39</v>
      </c>
      <c r="AC2914">
        <v>22.901699999999899</v>
      </c>
      <c r="AD2914">
        <v>-1.109160228725</v>
      </c>
      <c r="AE2914">
        <v>-2.3825000000000198</v>
      </c>
      <c r="AF2914">
        <v>5.0454946394801103</v>
      </c>
      <c r="AG2914">
        <v>-1.109160228725</v>
      </c>
      <c r="AH2914">
        <v>22.411051246215798</v>
      </c>
      <c r="AI2914">
        <v>92.764274676246302</v>
      </c>
      <c r="AJ2914">
        <v>77.312296799990193</v>
      </c>
      <c r="AK2914">
        <v>22.998749325355</v>
      </c>
      <c r="AL2914">
        <v>80.989869514799906</v>
      </c>
      <c r="AM2914">
        <v>84.649157191307907</v>
      </c>
      <c r="AN2914">
        <v>1.0000000249844401</v>
      </c>
    </row>
    <row r="2915" spans="1:40" x14ac:dyDescent="0.25">
      <c r="A2915" t="str">
        <f>"20190312164323654"</f>
        <v>20190312164323654</v>
      </c>
      <c r="B2915" t="str">
        <f>"1552380203647143"</f>
        <v>1552380203647143</v>
      </c>
      <c r="C2915" t="s">
        <v>40</v>
      </c>
      <c r="D2915">
        <v>5.0216880000000002</v>
      </c>
      <c r="E2915">
        <v>0.56507559999999901</v>
      </c>
      <c r="F2915" t="s">
        <v>46</v>
      </c>
      <c r="G2915">
        <v>-212.90729999999999</v>
      </c>
      <c r="H2915" s="1">
        <v>9.7755310000000004E-8</v>
      </c>
      <c r="I2915">
        <v>212.6163</v>
      </c>
      <c r="J2915">
        <v>-232.96889999999999</v>
      </c>
      <c r="K2915">
        <v>1.108897</v>
      </c>
      <c r="L2915">
        <v>215.08160000000001</v>
      </c>
      <c r="M2915">
        <v>0.99315149999999996</v>
      </c>
      <c r="N2915">
        <v>0</v>
      </c>
      <c r="O2915">
        <v>0.1159673</v>
      </c>
      <c r="P2915">
        <v>0.98975769999999996</v>
      </c>
      <c r="Q2915">
        <v>0.142454</v>
      </c>
      <c r="R2915">
        <v>9.3165839999999993E-3</v>
      </c>
      <c r="S2915">
        <v>3.0651700000000002</v>
      </c>
      <c r="T2915">
        <v>-0.16655329999999999</v>
      </c>
      <c r="U2915">
        <v>-0.364151</v>
      </c>
      <c r="V2915">
        <v>0.1060176</v>
      </c>
      <c r="W2915">
        <v>0.15609239999999999</v>
      </c>
      <c r="X2915">
        <v>0.98203640000000003</v>
      </c>
      <c r="Y2915">
        <v>0.23183909999999999</v>
      </c>
      <c r="Z2915">
        <v>-1.2547610000000001E-2</v>
      </c>
      <c r="AA2915">
        <v>0.97267320000000002</v>
      </c>
      <c r="AB2915">
        <v>39</v>
      </c>
      <c r="AC2915">
        <v>20.061599999999999</v>
      </c>
      <c r="AD2915">
        <v>-1.10889690224469</v>
      </c>
      <c r="AE2915">
        <v>-2.4653000000000098</v>
      </c>
      <c r="AF2915">
        <v>4.7610575889443503</v>
      </c>
      <c r="AG2915">
        <v>-1.10889690224469</v>
      </c>
      <c r="AH2915">
        <v>19.581358056738601</v>
      </c>
      <c r="AI2915">
        <v>93.149640648736494</v>
      </c>
      <c r="AJ2915">
        <v>76.334150343198701</v>
      </c>
      <c r="AK2915">
        <v>20.1823414164773</v>
      </c>
      <c r="AL2915">
        <v>81.019842912466402</v>
      </c>
      <c r="AM2915">
        <v>83.838388858171797</v>
      </c>
      <c r="AN2915">
        <v>1.0000000298862299</v>
      </c>
    </row>
    <row r="2916" spans="1:40" x14ac:dyDescent="0.25">
      <c r="A2916" t="str">
        <f>"20190312164323678"</f>
        <v>20190312164323678</v>
      </c>
      <c r="B2916" t="str">
        <f>"1552380203667641"</f>
        <v>1552380203667641</v>
      </c>
      <c r="C2916" t="s">
        <v>40</v>
      </c>
      <c r="D2916">
        <v>5.1939289999999998</v>
      </c>
      <c r="E2916">
        <v>0.56340959999999995</v>
      </c>
      <c r="F2916" t="s">
        <v>46</v>
      </c>
      <c r="G2916">
        <v>-212.48500000000001</v>
      </c>
      <c r="H2916" s="1">
        <v>-1.123099E-7</v>
      </c>
      <c r="I2916">
        <v>212.28049999999999</v>
      </c>
      <c r="J2916">
        <v>-232.5728</v>
      </c>
      <c r="K2916">
        <v>1.108587</v>
      </c>
      <c r="L2916">
        <v>215.126</v>
      </c>
      <c r="M2916">
        <v>0.99338919999999997</v>
      </c>
      <c r="N2916">
        <v>0</v>
      </c>
      <c r="O2916">
        <v>0.113913</v>
      </c>
      <c r="P2916">
        <v>0.98991300000000004</v>
      </c>
      <c r="Q2916">
        <v>0.14157439999999999</v>
      </c>
      <c r="R2916">
        <v>-5.3959530000000002E-3</v>
      </c>
      <c r="S2916">
        <v>3.0588229999999998</v>
      </c>
      <c r="T2916">
        <v>-0.165589299999999</v>
      </c>
      <c r="U2916">
        <v>-0.41827389999999998</v>
      </c>
      <c r="V2916">
        <v>0.11873259999999999</v>
      </c>
      <c r="W2916">
        <v>0.1550665</v>
      </c>
      <c r="X2916">
        <v>0.98074309999999998</v>
      </c>
      <c r="Y2916">
        <v>0.24695439999999999</v>
      </c>
      <c r="Z2916">
        <v>-1.278489E-2</v>
      </c>
      <c r="AA2916">
        <v>0.96894279999999999</v>
      </c>
      <c r="AB2916">
        <v>39</v>
      </c>
      <c r="AC2916">
        <v>20.087799999999898</v>
      </c>
      <c r="AD2916">
        <v>-1.1085871123099</v>
      </c>
      <c r="AE2916">
        <v>-2.8454999999999799</v>
      </c>
      <c r="AF2916">
        <v>5.1002387120970099</v>
      </c>
      <c r="AG2916">
        <v>-1.1085871123099</v>
      </c>
      <c r="AH2916">
        <v>19.574401082050901</v>
      </c>
      <c r="AI2916">
        <v>93.136942271018299</v>
      </c>
      <c r="AJ2916">
        <v>75.395918203192807</v>
      </c>
      <c r="AK2916">
        <v>20.258296523324699</v>
      </c>
      <c r="AL2916">
        <v>81.079347296460895</v>
      </c>
      <c r="AM2916">
        <v>83.097141623797199</v>
      </c>
      <c r="AN2916">
        <v>1.0000000389613</v>
      </c>
    </row>
    <row r="2917" spans="1:40" x14ac:dyDescent="0.25">
      <c r="A2917" t="str">
        <f>"20190312164323703"</f>
        <v>20190312164323703</v>
      </c>
      <c r="B2917" t="str">
        <f>"1552380203697895"</f>
        <v>1552380203697895</v>
      </c>
      <c r="C2917" t="s">
        <v>40</v>
      </c>
      <c r="D2917">
        <v>5.6459010000000003</v>
      </c>
      <c r="E2917">
        <v>0.56114140000000001</v>
      </c>
      <c r="F2917" t="s">
        <v>46</v>
      </c>
      <c r="G2917">
        <v>-212.8073</v>
      </c>
      <c r="H2917" s="1">
        <v>6.1742940000000006E-8</v>
      </c>
      <c r="I2917">
        <v>212.22280000000001</v>
      </c>
      <c r="J2917">
        <v>-232.1397</v>
      </c>
      <c r="K2917">
        <v>1.1082259999999999</v>
      </c>
      <c r="L2917">
        <v>215.17330000000001</v>
      </c>
      <c r="M2917">
        <v>0.99369130000000006</v>
      </c>
      <c r="N2917">
        <v>0</v>
      </c>
      <c r="O2917">
        <v>0.1112457</v>
      </c>
      <c r="P2917">
        <v>0.98980330000000005</v>
      </c>
      <c r="Q2917">
        <v>0.14101920000000001</v>
      </c>
      <c r="R2917">
        <v>-2.0081180000000001E-2</v>
      </c>
      <c r="S2917">
        <v>3.052597</v>
      </c>
      <c r="T2917">
        <v>-0.17121140000000001</v>
      </c>
      <c r="U2917">
        <v>-0.44837949999999999</v>
      </c>
      <c r="V2917">
        <v>0.1308087</v>
      </c>
      <c r="W2917">
        <v>0.1543359</v>
      </c>
      <c r="X2917">
        <v>0.97932090000000005</v>
      </c>
      <c r="Y2917">
        <v>0.25393520000000003</v>
      </c>
      <c r="Z2917">
        <v>-1.3282739999999999E-2</v>
      </c>
      <c r="AA2917">
        <v>0.96713000000000005</v>
      </c>
      <c r="AB2917">
        <v>39</v>
      </c>
      <c r="AC2917">
        <v>19.3324</v>
      </c>
      <c r="AD2917">
        <v>-1.1082259382570501</v>
      </c>
      <c r="AE2917">
        <v>-2.9504999999999999</v>
      </c>
      <c r="AF2917">
        <v>5.0667748548992204</v>
      </c>
      <c r="AG2917">
        <v>-1.1082259382570501</v>
      </c>
      <c r="AH2917">
        <v>18.823665551463701</v>
      </c>
      <c r="AI2917">
        <v>93.253796884250306</v>
      </c>
      <c r="AJ2917">
        <v>74.934733415942702</v>
      </c>
      <c r="AK2917">
        <v>19.5251314196301</v>
      </c>
      <c r="AL2917">
        <v>81.121716930358602</v>
      </c>
      <c r="AM2917">
        <v>82.391987490776003</v>
      </c>
      <c r="AN2917">
        <v>0.99999995560065402</v>
      </c>
    </row>
    <row r="2918" spans="1:40" x14ac:dyDescent="0.25">
      <c r="A2918" t="str">
        <f>"20190312164323727"</f>
        <v>20190312164323727</v>
      </c>
      <c r="B2918" t="str">
        <f>"1552380203717416"</f>
        <v>1552380203717416</v>
      </c>
      <c r="C2918" t="s">
        <v>40</v>
      </c>
      <c r="D2918">
        <v>5.2223660000000001</v>
      </c>
      <c r="E2918">
        <v>0.55870280000000005</v>
      </c>
      <c r="F2918" t="s">
        <v>46</v>
      </c>
      <c r="G2918">
        <v>-210.77189999999999</v>
      </c>
      <c r="H2918" s="1">
        <v>-1.0045019999999999E-6</v>
      </c>
      <c r="I2918">
        <v>211.83619999999999</v>
      </c>
      <c r="J2918">
        <v>-231.7124</v>
      </c>
      <c r="K2918">
        <v>1.107869</v>
      </c>
      <c r="L2918">
        <v>215.2182</v>
      </c>
      <c r="M2918">
        <v>0.99402979999999996</v>
      </c>
      <c r="N2918">
        <v>0</v>
      </c>
      <c r="O2918">
        <v>0.1081776</v>
      </c>
      <c r="P2918">
        <v>0.98951449999999996</v>
      </c>
      <c r="Q2918">
        <v>0.14057929999999999</v>
      </c>
      <c r="R2918">
        <v>-3.3143230000000003E-2</v>
      </c>
      <c r="S2918">
        <v>3.0437319999999999</v>
      </c>
      <c r="T2918">
        <v>-0.15786120000000001</v>
      </c>
      <c r="U2918">
        <v>-0.47535709999999998</v>
      </c>
      <c r="V2918">
        <v>0.14086399999999999</v>
      </c>
      <c r="W2918">
        <v>0.153715299999999</v>
      </c>
      <c r="X2918">
        <v>0.97802299999999998</v>
      </c>
      <c r="Y2918">
        <v>0.25980789999999998</v>
      </c>
      <c r="Z2918">
        <v>-1.2269560000000001E-2</v>
      </c>
      <c r="AA2918">
        <v>0.96558239999999995</v>
      </c>
      <c r="AB2918">
        <v>39</v>
      </c>
      <c r="AC2918">
        <v>20.9405</v>
      </c>
      <c r="AD2918">
        <v>-1.107870004502</v>
      </c>
      <c r="AE2918">
        <v>-3.3820000000000001</v>
      </c>
      <c r="AF2918">
        <v>5.6123615775686</v>
      </c>
      <c r="AG2918">
        <v>-1.107870004502</v>
      </c>
      <c r="AH2918">
        <v>20.396056426825702</v>
      </c>
      <c r="AI2918">
        <v>92.997915860284706</v>
      </c>
      <c r="AJ2918">
        <v>74.614749225180404</v>
      </c>
      <c r="AK2918">
        <v>21.183132350776201</v>
      </c>
      <c r="AL2918">
        <v>81.157704745591801</v>
      </c>
      <c r="AM2918">
        <v>81.804090177228105</v>
      </c>
      <c r="AN2918">
        <v>1.0000000242395399</v>
      </c>
    </row>
    <row r="2919" spans="1:40" x14ac:dyDescent="0.25">
      <c r="A2919" t="str">
        <f>"20190312164323750"</f>
        <v>20190312164323750</v>
      </c>
      <c r="B2919" t="str">
        <f>"1552380203737396"</f>
        <v>1552380203737396</v>
      </c>
      <c r="C2919" t="s">
        <v>40</v>
      </c>
      <c r="D2919">
        <v>5.2042799999999998</v>
      </c>
      <c r="E2919">
        <v>0.55677500000000002</v>
      </c>
      <c r="F2919" t="s">
        <v>45</v>
      </c>
      <c r="G2919">
        <v>-209.66810000000001</v>
      </c>
      <c r="H2919" s="1">
        <v>6.7660930000000003E-6</v>
      </c>
      <c r="I2919">
        <v>211.62270000000001</v>
      </c>
      <c r="J2919">
        <v>-231.32679999999999</v>
      </c>
      <c r="K2919">
        <v>1.1075649999999999</v>
      </c>
      <c r="L2919">
        <v>215.25739999999999</v>
      </c>
      <c r="M2919">
        <v>0.99435790000000002</v>
      </c>
      <c r="N2919">
        <v>0</v>
      </c>
      <c r="O2919">
        <v>0.1051183</v>
      </c>
      <c r="P2919">
        <v>0.98917840000000001</v>
      </c>
      <c r="Q2919">
        <v>0.13995659999999999</v>
      </c>
      <c r="R2919">
        <v>-4.4029409999999998E-2</v>
      </c>
      <c r="S2919">
        <v>3.0368650000000001</v>
      </c>
      <c r="T2919">
        <v>-0.15262100000000001</v>
      </c>
      <c r="U2919">
        <v>-0.49533080000000002</v>
      </c>
      <c r="V2919">
        <v>0.14874609999999999</v>
      </c>
      <c r="W2919">
        <v>0.15293219999999999</v>
      </c>
      <c r="X2919">
        <v>0.97697820000000002</v>
      </c>
      <c r="Y2919">
        <v>0.26338990000000001</v>
      </c>
      <c r="Z2919">
        <v>-1.182033E-2</v>
      </c>
      <c r="AA2919">
        <v>0.96461710000000001</v>
      </c>
      <c r="AB2919">
        <v>39</v>
      </c>
      <c r="AC2919">
        <v>21.6586999999999</v>
      </c>
      <c r="AD2919">
        <v>-1.10755823390699</v>
      </c>
      <c r="AE2919">
        <v>-3.6346999999999801</v>
      </c>
      <c r="AF2919">
        <v>5.87656877145655</v>
      </c>
      <c r="AG2919">
        <v>-1.10755823390699</v>
      </c>
      <c r="AH2919">
        <v>21.1028961711744</v>
      </c>
      <c r="AI2919">
        <v>92.894405858632894</v>
      </c>
      <c r="AJ2919">
        <v>74.4389611659672</v>
      </c>
      <c r="AK2919">
        <v>21.9338316893908</v>
      </c>
      <c r="AL2919">
        <v>81.203110007102495</v>
      </c>
      <c r="AM2919">
        <v>81.343130455647994</v>
      </c>
      <c r="AN2919">
        <v>1.0000000316686399</v>
      </c>
    </row>
    <row r="2920" spans="1:40" x14ac:dyDescent="0.25">
      <c r="A2920" t="str">
        <f>"20190312164323770"</f>
        <v>20190312164323770</v>
      </c>
      <c r="B2920" t="str">
        <f>"1552380203757893"</f>
        <v>1552380203757893</v>
      </c>
      <c r="C2920" t="s">
        <v>40</v>
      </c>
      <c r="D2920">
        <v>5.0954350000000002</v>
      </c>
      <c r="E2920">
        <v>0.55457500000000004</v>
      </c>
      <c r="F2920" t="s">
        <v>46</v>
      </c>
      <c r="G2920">
        <v>-210.37100000000001</v>
      </c>
      <c r="H2920" s="1">
        <v>-1.212907E-6</v>
      </c>
      <c r="I2920">
        <v>211.72319999999999</v>
      </c>
      <c r="J2920">
        <v>-230.96719999999999</v>
      </c>
      <c r="K2920">
        <v>1.1072879999999901</v>
      </c>
      <c r="L2920">
        <v>215.2928</v>
      </c>
      <c r="M2920">
        <v>0.99468049999999997</v>
      </c>
      <c r="N2920">
        <v>0</v>
      </c>
      <c r="O2920">
        <v>0.10202029999999999</v>
      </c>
      <c r="P2920">
        <v>0.9888304</v>
      </c>
      <c r="Q2920">
        <v>0.13910919999999999</v>
      </c>
      <c r="R2920">
        <v>-5.3505539999999997E-2</v>
      </c>
      <c r="S2920">
        <v>3.0327299999999999</v>
      </c>
      <c r="T2920">
        <v>-0.1602874</v>
      </c>
      <c r="U2920">
        <v>-0.5114746</v>
      </c>
      <c r="V2920">
        <v>0.1551787</v>
      </c>
      <c r="W2920">
        <v>0.15193879999999901</v>
      </c>
      <c r="X2920">
        <v>0.97613229999999995</v>
      </c>
      <c r="Y2920">
        <v>0.26554430000000001</v>
      </c>
      <c r="Z2920">
        <v>-1.231895E-2</v>
      </c>
      <c r="AA2920">
        <v>0.96401999999999999</v>
      </c>
      <c r="AB2920">
        <v>39</v>
      </c>
      <c r="AC2920">
        <v>20.5962</v>
      </c>
      <c r="AD2920">
        <v>-1.10728921290699</v>
      </c>
      <c r="AE2920">
        <v>-3.5695999999999999</v>
      </c>
      <c r="AF2920">
        <v>5.6365979687099399</v>
      </c>
      <c r="AG2920">
        <v>-1.10728921290699</v>
      </c>
      <c r="AH2920">
        <v>20.068192894414199</v>
      </c>
      <c r="AI2920">
        <v>93.040738055827404</v>
      </c>
      <c r="AJ2920">
        <v>74.311422474024695</v>
      </c>
      <c r="AK2920">
        <v>20.874139314216102</v>
      </c>
      <c r="AL2920">
        <v>81.2607008124141</v>
      </c>
      <c r="AM2920">
        <v>80.967105107539098</v>
      </c>
      <c r="AN2920">
        <v>1.0000000474912001</v>
      </c>
    </row>
    <row r="2921" spans="1:40" x14ac:dyDescent="0.25">
      <c r="A2921" t="str">
        <f>"20190312164323792"</f>
        <v>20190312164323792</v>
      </c>
      <c r="B2921" t="str">
        <f>"1552380203787175"</f>
        <v>1552380203787175</v>
      </c>
      <c r="C2921" t="s">
        <v>40</v>
      </c>
      <c r="D2921">
        <v>5.1726570000000001</v>
      </c>
      <c r="E2921">
        <v>0.55296480000000003</v>
      </c>
      <c r="F2921" t="s">
        <v>46</v>
      </c>
      <c r="G2921">
        <v>-210.83680000000001</v>
      </c>
      <c r="H2921" s="1">
        <v>-9.6941789999999991E-7</v>
      </c>
      <c r="I2921">
        <v>211.8235</v>
      </c>
      <c r="J2921">
        <v>-230.60919999999999</v>
      </c>
      <c r="K2921">
        <v>1.1070340000000001</v>
      </c>
      <c r="L2921">
        <v>215.32660000000001</v>
      </c>
      <c r="M2921">
        <v>0.99501390000000001</v>
      </c>
      <c r="N2921">
        <v>0</v>
      </c>
      <c r="O2921">
        <v>9.8715839999999999E-2</v>
      </c>
      <c r="P2921">
        <v>0.98863210000000001</v>
      </c>
      <c r="Q2921">
        <v>0.13665679999999999</v>
      </c>
      <c r="R2921">
        <v>-6.2702069999999999E-2</v>
      </c>
      <c r="S2921">
        <v>3.0290680000000001</v>
      </c>
      <c r="T2921">
        <v>-0.1666164</v>
      </c>
      <c r="U2921">
        <v>-0.52203370000000004</v>
      </c>
      <c r="V2921">
        <v>0.16113350000000001</v>
      </c>
      <c r="W2921">
        <v>0.14934520000000001</v>
      </c>
      <c r="X2921">
        <v>0.97556750000000003</v>
      </c>
      <c r="Y2921">
        <v>0.26576250000000001</v>
      </c>
      <c r="Z2921">
        <v>-1.2641990000000001E-2</v>
      </c>
      <c r="AA2921">
        <v>0.96395560000000002</v>
      </c>
      <c r="AB2921">
        <v>39</v>
      </c>
      <c r="AC2921">
        <v>19.772399999999902</v>
      </c>
      <c r="AD2921">
        <v>-1.10703496941789</v>
      </c>
      <c r="AE2921">
        <v>-3.5031000000000101</v>
      </c>
      <c r="AF2921">
        <v>5.42155493658362</v>
      </c>
      <c r="AG2921">
        <v>-1.10703496941789</v>
      </c>
      <c r="AH2921">
        <v>19.2713862994372</v>
      </c>
      <c r="AI2921">
        <v>93.165112057888706</v>
      </c>
      <c r="AJ2921">
        <v>74.287291388635097</v>
      </c>
      <c r="AK2921">
        <v>20.0500651933116</v>
      </c>
      <c r="AL2921">
        <v>81.411017885426503</v>
      </c>
      <c r="AM2921">
        <v>80.621189285900101</v>
      </c>
      <c r="AN2921">
        <v>0.99999997032076904</v>
      </c>
    </row>
    <row r="2922" spans="1:40" x14ac:dyDescent="0.25">
      <c r="A2922" t="str">
        <f>"20190312164323814"</f>
        <v>20190312164323814</v>
      </c>
      <c r="B2922" t="str">
        <f>"1552380203807668"</f>
        <v>1552380203807668</v>
      </c>
      <c r="C2922" t="s">
        <v>40</v>
      </c>
      <c r="D2922">
        <v>5.1568259999999997</v>
      </c>
      <c r="E2922">
        <v>0.55097309999999999</v>
      </c>
      <c r="F2922" t="s">
        <v>46</v>
      </c>
      <c r="G2922">
        <v>-211.85489999999999</v>
      </c>
      <c r="H2922" s="1">
        <v>-4.355981E-7</v>
      </c>
      <c r="I2922">
        <v>212.0061</v>
      </c>
      <c r="J2922">
        <v>-230.2073</v>
      </c>
      <c r="K2922">
        <v>1.1067689999999999</v>
      </c>
      <c r="L2922">
        <v>215.363</v>
      </c>
      <c r="M2922">
        <v>0.99539650000000002</v>
      </c>
      <c r="N2922">
        <v>0</v>
      </c>
      <c r="O2922">
        <v>9.4779390000000005E-2</v>
      </c>
      <c r="P2922">
        <v>0.98832039999999999</v>
      </c>
      <c r="Q2922">
        <v>0.1345092</v>
      </c>
      <c r="R2922">
        <v>-7.162607E-2</v>
      </c>
      <c r="S2922">
        <v>3.0252080000000001</v>
      </c>
      <c r="T2922">
        <v>-0.17857310000000001</v>
      </c>
      <c r="U2922">
        <v>-0.53561400000000003</v>
      </c>
      <c r="V2922">
        <v>0.1661967</v>
      </c>
      <c r="W2922">
        <v>0.1470533</v>
      </c>
      <c r="X2922">
        <v>0.97506610000000005</v>
      </c>
      <c r="Y2922">
        <v>0.26627970000000001</v>
      </c>
      <c r="Z2922">
        <v>-1.3344440000000001E-2</v>
      </c>
      <c r="AA2922">
        <v>0.96380339999999998</v>
      </c>
      <c r="AB2922">
        <v>39</v>
      </c>
      <c r="AC2922">
        <v>18.352399999999999</v>
      </c>
      <c r="AD2922">
        <v>-1.1067694355980999</v>
      </c>
      <c r="AE2922">
        <v>-3.3568999999999898</v>
      </c>
      <c r="AF2922">
        <v>5.0635713537315503</v>
      </c>
      <c r="AG2922">
        <v>-1.1067694355980999</v>
      </c>
      <c r="AH2922">
        <v>17.888616578993599</v>
      </c>
      <c r="AI2922">
        <v>93.406858195113202</v>
      </c>
      <c r="AJ2922">
        <v>74.195246189627298</v>
      </c>
      <c r="AK2922">
        <v>18.6243737223067</v>
      </c>
      <c r="AL2922">
        <v>81.543800258248197</v>
      </c>
      <c r="AM2922">
        <v>80.327087042539702</v>
      </c>
      <c r="AN2922">
        <v>0.999999957750494</v>
      </c>
    </row>
    <row r="2923" spans="1:40" x14ac:dyDescent="0.25">
      <c r="A2923" t="str">
        <f>"20190312164323834"</f>
        <v>20190312164323834</v>
      </c>
      <c r="B2923" t="str">
        <f>"1552380203827188"</f>
        <v>1552380203827188</v>
      </c>
      <c r="C2923" t="s">
        <v>40</v>
      </c>
      <c r="D2923">
        <v>5.3092129999999997</v>
      </c>
      <c r="E2923">
        <v>0.54918310000000004</v>
      </c>
      <c r="F2923" t="s">
        <v>46</v>
      </c>
      <c r="G2923">
        <v>-212.03139999999999</v>
      </c>
      <c r="H2923" s="1">
        <v>-3.4472690000000002E-7</v>
      </c>
      <c r="I2923">
        <v>212.0754</v>
      </c>
      <c r="J2923">
        <v>-229.84979999999999</v>
      </c>
      <c r="K2923">
        <v>1.106557</v>
      </c>
      <c r="L2923">
        <v>215.3938</v>
      </c>
      <c r="M2923">
        <v>0.99573920000000005</v>
      </c>
      <c r="N2923">
        <v>0</v>
      </c>
      <c r="O2923">
        <v>9.1107629999999995E-2</v>
      </c>
      <c r="P2923">
        <v>0.98782999999999999</v>
      </c>
      <c r="Q2923">
        <v>0.1334089</v>
      </c>
      <c r="R2923">
        <v>-7.9963210000000007E-2</v>
      </c>
      <c r="S2923">
        <v>3.0208740000000001</v>
      </c>
      <c r="T2923">
        <v>-0.18394720000000001</v>
      </c>
      <c r="U2923">
        <v>-0.54640200000000005</v>
      </c>
      <c r="V2923">
        <v>0.1709157</v>
      </c>
      <c r="W2923">
        <v>0.1458236</v>
      </c>
      <c r="X2923">
        <v>0.97443489999999999</v>
      </c>
      <c r="Y2923">
        <v>0.26626569999999999</v>
      </c>
      <c r="Z2923">
        <v>-1.3538430000000001E-2</v>
      </c>
      <c r="AA2923">
        <v>0.96380460000000001</v>
      </c>
      <c r="AB2923">
        <v>39</v>
      </c>
      <c r="AC2923">
        <v>17.818399999999901</v>
      </c>
      <c r="AD2923">
        <v>-1.1065573447268999</v>
      </c>
      <c r="AE2923">
        <v>-3.3183999999999898</v>
      </c>
      <c r="AF2923">
        <v>4.9098521503991996</v>
      </c>
      <c r="AG2923">
        <v>-1.1065573447268999</v>
      </c>
      <c r="AH2923">
        <v>17.377145769648301</v>
      </c>
      <c r="AI2923">
        <v>93.5066883307897</v>
      </c>
      <c r="AJ2923">
        <v>74.222545407617403</v>
      </c>
      <c r="AK2923">
        <v>18.091332521280801</v>
      </c>
      <c r="AL2923">
        <v>81.615025366844804</v>
      </c>
      <c r="AM2923">
        <v>80.051529061268596</v>
      </c>
      <c r="AN2923">
        <v>1.00000003658072</v>
      </c>
    </row>
    <row r="2924" spans="1:40" x14ac:dyDescent="0.25">
      <c r="A2924" t="str">
        <f>"20190312164323858"</f>
        <v>20190312164323858</v>
      </c>
      <c r="B2924" t="str">
        <f>"1552380203847685"</f>
        <v>1552380203847685</v>
      </c>
      <c r="C2924" t="s">
        <v>40</v>
      </c>
      <c r="D2924">
        <v>5.3586819999999999</v>
      </c>
      <c r="E2924">
        <v>0.54749859999999995</v>
      </c>
      <c r="F2924" t="s">
        <v>46</v>
      </c>
      <c r="G2924">
        <v>-211.9308</v>
      </c>
      <c r="H2924" s="1">
        <v>-3.986836E-7</v>
      </c>
      <c r="I2924">
        <v>212.0857</v>
      </c>
      <c r="J2924">
        <v>-229.45599999999999</v>
      </c>
      <c r="K2924">
        <v>1.1063459999999901</v>
      </c>
      <c r="L2924">
        <v>215.42619999999999</v>
      </c>
      <c r="M2924">
        <v>0.99611289999999997</v>
      </c>
      <c r="N2924">
        <v>0</v>
      </c>
      <c r="O2924">
        <v>8.6925230000000006E-2</v>
      </c>
      <c r="P2924">
        <v>0.9868903</v>
      </c>
      <c r="Q2924">
        <v>0.13456799999999999</v>
      </c>
      <c r="R2924">
        <v>-8.9101570000000005E-2</v>
      </c>
      <c r="S2924">
        <v>3.0170140000000001</v>
      </c>
      <c r="T2924">
        <v>-0.18631120000000001</v>
      </c>
      <c r="U2924">
        <v>-0.55699160000000003</v>
      </c>
      <c r="V2924">
        <v>0.17591889999999999</v>
      </c>
      <c r="W2924">
        <v>0.146842</v>
      </c>
      <c r="X2924">
        <v>0.97339089999999995</v>
      </c>
      <c r="Y2924">
        <v>0.26569900000000002</v>
      </c>
      <c r="Z2924">
        <v>-1.345177E-2</v>
      </c>
      <c r="AA2924">
        <v>0.96396219999999999</v>
      </c>
      <c r="AB2924">
        <v>39</v>
      </c>
      <c r="AC2924">
        <v>17.525199999999899</v>
      </c>
      <c r="AD2924">
        <v>-1.10634639868359</v>
      </c>
      <c r="AE2924">
        <v>-3.3404999999999898</v>
      </c>
      <c r="AF2924">
        <v>4.8328051185709899</v>
      </c>
      <c r="AG2924">
        <v>-1.10634639868359</v>
      </c>
      <c r="AH2924">
        <v>17.102678563732798</v>
      </c>
      <c r="AI2924">
        <v>93.562115780396994</v>
      </c>
      <c r="AJ2924">
        <v>74.2209857550734</v>
      </c>
      <c r="AK2924">
        <v>17.806785833561701</v>
      </c>
      <c r="AL2924">
        <v>81.556039559672101</v>
      </c>
      <c r="AM2924">
        <v>79.755634282099905</v>
      </c>
      <c r="AN2924">
        <v>0.99999993827200795</v>
      </c>
    </row>
    <row r="2925" spans="1:40" x14ac:dyDescent="0.25">
      <c r="A2925" t="str">
        <f>"20190312164323879"</f>
        <v>20190312164323879</v>
      </c>
      <c r="B2925" t="str">
        <f>"1552380203867205"</f>
        <v>1552380203867205</v>
      </c>
      <c r="C2925" t="s">
        <v>40</v>
      </c>
      <c r="D2925">
        <v>5.098382</v>
      </c>
      <c r="E2925">
        <v>0.5467632</v>
      </c>
      <c r="F2925" t="s">
        <v>46</v>
      </c>
      <c r="G2925">
        <v>-211.0275</v>
      </c>
      <c r="H2925" s="1">
        <v>-8.726739E-7</v>
      </c>
      <c r="I2925">
        <v>211.93199999999999</v>
      </c>
      <c r="J2925">
        <v>-229.07929999999999</v>
      </c>
      <c r="K2925">
        <v>1.1061780000000001</v>
      </c>
      <c r="L2925">
        <v>215.4556</v>
      </c>
      <c r="M2925">
        <v>0.99646250000000003</v>
      </c>
      <c r="N2925">
        <v>0</v>
      </c>
      <c r="O2925">
        <v>8.2821439999999996E-2</v>
      </c>
      <c r="P2925">
        <v>0.9861202</v>
      </c>
      <c r="Q2925">
        <v>0.1350827</v>
      </c>
      <c r="R2925">
        <v>-9.6541009999999997E-2</v>
      </c>
      <c r="S2925">
        <v>3.0129389999999998</v>
      </c>
      <c r="T2925">
        <v>-0.18088080000000001</v>
      </c>
      <c r="U2925">
        <v>-0.57128909999999999</v>
      </c>
      <c r="V2925">
        <v>0.17931259999999999</v>
      </c>
      <c r="W2925">
        <v>0.14724949999999901</v>
      </c>
      <c r="X2925">
        <v>0.97270990000000002</v>
      </c>
      <c r="Y2925">
        <v>0.26642320000000003</v>
      </c>
      <c r="Z2925">
        <v>-1.2849559999999999E-2</v>
      </c>
      <c r="AA2925">
        <v>0.96377049999999997</v>
      </c>
      <c r="AB2925">
        <v>39</v>
      </c>
      <c r="AC2925">
        <v>18.051799999999901</v>
      </c>
      <c r="AD2925">
        <v>-1.1061788726738999</v>
      </c>
      <c r="AE2925">
        <v>-3.5235999999999801</v>
      </c>
      <c r="AF2925">
        <v>4.9886748420161897</v>
      </c>
      <c r="AG2925">
        <v>-1.1061788726738999</v>
      </c>
      <c r="AH2925">
        <v>17.634123586505002</v>
      </c>
      <c r="AI2925">
        <v>93.454213948920398</v>
      </c>
      <c r="AJ2925">
        <v>74.203848118339707</v>
      </c>
      <c r="AK2925">
        <v>18.359543105476401</v>
      </c>
      <c r="AL2925">
        <v>81.532435351133003</v>
      </c>
      <c r="AM2925">
        <v>79.555164441179798</v>
      </c>
      <c r="AN2925">
        <v>0.99999998666350998</v>
      </c>
    </row>
    <row r="2926" spans="1:40" x14ac:dyDescent="0.25">
      <c r="A2926" t="str">
        <f>"20190312164323906"</f>
        <v>20190312164323906</v>
      </c>
      <c r="B2926" t="str">
        <f>"1552380203897461"</f>
        <v>1552380203897461</v>
      </c>
      <c r="C2926" t="s">
        <v>40</v>
      </c>
      <c r="D2926">
        <v>5.3278869999999996</v>
      </c>
      <c r="E2926">
        <v>0.52437109999999998</v>
      </c>
      <c r="F2926" t="s">
        <v>46</v>
      </c>
      <c r="G2926">
        <v>-210.38650000000001</v>
      </c>
      <c r="H2926" s="1">
        <v>-1.2079319999999999E-6</v>
      </c>
      <c r="I2926">
        <v>211.79849999999999</v>
      </c>
      <c r="J2926">
        <v>-228.62909999999999</v>
      </c>
      <c r="K2926">
        <v>1.106025</v>
      </c>
      <c r="L2926">
        <v>215.48840000000001</v>
      </c>
      <c r="M2926">
        <v>0.99686529999999995</v>
      </c>
      <c r="N2926">
        <v>0</v>
      </c>
      <c r="O2926">
        <v>7.7823050000000005E-2</v>
      </c>
      <c r="P2926">
        <v>0.98530079999999998</v>
      </c>
      <c r="Q2926">
        <v>0.1349139</v>
      </c>
      <c r="R2926">
        <v>-0.1047898</v>
      </c>
      <c r="S2926">
        <v>3.0089869999999999</v>
      </c>
      <c r="T2926">
        <v>-0.178062</v>
      </c>
      <c r="U2926">
        <v>-0.58868409999999904</v>
      </c>
      <c r="V2926">
        <v>0.18263399999999999</v>
      </c>
      <c r="W2926">
        <v>0.14697689999999999</v>
      </c>
      <c r="X2926">
        <v>0.97213300000000002</v>
      </c>
      <c r="Y2926">
        <v>0.26721889999999998</v>
      </c>
      <c r="Z2926">
        <v>-1.238948E-2</v>
      </c>
      <c r="AA2926">
        <v>0.96355619999999997</v>
      </c>
      <c r="AB2926">
        <v>39</v>
      </c>
      <c r="AC2926">
        <v>18.2425999999999</v>
      </c>
      <c r="AD2926">
        <v>-1.106026207932</v>
      </c>
      <c r="AE2926">
        <v>-3.6899000000000202</v>
      </c>
      <c r="AF2926">
        <v>5.0806044534732697</v>
      </c>
      <c r="AG2926">
        <v>-1.106026207932</v>
      </c>
      <c r="AH2926">
        <v>17.837084575916698</v>
      </c>
      <c r="AI2926">
        <v>93.412802199005895</v>
      </c>
      <c r="AJ2926">
        <v>74.101256027404801</v>
      </c>
      <c r="AK2926">
        <v>18.579489275911001</v>
      </c>
      <c r="AL2926">
        <v>81.548225917915701</v>
      </c>
      <c r="AM2926">
        <v>79.359902317556006</v>
      </c>
      <c r="AN2926">
        <v>0.99999997838930399</v>
      </c>
    </row>
    <row r="2927" spans="1:40" x14ac:dyDescent="0.25">
      <c r="A2927" t="str">
        <f>"20190312164323932"</f>
        <v>20190312164323932</v>
      </c>
      <c r="B2927" t="str">
        <f>"1552380203927718"</f>
        <v>1552380203927718</v>
      </c>
      <c r="C2927" t="s">
        <v>40</v>
      </c>
      <c r="D2927">
        <v>5.1847339999999997</v>
      </c>
      <c r="E2927">
        <v>0.52317599999999997</v>
      </c>
      <c r="F2927" t="s">
        <v>45</v>
      </c>
      <c r="G2927">
        <v>-206.87629999999999</v>
      </c>
      <c r="H2927" s="1">
        <v>5.465615E-6</v>
      </c>
      <c r="I2927">
        <v>212.33690000000001</v>
      </c>
      <c r="J2927">
        <v>-228.16730000000001</v>
      </c>
      <c r="K2927">
        <v>1.1059079999999999</v>
      </c>
      <c r="L2927">
        <v>215.5196</v>
      </c>
      <c r="M2927">
        <v>0.99725629999999998</v>
      </c>
      <c r="N2927">
        <v>0</v>
      </c>
      <c r="O2927">
        <v>7.2639980000000007E-2</v>
      </c>
      <c r="P2927">
        <v>0.9842033</v>
      </c>
      <c r="Q2927">
        <v>0.13571269999999999</v>
      </c>
      <c r="R2927">
        <v>-0.1136929</v>
      </c>
      <c r="S2927">
        <v>3.0192410000000001</v>
      </c>
      <c r="T2927">
        <v>-0.15351310000000001</v>
      </c>
      <c r="U2927">
        <v>-0.43742370000000003</v>
      </c>
      <c r="V2927">
        <v>0.1864161</v>
      </c>
      <c r="W2927">
        <v>0.14767729999999901</v>
      </c>
      <c r="X2927">
        <v>0.97130859999999997</v>
      </c>
      <c r="Y2927">
        <v>0.21453539999999999</v>
      </c>
      <c r="Z2927">
        <v>-9.0968650000000009E-3</v>
      </c>
      <c r="AA2927">
        <v>0.97667380000000004</v>
      </c>
      <c r="AB2927">
        <v>39</v>
      </c>
      <c r="AC2927">
        <v>21.291</v>
      </c>
      <c r="AD2927">
        <v>-1.105902534385</v>
      </c>
      <c r="AE2927">
        <v>-3.1826999999999801</v>
      </c>
      <c r="AF2927">
        <v>4.7085992529800498</v>
      </c>
      <c r="AG2927">
        <v>-1.105902534385</v>
      </c>
      <c r="AH2927">
        <v>20.948244826802899</v>
      </c>
      <c r="AI2927">
        <v>92.948529441728198</v>
      </c>
      <c r="AJ2927">
        <v>77.331998056887301</v>
      </c>
      <c r="AK2927">
        <v>21.499369494578101</v>
      </c>
      <c r="AL2927">
        <v>81.507653159830298</v>
      </c>
      <c r="AM2927">
        <v>79.135750148340094</v>
      </c>
      <c r="AN2927">
        <v>0.99999997185422895</v>
      </c>
    </row>
    <row r="2928" spans="1:40" x14ac:dyDescent="0.25">
      <c r="A2928" t="str">
        <f>"20190312164323955"</f>
        <v>20190312164323955</v>
      </c>
      <c r="B2928" t="str">
        <f>"1552380203947236"</f>
        <v>1552380203947236</v>
      </c>
      <c r="C2928" t="s">
        <v>40</v>
      </c>
      <c r="D2928">
        <v>5.037623</v>
      </c>
      <c r="E2928">
        <v>0.52307599999999999</v>
      </c>
      <c r="F2928" t="s">
        <v>45</v>
      </c>
      <c r="G2928">
        <v>-207.22059999999999</v>
      </c>
      <c r="H2928" s="1">
        <v>5.6152999999999901E-6</v>
      </c>
      <c r="I2928">
        <v>212.37129999999999</v>
      </c>
      <c r="J2928">
        <v>-227.7807</v>
      </c>
      <c r="K2928">
        <v>1.105845</v>
      </c>
      <c r="L2928">
        <v>215.54400000000001</v>
      </c>
      <c r="M2928">
        <v>0.99756400000000001</v>
      </c>
      <c r="N2928">
        <v>0</v>
      </c>
      <c r="O2928">
        <v>6.8284609999999996E-2</v>
      </c>
      <c r="P2928">
        <v>0.98293189999999997</v>
      </c>
      <c r="Q2928">
        <v>0.13758779999999901</v>
      </c>
      <c r="R2928">
        <v>-0.12212629999999999</v>
      </c>
      <c r="S2928">
        <v>3.0177309999999999</v>
      </c>
      <c r="T2928">
        <v>-0.1593244</v>
      </c>
      <c r="U2928">
        <v>-0.45356750000000001</v>
      </c>
      <c r="V2928">
        <v>0.19053529999999999</v>
      </c>
      <c r="W2928">
        <v>0.14946400000000001</v>
      </c>
      <c r="X2928">
        <v>0.97023550000000003</v>
      </c>
      <c r="Y2928">
        <v>0.21543010000000001</v>
      </c>
      <c r="Z2928">
        <v>-9.2367270000000001E-3</v>
      </c>
      <c r="AA2928">
        <v>0.9764756</v>
      </c>
      <c r="AB2928">
        <v>39</v>
      </c>
      <c r="AC2928">
        <v>20.560099999999998</v>
      </c>
      <c r="AD2928">
        <v>-1.1058393847000001</v>
      </c>
      <c r="AE2928">
        <v>-3.1727000000000198</v>
      </c>
      <c r="AF2928">
        <v>4.5564992448116399</v>
      </c>
      <c r="AG2928">
        <v>-1.1058393847000001</v>
      </c>
      <c r="AH2928">
        <v>20.238246408731399</v>
      </c>
      <c r="AI2928">
        <v>93.051362321939607</v>
      </c>
      <c r="AJ2928">
        <v>77.311818967295906</v>
      </c>
      <c r="AK2928">
        <v>20.774291415431101</v>
      </c>
      <c r="AL2928">
        <v>81.404134629252695</v>
      </c>
      <c r="AM2928">
        <v>78.8896133082863</v>
      </c>
      <c r="AN2928">
        <v>1.00000005665116</v>
      </c>
    </row>
    <row r="2929" spans="1:40" x14ac:dyDescent="0.25">
      <c r="A2929" t="str">
        <f>"20190312164323974"</f>
        <v>20190312164323974</v>
      </c>
      <c r="B2929" t="str">
        <f>"1552380203967733"</f>
        <v>1552380203967733</v>
      </c>
      <c r="C2929" t="s">
        <v>40</v>
      </c>
      <c r="D2929">
        <v>5.0748959999999999</v>
      </c>
      <c r="E2929">
        <v>0.51659979999999905</v>
      </c>
      <c r="F2929" t="s">
        <v>45</v>
      </c>
      <c r="G2929">
        <v>-206.72880000000001</v>
      </c>
      <c r="H2929" s="1">
        <v>5.4111569999999998E-6</v>
      </c>
      <c r="I2929">
        <v>212.2116</v>
      </c>
      <c r="J2929">
        <v>-227.43360000000001</v>
      </c>
      <c r="K2929">
        <v>1.1058190000000001</v>
      </c>
      <c r="L2929">
        <v>215.56440000000001</v>
      </c>
      <c r="M2929">
        <v>0.99782329999999997</v>
      </c>
      <c r="N2929">
        <v>0</v>
      </c>
      <c r="O2929">
        <v>6.4384259999999999E-2</v>
      </c>
      <c r="P2929">
        <v>0.98163549999999999</v>
      </c>
      <c r="Q2929">
        <v>0.1395701</v>
      </c>
      <c r="R2929">
        <v>-0.1300472</v>
      </c>
      <c r="S2929">
        <v>3.0149840000000001</v>
      </c>
      <c r="T2929">
        <v>-0.15837509999999999</v>
      </c>
      <c r="U2929">
        <v>-0.47724909999999998</v>
      </c>
      <c r="V2929">
        <v>0.19458990000000001</v>
      </c>
      <c r="W2929">
        <v>0.151369</v>
      </c>
      <c r="X2929">
        <v>0.96913470000000002</v>
      </c>
      <c r="Y2929">
        <v>0.21923790000000001</v>
      </c>
      <c r="Z2929">
        <v>-9.0804409999999999E-3</v>
      </c>
      <c r="AA2929">
        <v>0.97562919999999997</v>
      </c>
      <c r="AB2929">
        <v>39</v>
      </c>
      <c r="AC2929">
        <v>20.704799999999999</v>
      </c>
      <c r="AD2929">
        <v>-1.1058135888429901</v>
      </c>
      <c r="AE2929">
        <v>-3.3527999999999998</v>
      </c>
      <c r="AF2929">
        <v>4.6660711530901002</v>
      </c>
      <c r="AG2929">
        <v>-1.1058135888429901</v>
      </c>
      <c r="AH2929">
        <v>20.3892693018195</v>
      </c>
      <c r="AI2929">
        <v>93.026314840908995</v>
      </c>
      <c r="AJ2929">
        <v>77.109865919033297</v>
      </c>
      <c r="AK2929">
        <v>20.945580592599601</v>
      </c>
      <c r="AL2929">
        <v>81.293728986468494</v>
      </c>
      <c r="AM2929">
        <v>78.646702352256796</v>
      </c>
      <c r="AN2929">
        <v>0.99999993504354701</v>
      </c>
    </row>
    <row r="2930" spans="1:40" x14ac:dyDescent="0.25">
      <c r="A2930" t="str">
        <f>"20190312164323996"</f>
        <v>20190312164323996</v>
      </c>
      <c r="B2930" t="str">
        <f>"1552380203987252"</f>
        <v>1552380203987252</v>
      </c>
      <c r="C2930" t="s">
        <v>40</v>
      </c>
      <c r="D2930">
        <v>5.3580740000000002</v>
      </c>
      <c r="E2930">
        <v>0.51628379999999996</v>
      </c>
      <c r="F2930" t="s">
        <v>46</v>
      </c>
      <c r="G2930">
        <v>-211.35310000000001</v>
      </c>
      <c r="H2930" s="1">
        <v>-7.5544930000000001E-7</v>
      </c>
      <c r="I2930">
        <v>213.214</v>
      </c>
      <c r="J2930">
        <v>-227.06870000000001</v>
      </c>
      <c r="K2930">
        <v>1.105799</v>
      </c>
      <c r="L2930">
        <v>215.58439999999999</v>
      </c>
      <c r="M2930">
        <v>0.99807789999999996</v>
      </c>
      <c r="N2930">
        <v>0</v>
      </c>
      <c r="O2930">
        <v>6.0309059999999998E-2</v>
      </c>
      <c r="P2930">
        <v>0.98023660000000001</v>
      </c>
      <c r="Q2930">
        <v>0.1417398</v>
      </c>
      <c r="R2930">
        <v>-0.13800780000000001</v>
      </c>
      <c r="S2930">
        <v>3.0270839999999999</v>
      </c>
      <c r="T2930">
        <v>-0.20816599999999999</v>
      </c>
      <c r="U2930">
        <v>-0.4424438</v>
      </c>
      <c r="V2930">
        <v>0.1985162</v>
      </c>
      <c r="W2930">
        <v>0.15346889999999999</v>
      </c>
      <c r="X2930">
        <v>0.96800759999999997</v>
      </c>
      <c r="Y2930">
        <v>0.20343169999999999</v>
      </c>
      <c r="Z2930">
        <v>-1.1073410000000001E-2</v>
      </c>
      <c r="AA2930">
        <v>0.97902650000000002</v>
      </c>
      <c r="AB2930">
        <v>39</v>
      </c>
      <c r="AC2930">
        <v>15.715599999999901</v>
      </c>
      <c r="AD2930">
        <v>-1.1057997554493</v>
      </c>
      <c r="AE2930">
        <v>-2.3703999999999601</v>
      </c>
      <c r="AF2930">
        <v>3.2980086750091702</v>
      </c>
      <c r="AG2930">
        <v>-1.1057997554493</v>
      </c>
      <c r="AH2930">
        <v>15.469133015239301</v>
      </c>
      <c r="AI2930">
        <v>93.9992136152228</v>
      </c>
      <c r="AJ2930">
        <v>77.964769090927206</v>
      </c>
      <c r="AK2930">
        <v>15.855400674935799</v>
      </c>
      <c r="AL2930">
        <v>81.171992175489095</v>
      </c>
      <c r="AM2930">
        <v>78.410634004090696</v>
      </c>
      <c r="AN2930">
        <v>1.0000000492937</v>
      </c>
    </row>
    <row r="2931" spans="1:40" x14ac:dyDescent="0.25">
      <c r="A2931" t="str">
        <f>"20190312164324016"</f>
        <v>20190312164324016</v>
      </c>
      <c r="B2931" t="str">
        <f>"1552380204007749"</f>
        <v>1552380204007749</v>
      </c>
      <c r="C2931" t="s">
        <v>40</v>
      </c>
      <c r="D2931">
        <v>5.2420349999999996</v>
      </c>
      <c r="E2931">
        <v>0.51523799999999997</v>
      </c>
      <c r="F2931" t="s">
        <v>45</v>
      </c>
      <c r="G2931">
        <v>-209.58580000000001</v>
      </c>
      <c r="H2931" s="1">
        <v>6.6189000000000003E-6</v>
      </c>
      <c r="I2931">
        <v>212.88910000000001</v>
      </c>
      <c r="J2931">
        <v>-226.71010000000001</v>
      </c>
      <c r="K2931">
        <v>1.1057920000000001</v>
      </c>
      <c r="L2931">
        <v>215.6026</v>
      </c>
      <c r="M2931">
        <v>0.99830960000000002</v>
      </c>
      <c r="N2931">
        <v>0</v>
      </c>
      <c r="O2931">
        <v>5.6342040000000003E-2</v>
      </c>
      <c r="P2931">
        <v>0.97880020000000001</v>
      </c>
      <c r="Q2931">
        <v>0.14347199999999999</v>
      </c>
      <c r="R2931">
        <v>-0.1461713</v>
      </c>
      <c r="S2931">
        <v>3.0225070000000001</v>
      </c>
      <c r="T2931">
        <v>-0.19117400000000001</v>
      </c>
      <c r="U2931">
        <v>-0.46597290000000002</v>
      </c>
      <c r="V2931">
        <v>0.2027497</v>
      </c>
      <c r="W2931">
        <v>0.155135299999999</v>
      </c>
      <c r="X2931">
        <v>0.96686380000000005</v>
      </c>
      <c r="Y2931">
        <v>0.2072997</v>
      </c>
      <c r="Z2931">
        <v>-1.0052999999999999E-2</v>
      </c>
      <c r="AA2931">
        <v>0.97822580000000003</v>
      </c>
      <c r="AB2931">
        <v>38</v>
      </c>
      <c r="AC2931">
        <v>17.124300000000002</v>
      </c>
      <c r="AD2931">
        <v>-1.1057853811</v>
      </c>
      <c r="AE2931">
        <v>-2.7134999999999798</v>
      </c>
      <c r="AF2931">
        <v>3.6592204788350098</v>
      </c>
      <c r="AG2931">
        <v>-1.1057853811</v>
      </c>
      <c r="AH2931">
        <v>16.875549071532198</v>
      </c>
      <c r="AI2931">
        <v>93.664088458994101</v>
      </c>
      <c r="AJ2931">
        <v>77.765630314840607</v>
      </c>
      <c r="AK2931">
        <v>17.303086784948899</v>
      </c>
      <c r="AL2931">
        <v>81.075356753682598</v>
      </c>
      <c r="AM2931">
        <v>78.156777626700702</v>
      </c>
      <c r="AN2931">
        <v>1.00000000495331</v>
      </c>
    </row>
    <row r="2932" spans="1:40" x14ac:dyDescent="0.25">
      <c r="A2932" t="str">
        <f>"20190312164324038"</f>
        <v>20190312164324038</v>
      </c>
      <c r="B2932" t="str">
        <f>"1552380204027269"</f>
        <v>1552380204027269</v>
      </c>
      <c r="C2932" t="s">
        <v>40</v>
      </c>
      <c r="D2932">
        <v>5.0586449999999896</v>
      </c>
      <c r="E2932">
        <v>0.51407360000000002</v>
      </c>
      <c r="F2932" t="s">
        <v>45</v>
      </c>
      <c r="G2932">
        <v>-207.7825</v>
      </c>
      <c r="H2932" s="1">
        <v>5.84692599999999E-6</v>
      </c>
      <c r="I2932">
        <v>212.572</v>
      </c>
      <c r="J2932">
        <v>-226.35310000000001</v>
      </c>
      <c r="K2932">
        <v>1.105804</v>
      </c>
      <c r="L2932">
        <v>215.61940000000001</v>
      </c>
      <c r="M2932">
        <v>0.99852249999999998</v>
      </c>
      <c r="N2932">
        <v>0</v>
      </c>
      <c r="O2932">
        <v>5.2434559999999998E-2</v>
      </c>
      <c r="P2932">
        <v>0.97739489999999996</v>
      </c>
      <c r="Q2932">
        <v>0.145059299999999</v>
      </c>
      <c r="R2932">
        <v>-0.15380759999999999</v>
      </c>
      <c r="S2932">
        <v>3.0186459999999999</v>
      </c>
      <c r="T2932">
        <v>-0.1763546</v>
      </c>
      <c r="U2932">
        <v>-0.48333739999999997</v>
      </c>
      <c r="V2932">
        <v>0.2065216</v>
      </c>
      <c r="W2932">
        <v>0.1566708</v>
      </c>
      <c r="X2932">
        <v>0.96581729999999999</v>
      </c>
      <c r="Y2932">
        <v>0.20923030000000001</v>
      </c>
      <c r="Z2932">
        <v>-9.1118759999999997E-3</v>
      </c>
      <c r="AA2932">
        <v>0.97782389999999997</v>
      </c>
      <c r="AB2932">
        <v>38</v>
      </c>
      <c r="AC2932">
        <v>18.570599999999999</v>
      </c>
      <c r="AD2932">
        <v>-1.105798153074</v>
      </c>
      <c r="AE2932">
        <v>-3.0474000000000099</v>
      </c>
      <c r="AF2932">
        <v>4.0032253631873402</v>
      </c>
      <c r="AG2932">
        <v>-1.105798153074</v>
      </c>
      <c r="AH2932">
        <v>18.321982601418998</v>
      </c>
      <c r="AI2932">
        <v>93.374402608507097</v>
      </c>
      <c r="AJ2932">
        <v>77.674964803365498</v>
      </c>
      <c r="AK2932">
        <v>18.786794545917399</v>
      </c>
      <c r="AL2932">
        <v>80.986289807862704</v>
      </c>
      <c r="AM2932">
        <v>77.930159138212503</v>
      </c>
      <c r="AN2932">
        <v>0.99999998390924405</v>
      </c>
    </row>
    <row r="2933" spans="1:40" x14ac:dyDescent="0.25">
      <c r="A2933" t="str">
        <f>"20190312164324060"</f>
        <v>20190312164324060</v>
      </c>
      <c r="B2933" t="str">
        <f>"1552380204057525"</f>
        <v>1552380204057525</v>
      </c>
      <c r="C2933" t="s">
        <v>40</v>
      </c>
      <c r="D2933">
        <v>5.4992720000000004</v>
      </c>
      <c r="E2933">
        <v>0.53282850000000004</v>
      </c>
      <c r="F2933" t="s">
        <v>45</v>
      </c>
      <c r="G2933">
        <v>-206.34809999999999</v>
      </c>
      <c r="H2933" s="1">
        <v>5.2334770000000004E-6</v>
      </c>
      <c r="I2933">
        <v>212.31270000000001</v>
      </c>
      <c r="J2933">
        <v>-225.96180000000001</v>
      </c>
      <c r="K2933">
        <v>1.105826</v>
      </c>
      <c r="L2933">
        <v>215.6362</v>
      </c>
      <c r="M2933">
        <v>0.99873559999999995</v>
      </c>
      <c r="N2933">
        <v>0</v>
      </c>
      <c r="O2933">
        <v>4.8208300000000003E-2</v>
      </c>
      <c r="P2933">
        <v>0.97589210000000004</v>
      </c>
      <c r="Q2933">
        <v>0.14598249999999999</v>
      </c>
      <c r="R2933">
        <v>-0.16224710000000001</v>
      </c>
      <c r="S2933">
        <v>3.015701</v>
      </c>
      <c r="T2933">
        <v>-0.16669629999999999</v>
      </c>
      <c r="U2933">
        <v>-0.49847409999999998</v>
      </c>
      <c r="V2933">
        <v>0.21078079999999999</v>
      </c>
      <c r="W2933">
        <v>0.15754389999999999</v>
      </c>
      <c r="X2933">
        <v>0.96475460000000002</v>
      </c>
      <c r="Y2933">
        <v>0.2100737</v>
      </c>
      <c r="Z2933">
        <v>-8.4095479999999993E-3</v>
      </c>
      <c r="AA2933">
        <v>0.9776494</v>
      </c>
      <c r="AB2933">
        <v>38</v>
      </c>
      <c r="AC2933">
        <v>19.613700000000001</v>
      </c>
      <c r="AD2933">
        <v>-1.105820766523</v>
      </c>
      <c r="AE2933">
        <v>-3.3234999999999899</v>
      </c>
      <c r="AF2933">
        <v>4.2521351573186301</v>
      </c>
      <c r="AG2933">
        <v>-1.105820766523</v>
      </c>
      <c r="AH2933">
        <v>19.3707985522888</v>
      </c>
      <c r="AI2933">
        <v>93.191473396833402</v>
      </c>
      <c r="AJ2933">
        <v>77.619218673761694</v>
      </c>
      <c r="AK2933">
        <v>19.862812729246901</v>
      </c>
      <c r="AL2933">
        <v>80.935636256101802</v>
      </c>
      <c r="AM2933">
        <v>77.675608092142795</v>
      </c>
      <c r="AN2933">
        <v>1.0000000321485001</v>
      </c>
    </row>
    <row r="2934" spans="1:40" x14ac:dyDescent="0.25">
      <c r="A2934" t="str">
        <f>"20190312164324105"</f>
        <v>20190312164324105</v>
      </c>
      <c r="B2934" t="str">
        <f>"1552380204097542"</f>
        <v>1552380204097542</v>
      </c>
      <c r="C2934" t="s">
        <v>40</v>
      </c>
      <c r="D2934">
        <v>5.03186</v>
      </c>
      <c r="E2934">
        <v>0.53371659999999999</v>
      </c>
      <c r="F2934" t="s">
        <v>45</v>
      </c>
      <c r="G2934">
        <v>-208.78819999999999</v>
      </c>
      <c r="H2934" s="1">
        <v>6.3613420000000003E-6</v>
      </c>
      <c r="I2934">
        <v>211.78909999999999</v>
      </c>
      <c r="J2934">
        <v>-225.19450000000001</v>
      </c>
      <c r="K2934">
        <v>1.105918</v>
      </c>
      <c r="L2934">
        <v>215.6644</v>
      </c>
      <c r="M2934">
        <v>0.99909300000000001</v>
      </c>
      <c r="N2934">
        <v>0</v>
      </c>
      <c r="O2934">
        <v>4.0124029999999998E-2</v>
      </c>
      <c r="P2934">
        <v>0.9732904</v>
      </c>
      <c r="Q2934">
        <v>0.14554159999999999</v>
      </c>
      <c r="R2934">
        <v>-0.17754779999999901</v>
      </c>
      <c r="S2934">
        <v>2.991501</v>
      </c>
      <c r="T2934">
        <v>-0.1926242</v>
      </c>
      <c r="U2934">
        <v>-0.6701355</v>
      </c>
      <c r="V2934">
        <v>0.21809680000000001</v>
      </c>
      <c r="W2934">
        <v>0.1570414</v>
      </c>
      <c r="X2934">
        <v>0.96320910000000004</v>
      </c>
      <c r="Y2934">
        <v>0.25698989999999999</v>
      </c>
      <c r="Z2934">
        <v>-1.0716450000000001E-2</v>
      </c>
      <c r="AA2934">
        <v>0.96635470000000001</v>
      </c>
      <c r="AB2934">
        <v>38</v>
      </c>
      <c r="AC2934">
        <v>16.406300000000002</v>
      </c>
      <c r="AD2934">
        <v>-1.1059116386579999</v>
      </c>
      <c r="AE2934">
        <v>-3.8753000000000002</v>
      </c>
      <c r="AF2934">
        <v>4.5111179698076702</v>
      </c>
      <c r="AG2934">
        <v>-1.1059116386579999</v>
      </c>
      <c r="AH2934">
        <v>16.167995050336099</v>
      </c>
      <c r="AI2934">
        <v>93.769472736886598</v>
      </c>
      <c r="AJ2934">
        <v>74.410084436892106</v>
      </c>
      <c r="AK2934">
        <v>16.821928838207999</v>
      </c>
      <c r="AL2934">
        <v>80.964789935562905</v>
      </c>
      <c r="AM2934">
        <v>77.241804638711898</v>
      </c>
      <c r="AN2934">
        <v>0.99999999290350405</v>
      </c>
    </row>
    <row r="2935" spans="1:40" x14ac:dyDescent="0.25">
      <c r="A2935" t="str">
        <f>"20190312164324131"</f>
        <v>20190312164324131</v>
      </c>
      <c r="B2935" t="str">
        <f>"1552380204127797"</f>
        <v>1552380204127797</v>
      </c>
      <c r="C2935" t="s">
        <v>40</v>
      </c>
      <c r="D2935">
        <v>5.044416</v>
      </c>
      <c r="E2935">
        <v>0.53330739999999999</v>
      </c>
      <c r="F2935" t="s">
        <v>45</v>
      </c>
      <c r="G2935">
        <v>-207.0932</v>
      </c>
      <c r="H2935" s="1">
        <v>5.6563199999999899E-6</v>
      </c>
      <c r="I2935">
        <v>211.25579999999999</v>
      </c>
      <c r="J2935">
        <v>-224.74629999999999</v>
      </c>
      <c r="K2935">
        <v>1.105979</v>
      </c>
      <c r="L2935">
        <v>215.6781</v>
      </c>
      <c r="M2935">
        <v>0.99926760000000003</v>
      </c>
      <c r="N2935">
        <v>0</v>
      </c>
      <c r="O2935">
        <v>3.5513709999999997E-2</v>
      </c>
      <c r="P2935">
        <v>0.97208609999999895</v>
      </c>
      <c r="Q2935">
        <v>0.14469770000000001</v>
      </c>
      <c r="R2935">
        <v>-0.1846933</v>
      </c>
      <c r="S2935">
        <v>2.9772189999999998</v>
      </c>
      <c r="T2935">
        <v>-0.181895</v>
      </c>
      <c r="U2935">
        <v>-0.72511289999999995</v>
      </c>
      <c r="V2935">
        <v>0.22070799999999999</v>
      </c>
      <c r="W2935">
        <v>0.15619089999999999</v>
      </c>
      <c r="X2935">
        <v>0.96275250000000001</v>
      </c>
      <c r="Y2935">
        <v>0.27045599999999997</v>
      </c>
      <c r="Z2935">
        <v>-1.027429E-2</v>
      </c>
      <c r="AA2935">
        <v>0.96267749999999996</v>
      </c>
      <c r="AB2935">
        <v>38</v>
      </c>
      <c r="AC2935">
        <v>17.653099999999899</v>
      </c>
      <c r="AD2935">
        <v>-1.1059733436799899</v>
      </c>
      <c r="AE2935">
        <v>-4.4222999999999999</v>
      </c>
      <c r="AF2935">
        <v>5.0279309029330497</v>
      </c>
      <c r="AG2935">
        <v>-1.1059733436799899</v>
      </c>
      <c r="AH2935">
        <v>17.420554522907</v>
      </c>
      <c r="AI2935">
        <v>93.490541655378493</v>
      </c>
      <c r="AJ2935">
        <v>73.900770525288294</v>
      </c>
      <c r="AK2935">
        <v>18.165323726462301</v>
      </c>
      <c r="AL2935">
        <v>81.0141289032766</v>
      </c>
      <c r="AM2935">
        <v>77.088225226595199</v>
      </c>
      <c r="AN2935">
        <v>0.99999999738153</v>
      </c>
    </row>
    <row r="2936" spans="1:40" x14ac:dyDescent="0.25">
      <c r="A2936" t="str">
        <f>"20190312164324156"</f>
        <v>20190312164324156</v>
      </c>
      <c r="B2936" t="str">
        <f>"1552380204147316"</f>
        <v>1552380204147316</v>
      </c>
      <c r="C2936" t="s">
        <v>40</v>
      </c>
      <c r="D2936">
        <v>5.0782999999999996</v>
      </c>
      <c r="E2936">
        <v>0.53308849999999997</v>
      </c>
      <c r="F2936" t="s">
        <v>45</v>
      </c>
      <c r="G2936">
        <v>-206.5598</v>
      </c>
      <c r="H2936" s="1">
        <v>5.4317960000000001E-6</v>
      </c>
      <c r="I2936">
        <v>211.1181</v>
      </c>
      <c r="J2936">
        <v>-224.32060000000001</v>
      </c>
      <c r="K2936">
        <v>1.1060270000000001</v>
      </c>
      <c r="L2936">
        <v>215.6893</v>
      </c>
      <c r="M2936">
        <v>0.99941139999999995</v>
      </c>
      <c r="N2936">
        <v>0</v>
      </c>
      <c r="O2936">
        <v>3.1206500000000002E-2</v>
      </c>
      <c r="P2936">
        <v>0.97090240000000005</v>
      </c>
      <c r="Q2936">
        <v>0.14433989999999999</v>
      </c>
      <c r="R2936">
        <v>-0.19108829999999999</v>
      </c>
      <c r="S2936">
        <v>2.9714809999999998</v>
      </c>
      <c r="T2936">
        <v>-0.18070420000000001</v>
      </c>
      <c r="U2936">
        <v>-0.74505619999999995</v>
      </c>
      <c r="V2936">
        <v>0.22287680000000001</v>
      </c>
      <c r="W2936">
        <v>0.15583150000000001</v>
      </c>
      <c r="X2936">
        <v>0.96231100000000003</v>
      </c>
      <c r="Y2936">
        <v>0.27283180000000001</v>
      </c>
      <c r="Z2936">
        <v>-1.0031139999999999E-2</v>
      </c>
      <c r="AA2936">
        <v>0.96200949999999996</v>
      </c>
      <c r="AB2936">
        <v>38</v>
      </c>
      <c r="AC2936">
        <v>17.7608</v>
      </c>
      <c r="AD2936">
        <v>-1.106021568204</v>
      </c>
      <c r="AE2936">
        <v>-4.5712000000000002</v>
      </c>
      <c r="AF2936">
        <v>5.1047158794771299</v>
      </c>
      <c r="AG2936">
        <v>-1.106021568204</v>
      </c>
      <c r="AH2936">
        <v>17.5456683359963</v>
      </c>
      <c r="AI2936">
        <v>93.463721099265001</v>
      </c>
      <c r="AJ2936">
        <v>73.778236358125696</v>
      </c>
      <c r="AK2936">
        <v>18.306607694390099</v>
      </c>
      <c r="AL2936">
        <v>81.034976233021595</v>
      </c>
      <c r="AM2936">
        <v>76.959883702429806</v>
      </c>
      <c r="AN2936">
        <v>0.99999999254574501</v>
      </c>
    </row>
    <row r="2937" spans="1:40" x14ac:dyDescent="0.25">
      <c r="A2937" t="str">
        <f>"20190312164324177"</f>
        <v>20190312164324177</v>
      </c>
      <c r="B2937" t="str">
        <f>"1552380204167812"</f>
        <v>1552380204167812</v>
      </c>
      <c r="C2937" t="s">
        <v>40</v>
      </c>
      <c r="D2937">
        <v>5.2009259999999999</v>
      </c>
      <c r="E2937">
        <v>0.53287299999999904</v>
      </c>
      <c r="F2937" t="s">
        <v>45</v>
      </c>
      <c r="G2937">
        <v>-206.6995</v>
      </c>
      <c r="H2937" s="1">
        <v>5.4906800000000001E-6</v>
      </c>
      <c r="I2937">
        <v>211.1534</v>
      </c>
      <c r="J2937">
        <v>-223.95410000000001</v>
      </c>
      <c r="K2937">
        <v>1.106082</v>
      </c>
      <c r="L2937">
        <v>215.69739999999999</v>
      </c>
      <c r="M2937">
        <v>0.99951860000000003</v>
      </c>
      <c r="N2937">
        <v>0</v>
      </c>
      <c r="O2937">
        <v>2.7563259999999999E-2</v>
      </c>
      <c r="P2937">
        <v>0.96966269999999999</v>
      </c>
      <c r="Q2937">
        <v>0.14429620000000001</v>
      </c>
      <c r="R2937">
        <v>-0.1973153</v>
      </c>
      <c r="S2937">
        <v>2.9672550000000002</v>
      </c>
      <c r="T2937">
        <v>-0.18624579999999999</v>
      </c>
      <c r="U2937">
        <v>-0.76380919999999997</v>
      </c>
      <c r="V2937">
        <v>0.2255289</v>
      </c>
      <c r="W2937">
        <v>0.15577969999999999</v>
      </c>
      <c r="X2937">
        <v>0.96170129999999998</v>
      </c>
      <c r="Y2937">
        <v>0.27532719999999999</v>
      </c>
      <c r="Z2937">
        <v>-1.019641E-2</v>
      </c>
      <c r="AA2937">
        <v>0.9612965</v>
      </c>
      <c r="AB2937">
        <v>38</v>
      </c>
      <c r="AC2937">
        <v>17.2546</v>
      </c>
      <c r="AD2937">
        <v>-1.10607650932</v>
      </c>
      <c r="AE2937">
        <v>-4.5439999999999801</v>
      </c>
      <c r="AF2937">
        <v>4.9987058206382198</v>
      </c>
      <c r="AG2937">
        <v>-1.10607650932</v>
      </c>
      <c r="AH2937">
        <v>17.057236543609299</v>
      </c>
      <c r="AI2937">
        <v>93.5608062781819</v>
      </c>
      <c r="AJ2937">
        <v>73.666521566888903</v>
      </c>
      <c r="AK2937">
        <v>17.808980420854901</v>
      </c>
      <c r="AL2937">
        <v>81.037980870142206</v>
      </c>
      <c r="AM2937">
        <v>76.802038814718998</v>
      </c>
      <c r="AN2937">
        <v>0.99999999504449399</v>
      </c>
    </row>
    <row r="2938" spans="1:40" x14ac:dyDescent="0.25">
      <c r="A2938" t="str">
        <f>"20190312164324199"</f>
        <v>20190312164324199</v>
      </c>
      <c r="B2938" t="str">
        <f>"1552380204187333"</f>
        <v>1552380204187333</v>
      </c>
      <c r="C2938" t="s">
        <v>40</v>
      </c>
      <c r="D2938">
        <v>5.2042070000000002</v>
      </c>
      <c r="E2938">
        <v>0.53244829999999999</v>
      </c>
      <c r="F2938" t="s">
        <v>45</v>
      </c>
      <c r="G2938">
        <v>-206.55439999999999</v>
      </c>
      <c r="H2938" s="1">
        <v>5.4303759999999999E-6</v>
      </c>
      <c r="I2938">
        <v>211.1071</v>
      </c>
      <c r="J2938">
        <v>-223.58009999999999</v>
      </c>
      <c r="K2938">
        <v>1.1061430000000001</v>
      </c>
      <c r="L2938">
        <v>215.7045</v>
      </c>
      <c r="M2938">
        <v>0.99961270000000002</v>
      </c>
      <c r="N2938">
        <v>0</v>
      </c>
      <c r="O2938">
        <v>2.3911769999999999E-2</v>
      </c>
      <c r="P2938">
        <v>0.96846869999999996</v>
      </c>
      <c r="Q2938">
        <v>0.14430689999999999</v>
      </c>
      <c r="R2938">
        <v>-0.20308699999999999</v>
      </c>
      <c r="S2938">
        <v>2.9628299999999999</v>
      </c>
      <c r="T2938">
        <v>-0.18834300000000001</v>
      </c>
      <c r="U2938">
        <v>-0.78163149999999904</v>
      </c>
      <c r="V2938">
        <v>0.2277237</v>
      </c>
      <c r="W2938">
        <v>0.15579289999999901</v>
      </c>
      <c r="X2938">
        <v>0.96118179999999998</v>
      </c>
      <c r="Y2938">
        <v>0.27756550000000002</v>
      </c>
      <c r="Z2938">
        <v>-1.015978E-2</v>
      </c>
      <c r="AA2938">
        <v>0.96065299999999998</v>
      </c>
      <c r="AB2938">
        <v>38</v>
      </c>
      <c r="AC2938">
        <v>17.025700000000001</v>
      </c>
      <c r="AD2938">
        <v>-1.1061375696239999</v>
      </c>
      <c r="AE2938">
        <v>-4.5973999999999897</v>
      </c>
      <c r="AF2938">
        <v>4.9836350784701402</v>
      </c>
      <c r="AG2938">
        <v>-1.1061375696239999</v>
      </c>
      <c r="AH2938">
        <v>16.844619709230599</v>
      </c>
      <c r="AI2938">
        <v>93.603100631300705</v>
      </c>
      <c r="AJ2938">
        <v>73.518665923967006</v>
      </c>
      <c r="AK2938">
        <v>17.601175303566801</v>
      </c>
      <c r="AL2938">
        <v>81.037215099427499</v>
      </c>
      <c r="AM2938">
        <v>76.671214156360406</v>
      </c>
      <c r="AN2938">
        <v>0.99999998194166895</v>
      </c>
    </row>
    <row r="2939" spans="1:40" x14ac:dyDescent="0.25">
      <c r="A2939" t="str">
        <f>"20190312164324219"</f>
        <v>20190312164324219</v>
      </c>
      <c r="B2939" t="str">
        <f>"1552380204207829"</f>
        <v>1552380204207829</v>
      </c>
      <c r="C2939" t="s">
        <v>40</v>
      </c>
      <c r="D2939">
        <v>5.2270919999999998</v>
      </c>
      <c r="E2939">
        <v>0.53188019999999903</v>
      </c>
      <c r="F2939" t="s">
        <v>45</v>
      </c>
      <c r="G2939">
        <v>-206.48050000000001</v>
      </c>
      <c r="H2939" s="1">
        <v>5.3978759999999998E-6</v>
      </c>
      <c r="I2939">
        <v>211.10419999999999</v>
      </c>
      <c r="J2939">
        <v>-223.22919999999999</v>
      </c>
      <c r="K2939">
        <v>1.1062069999999999</v>
      </c>
      <c r="L2939">
        <v>215.7099</v>
      </c>
      <c r="M2939">
        <v>0.99968729999999995</v>
      </c>
      <c r="N2939">
        <v>0</v>
      </c>
      <c r="O2939">
        <v>2.0555589999999999E-2</v>
      </c>
      <c r="P2939">
        <v>0.96724600000000005</v>
      </c>
      <c r="Q2939">
        <v>0.1446607</v>
      </c>
      <c r="R2939">
        <v>-0.20858650000000001</v>
      </c>
      <c r="S2939">
        <v>2.9592290000000001</v>
      </c>
      <c r="T2939">
        <v>-0.19142680000000001</v>
      </c>
      <c r="U2939">
        <v>-0.79611209999999999</v>
      </c>
      <c r="V2939">
        <v>0.22993859999999999</v>
      </c>
      <c r="W2939">
        <v>0.15615079999999901</v>
      </c>
      <c r="X2939">
        <v>0.96059629999999996</v>
      </c>
      <c r="Y2939">
        <v>0.27900219999999998</v>
      </c>
      <c r="Z2939">
        <v>-1.0163780000000001E-2</v>
      </c>
      <c r="AA2939">
        <v>0.96023670000000005</v>
      </c>
      <c r="AB2939">
        <v>38</v>
      </c>
      <c r="AC2939">
        <v>16.7486999999999</v>
      </c>
      <c r="AD2939">
        <v>-1.106201602124</v>
      </c>
      <c r="AE2939">
        <v>-4.6057000000000103</v>
      </c>
      <c r="AF2939">
        <v>4.9290510585571896</v>
      </c>
      <c r="AG2939">
        <v>-1.106201602124</v>
      </c>
      <c r="AH2939">
        <v>16.583224168561198</v>
      </c>
      <c r="AI2939">
        <v>93.658588407657405</v>
      </c>
      <c r="AJ2939">
        <v>73.446410021374305</v>
      </c>
      <c r="AK2939">
        <v>17.335586236039401</v>
      </c>
      <c r="AL2939">
        <v>81.016455407898505</v>
      </c>
      <c r="AM2939">
        <v>76.538364583748603</v>
      </c>
      <c r="AN2939">
        <v>1.00000004184214</v>
      </c>
    </row>
    <row r="2940" spans="1:40" x14ac:dyDescent="0.25">
      <c r="A2940" t="str">
        <f>"20190312164324239"</f>
        <v>20190312164324239</v>
      </c>
      <c r="B2940" t="str">
        <f>"1552380204227349"</f>
        <v>1552380204227349</v>
      </c>
      <c r="C2940" t="s">
        <v>40</v>
      </c>
      <c r="D2940">
        <v>5.0487880000000001</v>
      </c>
      <c r="E2940">
        <v>0.53107660000000001</v>
      </c>
      <c r="F2940" t="s">
        <v>45</v>
      </c>
      <c r="G2940">
        <v>-206.50290000000001</v>
      </c>
      <c r="H2940" s="1">
        <v>5.4044539999999997E-6</v>
      </c>
      <c r="I2940">
        <v>211.14230000000001</v>
      </c>
      <c r="J2940">
        <v>-222.90450000000001</v>
      </c>
      <c r="K2940">
        <v>1.1062879999999999</v>
      </c>
      <c r="L2940">
        <v>215.7139</v>
      </c>
      <c r="M2940">
        <v>0.99974529999999995</v>
      </c>
      <c r="N2940">
        <v>0</v>
      </c>
      <c r="O2940">
        <v>1.7517899999999999E-2</v>
      </c>
      <c r="P2940">
        <v>0.96615269999999998</v>
      </c>
      <c r="Q2940">
        <v>0.14459359999999999</v>
      </c>
      <c r="R2940">
        <v>-0.21364069999999999</v>
      </c>
      <c r="S2940">
        <v>2.9567109999999999</v>
      </c>
      <c r="T2940">
        <v>-0.19554270000000001</v>
      </c>
      <c r="U2940">
        <v>-0.8074036</v>
      </c>
      <c r="V2940">
        <v>0.23201769999999999</v>
      </c>
      <c r="W2940">
        <v>0.15609389999999901</v>
      </c>
      <c r="X2940">
        <v>0.96010549999999995</v>
      </c>
      <c r="Y2940">
        <v>0.27968500000000002</v>
      </c>
      <c r="Z2940">
        <v>-1.0210139999999999E-2</v>
      </c>
      <c r="AA2940">
        <v>0.96003749999999999</v>
      </c>
      <c r="AB2940">
        <v>38</v>
      </c>
      <c r="AC2940">
        <v>16.401599999999998</v>
      </c>
      <c r="AD2940">
        <v>-1.1062825955459901</v>
      </c>
      <c r="AE2940">
        <v>-4.5715999999999797</v>
      </c>
      <c r="AF2940">
        <v>4.8378261797044599</v>
      </c>
      <c r="AG2940">
        <v>-1.1062825955459901</v>
      </c>
      <c r="AH2940">
        <v>16.2503888380825</v>
      </c>
      <c r="AI2940">
        <v>93.733102900033202</v>
      </c>
      <c r="AJ2940">
        <v>73.421454854590493</v>
      </c>
      <c r="AK2940">
        <v>16.991278960546701</v>
      </c>
      <c r="AL2940">
        <v>81.019756038475407</v>
      </c>
      <c r="AM2940">
        <v>76.414448349975601</v>
      </c>
      <c r="AN2940">
        <v>1.0000000449303701</v>
      </c>
    </row>
    <row r="2941" spans="1:40" x14ac:dyDescent="0.25">
      <c r="A2941" t="str">
        <f>"20190312164324262"</f>
        <v>20190312164324262</v>
      </c>
      <c r="B2941" t="str">
        <f>"1552380204257605"</f>
        <v>1552380204257605</v>
      </c>
      <c r="C2941" t="s">
        <v>40</v>
      </c>
      <c r="D2941">
        <v>5.0468409999999997</v>
      </c>
      <c r="E2941">
        <v>0.52977059999999998</v>
      </c>
      <c r="F2941" t="s">
        <v>45</v>
      </c>
      <c r="G2941">
        <v>-206.29939999999999</v>
      </c>
      <c r="H2941" s="1">
        <v>5.3158640000000001E-6</v>
      </c>
      <c r="I2941">
        <v>211.12350000000001</v>
      </c>
      <c r="J2941">
        <v>-222.50200000000001</v>
      </c>
      <c r="K2941">
        <v>1.10639</v>
      </c>
      <c r="L2941">
        <v>215.7176</v>
      </c>
      <c r="M2941">
        <v>0.99980279999999999</v>
      </c>
      <c r="N2941">
        <v>0</v>
      </c>
      <c r="O2941">
        <v>1.384934E-2</v>
      </c>
      <c r="P2941">
        <v>0.96512869999999995</v>
      </c>
      <c r="Q2941">
        <v>0.14369000000000001</v>
      </c>
      <c r="R2941">
        <v>-0.21881529999999999</v>
      </c>
      <c r="S2941">
        <v>2.9539949999999999</v>
      </c>
      <c r="T2941">
        <v>-0.19680439999999999</v>
      </c>
      <c r="U2941">
        <v>-0.81661989999999995</v>
      </c>
      <c r="V2941">
        <v>0.23359859999999999</v>
      </c>
      <c r="W2941">
        <v>0.15522339999999901</v>
      </c>
      <c r="X2941">
        <v>0.95986320000000003</v>
      </c>
      <c r="Y2941">
        <v>0.27917229999999998</v>
      </c>
      <c r="Z2941">
        <v>-1.0024160000000001E-2</v>
      </c>
      <c r="AA2941">
        <v>0.96018870000000001</v>
      </c>
      <c r="AB2941">
        <v>38</v>
      </c>
      <c r="AC2941">
        <v>16.2026</v>
      </c>
      <c r="AD2941">
        <v>-1.1063846841360001</v>
      </c>
      <c r="AE2941">
        <v>-4.5940999999999903</v>
      </c>
      <c r="AF2941">
        <v>4.7973729055548704</v>
      </c>
      <c r="AG2941">
        <v>-1.1063846841360001</v>
      </c>
      <c r="AH2941">
        <v>16.068067669409</v>
      </c>
      <c r="AI2941">
        <v>93.774800472538701</v>
      </c>
      <c r="AJ2941">
        <v>73.376182545574594</v>
      </c>
      <c r="AK2941">
        <v>16.8054060496302</v>
      </c>
      <c r="AL2941">
        <v>81.070246930591594</v>
      </c>
      <c r="AM2941">
        <v>76.322022506997499</v>
      </c>
      <c r="AN2941">
        <v>0.99999998627187903</v>
      </c>
    </row>
    <row r="2942" spans="1:40" x14ac:dyDescent="0.25">
      <c r="A2942" t="str">
        <f>"20190312164324286"</f>
        <v>20190312164324286</v>
      </c>
      <c r="B2942" t="str">
        <f>"1552380204277126"</f>
        <v>1552380204277126</v>
      </c>
      <c r="C2942" t="s">
        <v>40</v>
      </c>
      <c r="D2942">
        <v>5.2120620000000004</v>
      </c>
      <c r="E2942">
        <v>0.52191390000000004</v>
      </c>
      <c r="F2942" t="s">
        <v>45</v>
      </c>
      <c r="G2942">
        <v>-206.1765</v>
      </c>
      <c r="H2942" s="1">
        <v>5.2580689999999999E-6</v>
      </c>
      <c r="I2942">
        <v>211.16139999999999</v>
      </c>
      <c r="J2942">
        <v>-222.0849</v>
      </c>
      <c r="K2942">
        <v>1.1064989999999999</v>
      </c>
      <c r="L2942">
        <v>215.71979999999999</v>
      </c>
      <c r="M2942">
        <v>0.99984720000000005</v>
      </c>
      <c r="N2942">
        <v>0</v>
      </c>
      <c r="O2942">
        <v>1.018114E-2</v>
      </c>
      <c r="P2942">
        <v>0.96413610000000005</v>
      </c>
      <c r="Q2942">
        <v>0.14185699999999901</v>
      </c>
      <c r="R2942">
        <v>-0.22431770000000001</v>
      </c>
      <c r="S2942">
        <v>2.9514010000000002</v>
      </c>
      <c r="T2942">
        <v>-0.2000178</v>
      </c>
      <c r="U2942">
        <v>-0.82368469999999905</v>
      </c>
      <c r="V2942">
        <v>0.2355005</v>
      </c>
      <c r="W2942">
        <v>0.15342839999999999</v>
      </c>
      <c r="X2942">
        <v>0.95968710000000002</v>
      </c>
      <c r="Y2942">
        <v>0.27799020000000002</v>
      </c>
      <c r="Z2942">
        <v>-9.9097549999999993E-3</v>
      </c>
      <c r="AA2942">
        <v>0.96053279999999996</v>
      </c>
      <c r="AB2942">
        <v>38</v>
      </c>
      <c r="AC2942">
        <v>15.9084</v>
      </c>
      <c r="AD2942">
        <v>-1.1064937419309999</v>
      </c>
      <c r="AE2942">
        <v>-4.5583999999999998</v>
      </c>
      <c r="AF2942">
        <v>4.6991372723546698</v>
      </c>
      <c r="AG2942">
        <v>-1.1064937419309999</v>
      </c>
      <c r="AH2942">
        <v>15.7905660659299</v>
      </c>
      <c r="AI2942">
        <v>93.8423405151796</v>
      </c>
      <c r="AJ2942">
        <v>73.427445415721095</v>
      </c>
      <c r="AK2942">
        <v>16.5120621421996</v>
      </c>
      <c r="AL2942">
        <v>81.174340424970296</v>
      </c>
      <c r="AM2942">
        <v>76.212458869910193</v>
      </c>
      <c r="AN2942">
        <v>1.0000000446666</v>
      </c>
    </row>
    <row r="2943" spans="1:40" x14ac:dyDescent="0.25">
      <c r="A2943" t="str">
        <f>"20190312164324309"</f>
        <v>20190312164324309</v>
      </c>
      <c r="B2943" t="str">
        <f>"1552380204297621"</f>
        <v>1552380204297621</v>
      </c>
      <c r="C2943" t="s">
        <v>40</v>
      </c>
      <c r="D2943">
        <v>5.1542459999999997</v>
      </c>
      <c r="E2943">
        <v>0.52514930000000004</v>
      </c>
      <c r="F2943" t="s">
        <v>45</v>
      </c>
      <c r="G2943">
        <v>-209.54679999999999</v>
      </c>
      <c r="H2943" s="1">
        <v>6.639986E-6</v>
      </c>
      <c r="I2943">
        <v>212.4502</v>
      </c>
      <c r="J2943">
        <v>-221.70439999999999</v>
      </c>
      <c r="K2943">
        <v>1.106592</v>
      </c>
      <c r="L2943">
        <v>215.72069999999999</v>
      </c>
      <c r="M2943">
        <v>0.99987499999999996</v>
      </c>
      <c r="N2943">
        <v>0</v>
      </c>
      <c r="O2943">
        <v>6.9334979999999997E-3</v>
      </c>
      <c r="P2943">
        <v>0.96321369999999895</v>
      </c>
      <c r="Q2943">
        <v>0.1401559</v>
      </c>
      <c r="R2943">
        <v>-0.229294</v>
      </c>
      <c r="S2943">
        <v>2.9699550000000001</v>
      </c>
      <c r="T2943">
        <v>-0.26210109999999998</v>
      </c>
      <c r="U2943">
        <v>-0.77450559999999902</v>
      </c>
      <c r="V2943">
        <v>0.237292</v>
      </c>
      <c r="W2943">
        <v>0.15176110000000001</v>
      </c>
      <c r="X2943">
        <v>0.95951090000000006</v>
      </c>
      <c r="Y2943">
        <v>0.25807980000000003</v>
      </c>
      <c r="Z2943">
        <v>-1.1780799999999999E-2</v>
      </c>
      <c r="AA2943">
        <v>0.96605180000000002</v>
      </c>
      <c r="AB2943">
        <v>38</v>
      </c>
      <c r="AC2943">
        <v>12.1576</v>
      </c>
      <c r="AD2943">
        <v>-1.1065853600139901</v>
      </c>
      <c r="AE2943">
        <v>-3.27049999999999</v>
      </c>
      <c r="AF2943">
        <v>3.3290060666540602</v>
      </c>
      <c r="AG2943">
        <v>-1.1065853600139901</v>
      </c>
      <c r="AH2943">
        <v>12.0416010315999</v>
      </c>
      <c r="AI2943">
        <v>95.061726055828004</v>
      </c>
      <c r="AJ2943">
        <v>74.546073473274504</v>
      </c>
      <c r="AK2943">
        <v>12.5422074594166</v>
      </c>
      <c r="AL2943">
        <v>81.271001712591399</v>
      </c>
      <c r="AM2943">
        <v>76.109168665885306</v>
      </c>
      <c r="AN2943">
        <v>1.0000000459780001</v>
      </c>
    </row>
    <row r="2944" spans="1:40" x14ac:dyDescent="0.25">
      <c r="A2944" t="str">
        <f>"20190312164324335"</f>
        <v>20190312164324335</v>
      </c>
      <c r="B2944" t="str">
        <f>"1552380204327877"</f>
        <v>1552380204327877</v>
      </c>
      <c r="C2944" t="s">
        <v>40</v>
      </c>
      <c r="D2944">
        <v>5.0284089999999999</v>
      </c>
      <c r="E2944">
        <v>0.52205429999999997</v>
      </c>
      <c r="F2944" t="s">
        <v>45</v>
      </c>
      <c r="G2944">
        <v>-208.96950000000001</v>
      </c>
      <c r="H2944" s="1">
        <v>6.40536999999999E-6</v>
      </c>
      <c r="I2944">
        <v>212.2054</v>
      </c>
      <c r="J2944">
        <v>-221.25899999999999</v>
      </c>
      <c r="K2944">
        <v>1.1067199999999999</v>
      </c>
      <c r="L2944">
        <v>215.72040000000001</v>
      </c>
      <c r="M2944">
        <v>0.9998937</v>
      </c>
      <c r="N2944">
        <v>0</v>
      </c>
      <c r="O2944">
        <v>3.275769E-3</v>
      </c>
      <c r="P2944">
        <v>0.96186950000000004</v>
      </c>
      <c r="Q2944">
        <v>0.13960229999999901</v>
      </c>
      <c r="R2944">
        <v>-0.23519809999999999</v>
      </c>
      <c r="S2944">
        <v>2.957611</v>
      </c>
      <c r="T2944">
        <v>-0.25699840000000002</v>
      </c>
      <c r="U2944">
        <v>-0.81640630000000003</v>
      </c>
      <c r="V2944">
        <v>0.239621</v>
      </c>
      <c r="W2944">
        <v>0.15124689999999999</v>
      </c>
      <c r="X2944">
        <v>0.95901309999999995</v>
      </c>
      <c r="Y2944">
        <v>0.26828990000000003</v>
      </c>
      <c r="Z2944">
        <v>-1.1701029999999999E-2</v>
      </c>
      <c r="AA2944">
        <v>0.96326710000000004</v>
      </c>
      <c r="AB2944">
        <v>38</v>
      </c>
      <c r="AC2944">
        <v>12.2895</v>
      </c>
      <c r="AD2944">
        <v>-1.10671359463</v>
      </c>
      <c r="AE2944">
        <v>-3.5150000000000099</v>
      </c>
      <c r="AF2944">
        <v>3.52878953716893</v>
      </c>
      <c r="AG2944">
        <v>-1.10671359463</v>
      </c>
      <c r="AH2944">
        <v>12.1865631761942</v>
      </c>
      <c r="AI2944">
        <v>94.985338519610195</v>
      </c>
      <c r="AJ2944">
        <v>73.850888629999602</v>
      </c>
      <c r="AK2944">
        <v>12.7353638591735</v>
      </c>
      <c r="AL2944">
        <v>81.300806741978107</v>
      </c>
      <c r="AM2944">
        <v>75.971194615009694</v>
      </c>
      <c r="AN2944">
        <v>0.99999998718610905</v>
      </c>
    </row>
    <row r="2945" spans="1:40" x14ac:dyDescent="0.25">
      <c r="A2945" t="str">
        <f>"20190312164324370"</f>
        <v>20190312164324370</v>
      </c>
      <c r="B2945" t="str">
        <f>"1552380204357157"</f>
        <v>1552380204357157</v>
      </c>
      <c r="C2945" t="s">
        <v>40</v>
      </c>
      <c r="D2945">
        <v>4.9626929999999998</v>
      </c>
      <c r="E2945">
        <v>0.52089390000000002</v>
      </c>
      <c r="F2945" t="s">
        <v>45</v>
      </c>
      <c r="G2945">
        <v>-208.8133</v>
      </c>
      <c r="H2945" s="1">
        <v>6.3267269999999996E-6</v>
      </c>
      <c r="I2945">
        <v>212.3126</v>
      </c>
      <c r="J2945">
        <v>-220.66480000000001</v>
      </c>
      <c r="K2945">
        <v>1.1069420000000001</v>
      </c>
      <c r="L2945">
        <v>215.7175</v>
      </c>
      <c r="M2945">
        <v>0.99989839999999997</v>
      </c>
      <c r="N2945">
        <v>0</v>
      </c>
      <c r="O2945">
        <v>-1.2951589999999999E-3</v>
      </c>
      <c r="P2945">
        <v>0.95935939999999997</v>
      </c>
      <c r="Q2945">
        <v>0.13962629999999901</v>
      </c>
      <c r="R2945">
        <v>-0.24522330000000001</v>
      </c>
      <c r="S2945">
        <v>2.9590299999999998</v>
      </c>
      <c r="T2945">
        <v>-0.26312659999999999</v>
      </c>
      <c r="U2945">
        <v>-0.81021119999999902</v>
      </c>
      <c r="V2945">
        <v>0.2451797</v>
      </c>
      <c r="W2945">
        <v>0.1513129</v>
      </c>
      <c r="X2945">
        <v>0.95759669999999997</v>
      </c>
      <c r="Y2945">
        <v>0.26188289999999997</v>
      </c>
      <c r="Z2945">
        <v>-1.1299109999999999E-2</v>
      </c>
      <c r="AA2945">
        <v>0.96503349999999999</v>
      </c>
      <c r="AB2945">
        <v>38</v>
      </c>
      <c r="AC2945">
        <v>11.8515</v>
      </c>
      <c r="AD2945">
        <v>-1.106935673273</v>
      </c>
      <c r="AE2945">
        <v>-3.4048999999999898</v>
      </c>
      <c r="AF2945">
        <v>3.3624497099744102</v>
      </c>
      <c r="AG2945">
        <v>-1.106935673273</v>
      </c>
      <c r="AH2945">
        <v>11.7611233451546</v>
      </c>
      <c r="AI2945">
        <v>95.170758650873296</v>
      </c>
      <c r="AJ2945">
        <v>74.045016744454898</v>
      </c>
      <c r="AK2945">
        <v>12.282320504563099</v>
      </c>
      <c r="AL2945">
        <v>81.296981825674095</v>
      </c>
      <c r="AM2945">
        <v>75.638701222572095</v>
      </c>
      <c r="AN2945">
        <v>1.0000000594246901</v>
      </c>
    </row>
    <row r="2946" spans="1:40" x14ac:dyDescent="0.25">
      <c r="A2946" t="str">
        <f>"20190312164324404"</f>
        <v>20190312164324404</v>
      </c>
      <c r="B2946" t="str">
        <f>"1552380204397176"</f>
        <v>1552380204397176</v>
      </c>
      <c r="C2946" t="s">
        <v>40</v>
      </c>
      <c r="D2946">
        <v>4.9471509999999999</v>
      </c>
      <c r="E2946">
        <v>0.5199722</v>
      </c>
      <c r="F2946" t="s">
        <v>45</v>
      </c>
      <c r="G2946">
        <v>-207.535</v>
      </c>
      <c r="H2946" s="1">
        <v>5.7873130000000002E-6</v>
      </c>
      <c r="I2946">
        <v>211.9984</v>
      </c>
      <c r="J2946">
        <v>-220.09209999999999</v>
      </c>
      <c r="K2946">
        <v>1.1071549999999999</v>
      </c>
      <c r="L2946">
        <v>215.71260000000001</v>
      </c>
      <c r="M2946">
        <v>0.99988500000000002</v>
      </c>
      <c r="N2946">
        <v>0</v>
      </c>
      <c r="O2946">
        <v>-5.3693819999999998E-3</v>
      </c>
      <c r="P2946">
        <v>0.95734509999999995</v>
      </c>
      <c r="Q2946">
        <v>0.13773239999999901</v>
      </c>
      <c r="R2946">
        <v>-0.25400929999999999</v>
      </c>
      <c r="S2946">
        <v>2.9497070000000001</v>
      </c>
      <c r="T2946">
        <v>-0.24868109999999999</v>
      </c>
      <c r="U2946">
        <v>-0.83552549999999903</v>
      </c>
      <c r="V2946">
        <v>0.24996930000000001</v>
      </c>
      <c r="W2946">
        <v>0.14948800000000001</v>
      </c>
      <c r="X2946">
        <v>0.95664450000000001</v>
      </c>
      <c r="Y2946">
        <v>0.26650669999999999</v>
      </c>
      <c r="Z2946">
        <v>-1.055589E-2</v>
      </c>
      <c r="AA2946">
        <v>0.9637753</v>
      </c>
      <c r="AB2946">
        <v>38</v>
      </c>
      <c r="AC2946">
        <v>12.557099999999901</v>
      </c>
      <c r="AD2946">
        <v>-1.107149212687</v>
      </c>
      <c r="AE2946">
        <v>-3.7141999999999999</v>
      </c>
      <c r="AF2946">
        <v>3.6208326381710298</v>
      </c>
      <c r="AG2946">
        <v>-1.107149212687</v>
      </c>
      <c r="AH2946">
        <v>12.4875975693926</v>
      </c>
      <c r="AI2946">
        <v>94.8671432519333</v>
      </c>
      <c r="AJ2946">
        <v>73.830256193756199</v>
      </c>
      <c r="AK2946">
        <v>13.0489961846841</v>
      </c>
      <c r="AL2946">
        <v>81.402743469607202</v>
      </c>
      <c r="AM2946">
        <v>75.356144696460106</v>
      </c>
      <c r="AN2946">
        <v>1.00000000623337</v>
      </c>
    </row>
    <row r="2947" spans="1:40" x14ac:dyDescent="0.25">
      <c r="A2947" t="str">
        <f>"20190312164324428"</f>
        <v>20190312164324428</v>
      </c>
      <c r="B2947" t="str">
        <f>"1552380204417670"</f>
        <v>1552380204417670</v>
      </c>
      <c r="C2947" t="s">
        <v>40</v>
      </c>
      <c r="D2947">
        <v>4.9301789999999999</v>
      </c>
      <c r="E2947">
        <v>0.51948989999999995</v>
      </c>
      <c r="F2947" t="s">
        <v>45</v>
      </c>
      <c r="G2947">
        <v>-207.0394</v>
      </c>
      <c r="H2947" s="1">
        <v>5.5758229999999996E-6</v>
      </c>
      <c r="I2947">
        <v>211.90379999999999</v>
      </c>
      <c r="J2947">
        <v>-219.68459999999999</v>
      </c>
      <c r="K2947">
        <v>1.107308</v>
      </c>
      <c r="L2947">
        <v>215.70779999999999</v>
      </c>
      <c r="M2947">
        <v>0.99986699999999995</v>
      </c>
      <c r="N2947">
        <v>0</v>
      </c>
      <c r="O2947">
        <v>-8.0631019999999904E-3</v>
      </c>
      <c r="P2947">
        <v>0.95562060000000004</v>
      </c>
      <c r="Q2947">
        <v>0.1361174</v>
      </c>
      <c r="R2947">
        <v>-0.26126899999999997</v>
      </c>
      <c r="S2947">
        <v>2.9418030000000002</v>
      </c>
      <c r="T2947">
        <v>-0.24952959999999999</v>
      </c>
      <c r="U2947">
        <v>-0.858429</v>
      </c>
      <c r="V2947">
        <v>0.25459120000000002</v>
      </c>
      <c r="W2947">
        <v>0.14791260000000001</v>
      </c>
      <c r="X2947">
        <v>0.95567000000000002</v>
      </c>
      <c r="Y2947">
        <v>0.27149970000000001</v>
      </c>
      <c r="Z2947">
        <v>-1.0591659999999999E-2</v>
      </c>
      <c r="AA2947">
        <v>0.96238020000000002</v>
      </c>
      <c r="AB2947">
        <v>38</v>
      </c>
      <c r="AC2947">
        <v>12.6451999999999</v>
      </c>
      <c r="AD2947">
        <v>-1.107302424177</v>
      </c>
      <c r="AE2947">
        <v>-3.8039999999999998</v>
      </c>
      <c r="AF2947">
        <v>3.6760577957496801</v>
      </c>
      <c r="AG2947">
        <v>-1.107302424177</v>
      </c>
      <c r="AH2947">
        <v>12.586956952291899</v>
      </c>
      <c r="AI2947">
        <v>94.826864707992996</v>
      </c>
      <c r="AJ2947">
        <v>73.719400662910601</v>
      </c>
      <c r="AK2947">
        <v>13.1594454630554</v>
      </c>
      <c r="AL2947">
        <v>81.494021855142407</v>
      </c>
      <c r="AM2947">
        <v>75.082808419871796</v>
      </c>
      <c r="AN2947">
        <v>0.99999998262809897</v>
      </c>
    </row>
    <row r="2948" spans="1:40" x14ac:dyDescent="0.25">
      <c r="A2948" t="str">
        <f>"20190312164324450"</f>
        <v>20190312164324450</v>
      </c>
      <c r="B2948" t="str">
        <f>"1552380204437189"</f>
        <v>1552380204437189</v>
      </c>
      <c r="C2948" t="s">
        <v>40</v>
      </c>
      <c r="D2948">
        <v>5.23271</v>
      </c>
      <c r="E2948">
        <v>0.51900420000000003</v>
      </c>
      <c r="F2948" t="s">
        <v>45</v>
      </c>
      <c r="G2948">
        <v>-206.84010000000001</v>
      </c>
      <c r="H2948" s="1">
        <v>5.4903639999999998E-6</v>
      </c>
      <c r="I2948">
        <v>211.87039999999999</v>
      </c>
      <c r="J2948">
        <v>-219.30590000000001</v>
      </c>
      <c r="K2948">
        <v>1.1074459999999999</v>
      </c>
      <c r="L2948">
        <v>215.70249999999999</v>
      </c>
      <c r="M2948">
        <v>0.99984510000000004</v>
      </c>
      <c r="N2948">
        <v>0</v>
      </c>
      <c r="O2948">
        <v>-1.043928E-2</v>
      </c>
      <c r="P2948">
        <v>0.95392840000000001</v>
      </c>
      <c r="Q2948">
        <v>0.134465</v>
      </c>
      <c r="R2948">
        <v>-0.26821679999999998</v>
      </c>
      <c r="S2948">
        <v>2.9356080000000002</v>
      </c>
      <c r="T2948">
        <v>-0.25307390000000002</v>
      </c>
      <c r="U2948">
        <v>-0.87704470000000001</v>
      </c>
      <c r="V2948">
        <v>0.25922020000000001</v>
      </c>
      <c r="W2948">
        <v>0.14629110000000001</v>
      </c>
      <c r="X2948">
        <v>0.95467469999999999</v>
      </c>
      <c r="Y2948">
        <v>0.27533790000000002</v>
      </c>
      <c r="Z2948">
        <v>-1.0715479999999999E-2</v>
      </c>
      <c r="AA2948">
        <v>0.96128780000000003</v>
      </c>
      <c r="AB2948">
        <v>38</v>
      </c>
      <c r="AC2948">
        <v>12.4658</v>
      </c>
      <c r="AD2948">
        <v>-1.1074405096359901</v>
      </c>
      <c r="AE2948">
        <v>-3.8320999999999898</v>
      </c>
      <c r="AF2948">
        <v>3.6752425905363699</v>
      </c>
      <c r="AG2948">
        <v>-1.1074405096359901</v>
      </c>
      <c r="AH2948">
        <v>12.415602311787399</v>
      </c>
      <c r="AI2948">
        <v>94.888545660181606</v>
      </c>
      <c r="AJ2948">
        <v>73.510294553751194</v>
      </c>
      <c r="AK2948">
        <v>12.995422784432099</v>
      </c>
      <c r="AL2948">
        <v>81.587948838442898</v>
      </c>
      <c r="AM2948">
        <v>74.808896734031705</v>
      </c>
      <c r="AN2948">
        <v>0.99999999042366905</v>
      </c>
    </row>
    <row r="2949" spans="1:40" x14ac:dyDescent="0.25">
      <c r="A2949" t="str">
        <f>"20190312164324473"</f>
        <v>20190312164324473</v>
      </c>
      <c r="B2949" t="str">
        <f>"1552380204467445"</f>
        <v>1552380204467445</v>
      </c>
      <c r="C2949" t="s">
        <v>40</v>
      </c>
      <c r="D2949">
        <v>5.1121359999999996</v>
      </c>
      <c r="E2949">
        <v>0.51896350000000002</v>
      </c>
      <c r="F2949" t="s">
        <v>45</v>
      </c>
      <c r="G2949">
        <v>-206.59870000000001</v>
      </c>
      <c r="H2949" s="1">
        <v>5.3878740000000002E-6</v>
      </c>
      <c r="I2949">
        <v>211.81809999999999</v>
      </c>
      <c r="J2949">
        <v>-218.9265</v>
      </c>
      <c r="K2949">
        <v>1.107564</v>
      </c>
      <c r="L2949">
        <v>215.69640000000001</v>
      </c>
      <c r="M2949">
        <v>0.99981900000000001</v>
      </c>
      <c r="N2949">
        <v>0</v>
      </c>
      <c r="O2949">
        <v>-1.270228E-2</v>
      </c>
      <c r="P2949">
        <v>0.95223760000000002</v>
      </c>
      <c r="Q2949">
        <v>0.13316159999999999</v>
      </c>
      <c r="R2949">
        <v>-0.27479379999999998</v>
      </c>
      <c r="S2949">
        <v>2.929138</v>
      </c>
      <c r="T2949">
        <v>-0.25527759999999999</v>
      </c>
      <c r="U2949">
        <v>-0.89538569999999995</v>
      </c>
      <c r="V2949">
        <v>0.26359959999999999</v>
      </c>
      <c r="W2949">
        <v>0.14501639999999999</v>
      </c>
      <c r="X2949">
        <v>0.95366949999999995</v>
      </c>
      <c r="Y2949">
        <v>0.27923399999999998</v>
      </c>
      <c r="Z2949">
        <v>-1.079508E-2</v>
      </c>
      <c r="AA2949">
        <v>0.96016239999999997</v>
      </c>
      <c r="AB2949">
        <v>38</v>
      </c>
      <c r="AC2949">
        <v>12.3277999999999</v>
      </c>
      <c r="AD2949">
        <v>-1.1075586121259999</v>
      </c>
      <c r="AE2949">
        <v>-3.8783000000000198</v>
      </c>
      <c r="AF2949">
        <v>3.6942469308055799</v>
      </c>
      <c r="AG2949">
        <v>-1.1075586121259999</v>
      </c>
      <c r="AH2949">
        <v>12.285837290417399</v>
      </c>
      <c r="AI2949">
        <v>94.934159010509603</v>
      </c>
      <c r="AJ2949">
        <v>73.264413661778903</v>
      </c>
      <c r="AK2949">
        <v>12.876954002856101</v>
      </c>
      <c r="AL2949">
        <v>81.661771209109205</v>
      </c>
      <c r="AM2949">
        <v>74.5489024521478</v>
      </c>
      <c r="AN2949">
        <v>1.00000001030968</v>
      </c>
    </row>
    <row r="2950" spans="1:40" x14ac:dyDescent="0.25">
      <c r="A2950" t="str">
        <f>"20190312164324495"</f>
        <v>20190312164324495</v>
      </c>
      <c r="B2950" t="str">
        <f>"1552380204487941"</f>
        <v>1552380204487941</v>
      </c>
      <c r="C2950" t="s">
        <v>40</v>
      </c>
      <c r="D2950">
        <v>4.8233930000000003</v>
      </c>
      <c r="E2950">
        <v>0.51920429999999995</v>
      </c>
      <c r="F2950" t="s">
        <v>45</v>
      </c>
      <c r="G2950">
        <v>-206.11080000000001</v>
      </c>
      <c r="H2950" s="1">
        <v>5.1844449999999996E-6</v>
      </c>
      <c r="I2950">
        <v>211.67</v>
      </c>
      <c r="J2950">
        <v>-218.5264</v>
      </c>
      <c r="K2950">
        <v>1.107675</v>
      </c>
      <c r="L2950">
        <v>215.6891</v>
      </c>
      <c r="M2950">
        <v>0.99978739999999999</v>
      </c>
      <c r="N2950">
        <v>0</v>
      </c>
      <c r="O2950">
        <v>-1.4989499999999999E-2</v>
      </c>
      <c r="P2950">
        <v>0.95011670000000004</v>
      </c>
      <c r="Q2950">
        <v>0.13244010000000001</v>
      </c>
      <c r="R2950">
        <v>-0.28237889999999999</v>
      </c>
      <c r="S2950">
        <v>2.9209290000000001</v>
      </c>
      <c r="T2950">
        <v>-0.25243270000000001</v>
      </c>
      <c r="U2950">
        <v>-0.91769409999999896</v>
      </c>
      <c r="V2950">
        <v>0.26898359999999999</v>
      </c>
      <c r="W2950">
        <v>0.14430970000000001</v>
      </c>
      <c r="X2950">
        <v>0.95227229999999996</v>
      </c>
      <c r="Y2950">
        <v>0.28448499999999999</v>
      </c>
      <c r="Z2950">
        <v>-1.072072E-2</v>
      </c>
      <c r="AA2950">
        <v>0.95862049999999999</v>
      </c>
      <c r="AB2950">
        <v>38</v>
      </c>
      <c r="AC2950">
        <v>12.4155999999999</v>
      </c>
      <c r="AD2950">
        <v>-1.107669815555</v>
      </c>
      <c r="AE2950">
        <v>-4.0190999999999999</v>
      </c>
      <c r="AF2950">
        <v>3.80511205600226</v>
      </c>
      <c r="AG2950">
        <v>-1.107669815555</v>
      </c>
      <c r="AH2950">
        <v>12.385225532819</v>
      </c>
      <c r="AI2950">
        <v>94.886391072512694</v>
      </c>
      <c r="AJ2950">
        <v>72.921474891601605</v>
      </c>
      <c r="AK2950">
        <v>13.0038310384985</v>
      </c>
      <c r="AL2950">
        <v>81.702692503529093</v>
      </c>
      <c r="AM2950">
        <v>74.226870936050602</v>
      </c>
      <c r="AN2950">
        <v>0.99999999996516997</v>
      </c>
    </row>
    <row r="2951" spans="1:40" x14ac:dyDescent="0.25">
      <c r="A2951" t="str">
        <f>"20190312164324521"</f>
        <v>20190312164324521</v>
      </c>
      <c r="B2951" t="str">
        <f>"1552380204517221"</f>
        <v>1552380204517221</v>
      </c>
      <c r="C2951" t="s">
        <v>40</v>
      </c>
      <c r="D2951">
        <v>4.9984669999999998</v>
      </c>
      <c r="E2951">
        <v>0.51897749999999998</v>
      </c>
      <c r="F2951" t="s">
        <v>45</v>
      </c>
      <c r="G2951">
        <v>-205.7868</v>
      </c>
      <c r="H2951" s="1">
        <v>5.0508309999999998E-6</v>
      </c>
      <c r="I2951">
        <v>211.55510000000001</v>
      </c>
      <c r="J2951">
        <v>-218.11660000000001</v>
      </c>
      <c r="K2951">
        <v>1.107772</v>
      </c>
      <c r="L2951">
        <v>215.6808</v>
      </c>
      <c r="M2951">
        <v>0.99975099999999995</v>
      </c>
      <c r="N2951">
        <v>0</v>
      </c>
      <c r="O2951">
        <v>-1.7260609999999999E-2</v>
      </c>
      <c r="P2951">
        <v>0.9479071</v>
      </c>
      <c r="Q2951">
        <v>0.13100709999999999</v>
      </c>
      <c r="R2951">
        <v>-0.29036129999999999</v>
      </c>
      <c r="S2951">
        <v>2.9119570000000001</v>
      </c>
      <c r="T2951">
        <v>-0.25318669999999999</v>
      </c>
      <c r="U2951">
        <v>-0.94493099999999997</v>
      </c>
      <c r="V2951">
        <v>0.27479140000000002</v>
      </c>
      <c r="W2951">
        <v>0.142879799999999</v>
      </c>
      <c r="X2951">
        <v>0.95082860000000002</v>
      </c>
      <c r="Y2951">
        <v>0.29125659999999998</v>
      </c>
      <c r="Z2951">
        <v>-1.086382E-2</v>
      </c>
      <c r="AA2951">
        <v>0.95658330000000003</v>
      </c>
      <c r="AB2951">
        <v>38</v>
      </c>
      <c r="AC2951">
        <v>12.329800000000001</v>
      </c>
      <c r="AD2951">
        <v>-1.1077669491690001</v>
      </c>
      <c r="AE2951">
        <v>-4.1256999999999904</v>
      </c>
      <c r="AF2951">
        <v>3.8840486978681201</v>
      </c>
      <c r="AG2951">
        <v>-1.1077669491690001</v>
      </c>
      <c r="AH2951">
        <v>12.309821578592601</v>
      </c>
      <c r="AI2951">
        <v>94.905099949486001</v>
      </c>
      <c r="AJ2951">
        <v>72.4882446327412</v>
      </c>
      <c r="AK2951">
        <v>12.955488767231699</v>
      </c>
      <c r="AL2951">
        <v>81.785477590938896</v>
      </c>
      <c r="AM2951">
        <v>73.880598529886299</v>
      </c>
      <c r="AN2951">
        <v>0.99999998866997897</v>
      </c>
    </row>
    <row r="2952" spans="1:40" x14ac:dyDescent="0.25">
      <c r="A2952" t="str">
        <f>"20190312164324547"</f>
        <v>20190312164324547</v>
      </c>
      <c r="B2952" t="str">
        <f>"1552380204537718"</f>
        <v>1552380204537718</v>
      </c>
      <c r="C2952" t="s">
        <v>40</v>
      </c>
      <c r="D2952">
        <v>5.0790639999999998</v>
      </c>
      <c r="E2952">
        <v>0.51874310000000001</v>
      </c>
      <c r="F2952" t="s">
        <v>45</v>
      </c>
      <c r="G2952">
        <v>-205.36760000000001</v>
      </c>
      <c r="H2952" s="1">
        <v>4.8761989999999998E-6</v>
      </c>
      <c r="I2952">
        <v>211.42599999999999</v>
      </c>
      <c r="J2952">
        <v>-217.67679999999999</v>
      </c>
      <c r="K2952">
        <v>1.107856</v>
      </c>
      <c r="L2952">
        <v>215.67080000000001</v>
      </c>
      <c r="M2952">
        <v>0.99970689999999995</v>
      </c>
      <c r="N2952">
        <v>0</v>
      </c>
      <c r="O2952">
        <v>-1.9650259999999999E-2</v>
      </c>
      <c r="P2952">
        <v>0.94568110000000005</v>
      </c>
      <c r="Q2952">
        <v>0.13020139999999999</v>
      </c>
      <c r="R2952">
        <v>-0.29788439999999999</v>
      </c>
      <c r="S2952">
        <v>2.9029690000000001</v>
      </c>
      <c r="T2952">
        <v>-0.25223960000000001</v>
      </c>
      <c r="U2952">
        <v>-0.96882630000000003</v>
      </c>
      <c r="V2952">
        <v>0.28004689999999999</v>
      </c>
      <c r="W2952">
        <v>0.142069899999999</v>
      </c>
      <c r="X2952">
        <v>0.94941560000000003</v>
      </c>
      <c r="Y2952">
        <v>0.29693059999999899</v>
      </c>
      <c r="Z2952">
        <v>-1.0879639999999999E-2</v>
      </c>
      <c r="AA2952">
        <v>0.95483709999999999</v>
      </c>
      <c r="AB2952">
        <v>38</v>
      </c>
      <c r="AC2952">
        <v>12.309199999999899</v>
      </c>
      <c r="AD2952">
        <v>-1.107851123801</v>
      </c>
      <c r="AE2952">
        <v>-4.2448000000000201</v>
      </c>
      <c r="AF2952">
        <v>3.9733125576837698</v>
      </c>
      <c r="AG2952">
        <v>-1.107851123801</v>
      </c>
      <c r="AH2952">
        <v>12.3011890226171</v>
      </c>
      <c r="AI2952">
        <v>94.898324310873804</v>
      </c>
      <c r="AJ2952">
        <v>72.099423176457705</v>
      </c>
      <c r="AK2952">
        <v>12.9743515507986</v>
      </c>
      <c r="AL2952">
        <v>81.832360237963599</v>
      </c>
      <c r="AM2952">
        <v>73.565645276187198</v>
      </c>
      <c r="AN2952">
        <v>1.0000000521044801</v>
      </c>
    </row>
    <row r="2953" spans="1:40" x14ac:dyDescent="0.25">
      <c r="A2953" t="str">
        <f>"20190312164324566"</f>
        <v>20190312164324566</v>
      </c>
      <c r="B2953" t="str">
        <f>"1552380204557238"</f>
        <v>1552380204557238</v>
      </c>
      <c r="C2953" t="s">
        <v>40</v>
      </c>
      <c r="D2953">
        <v>4.7443489999999997</v>
      </c>
      <c r="E2953">
        <v>0.51853329999999997</v>
      </c>
      <c r="F2953" t="s">
        <v>45</v>
      </c>
      <c r="G2953">
        <v>-204.92080000000001</v>
      </c>
      <c r="H2953" s="1">
        <v>4.6895340000000003E-6</v>
      </c>
      <c r="I2953">
        <v>211.29490000000001</v>
      </c>
      <c r="J2953">
        <v>-217.33179999999999</v>
      </c>
      <c r="K2953">
        <v>1.107898</v>
      </c>
      <c r="L2953">
        <v>215.66220000000001</v>
      </c>
      <c r="M2953">
        <v>0.99966840000000001</v>
      </c>
      <c r="N2953">
        <v>0</v>
      </c>
      <c r="O2953">
        <v>-2.15213E-2</v>
      </c>
      <c r="P2953">
        <v>0.94370500000000002</v>
      </c>
      <c r="Q2953">
        <v>0.13024939999999999</v>
      </c>
      <c r="R2953">
        <v>-0.30406630000000001</v>
      </c>
      <c r="S2953">
        <v>2.8941650000000001</v>
      </c>
      <c r="T2953">
        <v>-0.25135649999999998</v>
      </c>
      <c r="U2953">
        <v>-0.99282840000000006</v>
      </c>
      <c r="V2953">
        <v>0.28447410000000001</v>
      </c>
      <c r="W2953">
        <v>0.14209869999999999</v>
      </c>
      <c r="X2953">
        <v>0.94809410000000005</v>
      </c>
      <c r="Y2953">
        <v>0.30310239999999999</v>
      </c>
      <c r="Z2953">
        <v>-1.096157E-2</v>
      </c>
      <c r="AA2953">
        <v>0.95289489999999999</v>
      </c>
      <c r="AB2953">
        <v>38</v>
      </c>
      <c r="AC2953">
        <v>12.4109999999999</v>
      </c>
      <c r="AD2953">
        <v>-1.107893310466</v>
      </c>
      <c r="AE2953">
        <v>-4.3673000000000002</v>
      </c>
      <c r="AF2953">
        <v>4.07029984811098</v>
      </c>
      <c r="AG2953">
        <v>-1.107893310466</v>
      </c>
      <c r="AH2953">
        <v>12.414100820967899</v>
      </c>
      <c r="AI2953">
        <v>94.847244412981397</v>
      </c>
      <c r="AJ2953">
        <v>71.846865466272007</v>
      </c>
      <c r="AK2953">
        <v>13.1112420324721</v>
      </c>
      <c r="AL2953">
        <v>81.830692681904495</v>
      </c>
      <c r="AM2953">
        <v>73.298212641356798</v>
      </c>
      <c r="AN2953">
        <v>0.999999988283654</v>
      </c>
    </row>
    <row r="2954" spans="1:40" x14ac:dyDescent="0.25">
      <c r="A2954" t="str">
        <f>"20190312164324585"</f>
        <v>20190312164324585</v>
      </c>
      <c r="B2954" t="str">
        <f>"1552380204577733"</f>
        <v>1552380204577733</v>
      </c>
      <c r="C2954" t="s">
        <v>40</v>
      </c>
      <c r="D2954">
        <v>4.6999009999999997</v>
      </c>
      <c r="E2954">
        <v>0.51848499999999997</v>
      </c>
      <c r="F2954" t="s">
        <v>45</v>
      </c>
      <c r="G2954">
        <v>-204.4725</v>
      </c>
      <c r="H2954" s="1">
        <v>4.5034820000000001E-6</v>
      </c>
      <c r="I2954">
        <v>211.14879999999999</v>
      </c>
      <c r="J2954">
        <v>-217.02959999999999</v>
      </c>
      <c r="K2954">
        <v>1.107917</v>
      </c>
      <c r="L2954">
        <v>215.6542</v>
      </c>
      <c r="M2954">
        <v>0.99963150000000001</v>
      </c>
      <c r="N2954">
        <v>0</v>
      </c>
      <c r="O2954">
        <v>-2.3168060000000001E-2</v>
      </c>
      <c r="P2954">
        <v>0.94196550000000001</v>
      </c>
      <c r="Q2954">
        <v>0.13067780000000001</v>
      </c>
      <c r="R2954">
        <v>-0.3092317</v>
      </c>
      <c r="S2954">
        <v>2.8868100000000001</v>
      </c>
      <c r="T2954">
        <v>-0.24871309999999999</v>
      </c>
      <c r="U2954">
        <v>-1.0132139999999901</v>
      </c>
      <c r="V2954">
        <v>0.28810659999999999</v>
      </c>
      <c r="W2954">
        <v>0.14250550000000001</v>
      </c>
      <c r="X2954">
        <v>0.94693550000000004</v>
      </c>
      <c r="Y2954">
        <v>0.30828410000000001</v>
      </c>
      <c r="Z2954">
        <v>-1.093971E-2</v>
      </c>
      <c r="AA2954">
        <v>0.95123139999999995</v>
      </c>
      <c r="AB2954">
        <v>38</v>
      </c>
      <c r="AC2954">
        <v>12.557099999999901</v>
      </c>
      <c r="AD2954">
        <v>-1.1079124965180001</v>
      </c>
      <c r="AE2954">
        <v>-4.5053999999999998</v>
      </c>
      <c r="AF2954">
        <v>4.1843792801472102</v>
      </c>
      <c r="AG2954">
        <v>-1.1079124965180001</v>
      </c>
      <c r="AH2954">
        <v>12.5714193447981</v>
      </c>
      <c r="AI2954">
        <v>94.779901964222205</v>
      </c>
      <c r="AJ2954">
        <v>71.590050867842194</v>
      </c>
      <c r="AK2954">
        <v>13.2957543750939</v>
      </c>
      <c r="AL2954">
        <v>81.807145513448802</v>
      </c>
      <c r="AM2954">
        <v>73.077535294164804</v>
      </c>
      <c r="AN2954">
        <v>1.00000003582702</v>
      </c>
    </row>
    <row r="2955" spans="1:40" x14ac:dyDescent="0.25">
      <c r="A2955" t="str">
        <f>"20190312164324606"</f>
        <v>20190312164324606</v>
      </c>
      <c r="B2955" t="str">
        <f>"1552380204597253"</f>
        <v>1552380204597253</v>
      </c>
      <c r="C2955" t="s">
        <v>40</v>
      </c>
      <c r="D2955">
        <v>4.8924669999999999</v>
      </c>
      <c r="E2955">
        <v>0.51774070000000005</v>
      </c>
      <c r="F2955" t="s">
        <v>45</v>
      </c>
      <c r="G2955">
        <v>-204.13229999999999</v>
      </c>
      <c r="H2955" s="1">
        <v>4.3623310000000004E-6</v>
      </c>
      <c r="I2955">
        <v>211.0377</v>
      </c>
      <c r="J2955">
        <v>-216.66909999999999</v>
      </c>
      <c r="K2955">
        <v>1.107931</v>
      </c>
      <c r="L2955">
        <v>215.6439</v>
      </c>
      <c r="M2955">
        <v>0.99958340000000001</v>
      </c>
      <c r="N2955">
        <v>0</v>
      </c>
      <c r="O2955">
        <v>-2.516848E-2</v>
      </c>
      <c r="P2955">
        <v>0.94013639999999998</v>
      </c>
      <c r="Q2955">
        <v>0.1315962</v>
      </c>
      <c r="R2955">
        <v>-0.31436639999999999</v>
      </c>
      <c r="S2955">
        <v>2.8806609999999999</v>
      </c>
      <c r="T2955">
        <v>-0.2474548</v>
      </c>
      <c r="U2955">
        <v>-1.0311129999999999</v>
      </c>
      <c r="V2955">
        <v>0.29138720000000001</v>
      </c>
      <c r="W2955">
        <v>0.1433942</v>
      </c>
      <c r="X2955">
        <v>0.94579679999999999</v>
      </c>
      <c r="Y2955">
        <v>0.31226389999999998</v>
      </c>
      <c r="Z2955">
        <v>-1.089499E-2</v>
      </c>
      <c r="AA2955">
        <v>0.94993289999999997</v>
      </c>
      <c r="AB2955">
        <v>38</v>
      </c>
      <c r="AC2955">
        <v>12.536799999999999</v>
      </c>
      <c r="AD2955">
        <v>-1.107926637669</v>
      </c>
      <c r="AE2955">
        <v>-4.6062000000000003</v>
      </c>
      <c r="AF2955">
        <v>4.2598645011384999</v>
      </c>
      <c r="AG2955">
        <v>-1.107926637669</v>
      </c>
      <c r="AH2955">
        <v>12.5623283380939</v>
      </c>
      <c r="AI2955">
        <v>94.774430891900295</v>
      </c>
      <c r="AJ2955">
        <v>71.268288349027898</v>
      </c>
      <c r="AK2955">
        <v>13.311124681130201</v>
      </c>
      <c r="AL2955">
        <v>81.755698024190295</v>
      </c>
      <c r="AM2955">
        <v>72.876642536173193</v>
      </c>
      <c r="AN2955">
        <v>0.99999999190386002</v>
      </c>
    </row>
    <row r="2956" spans="1:40" x14ac:dyDescent="0.25">
      <c r="A2956" t="str">
        <f>"20190312164324629"</f>
        <v>20190312164324629</v>
      </c>
      <c r="B2956" t="str">
        <f>"1552380204617750"</f>
        <v>1552380204617750</v>
      </c>
      <c r="C2956" t="s">
        <v>40</v>
      </c>
      <c r="D2956">
        <v>4.8366579999999999</v>
      </c>
      <c r="E2956">
        <v>0.5173837</v>
      </c>
      <c r="F2956" t="s">
        <v>45</v>
      </c>
      <c r="G2956">
        <v>-203.6378</v>
      </c>
      <c r="H2956" s="1">
        <v>4.1533300000000001E-6</v>
      </c>
      <c r="I2956">
        <v>210.9203</v>
      </c>
      <c r="J2956">
        <v>-216.2938</v>
      </c>
      <c r="K2956">
        <v>1.107923</v>
      </c>
      <c r="L2956">
        <v>215.63239999999999</v>
      </c>
      <c r="M2956">
        <v>0.99952700000000005</v>
      </c>
      <c r="N2956">
        <v>0</v>
      </c>
      <c r="O2956">
        <v>-2.7316690000000001E-2</v>
      </c>
      <c r="P2956">
        <v>0.93810680000000002</v>
      </c>
      <c r="Q2956">
        <v>0.13300029999999999</v>
      </c>
      <c r="R2956">
        <v>-0.3197914</v>
      </c>
      <c r="S2956">
        <v>2.8765869999999998</v>
      </c>
      <c r="T2956">
        <v>-0.2445697</v>
      </c>
      <c r="U2956">
        <v>-1.0427090000000001</v>
      </c>
      <c r="V2956">
        <v>0.2948402</v>
      </c>
      <c r="W2956">
        <v>0.1447494</v>
      </c>
      <c r="X2956">
        <v>0.94451940000000001</v>
      </c>
      <c r="Y2956">
        <v>0.31406030000000001</v>
      </c>
      <c r="Z2956">
        <v>-1.0673210000000001E-2</v>
      </c>
      <c r="AA2956">
        <v>0.94934300000000005</v>
      </c>
      <c r="AB2956">
        <v>38</v>
      </c>
      <c r="AC2956">
        <v>12.656000000000001</v>
      </c>
      <c r="AD2956">
        <v>-1.1079188466700001</v>
      </c>
      <c r="AE2956">
        <v>-4.7120999999999897</v>
      </c>
      <c r="AF2956">
        <v>4.3354075360292903</v>
      </c>
      <c r="AG2956">
        <v>-1.1079188466700001</v>
      </c>
      <c r="AH2956">
        <v>12.694568110119199</v>
      </c>
      <c r="AI2956">
        <v>94.721420785956497</v>
      </c>
      <c r="AJ2956">
        <v>71.144104925878295</v>
      </c>
      <c r="AK2956">
        <v>13.4601375244356</v>
      </c>
      <c r="AL2956">
        <v>81.677232351646893</v>
      </c>
      <c r="AM2956">
        <v>72.663778443110203</v>
      </c>
      <c r="AN2956">
        <v>1.0000000146563699</v>
      </c>
    </row>
    <row r="2957" spans="1:40" x14ac:dyDescent="0.25">
      <c r="A2957" t="str">
        <f>"20190312164324651"</f>
        <v>20190312164324651</v>
      </c>
      <c r="B2957" t="str">
        <f>"1552380204648006"</f>
        <v>1552380204648006</v>
      </c>
      <c r="C2957" t="s">
        <v>40</v>
      </c>
      <c r="D2957">
        <v>4.8155250000000001</v>
      </c>
      <c r="E2957">
        <v>0.51678900000000005</v>
      </c>
      <c r="F2957" t="s">
        <v>45</v>
      </c>
      <c r="G2957">
        <v>-202.96340000000001</v>
      </c>
      <c r="H2957" s="1">
        <v>3.8716130000000001E-6</v>
      </c>
      <c r="I2957">
        <v>210.7218</v>
      </c>
      <c r="J2957">
        <v>-215.9085</v>
      </c>
      <c r="K2957">
        <v>1.10789</v>
      </c>
      <c r="L2957">
        <v>215.61969999999999</v>
      </c>
      <c r="M2957">
        <v>0.99946170000000001</v>
      </c>
      <c r="N2957">
        <v>0</v>
      </c>
      <c r="O2957">
        <v>-2.9615740000000002E-2</v>
      </c>
      <c r="P2957">
        <v>0.93598130000000002</v>
      </c>
      <c r="Q2957">
        <v>0.13366720000000001</v>
      </c>
      <c r="R2957">
        <v>-0.32568760000000002</v>
      </c>
      <c r="S2957">
        <v>2.8711850000000001</v>
      </c>
      <c r="T2957">
        <v>-0.23863100000000001</v>
      </c>
      <c r="U2957">
        <v>-1.0576779999999999</v>
      </c>
      <c r="V2957">
        <v>0.29863600000000001</v>
      </c>
      <c r="W2957">
        <v>0.1453467</v>
      </c>
      <c r="X2957">
        <v>0.94323429999999997</v>
      </c>
      <c r="Y2957">
        <v>0.31685439999999998</v>
      </c>
      <c r="Z2957">
        <v>-1.03523E-2</v>
      </c>
      <c r="AA2957">
        <v>0.94841770000000003</v>
      </c>
      <c r="AB2957">
        <v>38</v>
      </c>
      <c r="AC2957">
        <v>12.945099999999901</v>
      </c>
      <c r="AD2957">
        <v>-1.1078861283870001</v>
      </c>
      <c r="AE2957">
        <v>-4.8978999999999902</v>
      </c>
      <c r="AF2957">
        <v>4.4836064947012497</v>
      </c>
      <c r="AG2957">
        <v>-1.1078861283870001</v>
      </c>
      <c r="AH2957">
        <v>13.0011876782612</v>
      </c>
      <c r="AI2957">
        <v>94.605709702815602</v>
      </c>
      <c r="AJ2957">
        <v>70.972667558382994</v>
      </c>
      <c r="AK2957">
        <v>13.7971381060773</v>
      </c>
      <c r="AL2957">
        <v>81.642643959576901</v>
      </c>
      <c r="AM2957">
        <v>72.431770066142604</v>
      </c>
      <c r="AN2957">
        <v>1.0000000341966799</v>
      </c>
    </row>
    <row r="2958" spans="1:40" x14ac:dyDescent="0.25">
      <c r="A2958" t="str">
        <f>"20190312164324674"</f>
        <v>20190312164324674</v>
      </c>
      <c r="B2958" t="str">
        <f>"1552380204667526"</f>
        <v>1552380204667526</v>
      </c>
      <c r="C2958" t="s">
        <v>40</v>
      </c>
      <c r="D2958">
        <v>4.5538970000000001</v>
      </c>
      <c r="E2958">
        <v>0.51666080000000003</v>
      </c>
      <c r="F2958" t="s">
        <v>45</v>
      </c>
      <c r="G2958">
        <v>-202.52590000000001</v>
      </c>
      <c r="H2958" s="1">
        <v>3.6872169999999999E-6</v>
      </c>
      <c r="I2958">
        <v>210.61179999999999</v>
      </c>
      <c r="J2958">
        <v>-215.52459999999999</v>
      </c>
      <c r="K2958">
        <v>1.107842</v>
      </c>
      <c r="L2958">
        <v>215.60599999999999</v>
      </c>
      <c r="M2958">
        <v>0.99938740000000004</v>
      </c>
      <c r="N2958">
        <v>0</v>
      </c>
      <c r="O2958">
        <v>-3.2026529999999998E-2</v>
      </c>
      <c r="P2958">
        <v>0.93369780000000002</v>
      </c>
      <c r="Q2958">
        <v>0.13608299999999901</v>
      </c>
      <c r="R2958">
        <v>-0.33119539999999997</v>
      </c>
      <c r="S2958">
        <v>2.8659210000000002</v>
      </c>
      <c r="T2958">
        <v>-0.23725660000000001</v>
      </c>
      <c r="U2958">
        <v>-1.072449</v>
      </c>
      <c r="V2958">
        <v>0.3019696</v>
      </c>
      <c r="W2958">
        <v>0.1476749</v>
      </c>
      <c r="X2958">
        <v>0.94181020000000004</v>
      </c>
      <c r="Y2958">
        <v>0.31943440000000001</v>
      </c>
      <c r="Z2958">
        <v>-1.021266E-2</v>
      </c>
      <c r="AA2958">
        <v>0.94755330000000004</v>
      </c>
      <c r="AB2958">
        <v>38</v>
      </c>
      <c r="AC2958">
        <v>12.9986999999999</v>
      </c>
      <c r="AD2958">
        <v>-1.107838312783</v>
      </c>
      <c r="AE2958">
        <v>-4.9942000000000002</v>
      </c>
      <c r="AF2958">
        <v>4.5465165285782598</v>
      </c>
      <c r="AG2958">
        <v>-1.107838312783</v>
      </c>
      <c r="AH2958">
        <v>13.069273897709399</v>
      </c>
      <c r="AI2958">
        <v>94.577366414874703</v>
      </c>
      <c r="AJ2958">
        <v>70.818324305632004</v>
      </c>
      <c r="AK2958">
        <v>13.8817880147067</v>
      </c>
      <c r="AL2958">
        <v>81.507792299033198</v>
      </c>
      <c r="AM2958">
        <v>72.222756688300393</v>
      </c>
      <c r="AN2958">
        <v>0.99999998411910496</v>
      </c>
    </row>
    <row r="2959" spans="1:40" x14ac:dyDescent="0.25">
      <c r="A2959" t="str">
        <f>"20190312164324695"</f>
        <v>20190312164324695</v>
      </c>
      <c r="B2959" t="str">
        <f>"1552380204687045"</f>
        <v>1552380204687045</v>
      </c>
      <c r="C2959" t="s">
        <v>40</v>
      </c>
      <c r="D2959">
        <v>4.5670500000000001</v>
      </c>
      <c r="E2959">
        <v>0.50482740000000004</v>
      </c>
      <c r="F2959" t="s">
        <v>45</v>
      </c>
      <c r="G2959">
        <v>-201.7475</v>
      </c>
      <c r="H2959" s="1">
        <v>3.3646439999999999E-6</v>
      </c>
      <c r="I2959">
        <v>210.35300000000001</v>
      </c>
      <c r="J2959">
        <v>-215.1704</v>
      </c>
      <c r="K2959">
        <v>1.1077760000000001</v>
      </c>
      <c r="L2959">
        <v>215.5925</v>
      </c>
      <c r="M2959">
        <v>0.99930890000000006</v>
      </c>
      <c r="N2959">
        <v>0</v>
      </c>
      <c r="O2959">
        <v>-3.4381420000000003E-2</v>
      </c>
      <c r="P2959">
        <v>0.93107059999999997</v>
      </c>
      <c r="Q2959">
        <v>0.13944609999999999</v>
      </c>
      <c r="R2959">
        <v>-0.33713850000000001</v>
      </c>
      <c r="S2959">
        <v>2.8597869999999999</v>
      </c>
      <c r="T2959">
        <v>-0.22996079999999999</v>
      </c>
      <c r="U2959">
        <v>-1.0903929999999999</v>
      </c>
      <c r="V2959">
        <v>0.3058245</v>
      </c>
      <c r="W2959">
        <v>0.15092920000000001</v>
      </c>
      <c r="X2959">
        <v>0.94004880000000002</v>
      </c>
      <c r="Y2959">
        <v>0.32311590000000001</v>
      </c>
      <c r="Z2959">
        <v>-9.8695680000000004E-3</v>
      </c>
      <c r="AA2959">
        <v>0.94630800000000004</v>
      </c>
      <c r="AB2959">
        <v>37</v>
      </c>
      <c r="AC2959">
        <v>13.422899999999901</v>
      </c>
      <c r="AD2959">
        <v>-1.107772635356</v>
      </c>
      <c r="AE2959">
        <v>-5.23950000000002</v>
      </c>
      <c r="AF2959">
        <v>4.7468016834261402</v>
      </c>
      <c r="AG2959">
        <v>-1.107772635356</v>
      </c>
      <c r="AH2959">
        <v>13.515241281303201</v>
      </c>
      <c r="AI2959">
        <v>94.422089634762699</v>
      </c>
      <c r="AJ2959">
        <v>70.647785618369198</v>
      </c>
      <c r="AK2959">
        <v>14.367359998456999</v>
      </c>
      <c r="AL2959">
        <v>81.319221089911906</v>
      </c>
      <c r="AM2959">
        <v>71.9788256382909</v>
      </c>
      <c r="AN2959">
        <v>0.99999999729716504</v>
      </c>
    </row>
    <row r="2960" spans="1:40" x14ac:dyDescent="0.25">
      <c r="A2960" t="str">
        <f>"20190312164324728"</f>
        <v>20190312164324728</v>
      </c>
      <c r="B2960" t="str">
        <f>"1552380204717301"</f>
        <v>1552380204717301</v>
      </c>
      <c r="C2960" t="s">
        <v>40</v>
      </c>
      <c r="D2960">
        <v>4.5392910000000004</v>
      </c>
      <c r="E2960">
        <v>0.50527159999999904</v>
      </c>
      <c r="F2960" t="s">
        <v>45</v>
      </c>
      <c r="G2960">
        <v>-202.76079999999999</v>
      </c>
      <c r="H2960" s="1">
        <v>3.7386789999999999E-6</v>
      </c>
      <c r="I2960">
        <v>211.2148</v>
      </c>
      <c r="J2960">
        <v>-214.6422</v>
      </c>
      <c r="K2960">
        <v>1.1076379999999999</v>
      </c>
      <c r="L2960">
        <v>215.57040000000001</v>
      </c>
      <c r="M2960">
        <v>0.99917149999999999</v>
      </c>
      <c r="N2960">
        <v>0</v>
      </c>
      <c r="O2960">
        <v>-3.816684E-2</v>
      </c>
      <c r="P2960">
        <v>0.92657599999999996</v>
      </c>
      <c r="Q2960">
        <v>0.14329549999999999</v>
      </c>
      <c r="R2960">
        <v>-0.34774070000000001</v>
      </c>
      <c r="S2960">
        <v>2.8913730000000002</v>
      </c>
      <c r="T2960">
        <v>-0.25810660000000002</v>
      </c>
      <c r="U2960">
        <v>-1.019989</v>
      </c>
      <c r="V2960">
        <v>0.3131022</v>
      </c>
      <c r="W2960">
        <v>0.1545724</v>
      </c>
      <c r="X2960">
        <v>0.93705620000000001</v>
      </c>
      <c r="Y2960">
        <v>0.29553020000000002</v>
      </c>
      <c r="Z2960">
        <v>-9.4851810000000005E-3</v>
      </c>
      <c r="AA2960">
        <v>0.95528630000000003</v>
      </c>
      <c r="AB2960">
        <v>37</v>
      </c>
      <c r="AC2960">
        <v>11.881399999999999</v>
      </c>
      <c r="AD2960">
        <v>-1.107634261321</v>
      </c>
      <c r="AE2960">
        <v>-4.3556000000000097</v>
      </c>
      <c r="AF2960">
        <v>3.8692619081807802</v>
      </c>
      <c r="AG2960">
        <v>-1.107634261321</v>
      </c>
      <c r="AH2960">
        <v>11.947465607587899</v>
      </c>
      <c r="AI2960">
        <v>95.040373831027694</v>
      </c>
      <c r="AJ2960">
        <v>72.055127635109102</v>
      </c>
      <c r="AK2960">
        <v>12.6071398745095</v>
      </c>
      <c r="AL2960">
        <v>81.108002010007993</v>
      </c>
      <c r="AM2960">
        <v>71.523781259016602</v>
      </c>
      <c r="AN2960">
        <v>0.99999996822251902</v>
      </c>
    </row>
    <row r="2961" spans="1:40" x14ac:dyDescent="0.25">
      <c r="A2961" t="str">
        <f>"20190312164324771"</f>
        <v>20190312164324771</v>
      </c>
      <c r="B2961" t="str">
        <f>"1552380204768054"</f>
        <v>1552380204768054</v>
      </c>
      <c r="C2961" t="s">
        <v>40</v>
      </c>
      <c r="D2961">
        <v>4.512397</v>
      </c>
      <c r="E2961">
        <v>0.50501030000000002</v>
      </c>
      <c r="F2961" t="s">
        <v>45</v>
      </c>
      <c r="G2961">
        <v>-200.87100000000001</v>
      </c>
      <c r="H2961" s="1">
        <v>2.9619099999999998E-6</v>
      </c>
      <c r="I2961">
        <v>210.5136</v>
      </c>
      <c r="J2961">
        <v>-213.9025</v>
      </c>
      <c r="K2961">
        <v>1.107391</v>
      </c>
      <c r="L2961">
        <v>215.53559999999999</v>
      </c>
      <c r="M2961">
        <v>0.99893069999999895</v>
      </c>
      <c r="N2961">
        <v>0</v>
      </c>
      <c r="O2961">
        <v>-4.4023050000000001E-2</v>
      </c>
      <c r="P2961">
        <v>0.9204312</v>
      </c>
      <c r="Q2961">
        <v>0.1465688</v>
      </c>
      <c r="R2961">
        <v>-0.36238720000000002</v>
      </c>
      <c r="S2961">
        <v>2.8770289999999998</v>
      </c>
      <c r="T2961">
        <v>-0.23140279999999999</v>
      </c>
      <c r="U2961">
        <v>-1.0564579999999999</v>
      </c>
      <c r="V2961">
        <v>0.32261329999999999</v>
      </c>
      <c r="W2961">
        <v>0.15753589999999901</v>
      </c>
      <c r="X2961">
        <v>0.93332899999999996</v>
      </c>
      <c r="Y2961">
        <v>0.30230390000000001</v>
      </c>
      <c r="Z2961">
        <v>-8.3390369999999901E-3</v>
      </c>
      <c r="AA2961">
        <v>0.95317510000000005</v>
      </c>
      <c r="AB2961">
        <v>37</v>
      </c>
      <c r="AC2961">
        <v>13.031499999999999</v>
      </c>
      <c r="AD2961">
        <v>-1.1073880380900001</v>
      </c>
      <c r="AE2961">
        <v>-5.0219999999999896</v>
      </c>
      <c r="AF2961">
        <v>4.4156236524081498</v>
      </c>
      <c r="AG2961">
        <v>-1.1073880380900001</v>
      </c>
      <c r="AH2961">
        <v>13.157243866024199</v>
      </c>
      <c r="AI2961">
        <v>94.562081017490698</v>
      </c>
      <c r="AJ2961">
        <v>71.448041462378498</v>
      </c>
      <c r="AK2961">
        <v>13.922539518947101</v>
      </c>
      <c r="AL2961">
        <v>80.9360997744229</v>
      </c>
      <c r="AM2961">
        <v>70.931845442935796</v>
      </c>
      <c r="AN2961">
        <v>0.99999996168334904</v>
      </c>
    </row>
    <row r="2962" spans="1:40" x14ac:dyDescent="0.25">
      <c r="A2962" t="str">
        <f>"20190312164324797"</f>
        <v>20190312164324797</v>
      </c>
      <c r="B2962" t="str">
        <f>"1552380204787573"</f>
        <v>1552380204787573</v>
      </c>
      <c r="C2962" t="s">
        <v>40</v>
      </c>
      <c r="D2962">
        <v>4.8392920000000004</v>
      </c>
      <c r="E2962">
        <v>0.50500780000000001</v>
      </c>
      <c r="F2962" t="s">
        <v>45</v>
      </c>
      <c r="G2962">
        <v>-198.96170000000001</v>
      </c>
      <c r="H2962" s="1">
        <v>2.7975520000000001E-6</v>
      </c>
      <c r="I2962">
        <v>209.78229999999999</v>
      </c>
      <c r="J2962">
        <v>-213.48830000000001</v>
      </c>
      <c r="K2962">
        <v>1.1072489999999999</v>
      </c>
      <c r="L2962">
        <v>215.51410000000001</v>
      </c>
      <c r="M2962">
        <v>0.99876819999999999</v>
      </c>
      <c r="N2962">
        <v>0</v>
      </c>
      <c r="O2962">
        <v>-4.7565780000000002E-2</v>
      </c>
      <c r="P2962">
        <v>0.91658810000000002</v>
      </c>
      <c r="Q2962">
        <v>0.14814559999999999</v>
      </c>
      <c r="R2962">
        <v>-0.37137540000000002</v>
      </c>
      <c r="S2962">
        <v>2.8595579999999998</v>
      </c>
      <c r="T2962">
        <v>-0.2119453</v>
      </c>
      <c r="U2962">
        <v>-1.101151</v>
      </c>
      <c r="V2962">
        <v>0.32852019999999998</v>
      </c>
      <c r="W2962">
        <v>0.1589276</v>
      </c>
      <c r="X2962">
        <v>0.93102980000000002</v>
      </c>
      <c r="Y2962">
        <v>0.31392120000000001</v>
      </c>
      <c r="Z2962">
        <v>-7.8264189999999994E-3</v>
      </c>
      <c r="AA2962">
        <v>0.94941679999999995</v>
      </c>
      <c r="AB2962">
        <v>37</v>
      </c>
      <c r="AC2962">
        <v>14.5266</v>
      </c>
      <c r="AD2962">
        <v>-1.1072462024480001</v>
      </c>
      <c r="AE2962">
        <v>-5.7318000000000202</v>
      </c>
      <c r="AF2962">
        <v>5.0090915557853801</v>
      </c>
      <c r="AG2962">
        <v>-1.1072462024480001</v>
      </c>
      <c r="AH2962">
        <v>14.7088755114361</v>
      </c>
      <c r="AI2962">
        <v>94.075932021831605</v>
      </c>
      <c r="AJ2962">
        <v>71.193780069050305</v>
      </c>
      <c r="AK2962">
        <v>15.5778050821674</v>
      </c>
      <c r="AL2962">
        <v>80.855344183100399</v>
      </c>
      <c r="AM2962">
        <v>70.564263974219003</v>
      </c>
      <c r="AN2962">
        <v>0.99999999616891999</v>
      </c>
    </row>
    <row r="2963" spans="1:40" x14ac:dyDescent="0.25">
      <c r="A2963" t="str">
        <f>"20190312164324818"</f>
        <v>20190312164324818</v>
      </c>
      <c r="B2963" t="str">
        <f>"1552380204807094"</f>
        <v>1552380204807094</v>
      </c>
      <c r="C2963" t="s">
        <v>40</v>
      </c>
      <c r="D2963">
        <v>4.7402340000000001</v>
      </c>
      <c r="E2963">
        <v>0.51785559999999997</v>
      </c>
      <c r="F2963" t="s">
        <v>45</v>
      </c>
      <c r="G2963">
        <v>-198.16730000000001</v>
      </c>
      <c r="H2963" s="1">
        <v>2.9970709999999999E-6</v>
      </c>
      <c r="I2963">
        <v>209.44980000000001</v>
      </c>
      <c r="J2963">
        <v>-213.11840000000001</v>
      </c>
      <c r="K2963">
        <v>1.1071219999999999</v>
      </c>
      <c r="L2963">
        <v>215.49340000000001</v>
      </c>
      <c r="M2963">
        <v>0.99860349999999998</v>
      </c>
      <c r="N2963">
        <v>0</v>
      </c>
      <c r="O2963">
        <v>-5.090633E-2</v>
      </c>
      <c r="P2963">
        <v>0.9127921</v>
      </c>
      <c r="Q2963">
        <v>0.1484027</v>
      </c>
      <c r="R2963">
        <v>-0.3805094</v>
      </c>
      <c r="S2963">
        <v>2.849335</v>
      </c>
      <c r="T2963">
        <v>-0.20592060000000001</v>
      </c>
      <c r="U2963">
        <v>-1.1278079999999999</v>
      </c>
      <c r="V2963">
        <v>0.33476640000000002</v>
      </c>
      <c r="W2963">
        <v>0.15899969999999999</v>
      </c>
      <c r="X2963">
        <v>0.92878989999999995</v>
      </c>
      <c r="Y2963">
        <v>0.31961489999999998</v>
      </c>
      <c r="Z2963">
        <v>-7.5844969999999999E-3</v>
      </c>
      <c r="AA2963">
        <v>0.94751719999999895</v>
      </c>
      <c r="AB2963">
        <v>37</v>
      </c>
      <c r="AC2963">
        <v>14.951099999999901</v>
      </c>
      <c r="AD2963">
        <v>-1.1071190029289999</v>
      </c>
      <c r="AE2963">
        <v>-6.0435999999999899</v>
      </c>
      <c r="AF2963">
        <v>5.2498374587810401</v>
      </c>
      <c r="AG2963">
        <v>-1.1071190029289999</v>
      </c>
      <c r="AH2963">
        <v>15.167910093275101</v>
      </c>
      <c r="AI2963">
        <v>93.945794962263193</v>
      </c>
      <c r="AJ2963">
        <v>70.908508215865297</v>
      </c>
      <c r="AK2963">
        <v>16.088878221552399</v>
      </c>
      <c r="AL2963">
        <v>80.851160566950497</v>
      </c>
      <c r="AM2963">
        <v>70.179171069974799</v>
      </c>
      <c r="AN2963">
        <v>1.0000000627555199</v>
      </c>
    </row>
    <row r="2964" spans="1:40" x14ac:dyDescent="0.25">
      <c r="A2964" t="str">
        <f>"20190312164324840"</f>
        <v>20190312164324840</v>
      </c>
      <c r="B2964" t="str">
        <f>"1552380204827590"</f>
        <v>1552380204827590</v>
      </c>
      <c r="C2964" t="s">
        <v>40</v>
      </c>
      <c r="D2964">
        <v>4.8004179999999996</v>
      </c>
      <c r="E2964">
        <v>0.535138</v>
      </c>
      <c r="F2964" t="s">
        <v>45</v>
      </c>
      <c r="G2964">
        <v>-201.22239999999999</v>
      </c>
      <c r="H2964" s="1">
        <v>3.144057E-6</v>
      </c>
      <c r="I2964">
        <v>210.21260000000001</v>
      </c>
      <c r="J2964">
        <v>-212.76159999999999</v>
      </c>
      <c r="K2964">
        <v>1.1069659999999999</v>
      </c>
      <c r="L2964">
        <v>215.47210000000001</v>
      </c>
      <c r="M2964">
        <v>0.99842390000000003</v>
      </c>
      <c r="N2964">
        <v>0</v>
      </c>
      <c r="O2964">
        <v>-5.431424E-2</v>
      </c>
      <c r="P2964">
        <v>0.90908089999999997</v>
      </c>
      <c r="Q2964">
        <v>0.14832119999999999</v>
      </c>
      <c r="R2964">
        <v>-0.3893238</v>
      </c>
      <c r="S2964">
        <v>2.8092800000000002</v>
      </c>
      <c r="T2964">
        <v>-0.26144889999999998</v>
      </c>
      <c r="U2964">
        <v>-1.2470699999999999</v>
      </c>
      <c r="V2964">
        <v>0.34064739999999999</v>
      </c>
      <c r="W2964">
        <v>0.15872240000000001</v>
      </c>
      <c r="X2964">
        <v>0.92669659999999998</v>
      </c>
      <c r="Y2964">
        <v>0.35440709999999997</v>
      </c>
      <c r="Z2964">
        <v>-1.0917410000000001E-2</v>
      </c>
      <c r="AA2964">
        <v>0.93502750000000001</v>
      </c>
      <c r="AB2964">
        <v>37</v>
      </c>
      <c r="AC2964">
        <v>11.5391999999999</v>
      </c>
      <c r="AD2964">
        <v>-1.10696285594299</v>
      </c>
      <c r="AE2964">
        <v>-5.2595000000000001</v>
      </c>
      <c r="AF2964">
        <v>4.5899552851196104</v>
      </c>
      <c r="AG2964">
        <v>-1.10696285594299</v>
      </c>
      <c r="AH2964">
        <v>11.718565729423499</v>
      </c>
      <c r="AI2964">
        <v>95.0265754888934</v>
      </c>
      <c r="AJ2964">
        <v>68.610598432376705</v>
      </c>
      <c r="AK2964">
        <v>12.633995371166399</v>
      </c>
      <c r="AL2964">
        <v>80.867252650263595</v>
      </c>
      <c r="AM2964">
        <v>69.816913775149501</v>
      </c>
      <c r="AN2964">
        <v>1.0000000199200301</v>
      </c>
    </row>
    <row r="2965" spans="1:40" x14ac:dyDescent="0.25">
      <c r="A2965" t="str">
        <f>"20190312164324864"</f>
        <v>20190312164324864</v>
      </c>
      <c r="B2965" t="str">
        <f>"1552380204857846"</f>
        <v>1552380204857846</v>
      </c>
      <c r="C2965" t="s">
        <v>40</v>
      </c>
      <c r="D2965">
        <v>4.7540190000000004</v>
      </c>
      <c r="E2965">
        <v>0.53312280000000001</v>
      </c>
      <c r="F2965" t="s">
        <v>45</v>
      </c>
      <c r="G2965">
        <v>-199.6352</v>
      </c>
      <c r="H2965" s="1">
        <v>2.9222339999999998E-6</v>
      </c>
      <c r="I2965">
        <v>208.7491</v>
      </c>
      <c r="J2965">
        <v>-212.3638</v>
      </c>
      <c r="K2965">
        <v>1.106762</v>
      </c>
      <c r="L2965">
        <v>215.44669999999999</v>
      </c>
      <c r="M2965">
        <v>0.99819590000000002</v>
      </c>
      <c r="N2965">
        <v>0</v>
      </c>
      <c r="O2965">
        <v>-5.8351229999999997E-2</v>
      </c>
      <c r="P2965">
        <v>0.90489969999999997</v>
      </c>
      <c r="Q2965">
        <v>0.14776889999999901</v>
      </c>
      <c r="R2965">
        <v>-0.39915089999999998</v>
      </c>
      <c r="S2965">
        <v>2.7372740000000002</v>
      </c>
      <c r="T2965">
        <v>-0.2308384</v>
      </c>
      <c r="U2965">
        <v>-1.4019779999999999</v>
      </c>
      <c r="V2965">
        <v>0.34701270000000001</v>
      </c>
      <c r="W2965">
        <v>0.15792999999999999</v>
      </c>
      <c r="X2965">
        <v>0.92446759999999994</v>
      </c>
      <c r="Y2965">
        <v>0.40218759999999998</v>
      </c>
      <c r="Z2965">
        <v>-1.1338229999999999E-2</v>
      </c>
      <c r="AA2965">
        <v>0.9154871</v>
      </c>
      <c r="AB2965">
        <v>37</v>
      </c>
      <c r="AC2965">
        <v>12.7286</v>
      </c>
      <c r="AD2965">
        <v>-1.1067590777659999</v>
      </c>
      <c r="AE2965">
        <v>-6.6975999999999898</v>
      </c>
      <c r="AF2965">
        <v>5.9083981382749702</v>
      </c>
      <c r="AG2965">
        <v>-1.1067590777659999</v>
      </c>
      <c r="AH2965">
        <v>13.020664025141601</v>
      </c>
      <c r="AI2965">
        <v>94.426091699014194</v>
      </c>
      <c r="AJ2965">
        <v>65.592836638756097</v>
      </c>
      <c r="AK2965">
        <v>14.3412613068797</v>
      </c>
      <c r="AL2965">
        <v>80.913233804172904</v>
      </c>
      <c r="AM2965">
        <v>69.425626713946002</v>
      </c>
      <c r="AN2965">
        <v>1.00000002115552</v>
      </c>
    </row>
    <row r="2966" spans="1:40" x14ac:dyDescent="0.25">
      <c r="A2966" t="str">
        <f>"20190312164324885"</f>
        <v>20190312164324885</v>
      </c>
      <c r="B2966" t="str">
        <f>"1552380204877365"</f>
        <v>1552380204877365</v>
      </c>
      <c r="C2966" t="s">
        <v>40</v>
      </c>
      <c r="D2966">
        <v>4.6547020000000003</v>
      </c>
      <c r="E2966">
        <v>0.5325472</v>
      </c>
      <c r="F2966" t="s">
        <v>45</v>
      </c>
      <c r="G2966">
        <v>-198.1129</v>
      </c>
      <c r="H2966" s="1">
        <v>3.3785389999999999E-6</v>
      </c>
      <c r="I2966">
        <v>208.04570000000001</v>
      </c>
      <c r="J2966">
        <v>-212.0042</v>
      </c>
      <c r="K2966">
        <v>1.106565</v>
      </c>
      <c r="L2966">
        <v>215.4221</v>
      </c>
      <c r="M2966">
        <v>0.99796220000000002</v>
      </c>
      <c r="N2966">
        <v>0</v>
      </c>
      <c r="O2966">
        <v>-6.2218570000000001E-2</v>
      </c>
      <c r="P2966">
        <v>0.9010688</v>
      </c>
      <c r="Q2966">
        <v>0.14694160000000001</v>
      </c>
      <c r="R2966">
        <v>-0.40802389999999999</v>
      </c>
      <c r="S2966">
        <v>2.7255099999999999</v>
      </c>
      <c r="T2966">
        <v>-0.21166940000000001</v>
      </c>
      <c r="U2966">
        <v>-1.4154659999999999</v>
      </c>
      <c r="V2966">
        <v>0.35258</v>
      </c>
      <c r="W2966">
        <v>0.15687000000000001</v>
      </c>
      <c r="X2966">
        <v>0.92253949999999996</v>
      </c>
      <c r="Y2966">
        <v>0.40397230000000001</v>
      </c>
      <c r="Z2966">
        <v>-1.0213470000000001E-2</v>
      </c>
      <c r="AA2966">
        <v>0.91471420000000003</v>
      </c>
      <c r="AB2966">
        <v>37</v>
      </c>
      <c r="AC2966">
        <v>13.891299999999999</v>
      </c>
      <c r="AD2966">
        <v>-1.1065616214609999</v>
      </c>
      <c r="AE2966">
        <v>-7.3763999999999896</v>
      </c>
      <c r="AF2966">
        <v>6.4657183177862096</v>
      </c>
      <c r="AG2966">
        <v>-1.1065616214609999</v>
      </c>
      <c r="AH2966">
        <v>14.2528272824949</v>
      </c>
      <c r="AI2966">
        <v>94.044256117943803</v>
      </c>
      <c r="AJ2966">
        <v>65.598836062701594</v>
      </c>
      <c r="AK2966">
        <v>15.6899036814021</v>
      </c>
      <c r="AL2966">
        <v>80.974733662861794</v>
      </c>
      <c r="AM2966">
        <v>69.083934866865803</v>
      </c>
      <c r="AN2966">
        <v>0.99999999118012495</v>
      </c>
    </row>
    <row r="2967" spans="1:40" x14ac:dyDescent="0.25">
      <c r="A2967" t="str">
        <f>"20190312164324910"</f>
        <v>20190312164324910</v>
      </c>
      <c r="B2967" t="str">
        <f>"1552380204907622"</f>
        <v>1552380204907622</v>
      </c>
      <c r="C2967" t="s">
        <v>40</v>
      </c>
      <c r="D2967">
        <v>4.6410780000000003</v>
      </c>
      <c r="E2967">
        <v>0.53168419999999905</v>
      </c>
      <c r="F2967" t="s">
        <v>45</v>
      </c>
      <c r="G2967">
        <v>-198.02510000000001</v>
      </c>
      <c r="H2967" s="1">
        <v>3.3997089999999999E-6</v>
      </c>
      <c r="I2967">
        <v>208.02449999999999</v>
      </c>
      <c r="J2967">
        <v>-211.5907</v>
      </c>
      <c r="K2967">
        <v>1.106357</v>
      </c>
      <c r="L2967">
        <v>215.39189999999999</v>
      </c>
      <c r="M2967">
        <v>0.99765939999999997</v>
      </c>
      <c r="N2967">
        <v>0</v>
      </c>
      <c r="O2967">
        <v>-6.6898139999999995E-2</v>
      </c>
      <c r="P2967">
        <v>0.89615679999999998</v>
      </c>
      <c r="Q2967">
        <v>0.14865120000000001</v>
      </c>
      <c r="R2967">
        <v>-0.41809819999999998</v>
      </c>
      <c r="S2967">
        <v>2.714035</v>
      </c>
      <c r="T2967">
        <v>-0.21483910000000001</v>
      </c>
      <c r="U2967">
        <v>-1.4362490000000001</v>
      </c>
      <c r="V2967">
        <v>0.35871910000000001</v>
      </c>
      <c r="W2967">
        <v>0.15830610000000001</v>
      </c>
      <c r="X2967">
        <v>0.91992379999999996</v>
      </c>
      <c r="Y2967">
        <v>0.40672999999999998</v>
      </c>
      <c r="Z2967">
        <v>-1.014616E-2</v>
      </c>
      <c r="AA2967">
        <v>0.91349210000000003</v>
      </c>
      <c r="AB2967">
        <v>37</v>
      </c>
      <c r="AC2967">
        <v>13.5655999999999</v>
      </c>
      <c r="AD2967">
        <v>-1.1063536002909999</v>
      </c>
      <c r="AE2967">
        <v>-7.3673999999999999</v>
      </c>
      <c r="AF2967">
        <v>6.4103619781391501</v>
      </c>
      <c r="AG2967">
        <v>-1.1063536002909999</v>
      </c>
      <c r="AH2967">
        <v>13.956433697171301</v>
      </c>
      <c r="AI2967">
        <v>94.120275820829093</v>
      </c>
      <c r="AJ2967">
        <v>65.330098075391703</v>
      </c>
      <c r="AK2967">
        <v>15.3980128757962</v>
      </c>
      <c r="AL2967">
        <v>80.891410187090997</v>
      </c>
      <c r="AM2967">
        <v>68.696983362250705</v>
      </c>
      <c r="AN2967">
        <v>1.00000000590423</v>
      </c>
    </row>
    <row r="2968" spans="1:40" x14ac:dyDescent="0.25">
      <c r="A2968" t="str">
        <f>"20190312164324932"</f>
        <v>20190312164324932</v>
      </c>
      <c r="B2968" t="str">
        <f>"1552380204927142"</f>
        <v>1552380204927142</v>
      </c>
      <c r="C2968" t="s">
        <v>40</v>
      </c>
      <c r="D2968">
        <v>4.4610070000000004</v>
      </c>
      <c r="E2968">
        <v>0.53097519999999998</v>
      </c>
      <c r="F2968" t="s">
        <v>45</v>
      </c>
      <c r="G2968">
        <v>-197.43430000000001</v>
      </c>
      <c r="H2968" s="1">
        <v>3.5803069999999998E-6</v>
      </c>
      <c r="I2968">
        <v>207.73830000000001</v>
      </c>
      <c r="J2968">
        <v>-211.23220000000001</v>
      </c>
      <c r="K2968">
        <v>1.106174</v>
      </c>
      <c r="L2968">
        <v>215.364</v>
      </c>
      <c r="M2968">
        <v>0.99736329999999995</v>
      </c>
      <c r="N2968">
        <v>0</v>
      </c>
      <c r="O2968">
        <v>-7.1173390000000003E-2</v>
      </c>
      <c r="P2968">
        <v>0.89126249999999996</v>
      </c>
      <c r="Q2968">
        <v>0.15045239999999999</v>
      </c>
      <c r="R2968">
        <v>-0.42780289999999999</v>
      </c>
      <c r="S2968">
        <v>2.701279</v>
      </c>
      <c r="T2968">
        <v>-0.21111070000000001</v>
      </c>
      <c r="U2968">
        <v>-1.460434</v>
      </c>
      <c r="V2968">
        <v>0.36488320000000002</v>
      </c>
      <c r="W2968">
        <v>0.1598493</v>
      </c>
      <c r="X2968">
        <v>0.91722859999999995</v>
      </c>
      <c r="Y2968">
        <v>0.41097220000000001</v>
      </c>
      <c r="Z2968">
        <v>-9.8384790000000007E-3</v>
      </c>
      <c r="AA2968">
        <v>0.91159480000000004</v>
      </c>
      <c r="AB2968">
        <v>37</v>
      </c>
      <c r="AC2968">
        <v>13.797899999999901</v>
      </c>
      <c r="AD2968">
        <v>-1.106170419693</v>
      </c>
      <c r="AE2968">
        <v>-7.6256999999999904</v>
      </c>
      <c r="AF2968">
        <v>6.59176163853075</v>
      </c>
      <c r="AG2968">
        <v>-1.106170419693</v>
      </c>
      <c r="AH2968">
        <v>14.2356156264968</v>
      </c>
      <c r="AI2968">
        <v>94.033360648694298</v>
      </c>
      <c r="AJ2968">
        <v>65.153637530778994</v>
      </c>
      <c r="AK2968">
        <v>15.726655294816201</v>
      </c>
      <c r="AL2968">
        <v>80.801850152136694</v>
      </c>
      <c r="AM2968">
        <v>68.306816153651894</v>
      </c>
      <c r="AN2968">
        <v>0.99999992650534197</v>
      </c>
    </row>
    <row r="2969" spans="1:40" x14ac:dyDescent="0.25">
      <c r="A2969" t="str">
        <f>"20190312164324959"</f>
        <v>20190312164324959</v>
      </c>
      <c r="B2969" t="str">
        <f>"1552380204947638"</f>
        <v>1552380204947638</v>
      </c>
      <c r="C2969" t="s">
        <v>40</v>
      </c>
      <c r="D2969">
        <v>4.5520809999999896</v>
      </c>
      <c r="E2969">
        <v>0.5305455</v>
      </c>
      <c r="F2969" t="s">
        <v>45</v>
      </c>
      <c r="G2969">
        <v>-197.2927</v>
      </c>
      <c r="H2969" s="1">
        <v>3.6233999999999999E-6</v>
      </c>
      <c r="I2969">
        <v>207.6704</v>
      </c>
      <c r="J2969">
        <v>-210.78139999999999</v>
      </c>
      <c r="K2969">
        <v>1.1059289999999999</v>
      </c>
      <c r="L2969">
        <v>215.32650000000001</v>
      </c>
      <c r="M2969">
        <v>0.99694039999999995</v>
      </c>
      <c r="N2969">
        <v>0</v>
      </c>
      <c r="O2969">
        <v>-7.6869469999999995E-2</v>
      </c>
      <c r="P2969">
        <v>0.88598899999999903</v>
      </c>
      <c r="Q2969">
        <v>0.15165490000000001</v>
      </c>
      <c r="R2969">
        <v>-0.43820599999999998</v>
      </c>
      <c r="S2969">
        <v>2.689514</v>
      </c>
      <c r="T2969">
        <v>-0.21342610000000001</v>
      </c>
      <c r="U2969">
        <v>-1.4844059999999999</v>
      </c>
      <c r="V2969">
        <v>0.37051410000000001</v>
      </c>
      <c r="W2969">
        <v>0.16074359999999999</v>
      </c>
      <c r="X2969">
        <v>0.91481179999999995</v>
      </c>
      <c r="Y2969">
        <v>0.41367100000000001</v>
      </c>
      <c r="Z2969">
        <v>-9.6479770000000003E-3</v>
      </c>
      <c r="AA2969">
        <v>0.91037539999999995</v>
      </c>
      <c r="AB2969">
        <v>37</v>
      </c>
      <c r="AC2969">
        <v>13.4886999999999</v>
      </c>
      <c r="AD2969">
        <v>-1.1059253765999999</v>
      </c>
      <c r="AE2969">
        <v>-7.6561000000000003</v>
      </c>
      <c r="AF2969">
        <v>6.5631004802914097</v>
      </c>
      <c r="AG2969">
        <v>-1.1059253765999999</v>
      </c>
      <c r="AH2969">
        <v>13.966352230521901</v>
      </c>
      <c r="AI2969">
        <v>94.099175694068094</v>
      </c>
      <c r="AJ2969">
        <v>64.830121583346795</v>
      </c>
      <c r="AK2969">
        <v>15.4711458360399</v>
      </c>
      <c r="AL2969">
        <v>80.749939171873507</v>
      </c>
      <c r="AM2969">
        <v>67.951228183580298</v>
      </c>
      <c r="AN2969">
        <v>0.99999991632950103</v>
      </c>
    </row>
    <row r="2970" spans="1:40" x14ac:dyDescent="0.25">
      <c r="A2970" t="str">
        <f>"20190312164324981"</f>
        <v>20190312164324981</v>
      </c>
      <c r="B2970" t="str">
        <f>"1552380204977894"</f>
        <v>1552380204977894</v>
      </c>
      <c r="C2970" t="s">
        <v>40</v>
      </c>
      <c r="D2970">
        <v>4.5749339999999998</v>
      </c>
      <c r="E2970">
        <v>0.52988389999999996</v>
      </c>
      <c r="F2970" t="s">
        <v>45</v>
      </c>
      <c r="G2970">
        <v>-196.72630000000001</v>
      </c>
      <c r="H2970" s="1">
        <v>3.7995479999999998E-6</v>
      </c>
      <c r="I2970">
        <v>207.38460000000001</v>
      </c>
      <c r="J2970">
        <v>-210.4333</v>
      </c>
      <c r="K2970">
        <v>1.105726</v>
      </c>
      <c r="L2970">
        <v>215.2954</v>
      </c>
      <c r="M2970">
        <v>0.99656829999999996</v>
      </c>
      <c r="N2970">
        <v>0</v>
      </c>
      <c r="O2970">
        <v>-8.1549289999999997E-2</v>
      </c>
      <c r="P2970">
        <v>0.8812314</v>
      </c>
      <c r="Q2970">
        <v>0.15295120000000001</v>
      </c>
      <c r="R2970">
        <v>-0.44725540000000003</v>
      </c>
      <c r="S2970">
        <v>2.6745760000000001</v>
      </c>
      <c r="T2970">
        <v>-0.21044950000000001</v>
      </c>
      <c r="U2970">
        <v>-1.5112760000000001</v>
      </c>
      <c r="V2970">
        <v>0.37570999999999999</v>
      </c>
      <c r="W2970">
        <v>0.16176670000000001</v>
      </c>
      <c r="X2970">
        <v>0.91250949999999997</v>
      </c>
      <c r="Y2970">
        <v>0.41852260000000002</v>
      </c>
      <c r="Z2970">
        <v>-9.3783229999999992E-3</v>
      </c>
      <c r="AA2970">
        <v>0.90815789999999996</v>
      </c>
      <c r="AB2970">
        <v>37</v>
      </c>
      <c r="AC2970">
        <v>13.706999999999899</v>
      </c>
      <c r="AD2970">
        <v>-1.105722200452</v>
      </c>
      <c r="AE2970">
        <v>-7.9107999999999903</v>
      </c>
      <c r="AF2970">
        <v>6.73366751475593</v>
      </c>
      <c r="AG2970">
        <v>-1.105722200452</v>
      </c>
      <c r="AH2970">
        <v>14.237024722766501</v>
      </c>
      <c r="AI2970">
        <v>94.016058092755699</v>
      </c>
      <c r="AJ2970">
        <v>64.687314819724193</v>
      </c>
      <c r="AK2970">
        <v>15.7878995670899</v>
      </c>
      <c r="AL2970">
        <v>80.690543566228897</v>
      </c>
      <c r="AM2970">
        <v>67.621432931963895</v>
      </c>
      <c r="AN2970">
        <v>1.00000002845956</v>
      </c>
    </row>
    <row r="2971" spans="1:40" x14ac:dyDescent="0.25">
      <c r="A2971" t="str">
        <f>"20190312164325004"</f>
        <v>20190312164325004</v>
      </c>
      <c r="B2971" t="str">
        <f>"1552380204997414"</f>
        <v>1552380204997414</v>
      </c>
      <c r="C2971" t="s">
        <v>40</v>
      </c>
      <c r="D2971">
        <v>4.4692189999999998</v>
      </c>
      <c r="E2971">
        <v>0.52959999999999996</v>
      </c>
      <c r="F2971" t="s">
        <v>45</v>
      </c>
      <c r="G2971">
        <v>-196.49940000000001</v>
      </c>
      <c r="H2971" s="1">
        <v>3.8697039999999997E-6</v>
      </c>
      <c r="I2971">
        <v>207.27170000000001</v>
      </c>
      <c r="J2971">
        <v>-210.03270000000001</v>
      </c>
      <c r="K2971">
        <v>1.105461</v>
      </c>
      <c r="L2971">
        <v>215.25729999999999</v>
      </c>
      <c r="M2971">
        <v>0.99608350000000001</v>
      </c>
      <c r="N2971">
        <v>0</v>
      </c>
      <c r="O2971">
        <v>-8.726942E-2</v>
      </c>
      <c r="P2971">
        <v>0.87522809999999995</v>
      </c>
      <c r="Q2971">
        <v>0.156353399999999</v>
      </c>
      <c r="R2971">
        <v>-0.45774399999999998</v>
      </c>
      <c r="S2971">
        <v>2.662766</v>
      </c>
      <c r="T2971">
        <v>-0.2113034</v>
      </c>
      <c r="U2971">
        <v>-1.5333399999999999</v>
      </c>
      <c r="V2971">
        <v>0.38157190000000002</v>
      </c>
      <c r="W2971">
        <v>0.16482260000000001</v>
      </c>
      <c r="X2971">
        <v>0.90952540000000004</v>
      </c>
      <c r="Y2971">
        <v>0.42070459999999898</v>
      </c>
      <c r="Z2971">
        <v>-9.1001599999999995E-3</v>
      </c>
      <c r="AA2971">
        <v>0.90715210000000002</v>
      </c>
      <c r="AB2971">
        <v>37</v>
      </c>
      <c r="AC2971">
        <v>13.533299999999899</v>
      </c>
      <c r="AD2971">
        <v>-1.1054571302959999</v>
      </c>
      <c r="AE2971">
        <v>-7.9855999999999696</v>
      </c>
      <c r="AF2971">
        <v>6.7406043527070496</v>
      </c>
      <c r="AG2971">
        <v>-1.1054571302959999</v>
      </c>
      <c r="AH2971">
        <v>14.108799497644601</v>
      </c>
      <c r="AI2971">
        <v>94.043974948815702</v>
      </c>
      <c r="AJ2971">
        <v>64.463446797275196</v>
      </c>
      <c r="AK2971">
        <v>15.6753311215869</v>
      </c>
      <c r="AL2971">
        <v>80.513071175425594</v>
      </c>
      <c r="AM2971">
        <v>67.240558305976407</v>
      </c>
      <c r="AN2971">
        <v>1.00000002879276</v>
      </c>
    </row>
    <row r="2972" spans="1:40" x14ac:dyDescent="0.25">
      <c r="A2972" t="str">
        <f>"20190312164325040"</f>
        <v>20190312164325040</v>
      </c>
      <c r="B2972" t="str">
        <f>"1552380205027670"</f>
        <v>1552380205027670</v>
      </c>
      <c r="C2972" t="s">
        <v>40</v>
      </c>
      <c r="D2972">
        <v>4.3840120000000002</v>
      </c>
      <c r="E2972">
        <v>0.52051720000000001</v>
      </c>
      <c r="F2972" t="s">
        <v>45</v>
      </c>
      <c r="G2972">
        <v>-195.47929999999999</v>
      </c>
      <c r="H2972" s="1">
        <v>4.2305140000000004E-6</v>
      </c>
      <c r="I2972">
        <v>206.6585</v>
      </c>
      <c r="J2972">
        <v>-209.45</v>
      </c>
      <c r="K2972">
        <v>1.1050679999999999</v>
      </c>
      <c r="L2972">
        <v>215.19720000000001</v>
      </c>
      <c r="M2972">
        <v>0.99526440000000005</v>
      </c>
      <c r="N2972">
        <v>0</v>
      </c>
      <c r="O2972">
        <v>-9.615717E-2</v>
      </c>
      <c r="P2972">
        <v>0.86390440000000002</v>
      </c>
      <c r="Q2972">
        <v>0.16030069999999999</v>
      </c>
      <c r="R2972">
        <v>-0.47746549999999999</v>
      </c>
      <c r="S2972">
        <v>2.645966</v>
      </c>
      <c r="T2972">
        <v>-0.20098299999999999</v>
      </c>
      <c r="U2972">
        <v>-1.5633539999999999</v>
      </c>
      <c r="V2972">
        <v>0.39434960000000002</v>
      </c>
      <c r="W2972">
        <v>0.16816710000000001</v>
      </c>
      <c r="X2972">
        <v>0.90344239999999998</v>
      </c>
      <c r="Y2972">
        <v>0.42284680000000002</v>
      </c>
      <c r="Z2972">
        <v>-8.1428460000000005E-3</v>
      </c>
      <c r="AA2972">
        <v>0.90616459999999999</v>
      </c>
      <c r="AB2972">
        <v>37</v>
      </c>
      <c r="AC2972">
        <v>13.9706999999999</v>
      </c>
      <c r="AD2972">
        <v>-1.1050637694859999</v>
      </c>
      <c r="AE2972">
        <v>-8.5387000000000004</v>
      </c>
      <c r="AF2972">
        <v>7.1231595257005802</v>
      </c>
      <c r="AG2972">
        <v>-1.1050637694859999</v>
      </c>
      <c r="AH2972">
        <v>14.660310684500701</v>
      </c>
      <c r="AI2972">
        <v>93.878639503354293</v>
      </c>
      <c r="AJ2972">
        <v>64.085785605601899</v>
      </c>
      <c r="AK2972">
        <v>16.336623792243401</v>
      </c>
      <c r="AL2972">
        <v>80.318732312669397</v>
      </c>
      <c r="AM2972">
        <v>66.418891022337107</v>
      </c>
      <c r="AN2972">
        <v>0.99999997533016405</v>
      </c>
    </row>
    <row r="2973" spans="1:40" x14ac:dyDescent="0.25">
      <c r="A2973" t="str">
        <f>"20190312164325065"</f>
        <v>20190312164325065</v>
      </c>
      <c r="B2973" t="str">
        <f>"1552380205057926"</f>
        <v>1552380205057926</v>
      </c>
      <c r="C2973" t="s">
        <v>40</v>
      </c>
      <c r="D2973">
        <v>4.6136980000000003</v>
      </c>
      <c r="E2973">
        <v>0.51987989999999995</v>
      </c>
      <c r="F2973" t="s">
        <v>45</v>
      </c>
      <c r="G2973">
        <v>-197.953</v>
      </c>
      <c r="H2973" s="1">
        <v>3.2913090000000002E-6</v>
      </c>
      <c r="I2973">
        <v>208.4821</v>
      </c>
      <c r="J2973">
        <v>-209.0198</v>
      </c>
      <c r="K2973">
        <v>1.104778</v>
      </c>
      <c r="L2973">
        <v>215.149</v>
      </c>
      <c r="M2973">
        <v>0.99456350000000004</v>
      </c>
      <c r="N2973">
        <v>0</v>
      </c>
      <c r="O2973">
        <v>-0.10315149999999999</v>
      </c>
      <c r="P2973">
        <v>0.85746089999999997</v>
      </c>
      <c r="Q2973">
        <v>0.15983649999999999</v>
      </c>
      <c r="R2973">
        <v>-0.48909419999999998</v>
      </c>
      <c r="S2973">
        <v>2.6610719999999999</v>
      </c>
      <c r="T2973">
        <v>-0.25577620000000001</v>
      </c>
      <c r="U2973">
        <v>-1.55426</v>
      </c>
      <c r="V2973">
        <v>0.40031359999999999</v>
      </c>
      <c r="W2973">
        <v>0.1673317</v>
      </c>
      <c r="X2973">
        <v>0.90097119999999997</v>
      </c>
      <c r="Y2973">
        <v>0.41153040000000002</v>
      </c>
      <c r="Z2973">
        <v>-9.1980919999999997E-3</v>
      </c>
      <c r="AA2973">
        <v>0.91134970000000004</v>
      </c>
      <c r="AB2973">
        <v>37</v>
      </c>
      <c r="AC2973">
        <v>11.066800000000001</v>
      </c>
      <c r="AD2973">
        <v>-1.104774708691</v>
      </c>
      <c r="AE2973">
        <v>-6.6668999999999903</v>
      </c>
      <c r="AF2973">
        <v>5.4498073198067596</v>
      </c>
      <c r="AG2973">
        <v>-1.104774708691</v>
      </c>
      <c r="AH2973">
        <v>11.6106278236051</v>
      </c>
      <c r="AI2973">
        <v>94.923040916595397</v>
      </c>
      <c r="AJ2973">
        <v>64.855534679433703</v>
      </c>
      <c r="AK2973">
        <v>12.873523427494799</v>
      </c>
      <c r="AL2973">
        <v>80.367285360093305</v>
      </c>
      <c r="AM2973">
        <v>66.043779930262403</v>
      </c>
      <c r="AN2973">
        <v>0.99999998969964399</v>
      </c>
    </row>
    <row r="2974" spans="1:40" x14ac:dyDescent="0.25">
      <c r="A2974" t="str">
        <f>"20190312164325088"</f>
        <v>20190312164325088</v>
      </c>
      <c r="B2974" t="str">
        <f>"1552380205077445"</f>
        <v>1552380205077445</v>
      </c>
      <c r="C2974" t="s">
        <v>40</v>
      </c>
      <c r="D2974">
        <v>4.4042110000000001</v>
      </c>
      <c r="E2974">
        <v>0.51863079999999995</v>
      </c>
      <c r="F2974" t="s">
        <v>45</v>
      </c>
      <c r="G2974">
        <v>-197.76150000000001</v>
      </c>
      <c r="H2974" s="1">
        <v>3.346199E-6</v>
      </c>
      <c r="I2974">
        <v>208.4032</v>
      </c>
      <c r="J2974">
        <v>-208.64189999999999</v>
      </c>
      <c r="K2974">
        <v>1.1045160000000001</v>
      </c>
      <c r="L2974">
        <v>215.10380000000001</v>
      </c>
      <c r="M2974">
        <v>0.99387119999999995</v>
      </c>
      <c r="N2974">
        <v>0</v>
      </c>
      <c r="O2974">
        <v>-0.1096191</v>
      </c>
      <c r="P2974">
        <v>0.85125729999999999</v>
      </c>
      <c r="Q2974">
        <v>0.15965480000000001</v>
      </c>
      <c r="R2974">
        <v>-0.49987189999999998</v>
      </c>
      <c r="S2974">
        <v>2.6435550000000001</v>
      </c>
      <c r="T2974">
        <v>-0.25941059999999999</v>
      </c>
      <c r="U2974">
        <v>-1.583969</v>
      </c>
      <c r="V2974">
        <v>0.40592240000000002</v>
      </c>
      <c r="W2974">
        <v>0.1668047</v>
      </c>
      <c r="X2974">
        <v>0.89855620000000003</v>
      </c>
      <c r="Y2974">
        <v>0.41577360000000002</v>
      </c>
      <c r="Z2974">
        <v>-8.9758819999999993E-3</v>
      </c>
      <c r="AA2974">
        <v>0.9094238</v>
      </c>
      <c r="AB2974">
        <v>37</v>
      </c>
      <c r="AC2974">
        <v>10.8803999999999</v>
      </c>
      <c r="AD2974">
        <v>-1.1045126538009999</v>
      </c>
      <c r="AE2974">
        <v>-6.7005999999999997</v>
      </c>
      <c r="AF2974">
        <v>5.4268441262202503</v>
      </c>
      <c r="AG2974">
        <v>-1.1045126538009999</v>
      </c>
      <c r="AH2974">
        <v>11.4637552938919</v>
      </c>
      <c r="AI2974">
        <v>94.976956276382793</v>
      </c>
      <c r="AJ2974">
        <v>64.66752402166</v>
      </c>
      <c r="AK2974">
        <v>12.7313891940719</v>
      </c>
      <c r="AL2974">
        <v>80.397910993993307</v>
      </c>
      <c r="AM2974">
        <v>65.688945921740299</v>
      </c>
      <c r="AN2974">
        <v>1.0000000236611399</v>
      </c>
    </row>
    <row r="2975" spans="1:40" x14ac:dyDescent="0.25">
      <c r="A2975" t="str">
        <f>"20190312164325110"</f>
        <v>20190312164325110</v>
      </c>
      <c r="B2975" t="str">
        <f>"1552380205097942"</f>
        <v>1552380205097942</v>
      </c>
      <c r="C2975" t="s">
        <v>40</v>
      </c>
      <c r="D2975">
        <v>4.3013190000000003</v>
      </c>
      <c r="E2975">
        <v>0.51792309999999997</v>
      </c>
      <c r="F2975" t="s">
        <v>45</v>
      </c>
      <c r="G2975">
        <v>-197.45529999999999</v>
      </c>
      <c r="H2975" s="1">
        <v>3.436254E-6</v>
      </c>
      <c r="I2975">
        <v>208.26820000000001</v>
      </c>
      <c r="J2975">
        <v>-208.2885</v>
      </c>
      <c r="K2975">
        <v>1.1042749999999999</v>
      </c>
      <c r="L2975">
        <v>215.0591</v>
      </c>
      <c r="M2975">
        <v>0.99315549999999997</v>
      </c>
      <c r="N2975">
        <v>0</v>
      </c>
      <c r="O2975">
        <v>-0.11592139999999999</v>
      </c>
      <c r="P2975">
        <v>0.84490290000000001</v>
      </c>
      <c r="Q2975">
        <v>0.1591535</v>
      </c>
      <c r="R2975">
        <v>-0.51069469999999995</v>
      </c>
      <c r="S2975">
        <v>2.62941</v>
      </c>
      <c r="T2975">
        <v>-0.25961400000000001</v>
      </c>
      <c r="U2975">
        <v>-1.606689</v>
      </c>
      <c r="V2975">
        <v>0.41177459999999999</v>
      </c>
      <c r="W2975">
        <v>0.1659659</v>
      </c>
      <c r="X2975">
        <v>0.89604519999999999</v>
      </c>
      <c r="Y2975">
        <v>0.41791400000000001</v>
      </c>
      <c r="Z2975">
        <v>-8.5436249999999991E-3</v>
      </c>
      <c r="AA2975">
        <v>0.90844639999999999</v>
      </c>
      <c r="AB2975">
        <v>37</v>
      </c>
      <c r="AC2975">
        <v>10.8332</v>
      </c>
      <c r="AD2975">
        <v>-1.1042715637460001</v>
      </c>
      <c r="AE2975">
        <v>-6.7908999999999899</v>
      </c>
      <c r="AF2975">
        <v>5.4485383318955201</v>
      </c>
      <c r="AG2975">
        <v>-1.1042715637460001</v>
      </c>
      <c r="AH2975">
        <v>11.4619441201801</v>
      </c>
      <c r="AI2975">
        <v>94.972886476659298</v>
      </c>
      <c r="AJ2975">
        <v>64.575501467137997</v>
      </c>
      <c r="AK2975">
        <v>12.7390010854369</v>
      </c>
      <c r="AL2975">
        <v>80.446649856931003</v>
      </c>
      <c r="AM2975">
        <v>65.319010501211295</v>
      </c>
      <c r="AN2975">
        <v>1.0000000008054999</v>
      </c>
    </row>
    <row r="2976" spans="1:40" x14ac:dyDescent="0.25">
      <c r="A2976" t="str">
        <f>"20190312164325135"</f>
        <v>20190312164325135</v>
      </c>
      <c r="B2976" t="str">
        <f>"1552380205127222"</f>
        <v>1552380205127222</v>
      </c>
      <c r="C2976" t="s">
        <v>40</v>
      </c>
      <c r="D2976">
        <v>4.1362589999999999</v>
      </c>
      <c r="E2976">
        <v>0.51774109999999995</v>
      </c>
      <c r="F2976" t="s">
        <v>45</v>
      </c>
      <c r="G2976">
        <v>-197.37039999999999</v>
      </c>
      <c r="H2976" s="1">
        <v>3.46117E-6</v>
      </c>
      <c r="I2976">
        <v>208.23099999999999</v>
      </c>
      <c r="J2976">
        <v>-207.88570000000001</v>
      </c>
      <c r="K2976">
        <v>1.1039810000000001</v>
      </c>
      <c r="L2976">
        <v>215.0052</v>
      </c>
      <c r="M2976">
        <v>0.99225229999999998</v>
      </c>
      <c r="N2976">
        <v>0</v>
      </c>
      <c r="O2976">
        <v>-0.1234112</v>
      </c>
      <c r="P2976">
        <v>0.83786890000000003</v>
      </c>
      <c r="Q2976">
        <v>0.15902720000000001</v>
      </c>
      <c r="R2976">
        <v>-0.52219369999999998</v>
      </c>
      <c r="S2976">
        <v>2.6128230000000001</v>
      </c>
      <c r="T2976">
        <v>-0.26426630000000001</v>
      </c>
      <c r="U2976">
        <v>-1.634064</v>
      </c>
      <c r="V2976">
        <v>0.4173733</v>
      </c>
      <c r="W2976">
        <v>0.16546179999999999</v>
      </c>
      <c r="X2976">
        <v>0.89354460000000002</v>
      </c>
      <c r="Y2976">
        <v>0.4204735</v>
      </c>
      <c r="Z2976">
        <v>-8.1627130000000003E-3</v>
      </c>
      <c r="AA2976">
        <v>0.90726810000000002</v>
      </c>
      <c r="AB2976">
        <v>37</v>
      </c>
      <c r="AC2976">
        <v>10.5153</v>
      </c>
      <c r="AD2976">
        <v>-1.1039775388299999</v>
      </c>
      <c r="AE2976">
        <v>-6.7742000000000004</v>
      </c>
      <c r="AF2976">
        <v>5.3826374867172397</v>
      </c>
      <c r="AG2976">
        <v>-1.1039775388299999</v>
      </c>
      <c r="AH2976">
        <v>11.1838807508915</v>
      </c>
      <c r="AI2976">
        <v>95.082856514328896</v>
      </c>
      <c r="AJ2976">
        <v>64.299171546142006</v>
      </c>
      <c r="AK2976">
        <v>12.4607680890793</v>
      </c>
      <c r="AL2976">
        <v>80.475937736774597</v>
      </c>
      <c r="AM2976">
        <v>64.962794590699005</v>
      </c>
      <c r="AN2976">
        <v>1.0000000155006401</v>
      </c>
    </row>
    <row r="2977" spans="1:40" x14ac:dyDescent="0.25">
      <c r="A2977" t="str">
        <f>"20190312164325176"</f>
        <v>20190312164325176</v>
      </c>
      <c r="B2977" t="str">
        <f>"1552380205167241"</f>
        <v>1552380205167241</v>
      </c>
      <c r="C2977" t="s">
        <v>40</v>
      </c>
      <c r="D2977">
        <v>4.2713789999999996</v>
      </c>
      <c r="E2977">
        <v>0.5612665</v>
      </c>
      <c r="F2977" t="s">
        <v>45</v>
      </c>
      <c r="G2977">
        <v>-197.07730000000001</v>
      </c>
      <c r="H2977" s="1">
        <v>3.5597E-6</v>
      </c>
      <c r="I2977">
        <v>208.05529999999999</v>
      </c>
      <c r="J2977">
        <v>-207.2165</v>
      </c>
      <c r="K2977">
        <v>1.103464</v>
      </c>
      <c r="L2977">
        <v>214.90799999999999</v>
      </c>
      <c r="M2977">
        <v>0.99051310000000004</v>
      </c>
      <c r="N2977">
        <v>0</v>
      </c>
      <c r="O2977">
        <v>-0.13666600000000001</v>
      </c>
      <c r="P2977">
        <v>0.82299049999999996</v>
      </c>
      <c r="Q2977">
        <v>0.15810660000000001</v>
      </c>
      <c r="R2977">
        <v>-0.54560909999999996</v>
      </c>
      <c r="S2977">
        <v>2.5919949999999998</v>
      </c>
      <c r="T2977">
        <v>-0.26474690000000001</v>
      </c>
      <c r="U2977">
        <v>-1.66668699999999</v>
      </c>
      <c r="V2977">
        <v>0.43077080000000001</v>
      </c>
      <c r="W2977">
        <v>0.16376769999999999</v>
      </c>
      <c r="X2977">
        <v>0.88747779999999998</v>
      </c>
      <c r="Y2977">
        <v>0.41978710000000002</v>
      </c>
      <c r="Z2977">
        <v>-6.9741489999999998E-3</v>
      </c>
      <c r="AA2977">
        <v>0.90759579999999995</v>
      </c>
      <c r="AB2977">
        <v>37</v>
      </c>
      <c r="AC2977">
        <v>10.139199999999899</v>
      </c>
      <c r="AD2977">
        <v>-1.1034604402999999</v>
      </c>
      <c r="AE2977">
        <v>-6.8526999999999898</v>
      </c>
      <c r="AF2977">
        <v>5.3589917630182304</v>
      </c>
      <c r="AG2977">
        <v>-1.1034604402999999</v>
      </c>
      <c r="AH2977">
        <v>10.892116955601001</v>
      </c>
      <c r="AI2977">
        <v>95.194001423817099</v>
      </c>
      <c r="AJ2977">
        <v>63.802516548072397</v>
      </c>
      <c r="AK2977">
        <v>12.1891193050973</v>
      </c>
      <c r="AL2977">
        <v>80.574345748985607</v>
      </c>
      <c r="AM2977">
        <v>64.108634513889996</v>
      </c>
      <c r="AN2977">
        <v>1.00000009359438</v>
      </c>
    </row>
    <row r="2978" spans="1:40" x14ac:dyDescent="0.25">
      <c r="A2978" t="str">
        <f>"20190312164325200"</f>
        <v>20190312164325200</v>
      </c>
      <c r="B2978" t="str">
        <f>"1552380205197494"</f>
        <v>1552380205197494</v>
      </c>
      <c r="C2978" t="s">
        <v>40</v>
      </c>
      <c r="D2978">
        <v>4.0060510000000003</v>
      </c>
      <c r="E2978">
        <v>0.56425289999999995</v>
      </c>
      <c r="F2978" t="s">
        <v>45</v>
      </c>
      <c r="G2978">
        <v>-197.10239999999999</v>
      </c>
      <c r="H2978" s="1">
        <v>4.0554449999999999E-6</v>
      </c>
      <c r="I2978">
        <v>206.16630000000001</v>
      </c>
      <c r="J2978">
        <v>-206.8108</v>
      </c>
      <c r="K2978">
        <v>1.103146</v>
      </c>
      <c r="L2978">
        <v>214.8443</v>
      </c>
      <c r="M2978">
        <v>0.98930110000000004</v>
      </c>
      <c r="N2978">
        <v>0</v>
      </c>
      <c r="O2978">
        <v>-0.14517550000000001</v>
      </c>
      <c r="P2978">
        <v>0.81410039999999995</v>
      </c>
      <c r="Q2978">
        <v>0.15688650000000001</v>
      </c>
      <c r="R2978">
        <v>-0.55913069999999998</v>
      </c>
      <c r="S2978">
        <v>2.3486630000000002</v>
      </c>
      <c r="T2978">
        <v>-0.2562429</v>
      </c>
      <c r="U2978">
        <v>-2.0299680000000002</v>
      </c>
      <c r="V2978">
        <v>0.43787769999999998</v>
      </c>
      <c r="W2978">
        <v>0.1620801</v>
      </c>
      <c r="X2978">
        <v>0.88430370000000003</v>
      </c>
      <c r="Y2978">
        <v>0.53584240000000005</v>
      </c>
      <c r="Z2978">
        <v>-1.1727349999999999E-2</v>
      </c>
      <c r="AA2978">
        <v>0.8442366</v>
      </c>
      <c r="AB2978">
        <v>37</v>
      </c>
      <c r="AC2978">
        <v>9.7084000000000099</v>
      </c>
      <c r="AD2978">
        <v>-1.1031419445549999</v>
      </c>
      <c r="AE2978">
        <v>-8.6779999999999902</v>
      </c>
      <c r="AF2978">
        <v>7.1253394618260604</v>
      </c>
      <c r="AG2978">
        <v>-1.1031419445549999</v>
      </c>
      <c r="AH2978">
        <v>10.788065653523001</v>
      </c>
      <c r="AI2978">
        <v>94.876930334387893</v>
      </c>
      <c r="AJ2978">
        <v>56.555895917704603</v>
      </c>
      <c r="AK2978">
        <v>12.9757367860486</v>
      </c>
      <c r="AL2978">
        <v>80.672346068097397</v>
      </c>
      <c r="AM2978">
        <v>63.656921344569398</v>
      </c>
      <c r="AN2978">
        <v>0.99999993640349305</v>
      </c>
    </row>
    <row r="2979" spans="1:40" x14ac:dyDescent="0.25">
      <c r="A2979" t="str">
        <f>"20190312164325219"</f>
        <v>20190312164325219</v>
      </c>
      <c r="B2979" t="str">
        <f>"1552380205207254"</f>
        <v>1552380205207254</v>
      </c>
      <c r="C2979" t="s">
        <v>40</v>
      </c>
      <c r="D2979">
        <v>4.0151830000000004</v>
      </c>
      <c r="E2979">
        <v>0.56452170000000002</v>
      </c>
      <c r="F2979" t="s">
        <v>45</v>
      </c>
      <c r="G2979">
        <v>-196.24459999999999</v>
      </c>
      <c r="H2979" s="1">
        <v>4.5619990000000003E-6</v>
      </c>
      <c r="I2979">
        <v>205.2407</v>
      </c>
      <c r="J2979">
        <v>-206.4948</v>
      </c>
      <c r="K2979">
        <v>1.102887</v>
      </c>
      <c r="L2979">
        <v>214.79179999999999</v>
      </c>
      <c r="M2979">
        <v>0.98825770000000002</v>
      </c>
      <c r="N2979">
        <v>0</v>
      </c>
      <c r="O2979">
        <v>-0.15211440000000001</v>
      </c>
      <c r="P2979">
        <v>0.80588000000000004</v>
      </c>
      <c r="Q2979">
        <v>0.15626229999999999</v>
      </c>
      <c r="R2979">
        <v>-0.57108649999999905</v>
      </c>
      <c r="S2979">
        <v>2.2972410000000001</v>
      </c>
      <c r="T2979">
        <v>-0.23983850000000001</v>
      </c>
      <c r="U2979">
        <v>-2.0879669999999999</v>
      </c>
      <c r="V2979">
        <v>0.44480069999999999</v>
      </c>
      <c r="W2979">
        <v>0.1610354</v>
      </c>
      <c r="X2979">
        <v>0.88103349999999903</v>
      </c>
      <c r="Y2979">
        <v>0.55103630000000003</v>
      </c>
      <c r="Z2979">
        <v>-1.1170289999999999E-2</v>
      </c>
      <c r="AA2979">
        <v>0.834406599999999</v>
      </c>
      <c r="AB2979">
        <v>37</v>
      </c>
      <c r="AC2979">
        <v>10.2502</v>
      </c>
      <c r="AD2979">
        <v>-1.1028824380010001</v>
      </c>
      <c r="AE2979">
        <v>-9.5510999999999893</v>
      </c>
      <c r="AF2979">
        <v>7.8320317312730303</v>
      </c>
      <c r="AG2979">
        <v>-1.1028824380010001</v>
      </c>
      <c r="AH2979">
        <v>11.5125634640938</v>
      </c>
      <c r="AI2979">
        <v>94.528764871297497</v>
      </c>
      <c r="AJ2979">
        <v>55.772427303077002</v>
      </c>
      <c r="AK2979">
        <v>13.9676837101399</v>
      </c>
      <c r="AL2979">
        <v>80.733000787201703</v>
      </c>
      <c r="AM2979">
        <v>63.212505926655702</v>
      </c>
      <c r="AN2979">
        <v>1.0000000454479401</v>
      </c>
    </row>
    <row r="2980" spans="1:40" x14ac:dyDescent="0.25">
      <c r="A2980" t="str">
        <f>"20190312164325245"</f>
        <v>20190312164325245</v>
      </c>
      <c r="B2980" t="str">
        <f>"1552380205238100"</f>
        <v>1552380205238100</v>
      </c>
      <c r="C2980" t="s">
        <v>40</v>
      </c>
      <c r="D2980">
        <v>4.0360569999999996</v>
      </c>
      <c r="E2980">
        <v>0.56416009999999905</v>
      </c>
      <c r="F2980" t="s">
        <v>45</v>
      </c>
      <c r="G2980">
        <v>-195.96619999999999</v>
      </c>
      <c r="H2980" s="1">
        <v>4.7351639999999998E-6</v>
      </c>
      <c r="I2980">
        <v>204.9255</v>
      </c>
      <c r="J2980">
        <v>-206.07919999999999</v>
      </c>
      <c r="K2980">
        <v>1.1025180000000001</v>
      </c>
      <c r="L2980">
        <v>214.71879999999999</v>
      </c>
      <c r="M2980">
        <v>0.98673630000000001</v>
      </c>
      <c r="N2980">
        <v>0</v>
      </c>
      <c r="O2980">
        <v>-0.16168560000000001</v>
      </c>
      <c r="P2980">
        <v>0.795792099999999</v>
      </c>
      <c r="Q2980">
        <v>0.15633729999999901</v>
      </c>
      <c r="R2980">
        <v>-0.58504140000000004</v>
      </c>
      <c r="S2980">
        <v>2.2647089999999999</v>
      </c>
      <c r="T2980">
        <v>-0.23723050000000001</v>
      </c>
      <c r="U2980">
        <v>-2.1222530000000002</v>
      </c>
      <c r="V2980">
        <v>0.45176349999999998</v>
      </c>
      <c r="W2980">
        <v>0.16057179999999999</v>
      </c>
      <c r="X2980">
        <v>0.87756849999999997</v>
      </c>
      <c r="Y2980">
        <v>0.5556818</v>
      </c>
      <c r="Z2980">
        <v>-1.051494E-2</v>
      </c>
      <c r="AA2980">
        <v>0.83132859999999997</v>
      </c>
      <c r="AB2980">
        <v>37</v>
      </c>
      <c r="AC2980">
        <v>10.113</v>
      </c>
      <c r="AD2980">
        <v>-1.1025132648360001</v>
      </c>
      <c r="AE2980">
        <v>-9.7932999999999808</v>
      </c>
      <c r="AF2980">
        <v>7.9801722325672202</v>
      </c>
      <c r="AG2980">
        <v>-1.1025132648360001</v>
      </c>
      <c r="AH2980">
        <v>11.4930178272225</v>
      </c>
      <c r="AI2980">
        <v>94.505407416832597</v>
      </c>
      <c r="AJ2980">
        <v>55.225835294396703</v>
      </c>
      <c r="AK2980">
        <v>14.035246458022399</v>
      </c>
      <c r="AL2980">
        <v>80.759913077988401</v>
      </c>
      <c r="AM2980">
        <v>62.761042633677597</v>
      </c>
      <c r="AN2980">
        <v>1.00000001753986</v>
      </c>
    </row>
    <row r="2981" spans="1:40" x14ac:dyDescent="0.25">
      <c r="A2981" t="str">
        <f>"20190312164325267"</f>
        <v>20190312164325267</v>
      </c>
      <c r="B2981" t="str">
        <f>"1552380205257620"</f>
        <v>1552380205257620</v>
      </c>
      <c r="C2981" t="s">
        <v>40</v>
      </c>
      <c r="D2981">
        <v>4.1592260000000003</v>
      </c>
      <c r="E2981">
        <v>0.56341109999999905</v>
      </c>
      <c r="F2981" t="s">
        <v>45</v>
      </c>
      <c r="G2981">
        <v>-195.29140000000001</v>
      </c>
      <c r="H2981" s="1">
        <v>5.0876079999999996E-6</v>
      </c>
      <c r="I2981">
        <v>204.26310000000001</v>
      </c>
      <c r="J2981">
        <v>-205.71680000000001</v>
      </c>
      <c r="K2981">
        <v>1.1021799999999999</v>
      </c>
      <c r="L2981">
        <v>214.6515</v>
      </c>
      <c r="M2981">
        <v>0.98526279999999999</v>
      </c>
      <c r="N2981">
        <v>0</v>
      </c>
      <c r="O2981">
        <v>-0.17043150000000001</v>
      </c>
      <c r="P2981">
        <v>0.7860779</v>
      </c>
      <c r="Q2981">
        <v>0.15747649999999999</v>
      </c>
      <c r="R2981">
        <v>-0.59773180000000004</v>
      </c>
      <c r="S2981">
        <v>2.227417</v>
      </c>
      <c r="T2981">
        <v>-0.2276416</v>
      </c>
      <c r="U2981">
        <v>-2.1588440000000002</v>
      </c>
      <c r="V2981">
        <v>0.4582523</v>
      </c>
      <c r="W2981">
        <v>0.16120580000000001</v>
      </c>
      <c r="X2981">
        <v>0.874081</v>
      </c>
      <c r="Y2981">
        <v>0.56236960000000003</v>
      </c>
      <c r="Z2981">
        <v>-9.7410810000000004E-3</v>
      </c>
      <c r="AA2981">
        <v>0.82682860000000002</v>
      </c>
      <c r="AB2981">
        <v>37</v>
      </c>
      <c r="AC2981">
        <v>10.4253999999999</v>
      </c>
      <c r="AD2981">
        <v>-1.1021749123919999</v>
      </c>
      <c r="AE2981">
        <v>-10.388399999999899</v>
      </c>
      <c r="AF2981">
        <v>8.4121994725167699</v>
      </c>
      <c r="AG2981">
        <v>-1.1021749123919999</v>
      </c>
      <c r="AH2981">
        <v>11.9763695425851</v>
      </c>
      <c r="AI2981">
        <v>94.306712845930207</v>
      </c>
      <c r="AJ2981">
        <v>54.915803306989197</v>
      </c>
      <c r="AK2981">
        <v>14.6769655216423</v>
      </c>
      <c r="AL2981">
        <v>80.723108264742507</v>
      </c>
      <c r="AM2981">
        <v>62.333435946742803</v>
      </c>
      <c r="AN2981">
        <v>1.00000003748496</v>
      </c>
    </row>
    <row r="2982" spans="1:40" x14ac:dyDescent="0.25">
      <c r="A2982" t="str">
        <f>"20190312164325289"</f>
        <v>20190312164325289</v>
      </c>
      <c r="B2982" t="str">
        <f>"1552380205278115"</f>
        <v>1552380205278115</v>
      </c>
      <c r="C2982" t="s">
        <v>40</v>
      </c>
      <c r="D2982">
        <v>4.0075250000000002</v>
      </c>
      <c r="E2982">
        <v>0.56231339999999996</v>
      </c>
      <c r="F2982" t="s">
        <v>45</v>
      </c>
      <c r="G2982">
        <v>-194.74950000000001</v>
      </c>
      <c r="H2982" s="1">
        <v>5.3523789999999998E-6</v>
      </c>
      <c r="I2982">
        <v>203.71690000000001</v>
      </c>
      <c r="J2982">
        <v>-205.3613</v>
      </c>
      <c r="K2982">
        <v>1.1018509999999999</v>
      </c>
      <c r="L2982">
        <v>214.58199999999999</v>
      </c>
      <c r="M2982">
        <v>0.98367709999999997</v>
      </c>
      <c r="N2982">
        <v>0</v>
      </c>
      <c r="O2982">
        <v>-0.1793534</v>
      </c>
      <c r="P2982">
        <v>0.77669109999999997</v>
      </c>
      <c r="Q2982">
        <v>0.1583696</v>
      </c>
      <c r="R2982">
        <v>-0.60964790000000002</v>
      </c>
      <c r="S2982">
        <v>2.1958769999999999</v>
      </c>
      <c r="T2982">
        <v>-0.2206776</v>
      </c>
      <c r="U2982">
        <v>-2.1893159999999998</v>
      </c>
      <c r="V2982">
        <v>0.46384059999999999</v>
      </c>
      <c r="W2982">
        <v>0.16162270000000001</v>
      </c>
      <c r="X2982">
        <v>0.87105109999999997</v>
      </c>
      <c r="Y2982">
        <v>0.56662819999999903</v>
      </c>
      <c r="Z2982">
        <v>-8.9756909999999992E-3</v>
      </c>
      <c r="AA2982">
        <v>0.82392469999999995</v>
      </c>
      <c r="AB2982">
        <v>37</v>
      </c>
      <c r="AC2982">
        <v>10.611799999999899</v>
      </c>
      <c r="AD2982">
        <v>-1.1018456476209999</v>
      </c>
      <c r="AE2982">
        <v>-10.865099999999901</v>
      </c>
      <c r="AF2982">
        <v>8.7394185074023198</v>
      </c>
      <c r="AG2982">
        <v>-1.1018456476209999</v>
      </c>
      <c r="AH2982">
        <v>12.323723887808301</v>
      </c>
      <c r="AI2982">
        <v>94.171269410664706</v>
      </c>
      <c r="AJ2982">
        <v>54.657486469362297</v>
      </c>
      <c r="AK2982">
        <v>15.1481243110044</v>
      </c>
      <c r="AL2982">
        <v>80.698903995160506</v>
      </c>
      <c r="AM2982">
        <v>61.964396990770503</v>
      </c>
      <c r="AN2982">
        <v>1.0000000090874299</v>
      </c>
    </row>
    <row r="2983" spans="1:40" x14ac:dyDescent="0.25">
      <c r="A2983" t="str">
        <f>"20190312164325316"</f>
        <v>20190312164325316</v>
      </c>
      <c r="B2983" t="str">
        <f>"1552380205307396"</f>
        <v>1552380205307396</v>
      </c>
      <c r="C2983" t="s">
        <v>40</v>
      </c>
      <c r="D2983">
        <v>4.085782</v>
      </c>
      <c r="E2983">
        <v>0.56052309999999905</v>
      </c>
      <c r="F2983" t="s">
        <v>45</v>
      </c>
      <c r="G2983">
        <v>-194.47880000000001</v>
      </c>
      <c r="H2983" s="1">
        <v>5.47952999999999E-6</v>
      </c>
      <c r="I2983">
        <v>203.46350000000001</v>
      </c>
      <c r="J2983">
        <v>-204.93600000000001</v>
      </c>
      <c r="K2983">
        <v>1.101459</v>
      </c>
      <c r="L2983">
        <v>214.4941</v>
      </c>
      <c r="M2983">
        <v>0.98158060000000003</v>
      </c>
      <c r="N2983">
        <v>0</v>
      </c>
      <c r="O2983">
        <v>-0.19048960000000001</v>
      </c>
      <c r="P2983">
        <v>0.76613399999999998</v>
      </c>
      <c r="Q2983">
        <v>0.15809019999999999</v>
      </c>
      <c r="R2983">
        <v>-0.62293359999999998</v>
      </c>
      <c r="S2983">
        <v>2.1683810000000001</v>
      </c>
      <c r="T2983">
        <v>-0.21954770000000001</v>
      </c>
      <c r="U2983">
        <v>-2.215408</v>
      </c>
      <c r="V2983">
        <v>0.469111</v>
      </c>
      <c r="W2983">
        <v>0.160802</v>
      </c>
      <c r="X2983">
        <v>0.86837640000000005</v>
      </c>
      <c r="Y2983">
        <v>0.56739729999999999</v>
      </c>
      <c r="Z2983">
        <v>-8.1335669999999995E-3</v>
      </c>
      <c r="AA2983">
        <v>0.82340400000000002</v>
      </c>
      <c r="AB2983">
        <v>36</v>
      </c>
      <c r="AC2983">
        <v>10.457199999999901</v>
      </c>
      <c r="AD2983">
        <v>-1.10145352047</v>
      </c>
      <c r="AE2983">
        <v>-11.0305999999999</v>
      </c>
      <c r="AF2983">
        <v>8.7902169686628895</v>
      </c>
      <c r="AG2983">
        <v>-1.10145352047</v>
      </c>
      <c r="AH2983">
        <v>12.3025133170411</v>
      </c>
      <c r="AI2983">
        <v>94.166443380962903</v>
      </c>
      <c r="AJ2983">
        <v>54.453973689232299</v>
      </c>
      <c r="AK2983">
        <v>15.1602423506321</v>
      </c>
      <c r="AL2983">
        <v>80.746549710615298</v>
      </c>
      <c r="AM2983">
        <v>61.6213638218792</v>
      </c>
      <c r="AN2983">
        <v>0.99999999280097995</v>
      </c>
    </row>
    <row r="2984" spans="1:40" x14ac:dyDescent="0.25">
      <c r="A2984" t="str">
        <f>"20190312164325338"</f>
        <v>20190312164325338</v>
      </c>
      <c r="B2984" t="str">
        <f>"1552380205327893"</f>
        <v>1552380205327893</v>
      </c>
      <c r="C2984" t="s">
        <v>40</v>
      </c>
      <c r="D2984">
        <v>4.0938949999999998</v>
      </c>
      <c r="E2984">
        <v>0.55914849999999905</v>
      </c>
      <c r="F2984" t="s">
        <v>45</v>
      </c>
      <c r="G2984">
        <v>-194.34119999999999</v>
      </c>
      <c r="H2984" s="1">
        <v>5.5290790000000002E-6</v>
      </c>
      <c r="I2984">
        <v>203.39160000000001</v>
      </c>
      <c r="J2984">
        <v>-204.5865</v>
      </c>
      <c r="K2984">
        <v>1.1011200000000001</v>
      </c>
      <c r="L2984">
        <v>214.4178</v>
      </c>
      <c r="M2984">
        <v>0.97967579999999999</v>
      </c>
      <c r="N2984">
        <v>0</v>
      </c>
      <c r="O2984">
        <v>-0.20005229999999999</v>
      </c>
      <c r="P2984">
        <v>0.756629</v>
      </c>
      <c r="Q2984">
        <v>0.15885560000000001</v>
      </c>
      <c r="R2984">
        <v>-0.63425350000000003</v>
      </c>
      <c r="S2984">
        <v>2.1390690000000001</v>
      </c>
      <c r="T2984">
        <v>-0.22238250000000001</v>
      </c>
      <c r="U2984">
        <v>-2.2415919999999998</v>
      </c>
      <c r="V2984">
        <v>0.47373460000000001</v>
      </c>
      <c r="W2984">
        <v>0.16109519999999999</v>
      </c>
      <c r="X2984">
        <v>0.86580820000000003</v>
      </c>
      <c r="Y2984">
        <v>0.56979340000000001</v>
      </c>
      <c r="Z2984">
        <v>-7.626468E-3</v>
      </c>
      <c r="AA2984">
        <v>0.82175259999999895</v>
      </c>
      <c r="AB2984">
        <v>36</v>
      </c>
      <c r="AC2984">
        <v>10.2453</v>
      </c>
      <c r="AD2984">
        <v>-1.1011144709209999</v>
      </c>
      <c r="AE2984">
        <v>-11.0261999999999</v>
      </c>
      <c r="AF2984">
        <v>8.7068451269177292</v>
      </c>
      <c r="AG2984">
        <v>-1.1011144709209999</v>
      </c>
      <c r="AH2984">
        <v>12.1790200492589</v>
      </c>
      <c r="AI2984">
        <v>94.206456499031702</v>
      </c>
      <c r="AJ2984">
        <v>54.438825235371297</v>
      </c>
      <c r="AK2984">
        <v>15.011666613086399</v>
      </c>
      <c r="AL2984">
        <v>80.729528626350998</v>
      </c>
      <c r="AM2984">
        <v>61.314336728511897</v>
      </c>
      <c r="AN2984">
        <v>0.99999998694371905</v>
      </c>
    </row>
    <row r="2985" spans="1:40" x14ac:dyDescent="0.25">
      <c r="A2985" t="str">
        <f>"20190312164325364"</f>
        <v>20190312164325364</v>
      </c>
      <c r="B2985" t="str">
        <f>"1552380205357664"</f>
        <v>1552380205357664</v>
      </c>
      <c r="C2985" t="s">
        <v>40</v>
      </c>
      <c r="D2985">
        <v>4.5534270000000001</v>
      </c>
      <c r="E2985">
        <v>0.55773200000000001</v>
      </c>
      <c r="F2985" t="s">
        <v>45</v>
      </c>
      <c r="G2985">
        <v>-194.0291</v>
      </c>
      <c r="H2985" s="1">
        <v>5.6740560000000001E-6</v>
      </c>
      <c r="I2985">
        <v>203.10550000000001</v>
      </c>
      <c r="J2985">
        <v>-204.17609999999999</v>
      </c>
      <c r="K2985">
        <v>1.1007119999999999</v>
      </c>
      <c r="L2985">
        <v>214.32320000000001</v>
      </c>
      <c r="M2985">
        <v>0.97720320000000005</v>
      </c>
      <c r="N2985">
        <v>0</v>
      </c>
      <c r="O2985">
        <v>-0.2117967</v>
      </c>
      <c r="P2985">
        <v>0.74573990000000001</v>
      </c>
      <c r="Q2985">
        <v>0.15924949999999999</v>
      </c>
      <c r="R2985">
        <v>-0.64692530000000004</v>
      </c>
      <c r="S2985">
        <v>2.1131739999999999</v>
      </c>
      <c r="T2985">
        <v>-0.2203978</v>
      </c>
      <c r="U2985">
        <v>-2.2642669999999998</v>
      </c>
      <c r="V2985">
        <v>0.47813739999999999</v>
      </c>
      <c r="W2985">
        <v>0.16094129999999901</v>
      </c>
      <c r="X2985">
        <v>0.86341329999999905</v>
      </c>
      <c r="Y2985">
        <v>0.56910139999999998</v>
      </c>
      <c r="Z2985">
        <v>-6.6394949999999996E-3</v>
      </c>
      <c r="AA2985">
        <v>0.82224059999999899</v>
      </c>
      <c r="AB2985">
        <v>36</v>
      </c>
      <c r="AC2985">
        <v>10.146999999999901</v>
      </c>
      <c r="AD2985">
        <v>-1.100706325944</v>
      </c>
      <c r="AE2985">
        <v>-11.217700000000001</v>
      </c>
      <c r="AF2985">
        <v>8.76739751470142</v>
      </c>
      <c r="AG2985">
        <v>-1.100706325944</v>
      </c>
      <c r="AH2985">
        <v>12.228129288112401</v>
      </c>
      <c r="AI2985">
        <v>94.183967752588501</v>
      </c>
      <c r="AJ2985">
        <v>54.360006560605903</v>
      </c>
      <c r="AK2985">
        <v>15.086615242775901</v>
      </c>
      <c r="AL2985">
        <v>80.738463159176504</v>
      </c>
      <c r="AM2985">
        <v>61.023376680081697</v>
      </c>
      <c r="AN2985">
        <v>1.00000000097067</v>
      </c>
    </row>
    <row r="2986" spans="1:40" x14ac:dyDescent="0.25">
      <c r="A2986" t="str">
        <f>"20190312164325387"</f>
        <v>20190312164325387</v>
      </c>
      <c r="B2986" t="str">
        <f>"1552380205377184"</f>
        <v>1552380205377184</v>
      </c>
      <c r="C2986" t="s">
        <v>40</v>
      </c>
      <c r="D2986">
        <v>4.0659830000000001</v>
      </c>
      <c r="E2986">
        <v>0.54066689999999995</v>
      </c>
      <c r="F2986" t="s">
        <v>45</v>
      </c>
      <c r="G2986">
        <v>-193.63630000000001</v>
      </c>
      <c r="H2986" s="1">
        <v>5.8671759999999997E-6</v>
      </c>
      <c r="I2986">
        <v>202.72309999999999</v>
      </c>
      <c r="J2986">
        <v>-203.81100000000001</v>
      </c>
      <c r="K2986">
        <v>1.100339</v>
      </c>
      <c r="L2986">
        <v>214.23410000000001</v>
      </c>
      <c r="M2986">
        <v>0.97476910000000005</v>
      </c>
      <c r="N2986">
        <v>0</v>
      </c>
      <c r="O2986">
        <v>-0.2227266</v>
      </c>
      <c r="P2986">
        <v>0.73595109999999997</v>
      </c>
      <c r="Q2986">
        <v>0.1601747</v>
      </c>
      <c r="R2986">
        <v>-0.65781460000000003</v>
      </c>
      <c r="S2986">
        <v>2.0817260000000002</v>
      </c>
      <c r="T2986">
        <v>-0.21740280000000001</v>
      </c>
      <c r="U2986">
        <v>-2.2911679999999999</v>
      </c>
      <c r="V2986">
        <v>0.48137600000000003</v>
      </c>
      <c r="W2986">
        <v>0.1613822</v>
      </c>
      <c r="X2986">
        <v>0.8615294</v>
      </c>
      <c r="Y2986">
        <v>0.57091859999999905</v>
      </c>
      <c r="Z2986">
        <v>-5.8153859999999996E-3</v>
      </c>
      <c r="AA2986">
        <v>0.82098599999999999</v>
      </c>
      <c r="AB2986">
        <v>36</v>
      </c>
      <c r="AC2986">
        <v>10.1746999999999</v>
      </c>
      <c r="AD2986">
        <v>-1.100333132824</v>
      </c>
      <c r="AE2986">
        <v>-11.510999999999999</v>
      </c>
      <c r="AF2986">
        <v>8.9096640204181394</v>
      </c>
      <c r="AG2986">
        <v>-1.100333132824</v>
      </c>
      <c r="AH2986">
        <v>12.4194431163871</v>
      </c>
      <c r="AI2986">
        <v>94.117550319414505</v>
      </c>
      <c r="AJ2986">
        <v>54.344478418525803</v>
      </c>
      <c r="AK2986">
        <v>15.324340549632099</v>
      </c>
      <c r="AL2986">
        <v>80.712866728471695</v>
      </c>
      <c r="AM2986">
        <v>60.805904465748</v>
      </c>
      <c r="AN2986">
        <v>0.99999998745859897</v>
      </c>
    </row>
    <row r="2987" spans="1:40" x14ac:dyDescent="0.25">
      <c r="A2987" t="str">
        <f>"20190312164325420"</f>
        <v>20190312164325420</v>
      </c>
      <c r="B2987" t="str">
        <f>"1552380205407440"</f>
        <v>1552380205407440</v>
      </c>
      <c r="C2987" t="s">
        <v>40</v>
      </c>
      <c r="D2987">
        <v>4.0678449999999904</v>
      </c>
      <c r="E2987">
        <v>0.53846729999999998</v>
      </c>
      <c r="F2987" t="s">
        <v>45</v>
      </c>
      <c r="G2987">
        <v>-190.99209999999999</v>
      </c>
      <c r="H2987" s="1">
        <v>7.2205970000000001E-6</v>
      </c>
      <c r="I2987">
        <v>200.88480000000001</v>
      </c>
      <c r="J2987">
        <v>-203.2773</v>
      </c>
      <c r="K2987">
        <v>1.0998079999999999</v>
      </c>
      <c r="L2987">
        <v>214.0959</v>
      </c>
      <c r="M2987">
        <v>0.97081039999999996</v>
      </c>
      <c r="N2987">
        <v>0</v>
      </c>
      <c r="O2987">
        <v>-0.23938680000000001</v>
      </c>
      <c r="P2987">
        <v>0.720746</v>
      </c>
      <c r="Q2987">
        <v>0.1618069</v>
      </c>
      <c r="R2987">
        <v>-0.67405039999999905</v>
      </c>
      <c r="S2987">
        <v>2.1318359999999998</v>
      </c>
      <c r="T2987">
        <v>-0.18298890000000001</v>
      </c>
      <c r="U2987">
        <v>-2.2200470000000001</v>
      </c>
      <c r="V2987">
        <v>0.48616280000000001</v>
      </c>
      <c r="W2987">
        <v>0.162315299999999</v>
      </c>
      <c r="X2987">
        <v>0.85866149999999997</v>
      </c>
      <c r="Y2987">
        <v>0.53399129999999995</v>
      </c>
      <c r="Z2987">
        <v>-2.4666430000000001E-3</v>
      </c>
      <c r="AA2987">
        <v>0.84548630000000002</v>
      </c>
      <c r="AB2987">
        <v>36</v>
      </c>
      <c r="AC2987">
        <v>12.2852</v>
      </c>
      <c r="AD2987">
        <v>-1.09980077940299</v>
      </c>
      <c r="AE2987">
        <v>-13.211099999999901</v>
      </c>
      <c r="AF2987">
        <v>9.8490478618489696</v>
      </c>
      <c r="AG2987">
        <v>-1.09980077940299</v>
      </c>
      <c r="AH2987">
        <v>15.0349544183204</v>
      </c>
      <c r="AI2987">
        <v>93.501532971474305</v>
      </c>
      <c r="AJ2987">
        <v>56.7721273079108</v>
      </c>
      <c r="AK2987">
        <v>18.007308513499101</v>
      </c>
      <c r="AL2987">
        <v>80.658690313443998</v>
      </c>
      <c r="AM2987">
        <v>60.482033899485799</v>
      </c>
      <c r="AN2987">
        <v>1.0000000481500799</v>
      </c>
    </row>
    <row r="2988" spans="1:40" x14ac:dyDescent="0.25">
      <c r="A2988" t="str">
        <f>"20190312164325446"</f>
        <v>20190312164325446</v>
      </c>
      <c r="B2988" t="str">
        <f>"1552380205437696"</f>
        <v>1552380205437696</v>
      </c>
      <c r="C2988" t="s">
        <v>40</v>
      </c>
      <c r="D2988">
        <v>4.3888280000000002</v>
      </c>
      <c r="E2988">
        <v>0.5370528</v>
      </c>
      <c r="F2988" t="s">
        <v>45</v>
      </c>
      <c r="G2988">
        <v>-190.51920000000001</v>
      </c>
      <c r="H2988" s="1">
        <v>7.5368429999999997E-6</v>
      </c>
      <c r="I2988">
        <v>200.346</v>
      </c>
      <c r="J2988">
        <v>-202.86160000000001</v>
      </c>
      <c r="K2988">
        <v>1.0993850000000001</v>
      </c>
      <c r="L2988">
        <v>213.98050000000001</v>
      </c>
      <c r="M2988">
        <v>0.96734359999999997</v>
      </c>
      <c r="N2988">
        <v>0</v>
      </c>
      <c r="O2988">
        <v>-0.25302799999999998</v>
      </c>
      <c r="P2988">
        <v>0.71038570000000001</v>
      </c>
      <c r="Q2988">
        <v>0.16161800000000001</v>
      </c>
      <c r="R2988">
        <v>-0.68500530000000004</v>
      </c>
      <c r="S2988">
        <v>2.0931549999999999</v>
      </c>
      <c r="T2988">
        <v>-0.18043880000000001</v>
      </c>
      <c r="U2988">
        <v>-2.2558750000000001</v>
      </c>
      <c r="V2988">
        <v>0.4873712</v>
      </c>
      <c r="W2988">
        <v>0.161668799999999</v>
      </c>
      <c r="X2988">
        <v>0.85809809999999997</v>
      </c>
      <c r="Y2988">
        <v>0.53660289999999999</v>
      </c>
      <c r="Z2988">
        <v>-1.6696040000000001E-3</v>
      </c>
      <c r="AA2988">
        <v>0.84383319999999995</v>
      </c>
      <c r="AB2988">
        <v>36</v>
      </c>
      <c r="AC2988">
        <v>12.3423999999999</v>
      </c>
      <c r="AD2988">
        <v>-1.0993774631569999</v>
      </c>
      <c r="AE2988">
        <v>-13.634499999999999</v>
      </c>
      <c r="AF2988">
        <v>10.0315507985071</v>
      </c>
      <c r="AG2988">
        <v>-1.0993774631569999</v>
      </c>
      <c r="AH2988">
        <v>15.336168038615</v>
      </c>
      <c r="AI2988">
        <v>93.433123994405193</v>
      </c>
      <c r="AJ2988">
        <v>56.810873734957198</v>
      </c>
      <c r="AK2988">
        <v>18.358613573420101</v>
      </c>
      <c r="AL2988">
        <v>80.696226608566306</v>
      </c>
      <c r="AM2988">
        <v>60.404864812285297</v>
      </c>
      <c r="AN2988">
        <v>0.99999991835324098</v>
      </c>
    </row>
    <row r="2989" spans="1:40" x14ac:dyDescent="0.25">
      <c r="A2989" t="str">
        <f>"20190312164325466"</f>
        <v>20190312164325466</v>
      </c>
      <c r="B2989" t="str">
        <f>"1552380205457216"</f>
        <v>1552380205457216</v>
      </c>
      <c r="C2989" t="s">
        <v>40</v>
      </c>
      <c r="D2989">
        <v>4.3778509999999997</v>
      </c>
      <c r="E2989">
        <v>0.53595689999999996</v>
      </c>
      <c r="F2989" t="s">
        <v>45</v>
      </c>
      <c r="G2989">
        <v>-190.4939</v>
      </c>
      <c r="H2989" s="1">
        <v>7.5529159999999997E-6</v>
      </c>
      <c r="I2989">
        <v>200.31960000000001</v>
      </c>
      <c r="J2989">
        <v>-202.55500000000001</v>
      </c>
      <c r="K2989">
        <v>1.099062</v>
      </c>
      <c r="L2989">
        <v>213.8913</v>
      </c>
      <c r="M2989">
        <v>0.96456120000000001</v>
      </c>
      <c r="N2989">
        <v>0</v>
      </c>
      <c r="O2989">
        <v>-0.26343309999999998</v>
      </c>
      <c r="P2989">
        <v>0.70192549999999998</v>
      </c>
      <c r="Q2989">
        <v>0.16210369999999999</v>
      </c>
      <c r="R2989">
        <v>-0.69355849999999997</v>
      </c>
      <c r="S2989">
        <v>2.0651860000000002</v>
      </c>
      <c r="T2989">
        <v>-0.18357680000000001</v>
      </c>
      <c r="U2989">
        <v>-2.2811279999999998</v>
      </c>
      <c r="V2989">
        <v>0.48868790000000001</v>
      </c>
      <c r="W2989">
        <v>0.16179540000000001</v>
      </c>
      <c r="X2989">
        <v>0.85732509999999995</v>
      </c>
      <c r="Y2989">
        <v>0.53784500000000002</v>
      </c>
      <c r="Z2989">
        <v>-1.076065E-3</v>
      </c>
      <c r="AA2989">
        <v>0.84304310000000005</v>
      </c>
      <c r="AB2989">
        <v>36</v>
      </c>
      <c r="AC2989">
        <v>12.0611</v>
      </c>
      <c r="AD2989">
        <v>-1.099054447084</v>
      </c>
      <c r="AE2989">
        <v>-13.5716999999999</v>
      </c>
      <c r="AF2989">
        <v>9.8783606293263801</v>
      </c>
      <c r="AG2989">
        <v>-1.099054447084</v>
      </c>
      <c r="AH2989">
        <v>15.155082889096001</v>
      </c>
      <c r="AI2989">
        <v>93.476665144381897</v>
      </c>
      <c r="AJ2989">
        <v>56.902954680541697</v>
      </c>
      <c r="AK2989">
        <v>18.123643860329299</v>
      </c>
      <c r="AL2989">
        <v>80.688876687137096</v>
      </c>
      <c r="AM2989">
        <v>60.316224606304601</v>
      </c>
      <c r="AN2989">
        <v>0.99999997107878902</v>
      </c>
    </row>
    <row r="2990" spans="1:40" x14ac:dyDescent="0.25">
      <c r="A2990" t="str">
        <f>"20190312164325489"</f>
        <v>20190312164325489</v>
      </c>
      <c r="B2990" t="str">
        <f>"1552380205477713"</f>
        <v>1552380205477713</v>
      </c>
      <c r="C2990" t="s">
        <v>40</v>
      </c>
      <c r="D2990">
        <v>4.4421150000000003</v>
      </c>
      <c r="E2990">
        <v>0.53548969999999996</v>
      </c>
      <c r="F2990" t="s">
        <v>45</v>
      </c>
      <c r="G2990">
        <v>-190.43350000000001</v>
      </c>
      <c r="H2990" s="1">
        <v>7.596461E-6</v>
      </c>
      <c r="I2990">
        <v>200.24189999999999</v>
      </c>
      <c r="J2990">
        <v>-202.19309999999999</v>
      </c>
      <c r="K2990">
        <v>1.098698</v>
      </c>
      <c r="L2990">
        <v>213.7809</v>
      </c>
      <c r="M2990">
        <v>0.96101210000000004</v>
      </c>
      <c r="N2990">
        <v>0</v>
      </c>
      <c r="O2990">
        <v>-0.2760957</v>
      </c>
      <c r="P2990">
        <v>0.69163989999999997</v>
      </c>
      <c r="Q2990">
        <v>0.1615289</v>
      </c>
      <c r="R2990">
        <v>-0.70394799999999902</v>
      </c>
      <c r="S2990">
        <v>2.0432890000000001</v>
      </c>
      <c r="T2990">
        <v>-0.18526590000000001</v>
      </c>
      <c r="U2990">
        <v>-2.3008579999999998</v>
      </c>
      <c r="V2990">
        <v>0.49028739999999998</v>
      </c>
      <c r="W2990">
        <v>0.16081089999999901</v>
      </c>
      <c r="X2990">
        <v>0.85659680000000005</v>
      </c>
      <c r="Y2990">
        <v>0.5348482</v>
      </c>
      <c r="Z2990">
        <v>-1.504365E-4</v>
      </c>
      <c r="AA2990">
        <v>0.84494820000000004</v>
      </c>
      <c r="AB2990">
        <v>36</v>
      </c>
      <c r="AC2990">
        <v>11.759599999999899</v>
      </c>
      <c r="AD2990">
        <v>-1.0986904035389999</v>
      </c>
      <c r="AE2990">
        <v>-13.539</v>
      </c>
      <c r="AF2990">
        <v>9.7289575055362594</v>
      </c>
      <c r="AG2990">
        <v>-1.0986904035389999</v>
      </c>
      <c r="AH2990">
        <v>14.984638238241899</v>
      </c>
      <c r="AI2990">
        <v>93.519049613764295</v>
      </c>
      <c r="AJ2990">
        <v>57.005864267783799</v>
      </c>
      <c r="AK2990">
        <v>17.899696027540301</v>
      </c>
      <c r="AL2990">
        <v>80.746032925216198</v>
      </c>
      <c r="AM2990">
        <v>60.214619452533299</v>
      </c>
      <c r="AN2990">
        <v>0.99999997896390402</v>
      </c>
    </row>
    <row r="2991" spans="1:40" x14ac:dyDescent="0.25">
      <c r="A2991" t="str">
        <f>"20190312164325515"</f>
        <v>20190312164325515</v>
      </c>
      <c r="B2991" t="str">
        <f>"1552380205507969"</f>
        <v>1552380205507969</v>
      </c>
      <c r="C2991" t="s">
        <v>40</v>
      </c>
      <c r="D2991">
        <v>4.1721059999999897</v>
      </c>
      <c r="E2991">
        <v>0.52301920000000002</v>
      </c>
      <c r="F2991" t="s">
        <v>45</v>
      </c>
      <c r="G2991">
        <v>-190.4331</v>
      </c>
      <c r="H2991" s="1">
        <v>7.6227989999999999E-6</v>
      </c>
      <c r="I2991">
        <v>200.1677</v>
      </c>
      <c r="J2991">
        <v>-201.78</v>
      </c>
      <c r="K2991">
        <v>1.098301</v>
      </c>
      <c r="L2991">
        <v>213.64850000000001</v>
      </c>
      <c r="M2991">
        <v>0.95659740000000004</v>
      </c>
      <c r="N2991">
        <v>0</v>
      </c>
      <c r="O2991">
        <v>-0.29101850000000001</v>
      </c>
      <c r="P2991">
        <v>0.67990879999999998</v>
      </c>
      <c r="Q2991">
        <v>0.16130559999999999</v>
      </c>
      <c r="R2991">
        <v>-0.71533559999999996</v>
      </c>
      <c r="S2991">
        <v>2.0115050000000001</v>
      </c>
      <c r="T2991">
        <v>-0.1879268</v>
      </c>
      <c r="U2991">
        <v>-2.3284910000000001</v>
      </c>
      <c r="V2991">
        <v>0.49131619999999998</v>
      </c>
      <c r="W2991">
        <v>0.16015579999999999</v>
      </c>
      <c r="X2991">
        <v>0.85612999999999995</v>
      </c>
      <c r="Y2991">
        <v>0.53327789999999997</v>
      </c>
      <c r="Z2991">
        <v>8.949731E-4</v>
      </c>
      <c r="AA2991">
        <v>0.84593960000000001</v>
      </c>
      <c r="AB2991">
        <v>36</v>
      </c>
      <c r="AC2991">
        <v>11.3469</v>
      </c>
      <c r="AD2991">
        <v>-1.098293377201</v>
      </c>
      <c r="AE2991">
        <v>-13.4808</v>
      </c>
      <c r="AF2991">
        <v>9.5575106955154308</v>
      </c>
      <c r="AG2991">
        <v>-1.098293377201</v>
      </c>
      <c r="AH2991">
        <v>14.7220782304961</v>
      </c>
      <c r="AI2991">
        <v>93.580465223727003</v>
      </c>
      <c r="AJ2991">
        <v>57.008537903542802</v>
      </c>
      <c r="AK2991">
        <v>17.586695154637201</v>
      </c>
      <c r="AL2991">
        <v>80.784060781971306</v>
      </c>
      <c r="AM2991">
        <v>60.149332028194102</v>
      </c>
      <c r="AN2991">
        <v>1.0000000327780301</v>
      </c>
    </row>
    <row r="2992" spans="1:40" x14ac:dyDescent="0.25">
      <c r="A2992" t="str">
        <f>"20190312164325538"</f>
        <v>20190312164325538</v>
      </c>
      <c r="B2992" t="str">
        <f>"1552380205527489"</f>
        <v>1552380205527489</v>
      </c>
      <c r="C2992" t="s">
        <v>40</v>
      </c>
      <c r="D2992">
        <v>4.3032620000000001</v>
      </c>
      <c r="E2992">
        <v>0.56694999999999995</v>
      </c>
      <c r="F2992" t="s">
        <v>45</v>
      </c>
      <c r="G2992">
        <v>-190.91069999999999</v>
      </c>
      <c r="H2992" s="1">
        <v>7.0348249999999899E-6</v>
      </c>
      <c r="I2992">
        <v>201.47149999999999</v>
      </c>
      <c r="J2992">
        <v>-201.43100000000001</v>
      </c>
      <c r="K2992">
        <v>1.0979559999999999</v>
      </c>
      <c r="L2992">
        <v>213.5307</v>
      </c>
      <c r="M2992">
        <v>0.95254349999999999</v>
      </c>
      <c r="N2992">
        <v>0</v>
      </c>
      <c r="O2992">
        <v>-0.30402190000000001</v>
      </c>
      <c r="P2992">
        <v>0.66910979999999998</v>
      </c>
      <c r="Q2992">
        <v>0.1610501</v>
      </c>
      <c r="R2992">
        <v>-0.72550340000000002</v>
      </c>
      <c r="S2992">
        <v>2.0477910000000001</v>
      </c>
      <c r="T2992">
        <v>-0.2069184</v>
      </c>
      <c r="U2992">
        <v>-2.2941280000000002</v>
      </c>
      <c r="V2992">
        <v>0.49266529999999997</v>
      </c>
      <c r="W2992">
        <v>0.1595241</v>
      </c>
      <c r="X2992">
        <v>0.85547240000000002</v>
      </c>
      <c r="Y2992">
        <v>0.5077817</v>
      </c>
      <c r="Z2992">
        <v>2.9701459999999999E-3</v>
      </c>
      <c r="AA2992">
        <v>0.86148069999999899</v>
      </c>
      <c r="AB2992">
        <v>36</v>
      </c>
      <c r="AC2992">
        <v>10.520299999999899</v>
      </c>
      <c r="AD2992">
        <v>-1.0979489651749901</v>
      </c>
      <c r="AE2992">
        <v>-12.059200000000001</v>
      </c>
      <c r="AF2992">
        <v>8.2506342884514901</v>
      </c>
      <c r="AG2992">
        <v>-1.0979489651749901</v>
      </c>
      <c r="AH2992">
        <v>13.624756276376999</v>
      </c>
      <c r="AI2992">
        <v>93.943230500061404</v>
      </c>
      <c r="AJ2992">
        <v>58.802496601745403</v>
      </c>
      <c r="AK2992">
        <v>15.9659776300287</v>
      </c>
      <c r="AL2992">
        <v>80.820725921571196</v>
      </c>
      <c r="AM2992">
        <v>60.062422992293001</v>
      </c>
      <c r="AN2992">
        <v>1.00000003173332</v>
      </c>
    </row>
    <row r="2993" spans="1:40" x14ac:dyDescent="0.25">
      <c r="A2993" t="str">
        <f>"20190312164325578"</f>
        <v>20190312164325578</v>
      </c>
      <c r="B2993" t="str">
        <f>"1552380205567504"</f>
        <v>1552380205567504</v>
      </c>
      <c r="C2993" t="s">
        <v>40</v>
      </c>
      <c r="D2993">
        <v>4.2351970000000003</v>
      </c>
      <c r="E2993">
        <v>0.57727419999999996</v>
      </c>
      <c r="F2993" t="s">
        <v>45</v>
      </c>
      <c r="G2993">
        <v>-193.82390000000001</v>
      </c>
      <c r="H2993" s="1">
        <v>5.9182509999999999E-6</v>
      </c>
      <c r="I2993">
        <v>202.4374</v>
      </c>
      <c r="J2993">
        <v>-200.81460000000001</v>
      </c>
      <c r="K2993">
        <v>1.0973580000000001</v>
      </c>
      <c r="L2993">
        <v>213.30889999999999</v>
      </c>
      <c r="M2993">
        <v>0.9445905</v>
      </c>
      <c r="N2993">
        <v>0</v>
      </c>
      <c r="O2993">
        <v>-0.3278914</v>
      </c>
      <c r="P2993">
        <v>0.64763559999999998</v>
      </c>
      <c r="Q2993">
        <v>0.158722</v>
      </c>
      <c r="R2993">
        <v>-0.74523519999999999</v>
      </c>
      <c r="S2993">
        <v>1.7606660000000001</v>
      </c>
      <c r="T2993">
        <v>-0.2541233</v>
      </c>
      <c r="U2993">
        <v>-2.5675810000000001</v>
      </c>
      <c r="V2993">
        <v>0.49675439999999998</v>
      </c>
      <c r="W2993">
        <v>0.1564787</v>
      </c>
      <c r="X2993">
        <v>0.85366830000000005</v>
      </c>
      <c r="Y2993">
        <v>0.592831</v>
      </c>
      <c r="Z2993">
        <v>1.443408E-3</v>
      </c>
      <c r="AA2993">
        <v>0.80532559999999997</v>
      </c>
      <c r="AB2993">
        <v>36</v>
      </c>
      <c r="AC2993">
        <v>6.9907000000000004</v>
      </c>
      <c r="AD2993">
        <v>-1.0973520817489999</v>
      </c>
      <c r="AE2993">
        <v>-10.8714999999999</v>
      </c>
      <c r="AF2993">
        <v>7.9207729642196396</v>
      </c>
      <c r="AG2993">
        <v>-1.0973520817489999</v>
      </c>
      <c r="AH2993">
        <v>10.0964440661367</v>
      </c>
      <c r="AI2993">
        <v>94.887616711205396</v>
      </c>
      <c r="AJ2993">
        <v>51.885420287840198</v>
      </c>
      <c r="AK2993">
        <v>12.8794801417859</v>
      </c>
      <c r="AL2993">
        <v>80.997434302614906</v>
      </c>
      <c r="AM2993">
        <v>59.804633407214297</v>
      </c>
      <c r="AN2993">
        <v>1.0000000419489601</v>
      </c>
    </row>
    <row r="2994" spans="1:40" x14ac:dyDescent="0.25">
      <c r="A2994" t="str">
        <f>"20190312164325603"</f>
        <v>20190312164325603</v>
      </c>
      <c r="B2994" t="str">
        <f>"1552380205597761"</f>
        <v>1552380205597761</v>
      </c>
      <c r="C2994" t="s">
        <v>40</v>
      </c>
      <c r="D2994">
        <v>4.1673349999999996</v>
      </c>
      <c r="E2994">
        <v>0.57864649999999995</v>
      </c>
      <c r="F2994" t="s">
        <v>45</v>
      </c>
      <c r="G2994">
        <v>-194.9332</v>
      </c>
      <c r="H2994" s="1">
        <v>5.3333389999999901E-6</v>
      </c>
      <c r="I2994">
        <v>203.63509999999999</v>
      </c>
      <c r="J2994">
        <v>-200.4359</v>
      </c>
      <c r="K2994">
        <v>1.0969979999999999</v>
      </c>
      <c r="L2994">
        <v>213.1636</v>
      </c>
      <c r="M2994">
        <v>0.93917919999999999</v>
      </c>
      <c r="N2994">
        <v>0</v>
      </c>
      <c r="O2994">
        <v>-0.3430801</v>
      </c>
      <c r="P2994">
        <v>0.63408109999999995</v>
      </c>
      <c r="Q2994">
        <v>0.15724560000000001</v>
      </c>
      <c r="R2994">
        <v>-0.75711010000000001</v>
      </c>
      <c r="S2994">
        <v>1.627075</v>
      </c>
      <c r="T2994">
        <v>-0.303579299999999</v>
      </c>
      <c r="U2994">
        <v>-2.6762389999999998</v>
      </c>
      <c r="V2994">
        <v>0.49876930000000003</v>
      </c>
      <c r="W2994">
        <v>0.15459919999999999</v>
      </c>
      <c r="X2994">
        <v>0.85283539999999902</v>
      </c>
      <c r="Y2994">
        <v>0.62312509999999999</v>
      </c>
      <c r="Z2994">
        <v>1.421325E-3</v>
      </c>
      <c r="AA2994">
        <v>0.78212090000000001</v>
      </c>
      <c r="AB2994">
        <v>36</v>
      </c>
      <c r="AC2994">
        <v>5.5026999999999999</v>
      </c>
      <c r="AD2994">
        <v>-1.0969926666609999</v>
      </c>
      <c r="AE2994">
        <v>-9.5284999999999993</v>
      </c>
      <c r="AF2994">
        <v>6.9924429937356702</v>
      </c>
      <c r="AG2994">
        <v>-1.0969926666609999</v>
      </c>
      <c r="AH2994">
        <v>8.3550217406861496</v>
      </c>
      <c r="AI2994">
        <v>95.749612658973106</v>
      </c>
      <c r="AJ2994">
        <v>50.073532022862601</v>
      </c>
      <c r="AK2994">
        <v>10.950070329394601</v>
      </c>
      <c r="AL2994">
        <v>81.106447846709102</v>
      </c>
      <c r="AM2994">
        <v>59.679344248450498</v>
      </c>
      <c r="AN2994">
        <v>0.99999997337814395</v>
      </c>
    </row>
    <row r="2995" spans="1:40" x14ac:dyDescent="0.25">
      <c r="A2995" t="str">
        <f>"20190312164325626"</f>
        <v>20190312164325626</v>
      </c>
      <c r="B2995" t="str">
        <f>"1552380205617281"</f>
        <v>1552380205617281</v>
      </c>
      <c r="C2995" t="s">
        <v>40</v>
      </c>
      <c r="D2995">
        <v>4.2277129999999996</v>
      </c>
      <c r="E2995">
        <v>0.57795560000000001</v>
      </c>
      <c r="F2995" t="s">
        <v>45</v>
      </c>
      <c r="G2995">
        <v>-195.16290000000001</v>
      </c>
      <c r="H2995" s="1">
        <v>5.1731639999999997E-6</v>
      </c>
      <c r="I2995">
        <v>204.04759999999999</v>
      </c>
      <c r="J2995">
        <v>-200.09299999999999</v>
      </c>
      <c r="K2995">
        <v>1.0966880000000001</v>
      </c>
      <c r="L2995">
        <v>213.02529999999999</v>
      </c>
      <c r="M2995">
        <v>0.93389770000000005</v>
      </c>
      <c r="N2995">
        <v>0</v>
      </c>
      <c r="O2995">
        <v>-0.3572031</v>
      </c>
      <c r="P2995">
        <v>0.62141259999999998</v>
      </c>
      <c r="Q2995">
        <v>0.156947799999999</v>
      </c>
      <c r="R2995">
        <v>-0.76760260000000002</v>
      </c>
      <c r="S2995">
        <v>1.570435</v>
      </c>
      <c r="T2995">
        <v>-0.32671260000000002</v>
      </c>
      <c r="U2995">
        <v>-2.7149809999999999</v>
      </c>
      <c r="V2995">
        <v>0.50024269999999904</v>
      </c>
      <c r="W2995">
        <v>0.15395420000000001</v>
      </c>
      <c r="X2995">
        <v>0.85208879999999998</v>
      </c>
      <c r="Y2995">
        <v>0.62825529999999996</v>
      </c>
      <c r="Z2995">
        <v>2.8279830000000001E-3</v>
      </c>
      <c r="AA2995">
        <v>0.77800209999999903</v>
      </c>
      <c r="AB2995">
        <v>36</v>
      </c>
      <c r="AC2995">
        <v>4.9300999999999799</v>
      </c>
      <c r="AD2995">
        <v>-1.0966828268359901</v>
      </c>
      <c r="AE2995">
        <v>-8.9776999999999898</v>
      </c>
      <c r="AF2995">
        <v>6.5489227223101896</v>
      </c>
      <c r="AG2995">
        <v>-1.0966828268359901</v>
      </c>
      <c r="AH2995">
        <v>7.7234649721839004</v>
      </c>
      <c r="AI2995">
        <v>96.181117222478306</v>
      </c>
      <c r="AJ2995">
        <v>49.704539274142498</v>
      </c>
      <c r="AK2995">
        <v>10.185431420515201</v>
      </c>
      <c r="AL2995">
        <v>81.143851571919299</v>
      </c>
      <c r="AM2995">
        <v>59.583736714026898</v>
      </c>
      <c r="AN2995">
        <v>0.99999998884318497</v>
      </c>
    </row>
    <row r="2996" spans="1:40" x14ac:dyDescent="0.25">
      <c r="A2996" t="str">
        <f>"20190312164325649"</f>
        <v>20190312164325649</v>
      </c>
      <c r="B2996" t="str">
        <f>"1552380205637777"</f>
        <v>1552380205637777</v>
      </c>
      <c r="C2996" t="s">
        <v>40</v>
      </c>
      <c r="D2996">
        <v>4.2100730000000004</v>
      </c>
      <c r="E2996">
        <v>0.57754680000000003</v>
      </c>
      <c r="F2996" t="s">
        <v>45</v>
      </c>
      <c r="G2996">
        <v>-194.9152</v>
      </c>
      <c r="H2996" s="1">
        <v>5.3109670000000002E-6</v>
      </c>
      <c r="I2996">
        <v>203.7346</v>
      </c>
      <c r="J2996">
        <v>-199.74459999999999</v>
      </c>
      <c r="K2996">
        <v>1.0964</v>
      </c>
      <c r="L2996">
        <v>212.87860000000001</v>
      </c>
      <c r="M2996">
        <v>0.92815919999999996</v>
      </c>
      <c r="N2996">
        <v>0</v>
      </c>
      <c r="O2996">
        <v>-0.37185620000000003</v>
      </c>
      <c r="P2996">
        <v>0.60802250000000002</v>
      </c>
      <c r="Q2996">
        <v>0.156058</v>
      </c>
      <c r="R2996">
        <v>-0.7784314</v>
      </c>
      <c r="S2996">
        <v>1.52632099999999</v>
      </c>
      <c r="T2996">
        <v>-0.32328459999999998</v>
      </c>
      <c r="U2996">
        <v>-2.7387540000000001</v>
      </c>
      <c r="V2996">
        <v>0.50184129999999905</v>
      </c>
      <c r="W2996">
        <v>0.152723</v>
      </c>
      <c r="X2996">
        <v>0.85136999999999996</v>
      </c>
      <c r="Y2996">
        <v>0.62853479999999995</v>
      </c>
      <c r="Z2996">
        <v>4.4959079999999998E-3</v>
      </c>
      <c r="AA2996">
        <v>0.77776849999999997</v>
      </c>
      <c r="AB2996">
        <v>36</v>
      </c>
      <c r="AC2996">
        <v>4.8293999999999899</v>
      </c>
      <c r="AD2996">
        <v>-1.0963946890330001</v>
      </c>
      <c r="AE2996">
        <v>-9.1440000000000001</v>
      </c>
      <c r="AF2996">
        <v>6.6176698980298303</v>
      </c>
      <c r="AG2996">
        <v>-1.0963946890330001</v>
      </c>
      <c r="AH2996">
        <v>7.79602860386297</v>
      </c>
      <c r="AI2996">
        <v>96.119652496390998</v>
      </c>
      <c r="AJ2996">
        <v>49.6736907043298</v>
      </c>
      <c r="AK2996">
        <v>10.284634081272801</v>
      </c>
      <c r="AL2996">
        <v>81.215237959197296</v>
      </c>
      <c r="AM2996">
        <v>59.482713795214103</v>
      </c>
      <c r="AN2996">
        <v>0.99999994100734302</v>
      </c>
    </row>
    <row r="2997" spans="1:40" x14ac:dyDescent="0.25">
      <c r="A2997" t="str">
        <f>"20190312164325671"</f>
        <v>20190312164325671</v>
      </c>
      <c r="B2997" t="str">
        <f>"1552380205668033"</f>
        <v>1552380205668033</v>
      </c>
      <c r="C2997" t="s">
        <v>40</v>
      </c>
      <c r="D2997">
        <v>4.1806720000000004</v>
      </c>
      <c r="E2997">
        <v>0.57721610000000001</v>
      </c>
      <c r="F2997" t="s">
        <v>45</v>
      </c>
      <c r="G2997">
        <v>-194.70320000000001</v>
      </c>
      <c r="H2997" s="1">
        <v>5.4327270000000002E-6</v>
      </c>
      <c r="I2997">
        <v>203.45230000000001</v>
      </c>
      <c r="J2997">
        <v>-199.42070000000001</v>
      </c>
      <c r="K2997">
        <v>1.0961259999999999</v>
      </c>
      <c r="L2997">
        <v>212.7362</v>
      </c>
      <c r="M2997">
        <v>0.9224637</v>
      </c>
      <c r="N2997">
        <v>0</v>
      </c>
      <c r="O2997">
        <v>-0.38576529999999998</v>
      </c>
      <c r="P2997">
        <v>0.59489380000000003</v>
      </c>
      <c r="Q2997">
        <v>0.15519479999999999</v>
      </c>
      <c r="R2997">
        <v>-0.78868019999999905</v>
      </c>
      <c r="S2997">
        <v>1.478165</v>
      </c>
      <c r="T2997">
        <v>-0.32146479999999999</v>
      </c>
      <c r="U2997">
        <v>-2.7637939999999999</v>
      </c>
      <c r="V2997">
        <v>0.50353779999999904</v>
      </c>
      <c r="W2997">
        <v>0.1515396</v>
      </c>
      <c r="X2997">
        <v>0.85057939999999999</v>
      </c>
      <c r="Y2997">
        <v>0.63037219999999905</v>
      </c>
      <c r="Z2997">
        <v>5.9757489999999998E-3</v>
      </c>
      <c r="AA2997">
        <v>0.77627009999999996</v>
      </c>
      <c r="AB2997">
        <v>36</v>
      </c>
      <c r="AC2997">
        <v>4.7175000000000002</v>
      </c>
      <c r="AD2997">
        <v>-1.0961205672729999</v>
      </c>
      <c r="AE2997">
        <v>-9.2838999999999796</v>
      </c>
      <c r="AF2997">
        <v>6.6711319709503902</v>
      </c>
      <c r="AG2997">
        <v>-1.0961205672729999</v>
      </c>
      <c r="AH2997">
        <v>7.8471647888199501</v>
      </c>
      <c r="AI2997">
        <v>96.074751361019906</v>
      </c>
      <c r="AJ2997">
        <v>49.631047230280601</v>
      </c>
      <c r="AK2997">
        <v>10.3577737615151</v>
      </c>
      <c r="AL2997">
        <v>81.283840304725899</v>
      </c>
      <c r="AM2997">
        <v>59.3747268964188</v>
      </c>
      <c r="AN2997">
        <v>0.99999994105067802</v>
      </c>
    </row>
    <row r="2998" spans="1:40" x14ac:dyDescent="0.25">
      <c r="A2998" t="str">
        <f>"20190312164325710"</f>
        <v>20190312164325710</v>
      </c>
      <c r="B2998" t="str">
        <f>"1552380205708048"</f>
        <v>1552380205708048</v>
      </c>
      <c r="C2998" t="s">
        <v>40</v>
      </c>
      <c r="D2998">
        <v>4.2337249999999997</v>
      </c>
      <c r="E2998">
        <v>0.57589140000000005</v>
      </c>
      <c r="F2998" t="s">
        <v>45</v>
      </c>
      <c r="G2998">
        <v>-194.47020000000001</v>
      </c>
      <c r="H2998" s="1">
        <v>5.5803169999999996E-6</v>
      </c>
      <c r="I2998">
        <v>203.09010000000001</v>
      </c>
      <c r="J2998">
        <v>-198.8409</v>
      </c>
      <c r="K2998">
        <v>1.095648</v>
      </c>
      <c r="L2998">
        <v>212.46639999999999</v>
      </c>
      <c r="M2998">
        <v>0.9113388</v>
      </c>
      <c r="N2998">
        <v>0</v>
      </c>
      <c r="O2998">
        <v>-0.41135339999999998</v>
      </c>
      <c r="P2998">
        <v>0.57064199999999998</v>
      </c>
      <c r="Q2998">
        <v>0.15599250000000001</v>
      </c>
      <c r="R2998">
        <v>-0.80624719999999905</v>
      </c>
      <c r="S2998">
        <v>1.43042</v>
      </c>
      <c r="T2998">
        <v>-0.31671939999999998</v>
      </c>
      <c r="U2998">
        <v>-2.7872159999999999</v>
      </c>
      <c r="V2998">
        <v>0.50572659999999903</v>
      </c>
      <c r="W2998">
        <v>0.1518021</v>
      </c>
      <c r="X2998">
        <v>0.84923300000000002</v>
      </c>
      <c r="Y2998">
        <v>0.62202979999999997</v>
      </c>
      <c r="Z2998">
        <v>9.4213079999999998E-3</v>
      </c>
      <c r="AA2998">
        <v>0.78293690000000005</v>
      </c>
      <c r="AB2998">
        <v>36</v>
      </c>
      <c r="AC2998">
        <v>4.3706999999999896</v>
      </c>
      <c r="AD2998">
        <v>-1.0956424196829999</v>
      </c>
      <c r="AE2998">
        <v>-9.3762999999999792</v>
      </c>
      <c r="AF2998">
        <v>6.6730745595088399</v>
      </c>
      <c r="AG2998">
        <v>-1.0956424196829999</v>
      </c>
      <c r="AH2998">
        <v>7.75416222375011</v>
      </c>
      <c r="AI2998">
        <v>96.113010491418095</v>
      </c>
      <c r="AJ2998">
        <v>49.285381500641698</v>
      </c>
      <c r="AK2998">
        <v>10.288701967731701</v>
      </c>
      <c r="AL2998">
        <v>81.268624468404397</v>
      </c>
      <c r="AM2998">
        <v>59.225785719016201</v>
      </c>
      <c r="AN2998">
        <v>0.99999997990048395</v>
      </c>
    </row>
    <row r="2999" spans="1:40" x14ac:dyDescent="0.25">
      <c r="A2999" t="str">
        <f>"20190312164325737"</f>
        <v>20190312164325737</v>
      </c>
      <c r="B2999" t="str">
        <f>"1552380205727568"</f>
        <v>1552380205727568</v>
      </c>
      <c r="C2999" t="s">
        <v>40</v>
      </c>
      <c r="D2999">
        <v>4.3244610000000003</v>
      </c>
      <c r="E2999">
        <v>0.57537109999999902</v>
      </c>
      <c r="F2999" t="s">
        <v>45</v>
      </c>
      <c r="G2999">
        <v>-193.91460000000001</v>
      </c>
      <c r="H2999" s="1">
        <v>6.0000899999999997E-6</v>
      </c>
      <c r="I2999">
        <v>202.13759999999999</v>
      </c>
      <c r="J2999">
        <v>-198.453</v>
      </c>
      <c r="K2999">
        <v>1.095348</v>
      </c>
      <c r="L2999">
        <v>212.27449999999999</v>
      </c>
      <c r="M2999">
        <v>0.90318419999999999</v>
      </c>
      <c r="N2999">
        <v>0</v>
      </c>
      <c r="O2999">
        <v>-0.42895810000000001</v>
      </c>
      <c r="P2999">
        <v>0.55365350000000002</v>
      </c>
      <c r="Q2999">
        <v>0.15735679999999999</v>
      </c>
      <c r="R2999">
        <v>-0.8177449</v>
      </c>
      <c r="S2999">
        <v>1.347504</v>
      </c>
      <c r="T2999">
        <v>-0.29969390000000001</v>
      </c>
      <c r="U2999">
        <v>-2.825256</v>
      </c>
      <c r="V2999">
        <v>0.50693909999999998</v>
      </c>
      <c r="W2999">
        <v>0.15283039999999901</v>
      </c>
      <c r="X2999">
        <v>0.8483252</v>
      </c>
      <c r="Y2999">
        <v>0.62974129999999995</v>
      </c>
      <c r="Z2999">
        <v>1.039877E-2</v>
      </c>
      <c r="AA2999">
        <v>0.77673539999999996</v>
      </c>
      <c r="AB2999">
        <v>36</v>
      </c>
      <c r="AC2999">
        <v>4.5383999999999904</v>
      </c>
      <c r="AD2999">
        <v>-1.09534199991</v>
      </c>
      <c r="AE2999">
        <v>-10.136899999999899</v>
      </c>
      <c r="AF2999">
        <v>7.1401701353268496</v>
      </c>
      <c r="AG2999">
        <v>-1.09534199991</v>
      </c>
      <c r="AH2999">
        <v>8.36700650771078</v>
      </c>
      <c r="AI2999">
        <v>95.686831024465903</v>
      </c>
      <c r="AJ2999">
        <v>49.523482356275601</v>
      </c>
      <c r="AK2999">
        <v>11.0538953115295</v>
      </c>
      <c r="AL2999">
        <v>81.209011938988596</v>
      </c>
      <c r="AM2999">
        <v>59.138458047307601</v>
      </c>
      <c r="AN2999">
        <v>1.0000000136139999</v>
      </c>
    </row>
    <row r="3000" spans="1:40" x14ac:dyDescent="0.25">
      <c r="A3000" t="str">
        <f>"20190312164325764"</f>
        <v>20190312164325764</v>
      </c>
      <c r="B3000" t="str">
        <f>"1552380205757824"</f>
        <v>1552380205757824</v>
      </c>
      <c r="C3000" t="s">
        <v>40</v>
      </c>
      <c r="D3000">
        <v>4.3589919999999998</v>
      </c>
      <c r="E3000">
        <v>0.57489109999999999</v>
      </c>
      <c r="F3000" t="s">
        <v>45</v>
      </c>
      <c r="G3000">
        <v>-193.62780000000001</v>
      </c>
      <c r="H3000" s="1">
        <v>6.2608600000000002E-6</v>
      </c>
      <c r="I3000">
        <v>201.61580000000001</v>
      </c>
      <c r="J3000">
        <v>-198.06700000000001</v>
      </c>
      <c r="K3000">
        <v>1.0950519999999999</v>
      </c>
      <c r="L3000">
        <v>212.07390000000001</v>
      </c>
      <c r="M3000">
        <v>0.89445540000000001</v>
      </c>
      <c r="N3000">
        <v>0</v>
      </c>
      <c r="O3000">
        <v>-0.4468702</v>
      </c>
      <c r="P3000">
        <v>0.53640330000000003</v>
      </c>
      <c r="Q3000">
        <v>0.15875410000000001</v>
      </c>
      <c r="R3000">
        <v>-0.82889559999999995</v>
      </c>
      <c r="S3000">
        <v>1.290726</v>
      </c>
      <c r="T3000">
        <v>-0.29300080000000001</v>
      </c>
      <c r="U3000">
        <v>-2.8511660000000001</v>
      </c>
      <c r="V3000">
        <v>0.50772819999999996</v>
      </c>
      <c r="W3000">
        <v>0.15392030000000001</v>
      </c>
      <c r="X3000">
        <v>0.84765599999999997</v>
      </c>
      <c r="Y3000">
        <v>0.62984859999999998</v>
      </c>
      <c r="Z3000">
        <v>1.212416E-2</v>
      </c>
      <c r="AA3000">
        <v>0.77662330000000002</v>
      </c>
      <c r="AB3000">
        <v>36</v>
      </c>
      <c r="AC3000">
        <v>4.4391999999999996</v>
      </c>
      <c r="AD3000">
        <v>-1.0950457391399999</v>
      </c>
      <c r="AE3000">
        <v>-10.4581</v>
      </c>
      <c r="AF3000">
        <v>7.30365329127926</v>
      </c>
      <c r="AG3000">
        <v>-1.0950457391399999</v>
      </c>
      <c r="AH3000">
        <v>8.5656150145893406</v>
      </c>
      <c r="AI3000">
        <v>95.556223985982996</v>
      </c>
      <c r="AJ3000">
        <v>49.546727708213297</v>
      </c>
      <c r="AK3000">
        <v>11.3098292271891</v>
      </c>
      <c r="AL3000">
        <v>81.145817777862604</v>
      </c>
      <c r="AM3000">
        <v>59.079273983351499</v>
      </c>
      <c r="AN3000">
        <v>1.0000000390816599</v>
      </c>
    </row>
    <row r="3001" spans="1:40" x14ac:dyDescent="0.25">
      <c r="A3001" t="str">
        <f>"20190312164325788"</f>
        <v>20190312164325788</v>
      </c>
      <c r="B3001" t="str">
        <f>"1552380205777344"</f>
        <v>1552380205777344</v>
      </c>
      <c r="C3001" t="s">
        <v>40</v>
      </c>
      <c r="D3001">
        <v>4.2811909999999997</v>
      </c>
      <c r="E3001">
        <v>0.5742543</v>
      </c>
      <c r="F3001" t="s">
        <v>45</v>
      </c>
      <c r="G3001">
        <v>-193.381</v>
      </c>
      <c r="H3001" s="1">
        <v>6.4928239999999997E-6</v>
      </c>
      <c r="I3001">
        <v>201.1454</v>
      </c>
      <c r="J3001">
        <v>-197.732</v>
      </c>
      <c r="K3001">
        <v>1.0947990000000001</v>
      </c>
      <c r="L3001">
        <v>211.8912</v>
      </c>
      <c r="M3001">
        <v>0.88633680000000004</v>
      </c>
      <c r="N3001">
        <v>0</v>
      </c>
      <c r="O3001">
        <v>-0.46276129999999999</v>
      </c>
      <c r="P3001">
        <v>0.52125699999999997</v>
      </c>
      <c r="Q3001">
        <v>0.15978229999999999</v>
      </c>
      <c r="R3001">
        <v>-0.83830839999999995</v>
      </c>
      <c r="S3001">
        <v>1.233368</v>
      </c>
      <c r="T3001">
        <v>-0.28821750000000002</v>
      </c>
      <c r="U3001">
        <v>-2.8763890000000001</v>
      </c>
      <c r="V3001">
        <v>0.50796090000000005</v>
      </c>
      <c r="W3001">
        <v>0.1547057</v>
      </c>
      <c r="X3001">
        <v>0.8473735</v>
      </c>
      <c r="Y3001">
        <v>0.63160329999999998</v>
      </c>
      <c r="Z3001">
        <v>1.35478E-2</v>
      </c>
      <c r="AA3001">
        <v>0.77517340000000001</v>
      </c>
      <c r="AB3001">
        <v>35</v>
      </c>
      <c r="AC3001">
        <v>4.3510000000000204</v>
      </c>
      <c r="AD3001">
        <v>-1.0947925071760001</v>
      </c>
      <c r="AE3001">
        <v>-10.745799999999999</v>
      </c>
      <c r="AF3001">
        <v>7.4454998297775798</v>
      </c>
      <c r="AG3001">
        <v>-1.0947925071760001</v>
      </c>
      <c r="AH3001">
        <v>8.7522853077520093</v>
      </c>
      <c r="AI3001">
        <v>95.442470435135107</v>
      </c>
      <c r="AJ3001">
        <v>49.612450386290703</v>
      </c>
      <c r="AK3001">
        <v>11.5428131951131</v>
      </c>
      <c r="AL3001">
        <v>81.100271678819993</v>
      </c>
      <c r="AM3001">
        <v>59.059278144591097</v>
      </c>
      <c r="AN3001">
        <v>0.999999989021775</v>
      </c>
    </row>
    <row r="3002" spans="1:40" x14ac:dyDescent="0.25">
      <c r="A3002" t="str">
        <f>"20190312164325809"</f>
        <v>20190312164325809</v>
      </c>
      <c r="B3002" t="str">
        <f>"1552380205797841"</f>
        <v>1552380205797841</v>
      </c>
      <c r="C3002" t="s">
        <v>40</v>
      </c>
      <c r="D3002">
        <v>4.3529359999999997</v>
      </c>
      <c r="E3002">
        <v>0.57356260000000003</v>
      </c>
      <c r="F3002" t="s">
        <v>45</v>
      </c>
      <c r="G3002">
        <v>-193.1369</v>
      </c>
      <c r="H3002" s="1">
        <v>6.7361249999999998E-6</v>
      </c>
      <c r="I3002">
        <v>200.64080000000001</v>
      </c>
      <c r="J3002">
        <v>-197.4299</v>
      </c>
      <c r="K3002">
        <v>1.0945819999999999</v>
      </c>
      <c r="L3002">
        <v>211.71979999999999</v>
      </c>
      <c r="M3002">
        <v>0.8785771</v>
      </c>
      <c r="N3002">
        <v>0</v>
      </c>
      <c r="O3002">
        <v>-0.47732659999999999</v>
      </c>
      <c r="P3002">
        <v>0.50734199999999996</v>
      </c>
      <c r="Q3002">
        <v>0.16057539999999901</v>
      </c>
      <c r="R3002">
        <v>-0.84665210000000002</v>
      </c>
      <c r="S3002">
        <v>1.1831210000000001</v>
      </c>
      <c r="T3002">
        <v>-0.28188259999999998</v>
      </c>
      <c r="U3002">
        <v>-2.8966980000000002</v>
      </c>
      <c r="V3002">
        <v>0.50795089999999998</v>
      </c>
      <c r="W3002">
        <v>0.15530250000000001</v>
      </c>
      <c r="X3002">
        <v>0.84727039999999998</v>
      </c>
      <c r="Y3002">
        <v>0.63230280000000005</v>
      </c>
      <c r="Z3002">
        <v>1.477095E-2</v>
      </c>
      <c r="AA3002">
        <v>0.77458050000000001</v>
      </c>
      <c r="AB3002">
        <v>35</v>
      </c>
      <c r="AC3002">
        <v>4.2930000000000001</v>
      </c>
      <c r="AD3002">
        <v>-1.0945752638749999</v>
      </c>
      <c r="AE3002">
        <v>-11.078999999999899</v>
      </c>
      <c r="AF3002">
        <v>7.6209218329816801</v>
      </c>
      <c r="AG3002">
        <v>-1.0945752638749999</v>
      </c>
      <c r="AH3002">
        <v>8.9849659041059908</v>
      </c>
      <c r="AI3002">
        <v>95.3078184018228</v>
      </c>
      <c r="AJ3002">
        <v>49.695858519996499</v>
      </c>
      <c r="AK3002">
        <v>11.832419739455201</v>
      </c>
      <c r="AL3002">
        <v>81.065659837004006</v>
      </c>
      <c r="AM3002">
        <v>59.056701113245303</v>
      </c>
      <c r="AN3002">
        <v>1.0000000570166001</v>
      </c>
    </row>
    <row r="3003" spans="1:40" x14ac:dyDescent="0.25">
      <c r="A3003" t="str">
        <f>"20190312164325846"</f>
        <v>20190312164325846</v>
      </c>
      <c r="B3003" t="str">
        <f>"1552380205837856"</f>
        <v>1552380205837856</v>
      </c>
      <c r="C3003" t="s">
        <v>40</v>
      </c>
      <c r="D3003">
        <v>4.4244450000000004</v>
      </c>
      <c r="E3003">
        <v>0.57236609999999999</v>
      </c>
      <c r="F3003" t="s">
        <v>45</v>
      </c>
      <c r="G3003">
        <v>-192.92519999999999</v>
      </c>
      <c r="H3003" s="1">
        <v>6.9506960000000001E-6</v>
      </c>
      <c r="I3003">
        <v>200.19319999999999</v>
      </c>
      <c r="J3003">
        <v>-196.9161</v>
      </c>
      <c r="K3003">
        <v>1.094214</v>
      </c>
      <c r="L3003">
        <v>211.4128</v>
      </c>
      <c r="M3003">
        <v>0.86434449999999996</v>
      </c>
      <c r="N3003">
        <v>0</v>
      </c>
      <c r="O3003">
        <v>-0.50263570000000002</v>
      </c>
      <c r="P3003">
        <v>0.48244569999999998</v>
      </c>
      <c r="Q3003">
        <v>0.16193080000000001</v>
      </c>
      <c r="R3003">
        <v>-0.86082829999999999</v>
      </c>
      <c r="S3003">
        <v>1.138657</v>
      </c>
      <c r="T3003">
        <v>-0.27667239999999999</v>
      </c>
      <c r="U3003">
        <v>-2.9135439999999999</v>
      </c>
      <c r="V3003">
        <v>0.50802000000000003</v>
      </c>
      <c r="W3003">
        <v>0.15633549999999999</v>
      </c>
      <c r="X3003">
        <v>0.84703890000000004</v>
      </c>
      <c r="Y3003">
        <v>0.62164529999999996</v>
      </c>
      <c r="Z3003">
        <v>1.7769589999999998E-2</v>
      </c>
      <c r="AA3003">
        <v>0.7830973</v>
      </c>
      <c r="AB3003">
        <v>35</v>
      </c>
      <c r="AC3003">
        <v>3.9909000000000101</v>
      </c>
      <c r="AD3003">
        <v>-1.0942070493039999</v>
      </c>
      <c r="AE3003">
        <v>-11.2196</v>
      </c>
      <c r="AF3003">
        <v>7.6282475876896898</v>
      </c>
      <c r="AG3003">
        <v>-1.0942070493039999</v>
      </c>
      <c r="AH3003">
        <v>9.0139867017926196</v>
      </c>
      <c r="AI3003">
        <v>95.294034478921404</v>
      </c>
      <c r="AJ3003">
        <v>49.759833725088797</v>
      </c>
      <c r="AK3003">
        <v>11.859148645072899</v>
      </c>
      <c r="AL3003">
        <v>81.005740946397296</v>
      </c>
      <c r="AM3003">
        <v>59.046358078841102</v>
      </c>
      <c r="AN3003">
        <v>1.00000000353673</v>
      </c>
    </row>
    <row r="3004" spans="1:40" x14ac:dyDescent="0.25">
      <c r="A3004" t="str">
        <f>"20190312164325872"</f>
        <v>20190312164325872</v>
      </c>
      <c r="B3004" t="str">
        <f>"1552380205867137"</f>
        <v>1552380205867137</v>
      </c>
      <c r="C3004" t="s">
        <v>40</v>
      </c>
      <c r="D3004">
        <v>4.4012729999999998</v>
      </c>
      <c r="E3004">
        <v>0.59808549999999905</v>
      </c>
      <c r="F3004" t="s">
        <v>42</v>
      </c>
      <c r="G3004">
        <v>-192.55670000000001</v>
      </c>
      <c r="H3004" s="1">
        <v>-4.6497340000000002E-6</v>
      </c>
      <c r="I3004">
        <v>199.3176</v>
      </c>
      <c r="J3004">
        <v>-196.56059999999999</v>
      </c>
      <c r="K3004">
        <v>1.0939680000000001</v>
      </c>
      <c r="L3004">
        <v>211.18770000000001</v>
      </c>
      <c r="M3004">
        <v>0.85367289999999996</v>
      </c>
      <c r="N3004">
        <v>0</v>
      </c>
      <c r="O3004">
        <v>-0.52055079999999998</v>
      </c>
      <c r="P3004">
        <v>0.46474959999999998</v>
      </c>
      <c r="Q3004">
        <v>0.1627701</v>
      </c>
      <c r="R3004">
        <v>-0.87035280000000004</v>
      </c>
      <c r="S3004">
        <v>1.0600130000000001</v>
      </c>
      <c r="T3004">
        <v>-0.26606760000000002</v>
      </c>
      <c r="U3004">
        <v>-2.9410400000000001</v>
      </c>
      <c r="V3004">
        <v>0.50766049999999996</v>
      </c>
      <c r="W3004">
        <v>0.15698679999999901</v>
      </c>
      <c r="X3004">
        <v>0.84713400000000005</v>
      </c>
      <c r="Y3004">
        <v>0.62622540000000004</v>
      </c>
      <c r="Z3004">
        <v>1.8700040000000001E-2</v>
      </c>
      <c r="AA3004">
        <v>0.77941780000000005</v>
      </c>
      <c r="AB3004">
        <v>35</v>
      </c>
      <c r="AC3004">
        <v>4.0038999999999803</v>
      </c>
      <c r="AD3004">
        <v>-1.0939726497339901</v>
      </c>
      <c r="AE3004">
        <v>-11.870100000000001</v>
      </c>
      <c r="AF3004">
        <v>7.9891077634030498</v>
      </c>
      <c r="AG3004">
        <v>-1.0939726497339901</v>
      </c>
      <c r="AH3004">
        <v>9.5256600122025006</v>
      </c>
      <c r="AI3004">
        <v>95.028722906767797</v>
      </c>
      <c r="AJ3004">
        <v>50.013662739078299</v>
      </c>
      <c r="AK3004">
        <v>12.4804173680893</v>
      </c>
      <c r="AL3004">
        <v>80.967957879527304</v>
      </c>
      <c r="AM3004">
        <v>59.067081981327</v>
      </c>
      <c r="AN3004">
        <v>1.00000002629524</v>
      </c>
    </row>
    <row r="3005" spans="1:40" x14ac:dyDescent="0.25">
      <c r="A3005" t="str">
        <f>"20190312164325893"</f>
        <v>20190312164325893</v>
      </c>
      <c r="B3005" t="str">
        <f>"1552380205887633"</f>
        <v>1552380205887633</v>
      </c>
      <c r="C3005" t="s">
        <v>40</v>
      </c>
      <c r="D3005">
        <v>4.4978899999999999</v>
      </c>
      <c r="E3005">
        <v>0.59884950000000003</v>
      </c>
      <c r="F3005" t="s">
        <v>45</v>
      </c>
      <c r="G3005">
        <v>-193.65989999999999</v>
      </c>
      <c r="H3005" s="1">
        <v>6.6838840000000001E-6</v>
      </c>
      <c r="I3005">
        <v>200.39500000000001</v>
      </c>
      <c r="J3005">
        <v>-196.2851</v>
      </c>
      <c r="K3005">
        <v>1.093785</v>
      </c>
      <c r="L3005">
        <v>211.00620000000001</v>
      </c>
      <c r="M3005">
        <v>0.84492069999999997</v>
      </c>
      <c r="N3005">
        <v>0</v>
      </c>
      <c r="O3005">
        <v>-0.53463719999999904</v>
      </c>
      <c r="P3005">
        <v>0.4509261</v>
      </c>
      <c r="Q3005">
        <v>0.1628714</v>
      </c>
      <c r="R3005">
        <v>-0.87757540000000001</v>
      </c>
      <c r="S3005">
        <v>0.82379150000000001</v>
      </c>
      <c r="T3005">
        <v>-0.31067810000000001</v>
      </c>
      <c r="U3005">
        <v>-3.0650629999999999</v>
      </c>
      <c r="V3005">
        <v>0.50706430000000002</v>
      </c>
      <c r="W3005">
        <v>0.15697079999999999</v>
      </c>
      <c r="X3005">
        <v>0.84749390000000002</v>
      </c>
      <c r="Y3005">
        <v>0.6765409</v>
      </c>
      <c r="Z3005">
        <v>2.0056959999999999E-2</v>
      </c>
      <c r="AA3005">
        <v>0.73613200000000001</v>
      </c>
      <c r="AB3005">
        <v>35</v>
      </c>
      <c r="AC3005">
        <v>2.6252</v>
      </c>
      <c r="AD3005">
        <v>-1.093778316116</v>
      </c>
      <c r="AE3005">
        <v>-10.611199999999901</v>
      </c>
      <c r="AF3005">
        <v>7.4881489954515397</v>
      </c>
      <c r="AG3005">
        <v>-1.093778316116</v>
      </c>
      <c r="AH3005">
        <v>7.8140657571353502</v>
      </c>
      <c r="AI3005">
        <v>95.7708805251021</v>
      </c>
      <c r="AJ3005">
        <v>46.220139197109901</v>
      </c>
      <c r="AK3005">
        <v>10.8778835275858</v>
      </c>
      <c r="AL3005">
        <v>80.968885639196898</v>
      </c>
      <c r="AM3005">
        <v>59.107483801281603</v>
      </c>
      <c r="AN3005">
        <v>0.99999997346216896</v>
      </c>
    </row>
    <row r="3006" spans="1:40" x14ac:dyDescent="0.25">
      <c r="A3006" t="str">
        <f>"20190312164325915"</f>
        <v>20190312164325915</v>
      </c>
      <c r="B3006" t="str">
        <f>"1552380205908128"</f>
        <v>1552380205908128</v>
      </c>
      <c r="C3006" t="s">
        <v>40</v>
      </c>
      <c r="D3006">
        <v>4.4389279999999998</v>
      </c>
      <c r="E3006">
        <v>0.59841509999999998</v>
      </c>
      <c r="F3006" t="s">
        <v>45</v>
      </c>
      <c r="G3006">
        <v>-193.66560000000001</v>
      </c>
      <c r="H3006" s="1">
        <v>6.6416120000000004E-6</v>
      </c>
      <c r="I3006">
        <v>200.5102</v>
      </c>
      <c r="J3006">
        <v>-195.98269999999999</v>
      </c>
      <c r="K3006">
        <v>1.0935889999999999</v>
      </c>
      <c r="L3006">
        <v>210.79920000000001</v>
      </c>
      <c r="M3006">
        <v>0.83479340000000002</v>
      </c>
      <c r="N3006">
        <v>0</v>
      </c>
      <c r="O3006">
        <v>-0.55031370000000002</v>
      </c>
      <c r="P3006">
        <v>0.43525829999999999</v>
      </c>
      <c r="Q3006">
        <v>0.16325329999999999</v>
      </c>
      <c r="R3006">
        <v>-0.88538069999999902</v>
      </c>
      <c r="S3006">
        <v>0.76937869999999997</v>
      </c>
      <c r="T3006">
        <v>-0.3212583</v>
      </c>
      <c r="U3006">
        <v>-3.0828090000000001</v>
      </c>
      <c r="V3006">
        <v>0.50633700000000004</v>
      </c>
      <c r="W3006">
        <v>0.1572326</v>
      </c>
      <c r="X3006">
        <v>0.84788009999999903</v>
      </c>
      <c r="Y3006">
        <v>0.67603959999999996</v>
      </c>
      <c r="Z3006">
        <v>2.272275E-2</v>
      </c>
      <c r="AA3006">
        <v>0.73651489999999997</v>
      </c>
      <c r="AB3006">
        <v>35</v>
      </c>
      <c r="AC3006">
        <v>2.31709999999998</v>
      </c>
      <c r="AD3006">
        <v>-1.093582358388</v>
      </c>
      <c r="AE3006">
        <v>-10.289</v>
      </c>
      <c r="AF3006">
        <v>7.2372508950993204</v>
      </c>
      <c r="AG3006">
        <v>-1.093582358388</v>
      </c>
      <c r="AH3006">
        <v>7.5167051684702804</v>
      </c>
      <c r="AI3006">
        <v>95.983016109712906</v>
      </c>
      <c r="AJ3006">
        <v>46.085108021460798</v>
      </c>
      <c r="AK3006">
        <v>10.491643316606799</v>
      </c>
      <c r="AL3006">
        <v>80.953696838567794</v>
      </c>
      <c r="AM3006">
        <v>59.1551976705965</v>
      </c>
      <c r="AN3006">
        <v>0.99999995602388303</v>
      </c>
    </row>
    <row r="3007" spans="1:40" x14ac:dyDescent="0.25">
      <c r="A3007" t="str">
        <f>"20190312164325937"</f>
        <v>20190312164325937</v>
      </c>
      <c r="B3007" t="str">
        <f>"1552380205927649"</f>
        <v>1552380205927649</v>
      </c>
      <c r="C3007" t="s">
        <v>40</v>
      </c>
      <c r="D3007">
        <v>4.4843960000000003</v>
      </c>
      <c r="E3007">
        <v>0.598271</v>
      </c>
      <c r="F3007" t="s">
        <v>45</v>
      </c>
      <c r="G3007">
        <v>-193.48820000000001</v>
      </c>
      <c r="H3007" s="1">
        <v>6.8654390000000004E-6</v>
      </c>
      <c r="I3007">
        <v>200.01070000000001</v>
      </c>
      <c r="J3007">
        <v>-195.70910000000001</v>
      </c>
      <c r="K3007">
        <v>1.0934170000000001</v>
      </c>
      <c r="L3007">
        <v>210.60470000000001</v>
      </c>
      <c r="M3007">
        <v>0.82513709999999996</v>
      </c>
      <c r="N3007">
        <v>0</v>
      </c>
      <c r="O3007">
        <v>-0.56468699999999905</v>
      </c>
      <c r="P3007">
        <v>0.42133189999999998</v>
      </c>
      <c r="Q3007">
        <v>0.16298989999999999</v>
      </c>
      <c r="R3007">
        <v>-0.89214020000000005</v>
      </c>
      <c r="S3007">
        <v>0.71548459999999903</v>
      </c>
      <c r="T3007">
        <v>-0.31366850000000002</v>
      </c>
      <c r="U3007">
        <v>-3.094452</v>
      </c>
      <c r="V3007">
        <v>0.50503019999999998</v>
      </c>
      <c r="W3007">
        <v>0.15690109999999999</v>
      </c>
      <c r="X3007">
        <v>0.84872060000000005</v>
      </c>
      <c r="Y3007">
        <v>0.67613500000000004</v>
      </c>
      <c r="Z3007">
        <v>2.3975949999999999E-2</v>
      </c>
      <c r="AA3007">
        <v>0.73638760000000003</v>
      </c>
      <c r="AB3007">
        <v>35</v>
      </c>
      <c r="AC3007">
        <v>2.2208999999999999</v>
      </c>
      <c r="AD3007">
        <v>-1.0934101345609999</v>
      </c>
      <c r="AE3007">
        <v>-10.5939999999999</v>
      </c>
      <c r="AF3007">
        <v>7.41278807608498</v>
      </c>
      <c r="AG3007">
        <v>-1.0934101345609999</v>
      </c>
      <c r="AH3007">
        <v>7.7369774749517903</v>
      </c>
      <c r="AI3007">
        <v>95.826593100724693</v>
      </c>
      <c r="AJ3007">
        <v>46.225883649434302</v>
      </c>
      <c r="AK3007">
        <v>10.7705985549188</v>
      </c>
      <c r="AL3007">
        <v>80.972930025291603</v>
      </c>
      <c r="AM3007">
        <v>59.2452882454633</v>
      </c>
      <c r="AN3007">
        <v>1.0000000574787999</v>
      </c>
    </row>
    <row r="3008" spans="1:40" x14ac:dyDescent="0.25">
      <c r="A3008" t="str">
        <f>"20190312164325984"</f>
        <v>20190312164325984</v>
      </c>
      <c r="B3008" t="str">
        <f>"1552380205977425"</f>
        <v>1552380205977425</v>
      </c>
      <c r="C3008" t="s">
        <v>40</v>
      </c>
      <c r="D3008">
        <v>4.5461739999999997</v>
      </c>
      <c r="E3008">
        <v>0.5903929</v>
      </c>
      <c r="F3008" t="s">
        <v>45</v>
      </c>
      <c r="G3008">
        <v>-193.3777</v>
      </c>
      <c r="H3008" s="1">
        <v>6.989257E-6</v>
      </c>
      <c r="I3008">
        <v>199.74350000000001</v>
      </c>
      <c r="J3008">
        <v>-195.16990000000001</v>
      </c>
      <c r="K3008">
        <v>1.0930899999999999</v>
      </c>
      <c r="L3008">
        <v>210.1995</v>
      </c>
      <c r="M3008">
        <v>0.80463050000000003</v>
      </c>
      <c r="N3008">
        <v>0</v>
      </c>
      <c r="O3008">
        <v>-0.59353769999999995</v>
      </c>
      <c r="P3008">
        <v>0.39314769999999999</v>
      </c>
      <c r="Q3008">
        <v>0.1629941</v>
      </c>
      <c r="R3008">
        <v>-0.90491350000000004</v>
      </c>
      <c r="S3008">
        <v>0.66651919999999898</v>
      </c>
      <c r="T3008">
        <v>-0.31259019999999998</v>
      </c>
      <c r="U3008">
        <v>-3.1050420000000001</v>
      </c>
      <c r="V3008">
        <v>0.50171499999999902</v>
      </c>
      <c r="W3008">
        <v>0.15683369999999999</v>
      </c>
      <c r="X3008">
        <v>0.85069689999999998</v>
      </c>
      <c r="Y3008">
        <v>0.66167489999999995</v>
      </c>
      <c r="Z3008">
        <v>2.8388509999999999E-2</v>
      </c>
      <c r="AA3008">
        <v>0.74925330000000001</v>
      </c>
      <c r="AB3008">
        <v>35</v>
      </c>
      <c r="AC3008">
        <v>1.7922</v>
      </c>
      <c r="AD3008">
        <v>-1.0930830107429901</v>
      </c>
      <c r="AE3008">
        <v>-10.4559999999999</v>
      </c>
      <c r="AF3008">
        <v>7.2732973004805901</v>
      </c>
      <c r="AG3008">
        <v>-1.0930830107429901</v>
      </c>
      <c r="AH3008">
        <v>7.5688127852388298</v>
      </c>
      <c r="AI3008">
        <v>95.944928242226297</v>
      </c>
      <c r="AJ3008">
        <v>46.1406432814955</v>
      </c>
      <c r="AK3008">
        <v>10.5537960501209</v>
      </c>
      <c r="AL3008">
        <v>80.976839493415</v>
      </c>
      <c r="AM3008">
        <v>59.469196915808801</v>
      </c>
      <c r="AN3008">
        <v>0.99999998317514904</v>
      </c>
    </row>
    <row r="3009" spans="1:40" x14ac:dyDescent="0.25">
      <c r="A3009" t="str">
        <f>"20190312164326008"</f>
        <v>20190312164326008</v>
      </c>
      <c r="B3009" t="str">
        <f>"1552380205997921"</f>
        <v>1552380205997921</v>
      </c>
      <c r="C3009" t="s">
        <v>40</v>
      </c>
      <c r="D3009">
        <v>4.5493870000000003</v>
      </c>
      <c r="E3009">
        <v>0.58987519999999904</v>
      </c>
      <c r="F3009" t="s">
        <v>45</v>
      </c>
      <c r="G3009">
        <v>-193.25739999999999</v>
      </c>
      <c r="H3009" s="1">
        <v>6.6591649999999998E-6</v>
      </c>
      <c r="I3009">
        <v>200.76779999999999</v>
      </c>
      <c r="J3009">
        <v>-194.81829999999999</v>
      </c>
      <c r="K3009">
        <v>1.092905</v>
      </c>
      <c r="L3009">
        <v>209.9178</v>
      </c>
      <c r="M3009">
        <v>0.79010419999999904</v>
      </c>
      <c r="N3009">
        <v>0</v>
      </c>
      <c r="O3009">
        <v>-0.61273909999999998</v>
      </c>
      <c r="P3009">
        <v>0.37287150000000002</v>
      </c>
      <c r="Q3009">
        <v>0.16276089999999999</v>
      </c>
      <c r="R3009">
        <v>-0.91349659999999999</v>
      </c>
      <c r="S3009">
        <v>0.62988279999999996</v>
      </c>
      <c r="T3009">
        <v>-0.36001929999999999</v>
      </c>
      <c r="U3009">
        <v>-3.1064150000000001</v>
      </c>
      <c r="V3009">
        <v>0.50029460000000003</v>
      </c>
      <c r="W3009">
        <v>0.15654029999999899</v>
      </c>
      <c r="X3009">
        <v>0.85158699999999998</v>
      </c>
      <c r="Y3009">
        <v>0.65202230000000005</v>
      </c>
      <c r="Z3009">
        <v>3.616668E-2</v>
      </c>
      <c r="AA3009">
        <v>0.75733669999999997</v>
      </c>
      <c r="AB3009">
        <v>35</v>
      </c>
      <c r="AC3009">
        <v>1.5609</v>
      </c>
      <c r="AD3009">
        <v>-1.0928983408349999</v>
      </c>
      <c r="AE3009">
        <v>-9.15</v>
      </c>
      <c r="AF3009">
        <v>6.1881400658059</v>
      </c>
      <c r="AG3009">
        <v>-1.0928983408349999</v>
      </c>
      <c r="AH3009">
        <v>6.7472772639108403</v>
      </c>
      <c r="AI3009">
        <v>96.8074008126802</v>
      </c>
      <c r="AJ3009">
        <v>47.475086092622199</v>
      </c>
      <c r="AK3009">
        <v>9.2202632681241994</v>
      </c>
      <c r="AL3009">
        <v>80.993860331926498</v>
      </c>
      <c r="AM3009">
        <v>59.566402597454001</v>
      </c>
      <c r="AN3009">
        <v>0.99999998544112501</v>
      </c>
    </row>
    <row r="3010" spans="1:40" x14ac:dyDescent="0.25">
      <c r="A3010" t="str">
        <f>"20190312164326028"</f>
        <v>20190312164326028</v>
      </c>
      <c r="B3010" t="str">
        <f>"1552380206017441"</f>
        <v>1552380206017441</v>
      </c>
      <c r="C3010" t="s">
        <v>40</v>
      </c>
      <c r="D3010">
        <v>4.5667369999999998</v>
      </c>
      <c r="E3010">
        <v>0.58856419999999998</v>
      </c>
      <c r="F3010" t="s">
        <v>45</v>
      </c>
      <c r="G3010">
        <v>-193.12639999999999</v>
      </c>
      <c r="H3010" s="1">
        <v>6.7673639999999996E-6</v>
      </c>
      <c r="I3010">
        <v>200.56039999999999</v>
      </c>
      <c r="J3010">
        <v>-194.57419999999999</v>
      </c>
      <c r="K3010">
        <v>1.0927800000000001</v>
      </c>
      <c r="L3010">
        <v>209.71420000000001</v>
      </c>
      <c r="M3010">
        <v>0.77946669999999996</v>
      </c>
      <c r="N3010">
        <v>0</v>
      </c>
      <c r="O3010">
        <v>-0.62621319999999903</v>
      </c>
      <c r="P3010">
        <v>0.35896270000000002</v>
      </c>
      <c r="Q3010">
        <v>0.1621985</v>
      </c>
      <c r="R3010">
        <v>-0.91915049999999998</v>
      </c>
      <c r="S3010">
        <v>0.56390379999999996</v>
      </c>
      <c r="T3010">
        <v>-0.36426530000000001</v>
      </c>
      <c r="U3010">
        <v>-3.1188349999999998</v>
      </c>
      <c r="V3010">
        <v>0.49869910000000001</v>
      </c>
      <c r="W3010">
        <v>0.15597469999999999</v>
      </c>
      <c r="X3010">
        <v>0.852626</v>
      </c>
      <c r="Y3010">
        <v>0.65505719999999901</v>
      </c>
      <c r="Z3010">
        <v>3.8378879999999997E-2</v>
      </c>
      <c r="AA3010">
        <v>0.75460389999999999</v>
      </c>
      <c r="AB3010">
        <v>35</v>
      </c>
      <c r="AC3010">
        <v>1.4478</v>
      </c>
      <c r="AD3010">
        <v>-1.09277323263599</v>
      </c>
      <c r="AE3010">
        <v>-9.1538000000000093</v>
      </c>
      <c r="AF3010">
        <v>6.1439274545747402</v>
      </c>
      <c r="AG3010">
        <v>-1.09277323263599</v>
      </c>
      <c r="AH3010">
        <v>6.7676383977198604</v>
      </c>
      <c r="AI3010">
        <v>96.817517109101402</v>
      </c>
      <c r="AJ3010">
        <v>47.765601571083899</v>
      </c>
      <c r="AK3010">
        <v>9.2055921801552305</v>
      </c>
      <c r="AL3010">
        <v>81.026669956539905</v>
      </c>
      <c r="AM3010">
        <v>59.676727282568599</v>
      </c>
      <c r="AN3010">
        <v>0.99999999762844904</v>
      </c>
    </row>
    <row r="3011" spans="1:40" x14ac:dyDescent="0.25">
      <c r="A3011" t="str">
        <f>"20190312164326050"</f>
        <v>20190312164326050</v>
      </c>
      <c r="B3011" t="str">
        <f>"1552380206047697"</f>
        <v>1552380206047697</v>
      </c>
      <c r="C3011" t="s">
        <v>40</v>
      </c>
      <c r="D3011">
        <v>4.6381300000000003</v>
      </c>
      <c r="E3011">
        <v>0.5870339</v>
      </c>
      <c r="F3011" t="s">
        <v>45</v>
      </c>
      <c r="G3011">
        <v>-193.00069999999999</v>
      </c>
      <c r="H3011" s="1">
        <v>6.86964899999999E-6</v>
      </c>
      <c r="I3011">
        <v>200.3657</v>
      </c>
      <c r="J3011">
        <v>-194.30879999999999</v>
      </c>
      <c r="K3011">
        <v>1.092646</v>
      </c>
      <c r="L3011">
        <v>209.4845</v>
      </c>
      <c r="M3011">
        <v>0.76734239999999998</v>
      </c>
      <c r="N3011">
        <v>0</v>
      </c>
      <c r="O3011">
        <v>-0.64101030000000003</v>
      </c>
      <c r="P3011">
        <v>0.34387610000000002</v>
      </c>
      <c r="Q3011">
        <v>0.16114609999999999</v>
      </c>
      <c r="R3011">
        <v>-0.92508460000000003</v>
      </c>
      <c r="S3011">
        <v>0.52564999999999995</v>
      </c>
      <c r="T3011">
        <v>-0.36505330000000002</v>
      </c>
      <c r="U3011">
        <v>-3.122986</v>
      </c>
      <c r="V3011">
        <v>0.49647760000000002</v>
      </c>
      <c r="W3011">
        <v>0.15495490000000001</v>
      </c>
      <c r="X3011">
        <v>0.85410710000000001</v>
      </c>
      <c r="Y3011">
        <v>0.64979600000000004</v>
      </c>
      <c r="Z3011">
        <v>4.1052089999999999E-2</v>
      </c>
      <c r="AA3011">
        <v>0.75899930000000004</v>
      </c>
      <c r="AB3011">
        <v>35</v>
      </c>
      <c r="AC3011">
        <v>1.30809999999999</v>
      </c>
      <c r="AD3011">
        <v>-1.0926391303509999</v>
      </c>
      <c r="AE3011">
        <v>-9.1187999999999896</v>
      </c>
      <c r="AF3011">
        <v>6.0741824420075696</v>
      </c>
      <c r="AG3011">
        <v>-1.0926391303509999</v>
      </c>
      <c r="AH3011">
        <v>6.7549746881187103</v>
      </c>
      <c r="AI3011">
        <v>96.858424919631503</v>
      </c>
      <c r="AJ3011">
        <v>48.037609534547599</v>
      </c>
      <c r="AK3011">
        <v>9.1498216182115701</v>
      </c>
      <c r="AL3011">
        <v>81.085819238777603</v>
      </c>
      <c r="AM3011">
        <v>59.831308046405098</v>
      </c>
      <c r="AN3011">
        <v>0.99999998330308904</v>
      </c>
    </row>
    <row r="3012" spans="1:40" x14ac:dyDescent="0.25">
      <c r="A3012" t="str">
        <f>"20190312164326072"</f>
        <v>20190312164326072</v>
      </c>
      <c r="B3012" t="str">
        <f>"1552380206067217"</f>
        <v>1552380206067217</v>
      </c>
      <c r="C3012" t="s">
        <v>40</v>
      </c>
      <c r="D3012">
        <v>4.8220619999999998</v>
      </c>
      <c r="E3012">
        <v>0.58629379999999998</v>
      </c>
      <c r="F3012" t="s">
        <v>45</v>
      </c>
      <c r="G3012">
        <v>-192.85130000000001</v>
      </c>
      <c r="H3012" s="1">
        <v>7.0210549999999998E-6</v>
      </c>
      <c r="I3012">
        <v>200.0498</v>
      </c>
      <c r="J3012">
        <v>-194.0582</v>
      </c>
      <c r="K3012">
        <v>1.0925149999999999</v>
      </c>
      <c r="L3012">
        <v>209.2594</v>
      </c>
      <c r="M3012">
        <v>0.75534119999999905</v>
      </c>
      <c r="N3012">
        <v>0</v>
      </c>
      <c r="O3012">
        <v>-0.65510769999999996</v>
      </c>
      <c r="P3012">
        <v>0.32979890000000001</v>
      </c>
      <c r="Q3012">
        <v>0.15995580000000001</v>
      </c>
      <c r="R3012">
        <v>-0.93040160000000005</v>
      </c>
      <c r="S3012">
        <v>0.48298649999999999</v>
      </c>
      <c r="T3012">
        <v>-0.36208000000000001</v>
      </c>
      <c r="U3012">
        <v>-3.1264799999999999</v>
      </c>
      <c r="V3012">
        <v>0.49376540000000002</v>
      </c>
      <c r="W3012">
        <v>0.153835</v>
      </c>
      <c r="X3012">
        <v>0.85587999999999997</v>
      </c>
      <c r="Y3012">
        <v>0.64601189999999997</v>
      </c>
      <c r="Z3012">
        <v>4.311326E-2</v>
      </c>
      <c r="AA3012">
        <v>0.76210880000000003</v>
      </c>
      <c r="AB3012">
        <v>35</v>
      </c>
      <c r="AC3012">
        <v>1.2068999999999901</v>
      </c>
      <c r="AD3012">
        <v>-1.0925079789449901</v>
      </c>
      <c r="AE3012">
        <v>-9.2095999999999894</v>
      </c>
      <c r="AF3012">
        <v>6.0824960138740201</v>
      </c>
      <c r="AG3012">
        <v>-1.0925079789449901</v>
      </c>
      <c r="AH3012">
        <v>6.8511367604712099</v>
      </c>
      <c r="AI3012">
        <v>96.800332066058203</v>
      </c>
      <c r="AJ3012">
        <v>48.401065522796003</v>
      </c>
      <c r="AK3012">
        <v>9.2265056415487994</v>
      </c>
      <c r="AL3012">
        <v>81.1507639005209</v>
      </c>
      <c r="AM3012">
        <v>60.018939396672302</v>
      </c>
      <c r="AN3012">
        <v>1.00000002593107</v>
      </c>
    </row>
    <row r="3013" spans="1:40" x14ac:dyDescent="0.25">
      <c r="A3013" t="str">
        <f>"20190312164326094"</f>
        <v>20190312164326094</v>
      </c>
      <c r="B3013" t="str">
        <f>"1552380206087713"</f>
        <v>1552380206087713</v>
      </c>
      <c r="C3013" t="s">
        <v>40</v>
      </c>
      <c r="D3013">
        <v>4.6401070000000004</v>
      </c>
      <c r="E3013">
        <v>0.58515729999999999</v>
      </c>
      <c r="F3013" t="s">
        <v>45</v>
      </c>
      <c r="G3013">
        <v>-192.75540000000001</v>
      </c>
      <c r="H3013" s="1">
        <v>7.0759429999999996E-6</v>
      </c>
      <c r="I3013">
        <v>199.9667</v>
      </c>
      <c r="J3013">
        <v>-193.79509999999999</v>
      </c>
      <c r="K3013">
        <v>1.0923929999999999</v>
      </c>
      <c r="L3013">
        <v>209.01390000000001</v>
      </c>
      <c r="M3013">
        <v>0.74211669999999996</v>
      </c>
      <c r="N3013">
        <v>0</v>
      </c>
      <c r="O3013">
        <v>-0.67004940000000002</v>
      </c>
      <c r="P3013">
        <v>0.31424770000000002</v>
      </c>
      <c r="Q3013">
        <v>0.1587993</v>
      </c>
      <c r="R3013">
        <v>-0.93596570000000001</v>
      </c>
      <c r="S3013">
        <v>0.4391022</v>
      </c>
      <c r="T3013">
        <v>-0.36822270000000001</v>
      </c>
      <c r="U3013">
        <v>-3.1320649999999999</v>
      </c>
      <c r="V3013">
        <v>0.49108299999999999</v>
      </c>
      <c r="W3013">
        <v>0.15275129999999901</v>
      </c>
      <c r="X3013">
        <v>0.85761559999999903</v>
      </c>
      <c r="Y3013">
        <v>0.64146539999999996</v>
      </c>
      <c r="Z3013">
        <v>4.6427290000000003E-2</v>
      </c>
      <c r="AA3013">
        <v>0.76574589999999998</v>
      </c>
      <c r="AB3013">
        <v>35</v>
      </c>
      <c r="AC3013">
        <v>1.0396999999999801</v>
      </c>
      <c r="AD3013">
        <v>-1.092385924057</v>
      </c>
      <c r="AE3013">
        <v>-9.0472000000000001</v>
      </c>
      <c r="AF3013">
        <v>5.9329521351556496</v>
      </c>
      <c r="AG3013">
        <v>-1.092385924057</v>
      </c>
      <c r="AH3013">
        <v>6.7377154158513601</v>
      </c>
      <c r="AI3013">
        <v>96.937616219579496</v>
      </c>
      <c r="AJ3013">
        <v>48.634195813422203</v>
      </c>
      <c r="AK3013">
        <v>9.0437844440326494</v>
      </c>
      <c r="AL3013">
        <v>81.2135977154351</v>
      </c>
      <c r="AM3013">
        <v>60.203928442693297</v>
      </c>
      <c r="AN3013">
        <v>0.99999999495202496</v>
      </c>
    </row>
    <row r="3014" spans="1:40" x14ac:dyDescent="0.25">
      <c r="A3014" t="str">
        <f>"20190312164326115"</f>
        <v>20190312164326115</v>
      </c>
      <c r="B3014" t="str">
        <f>"1552380206107233"</f>
        <v>1552380206107233</v>
      </c>
      <c r="C3014" t="s">
        <v>40</v>
      </c>
      <c r="D3014">
        <v>4.5528779999999998</v>
      </c>
      <c r="E3014">
        <v>0.58466200000000002</v>
      </c>
      <c r="F3014" t="s">
        <v>45</v>
      </c>
      <c r="G3014">
        <v>-192.62180000000001</v>
      </c>
      <c r="H3014" s="1">
        <v>7.2223710000000003E-6</v>
      </c>
      <c r="I3014">
        <v>199.65299999999999</v>
      </c>
      <c r="J3014">
        <v>-193.5651</v>
      </c>
      <c r="K3014">
        <v>1.0922959999999999</v>
      </c>
      <c r="L3014">
        <v>208.79079999999999</v>
      </c>
      <c r="M3014">
        <v>0.72999579999999997</v>
      </c>
      <c r="N3014">
        <v>0</v>
      </c>
      <c r="O3014">
        <v>-0.68323269999999903</v>
      </c>
      <c r="P3014">
        <v>0.300589</v>
      </c>
      <c r="Q3014">
        <v>0.15871759999999999</v>
      </c>
      <c r="R3014">
        <v>-0.94045469999999998</v>
      </c>
      <c r="S3014">
        <v>0.39299010000000001</v>
      </c>
      <c r="T3014">
        <v>-0.36588759999999998</v>
      </c>
      <c r="U3014">
        <v>-3.1353610000000001</v>
      </c>
      <c r="V3014">
        <v>0.48824329999999999</v>
      </c>
      <c r="W3014">
        <v>0.1527645</v>
      </c>
      <c r="X3014">
        <v>0.85923309999999997</v>
      </c>
      <c r="Y3014">
        <v>0.63894989999999996</v>
      </c>
      <c r="Z3014">
        <v>4.8354040000000001E-2</v>
      </c>
      <c r="AA3014">
        <v>0.76772719999999905</v>
      </c>
      <c r="AB3014">
        <v>34</v>
      </c>
      <c r="AC3014">
        <v>0.94329999999999303</v>
      </c>
      <c r="AD3014">
        <v>-1.092288777629</v>
      </c>
      <c r="AE3014">
        <v>-9.1378000000000004</v>
      </c>
      <c r="AF3014">
        <v>5.9429426081407097</v>
      </c>
      <c r="AG3014">
        <v>-1.092288777629</v>
      </c>
      <c r="AH3014">
        <v>6.8362353622685497</v>
      </c>
      <c r="AI3014">
        <v>96.875778795534501</v>
      </c>
      <c r="AJ3014">
        <v>48.998597144201703</v>
      </c>
      <c r="AK3014">
        <v>9.1239122938419204</v>
      </c>
      <c r="AL3014">
        <v>81.212832618502702</v>
      </c>
      <c r="AM3014">
        <v>60.393398099149898</v>
      </c>
      <c r="AN3014">
        <v>1.0000000162953699</v>
      </c>
    </row>
    <row r="3015" spans="1:40" x14ac:dyDescent="0.25">
      <c r="A3015" t="str">
        <f>"20190312164326137"</f>
        <v>20190312164326137</v>
      </c>
      <c r="B3015" t="str">
        <f>"1552380206127729"</f>
        <v>1552380206127729</v>
      </c>
      <c r="C3015" t="s">
        <v>40</v>
      </c>
      <c r="D3015">
        <v>4.6946339999999998</v>
      </c>
      <c r="E3015">
        <v>0.58385790000000004</v>
      </c>
      <c r="F3015" t="s">
        <v>42</v>
      </c>
      <c r="G3015">
        <v>-192.48099999999999</v>
      </c>
      <c r="H3015" s="1">
        <v>-4.5262529999999999E-6</v>
      </c>
      <c r="I3015">
        <v>198.99420000000001</v>
      </c>
      <c r="J3015">
        <v>-193.31780000000001</v>
      </c>
      <c r="K3015">
        <v>1.09219</v>
      </c>
      <c r="L3015">
        <v>208.542</v>
      </c>
      <c r="M3015">
        <v>0.71636149999999998</v>
      </c>
      <c r="N3015">
        <v>0</v>
      </c>
      <c r="O3015">
        <v>-0.69751319999999895</v>
      </c>
      <c r="P3015">
        <v>0.28502440000000001</v>
      </c>
      <c r="Q3015">
        <v>0.158500799999999</v>
      </c>
      <c r="R3015">
        <v>-0.94532499999999997</v>
      </c>
      <c r="S3015">
        <v>0.34724429999999901</v>
      </c>
      <c r="T3015">
        <v>-0.34988140000000001</v>
      </c>
      <c r="U3015">
        <v>-3.1380159999999999</v>
      </c>
      <c r="V3015">
        <v>0.48550700000000002</v>
      </c>
      <c r="W3015">
        <v>0.152641</v>
      </c>
      <c r="X3015">
        <v>0.86080409999999996</v>
      </c>
      <c r="Y3015">
        <v>0.6349593</v>
      </c>
      <c r="Z3015">
        <v>4.8643289999999999E-2</v>
      </c>
      <c r="AA3015">
        <v>0.7710127</v>
      </c>
      <c r="AB3015">
        <v>34</v>
      </c>
      <c r="AC3015">
        <v>0.83680000000000998</v>
      </c>
      <c r="AD3015">
        <v>-1.092194526253</v>
      </c>
      <c r="AE3015">
        <v>-9.5477999999999899</v>
      </c>
      <c r="AF3015">
        <v>6.1767306501091896</v>
      </c>
      <c r="AG3015">
        <v>-1.092194526253</v>
      </c>
      <c r="AH3015">
        <v>7.1671905246263403</v>
      </c>
      <c r="AI3015">
        <v>96.584807722207799</v>
      </c>
      <c r="AJ3015">
        <v>49.245026213698097</v>
      </c>
      <c r="AK3015">
        <v>9.5243640429935805</v>
      </c>
      <c r="AL3015">
        <v>81.219992564997</v>
      </c>
      <c r="AM3015">
        <v>60.576320630768798</v>
      </c>
      <c r="AN3015">
        <v>1.0000000102533999</v>
      </c>
    </row>
    <row r="3016" spans="1:40" x14ac:dyDescent="0.25">
      <c r="A3016" t="str">
        <f>"20190312164326162"</f>
        <v>20190312164326162</v>
      </c>
      <c r="B3016" t="str">
        <f>"1552380206157985"</f>
        <v>1552380206157985</v>
      </c>
      <c r="C3016" t="s">
        <v>40</v>
      </c>
      <c r="D3016">
        <v>4.5292490000000001</v>
      </c>
      <c r="E3016">
        <v>0.58286610000000005</v>
      </c>
      <c r="F3016" t="s">
        <v>42</v>
      </c>
      <c r="G3016">
        <v>-192.3734</v>
      </c>
      <c r="H3016" s="1">
        <v>-4.3909200000000003E-6</v>
      </c>
      <c r="I3016">
        <v>198.65260000000001</v>
      </c>
      <c r="J3016">
        <v>-193.04409999999999</v>
      </c>
      <c r="K3016">
        <v>1.092079</v>
      </c>
      <c r="L3016">
        <v>208.25489999999999</v>
      </c>
      <c r="M3016">
        <v>0.70048069999999996</v>
      </c>
      <c r="N3016">
        <v>0</v>
      </c>
      <c r="O3016">
        <v>-0.71345819999999904</v>
      </c>
      <c r="P3016">
        <v>0.26701839999999999</v>
      </c>
      <c r="Q3016">
        <v>0.15837850000000001</v>
      </c>
      <c r="R3016">
        <v>-0.95058819999999999</v>
      </c>
      <c r="S3016">
        <v>0.29997249999999998</v>
      </c>
      <c r="T3016">
        <v>-0.3469179</v>
      </c>
      <c r="U3016">
        <v>-3.1412200000000001</v>
      </c>
      <c r="V3016">
        <v>0.48252309999999998</v>
      </c>
      <c r="W3016">
        <v>0.15262919999999999</v>
      </c>
      <c r="X3016">
        <v>0.86248239999999998</v>
      </c>
      <c r="Y3016">
        <v>0.62917860000000003</v>
      </c>
      <c r="Z3016">
        <v>5.0945299999999999E-2</v>
      </c>
      <c r="AA3016">
        <v>0.77558930000000004</v>
      </c>
      <c r="AB3016">
        <v>34</v>
      </c>
      <c r="AC3016">
        <v>0.67069999999998198</v>
      </c>
      <c r="AD3016">
        <v>-1.0920833909200001</v>
      </c>
      <c r="AE3016">
        <v>-9.6022999999999801</v>
      </c>
      <c r="AF3016">
        <v>6.1692490335748396</v>
      </c>
      <c r="AG3016">
        <v>-1.0920833909200001</v>
      </c>
      <c r="AH3016">
        <v>7.2287174059490296</v>
      </c>
      <c r="AI3016">
        <v>96.555413248838605</v>
      </c>
      <c r="AJ3016">
        <v>49.5213585860131</v>
      </c>
      <c r="AK3016">
        <v>9.5659100511168305</v>
      </c>
      <c r="AL3016">
        <v>81.220677045109397</v>
      </c>
      <c r="AM3016">
        <v>60.774798417329798</v>
      </c>
      <c r="AN3016">
        <v>1.0000000525179999</v>
      </c>
    </row>
    <row r="3017" spans="1:40" x14ac:dyDescent="0.25">
      <c r="A3017" t="str">
        <f>"20190312164326187"</f>
        <v>20190312164326187</v>
      </c>
      <c r="B3017" t="str">
        <f>"1552380206177504"</f>
        <v>1552380206177504</v>
      </c>
      <c r="C3017" t="s">
        <v>40</v>
      </c>
      <c r="D3017">
        <v>4.54155</v>
      </c>
      <c r="E3017">
        <v>0.58177440000000002</v>
      </c>
      <c r="F3017" t="s">
        <v>42</v>
      </c>
      <c r="G3017">
        <v>-192.24520000000001</v>
      </c>
      <c r="H3017" s="1">
        <v>-4.1798740000000001E-6</v>
      </c>
      <c r="I3017">
        <v>198.0992</v>
      </c>
      <c r="J3017">
        <v>-192.7902</v>
      </c>
      <c r="K3017">
        <v>1.09199</v>
      </c>
      <c r="L3017">
        <v>207.97559999999999</v>
      </c>
      <c r="M3017">
        <v>0.68491459999999904</v>
      </c>
      <c r="N3017">
        <v>0</v>
      </c>
      <c r="O3017">
        <v>-0.72841279999999997</v>
      </c>
      <c r="P3017">
        <v>0.25033729999999998</v>
      </c>
      <c r="Q3017">
        <v>0.1579198</v>
      </c>
      <c r="R3017">
        <v>-0.9551925</v>
      </c>
      <c r="S3017">
        <v>0.24723819999999999</v>
      </c>
      <c r="T3017">
        <v>-0.33796179999999998</v>
      </c>
      <c r="U3017">
        <v>-3.1428219999999998</v>
      </c>
      <c r="V3017">
        <v>0.47905769999999998</v>
      </c>
      <c r="W3017">
        <v>0.1523215</v>
      </c>
      <c r="X3017">
        <v>0.86446619999999996</v>
      </c>
      <c r="Y3017">
        <v>0.6254035</v>
      </c>
      <c r="Z3017">
        <v>5.2067559999999999E-2</v>
      </c>
      <c r="AA3017">
        <v>0.77856250000000005</v>
      </c>
      <c r="AB3017">
        <v>34</v>
      </c>
      <c r="AC3017">
        <v>0.54499999999998705</v>
      </c>
      <c r="AD3017">
        <v>-1.091994179874</v>
      </c>
      <c r="AE3017">
        <v>-9.8763999999999896</v>
      </c>
      <c r="AF3017">
        <v>6.29179976354808</v>
      </c>
      <c r="AG3017">
        <v>-1.091994179874</v>
      </c>
      <c r="AH3017">
        <v>7.4774030968115204</v>
      </c>
      <c r="AI3017">
        <v>96.375983955225394</v>
      </c>
      <c r="AJ3017">
        <v>49.921340005226703</v>
      </c>
      <c r="AK3017">
        <v>9.8331456119427507</v>
      </c>
      <c r="AL3017">
        <v>81.238514764396399</v>
      </c>
      <c r="AM3017">
        <v>61.006274039788899</v>
      </c>
      <c r="AN3017">
        <v>0.99999996511698896</v>
      </c>
    </row>
    <row r="3018" spans="1:40" x14ac:dyDescent="0.25">
      <c r="A3018" t="str">
        <f>"20190312164326210"</f>
        <v>20190312164326210</v>
      </c>
      <c r="B3018" t="str">
        <f>"1552380206207761"</f>
        <v>1552380206207761</v>
      </c>
      <c r="C3018" t="s">
        <v>40</v>
      </c>
      <c r="D3018">
        <v>6.3885009999999998</v>
      </c>
      <c r="E3018">
        <v>0.56295010000000001</v>
      </c>
      <c r="F3018" t="s">
        <v>42</v>
      </c>
      <c r="G3018">
        <v>-192.1354</v>
      </c>
      <c r="H3018" s="1">
        <v>-4.0082409999999997E-6</v>
      </c>
      <c r="I3018">
        <v>197.65209999999999</v>
      </c>
      <c r="J3018">
        <v>-192.54920000000001</v>
      </c>
      <c r="K3018">
        <v>1.0919160000000001</v>
      </c>
      <c r="L3018">
        <v>207.69919999999999</v>
      </c>
      <c r="M3018">
        <v>0.66938540000000002</v>
      </c>
      <c r="N3018">
        <v>0</v>
      </c>
      <c r="O3018">
        <v>-0.74270700000000001</v>
      </c>
      <c r="P3018">
        <v>0.234873</v>
      </c>
      <c r="Q3018">
        <v>0.1583811</v>
      </c>
      <c r="R3018">
        <v>-0.95903640000000001</v>
      </c>
      <c r="S3018">
        <v>0.1993866</v>
      </c>
      <c r="T3018">
        <v>-0.33250669999999999</v>
      </c>
      <c r="U3018">
        <v>-3.1434479999999998</v>
      </c>
      <c r="V3018">
        <v>0.4747615</v>
      </c>
      <c r="W3018">
        <v>0.15298779999999901</v>
      </c>
      <c r="X3018">
        <v>0.86671580000000004</v>
      </c>
      <c r="Y3018">
        <v>0.62077230000000005</v>
      </c>
      <c r="Z3018">
        <v>5.3584640000000003E-2</v>
      </c>
      <c r="AA3018">
        <v>0.78215760000000001</v>
      </c>
      <c r="AB3018">
        <v>34</v>
      </c>
      <c r="AC3018">
        <v>0.41380000000000899</v>
      </c>
      <c r="AD3018">
        <v>-1.0919200082410001</v>
      </c>
      <c r="AE3018">
        <v>-10.0471</v>
      </c>
      <c r="AF3018">
        <v>6.3442361021835803</v>
      </c>
      <c r="AG3018">
        <v>-1.0919200082410001</v>
      </c>
      <c r="AH3018">
        <v>7.6500366817357</v>
      </c>
      <c r="AI3018">
        <v>96.269851787386301</v>
      </c>
      <c r="AJ3018">
        <v>50.330813171665703</v>
      </c>
      <c r="AK3018">
        <v>9.9982339568820002</v>
      </c>
      <c r="AL3018">
        <v>81.199886265974001</v>
      </c>
      <c r="AM3018">
        <v>61.287364463430301</v>
      </c>
      <c r="AN3018">
        <v>1.0000000134003599</v>
      </c>
    </row>
    <row r="3019" spans="1:40" x14ac:dyDescent="0.25">
      <c r="A3019" t="str">
        <f>"20190312164326228"</f>
        <v>20190312164326228</v>
      </c>
      <c r="B3019" t="str">
        <f>"1552380206217521"</f>
        <v>1552380206217521</v>
      </c>
      <c r="C3019" t="s">
        <v>40</v>
      </c>
      <c r="D3019">
        <v>4.6627460000000003</v>
      </c>
      <c r="E3019">
        <v>0.56295010000000001</v>
      </c>
      <c r="F3019" t="s">
        <v>42</v>
      </c>
      <c r="G3019">
        <v>-191.00460000000001</v>
      </c>
      <c r="H3019" s="1">
        <v>-7.2030949999999996E-7</v>
      </c>
      <c r="I3019">
        <v>190.64510000000001</v>
      </c>
      <c r="J3019">
        <v>-192.369</v>
      </c>
      <c r="K3019">
        <v>1.091869</v>
      </c>
      <c r="L3019">
        <v>207.48490000000001</v>
      </c>
      <c r="M3019">
        <v>0.65726609999999996</v>
      </c>
      <c r="N3019">
        <v>0</v>
      </c>
      <c r="O3019">
        <v>-0.7534518</v>
      </c>
      <c r="P3019">
        <v>0.22326670000000001</v>
      </c>
      <c r="Q3019">
        <v>0.15913369999999999</v>
      </c>
      <c r="R3019">
        <v>-0.96168030000000004</v>
      </c>
      <c r="S3019">
        <v>0.28005980000000003</v>
      </c>
      <c r="T3019">
        <v>-0.19798640000000001</v>
      </c>
      <c r="U3019">
        <v>-3.0922550000000002</v>
      </c>
      <c r="V3019">
        <v>0.4711572</v>
      </c>
      <c r="W3019">
        <v>0.1539189</v>
      </c>
      <c r="X3019">
        <v>0.86851590000000001</v>
      </c>
      <c r="Y3019">
        <v>0.58663799999999999</v>
      </c>
      <c r="Z3019">
        <v>3.4407849999999997E-2</v>
      </c>
      <c r="AA3019">
        <v>0.809118</v>
      </c>
      <c r="AB3019">
        <v>34</v>
      </c>
      <c r="AC3019">
        <v>1.36440000000001</v>
      </c>
      <c r="AD3019">
        <v>-1.0918697203095</v>
      </c>
      <c r="AE3019">
        <v>-16.839799999999901</v>
      </c>
      <c r="AF3019">
        <v>10.000018573204599</v>
      </c>
      <c r="AG3019">
        <v>-1.0918697203095</v>
      </c>
      <c r="AH3019">
        <v>13.530357574385899</v>
      </c>
      <c r="AI3019">
        <v>93.713104951183098</v>
      </c>
      <c r="AJ3019">
        <v>53.532629226420099</v>
      </c>
      <c r="AK3019">
        <v>16.860104597579099</v>
      </c>
      <c r="AL3019">
        <v>81.1458986259059</v>
      </c>
      <c r="AM3019">
        <v>61.520814934686101</v>
      </c>
      <c r="AN3019">
        <v>1.0000000017209201</v>
      </c>
    </row>
    <row r="3020" spans="1:40" x14ac:dyDescent="0.25">
      <c r="A3020" t="str">
        <f>"20190312164326248"</f>
        <v>20190312164326248</v>
      </c>
      <c r="B3020" t="str">
        <f>"1552380206238017"</f>
        <v>1552380206238017</v>
      </c>
      <c r="C3020" t="s">
        <v>40</v>
      </c>
      <c r="D3020">
        <v>4.6925330000000001</v>
      </c>
      <c r="E3020">
        <v>0.5649092</v>
      </c>
      <c r="F3020" t="s">
        <v>42</v>
      </c>
      <c r="G3020">
        <v>-191.0155</v>
      </c>
      <c r="H3020" s="1">
        <v>-5.0378249999999999E-7</v>
      </c>
      <c r="I3020">
        <v>190.1336</v>
      </c>
      <c r="J3020">
        <v>-192.16650000000001</v>
      </c>
      <c r="K3020">
        <v>1.091818</v>
      </c>
      <c r="L3020">
        <v>207.23509999999999</v>
      </c>
      <c r="M3020">
        <v>0.64306669999999999</v>
      </c>
      <c r="N3020">
        <v>0</v>
      </c>
      <c r="O3020">
        <v>-0.76560539999999999</v>
      </c>
      <c r="P3020">
        <v>0.20958360000000001</v>
      </c>
      <c r="Q3020">
        <v>0.1603504</v>
      </c>
      <c r="R3020">
        <v>-0.9645532</v>
      </c>
      <c r="S3020">
        <v>0.24148559999999999</v>
      </c>
      <c r="T3020">
        <v>-0.1948068</v>
      </c>
      <c r="U3020">
        <v>-3.0957490000000001</v>
      </c>
      <c r="V3020">
        <v>0.467194</v>
      </c>
      <c r="W3020">
        <v>0.1553351</v>
      </c>
      <c r="X3020">
        <v>0.87040269999999997</v>
      </c>
      <c r="Y3020">
        <v>0.5815941</v>
      </c>
      <c r="Z3020">
        <v>3.5041530000000001E-2</v>
      </c>
      <c r="AA3020">
        <v>0.81272409999999995</v>
      </c>
      <c r="AB3020">
        <v>34</v>
      </c>
      <c r="AC3020">
        <v>1.15100000000001</v>
      </c>
      <c r="AD3020">
        <v>-1.0918185037824999</v>
      </c>
      <c r="AE3020">
        <v>-17.101499999999898</v>
      </c>
      <c r="AF3020">
        <v>10.076891864634</v>
      </c>
      <c r="AG3020">
        <v>-1.0918185037824999</v>
      </c>
      <c r="AH3020">
        <v>13.7794285445319</v>
      </c>
      <c r="AI3020">
        <v>93.659527035960195</v>
      </c>
      <c r="AJ3020">
        <v>53.822006802792501</v>
      </c>
      <c r="AK3020">
        <v>17.105802182610098</v>
      </c>
      <c r="AL3020">
        <v>81.063768927502593</v>
      </c>
      <c r="AM3020">
        <v>61.775047135872398</v>
      </c>
      <c r="AN3020">
        <v>1.0000000435476399</v>
      </c>
    </row>
    <row r="3021" spans="1:40" x14ac:dyDescent="0.25">
      <c r="A3021" t="str">
        <f>"20190312164326273"</f>
        <v>20190312164326273</v>
      </c>
      <c r="B3021" t="str">
        <f>"1552380206267297"</f>
        <v>1552380206267297</v>
      </c>
      <c r="C3021" t="s">
        <v>40</v>
      </c>
      <c r="D3021">
        <v>4.7502240000000002</v>
      </c>
      <c r="E3021">
        <v>0.5644245</v>
      </c>
      <c r="F3021" t="s">
        <v>42</v>
      </c>
      <c r="G3021">
        <v>-191.45959999999999</v>
      </c>
      <c r="H3021" s="1">
        <v>-3.0156890000000001E-6</v>
      </c>
      <c r="I3021">
        <v>195.71350000000001</v>
      </c>
      <c r="J3021">
        <v>-191.9435</v>
      </c>
      <c r="K3021">
        <v>1.0917730000000001</v>
      </c>
      <c r="L3021">
        <v>206.9485</v>
      </c>
      <c r="M3021">
        <v>0.6266775</v>
      </c>
      <c r="N3021">
        <v>0</v>
      </c>
      <c r="O3021">
        <v>-0.77907590000000004</v>
      </c>
      <c r="P3021">
        <v>0.19347010000000001</v>
      </c>
      <c r="Q3021">
        <v>0.16234089999999901</v>
      </c>
      <c r="R3021">
        <v>-0.96758189999999999</v>
      </c>
      <c r="S3021">
        <v>0.19129940000000001</v>
      </c>
      <c r="T3021">
        <v>-0.29545189999999999</v>
      </c>
      <c r="U3021">
        <v>-3.1178129999999999</v>
      </c>
      <c r="V3021">
        <v>0.46313159999999998</v>
      </c>
      <c r="W3021">
        <v>0.15753349999999999</v>
      </c>
      <c r="X3021">
        <v>0.87217679999999997</v>
      </c>
      <c r="Y3021">
        <v>0.57770219999999906</v>
      </c>
      <c r="Z3021">
        <v>5.4638970000000002E-2</v>
      </c>
      <c r="AA3021">
        <v>0.8144169</v>
      </c>
      <c r="AB3021">
        <v>34</v>
      </c>
      <c r="AC3021">
        <v>0.48390000000000499</v>
      </c>
      <c r="AD3021">
        <v>-1.091776015689</v>
      </c>
      <c r="AE3021">
        <v>-11.2349999999999</v>
      </c>
      <c r="AF3021">
        <v>6.6025462126415402</v>
      </c>
      <c r="AG3021">
        <v>-1.091776015689</v>
      </c>
      <c r="AH3021">
        <v>8.9730209570513502</v>
      </c>
      <c r="AI3021">
        <v>95.597194794533806</v>
      </c>
      <c r="AJ3021">
        <v>53.653547542042098</v>
      </c>
      <c r="AK3021">
        <v>11.193779364190799</v>
      </c>
      <c r="AL3021">
        <v>80.936239615461901</v>
      </c>
      <c r="AM3021">
        <v>62.031404844232</v>
      </c>
      <c r="AN3021">
        <v>1.0000000264995199</v>
      </c>
    </row>
    <row r="3022" spans="1:40" x14ac:dyDescent="0.25">
      <c r="A3022" t="str">
        <f>"20190312164326293"</f>
        <v>20190312164326293</v>
      </c>
      <c r="B3022" t="str">
        <f>"1552380206287792"</f>
        <v>1552380206287792</v>
      </c>
      <c r="C3022" t="s">
        <v>40</v>
      </c>
      <c r="D3022">
        <v>4.6631169999999997</v>
      </c>
      <c r="E3022">
        <v>0.56663050000000004</v>
      </c>
      <c r="F3022" t="s">
        <v>42</v>
      </c>
      <c r="G3022">
        <v>-191.41239999999999</v>
      </c>
      <c r="H3022" s="1">
        <v>-2.8016079999999998E-6</v>
      </c>
      <c r="I3022">
        <v>195.24369999999999</v>
      </c>
      <c r="J3022">
        <v>-191.74510000000001</v>
      </c>
      <c r="K3022">
        <v>1.0917349999999999</v>
      </c>
      <c r="L3022">
        <v>206.68270000000001</v>
      </c>
      <c r="M3022">
        <v>0.61139489999999996</v>
      </c>
      <c r="N3022">
        <v>0</v>
      </c>
      <c r="O3022">
        <v>-0.79112459999999996</v>
      </c>
      <c r="P3022">
        <v>0.17834239999999901</v>
      </c>
      <c r="Q3022">
        <v>0.1638559</v>
      </c>
      <c r="R3022">
        <v>-0.97022940000000002</v>
      </c>
      <c r="S3022">
        <v>0.14161679999999999</v>
      </c>
      <c r="T3022">
        <v>-0.29111809999999899</v>
      </c>
      <c r="U3022">
        <v>-3.1210330000000002</v>
      </c>
      <c r="V3022">
        <v>0.45969139999999997</v>
      </c>
      <c r="W3022">
        <v>0.15922890000000001</v>
      </c>
      <c r="X3022">
        <v>0.87368760000000001</v>
      </c>
      <c r="Y3022">
        <v>0.57481269999999995</v>
      </c>
      <c r="Z3022">
        <v>5.551155E-2</v>
      </c>
      <c r="AA3022">
        <v>0.81640000000000001</v>
      </c>
      <c r="AB3022">
        <v>34</v>
      </c>
      <c r="AC3022">
        <v>0.33270000000001598</v>
      </c>
      <c r="AD3022">
        <v>-1.0917378016079999</v>
      </c>
      <c r="AE3022">
        <v>-11.439</v>
      </c>
      <c r="AF3022">
        <v>6.6708975696298696</v>
      </c>
      <c r="AG3022">
        <v>-1.0917378016079999</v>
      </c>
      <c r="AH3022">
        <v>9.1710907272348301</v>
      </c>
      <c r="AI3022">
        <v>95.498797577537204</v>
      </c>
      <c r="AJ3022">
        <v>53.968485900952402</v>
      </c>
      <c r="AK3022">
        <v>11.3930536266238</v>
      </c>
      <c r="AL3022">
        <v>80.837858557169497</v>
      </c>
      <c r="AM3022">
        <v>62.248864041930197</v>
      </c>
      <c r="AN3022">
        <v>1.0000000241114599</v>
      </c>
    </row>
    <row r="3023" spans="1:40" x14ac:dyDescent="0.25">
      <c r="A3023" t="str">
        <f>"20190312164326317"</f>
        <v>20190312164326317</v>
      </c>
      <c r="B3023" t="str">
        <f>"1552380206307313"</f>
        <v>1552380206307313</v>
      </c>
      <c r="C3023" t="s">
        <v>40</v>
      </c>
      <c r="D3023">
        <v>5.1119680000000001</v>
      </c>
      <c r="E3023">
        <v>0.57085069999999904</v>
      </c>
      <c r="F3023" t="s">
        <v>42</v>
      </c>
      <c r="G3023">
        <v>-191.4562</v>
      </c>
      <c r="H3023" s="1">
        <v>-2.5737270000000001E-6</v>
      </c>
      <c r="I3023">
        <v>194.68530000000001</v>
      </c>
      <c r="J3023">
        <v>-191.53880000000001</v>
      </c>
      <c r="K3023">
        <v>1.091702</v>
      </c>
      <c r="L3023">
        <v>206.39439999999999</v>
      </c>
      <c r="M3023">
        <v>0.5947346</v>
      </c>
      <c r="N3023">
        <v>0</v>
      </c>
      <c r="O3023">
        <v>-0.80372319999999997</v>
      </c>
      <c r="P3023">
        <v>0.16213640000000001</v>
      </c>
      <c r="Q3023">
        <v>0.16462099999999999</v>
      </c>
      <c r="R3023">
        <v>-0.97294009999999997</v>
      </c>
      <c r="S3023">
        <v>7.5286870000000006E-2</v>
      </c>
      <c r="T3023">
        <v>-0.28448299999999999</v>
      </c>
      <c r="U3023">
        <v>-3.1262509999999999</v>
      </c>
      <c r="V3023">
        <v>0.45597520000000002</v>
      </c>
      <c r="W3023">
        <v>0.1601958</v>
      </c>
      <c r="X3023">
        <v>0.87545649999999997</v>
      </c>
      <c r="Y3023">
        <v>0.57510139999999998</v>
      </c>
      <c r="Z3023">
        <v>5.5811649999999997E-2</v>
      </c>
      <c r="AA3023">
        <v>0.81617609999999996</v>
      </c>
      <c r="AB3023">
        <v>34</v>
      </c>
      <c r="AC3023">
        <v>8.2600000000013496E-2</v>
      </c>
      <c r="AD3023">
        <v>-1.0917045737269999</v>
      </c>
      <c r="AE3023">
        <v>-11.7090999999999</v>
      </c>
      <c r="AF3023">
        <v>6.8390742077789204</v>
      </c>
      <c r="AG3023">
        <v>-1.0917045737269999</v>
      </c>
      <c r="AH3023">
        <v>9.37997840612978</v>
      </c>
      <c r="AI3023">
        <v>95.3725041062781</v>
      </c>
      <c r="AJ3023">
        <v>53.903683665661397</v>
      </c>
      <c r="AK3023">
        <v>11.659706248240701</v>
      </c>
      <c r="AL3023">
        <v>80.7817394153994</v>
      </c>
      <c r="AM3023">
        <v>62.487571475665902</v>
      </c>
      <c r="AN3023">
        <v>1.00000008037246</v>
      </c>
    </row>
    <row r="3024" spans="1:40" x14ac:dyDescent="0.25">
      <c r="A3024" t="str">
        <f>"20190312164326343"</f>
        <v>20190312164326343</v>
      </c>
      <c r="B3024" t="str">
        <f>"1552380206337569"</f>
        <v>1552380206337569</v>
      </c>
      <c r="C3024" t="s">
        <v>40</v>
      </c>
      <c r="D3024">
        <v>4.7165489999999997</v>
      </c>
      <c r="E3024">
        <v>0.57349099999999997</v>
      </c>
      <c r="F3024" t="s">
        <v>42</v>
      </c>
      <c r="G3024">
        <v>-191.57079999999999</v>
      </c>
      <c r="H3024" s="1">
        <v>-2.7454220000000002E-6</v>
      </c>
      <c r="I3024">
        <v>195.0145</v>
      </c>
      <c r="J3024">
        <v>-191.316</v>
      </c>
      <c r="K3024">
        <v>1.091669</v>
      </c>
      <c r="L3024">
        <v>206.06800000000001</v>
      </c>
      <c r="M3024">
        <v>0.57577900000000004</v>
      </c>
      <c r="N3024">
        <v>0</v>
      </c>
      <c r="O3024">
        <v>-0.81740829999999998</v>
      </c>
      <c r="P3024">
        <v>0.14458550000000001</v>
      </c>
      <c r="Q3024">
        <v>0.16517319999999999</v>
      </c>
      <c r="R3024">
        <v>-0.97560899999999995</v>
      </c>
      <c r="S3024">
        <v>-8.8195800000000005E-3</v>
      </c>
      <c r="T3024">
        <v>-0.30082439999999999</v>
      </c>
      <c r="U3024">
        <v>-3.1357879999999998</v>
      </c>
      <c r="V3024">
        <v>0.45124629999999999</v>
      </c>
      <c r="W3024">
        <v>0.16100809999999999</v>
      </c>
      <c r="X3024">
        <v>0.87775460000000005</v>
      </c>
      <c r="Y3024">
        <v>0.57789579999999996</v>
      </c>
      <c r="Z3024">
        <v>6.0605249999999999E-2</v>
      </c>
      <c r="AA3024">
        <v>0.81385719999999995</v>
      </c>
      <c r="AB3024">
        <v>34</v>
      </c>
      <c r="AC3024">
        <v>-0.25480000000001701</v>
      </c>
      <c r="AD3024">
        <v>-1.091671745422</v>
      </c>
      <c r="AE3024">
        <v>-11.0534999999999</v>
      </c>
      <c r="AF3024">
        <v>6.5102405493819004</v>
      </c>
      <c r="AG3024">
        <v>-1.091671745422</v>
      </c>
      <c r="AH3024">
        <v>8.8041164126737801</v>
      </c>
      <c r="AI3024">
        <v>95.693510422776697</v>
      </c>
      <c r="AJ3024">
        <v>53.518772250074299</v>
      </c>
      <c r="AK3024">
        <v>11.003974055698199</v>
      </c>
      <c r="AL3024">
        <v>80.734585074872101</v>
      </c>
      <c r="AM3024">
        <v>62.792683005351897</v>
      </c>
      <c r="AN3024">
        <v>0.99999998467522999</v>
      </c>
    </row>
    <row r="3025" spans="1:40" x14ac:dyDescent="0.25">
      <c r="A3025" t="str">
        <f>"20190312164326365"</f>
        <v>20190312164326365</v>
      </c>
      <c r="B3025" t="str">
        <f>"1552380206358065"</f>
        <v>1552380206358065</v>
      </c>
      <c r="C3025" t="s">
        <v>40</v>
      </c>
      <c r="D3025">
        <v>4.798089</v>
      </c>
      <c r="E3025">
        <v>0.57490529999999995</v>
      </c>
      <c r="F3025" t="s">
        <v>42</v>
      </c>
      <c r="G3025">
        <v>-191.62809999999999</v>
      </c>
      <c r="H3025" s="1">
        <v>-2.6636260000000001E-6</v>
      </c>
      <c r="I3025">
        <v>194.78829999999999</v>
      </c>
      <c r="J3025">
        <v>-191.13</v>
      </c>
      <c r="K3025">
        <v>1.0916410000000001</v>
      </c>
      <c r="L3025">
        <v>205.78129999999999</v>
      </c>
      <c r="M3025">
        <v>0.55906619999999996</v>
      </c>
      <c r="N3025">
        <v>0</v>
      </c>
      <c r="O3025">
        <v>-0.82892790000000005</v>
      </c>
      <c r="P3025">
        <v>0.13021079999999999</v>
      </c>
      <c r="Q3025">
        <v>0.16491649999999999</v>
      </c>
      <c r="R3025">
        <v>-0.97767510000000002</v>
      </c>
      <c r="S3025">
        <v>-8.6853029999999998E-2</v>
      </c>
      <c r="T3025">
        <v>-0.30382789999999998</v>
      </c>
      <c r="U3025">
        <v>-3.139297</v>
      </c>
      <c r="V3025">
        <v>0.44635469999999999</v>
      </c>
      <c r="W3025">
        <v>0.16102269999999999</v>
      </c>
      <c r="X3025">
        <v>0.88024950000000002</v>
      </c>
      <c r="Y3025">
        <v>0.58154280000000003</v>
      </c>
      <c r="Z3025">
        <v>6.2601009999999999E-2</v>
      </c>
      <c r="AA3025">
        <v>0.81110360000000004</v>
      </c>
      <c r="AB3025">
        <v>34</v>
      </c>
      <c r="AC3025">
        <v>-0.49809999999999299</v>
      </c>
      <c r="AD3025">
        <v>-1.0916436636260001</v>
      </c>
      <c r="AE3025">
        <v>-10.992999999999901</v>
      </c>
      <c r="AF3025">
        <v>6.4958394524287897</v>
      </c>
      <c r="AG3025">
        <v>-1.0916436636260001</v>
      </c>
      <c r="AH3025">
        <v>8.7492614952296996</v>
      </c>
      <c r="AI3025">
        <v>95.720689956515997</v>
      </c>
      <c r="AJ3025">
        <v>53.408170349341503</v>
      </c>
      <c r="AK3025">
        <v>10.9515840311789</v>
      </c>
      <c r="AL3025">
        <v>80.733737688953696</v>
      </c>
      <c r="AM3025">
        <v>63.111460184975599</v>
      </c>
      <c r="AN3025">
        <v>1.00000000518881</v>
      </c>
    </row>
    <row r="3026" spans="1:40" x14ac:dyDescent="0.25">
      <c r="A3026" t="str">
        <f>"20190312164326390"</f>
        <v>20190312164326390</v>
      </c>
      <c r="B3026" t="str">
        <f>"1552380206377585"</f>
        <v>1552380206377585</v>
      </c>
      <c r="C3026" t="s">
        <v>40</v>
      </c>
      <c r="D3026">
        <v>4.6762499999999996</v>
      </c>
      <c r="E3026">
        <v>0.57500589999999996</v>
      </c>
      <c r="F3026" t="s">
        <v>42</v>
      </c>
      <c r="G3026">
        <v>-191.6653</v>
      </c>
      <c r="H3026" s="1">
        <v>-2.4218490000000001E-6</v>
      </c>
      <c r="I3026">
        <v>194.20160000000001</v>
      </c>
      <c r="J3026">
        <v>-190.93369999999999</v>
      </c>
      <c r="K3026">
        <v>1.091612</v>
      </c>
      <c r="L3026">
        <v>205.4641</v>
      </c>
      <c r="M3026">
        <v>0.54049150000000001</v>
      </c>
      <c r="N3026">
        <v>0</v>
      </c>
      <c r="O3026">
        <v>-0.84115609999999996</v>
      </c>
      <c r="P3026">
        <v>0.1138715</v>
      </c>
      <c r="Q3026">
        <v>0.16423070000000001</v>
      </c>
      <c r="R3026">
        <v>-0.97982749999999996</v>
      </c>
      <c r="S3026">
        <v>-0.14506529999999901</v>
      </c>
      <c r="T3026">
        <v>-0.29579939999999999</v>
      </c>
      <c r="U3026">
        <v>-3.1377259999999998</v>
      </c>
      <c r="V3026">
        <v>0.44149830000000001</v>
      </c>
      <c r="W3026">
        <v>0.16060949999999999</v>
      </c>
      <c r="X3026">
        <v>0.88277050000000001</v>
      </c>
      <c r="Y3026">
        <v>0.57851300000000005</v>
      </c>
      <c r="Z3026">
        <v>6.2755560000000002E-2</v>
      </c>
      <c r="AA3026">
        <v>0.81325550000000002</v>
      </c>
      <c r="AB3026">
        <v>33</v>
      </c>
      <c r="AC3026">
        <v>-0.73160000000001402</v>
      </c>
      <c r="AD3026">
        <v>-1.091614421849</v>
      </c>
      <c r="AE3026">
        <v>-11.2624999999999</v>
      </c>
      <c r="AF3026">
        <v>6.6416339861339804</v>
      </c>
      <c r="AG3026">
        <v>-1.091614421849</v>
      </c>
      <c r="AH3026">
        <v>8.9954226690534806</v>
      </c>
      <c r="AI3026">
        <v>95.575869271140107</v>
      </c>
      <c r="AJ3026">
        <v>53.560255986300497</v>
      </c>
      <c r="AK3026">
        <v>11.234792078480099</v>
      </c>
      <c r="AL3026">
        <v>80.757724068585105</v>
      </c>
      <c r="AM3026">
        <v>63.429079160473002</v>
      </c>
      <c r="AN3026">
        <v>0.99999995803169395</v>
      </c>
    </row>
    <row r="3027" spans="1:40" x14ac:dyDescent="0.25">
      <c r="A3027" t="str">
        <f>"20190312164326417"</f>
        <v>20190312164326417</v>
      </c>
      <c r="B3027" t="str">
        <f>"1552380206407841"</f>
        <v>1552380206407841</v>
      </c>
      <c r="C3027" t="s">
        <v>40</v>
      </c>
      <c r="D3027">
        <v>4.6431879999999897</v>
      </c>
      <c r="E3027">
        <v>0.57453759999999998</v>
      </c>
      <c r="F3027" t="s">
        <v>42</v>
      </c>
      <c r="G3027">
        <v>-191.6841</v>
      </c>
      <c r="H3027" s="1">
        <v>-2.1715310000000001E-6</v>
      </c>
      <c r="I3027">
        <v>193.60650000000001</v>
      </c>
      <c r="J3027">
        <v>-190.71209999999999</v>
      </c>
      <c r="K3027">
        <v>1.0915709999999901</v>
      </c>
      <c r="L3027">
        <v>205.08670000000001</v>
      </c>
      <c r="M3027">
        <v>0.51828129999999994</v>
      </c>
      <c r="N3027">
        <v>0</v>
      </c>
      <c r="O3027">
        <v>-0.85501890000000003</v>
      </c>
      <c r="P3027">
        <v>9.5352039999999999E-2</v>
      </c>
      <c r="Q3027">
        <v>0.16145499999999999</v>
      </c>
      <c r="R3027">
        <v>-0.98226309999999994</v>
      </c>
      <c r="S3027">
        <v>-0.19828799999999999</v>
      </c>
      <c r="T3027">
        <v>-0.28843750000000001</v>
      </c>
      <c r="U3027">
        <v>-3.1331479999999998</v>
      </c>
      <c r="V3027">
        <v>0.4351507</v>
      </c>
      <c r="W3027">
        <v>0.15819359999999999</v>
      </c>
      <c r="X3027">
        <v>0.88635129999999995</v>
      </c>
      <c r="Y3027">
        <v>0.57098919999999997</v>
      </c>
      <c r="Z3027">
        <v>6.3391210000000003E-2</v>
      </c>
      <c r="AA3027">
        <v>0.81850649999999903</v>
      </c>
      <c r="AB3027">
        <v>33</v>
      </c>
      <c r="AC3027">
        <v>-0.97200000000000797</v>
      </c>
      <c r="AD3027">
        <v>-1.09157317153099</v>
      </c>
      <c r="AE3027">
        <v>-11.4801999999999</v>
      </c>
      <c r="AF3027">
        <v>6.7218228099118003</v>
      </c>
      <c r="AG3027">
        <v>-1.09157317153099</v>
      </c>
      <c r="AH3027">
        <v>9.23068348399703</v>
      </c>
      <c r="AI3027">
        <v>95.460573740097203</v>
      </c>
      <c r="AJ3027">
        <v>53.937734239229897</v>
      </c>
      <c r="AK3027">
        <v>11.470830460711699</v>
      </c>
      <c r="AL3027">
        <v>80.897938046917005</v>
      </c>
      <c r="AM3027">
        <v>63.851450831231702</v>
      </c>
      <c r="AN3027">
        <v>0.99999998690156999</v>
      </c>
    </row>
    <row r="3028" spans="1:40" x14ac:dyDescent="0.25">
      <c r="A3028" t="str">
        <f>"20190312164326439"</f>
        <v>20190312164326439</v>
      </c>
      <c r="B3028" t="str">
        <f>"1552380206427361"</f>
        <v>1552380206427361</v>
      </c>
      <c r="C3028" t="s">
        <v>40</v>
      </c>
      <c r="D3028">
        <v>4.7000840000000004</v>
      </c>
      <c r="E3028">
        <v>0.57401329999999995</v>
      </c>
      <c r="F3028" t="s">
        <v>42</v>
      </c>
      <c r="G3028">
        <v>-191.64529999999999</v>
      </c>
      <c r="H3028" s="1">
        <v>-2.105624E-6</v>
      </c>
      <c r="I3028">
        <v>193.4769</v>
      </c>
      <c r="J3028">
        <v>-190.55709999999999</v>
      </c>
      <c r="K3028">
        <v>1.0915520000000001</v>
      </c>
      <c r="L3028">
        <v>204.80799999999999</v>
      </c>
      <c r="M3028">
        <v>0.50181379999999998</v>
      </c>
      <c r="N3028">
        <v>0</v>
      </c>
      <c r="O3028">
        <v>-0.864786099999999</v>
      </c>
      <c r="P3028">
        <v>8.2123849999999998E-2</v>
      </c>
      <c r="Q3028">
        <v>0.15919059999999999</v>
      </c>
      <c r="R3028">
        <v>-0.98382670000000005</v>
      </c>
      <c r="S3028">
        <v>-0.25134279999999998</v>
      </c>
      <c r="T3028">
        <v>-0.29399370000000002</v>
      </c>
      <c r="U3028">
        <v>-3.1268769999999999</v>
      </c>
      <c r="V3028">
        <v>0.43018020000000001</v>
      </c>
      <c r="W3028">
        <v>0.15621019999999999</v>
      </c>
      <c r="X3028">
        <v>0.88912500000000005</v>
      </c>
      <c r="Y3028">
        <v>0.56917680000000004</v>
      </c>
      <c r="Z3028">
        <v>6.6100939999999997E-2</v>
      </c>
      <c r="AA3028">
        <v>0.81955389999999995</v>
      </c>
      <c r="AB3028">
        <v>33</v>
      </c>
      <c r="AC3028">
        <v>-1.0882000000000001</v>
      </c>
      <c r="AD3028">
        <v>-1.0915541056239999</v>
      </c>
      <c r="AE3028">
        <v>-11.3310999999999</v>
      </c>
      <c r="AF3028">
        <v>6.5678569231391899</v>
      </c>
      <c r="AG3028">
        <v>-1.0915541056239999</v>
      </c>
      <c r="AH3028">
        <v>9.1701009046031707</v>
      </c>
      <c r="AI3028">
        <v>95.527479666949603</v>
      </c>
      <c r="AJ3028">
        <v>54.388809129301301</v>
      </c>
      <c r="AK3028">
        <v>11.332210090222301</v>
      </c>
      <c r="AL3028">
        <v>81.013008908267594</v>
      </c>
      <c r="AM3028">
        <v>64.181178878253704</v>
      </c>
      <c r="AN3028">
        <v>0.99999994834053796</v>
      </c>
    </row>
    <row r="3029" spans="1:40" x14ac:dyDescent="0.25">
      <c r="A3029" t="str">
        <f>"20190312164326460"</f>
        <v>20190312164326460</v>
      </c>
      <c r="B3029" t="str">
        <f>"1552380206447857"</f>
        <v>1552380206447857</v>
      </c>
      <c r="C3029" t="s">
        <v>40</v>
      </c>
      <c r="D3029">
        <v>4.6310190000000002</v>
      </c>
      <c r="E3029">
        <v>0.57295439999999997</v>
      </c>
      <c r="F3029" t="s">
        <v>42</v>
      </c>
      <c r="G3029">
        <v>-191.63669999999999</v>
      </c>
      <c r="H3029" s="1">
        <v>-1.9950770000000002E-6</v>
      </c>
      <c r="I3029">
        <v>193.22450000000001</v>
      </c>
      <c r="J3029">
        <v>-190.4032</v>
      </c>
      <c r="K3029">
        <v>1.091539</v>
      </c>
      <c r="L3029">
        <v>204.5181</v>
      </c>
      <c r="M3029">
        <v>0.4846259</v>
      </c>
      <c r="N3029">
        <v>0</v>
      </c>
      <c r="O3029">
        <v>-0.87453309999999995</v>
      </c>
      <c r="P3029">
        <v>6.7604209999999998E-2</v>
      </c>
      <c r="Q3029">
        <v>0.1570291</v>
      </c>
      <c r="R3029">
        <v>-0.98527739999999997</v>
      </c>
      <c r="S3029">
        <v>-0.29090880000000002</v>
      </c>
      <c r="T3029">
        <v>-0.29412329999999998</v>
      </c>
      <c r="U3029">
        <v>-3.1212010000000001</v>
      </c>
      <c r="V3029">
        <v>0.42578539999999998</v>
      </c>
      <c r="W3029">
        <v>0.15430050000000001</v>
      </c>
      <c r="X3029">
        <v>0.89157059999999999</v>
      </c>
      <c r="Y3029">
        <v>0.56335069999999998</v>
      </c>
      <c r="Z3029">
        <v>6.7762379999999997E-2</v>
      </c>
      <c r="AA3029">
        <v>0.82343440000000001</v>
      </c>
      <c r="AB3029">
        <v>33</v>
      </c>
      <c r="AC3029">
        <v>-1.23349999999999</v>
      </c>
      <c r="AD3029">
        <v>-1.0915409950769901</v>
      </c>
      <c r="AE3029">
        <v>-11.2935999999999</v>
      </c>
      <c r="AF3029">
        <v>6.49304805574182</v>
      </c>
      <c r="AG3029">
        <v>-1.0915409950769901</v>
      </c>
      <c r="AH3029">
        <v>9.1954837590924292</v>
      </c>
      <c r="AI3029">
        <v>95.538476147782603</v>
      </c>
      <c r="AJ3029">
        <v>54.773598424826901</v>
      </c>
      <c r="AK3029">
        <v>11.3096443959056</v>
      </c>
      <c r="AL3029">
        <v>81.1237701262298</v>
      </c>
      <c r="AM3029">
        <v>64.472361866897302</v>
      </c>
      <c r="AN3029">
        <v>0.99999999296888498</v>
      </c>
    </row>
    <row r="3030" spans="1:40" x14ac:dyDescent="0.25">
      <c r="A3030" t="str">
        <f>"20190312164326485"</f>
        <v>20190312164326485</v>
      </c>
      <c r="B3030" t="str">
        <f>"1552380206477137"</f>
        <v>1552380206477137</v>
      </c>
      <c r="C3030" t="s">
        <v>40</v>
      </c>
      <c r="D3030">
        <v>4.9645299999999999</v>
      </c>
      <c r="E3030">
        <v>0.57130780000000003</v>
      </c>
      <c r="F3030" t="s">
        <v>42</v>
      </c>
      <c r="G3030">
        <v>-191.6172</v>
      </c>
      <c r="H3030" s="1">
        <v>-1.9068290000000001E-6</v>
      </c>
      <c r="I3030">
        <v>193.03100000000001</v>
      </c>
      <c r="J3030">
        <v>-190.2362</v>
      </c>
      <c r="K3030">
        <v>1.091529</v>
      </c>
      <c r="L3030">
        <v>204.18549999999999</v>
      </c>
      <c r="M3030">
        <v>0.4648349</v>
      </c>
      <c r="N3030">
        <v>0</v>
      </c>
      <c r="O3030">
        <v>-0.88521090000000002</v>
      </c>
      <c r="P3030">
        <v>4.9885930000000002E-2</v>
      </c>
      <c r="Q3030">
        <v>0.15611929999999999</v>
      </c>
      <c r="R3030">
        <v>-0.98647799999999997</v>
      </c>
      <c r="S3030">
        <v>-0.32914729999999998</v>
      </c>
      <c r="T3030">
        <v>-0.29595719999999998</v>
      </c>
      <c r="U3030">
        <v>-3.1145939999999999</v>
      </c>
      <c r="V3030">
        <v>0.42177500000000001</v>
      </c>
      <c r="W3030">
        <v>0.1536216</v>
      </c>
      <c r="X3030">
        <v>0.89359179999999905</v>
      </c>
      <c r="Y3030">
        <v>0.55491259999999998</v>
      </c>
      <c r="Z3030">
        <v>7.0061999999999999E-2</v>
      </c>
      <c r="AA3030">
        <v>0.828953099999999</v>
      </c>
      <c r="AB3030">
        <v>33</v>
      </c>
      <c r="AC3030">
        <v>-1.381</v>
      </c>
      <c r="AD3030">
        <v>-1.091530906829</v>
      </c>
      <c r="AE3030">
        <v>-11.154500000000001</v>
      </c>
      <c r="AF3030">
        <v>6.3486599347751103</v>
      </c>
      <c r="AG3030">
        <v>-1.091530906829</v>
      </c>
      <c r="AH3030">
        <v>9.1474018107311093</v>
      </c>
      <c r="AI3030">
        <v>95.598822018107597</v>
      </c>
      <c r="AJ3030">
        <v>55.237817113851101</v>
      </c>
      <c r="AK3030">
        <v>11.188024069287099</v>
      </c>
      <c r="AL3030">
        <v>81.163137906460506</v>
      </c>
      <c r="AM3030">
        <v>64.732706782734397</v>
      </c>
      <c r="AN3030">
        <v>1.00000002581939</v>
      </c>
    </row>
    <row r="3031" spans="1:40" x14ac:dyDescent="0.25">
      <c r="A3031" t="str">
        <f>"20190312164326506"</f>
        <v>20190312164326506</v>
      </c>
      <c r="B3031" t="str">
        <f>"1552380206497634"</f>
        <v>1552380206497634</v>
      </c>
      <c r="C3031" t="s">
        <v>40</v>
      </c>
      <c r="D3031">
        <v>4.7397850000000004</v>
      </c>
      <c r="E3031">
        <v>0.57037539999999998</v>
      </c>
      <c r="F3031" t="s">
        <v>42</v>
      </c>
      <c r="G3031">
        <v>-191.65989999999999</v>
      </c>
      <c r="H3031" s="1">
        <v>-1.6160540000000001E-6</v>
      </c>
      <c r="I3031">
        <v>192.32660000000001</v>
      </c>
      <c r="J3031">
        <v>-190.0976</v>
      </c>
      <c r="K3031">
        <v>1.091521</v>
      </c>
      <c r="L3031">
        <v>203.89420000000001</v>
      </c>
      <c r="M3031">
        <v>0.44744099999999998</v>
      </c>
      <c r="N3031">
        <v>0</v>
      </c>
      <c r="O3031">
        <v>-0.89412829999999999</v>
      </c>
      <c r="P3031">
        <v>3.448847E-2</v>
      </c>
      <c r="Q3031">
        <v>0.15486730000000001</v>
      </c>
      <c r="R3031">
        <v>-0.98733320000000002</v>
      </c>
      <c r="S3031">
        <v>-0.37278749999999999</v>
      </c>
      <c r="T3031">
        <v>-0.2858154</v>
      </c>
      <c r="U3031">
        <v>-3.1052089999999999</v>
      </c>
      <c r="V3031">
        <v>0.41827209999999998</v>
      </c>
      <c r="W3031">
        <v>0.15257309999999999</v>
      </c>
      <c r="X3031">
        <v>0.89541599999999999</v>
      </c>
      <c r="Y3031">
        <v>0.55044309999999996</v>
      </c>
      <c r="Z3031">
        <v>6.9183830000000002E-2</v>
      </c>
      <c r="AA3031">
        <v>0.832001199999999</v>
      </c>
      <c r="AB3031">
        <v>33</v>
      </c>
      <c r="AC3031">
        <v>-1.56229999999999</v>
      </c>
      <c r="AD3031">
        <v>-1.0915226160539999</v>
      </c>
      <c r="AE3031">
        <v>-11.567600000000001</v>
      </c>
      <c r="AF3031">
        <v>6.5168181878185703</v>
      </c>
      <c r="AG3031">
        <v>-1.0915226160539999</v>
      </c>
      <c r="AH3031">
        <v>9.5618660701781</v>
      </c>
      <c r="AI3031">
        <v>95.388710166899301</v>
      </c>
      <c r="AJ3031">
        <v>55.723906830826998</v>
      </c>
      <c r="AK3031">
        <v>11.6228061869095</v>
      </c>
      <c r="AL3031">
        <v>81.223928583636294</v>
      </c>
      <c r="AM3031">
        <v>64.961498650496495</v>
      </c>
      <c r="AN3031">
        <v>0.99999995676900899</v>
      </c>
    </row>
    <row r="3032" spans="1:40" x14ac:dyDescent="0.25">
      <c r="A3032" t="str">
        <f>"20190312164326528"</f>
        <v>20190312164326528</v>
      </c>
      <c r="B3032" t="str">
        <f>"1552380206518130"</f>
        <v>1552380206518130</v>
      </c>
      <c r="C3032" t="s">
        <v>40</v>
      </c>
      <c r="D3032">
        <v>4.8037140000000003</v>
      </c>
      <c r="E3032">
        <v>0.56946430000000003</v>
      </c>
      <c r="F3032" t="s">
        <v>42</v>
      </c>
      <c r="G3032">
        <v>-191.67840000000001</v>
      </c>
      <c r="H3032" s="1">
        <v>-1.5083729999999999E-6</v>
      </c>
      <c r="I3032">
        <v>192.0642</v>
      </c>
      <c r="J3032">
        <v>-189.9579</v>
      </c>
      <c r="K3032">
        <v>1.0915170000000001</v>
      </c>
      <c r="L3032">
        <v>203.58449999999999</v>
      </c>
      <c r="M3032">
        <v>0.42887330000000001</v>
      </c>
      <c r="N3032">
        <v>0</v>
      </c>
      <c r="O3032">
        <v>-0.90318100000000001</v>
      </c>
      <c r="P3032">
        <v>1.8364129999999999E-2</v>
      </c>
      <c r="Q3032">
        <v>0.15256739999999999</v>
      </c>
      <c r="R3032">
        <v>-0.98812259999999996</v>
      </c>
      <c r="S3032">
        <v>-0.41394039999999999</v>
      </c>
      <c r="T3032">
        <v>-0.28582039999999997</v>
      </c>
      <c r="U3032">
        <v>-3.097763</v>
      </c>
      <c r="V3032">
        <v>0.41443229999999998</v>
      </c>
      <c r="W3032">
        <v>0.15049689999999999</v>
      </c>
      <c r="X3032">
        <v>0.89755030000000002</v>
      </c>
      <c r="Y3032">
        <v>0.54429740000000004</v>
      </c>
      <c r="Z3032">
        <v>7.0719870000000004E-2</v>
      </c>
      <c r="AA3032">
        <v>0.83590609999999999</v>
      </c>
      <c r="AB3032">
        <v>33</v>
      </c>
      <c r="AC3032">
        <v>-1.7205000000000099</v>
      </c>
      <c r="AD3032">
        <v>-1.0915185083729999</v>
      </c>
      <c r="AE3032">
        <v>-11.520299999999899</v>
      </c>
      <c r="AF3032">
        <v>6.4392055912492996</v>
      </c>
      <c r="AG3032">
        <v>-1.0915185083729999</v>
      </c>
      <c r="AH3032">
        <v>9.5844802180190207</v>
      </c>
      <c r="AI3032">
        <v>95.400180327228597</v>
      </c>
      <c r="AJ3032">
        <v>56.1053452607716</v>
      </c>
      <c r="AK3032">
        <v>11.5981482293551</v>
      </c>
      <c r="AL3032">
        <v>81.344276223474907</v>
      </c>
      <c r="AM3032">
        <v>65.215476194665598</v>
      </c>
      <c r="AN3032">
        <v>0.99999999461149502</v>
      </c>
    </row>
    <row r="3033" spans="1:40" x14ac:dyDescent="0.25">
      <c r="A3033" t="str">
        <f>"20190312164326549"</f>
        <v>20190312164326549</v>
      </c>
      <c r="B3033" t="str">
        <f>"1552380206537650"</f>
        <v>1552380206537650</v>
      </c>
      <c r="C3033" t="s">
        <v>40</v>
      </c>
      <c r="D3033">
        <v>4.9023180000000002</v>
      </c>
      <c r="E3033">
        <v>0.56834390000000001</v>
      </c>
      <c r="F3033" t="s">
        <v>42</v>
      </c>
      <c r="G3033">
        <v>-191.67529999999999</v>
      </c>
      <c r="H3033" s="1">
        <v>-1.4750109999999999E-6</v>
      </c>
      <c r="I3033">
        <v>191.98830000000001</v>
      </c>
      <c r="J3033">
        <v>-189.83449999999999</v>
      </c>
      <c r="K3033">
        <v>1.091518</v>
      </c>
      <c r="L3033">
        <v>203.2954</v>
      </c>
      <c r="M3033">
        <v>0.41148230000000002</v>
      </c>
      <c r="N3033">
        <v>0</v>
      </c>
      <c r="O3033">
        <v>-0.91123560000000003</v>
      </c>
      <c r="P3033">
        <v>4.0240700000000003E-3</v>
      </c>
      <c r="Q3033">
        <v>0.15046039999999999</v>
      </c>
      <c r="R3033">
        <v>-0.98860809999999999</v>
      </c>
      <c r="S3033">
        <v>-0.45755000000000001</v>
      </c>
      <c r="T3033">
        <v>-0.2908037</v>
      </c>
      <c r="U3033">
        <v>-3.0894620000000002</v>
      </c>
      <c r="V3033">
        <v>0.41027760000000002</v>
      </c>
      <c r="W3033">
        <v>0.14863080000000001</v>
      </c>
      <c r="X3033">
        <v>0.89976730000000005</v>
      </c>
      <c r="Y3033">
        <v>0.54005630000000004</v>
      </c>
      <c r="Z3033">
        <v>7.3318679999999997E-2</v>
      </c>
      <c r="AA3033">
        <v>0.83842919999999999</v>
      </c>
      <c r="AB3033">
        <v>33</v>
      </c>
      <c r="AC3033">
        <v>-1.8408</v>
      </c>
      <c r="AD3033">
        <v>-1.091519475011</v>
      </c>
      <c r="AE3033">
        <v>-11.307099999999901</v>
      </c>
      <c r="AF3033">
        <v>6.2741668949106204</v>
      </c>
      <c r="AG3033">
        <v>-1.091519475011</v>
      </c>
      <c r="AH3033">
        <v>9.46166553328937</v>
      </c>
      <c r="AI3033">
        <v>95.491798005487098</v>
      </c>
      <c r="AJ3033">
        <v>56.451067915157203</v>
      </c>
      <c r="AK3033">
        <v>11.4052487764781</v>
      </c>
      <c r="AL3033">
        <v>81.4524123247039</v>
      </c>
      <c r="AM3033">
        <v>65.487872891547298</v>
      </c>
      <c r="AN3033">
        <v>1.00000000895984</v>
      </c>
    </row>
    <row r="3034" spans="1:40" x14ac:dyDescent="0.25">
      <c r="A3034" t="str">
        <f>"20190312164326573"</f>
        <v>20190312164326573</v>
      </c>
      <c r="B3034" t="str">
        <f>"1552380206567906"</f>
        <v>1552380206567906</v>
      </c>
      <c r="C3034" t="s">
        <v>40</v>
      </c>
      <c r="D3034">
        <v>4.711957</v>
      </c>
      <c r="E3034">
        <v>0.56663479999999999</v>
      </c>
      <c r="F3034" t="s">
        <v>42</v>
      </c>
      <c r="G3034">
        <v>-191.673</v>
      </c>
      <c r="H3034" s="1">
        <v>-1.4109379999999999E-6</v>
      </c>
      <c r="I3034">
        <v>191.84039999999999</v>
      </c>
      <c r="J3034">
        <v>-189.7012</v>
      </c>
      <c r="K3034">
        <v>1.091526</v>
      </c>
      <c r="L3034">
        <v>202.96440000000001</v>
      </c>
      <c r="M3034">
        <v>0.39149529999999999</v>
      </c>
      <c r="N3034">
        <v>0</v>
      </c>
      <c r="O3034">
        <v>-0.91999929999999996</v>
      </c>
      <c r="P3034">
        <v>-1.287019E-2</v>
      </c>
      <c r="Q3034">
        <v>0.14968799999999999</v>
      </c>
      <c r="R3034">
        <v>-0.98864960000000002</v>
      </c>
      <c r="S3034">
        <v>-0.49453740000000002</v>
      </c>
      <c r="T3034">
        <v>-0.2936068</v>
      </c>
      <c r="U3034">
        <v>-3.0812680000000001</v>
      </c>
      <c r="V3034">
        <v>0.40601159999999997</v>
      </c>
      <c r="W3034">
        <v>0.1481046</v>
      </c>
      <c r="X3034">
        <v>0.90178689999999995</v>
      </c>
      <c r="Y3034">
        <v>0.53180369999999999</v>
      </c>
      <c r="Z3034">
        <v>7.5639919999999999E-2</v>
      </c>
      <c r="AA3034">
        <v>0.84348289999999904</v>
      </c>
      <c r="AB3034">
        <v>33</v>
      </c>
      <c r="AC3034">
        <v>-1.9718</v>
      </c>
      <c r="AD3034">
        <v>-1.091527410938</v>
      </c>
      <c r="AE3034">
        <v>-11.124000000000001</v>
      </c>
      <c r="AF3034">
        <v>6.1130102432936999</v>
      </c>
      <c r="AG3034">
        <v>-1.091527410938</v>
      </c>
      <c r="AH3034">
        <v>9.3761702306839307</v>
      </c>
      <c r="AI3034">
        <v>95.569840933560997</v>
      </c>
      <c r="AJ3034">
        <v>56.896733375454602</v>
      </c>
      <c r="AK3034">
        <v>11.2460168290024</v>
      </c>
      <c r="AL3034">
        <v>81.482898724070907</v>
      </c>
      <c r="AM3034">
        <v>65.761292327035804</v>
      </c>
      <c r="AN3034">
        <v>1.0000000024436599</v>
      </c>
    </row>
    <row r="3035" spans="1:40" x14ac:dyDescent="0.25">
      <c r="A3035" t="str">
        <f>"20190312164326597"</f>
        <v>20190312164326597</v>
      </c>
      <c r="B3035" t="str">
        <f>"1552380206587425"</f>
        <v>1552380206587425</v>
      </c>
      <c r="C3035" t="s">
        <v>40</v>
      </c>
      <c r="D3035">
        <v>4.7018019999999998</v>
      </c>
      <c r="E3035">
        <v>0.56601420000000002</v>
      </c>
      <c r="F3035" t="s">
        <v>42</v>
      </c>
      <c r="G3035">
        <v>-191.7236</v>
      </c>
      <c r="H3035" s="1">
        <v>-1.2153419999999999E-6</v>
      </c>
      <c r="I3035">
        <v>191.35310000000001</v>
      </c>
      <c r="J3035">
        <v>-189.57919999999999</v>
      </c>
      <c r="K3035">
        <v>1.091534</v>
      </c>
      <c r="L3035">
        <v>202.64169999999999</v>
      </c>
      <c r="M3035">
        <v>0.37193720000000002</v>
      </c>
      <c r="N3035">
        <v>0</v>
      </c>
      <c r="O3035">
        <v>-0.92807839999999997</v>
      </c>
      <c r="P3035">
        <v>-2.8936190000000001E-2</v>
      </c>
      <c r="Q3035">
        <v>0.1491017</v>
      </c>
      <c r="R3035">
        <v>-0.98839869999999996</v>
      </c>
      <c r="S3035">
        <v>-0.53492740000000005</v>
      </c>
      <c r="T3035">
        <v>-0.28870859999999998</v>
      </c>
      <c r="U3035">
        <v>-3.0711819999999999</v>
      </c>
      <c r="V3035">
        <v>0.40157330000000002</v>
      </c>
      <c r="W3035">
        <v>0.1477726</v>
      </c>
      <c r="X3035">
        <v>0.90382640000000003</v>
      </c>
      <c r="Y3035">
        <v>0.52510950000000001</v>
      </c>
      <c r="Z3035">
        <v>7.5875280000000003E-2</v>
      </c>
      <c r="AA3035">
        <v>0.8476456</v>
      </c>
      <c r="AB3035">
        <v>33</v>
      </c>
      <c r="AC3035">
        <v>-2.1444000000000099</v>
      </c>
      <c r="AD3035">
        <v>-1.0915352153419999</v>
      </c>
      <c r="AE3035">
        <v>-11.288599999999899</v>
      </c>
      <c r="AF3035">
        <v>6.1344951476375398</v>
      </c>
      <c r="AG3035">
        <v>-1.0915352153419999</v>
      </c>
      <c r="AH3035">
        <v>9.5941588246129808</v>
      </c>
      <c r="AI3035">
        <v>95.475190682483699</v>
      </c>
      <c r="AJ3035">
        <v>57.405194084043799</v>
      </c>
      <c r="AK3035">
        <v>11.4399022458506</v>
      </c>
      <c r="AL3035">
        <v>81.502132617324506</v>
      </c>
      <c r="AM3035">
        <v>66.0442513034142</v>
      </c>
      <c r="AN3035">
        <v>1.0000000089603001</v>
      </c>
    </row>
    <row r="3036" spans="1:40" x14ac:dyDescent="0.25">
      <c r="A3036" t="str">
        <f>"20190312164326618"</f>
        <v>20190312164326618</v>
      </c>
      <c r="B3036" t="str">
        <f>"1552380206607921"</f>
        <v>1552380206607921</v>
      </c>
      <c r="C3036" t="s">
        <v>40</v>
      </c>
      <c r="D3036">
        <v>4.848058</v>
      </c>
      <c r="E3036">
        <v>0.54332309999999995</v>
      </c>
      <c r="F3036" t="s">
        <v>42</v>
      </c>
      <c r="G3036">
        <v>-191.77959999999999</v>
      </c>
      <c r="H3036" s="1">
        <v>-1.0949150000000001E-6</v>
      </c>
      <c r="I3036">
        <v>191.0376</v>
      </c>
      <c r="J3036">
        <v>-189.47</v>
      </c>
      <c r="K3036">
        <v>1.0915520000000001</v>
      </c>
      <c r="L3036">
        <v>202.3331</v>
      </c>
      <c r="M3036">
        <v>0.35316930000000002</v>
      </c>
      <c r="N3036">
        <v>0</v>
      </c>
      <c r="O3036">
        <v>-0.93538120000000002</v>
      </c>
      <c r="P3036">
        <v>-4.3371119999999999E-2</v>
      </c>
      <c r="Q3036">
        <v>0.14803359999999999</v>
      </c>
      <c r="R3036">
        <v>-0.98803090000000005</v>
      </c>
      <c r="S3036">
        <v>-0.58055109999999999</v>
      </c>
      <c r="T3036">
        <v>-0.28799370000000002</v>
      </c>
      <c r="U3036">
        <v>-3.0616460000000001</v>
      </c>
      <c r="V3036">
        <v>0.39656160000000001</v>
      </c>
      <c r="W3036">
        <v>0.14698829999999999</v>
      </c>
      <c r="X3036">
        <v>0.90616410000000003</v>
      </c>
      <c r="Y3036">
        <v>0.5206364</v>
      </c>
      <c r="Z3036">
        <v>7.697097E-2</v>
      </c>
      <c r="AA3036">
        <v>0.85030190000000005</v>
      </c>
      <c r="AB3036">
        <v>33</v>
      </c>
      <c r="AC3036">
        <v>-2.3095999999999801</v>
      </c>
      <c r="AD3036">
        <v>-1.0915530949150001</v>
      </c>
      <c r="AE3036">
        <v>-11.295500000000001</v>
      </c>
      <c r="AF3036">
        <v>6.09596296578568</v>
      </c>
      <c r="AG3036">
        <v>-1.0915530949150001</v>
      </c>
      <c r="AH3036">
        <v>9.6649104297292006</v>
      </c>
      <c r="AI3036">
        <v>95.456672522190701</v>
      </c>
      <c r="AJ3036">
        <v>57.759080758102598</v>
      </c>
      <c r="AK3036">
        <v>11.4787955053628</v>
      </c>
      <c r="AL3036">
        <v>81.547565924356604</v>
      </c>
      <c r="AM3036">
        <v>66.364529689475006</v>
      </c>
      <c r="AN3036">
        <v>1.00000001953013</v>
      </c>
    </row>
    <row r="3037" spans="1:40" x14ac:dyDescent="0.25">
      <c r="A3037" t="str">
        <f>"20190312164326640"</f>
        <v>20190312164326640</v>
      </c>
      <c r="B3037" t="str">
        <f>"1552380206627441"</f>
        <v>1552380206627441</v>
      </c>
      <c r="C3037" t="s">
        <v>40</v>
      </c>
      <c r="D3037">
        <v>4.7343849999999996</v>
      </c>
      <c r="E3037">
        <v>0.54188029999999998</v>
      </c>
      <c r="F3037" t="s">
        <v>42</v>
      </c>
      <c r="G3037">
        <v>-191.7373</v>
      </c>
      <c r="H3037" s="1">
        <v>-3.593585E-6</v>
      </c>
      <c r="I3037">
        <v>186.88839999999999</v>
      </c>
      <c r="J3037">
        <v>-189.3683</v>
      </c>
      <c r="K3037">
        <v>1.091572</v>
      </c>
      <c r="L3037">
        <v>202.02610000000001</v>
      </c>
      <c r="M3037">
        <v>0.33443420000000001</v>
      </c>
      <c r="N3037">
        <v>0</v>
      </c>
      <c r="O3037">
        <v>-0.94224200000000002</v>
      </c>
      <c r="P3037">
        <v>-5.614806E-2</v>
      </c>
      <c r="Q3037">
        <v>0.14686399999999999</v>
      </c>
      <c r="R3037">
        <v>-0.98756189999999999</v>
      </c>
      <c r="S3037">
        <v>-0.44758609999999999</v>
      </c>
      <c r="T3037">
        <v>-0.21548590000000001</v>
      </c>
      <c r="U3037">
        <v>-3.0489809999999999</v>
      </c>
      <c r="V3037">
        <v>0.39018130000000001</v>
      </c>
      <c r="W3037">
        <v>0.1461722</v>
      </c>
      <c r="X3037">
        <v>0.90906120000000001</v>
      </c>
      <c r="Y3037">
        <v>0.46749469999999999</v>
      </c>
      <c r="Z3037">
        <v>5.9950339999999998E-2</v>
      </c>
      <c r="AA3037">
        <v>0.88196070000000004</v>
      </c>
      <c r="AB3037">
        <v>33</v>
      </c>
      <c r="AC3037">
        <v>-2.3690000000000002</v>
      </c>
      <c r="AD3037">
        <v>-1.091575593585</v>
      </c>
      <c r="AE3037">
        <v>-15.137700000000001</v>
      </c>
      <c r="AF3037">
        <v>7.2591099299766002</v>
      </c>
      <c r="AG3037">
        <v>-1.091575593585</v>
      </c>
      <c r="AH3037">
        <v>13.405312071363999</v>
      </c>
      <c r="AI3037">
        <v>94.095628321574793</v>
      </c>
      <c r="AJ3037">
        <v>61.564013941808298</v>
      </c>
      <c r="AK3037">
        <v>15.2836057912605</v>
      </c>
      <c r="AL3037">
        <v>81.594835517741004</v>
      </c>
      <c r="AM3037">
        <v>66.770339305186397</v>
      </c>
      <c r="AN3037">
        <v>1.00000001213398</v>
      </c>
    </row>
    <row r="3038" spans="1:40" x14ac:dyDescent="0.25">
      <c r="A3038" t="str">
        <f>"20190312164326662"</f>
        <v>20190312164326662</v>
      </c>
      <c r="B3038" t="str">
        <f>"1552380206657698"</f>
        <v>1552380206657698</v>
      </c>
      <c r="C3038" t="s">
        <v>40</v>
      </c>
      <c r="D3038">
        <v>4.7321289999999996</v>
      </c>
      <c r="E3038">
        <v>0.53994059999999999</v>
      </c>
      <c r="F3038" t="s">
        <v>42</v>
      </c>
      <c r="G3038">
        <v>-191.72739999999999</v>
      </c>
      <c r="H3038" s="1">
        <v>-3.6090079999999999E-6</v>
      </c>
      <c r="I3038">
        <v>186.93039999999999</v>
      </c>
      <c r="J3038">
        <v>-189.2704</v>
      </c>
      <c r="K3038">
        <v>1.091594</v>
      </c>
      <c r="L3038">
        <v>201.70779999999999</v>
      </c>
      <c r="M3038">
        <v>0.31495600000000001</v>
      </c>
      <c r="N3038">
        <v>0</v>
      </c>
      <c r="O3038">
        <v>-0.94893070000000002</v>
      </c>
      <c r="P3038">
        <v>-6.8348419999999993E-2</v>
      </c>
      <c r="Q3038">
        <v>0.1464453</v>
      </c>
      <c r="R3038">
        <v>-0.98685489999999998</v>
      </c>
      <c r="S3038">
        <v>-0.4756165</v>
      </c>
      <c r="T3038">
        <v>-0.2200752</v>
      </c>
      <c r="U3038">
        <v>-3.043472</v>
      </c>
      <c r="V3038">
        <v>0.38265959999999899</v>
      </c>
      <c r="W3038">
        <v>0.14616370000000001</v>
      </c>
      <c r="X3038">
        <v>0.91225420000000002</v>
      </c>
      <c r="Y3038">
        <v>0.45741150000000003</v>
      </c>
      <c r="Z3038">
        <v>6.2201390000000002E-2</v>
      </c>
      <c r="AA3038">
        <v>0.887077</v>
      </c>
      <c r="AB3038">
        <v>33</v>
      </c>
      <c r="AC3038">
        <v>-2.4569999999999901</v>
      </c>
      <c r="AD3038">
        <v>-1.091597609008</v>
      </c>
      <c r="AE3038">
        <v>-14.7774</v>
      </c>
      <c r="AF3038">
        <v>6.9500139442451401</v>
      </c>
      <c r="AG3038">
        <v>-1.091597609008</v>
      </c>
      <c r="AH3038">
        <v>13.1810994737938</v>
      </c>
      <c r="AI3038">
        <v>94.189773456110004</v>
      </c>
      <c r="AJ3038">
        <v>62.198610345640901</v>
      </c>
      <c r="AK3038">
        <v>14.9410730037451</v>
      </c>
      <c r="AL3038">
        <v>81.5953273867799</v>
      </c>
      <c r="AM3038">
        <v>67.243608423840598</v>
      </c>
      <c r="AN3038">
        <v>0.999999961043744</v>
      </c>
    </row>
    <row r="3039" spans="1:40" x14ac:dyDescent="0.25">
      <c r="A3039" t="str">
        <f>"20190312164326685"</f>
        <v>20190312164326685</v>
      </c>
      <c r="B3039" t="str">
        <f>"1552380206677217"</f>
        <v>1552380206677217</v>
      </c>
      <c r="C3039" t="s">
        <v>40</v>
      </c>
      <c r="D3039">
        <v>4.6967420000000004</v>
      </c>
      <c r="E3039">
        <v>0.53301319999999996</v>
      </c>
      <c r="F3039" t="s">
        <v>42</v>
      </c>
      <c r="G3039">
        <v>-191.71180000000001</v>
      </c>
      <c r="H3039" s="1">
        <v>-3.5389889999999998E-6</v>
      </c>
      <c r="I3039">
        <v>186.77690000000001</v>
      </c>
      <c r="J3039">
        <v>-189.17789999999999</v>
      </c>
      <c r="K3039">
        <v>1.0916079999999999</v>
      </c>
      <c r="L3039">
        <v>201.3818</v>
      </c>
      <c r="M3039">
        <v>0.29494559999999997</v>
      </c>
      <c r="N3039">
        <v>0</v>
      </c>
      <c r="O3039">
        <v>-0.95533959999999996</v>
      </c>
      <c r="P3039">
        <v>-7.9477149999999996E-2</v>
      </c>
      <c r="Q3039">
        <v>0.1456896</v>
      </c>
      <c r="R3039">
        <v>-0.98613300000000004</v>
      </c>
      <c r="S3039">
        <v>-0.49684139999999999</v>
      </c>
      <c r="T3039">
        <v>-0.22214619999999999</v>
      </c>
      <c r="U3039">
        <v>-3.0385279999999999</v>
      </c>
      <c r="V3039">
        <v>0.37373810000000002</v>
      </c>
      <c r="W3039">
        <v>0.14588870000000001</v>
      </c>
      <c r="X3039">
        <v>0.91598930000000001</v>
      </c>
      <c r="Y3039">
        <v>0.44493460000000001</v>
      </c>
      <c r="Z3039">
        <v>6.3781039999999997E-2</v>
      </c>
      <c r="AA3039">
        <v>0.893288999999999</v>
      </c>
      <c r="AB3039">
        <v>32</v>
      </c>
      <c r="AC3039">
        <v>-2.5339000000000098</v>
      </c>
      <c r="AD3039">
        <v>-1.091611538989</v>
      </c>
      <c r="AE3039">
        <v>-14.604899999999899</v>
      </c>
      <c r="AF3039">
        <v>6.69320880083162</v>
      </c>
      <c r="AG3039">
        <v>-1.091611538989</v>
      </c>
      <c r="AH3039">
        <v>13.136237120725699</v>
      </c>
      <c r="AI3039">
        <v>94.234570940162797</v>
      </c>
      <c r="AJ3039">
        <v>63.0001326999759</v>
      </c>
      <c r="AK3039">
        <v>14.7834835372288</v>
      </c>
      <c r="AL3039">
        <v>81.611255111686404</v>
      </c>
      <c r="AM3039">
        <v>67.803764769260795</v>
      </c>
      <c r="AN3039">
        <v>1.0000000389468899</v>
      </c>
    </row>
    <row r="3040" spans="1:40" x14ac:dyDescent="0.25">
      <c r="A3040" t="str">
        <f>"20190312164326707"</f>
        <v>20190312164326707</v>
      </c>
      <c r="B3040" t="str">
        <f>"1552380206697713"</f>
        <v>1552380206697713</v>
      </c>
      <c r="C3040" t="s">
        <v>40</v>
      </c>
      <c r="D3040">
        <v>4.8013240000000001</v>
      </c>
      <c r="E3040">
        <v>0.5326168</v>
      </c>
      <c r="F3040" t="s">
        <v>42</v>
      </c>
      <c r="G3040">
        <v>-191.40280000000001</v>
      </c>
      <c r="H3040" s="1">
        <v>-3.6372999999999999E-6</v>
      </c>
      <c r="I3040">
        <v>187.1977</v>
      </c>
      <c r="J3040">
        <v>-189.09370000000001</v>
      </c>
      <c r="K3040">
        <v>1.091626</v>
      </c>
      <c r="L3040">
        <v>201.059</v>
      </c>
      <c r="M3040">
        <v>0.27507160000000003</v>
      </c>
      <c r="N3040">
        <v>0</v>
      </c>
      <c r="O3040">
        <v>-0.96125039999999995</v>
      </c>
      <c r="P3040">
        <v>-8.9321769999999995E-2</v>
      </c>
      <c r="Q3040">
        <v>0.14394299999999999</v>
      </c>
      <c r="R3040">
        <v>-0.98554679999999995</v>
      </c>
      <c r="S3040">
        <v>-0.4765778</v>
      </c>
      <c r="T3040">
        <v>-0.23382739999999999</v>
      </c>
      <c r="U3040">
        <v>-3.0383</v>
      </c>
      <c r="V3040">
        <v>0.3638361</v>
      </c>
      <c r="W3040">
        <v>0.1446692</v>
      </c>
      <c r="X3040">
        <v>0.92015979999999997</v>
      </c>
      <c r="Y3040">
        <v>0.4203635</v>
      </c>
      <c r="Z3040">
        <v>6.8291270000000001E-2</v>
      </c>
      <c r="AA3040">
        <v>0.90478219999999998</v>
      </c>
      <c r="AB3040">
        <v>32</v>
      </c>
      <c r="AC3040">
        <v>-2.3090999999999999</v>
      </c>
      <c r="AD3040">
        <v>-1.0916296373000001</v>
      </c>
      <c r="AE3040">
        <v>-13.8613</v>
      </c>
      <c r="AF3040">
        <v>5.9972870237448701</v>
      </c>
      <c r="AG3040">
        <v>-1.0916296373000001</v>
      </c>
      <c r="AH3040">
        <v>12.614999795489901</v>
      </c>
      <c r="AI3040">
        <v>94.468699472327998</v>
      </c>
      <c r="AJ3040">
        <v>64.573155322618803</v>
      </c>
      <c r="AK3040">
        <v>14.0106147884531</v>
      </c>
      <c r="AL3040">
        <v>81.6818759918024</v>
      </c>
      <c r="AM3040">
        <v>68.425893019973401</v>
      </c>
      <c r="AN3040">
        <v>0.99999997131394402</v>
      </c>
    </row>
    <row r="3041" spans="1:40" x14ac:dyDescent="0.25">
      <c r="A3041" t="str">
        <f>"20190312164326729"</f>
        <v>20190312164326729</v>
      </c>
      <c r="B3041" t="str">
        <f>"1552380206717234"</f>
        <v>1552380206717234</v>
      </c>
      <c r="C3041" t="s">
        <v>40</v>
      </c>
      <c r="D3041">
        <v>4.8053119999999998</v>
      </c>
      <c r="E3041">
        <v>0.52797780000000005</v>
      </c>
      <c r="F3041" t="s">
        <v>42</v>
      </c>
      <c r="G3041">
        <v>-191.39439999999999</v>
      </c>
      <c r="H3041" s="1">
        <v>-3.6546410000000002E-6</v>
      </c>
      <c r="I3041">
        <v>187.2433</v>
      </c>
      <c r="J3041">
        <v>-189.01820000000001</v>
      </c>
      <c r="K3041">
        <v>1.0916509999999999</v>
      </c>
      <c r="L3041">
        <v>200.7431</v>
      </c>
      <c r="M3041">
        <v>0.25556519999999999</v>
      </c>
      <c r="N3041">
        <v>0</v>
      </c>
      <c r="O3041">
        <v>-0.96662000000000003</v>
      </c>
      <c r="P3041">
        <v>-9.8424460000000005E-2</v>
      </c>
      <c r="Q3041">
        <v>0.1427493</v>
      </c>
      <c r="R3041">
        <v>-0.98485330000000004</v>
      </c>
      <c r="S3041">
        <v>-0.50511170000000005</v>
      </c>
      <c r="T3041">
        <v>-0.23966489999999999</v>
      </c>
      <c r="U3041">
        <v>-3.0332029999999999</v>
      </c>
      <c r="V3041">
        <v>0.35366110000000001</v>
      </c>
      <c r="W3041">
        <v>0.14401140000000001</v>
      </c>
      <c r="X3041">
        <v>0.92422099999999996</v>
      </c>
      <c r="Y3041">
        <v>0.41048319999999999</v>
      </c>
      <c r="Z3041">
        <v>7.0860610000000004E-2</v>
      </c>
      <c r="AA3041">
        <v>0.90911070000000005</v>
      </c>
      <c r="AB3041">
        <v>32</v>
      </c>
      <c r="AC3041">
        <v>-2.3761999999999799</v>
      </c>
      <c r="AD3041">
        <v>-1.091654654641</v>
      </c>
      <c r="AE3041">
        <v>-13.499799999999899</v>
      </c>
      <c r="AF3041">
        <v>5.7116896046026104</v>
      </c>
      <c r="AG3041">
        <v>-1.091654654641</v>
      </c>
      <c r="AH3041">
        <v>12.365540578591199</v>
      </c>
      <c r="AI3041">
        <v>94.582194866105297</v>
      </c>
      <c r="AJ3041">
        <v>65.207607609500897</v>
      </c>
      <c r="AK3041">
        <v>13.664614953415599</v>
      </c>
      <c r="AL3041">
        <v>81.7199638909226</v>
      </c>
      <c r="AM3041">
        <v>69.060221335581105</v>
      </c>
      <c r="AN3041">
        <v>0.99999995691208399</v>
      </c>
    </row>
    <row r="3042" spans="1:40" x14ac:dyDescent="0.25">
      <c r="A3042" t="str">
        <f>"20190312164326751"</f>
        <v>20190312164326751</v>
      </c>
      <c r="B3042" t="str">
        <f>"1552380206747489"</f>
        <v>1552380206747489</v>
      </c>
      <c r="C3042" t="s">
        <v>40</v>
      </c>
      <c r="D3042">
        <v>4.7539309999999997</v>
      </c>
      <c r="E3042">
        <v>0.48915819999999999</v>
      </c>
      <c r="F3042" t="s">
        <v>42</v>
      </c>
      <c r="G3042">
        <v>-191.33920000000001</v>
      </c>
      <c r="H3042" s="1">
        <v>-3.3609330000000001E-6</v>
      </c>
      <c r="I3042">
        <v>186.59289999999999</v>
      </c>
      <c r="J3042">
        <v>-188.9502</v>
      </c>
      <c r="K3042">
        <v>1.091682</v>
      </c>
      <c r="L3042">
        <v>200.43090000000001</v>
      </c>
      <c r="M3042">
        <v>0.23624680000000001</v>
      </c>
      <c r="N3042">
        <v>0</v>
      </c>
      <c r="O3042">
        <v>-0.97152249999999996</v>
      </c>
      <c r="P3042">
        <v>-0.1068181</v>
      </c>
      <c r="Q3042">
        <v>0.1416626</v>
      </c>
      <c r="R3042">
        <v>-0.98413499999999998</v>
      </c>
      <c r="S3042">
        <v>-0.49707030000000002</v>
      </c>
      <c r="T3042">
        <v>-0.23378460000000001</v>
      </c>
      <c r="U3042">
        <v>-3.0303499999999999</v>
      </c>
      <c r="V3042">
        <v>0.34305429999999998</v>
      </c>
      <c r="W3042">
        <v>0.1434801</v>
      </c>
      <c r="X3042">
        <v>0.92829260000000002</v>
      </c>
      <c r="Y3042">
        <v>0.39001720000000001</v>
      </c>
      <c r="Z3042">
        <v>7.0120189999999999E-2</v>
      </c>
      <c r="AA3042">
        <v>0.91813389999999995</v>
      </c>
      <c r="AB3042">
        <v>32</v>
      </c>
      <c r="AC3042">
        <v>-2.38900000000001</v>
      </c>
      <c r="AD3042">
        <v>-1.0916853609329999</v>
      </c>
      <c r="AE3042">
        <v>-13.837999999999999</v>
      </c>
      <c r="AF3042">
        <v>5.55749014643051</v>
      </c>
      <c r="AG3042">
        <v>-1.0916853609329999</v>
      </c>
      <c r="AH3042">
        <v>12.8042863667494</v>
      </c>
      <c r="AI3042">
        <v>94.4720120928894</v>
      </c>
      <c r="AJ3042">
        <v>66.537537862111293</v>
      </c>
      <c r="AK3042">
        <v>14.0009722168381</v>
      </c>
      <c r="AL3042">
        <v>81.750724722410496</v>
      </c>
      <c r="AM3042">
        <v>69.718003322105204</v>
      </c>
      <c r="AN3042">
        <v>0.99999997152962905</v>
      </c>
    </row>
    <row r="3043" spans="1:40" x14ac:dyDescent="0.25">
      <c r="A3043" t="str">
        <f>"20190312164326774"</f>
        <v>20190312164326774</v>
      </c>
      <c r="B3043" t="str">
        <f>"1552380206767985"</f>
        <v>1552380206767985</v>
      </c>
      <c r="C3043" t="s">
        <v>40</v>
      </c>
      <c r="D3043">
        <v>4.7550280000000003</v>
      </c>
      <c r="E3043">
        <v>0.48738619999999999</v>
      </c>
      <c r="F3043" t="s">
        <v>42</v>
      </c>
      <c r="G3043">
        <v>-189.8459</v>
      </c>
      <c r="H3043" s="1">
        <v>-3.4387819999999999E-6</v>
      </c>
      <c r="I3043">
        <v>187.5849</v>
      </c>
      <c r="J3043">
        <v>-188.88380000000001</v>
      </c>
      <c r="K3043">
        <v>1.091717</v>
      </c>
      <c r="L3043">
        <v>200.0917</v>
      </c>
      <c r="M3043">
        <v>0.21522330000000001</v>
      </c>
      <c r="N3043">
        <v>0</v>
      </c>
      <c r="O3043">
        <v>-0.97639540000000002</v>
      </c>
      <c r="P3043">
        <v>-0.1149743</v>
      </c>
      <c r="Q3043">
        <v>0.14050309999999999</v>
      </c>
      <c r="R3043">
        <v>-0.98338179999999997</v>
      </c>
      <c r="S3043">
        <v>-0.21354680000000001</v>
      </c>
      <c r="T3043">
        <v>-0.260272</v>
      </c>
      <c r="U3043">
        <v>-3.0626370000000001</v>
      </c>
      <c r="V3043">
        <v>0.33063290000000001</v>
      </c>
      <c r="W3043">
        <v>0.14296519999999999</v>
      </c>
      <c r="X3043">
        <v>0.93286809999999998</v>
      </c>
      <c r="Y3043">
        <v>0.28242109999999998</v>
      </c>
      <c r="Z3043">
        <v>7.9875130000000003E-2</v>
      </c>
      <c r="AA3043">
        <v>0.95595940000000001</v>
      </c>
      <c r="AB3043">
        <v>32</v>
      </c>
      <c r="AC3043">
        <v>-0.96209999999999196</v>
      </c>
      <c r="AD3043">
        <v>-1.0917204387819901</v>
      </c>
      <c r="AE3043">
        <v>-12.506799999999901</v>
      </c>
      <c r="AF3043">
        <v>3.6044430636874698</v>
      </c>
      <c r="AG3043">
        <v>-1.0917204387819901</v>
      </c>
      <c r="AH3043">
        <v>11.9162401287935</v>
      </c>
      <c r="AI3043">
        <v>95.011576820558403</v>
      </c>
      <c r="AJ3043">
        <v>73.170401275852299</v>
      </c>
      <c r="AK3043">
        <v>12.4972253769742</v>
      </c>
      <c r="AL3043">
        <v>81.780534098792998</v>
      </c>
      <c r="AM3043">
        <v>70.484339516002095</v>
      </c>
      <c r="AN3043">
        <v>1.0000000274855201</v>
      </c>
    </row>
    <row r="3044" spans="1:40" x14ac:dyDescent="0.25">
      <c r="A3044" t="str">
        <f>"20190312164326798"</f>
        <v>20190312164326798</v>
      </c>
      <c r="B3044" t="str">
        <f>"1552380206787506"</f>
        <v>1552380206787506</v>
      </c>
      <c r="C3044" t="s">
        <v>40</v>
      </c>
      <c r="D3044">
        <v>4.7218730000000004</v>
      </c>
      <c r="E3044">
        <v>0.4863962</v>
      </c>
      <c r="F3044" t="s">
        <v>42</v>
      </c>
      <c r="G3044">
        <v>-189.82640000000001</v>
      </c>
      <c r="H3044" s="1">
        <v>-3.3113069999999999E-6</v>
      </c>
      <c r="I3044">
        <v>187.27969999999999</v>
      </c>
      <c r="J3044">
        <v>-188.82589999999999</v>
      </c>
      <c r="K3044">
        <v>1.0917699999999999</v>
      </c>
      <c r="L3044">
        <v>199.7576</v>
      </c>
      <c r="M3044">
        <v>0.19449240000000001</v>
      </c>
      <c r="N3044">
        <v>0</v>
      </c>
      <c r="O3044">
        <v>-0.98073589999999999</v>
      </c>
      <c r="P3044">
        <v>-0.12176430000000001</v>
      </c>
      <c r="Q3044">
        <v>0.13898920000000001</v>
      </c>
      <c r="R3044">
        <v>-0.98277969999999903</v>
      </c>
      <c r="S3044">
        <v>-0.22523499999999999</v>
      </c>
      <c r="T3044">
        <v>-0.260884</v>
      </c>
      <c r="U3044">
        <v>-3.0616300000000001</v>
      </c>
      <c r="V3044">
        <v>0.31721569999999999</v>
      </c>
      <c r="W3044">
        <v>0.1421412</v>
      </c>
      <c r="X3044">
        <v>0.93764069999999999</v>
      </c>
      <c r="Y3044">
        <v>0.26571</v>
      </c>
      <c r="Z3044">
        <v>8.0831920000000002E-2</v>
      </c>
      <c r="AA3044">
        <v>0.96065829999999997</v>
      </c>
      <c r="AB3044">
        <v>32</v>
      </c>
      <c r="AC3044">
        <v>-1.0005000000000099</v>
      </c>
      <c r="AD3044">
        <v>-1.0917733113070001</v>
      </c>
      <c r="AE3044">
        <v>-12.4779</v>
      </c>
      <c r="AF3044">
        <v>3.3829121750783702</v>
      </c>
      <c r="AG3044">
        <v>-1.0917733113070001</v>
      </c>
      <c r="AH3044">
        <v>11.9539902824344</v>
      </c>
      <c r="AI3044">
        <v>95.0222553832199</v>
      </c>
      <c r="AJ3044">
        <v>74.198784586311504</v>
      </c>
      <c r="AK3044">
        <v>12.471325006594601</v>
      </c>
      <c r="AL3044">
        <v>81.828232750676904</v>
      </c>
      <c r="AM3044">
        <v>71.308671969085793</v>
      </c>
      <c r="AN3044">
        <v>1.00000000168021</v>
      </c>
    </row>
    <row r="3045" spans="1:40" x14ac:dyDescent="0.25">
      <c r="A3045" t="str">
        <f>"20190312164326819"</f>
        <v>20190312164326819</v>
      </c>
      <c r="B3045" t="str">
        <f>"1552380206808002"</f>
        <v>1552380206808002</v>
      </c>
      <c r="C3045" t="s">
        <v>40</v>
      </c>
      <c r="D3045">
        <v>4.6976969999999998</v>
      </c>
      <c r="E3045">
        <v>0.48530119999999999</v>
      </c>
      <c r="F3045" t="s">
        <v>42</v>
      </c>
      <c r="G3045">
        <v>-189.8115</v>
      </c>
      <c r="H3045" s="1">
        <v>-3.3004530000000002E-6</v>
      </c>
      <c r="I3045">
        <v>187.2482</v>
      </c>
      <c r="J3045">
        <v>-188.77789999999999</v>
      </c>
      <c r="K3045">
        <v>1.091826</v>
      </c>
      <c r="L3045">
        <v>199.44239999999999</v>
      </c>
      <c r="M3045">
        <v>0.17493889999999901</v>
      </c>
      <c r="N3045">
        <v>0</v>
      </c>
      <c r="O3045">
        <v>-0.98441270000000003</v>
      </c>
      <c r="P3045">
        <v>-0.12693759999999901</v>
      </c>
      <c r="Q3045">
        <v>0.13751429999999901</v>
      </c>
      <c r="R3045">
        <v>-0.98233230000000005</v>
      </c>
      <c r="S3045">
        <v>-0.2411346</v>
      </c>
      <c r="T3045">
        <v>-0.2671075</v>
      </c>
      <c r="U3045">
        <v>-3.0604710000000002</v>
      </c>
      <c r="V3045">
        <v>0.3033882</v>
      </c>
      <c r="W3045">
        <v>0.14136940000000001</v>
      </c>
      <c r="X3045">
        <v>0.94232179999999999</v>
      </c>
      <c r="Y3045">
        <v>0.25147340000000001</v>
      </c>
      <c r="Z3045">
        <v>8.3405729999999997E-2</v>
      </c>
      <c r="AA3045">
        <v>0.96426369999999895</v>
      </c>
      <c r="AB3045">
        <v>32</v>
      </c>
      <c r="AC3045">
        <v>-1.0336000000000001</v>
      </c>
      <c r="AD3045">
        <v>-1.091829300453</v>
      </c>
      <c r="AE3045">
        <v>-12.194199999999899</v>
      </c>
      <c r="AF3045">
        <v>3.1263610443610901</v>
      </c>
      <c r="AG3045">
        <v>-1.091829300453</v>
      </c>
      <c r="AH3045">
        <v>11.7318665832435</v>
      </c>
      <c r="AI3045">
        <v>95.138614937106794</v>
      </c>
      <c r="AJ3045">
        <v>75.078325682749494</v>
      </c>
      <c r="AK3045">
        <v>12.190279657499699</v>
      </c>
      <c r="AL3045">
        <v>81.872905065625503</v>
      </c>
      <c r="AM3045">
        <v>72.153613131861803</v>
      </c>
      <c r="AN3045">
        <v>1.00000004095541</v>
      </c>
    </row>
    <row r="3046" spans="1:40" x14ac:dyDescent="0.25">
      <c r="A3046" t="str">
        <f>"20190312164326841"</f>
        <v>20190312164326841</v>
      </c>
      <c r="B3046" t="str">
        <f>"1552380206837282"</f>
        <v>1552380206837282</v>
      </c>
      <c r="C3046" t="s">
        <v>40</v>
      </c>
      <c r="D3046">
        <v>4.7291059999999998</v>
      </c>
      <c r="E3046">
        <v>0.48416609999999999</v>
      </c>
      <c r="F3046" t="s">
        <v>42</v>
      </c>
      <c r="G3046">
        <v>-189.78790000000001</v>
      </c>
      <c r="H3046" s="1">
        <v>-3.2279219999999998E-6</v>
      </c>
      <c r="I3046">
        <v>187.0694</v>
      </c>
      <c r="J3046">
        <v>-188.73670000000001</v>
      </c>
      <c r="K3046">
        <v>1.0919000000000001</v>
      </c>
      <c r="L3046">
        <v>199.12880000000001</v>
      </c>
      <c r="M3046">
        <v>0.15551609999999999</v>
      </c>
      <c r="N3046">
        <v>0</v>
      </c>
      <c r="O3046">
        <v>-0.98766790000000004</v>
      </c>
      <c r="P3046">
        <v>-0.13288939999999999</v>
      </c>
      <c r="Q3046">
        <v>0.135193799999999</v>
      </c>
      <c r="R3046">
        <v>-0.98186680000000004</v>
      </c>
      <c r="S3046">
        <v>-0.24974060000000001</v>
      </c>
      <c r="T3046">
        <v>-0.2699782</v>
      </c>
      <c r="U3046">
        <v>-3.0594790000000001</v>
      </c>
      <c r="V3046">
        <v>0.29041080000000002</v>
      </c>
      <c r="W3046">
        <v>0.1397052</v>
      </c>
      <c r="X3046">
        <v>0.94664879999999996</v>
      </c>
      <c r="Y3046">
        <v>0.23508770000000001</v>
      </c>
      <c r="Z3046">
        <v>8.4922600000000001E-2</v>
      </c>
      <c r="AA3046">
        <v>0.96825720000000004</v>
      </c>
      <c r="AB3046">
        <v>32</v>
      </c>
      <c r="AC3046">
        <v>-1.0511999999999899</v>
      </c>
      <c r="AD3046">
        <v>-1.091903227922</v>
      </c>
      <c r="AE3046">
        <v>-12.0594</v>
      </c>
      <c r="AF3046">
        <v>2.8906245294758799</v>
      </c>
      <c r="AG3046">
        <v>-1.091903227922</v>
      </c>
      <c r="AH3046">
        <v>11.654300645051901</v>
      </c>
      <c r="AI3046">
        <v>95.195936046715602</v>
      </c>
      <c r="AJ3046">
        <v>76.070000163287304</v>
      </c>
      <c r="AK3046">
        <v>12.0569766672584</v>
      </c>
      <c r="AL3046">
        <v>81.969211894946099</v>
      </c>
      <c r="AM3046">
        <v>72.945151092847098</v>
      </c>
      <c r="AN3046">
        <v>0.99999996310255901</v>
      </c>
    </row>
    <row r="3047" spans="1:40" x14ac:dyDescent="0.25">
      <c r="A3047" t="str">
        <f>"20190312164326863"</f>
        <v>20190312164326863</v>
      </c>
      <c r="B3047" t="str">
        <f>"1552380206857778"</f>
        <v>1552380206857778</v>
      </c>
      <c r="C3047" t="s">
        <v>40</v>
      </c>
      <c r="D3047">
        <v>4.7399620000000002</v>
      </c>
      <c r="E3047">
        <v>0.4837033</v>
      </c>
      <c r="F3047" t="s">
        <v>42</v>
      </c>
      <c r="G3047">
        <v>-189.75389999999999</v>
      </c>
      <c r="H3047" s="1">
        <v>-3.1997250000000001E-6</v>
      </c>
      <c r="I3047">
        <v>186.9896</v>
      </c>
      <c r="J3047">
        <v>-188.7013</v>
      </c>
      <c r="K3047">
        <v>1.092001</v>
      </c>
      <c r="L3047">
        <v>198.80629999999999</v>
      </c>
      <c r="M3047">
        <v>0.1356338</v>
      </c>
      <c r="N3047">
        <v>0</v>
      </c>
      <c r="O3047">
        <v>-0.99059549999999996</v>
      </c>
      <c r="P3047">
        <v>-0.13900460000000001</v>
      </c>
      <c r="Q3047">
        <v>0.1327111</v>
      </c>
      <c r="R3047">
        <v>-0.98135890000000003</v>
      </c>
      <c r="S3047">
        <v>-0.25628659999999998</v>
      </c>
      <c r="T3047">
        <v>-0.27511780000000002</v>
      </c>
      <c r="U3047">
        <v>-3.0585939999999998</v>
      </c>
      <c r="V3047">
        <v>0.27713349999999998</v>
      </c>
      <c r="W3047">
        <v>0.13788909999999999</v>
      </c>
      <c r="X3047">
        <v>0.95088569999999994</v>
      </c>
      <c r="Y3047">
        <v>0.2175829</v>
      </c>
      <c r="Z3047">
        <v>8.7118879999999996E-2</v>
      </c>
      <c r="AA3047">
        <v>0.97214610000000001</v>
      </c>
      <c r="AB3047">
        <v>32</v>
      </c>
      <c r="AC3047">
        <v>-1.05259999999998</v>
      </c>
      <c r="AD3047">
        <v>-1.0920041997250001</v>
      </c>
      <c r="AE3047">
        <v>-11.8166999999999</v>
      </c>
      <c r="AF3047">
        <v>2.6236440026899799</v>
      </c>
      <c r="AG3047">
        <v>-1.0920041997250001</v>
      </c>
      <c r="AH3047">
        <v>11.467514253878299</v>
      </c>
      <c r="AI3047">
        <v>95.303418345072302</v>
      </c>
      <c r="AJ3047">
        <v>77.113138327081401</v>
      </c>
      <c r="AK3047">
        <v>11.814392247931</v>
      </c>
      <c r="AL3047">
        <v>82.074284063050001</v>
      </c>
      <c r="AM3047">
        <v>73.751355477848605</v>
      </c>
      <c r="AN3047">
        <v>0.99999999759277403</v>
      </c>
    </row>
    <row r="3048" spans="1:40" x14ac:dyDescent="0.25">
      <c r="A3048" t="str">
        <f>"20190312164326887"</f>
        <v>20190312164326887</v>
      </c>
      <c r="B3048" t="str">
        <f>"1552380206877297"</f>
        <v>1552380206877297</v>
      </c>
      <c r="C3048" t="s">
        <v>40</v>
      </c>
      <c r="D3048">
        <v>4.7290590000000003</v>
      </c>
      <c r="E3048">
        <v>0.48325839999999998</v>
      </c>
      <c r="F3048" t="s">
        <v>42</v>
      </c>
      <c r="G3048">
        <v>-189.7439</v>
      </c>
      <c r="H3048" s="1">
        <v>-3.205735E-6</v>
      </c>
      <c r="I3048">
        <v>186.99950000000001</v>
      </c>
      <c r="J3048">
        <v>-188.67089999999999</v>
      </c>
      <c r="K3048">
        <v>1.0921369999999999</v>
      </c>
      <c r="L3048">
        <v>198.46260000000001</v>
      </c>
      <c r="M3048">
        <v>0.1145854</v>
      </c>
      <c r="N3048">
        <v>0</v>
      </c>
      <c r="O3048">
        <v>-0.99325180000000002</v>
      </c>
      <c r="P3048">
        <v>-0.14478260000000001</v>
      </c>
      <c r="Q3048">
        <v>0.1297663</v>
      </c>
      <c r="R3048">
        <v>-0.98091779999999995</v>
      </c>
      <c r="S3048">
        <v>-0.269928</v>
      </c>
      <c r="T3048">
        <v>-0.28274050000000001</v>
      </c>
      <c r="U3048">
        <v>-3.0569920000000002</v>
      </c>
      <c r="V3048">
        <v>0.26236969999999998</v>
      </c>
      <c r="W3048">
        <v>0.13567750000000001</v>
      </c>
      <c r="X3048">
        <v>0.95538149999999999</v>
      </c>
      <c r="Y3048">
        <v>0.20117160000000001</v>
      </c>
      <c r="Z3048">
        <v>9.0070140000000007E-2</v>
      </c>
      <c r="AA3048">
        <v>0.9754062</v>
      </c>
      <c r="AB3048">
        <v>32</v>
      </c>
      <c r="AC3048">
        <v>-1.073</v>
      </c>
      <c r="AD3048">
        <v>-1.092140205735</v>
      </c>
      <c r="AE3048">
        <v>-11.463099999999899</v>
      </c>
      <c r="AF3048">
        <v>2.3584231301988701</v>
      </c>
      <c r="AG3048">
        <v>-1.092140205735</v>
      </c>
      <c r="AH3048">
        <v>11.1641438294974</v>
      </c>
      <c r="AI3048">
        <v>95.467315405606399</v>
      </c>
      <c r="AJ3048">
        <v>78.0716545274053</v>
      </c>
      <c r="AK3048">
        <v>11.4626801986161</v>
      </c>
      <c r="AL3048">
        <v>82.202201967004001</v>
      </c>
      <c r="AM3048">
        <v>74.643834385180696</v>
      </c>
      <c r="AN3048">
        <v>1.00000002701329</v>
      </c>
    </row>
    <row r="3049" spans="1:40" x14ac:dyDescent="0.25">
      <c r="A3049" t="str">
        <f>"20190312164326907"</f>
        <v>20190312164326907</v>
      </c>
      <c r="B3049" t="str">
        <f>"1552380206897794"</f>
        <v>1552380206897794</v>
      </c>
      <c r="C3049" t="s">
        <v>40</v>
      </c>
      <c r="D3049">
        <v>4.718496</v>
      </c>
      <c r="E3049">
        <v>0.48292069999999998</v>
      </c>
      <c r="F3049" t="s">
        <v>41</v>
      </c>
      <c r="G3049">
        <v>-188.75909999999999</v>
      </c>
      <c r="H3049">
        <v>1.002273</v>
      </c>
      <c r="I3049">
        <v>197.52070000000001</v>
      </c>
      <c r="J3049">
        <v>-188.65</v>
      </c>
      <c r="K3049">
        <v>1.092265</v>
      </c>
      <c r="L3049">
        <v>198.15989999999999</v>
      </c>
      <c r="M3049">
        <v>9.6181089999999997E-2</v>
      </c>
      <c r="N3049">
        <v>0</v>
      </c>
      <c r="O3049">
        <v>-0.99520410000000004</v>
      </c>
      <c r="P3049">
        <v>-0.14863779999999999</v>
      </c>
      <c r="Q3049">
        <v>0.127056</v>
      </c>
      <c r="R3049">
        <v>-0.98069550000000005</v>
      </c>
      <c r="S3049">
        <v>-0.28573609999999999</v>
      </c>
      <c r="T3049">
        <v>-0.2913809</v>
      </c>
      <c r="U3049">
        <v>-3.0547330000000001</v>
      </c>
      <c r="V3049">
        <v>0.2482586</v>
      </c>
      <c r="W3049">
        <v>0.1336533</v>
      </c>
      <c r="X3049">
        <v>0.95942919999999998</v>
      </c>
      <c r="Y3049">
        <v>0.18806709999999999</v>
      </c>
      <c r="Z3049">
        <v>9.3245309999999998E-2</v>
      </c>
      <c r="AA3049">
        <v>0.97771980000000003</v>
      </c>
      <c r="AB3049">
        <v>32</v>
      </c>
      <c r="AC3049">
        <v>-0.109099999999983</v>
      </c>
      <c r="AD3049">
        <v>-8.9992000000000003E-2</v>
      </c>
      <c r="AE3049">
        <v>-0.639199999999988</v>
      </c>
      <c r="AF3049">
        <v>0.16686882166361899</v>
      </c>
      <c r="AG3049">
        <v>-8.9992000000000003E-2</v>
      </c>
      <c r="AH3049">
        <v>0.61391639018245803</v>
      </c>
      <c r="AI3049">
        <v>98.051326106801696</v>
      </c>
      <c r="AJ3049">
        <v>74.7937920053417</v>
      </c>
      <c r="AK3049">
        <v>0.642524005654314</v>
      </c>
      <c r="AL3049">
        <v>82.319245751961503</v>
      </c>
      <c r="AM3049">
        <v>75.492536681483699</v>
      </c>
      <c r="AN3049">
        <v>0.99999996344374398</v>
      </c>
    </row>
    <row r="3050" spans="1:40" x14ac:dyDescent="0.25">
      <c r="A3050" t="str">
        <f>"20190312164326930"</f>
        <v>20190312164326930</v>
      </c>
      <c r="B3050" t="str">
        <f>"1552380206917313"</f>
        <v>1552380206917313</v>
      </c>
      <c r="C3050" t="s">
        <v>40</v>
      </c>
      <c r="D3050">
        <v>4.7304830000000004</v>
      </c>
      <c r="E3050">
        <v>0.48266439999999999</v>
      </c>
      <c r="F3050" t="s">
        <v>41</v>
      </c>
      <c r="G3050">
        <v>-188.74010000000001</v>
      </c>
      <c r="H3050">
        <v>1.0012209999999999</v>
      </c>
      <c r="I3050">
        <v>197.23560000000001</v>
      </c>
      <c r="J3050">
        <v>-188.63419999999999</v>
      </c>
      <c r="K3050">
        <v>1.0924419999999999</v>
      </c>
      <c r="L3050">
        <v>197.8417</v>
      </c>
      <c r="M3050">
        <v>7.7031719999999998E-2</v>
      </c>
      <c r="N3050">
        <v>0</v>
      </c>
      <c r="O3050">
        <v>-0.9968709</v>
      </c>
      <c r="P3050">
        <v>-0.15371979999999999</v>
      </c>
      <c r="Q3050">
        <v>0.1249437</v>
      </c>
      <c r="R3050">
        <v>-0.98018340000000004</v>
      </c>
      <c r="S3050">
        <v>-0.29714970000000002</v>
      </c>
      <c r="T3050">
        <v>-0.30020049999999998</v>
      </c>
      <c r="U3050">
        <v>-3.052902</v>
      </c>
      <c r="V3050">
        <v>0.2346095</v>
      </c>
      <c r="W3050">
        <v>0.1321996</v>
      </c>
      <c r="X3050">
        <v>0.96305850000000004</v>
      </c>
      <c r="Y3050">
        <v>0.172813299999999</v>
      </c>
      <c r="Z3050">
        <v>9.6461859999999996E-2</v>
      </c>
      <c r="AA3050">
        <v>0.98021970000000003</v>
      </c>
      <c r="AB3050">
        <v>32</v>
      </c>
      <c r="AC3050">
        <v>-0.10590000000001901</v>
      </c>
      <c r="AD3050">
        <v>-9.1220999999999997E-2</v>
      </c>
      <c r="AE3050">
        <v>-0.60609999999999697</v>
      </c>
      <c r="AF3050">
        <v>0.14900624494102799</v>
      </c>
      <c r="AG3050">
        <v>-9.1220999999999997E-2</v>
      </c>
      <c r="AH3050">
        <v>0.58331782733270898</v>
      </c>
      <c r="AI3050">
        <v>98.615788768073898</v>
      </c>
      <c r="AJ3050">
        <v>75.670453374669805</v>
      </c>
      <c r="AK3050">
        <v>0.60892020787339396</v>
      </c>
      <c r="AL3050">
        <v>82.403282765986603</v>
      </c>
      <c r="AM3050">
        <v>76.3089211253576</v>
      </c>
      <c r="AN3050">
        <v>1.00000001307633</v>
      </c>
    </row>
    <row r="3051" spans="1:40" x14ac:dyDescent="0.25">
      <c r="A3051" t="str">
        <f>"20190312164326953"</f>
        <v>20190312164326953</v>
      </c>
      <c r="B3051" t="str">
        <f>"1552380206948128"</f>
        <v>1552380206948128</v>
      </c>
      <c r="C3051" t="s">
        <v>40</v>
      </c>
      <c r="D3051">
        <v>4.709822</v>
      </c>
      <c r="E3051">
        <v>0.48207280000000002</v>
      </c>
      <c r="F3051" t="s">
        <v>41</v>
      </c>
      <c r="G3051">
        <v>-188.72460000000001</v>
      </c>
      <c r="H3051">
        <v>1.0031779999999999</v>
      </c>
      <c r="I3051">
        <v>196.9477</v>
      </c>
      <c r="J3051">
        <v>-188.624</v>
      </c>
      <c r="K3051">
        <v>1.092684</v>
      </c>
      <c r="L3051">
        <v>197.51300000000001</v>
      </c>
      <c r="M3051">
        <v>5.7551449999999997E-2</v>
      </c>
      <c r="N3051">
        <v>0</v>
      </c>
      <c r="O3051">
        <v>-0.99818709999999999</v>
      </c>
      <c r="P3051">
        <v>-0.1594776</v>
      </c>
      <c r="Q3051">
        <v>0.1232958</v>
      </c>
      <c r="R3051">
        <v>-0.97947200000000001</v>
      </c>
      <c r="S3051">
        <v>-0.3086853</v>
      </c>
      <c r="T3051">
        <v>-0.3046567</v>
      </c>
      <c r="U3051">
        <v>-3.0510709999999999</v>
      </c>
      <c r="V3051">
        <v>0.22128110000000001</v>
      </c>
      <c r="W3051">
        <v>0.13119229999999901</v>
      </c>
      <c r="X3051">
        <v>0.96634529999999996</v>
      </c>
      <c r="Y3051">
        <v>0.15727049999999901</v>
      </c>
      <c r="Z3051">
        <v>9.8244109999999996E-2</v>
      </c>
      <c r="AA3051">
        <v>0.98265670000000005</v>
      </c>
      <c r="AB3051">
        <v>32</v>
      </c>
      <c r="AC3051">
        <v>-0.10059999999998499</v>
      </c>
      <c r="AD3051">
        <v>-8.9505999999999794E-2</v>
      </c>
      <c r="AE3051">
        <v>-0.56530000000000702</v>
      </c>
      <c r="AF3051">
        <v>0.129817529318008</v>
      </c>
      <c r="AG3051">
        <v>-8.9505999999999794E-2</v>
      </c>
      <c r="AH3051">
        <v>0.54532088903874998</v>
      </c>
      <c r="AI3051">
        <v>99.071979060781302</v>
      </c>
      <c r="AJ3051">
        <v>76.609568207618395</v>
      </c>
      <c r="AK3051">
        <v>0.56766080274777198</v>
      </c>
      <c r="AL3051">
        <v>82.461503742247402</v>
      </c>
      <c r="AM3051">
        <v>77.102339036450701</v>
      </c>
      <c r="AN3051">
        <v>0.999999991814295</v>
      </c>
    </row>
    <row r="3052" spans="1:40" x14ac:dyDescent="0.25">
      <c r="A3052" t="str">
        <f>"20190312164326976"</f>
        <v>20190312164326976</v>
      </c>
      <c r="B3052" t="str">
        <f>"1552380206967647"</f>
        <v>1552380206967647</v>
      </c>
      <c r="C3052" t="s">
        <v>40</v>
      </c>
      <c r="D3052">
        <v>4.7065539999999997</v>
      </c>
      <c r="E3052">
        <v>0.48176059999999998</v>
      </c>
      <c r="F3052" t="s">
        <v>41</v>
      </c>
      <c r="G3052">
        <v>-188.7133</v>
      </c>
      <c r="H3052">
        <v>1.0065299999999999</v>
      </c>
      <c r="I3052">
        <v>196.6591</v>
      </c>
      <c r="J3052">
        <v>-188.62</v>
      </c>
      <c r="K3052">
        <v>1.093013</v>
      </c>
      <c r="L3052">
        <v>197.16669999999999</v>
      </c>
      <c r="M3052">
        <v>3.7464560000000001E-2</v>
      </c>
      <c r="N3052">
        <v>0</v>
      </c>
      <c r="O3052">
        <v>-0.99914519999999996</v>
      </c>
      <c r="P3052">
        <v>-0.1652835</v>
      </c>
      <c r="Q3052">
        <v>0.1218076</v>
      </c>
      <c r="R3052">
        <v>-0.97869530000000005</v>
      </c>
      <c r="S3052">
        <v>-0.31861879999999998</v>
      </c>
      <c r="T3052">
        <v>-0.30728899999999998</v>
      </c>
      <c r="U3052">
        <v>-3.049652</v>
      </c>
      <c r="V3052">
        <v>0.207368</v>
      </c>
      <c r="W3052">
        <v>0.13036689999999901</v>
      </c>
      <c r="X3052">
        <v>0.96953750000000005</v>
      </c>
      <c r="Y3052">
        <v>0.140590299999999</v>
      </c>
      <c r="Z3052">
        <v>9.9382730000000002E-2</v>
      </c>
      <c r="AA3052">
        <v>0.98506720000000003</v>
      </c>
      <c r="AB3052">
        <v>32</v>
      </c>
      <c r="AC3052">
        <v>-9.3299999999999203E-2</v>
      </c>
      <c r="AD3052">
        <v>-8.6483000000000004E-2</v>
      </c>
      <c r="AE3052">
        <v>-0.50759999999999605</v>
      </c>
      <c r="AF3052">
        <v>0.109188444975223</v>
      </c>
      <c r="AG3052">
        <v>-8.6483000000000004E-2</v>
      </c>
      <c r="AH3052">
        <v>0.48998895039884099</v>
      </c>
      <c r="AI3052">
        <v>99.7746508497126</v>
      </c>
      <c r="AJ3052">
        <v>77.437543515404798</v>
      </c>
      <c r="AK3052">
        <v>0.50940219602791803</v>
      </c>
      <c r="AL3052">
        <v>82.509205353614902</v>
      </c>
      <c r="AM3052">
        <v>77.927282354181798</v>
      </c>
      <c r="AN3052">
        <v>0.99999998997293005</v>
      </c>
    </row>
    <row r="3053" spans="1:40" x14ac:dyDescent="0.25">
      <c r="A3053" t="str">
        <f>"20190312164326999"</f>
        <v>20190312164326999</v>
      </c>
      <c r="B3053" t="str">
        <f>"1552380206987167"</f>
        <v>1552380206987167</v>
      </c>
      <c r="C3053" t="s">
        <v>40</v>
      </c>
      <c r="D3053">
        <v>4.6757010000000001</v>
      </c>
      <c r="E3053">
        <v>0.48140149999999998</v>
      </c>
      <c r="F3053" t="s">
        <v>41</v>
      </c>
      <c r="G3053">
        <v>-188.70769999999999</v>
      </c>
      <c r="H3053">
        <v>1.0118910000000001</v>
      </c>
      <c r="I3053">
        <v>196.36930000000001</v>
      </c>
      <c r="J3053">
        <v>-188.6224</v>
      </c>
      <c r="K3053">
        <v>1.0934379999999999</v>
      </c>
      <c r="L3053">
        <v>196.82239999999999</v>
      </c>
      <c r="M3053">
        <v>1.8073800000000001E-2</v>
      </c>
      <c r="N3053">
        <v>0</v>
      </c>
      <c r="O3053">
        <v>-0.99968679999999999</v>
      </c>
      <c r="P3053">
        <v>-0.16972809999999999</v>
      </c>
      <c r="Q3053">
        <v>0.1213335</v>
      </c>
      <c r="R3053">
        <v>-0.97799340000000001</v>
      </c>
      <c r="S3053">
        <v>-0.3348083</v>
      </c>
      <c r="T3053">
        <v>-0.30986550000000002</v>
      </c>
      <c r="U3053">
        <v>-3.0473020000000002</v>
      </c>
      <c r="V3053">
        <v>0.19276080000000001</v>
      </c>
      <c r="W3053">
        <v>0.13057629999999901</v>
      </c>
      <c r="X3053">
        <v>0.97251900000000002</v>
      </c>
      <c r="Y3053">
        <v>0.1266111</v>
      </c>
      <c r="Z3053">
        <v>0.1004323</v>
      </c>
      <c r="AA3053">
        <v>0.98685509999999999</v>
      </c>
      <c r="AB3053">
        <v>32</v>
      </c>
      <c r="AC3053">
        <v>-8.5299999999989495E-2</v>
      </c>
      <c r="AD3053">
        <v>-8.15469999999998E-2</v>
      </c>
      <c r="AE3053">
        <v>-0.45309999999997702</v>
      </c>
      <c r="AF3053">
        <v>9.0641044128183898E-2</v>
      </c>
      <c r="AG3053">
        <v>-8.15469999999998E-2</v>
      </c>
      <c r="AH3053">
        <v>0.43778888102674002</v>
      </c>
      <c r="AI3053">
        <v>100.33720579758899</v>
      </c>
      <c r="AJ3053">
        <v>78.302594562310503</v>
      </c>
      <c r="AK3053">
        <v>0.45445001533754198</v>
      </c>
      <c r="AL3053">
        <v>82.497104635576207</v>
      </c>
      <c r="AM3053">
        <v>78.788840440005899</v>
      </c>
      <c r="AN3053">
        <v>1.00000005074966</v>
      </c>
    </row>
    <row r="3054" spans="1:40" x14ac:dyDescent="0.25">
      <c r="A3054" t="str">
        <f>"20190312164327020"</f>
        <v>20190312164327020</v>
      </c>
      <c r="B3054" t="str">
        <f>"1552380207007663"</f>
        <v>1552380207007663</v>
      </c>
      <c r="C3054" t="s">
        <v>40</v>
      </c>
      <c r="D3054">
        <v>4.699662</v>
      </c>
      <c r="E3054">
        <v>0.48113899999999998</v>
      </c>
      <c r="F3054" t="s">
        <v>41</v>
      </c>
      <c r="G3054">
        <v>-188.70740000000001</v>
      </c>
      <c r="H3054">
        <v>1.017658</v>
      </c>
      <c r="I3054">
        <v>196.07929999999999</v>
      </c>
      <c r="J3054">
        <v>-188.62950000000001</v>
      </c>
      <c r="K3054">
        <v>1.0938950000000001</v>
      </c>
      <c r="L3054">
        <v>196.53440000000001</v>
      </c>
      <c r="M3054">
        <v>2.456354E-3</v>
      </c>
      <c r="N3054">
        <v>0</v>
      </c>
      <c r="O3054">
        <v>-0.99984980000000001</v>
      </c>
      <c r="P3054">
        <v>-0.17040339999999901</v>
      </c>
      <c r="Q3054">
        <v>0.1199157</v>
      </c>
      <c r="R3054">
        <v>-0.97805059999999999</v>
      </c>
      <c r="S3054">
        <v>-0.34783940000000002</v>
      </c>
      <c r="T3054">
        <v>-0.31018899999999999</v>
      </c>
      <c r="U3054">
        <v>-3.0456240000000001</v>
      </c>
      <c r="V3054">
        <v>0.1779973</v>
      </c>
      <c r="W3054">
        <v>0.12983169999999999</v>
      </c>
      <c r="X3054">
        <v>0.97542850000000003</v>
      </c>
      <c r="Y3054">
        <v>0.11533599999999999</v>
      </c>
      <c r="Z3054">
        <v>0.1006609</v>
      </c>
      <c r="AA3054">
        <v>0.98821300000000001</v>
      </c>
      <c r="AB3054">
        <v>32</v>
      </c>
      <c r="AC3054">
        <v>-7.7899999999999595E-2</v>
      </c>
      <c r="AD3054">
        <v>-7.6237000000000096E-2</v>
      </c>
      <c r="AE3054">
        <v>-0.45510000000001499</v>
      </c>
      <c r="AF3054">
        <v>7.6920714712029506E-2</v>
      </c>
      <c r="AG3054">
        <v>-7.6237000000000096E-2</v>
      </c>
      <c r="AH3054">
        <v>0.44283419071819402</v>
      </c>
      <c r="AI3054">
        <v>99.626724790196207</v>
      </c>
      <c r="AJ3054">
        <v>80.145989398922893</v>
      </c>
      <c r="AK3054">
        <v>0.45588485058164302</v>
      </c>
      <c r="AL3054">
        <v>82.540133239109394</v>
      </c>
      <c r="AM3054">
        <v>79.658388896192307</v>
      </c>
      <c r="AN3054">
        <v>1.0000000338722099</v>
      </c>
    </row>
    <row r="3055" spans="1:40" x14ac:dyDescent="0.25">
      <c r="A3055" t="str">
        <f>"20190312164327042"</f>
        <v>20190312164327042</v>
      </c>
      <c r="B3055" t="str">
        <f>"1552380207037920"</f>
        <v>1552380207037920</v>
      </c>
      <c r="C3055" t="s">
        <v>40</v>
      </c>
      <c r="D3055">
        <v>4.7377770000000003</v>
      </c>
      <c r="E3055">
        <v>0.48097909999999999</v>
      </c>
      <c r="F3055" t="s">
        <v>41</v>
      </c>
      <c r="G3055">
        <v>-188.71420000000001</v>
      </c>
      <c r="H3055">
        <v>1.017614</v>
      </c>
      <c r="I3055">
        <v>195.79239999999999</v>
      </c>
      <c r="J3055">
        <v>-188.64189999999999</v>
      </c>
      <c r="K3055">
        <v>1.094482</v>
      </c>
      <c r="L3055">
        <v>196.2193</v>
      </c>
      <c r="M3055">
        <v>-1.3903820000000001E-2</v>
      </c>
      <c r="N3055">
        <v>0</v>
      </c>
      <c r="O3055">
        <v>-0.99975950000000002</v>
      </c>
      <c r="P3055">
        <v>-0.1723547</v>
      </c>
      <c r="Q3055">
        <v>0.1187631</v>
      </c>
      <c r="R3055">
        <v>-0.97784910000000003</v>
      </c>
      <c r="S3055">
        <v>-0.34767150000000002</v>
      </c>
      <c r="T3055">
        <v>-0.3131467</v>
      </c>
      <c r="U3055">
        <v>-3.0451350000000001</v>
      </c>
      <c r="V3055">
        <v>0.16370870000000001</v>
      </c>
      <c r="W3055">
        <v>0.12931780000000001</v>
      </c>
      <c r="X3055">
        <v>0.97799610000000003</v>
      </c>
      <c r="Y3055">
        <v>9.9020720000000007E-2</v>
      </c>
      <c r="Z3055">
        <v>0.10170269999999999</v>
      </c>
      <c r="AA3055">
        <v>0.98987449999999999</v>
      </c>
      <c r="AB3055">
        <v>32</v>
      </c>
      <c r="AC3055">
        <v>-7.2300000000012604E-2</v>
      </c>
      <c r="AD3055">
        <v>-7.6867999999999895E-2</v>
      </c>
      <c r="AE3055">
        <v>-0.42690000000001699</v>
      </c>
      <c r="AF3055">
        <v>6.4329096569347405E-2</v>
      </c>
      <c r="AG3055">
        <v>-7.6867999999999895E-2</v>
      </c>
      <c r="AH3055">
        <v>0.41479077853038998</v>
      </c>
      <c r="AI3055">
        <v>100.377490813382</v>
      </c>
      <c r="AJ3055">
        <v>81.184340064839304</v>
      </c>
      <c r="AK3055">
        <v>0.42672978808992801</v>
      </c>
      <c r="AL3055">
        <v>82.569827635370004</v>
      </c>
      <c r="AM3055">
        <v>80.497248539686694</v>
      </c>
      <c r="AN3055">
        <v>1.0000000017338699</v>
      </c>
    </row>
    <row r="3056" spans="1:40" x14ac:dyDescent="0.25">
      <c r="A3056" t="str">
        <f>"20190312164327064"</f>
        <v>20190312164327064</v>
      </c>
      <c r="B3056" t="str">
        <f>"1552380207057966"</f>
        <v>1552380207057966</v>
      </c>
      <c r="C3056" t="s">
        <v>40</v>
      </c>
      <c r="D3056">
        <v>4.66988</v>
      </c>
      <c r="E3056">
        <v>0.4809716</v>
      </c>
      <c r="F3056" t="s">
        <v>41</v>
      </c>
      <c r="G3056">
        <v>-188.756</v>
      </c>
      <c r="H3056">
        <v>0.99291410000000002</v>
      </c>
      <c r="I3056">
        <v>195.23269999999999</v>
      </c>
      <c r="J3056">
        <v>-188.6601</v>
      </c>
      <c r="K3056">
        <v>1.095175</v>
      </c>
      <c r="L3056">
        <v>195.8903</v>
      </c>
      <c r="M3056">
        <v>-3.0048950000000001E-2</v>
      </c>
      <c r="N3056">
        <v>0</v>
      </c>
      <c r="O3056">
        <v>-0.99940819999999997</v>
      </c>
      <c r="P3056">
        <v>-0.1744636</v>
      </c>
      <c r="Q3056">
        <v>0.1186046</v>
      </c>
      <c r="R3056">
        <v>-0.97749459999999999</v>
      </c>
      <c r="S3056">
        <v>-0.3518829</v>
      </c>
      <c r="T3056">
        <v>-0.31342300000000001</v>
      </c>
      <c r="U3056">
        <v>-3.0440369999999999</v>
      </c>
      <c r="V3056">
        <v>0.1497552</v>
      </c>
      <c r="W3056">
        <v>0.12975610000000001</v>
      </c>
      <c r="X3056">
        <v>0.98017180000000004</v>
      </c>
      <c r="Y3056">
        <v>8.4329589999999996E-2</v>
      </c>
      <c r="Z3056">
        <v>0.1018348</v>
      </c>
      <c r="AA3056">
        <v>0.99122049999999995</v>
      </c>
      <c r="AB3056">
        <v>31</v>
      </c>
      <c r="AC3056">
        <v>-9.5899999999971897E-2</v>
      </c>
      <c r="AD3056">
        <v>-0.1022609</v>
      </c>
      <c r="AE3056">
        <v>-0.65760000000000196</v>
      </c>
      <c r="AF3056">
        <v>7.4333606246488701E-2</v>
      </c>
      <c r="AG3056">
        <v>-0.1022609</v>
      </c>
      <c r="AH3056">
        <v>0.644914386795721</v>
      </c>
      <c r="AI3056">
        <v>98.951798590482198</v>
      </c>
      <c r="AJ3056">
        <v>83.425033706349396</v>
      </c>
      <c r="AK3056">
        <v>0.65718897052713698</v>
      </c>
      <c r="AL3056">
        <v>82.5445015851694</v>
      </c>
      <c r="AM3056">
        <v>81.313260959347502</v>
      </c>
      <c r="AN3056">
        <v>1.00000001146474</v>
      </c>
    </row>
    <row r="3057" spans="1:40" x14ac:dyDescent="0.25">
      <c r="A3057" t="str">
        <f>"20190312164327087"</f>
        <v>20190312164327087</v>
      </c>
      <c r="B3057" t="str">
        <f>"1552380207077486"</f>
        <v>1552380207077486</v>
      </c>
      <c r="C3057" t="s">
        <v>40</v>
      </c>
      <c r="D3057">
        <v>4.758724</v>
      </c>
      <c r="E3057">
        <v>0.47799819999999998</v>
      </c>
      <c r="F3057" t="s">
        <v>41</v>
      </c>
      <c r="G3057">
        <v>-188.7715</v>
      </c>
      <c r="H3057">
        <v>0.99806280000000003</v>
      </c>
      <c r="I3057">
        <v>194.94470000000001</v>
      </c>
      <c r="J3057">
        <v>-188.68190000000001</v>
      </c>
      <c r="K3057">
        <v>1.095853</v>
      </c>
      <c r="L3057">
        <v>195.5735</v>
      </c>
      <c r="M3057">
        <v>-4.4825080000000003E-2</v>
      </c>
      <c r="N3057">
        <v>0</v>
      </c>
      <c r="O3057">
        <v>-0.99885769999999996</v>
      </c>
      <c r="P3057">
        <v>-0.174665299999999</v>
      </c>
      <c r="Q3057">
        <v>0.1190493</v>
      </c>
      <c r="R3057">
        <v>-0.97740459999999996</v>
      </c>
      <c r="S3057">
        <v>-0.35815429999999998</v>
      </c>
      <c r="T3057">
        <v>-0.31233080000000002</v>
      </c>
      <c r="U3057">
        <v>-3.0430299999999999</v>
      </c>
      <c r="V3057">
        <v>0.13522779999999901</v>
      </c>
      <c r="W3057">
        <v>0.13076879999999999</v>
      </c>
      <c r="X3057">
        <v>0.98214710000000005</v>
      </c>
      <c r="Y3057">
        <v>7.1644749999999993E-2</v>
      </c>
      <c r="Z3057">
        <v>0.10147109999999999</v>
      </c>
      <c r="AA3057">
        <v>0.99225529999999995</v>
      </c>
      <c r="AB3057">
        <v>31</v>
      </c>
      <c r="AC3057">
        <v>-8.9599999999990104E-2</v>
      </c>
      <c r="AD3057">
        <v>-9.7790199999999897E-2</v>
      </c>
      <c r="AE3057">
        <v>-0.62879999999998304</v>
      </c>
      <c r="AF3057">
        <v>5.9900122372475502E-2</v>
      </c>
      <c r="AG3057">
        <v>-9.7790199999999897E-2</v>
      </c>
      <c r="AH3057">
        <v>0.61754588067343297</v>
      </c>
      <c r="AI3057">
        <v>98.956888566780705</v>
      </c>
      <c r="AJ3057">
        <v>84.4598104358885</v>
      </c>
      <c r="AK3057">
        <v>0.62810338529019605</v>
      </c>
      <c r="AL3057">
        <v>82.485979286258797</v>
      </c>
      <c r="AM3057">
        <v>82.160470529565103</v>
      </c>
      <c r="AN3057">
        <v>0.99999998149234404</v>
      </c>
    </row>
    <row r="3058" spans="1:40" x14ac:dyDescent="0.25">
      <c r="A3058" t="str">
        <f>"20190312164327107"</f>
        <v>20190312164327107</v>
      </c>
      <c r="B3058" t="str">
        <f>"1552380207097982"</f>
        <v>1552380207097982</v>
      </c>
      <c r="C3058" t="s">
        <v>40</v>
      </c>
      <c r="D3058">
        <v>4.6669650000000003</v>
      </c>
      <c r="E3058">
        <v>0.47796959999999999</v>
      </c>
      <c r="F3058" t="s">
        <v>41</v>
      </c>
      <c r="G3058">
        <v>-188.78460000000001</v>
      </c>
      <c r="H3058">
        <v>1.0190319999999999</v>
      </c>
      <c r="I3058">
        <v>194.6491</v>
      </c>
      <c r="J3058">
        <v>-188.70689999999999</v>
      </c>
      <c r="K3058">
        <v>1.0965069999999999</v>
      </c>
      <c r="L3058">
        <v>195.26900000000001</v>
      </c>
      <c r="M3058">
        <v>-5.8249450000000001E-2</v>
      </c>
      <c r="N3058">
        <v>0</v>
      </c>
      <c r="O3058">
        <v>-0.99816800000000006</v>
      </c>
      <c r="P3058">
        <v>-0.17379919999999999</v>
      </c>
      <c r="Q3058">
        <v>0.1207688</v>
      </c>
      <c r="R3058">
        <v>-0.97734810000000005</v>
      </c>
      <c r="S3058">
        <v>-0.3373718</v>
      </c>
      <c r="T3058">
        <v>-0.2524439</v>
      </c>
      <c r="U3058">
        <v>-3.0398100000000001</v>
      </c>
      <c r="V3058">
        <v>0.1209813</v>
      </c>
      <c r="W3058">
        <v>0.13300310000000001</v>
      </c>
      <c r="X3058">
        <v>0.98370409999999997</v>
      </c>
      <c r="Y3058">
        <v>5.1843939999999998E-2</v>
      </c>
      <c r="Z3058">
        <v>8.2244730000000002E-2</v>
      </c>
      <c r="AA3058">
        <v>0.9952628</v>
      </c>
      <c r="AB3058">
        <v>31</v>
      </c>
      <c r="AC3058">
        <v>-7.7700000000021405E-2</v>
      </c>
      <c r="AD3058">
        <v>-7.7474999999999905E-2</v>
      </c>
      <c r="AE3058">
        <v>-0.61990000000000101</v>
      </c>
      <c r="AF3058">
        <v>4.0826522780225402E-2</v>
      </c>
      <c r="AG3058">
        <v>-7.7474999999999905E-2</v>
      </c>
      <c r="AH3058">
        <v>0.61393248229062303</v>
      </c>
      <c r="AI3058">
        <v>97.176716939999693</v>
      </c>
      <c r="AJ3058">
        <v>86.195431133096605</v>
      </c>
      <c r="AK3058">
        <v>0.62014697725527201</v>
      </c>
      <c r="AL3058">
        <v>82.356835565598303</v>
      </c>
      <c r="AM3058">
        <v>82.988660634671703</v>
      </c>
      <c r="AN3058">
        <v>1.0000000279580501</v>
      </c>
    </row>
    <row r="3059" spans="1:40" x14ac:dyDescent="0.25">
      <c r="A3059" t="str">
        <f>"20190312164327131"</f>
        <v>20190312164327131</v>
      </c>
      <c r="B3059" t="str">
        <f>"1552380207127265"</f>
        <v>1552380207127265</v>
      </c>
      <c r="C3059" t="s">
        <v>40</v>
      </c>
      <c r="D3059">
        <v>4.6658790000000003</v>
      </c>
      <c r="E3059">
        <v>0.47825820000000002</v>
      </c>
      <c r="F3059" t="s">
        <v>41</v>
      </c>
      <c r="G3059">
        <v>-188.80680000000001</v>
      </c>
      <c r="H3059">
        <v>1.0233950000000001</v>
      </c>
      <c r="I3059">
        <v>194.36250000000001</v>
      </c>
      <c r="J3059">
        <v>-188.73650000000001</v>
      </c>
      <c r="K3059">
        <v>1.097207</v>
      </c>
      <c r="L3059">
        <v>194.9539</v>
      </c>
      <c r="M3059">
        <v>-7.1253410000000003E-2</v>
      </c>
      <c r="N3059">
        <v>0</v>
      </c>
      <c r="O3059">
        <v>-0.99732710000000002</v>
      </c>
      <c r="P3059">
        <v>-0.17410419999999999</v>
      </c>
      <c r="Q3059">
        <v>0.12311179999999999</v>
      </c>
      <c r="R3059">
        <v>-0.97700140000000002</v>
      </c>
      <c r="S3059">
        <v>-0.33502199999999999</v>
      </c>
      <c r="T3059">
        <v>-0.24510119999999999</v>
      </c>
      <c r="U3059">
        <v>-3.040222</v>
      </c>
      <c r="V3059">
        <v>0.10831060000000001</v>
      </c>
      <c r="W3059">
        <v>0.13576489999999999</v>
      </c>
      <c r="X3059">
        <v>0.98480290000000004</v>
      </c>
      <c r="Y3059">
        <v>3.807108E-2</v>
      </c>
      <c r="Z3059">
        <v>7.9784510000000003E-2</v>
      </c>
      <c r="AA3059">
        <v>0.99608490000000005</v>
      </c>
      <c r="AB3059">
        <v>31</v>
      </c>
      <c r="AC3059">
        <v>-7.0300000000003096E-2</v>
      </c>
      <c r="AD3059">
        <v>-7.3811999999999905E-2</v>
      </c>
      <c r="AE3059">
        <v>-0.59139999999999204</v>
      </c>
      <c r="AF3059">
        <v>2.7553263772992099E-2</v>
      </c>
      <c r="AG3059">
        <v>-7.3811999999999905E-2</v>
      </c>
      <c r="AH3059">
        <v>0.58590652619683903</v>
      </c>
      <c r="AI3059">
        <v>97.172403286166499</v>
      </c>
      <c r="AJ3059">
        <v>87.307550887241007</v>
      </c>
      <c r="AK3059">
        <v>0.59118004967064997</v>
      </c>
      <c r="AL3059">
        <v>82.197147516283096</v>
      </c>
      <c r="AM3059">
        <v>83.723720078210405</v>
      </c>
      <c r="AN3059">
        <v>1.0000000229963799</v>
      </c>
    </row>
    <row r="3060" spans="1:40" x14ac:dyDescent="0.25">
      <c r="A3060" t="str">
        <f>"20190312164327153"</f>
        <v>20190312164327153</v>
      </c>
      <c r="B3060" t="str">
        <f>"1552380207147317"</f>
        <v>1552380207147317</v>
      </c>
      <c r="C3060" t="s">
        <v>40</v>
      </c>
      <c r="D3060">
        <v>4.7664099999999996</v>
      </c>
      <c r="E3060">
        <v>0.47825089999999998</v>
      </c>
      <c r="F3060" t="s">
        <v>41</v>
      </c>
      <c r="G3060">
        <v>-188.83359999999999</v>
      </c>
      <c r="H3060">
        <v>1.0285879999999901</v>
      </c>
      <c r="I3060">
        <v>194.0762</v>
      </c>
      <c r="J3060">
        <v>-188.77119999999999</v>
      </c>
      <c r="K3060">
        <v>1.0979699999999999</v>
      </c>
      <c r="L3060">
        <v>194.62610000000001</v>
      </c>
      <c r="M3060">
        <v>-8.3794279999999999E-2</v>
      </c>
      <c r="N3060">
        <v>0</v>
      </c>
      <c r="O3060">
        <v>-0.99635490000000004</v>
      </c>
      <c r="P3060">
        <v>-0.1743635</v>
      </c>
      <c r="Q3060">
        <v>0.1243657</v>
      </c>
      <c r="R3060">
        <v>-0.97679629999999995</v>
      </c>
      <c r="S3060">
        <v>-0.33602910000000002</v>
      </c>
      <c r="T3060">
        <v>-0.2376692</v>
      </c>
      <c r="U3060">
        <v>-3.0407099999999998</v>
      </c>
      <c r="V3060">
        <v>9.5957500000000001E-2</v>
      </c>
      <c r="W3060">
        <v>0.13739029999999999</v>
      </c>
      <c r="X3060">
        <v>0.98585800000000001</v>
      </c>
      <c r="Y3060">
        <v>2.5827559999999999E-2</v>
      </c>
      <c r="Z3060">
        <v>7.7268340000000005E-2</v>
      </c>
      <c r="AA3060">
        <v>0.99667570000000005</v>
      </c>
      <c r="AB3060">
        <v>31</v>
      </c>
      <c r="AC3060">
        <v>-6.2399999999996597E-2</v>
      </c>
      <c r="AD3060">
        <v>-6.9382000000000194E-2</v>
      </c>
      <c r="AE3060">
        <v>-0.54990000000000705</v>
      </c>
      <c r="AF3060">
        <v>1.5847058832269501E-2</v>
      </c>
      <c r="AG3060">
        <v>-6.9382000000000194E-2</v>
      </c>
      <c r="AH3060">
        <v>0.54463495153756303</v>
      </c>
      <c r="AI3060">
        <v>97.256866873404107</v>
      </c>
      <c r="AJ3060">
        <v>88.333354327464207</v>
      </c>
      <c r="AK3060">
        <v>0.54926516513789303</v>
      </c>
      <c r="AL3060">
        <v>82.103137568730105</v>
      </c>
      <c r="AM3060">
        <v>84.440684756991601</v>
      </c>
      <c r="AN3060">
        <v>0.99999996625216903</v>
      </c>
    </row>
    <row r="3061" spans="1:40" x14ac:dyDescent="0.25">
      <c r="A3061" t="str">
        <f>"20190312164327177"</f>
        <v>20190312164327177</v>
      </c>
      <c r="B3061" t="str">
        <f>"1552380207167812"</f>
        <v>1552380207167812</v>
      </c>
      <c r="C3061" t="s">
        <v>40</v>
      </c>
      <c r="D3061">
        <v>4.7639820000000004</v>
      </c>
      <c r="E3061">
        <v>0.47828619999999999</v>
      </c>
      <c r="F3061" t="s">
        <v>41</v>
      </c>
      <c r="G3061">
        <v>-188.8638</v>
      </c>
      <c r="H3061">
        <v>1.033604</v>
      </c>
      <c r="I3061">
        <v>193.78790000000001</v>
      </c>
      <c r="J3061">
        <v>-188.81</v>
      </c>
      <c r="K3061">
        <v>1.0987910000000001</v>
      </c>
      <c r="L3061">
        <v>194.29320000000001</v>
      </c>
      <c r="M3061">
        <v>-9.5484810000000003E-2</v>
      </c>
      <c r="N3061">
        <v>0</v>
      </c>
      <c r="O3061">
        <v>-0.99530569999999896</v>
      </c>
      <c r="P3061">
        <v>-0.1804847</v>
      </c>
      <c r="Q3061">
        <v>0.12437230000000001</v>
      </c>
      <c r="R3061">
        <v>-0.97568259999999996</v>
      </c>
      <c r="S3061">
        <v>-0.3357697</v>
      </c>
      <c r="T3061">
        <v>-0.23342450000000001</v>
      </c>
      <c r="U3061">
        <v>-3.0410309999999998</v>
      </c>
      <c r="V3061">
        <v>9.0283810000000006E-2</v>
      </c>
      <c r="W3061">
        <v>0.13754379999999999</v>
      </c>
      <c r="X3061">
        <v>0.98637240000000004</v>
      </c>
      <c r="Y3061">
        <v>1.4007729999999999E-2</v>
      </c>
      <c r="Z3061">
        <v>7.5777910000000004E-2</v>
      </c>
      <c r="AA3061">
        <v>0.99702630000000003</v>
      </c>
      <c r="AB3061">
        <v>31</v>
      </c>
      <c r="AC3061">
        <v>-5.37999999999954E-2</v>
      </c>
      <c r="AD3061">
        <v>-6.5186999999999801E-2</v>
      </c>
      <c r="AE3061">
        <v>-0.50530000000000497</v>
      </c>
      <c r="AF3061">
        <v>5.2138330375991002E-3</v>
      </c>
      <c r="AG3061">
        <v>-6.5186999999999801E-2</v>
      </c>
      <c r="AH3061">
        <v>0.49990191966240199</v>
      </c>
      <c r="AI3061">
        <v>97.429025165304196</v>
      </c>
      <c r="AJ3061">
        <v>89.402443188882501</v>
      </c>
      <c r="AK3061">
        <v>0.50416114319342298</v>
      </c>
      <c r="AL3061">
        <v>82.094258538226299</v>
      </c>
      <c r="AM3061">
        <v>84.770223290790696</v>
      </c>
      <c r="AN3061">
        <v>0.99999998737415796</v>
      </c>
    </row>
    <row r="3062" spans="1:40" x14ac:dyDescent="0.25">
      <c r="A3062" t="str">
        <f>"20190312164327199"</f>
        <v>20190312164327199</v>
      </c>
      <c r="B3062" t="str">
        <f>"1552380207187331"</f>
        <v>1552380207187331</v>
      </c>
      <c r="C3062" t="s">
        <v>40</v>
      </c>
      <c r="D3062">
        <v>4.8876299999999997</v>
      </c>
      <c r="E3062">
        <v>0.47865609999999997</v>
      </c>
      <c r="F3062" t="s">
        <v>42</v>
      </c>
      <c r="G3062">
        <v>-190.48410000000001</v>
      </c>
      <c r="H3062" s="1">
        <v>-3.0506429999999999E-7</v>
      </c>
      <c r="I3062">
        <v>180</v>
      </c>
      <c r="J3062">
        <v>-188.84889999999999</v>
      </c>
      <c r="K3062">
        <v>1.0996159999999999</v>
      </c>
      <c r="L3062">
        <v>193.98519999999999</v>
      </c>
      <c r="M3062">
        <v>-0.1053139</v>
      </c>
      <c r="N3062">
        <v>0</v>
      </c>
      <c r="O3062">
        <v>-0.99431659999999999</v>
      </c>
      <c r="P3062">
        <v>-0.1798167</v>
      </c>
      <c r="Q3062">
        <v>0.12592790000000001</v>
      </c>
      <c r="R3062">
        <v>-0.97560670000000005</v>
      </c>
      <c r="S3062">
        <v>-0.35589599999999999</v>
      </c>
      <c r="T3062">
        <v>-0.2336</v>
      </c>
      <c r="U3062">
        <v>-3.0386959999999998</v>
      </c>
      <c r="V3062">
        <v>7.9628740000000003E-2</v>
      </c>
      <c r="W3062">
        <v>0.13937279999999999</v>
      </c>
      <c r="X3062">
        <v>0.98703320000000005</v>
      </c>
      <c r="Y3062">
        <v>1.073139E-2</v>
      </c>
      <c r="Z3062">
        <v>7.5752429999999996E-2</v>
      </c>
      <c r="AA3062">
        <v>0.99706890000000004</v>
      </c>
      <c r="AB3062">
        <v>31</v>
      </c>
      <c r="AC3062">
        <v>-1.63520000000002</v>
      </c>
      <c r="AD3062">
        <v>-1.0996163050643</v>
      </c>
      <c r="AE3062">
        <v>-13.985199999999899</v>
      </c>
      <c r="AF3062">
        <v>0.152161180256179</v>
      </c>
      <c r="AG3062">
        <v>-1.0996163050643</v>
      </c>
      <c r="AH3062">
        <v>13.994290902296701</v>
      </c>
      <c r="AI3062">
        <v>94.492581000683799</v>
      </c>
      <c r="AJ3062">
        <v>89.377042398729301</v>
      </c>
      <c r="AK3062">
        <v>14.0382508490639</v>
      </c>
      <c r="AL3062">
        <v>81.988445685516794</v>
      </c>
      <c r="AM3062">
        <v>85.387661524624505</v>
      </c>
      <c r="AN3062">
        <v>1.0000000257580299</v>
      </c>
    </row>
    <row r="3063" spans="1:40" x14ac:dyDescent="0.25">
      <c r="A3063" t="str">
        <f>"20190312164327218"</f>
        <v>20190312164327218</v>
      </c>
      <c r="B3063" t="str">
        <f>"1552380207207828"</f>
        <v>1552380207207828</v>
      </c>
      <c r="C3063" t="s">
        <v>40</v>
      </c>
      <c r="D3063">
        <v>4.7795730000000001</v>
      </c>
      <c r="E3063">
        <v>0.52360450000000003</v>
      </c>
      <c r="F3063" t="s">
        <v>42</v>
      </c>
      <c r="G3063">
        <v>-190.50110000000001</v>
      </c>
      <c r="H3063" s="1">
        <v>-2.4211609999999999E-7</v>
      </c>
      <c r="I3063">
        <v>179.84270000000001</v>
      </c>
      <c r="J3063">
        <v>-188.886</v>
      </c>
      <c r="K3063">
        <v>1.100427</v>
      </c>
      <c r="L3063">
        <v>193.7079</v>
      </c>
      <c r="M3063">
        <v>-0.11328770000000001</v>
      </c>
      <c r="N3063">
        <v>0</v>
      </c>
      <c r="O3063">
        <v>-0.99344209999999999</v>
      </c>
      <c r="P3063">
        <v>-0.17874970000000001</v>
      </c>
      <c r="Q3063">
        <v>0.12811510000000001</v>
      </c>
      <c r="R3063">
        <v>-0.975518</v>
      </c>
      <c r="S3063">
        <v>-0.35516360000000002</v>
      </c>
      <c r="T3063">
        <v>-0.23637340000000001</v>
      </c>
      <c r="U3063">
        <v>-3.0400700000000001</v>
      </c>
      <c r="V3063">
        <v>7.0428389999999993E-2</v>
      </c>
      <c r="W3063">
        <v>0.14177200000000001</v>
      </c>
      <c r="X3063">
        <v>0.98739080000000001</v>
      </c>
      <c r="Y3063">
        <v>2.4127860000000001E-3</v>
      </c>
      <c r="Z3063">
        <v>7.6514319999999997E-2</v>
      </c>
      <c r="AA3063">
        <v>0.99706550000000005</v>
      </c>
      <c r="AB3063">
        <v>31</v>
      </c>
      <c r="AC3063">
        <v>-1.61510000000001</v>
      </c>
      <c r="AD3063">
        <v>-1.1004272421161001</v>
      </c>
      <c r="AE3063">
        <v>-13.8651999999999</v>
      </c>
      <c r="AF3063">
        <v>3.3547261817731398E-2</v>
      </c>
      <c r="AG3063">
        <v>-1.1004272421161001</v>
      </c>
      <c r="AH3063">
        <v>13.872696367191599</v>
      </c>
      <c r="AI3063">
        <v>94.535377157386804</v>
      </c>
      <c r="AJ3063">
        <v>89.861446346204303</v>
      </c>
      <c r="AK3063">
        <v>13.9163130904079</v>
      </c>
      <c r="AL3063">
        <v>81.849602960721199</v>
      </c>
      <c r="AM3063">
        <v>85.9201290871693</v>
      </c>
      <c r="AN3063">
        <v>1.0000000250133101</v>
      </c>
    </row>
    <row r="3064" spans="1:40" x14ac:dyDescent="0.25">
      <c r="A3064" t="str">
        <f>"20190312164327241"</f>
        <v>20190312164327241</v>
      </c>
      <c r="B3064" t="str">
        <f>"1552380207238083"</f>
        <v>1552380207238083</v>
      </c>
      <c r="C3064" t="s">
        <v>40</v>
      </c>
      <c r="D3064">
        <v>4.7304320000000004</v>
      </c>
      <c r="E3064">
        <v>0.52900480000000005</v>
      </c>
      <c r="F3064" t="s">
        <v>41</v>
      </c>
      <c r="G3064">
        <v>-189.06290000000001</v>
      </c>
      <c r="H3064">
        <v>1.0382049999999901</v>
      </c>
      <c r="I3064">
        <v>192.95500000000001</v>
      </c>
      <c r="J3064">
        <v>-188.9316</v>
      </c>
      <c r="K3064">
        <v>1.1014189999999999</v>
      </c>
      <c r="L3064">
        <v>193.38339999999999</v>
      </c>
      <c r="M3064">
        <v>-0.1216247</v>
      </c>
      <c r="N3064">
        <v>0</v>
      </c>
      <c r="O3064">
        <v>-0.99245859999999997</v>
      </c>
      <c r="P3064">
        <v>-0.1784887</v>
      </c>
      <c r="Q3064">
        <v>0.1292527</v>
      </c>
      <c r="R3064">
        <v>-0.9754157</v>
      </c>
      <c r="S3064">
        <v>-0.69960019999999901</v>
      </c>
      <c r="T3064">
        <v>-0.2461525</v>
      </c>
      <c r="U3064">
        <v>-2.9794160000000001</v>
      </c>
      <c r="V3064">
        <v>6.1562890000000002E-2</v>
      </c>
      <c r="W3064">
        <v>0.1430874</v>
      </c>
      <c r="X3064">
        <v>0.98779349999999999</v>
      </c>
      <c r="Y3064">
        <v>0.1077393</v>
      </c>
      <c r="Z3064">
        <v>8.0105590000000004E-2</v>
      </c>
      <c r="AA3064">
        <v>0.99094669999999896</v>
      </c>
      <c r="AB3064">
        <v>31</v>
      </c>
      <c r="AC3064">
        <v>-0.13130000000000999</v>
      </c>
      <c r="AD3064">
        <v>-6.3214000000000298E-2</v>
      </c>
      <c r="AE3064">
        <v>-0.42839999999998202</v>
      </c>
      <c r="AF3064">
        <v>7.6688526804661997E-2</v>
      </c>
      <c r="AG3064">
        <v>-6.3214000000000298E-2</v>
      </c>
      <c r="AH3064">
        <v>0.43258008406523801</v>
      </c>
      <c r="AI3064">
        <v>98.188023880348595</v>
      </c>
      <c r="AJ3064">
        <v>79.946957493609204</v>
      </c>
      <c r="AK3064">
        <v>0.44384982715931998</v>
      </c>
      <c r="AL3064">
        <v>81.773459562938498</v>
      </c>
      <c r="AM3064">
        <v>86.433730898352195</v>
      </c>
      <c r="AN3064">
        <v>0.99999999605308099</v>
      </c>
    </row>
    <row r="3065" spans="1:40" x14ac:dyDescent="0.25">
      <c r="A3065" t="str">
        <f>"20190312164327265"</f>
        <v>20190312164327265</v>
      </c>
      <c r="B3065" t="str">
        <f>"1552380207257309"</f>
        <v>1552380207257309</v>
      </c>
      <c r="C3065" t="s">
        <v>40</v>
      </c>
      <c r="D3065">
        <v>4.7284119999999996</v>
      </c>
      <c r="E3065">
        <v>0.53063419999999994</v>
      </c>
      <c r="F3065" t="s">
        <v>41</v>
      </c>
      <c r="G3065">
        <v>-189.17230000000001</v>
      </c>
      <c r="H3065">
        <v>1.015334</v>
      </c>
      <c r="I3065">
        <v>192.41419999999999</v>
      </c>
      <c r="J3065">
        <v>-188.97989999999999</v>
      </c>
      <c r="K3065">
        <v>1.1024480000000001</v>
      </c>
      <c r="L3065">
        <v>193.05330000000001</v>
      </c>
      <c r="M3065">
        <v>-0.12892010000000001</v>
      </c>
      <c r="N3065">
        <v>0</v>
      </c>
      <c r="O3065">
        <v>-0.99154010000000004</v>
      </c>
      <c r="P3065">
        <v>-0.17644489999999999</v>
      </c>
      <c r="Q3065">
        <v>0.1278638</v>
      </c>
      <c r="R3065">
        <v>-0.97597069999999997</v>
      </c>
      <c r="S3065">
        <v>-0.7390137</v>
      </c>
      <c r="T3065">
        <v>-0.26426569999999999</v>
      </c>
      <c r="U3065">
        <v>-2.975403</v>
      </c>
      <c r="V3065">
        <v>5.1810090000000003E-2</v>
      </c>
      <c r="W3065">
        <v>0.14186840000000001</v>
      </c>
      <c r="X3065">
        <v>0.98852870000000004</v>
      </c>
      <c r="Y3065">
        <v>0.11301079999999999</v>
      </c>
      <c r="Z3065">
        <v>8.5794019999999999E-2</v>
      </c>
      <c r="AA3065">
        <v>0.98988279999999995</v>
      </c>
      <c r="AB3065">
        <v>31</v>
      </c>
      <c r="AC3065">
        <v>-0.19240000000002</v>
      </c>
      <c r="AD3065">
        <v>-8.71139999999999E-2</v>
      </c>
      <c r="AE3065">
        <v>-0.63910000000001299</v>
      </c>
      <c r="AF3065">
        <v>0.106576223953477</v>
      </c>
      <c r="AG3065">
        <v>-8.71139999999999E-2</v>
      </c>
      <c r="AH3065">
        <v>0.64754119521070497</v>
      </c>
      <c r="AI3065">
        <v>97.561493693117697</v>
      </c>
      <c r="AJ3065">
        <v>80.653707459011798</v>
      </c>
      <c r="AK3065">
        <v>0.66200977334408695</v>
      </c>
      <c r="AL3065">
        <v>81.844022712740497</v>
      </c>
      <c r="AM3065">
        <v>86.999797920211506</v>
      </c>
      <c r="AN3065">
        <v>0.99999995953402798</v>
      </c>
    </row>
    <row r="3066" spans="1:40" x14ac:dyDescent="0.25">
      <c r="A3066" t="str">
        <f>"20190312164327287"</f>
        <v>20190312164327287</v>
      </c>
      <c r="B3066" t="str">
        <f>"1552380207277804"</f>
        <v>1552380207277804</v>
      </c>
      <c r="C3066" t="s">
        <v>40</v>
      </c>
      <c r="D3066">
        <v>4.8041559999999999</v>
      </c>
      <c r="E3066">
        <v>0.53222100000000006</v>
      </c>
      <c r="F3066" t="s">
        <v>41</v>
      </c>
      <c r="G3066">
        <v>-189.21039999999999</v>
      </c>
      <c r="H3066">
        <v>1.016832</v>
      </c>
      <c r="I3066">
        <v>192.1354</v>
      </c>
      <c r="J3066">
        <v>-189.0266</v>
      </c>
      <c r="K3066">
        <v>1.1033219999999999</v>
      </c>
      <c r="L3066">
        <v>192.74459999999999</v>
      </c>
      <c r="M3066">
        <v>-0.13493759999999999</v>
      </c>
      <c r="N3066">
        <v>0</v>
      </c>
      <c r="O3066">
        <v>-0.99074130000000005</v>
      </c>
      <c r="P3066">
        <v>-0.174065</v>
      </c>
      <c r="Q3066">
        <v>0.1266273</v>
      </c>
      <c r="R3066">
        <v>-0.97655899999999995</v>
      </c>
      <c r="S3066">
        <v>-0.74635309999999999</v>
      </c>
      <c r="T3066">
        <v>-0.2774665</v>
      </c>
      <c r="U3066">
        <v>-2.9752809999999998</v>
      </c>
      <c r="V3066">
        <v>4.30421E-2</v>
      </c>
      <c r="W3066">
        <v>0.14074719999999999</v>
      </c>
      <c r="X3066">
        <v>0.98910949999999997</v>
      </c>
      <c r="Y3066">
        <v>0.1091964</v>
      </c>
      <c r="Z3066">
        <v>8.9933260000000001E-2</v>
      </c>
      <c r="AA3066">
        <v>0.98994349999999998</v>
      </c>
      <c r="AB3066">
        <v>31</v>
      </c>
      <c r="AC3066">
        <v>-0.18379999999999</v>
      </c>
      <c r="AD3066">
        <v>-8.64899999999999E-2</v>
      </c>
      <c r="AE3066">
        <v>-0.60919999999998697</v>
      </c>
      <c r="AF3066">
        <v>9.8093192847312605E-2</v>
      </c>
      <c r="AG3066">
        <v>-8.64899999999999E-2</v>
      </c>
      <c r="AH3066">
        <v>0.61703191442377603</v>
      </c>
      <c r="AI3066">
        <v>97.881513586292499</v>
      </c>
      <c r="AJ3066">
        <v>80.966945186443397</v>
      </c>
      <c r="AK3066">
        <v>0.63073859720208203</v>
      </c>
      <c r="AL3066">
        <v>81.908914212164902</v>
      </c>
      <c r="AM3066">
        <v>87.508288232564993</v>
      </c>
      <c r="AN3066">
        <v>0.99999999983525001</v>
      </c>
    </row>
    <row r="3067" spans="1:40" x14ac:dyDescent="0.25">
      <c r="A3067" t="str">
        <f>"20190312164327310"</f>
        <v>20190312164327310</v>
      </c>
      <c r="B3067" t="str">
        <f>"1552380207297330"</f>
        <v>1552380207297330</v>
      </c>
      <c r="C3067" t="s">
        <v>40</v>
      </c>
      <c r="D3067">
        <v>5.1675469999999999</v>
      </c>
      <c r="E3067">
        <v>0.53105619999999998</v>
      </c>
      <c r="F3067" t="s">
        <v>41</v>
      </c>
      <c r="G3067">
        <v>-189.25149999999999</v>
      </c>
      <c r="H3067">
        <v>1.01868</v>
      </c>
      <c r="I3067">
        <v>191.85720000000001</v>
      </c>
      <c r="J3067">
        <v>-189.0745</v>
      </c>
      <c r="K3067">
        <v>1.104149</v>
      </c>
      <c r="L3067">
        <v>192.43639999999999</v>
      </c>
      <c r="M3067">
        <v>-0.1401242</v>
      </c>
      <c r="N3067">
        <v>0</v>
      </c>
      <c r="O3067">
        <v>-0.99002290000000004</v>
      </c>
      <c r="P3067">
        <v>-0.17396320000000001</v>
      </c>
      <c r="Q3067">
        <v>0.12812609999999999</v>
      </c>
      <c r="R3067">
        <v>-0.97638150000000001</v>
      </c>
      <c r="S3067">
        <v>-0.75312809999999997</v>
      </c>
      <c r="T3067">
        <v>-0.2836862</v>
      </c>
      <c r="U3067">
        <v>-2.974564</v>
      </c>
      <c r="V3067">
        <v>3.7522960000000001E-2</v>
      </c>
      <c r="W3067">
        <v>0.14227619999999999</v>
      </c>
      <c r="X3067">
        <v>0.98911550000000004</v>
      </c>
      <c r="Y3067">
        <v>0.1061235</v>
      </c>
      <c r="Z3067">
        <v>9.1844099999999998E-2</v>
      </c>
      <c r="AA3067">
        <v>0.99010220000000004</v>
      </c>
      <c r="AB3067">
        <v>31</v>
      </c>
      <c r="AC3067">
        <v>-0.176999999999992</v>
      </c>
      <c r="AD3067">
        <v>-8.5469000000000003E-2</v>
      </c>
      <c r="AE3067">
        <v>-0.57919999999998595</v>
      </c>
      <c r="AF3067">
        <v>9.2247330660586296E-2</v>
      </c>
      <c r="AG3067">
        <v>-8.5469000000000003E-2</v>
      </c>
      <c r="AH3067">
        <v>0.58660659957814398</v>
      </c>
      <c r="AI3067">
        <v>98.190441084146201</v>
      </c>
      <c r="AJ3067">
        <v>81.063090940882503</v>
      </c>
      <c r="AK3067">
        <v>0.59993484866578295</v>
      </c>
      <c r="AL3067">
        <v>81.820418230336003</v>
      </c>
      <c r="AM3067">
        <v>87.827476366386904</v>
      </c>
      <c r="AN3067">
        <v>0.999999980976925</v>
      </c>
    </row>
    <row r="3068" spans="1:40" x14ac:dyDescent="0.25">
      <c r="A3068" t="str">
        <f>"20190312164327332"</f>
        <v>20190312164327332</v>
      </c>
      <c r="B3068" t="str">
        <f>"1552380207327581"</f>
        <v>1552380207327581</v>
      </c>
      <c r="C3068" t="s">
        <v>40</v>
      </c>
      <c r="D3068">
        <v>4.6974839999999896</v>
      </c>
      <c r="E3068">
        <v>0.53185419999999906</v>
      </c>
      <c r="F3068" t="s">
        <v>41</v>
      </c>
      <c r="G3068">
        <v>-189.2877</v>
      </c>
      <c r="H3068">
        <v>1.022581</v>
      </c>
      <c r="I3068">
        <v>191.5778</v>
      </c>
      <c r="J3068">
        <v>-189.12350000000001</v>
      </c>
      <c r="K3068">
        <v>1.1049869999999999</v>
      </c>
      <c r="L3068">
        <v>192.12629999999999</v>
      </c>
      <c r="M3068">
        <v>-0.14446519999999999</v>
      </c>
      <c r="N3068">
        <v>0</v>
      </c>
      <c r="O3068">
        <v>-0.98940059999999996</v>
      </c>
      <c r="P3068">
        <v>-0.17403260000000001</v>
      </c>
      <c r="Q3068">
        <v>0.13062779999999999</v>
      </c>
      <c r="R3068">
        <v>-0.97603759999999995</v>
      </c>
      <c r="S3068">
        <v>-0.73895259999999996</v>
      </c>
      <c r="T3068">
        <v>-0.28289900000000001</v>
      </c>
      <c r="U3068">
        <v>-2.9780120000000001</v>
      </c>
      <c r="V3068">
        <v>3.3045980000000003E-2</v>
      </c>
      <c r="W3068">
        <v>0.14477490000000001</v>
      </c>
      <c r="X3068">
        <v>0.98891260000000003</v>
      </c>
      <c r="Y3068">
        <v>9.7058030000000003E-2</v>
      </c>
      <c r="Z3068">
        <v>9.149786E-2</v>
      </c>
      <c r="AA3068">
        <v>0.99106399999999994</v>
      </c>
      <c r="AB3068">
        <v>31</v>
      </c>
      <c r="AC3068">
        <v>-0.16419999999999299</v>
      </c>
      <c r="AD3068">
        <v>-8.2406000000000201E-2</v>
      </c>
      <c r="AE3068">
        <v>-0.54849999999999</v>
      </c>
      <c r="AF3068">
        <v>8.1540288356200197E-2</v>
      </c>
      <c r="AG3068">
        <v>-8.2406000000000201E-2</v>
      </c>
      <c r="AH3068">
        <v>0.55497227703966401</v>
      </c>
      <c r="AI3068">
        <v>98.357509240779393</v>
      </c>
      <c r="AJ3068">
        <v>81.641519533778506</v>
      </c>
      <c r="AK3068">
        <v>0.56695131690807599</v>
      </c>
      <c r="AL3068">
        <v>81.675755376573306</v>
      </c>
      <c r="AM3068">
        <v>88.086088805691901</v>
      </c>
      <c r="AN3068">
        <v>0.99999996945146397</v>
      </c>
    </row>
    <row r="3069" spans="1:40" x14ac:dyDescent="0.25">
      <c r="A3069" t="str">
        <f>"20190312164327355"</f>
        <v>20190312164327355</v>
      </c>
      <c r="B3069" t="str">
        <f>"1552380207347845"</f>
        <v>1552380207347845</v>
      </c>
      <c r="C3069" t="s">
        <v>40</v>
      </c>
      <c r="D3069">
        <v>4.6608970000000003</v>
      </c>
      <c r="E3069">
        <v>0.53233090000000005</v>
      </c>
      <c r="F3069" t="s">
        <v>41</v>
      </c>
      <c r="G3069">
        <v>-189.3297</v>
      </c>
      <c r="H3069">
        <v>1.029094</v>
      </c>
      <c r="I3069">
        <v>191.29820000000001</v>
      </c>
      <c r="J3069">
        <v>-189.17599999999999</v>
      </c>
      <c r="K3069">
        <v>1.1059060000000001</v>
      </c>
      <c r="L3069">
        <v>191.79849999999999</v>
      </c>
      <c r="M3069">
        <v>-0.1481132</v>
      </c>
      <c r="N3069">
        <v>0</v>
      </c>
      <c r="O3069">
        <v>-0.98886309999999999</v>
      </c>
      <c r="P3069">
        <v>-0.17248440000000001</v>
      </c>
      <c r="Q3069">
        <v>0.1311196</v>
      </c>
      <c r="R3069">
        <v>-0.97624650000000002</v>
      </c>
      <c r="S3069">
        <v>-0.74142459999999999</v>
      </c>
      <c r="T3069">
        <v>-0.2729589</v>
      </c>
      <c r="U3069">
        <v>-2.9779819999999999</v>
      </c>
      <c r="V3069">
        <v>2.7520269999999999E-2</v>
      </c>
      <c r="W3069">
        <v>0.14526979999999901</v>
      </c>
      <c r="X3069">
        <v>0.98900929999999998</v>
      </c>
      <c r="Y3069">
        <v>9.4235860000000005E-2</v>
      </c>
      <c r="Z3069">
        <v>8.8241520000000004E-2</v>
      </c>
      <c r="AA3069">
        <v>0.9916315</v>
      </c>
      <c r="AB3069">
        <v>31</v>
      </c>
      <c r="AC3069">
        <v>-0.15370000000001399</v>
      </c>
      <c r="AD3069">
        <v>-7.6812000000000102E-2</v>
      </c>
      <c r="AE3069">
        <v>-0.50029999999998098</v>
      </c>
      <c r="AF3069">
        <v>7.6253065929525299E-2</v>
      </c>
      <c r="AG3069">
        <v>-7.6812000000000102E-2</v>
      </c>
      <c r="AH3069">
        <v>0.50663563810892898</v>
      </c>
      <c r="AI3069">
        <v>98.526469311151004</v>
      </c>
      <c r="AJ3069">
        <v>81.440732109005694</v>
      </c>
      <c r="AK3069">
        <v>0.51806783649411603</v>
      </c>
      <c r="AL3069">
        <v>81.647097300442596</v>
      </c>
      <c r="AM3069">
        <v>88.406093305201594</v>
      </c>
      <c r="AN3069">
        <v>1.0000000377697</v>
      </c>
    </row>
    <row r="3070" spans="1:40" x14ac:dyDescent="0.25">
      <c r="A3070" t="str">
        <f>"20190312164327379"</f>
        <v>20190312164327379</v>
      </c>
      <c r="B3070" t="str">
        <f>"1552380207367365"</f>
        <v>1552380207367365</v>
      </c>
      <c r="C3070" t="s">
        <v>40</v>
      </c>
      <c r="D3070">
        <v>4.5963450000000003</v>
      </c>
      <c r="E3070">
        <v>0.53287790000000002</v>
      </c>
      <c r="F3070" t="s">
        <v>41</v>
      </c>
      <c r="G3070">
        <v>-189.37020000000001</v>
      </c>
      <c r="H3070">
        <v>1.0365200000000001</v>
      </c>
      <c r="I3070">
        <v>191.01840000000001</v>
      </c>
      <c r="J3070">
        <v>-189.2261</v>
      </c>
      <c r="K3070">
        <v>1.1068129999999901</v>
      </c>
      <c r="L3070">
        <v>191.4871</v>
      </c>
      <c r="M3070">
        <v>-0.15067900000000001</v>
      </c>
      <c r="N3070">
        <v>0</v>
      </c>
      <c r="O3070">
        <v>-0.98847689999999999</v>
      </c>
      <c r="P3070">
        <v>-0.16957839999999999</v>
      </c>
      <c r="Q3070">
        <v>0.12993379999999999</v>
      </c>
      <c r="R3070">
        <v>-0.97691399999999995</v>
      </c>
      <c r="S3070">
        <v>-0.74067689999999997</v>
      </c>
      <c r="T3070">
        <v>-0.2649629</v>
      </c>
      <c r="U3070">
        <v>-2.9777070000000001</v>
      </c>
      <c r="V3070">
        <v>2.165214E-2</v>
      </c>
      <c r="W3070">
        <v>0.1440874</v>
      </c>
      <c r="X3070">
        <v>0.98932810000000004</v>
      </c>
      <c r="Y3070">
        <v>9.1494110000000003E-2</v>
      </c>
      <c r="Z3070">
        <v>8.5647399999999999E-2</v>
      </c>
      <c r="AA3070">
        <v>0.99211559999999999</v>
      </c>
      <c r="AB3070">
        <v>31</v>
      </c>
      <c r="AC3070">
        <v>-0.144100000000008</v>
      </c>
      <c r="AD3070">
        <v>-7.0292999999999703E-2</v>
      </c>
      <c r="AE3070">
        <v>-0.46869999999998402</v>
      </c>
      <c r="AF3070">
        <v>7.0377539152201102E-2</v>
      </c>
      <c r="AG3070">
        <v>-7.0292999999999703E-2</v>
      </c>
      <c r="AH3070">
        <v>0.47529545596655198</v>
      </c>
      <c r="AI3070">
        <v>98.323221751922901</v>
      </c>
      <c r="AJ3070">
        <v>81.577348609248503</v>
      </c>
      <c r="AK3070">
        <v>0.48559229228702999</v>
      </c>
      <c r="AL3070">
        <v>81.715564225371693</v>
      </c>
      <c r="AM3070">
        <v>88.746241793502193</v>
      </c>
      <c r="AN3070">
        <v>1.0000000417274699</v>
      </c>
    </row>
    <row r="3071" spans="1:40" x14ac:dyDescent="0.25">
      <c r="A3071" t="str">
        <f>"20190312164327399"</f>
        <v>20190312164327399</v>
      </c>
      <c r="B3071" t="str">
        <f>"1552380207387860"</f>
        <v>1552380207387860</v>
      </c>
      <c r="C3071" t="s">
        <v>40</v>
      </c>
      <c r="D3071">
        <v>4.8212640000000002</v>
      </c>
      <c r="E3071">
        <v>0.53308880000000003</v>
      </c>
      <c r="F3071" t="s">
        <v>41</v>
      </c>
      <c r="G3071">
        <v>-189.41120000000001</v>
      </c>
      <c r="H3071">
        <v>1.0394760000000001</v>
      </c>
      <c r="I3071">
        <v>190.7414</v>
      </c>
      <c r="J3071">
        <v>-189.2722</v>
      </c>
      <c r="K3071">
        <v>1.107656</v>
      </c>
      <c r="L3071">
        <v>191.1995</v>
      </c>
      <c r="M3071">
        <v>-0.15223909999999999</v>
      </c>
      <c r="N3071">
        <v>0</v>
      </c>
      <c r="O3071">
        <v>-0.98823919999999998</v>
      </c>
      <c r="P3071">
        <v>-0.16770070000000001</v>
      </c>
      <c r="Q3071">
        <v>0.12927919999999901</v>
      </c>
      <c r="R3071">
        <v>-0.97732509999999995</v>
      </c>
      <c r="S3071">
        <v>-0.73880000000000001</v>
      </c>
      <c r="T3071">
        <v>-0.26898870000000003</v>
      </c>
      <c r="U3071">
        <v>-2.978424</v>
      </c>
      <c r="V3071">
        <v>1.7874749999999998E-2</v>
      </c>
      <c r="W3071">
        <v>0.1434126</v>
      </c>
      <c r="X3071">
        <v>0.98950150000000003</v>
      </c>
      <c r="Y3071">
        <v>8.9250819999999995E-2</v>
      </c>
      <c r="Z3071">
        <v>8.6902599999999997E-2</v>
      </c>
      <c r="AA3071">
        <v>0.99221079999999995</v>
      </c>
      <c r="AB3071">
        <v>31</v>
      </c>
      <c r="AC3071">
        <v>-0.13900000000001</v>
      </c>
      <c r="AD3071">
        <v>-6.8179999999999893E-2</v>
      </c>
      <c r="AE3071">
        <v>-0.45810000000000101</v>
      </c>
      <c r="AF3071">
        <v>6.6286967553541201E-2</v>
      </c>
      <c r="AG3071">
        <v>-6.8179999999999893E-2</v>
      </c>
      <c r="AH3071">
        <v>0.46450083671805797</v>
      </c>
      <c r="AI3071">
        <v>98.267730361976902</v>
      </c>
      <c r="AJ3071">
        <v>81.878395217197706</v>
      </c>
      <c r="AK3071">
        <v>0.47413447647183399</v>
      </c>
      <c r="AL3071">
        <v>81.754632419778702</v>
      </c>
      <c r="AM3071">
        <v>88.965098733214106</v>
      </c>
      <c r="AN3071">
        <v>0.99999994951428495</v>
      </c>
    </row>
    <row r="3072" spans="1:40" x14ac:dyDescent="0.25">
      <c r="A3072" t="str">
        <f>"20190312164327422"</f>
        <v>20190312164327422</v>
      </c>
      <c r="B3072" t="str">
        <f>"1552380207418117"</f>
        <v>1552380207418117</v>
      </c>
      <c r="C3072" t="s">
        <v>40</v>
      </c>
      <c r="D3072">
        <v>4.8570019999999996</v>
      </c>
      <c r="E3072">
        <v>0.53343739999999995</v>
      </c>
      <c r="F3072" t="s">
        <v>41</v>
      </c>
      <c r="G3072">
        <v>-189.45320000000001</v>
      </c>
      <c r="H3072">
        <v>1.0414219999999901</v>
      </c>
      <c r="I3072">
        <v>190.46539999999999</v>
      </c>
      <c r="J3072">
        <v>-189.3212</v>
      </c>
      <c r="K3072">
        <v>1.1085579999999999</v>
      </c>
      <c r="L3072">
        <v>190.8914</v>
      </c>
      <c r="M3072">
        <v>-0.15302209999999999</v>
      </c>
      <c r="N3072">
        <v>0</v>
      </c>
      <c r="O3072">
        <v>-0.98811930000000003</v>
      </c>
      <c r="P3072">
        <v>-0.1656774</v>
      </c>
      <c r="Q3072">
        <v>0.12956110000000001</v>
      </c>
      <c r="R3072">
        <v>-0.97763230000000001</v>
      </c>
      <c r="S3072">
        <v>-0.73431400000000002</v>
      </c>
      <c r="T3072">
        <v>-0.26887460000000002</v>
      </c>
      <c r="U3072">
        <v>-2.9792019999999999</v>
      </c>
      <c r="V3072">
        <v>1.473873E-2</v>
      </c>
      <c r="W3072">
        <v>0.14366180000000001</v>
      </c>
      <c r="X3072">
        <v>0.98951710000000004</v>
      </c>
      <c r="Y3072">
        <v>8.6993979999999999E-2</v>
      </c>
      <c r="Z3072">
        <v>8.6852390000000002E-2</v>
      </c>
      <c r="AA3072">
        <v>0.99241559999999995</v>
      </c>
      <c r="AB3072">
        <v>31</v>
      </c>
      <c r="AC3072">
        <v>-0.132000000000005</v>
      </c>
      <c r="AD3072">
        <v>-6.7136000000000001E-2</v>
      </c>
      <c r="AE3072">
        <v>-0.42600000000001598</v>
      </c>
      <c r="AF3072">
        <v>6.3805126575599697E-2</v>
      </c>
      <c r="AG3072">
        <v>-6.7136000000000001E-2</v>
      </c>
      <c r="AH3072">
        <v>0.43140680546414401</v>
      </c>
      <c r="AI3072">
        <v>98.7517762778308</v>
      </c>
      <c r="AJ3072">
        <v>81.586936166427606</v>
      </c>
      <c r="AK3072">
        <v>0.44123708873360401</v>
      </c>
      <c r="AL3072">
        <v>81.740205474659703</v>
      </c>
      <c r="AM3072">
        <v>89.146649833203796</v>
      </c>
      <c r="AN3072">
        <v>1.0000000170668299</v>
      </c>
    </row>
    <row r="3073" spans="1:40" x14ac:dyDescent="0.25">
      <c r="A3073" t="str">
        <f>"20190312164327444"</f>
        <v>20190312164327444</v>
      </c>
      <c r="B3073" t="str">
        <f>"1552380207437637"</f>
        <v>1552380207437637</v>
      </c>
      <c r="C3073" t="s">
        <v>40</v>
      </c>
      <c r="D3073">
        <v>4.9764540000000004</v>
      </c>
      <c r="E3073">
        <v>0.53364089999999997</v>
      </c>
      <c r="F3073" t="s">
        <v>41</v>
      </c>
      <c r="G3073">
        <v>-189.5565</v>
      </c>
      <c r="H3073">
        <v>1.023609</v>
      </c>
      <c r="I3073">
        <v>189.92910000000001</v>
      </c>
      <c r="J3073">
        <v>-189.37</v>
      </c>
      <c r="K3073">
        <v>1.109416</v>
      </c>
      <c r="L3073">
        <v>190.5796</v>
      </c>
      <c r="M3073">
        <v>-0.1528601</v>
      </c>
      <c r="N3073">
        <v>0</v>
      </c>
      <c r="O3073">
        <v>-0.98814559999999996</v>
      </c>
      <c r="P3073">
        <v>-0.16324040000000001</v>
      </c>
      <c r="Q3073">
        <v>0.12918479999999999</v>
      </c>
      <c r="R3073">
        <v>-0.97809230000000003</v>
      </c>
      <c r="S3073">
        <v>-0.72853089999999998</v>
      </c>
      <c r="T3073">
        <v>-0.26314759999999998</v>
      </c>
      <c r="U3073">
        <v>-2.9800719999999998</v>
      </c>
      <c r="V3073">
        <v>1.2128999999999999E-2</v>
      </c>
      <c r="W3073">
        <v>0.1432512</v>
      </c>
      <c r="X3073">
        <v>0.98961200000000005</v>
      </c>
      <c r="Y3073">
        <v>8.5311440000000002E-2</v>
      </c>
      <c r="Z3073">
        <v>8.5021029999999997E-2</v>
      </c>
      <c r="AA3073">
        <v>0.99272020000000005</v>
      </c>
      <c r="AB3073">
        <v>31</v>
      </c>
      <c r="AC3073">
        <v>-0.186499999999995</v>
      </c>
      <c r="AD3073">
        <v>-8.5806999999999897E-2</v>
      </c>
      <c r="AE3073">
        <v>-0.65049999999999297</v>
      </c>
      <c r="AF3073">
        <v>8.3519372142574794E-2</v>
      </c>
      <c r="AG3073">
        <v>-8.5806999999999897E-2</v>
      </c>
      <c r="AH3073">
        <v>0.66074126365445496</v>
      </c>
      <c r="AI3073">
        <v>97.341518936843997</v>
      </c>
      <c r="AJ3073">
        <v>82.795874195870098</v>
      </c>
      <c r="AK3073">
        <v>0.671503793189418</v>
      </c>
      <c r="AL3073">
        <v>81.763976565393406</v>
      </c>
      <c r="AM3073">
        <v>89.297799829148104</v>
      </c>
      <c r="AN3073">
        <v>0.99999996474321895</v>
      </c>
    </row>
    <row r="3074" spans="1:40" x14ac:dyDescent="0.25">
      <c r="A3074" t="str">
        <f>"20190312164327466"</f>
        <v>20190312164327466</v>
      </c>
      <c r="B3074" t="str">
        <f>"1552380207458135"</f>
        <v>1552380207458135</v>
      </c>
      <c r="C3074" t="s">
        <v>40</v>
      </c>
      <c r="D3074">
        <v>5.3555349999999997</v>
      </c>
      <c r="E3074">
        <v>0.53427950000000002</v>
      </c>
      <c r="F3074" t="s">
        <v>41</v>
      </c>
      <c r="G3074">
        <v>-189.59460000000001</v>
      </c>
      <c r="H3074">
        <v>1.028159</v>
      </c>
      <c r="I3074">
        <v>189.65270000000001</v>
      </c>
      <c r="J3074">
        <v>-189.4171</v>
      </c>
      <c r="K3074">
        <v>1.1101510000000001</v>
      </c>
      <c r="L3074">
        <v>190.27340000000001</v>
      </c>
      <c r="M3074">
        <v>-0.1519895</v>
      </c>
      <c r="N3074">
        <v>0</v>
      </c>
      <c r="O3074">
        <v>-0.98828070000000001</v>
      </c>
      <c r="P3074">
        <v>-0.16062799999999999</v>
      </c>
      <c r="Q3074">
        <v>0.12742719999999999</v>
      </c>
      <c r="R3074">
        <v>-0.97875480000000004</v>
      </c>
      <c r="S3074">
        <v>-0.72270199999999996</v>
      </c>
      <c r="T3074">
        <v>-0.26127840000000002</v>
      </c>
      <c r="U3074">
        <v>-2.9810789999999998</v>
      </c>
      <c r="V3074">
        <v>1.0068499999999999E-2</v>
      </c>
      <c r="W3074">
        <v>0.14145820000000001</v>
      </c>
      <c r="X3074">
        <v>0.98989300000000002</v>
      </c>
      <c r="Y3074">
        <v>8.4291309999999994E-2</v>
      </c>
      <c r="Z3074">
        <v>8.4433899999999895E-2</v>
      </c>
      <c r="AA3074">
        <v>0.99285749999999995</v>
      </c>
      <c r="AB3074">
        <v>31</v>
      </c>
      <c r="AC3074">
        <v>-0.17750000000000901</v>
      </c>
      <c r="AD3074">
        <v>-8.1991999999999995E-2</v>
      </c>
      <c r="AE3074">
        <v>-0.62069999999999903</v>
      </c>
      <c r="AF3074">
        <v>7.9800859835066101E-2</v>
      </c>
      <c r="AG3074">
        <v>-8.1991999999999995E-2</v>
      </c>
      <c r="AH3074">
        <v>0.63030123331555798</v>
      </c>
      <c r="AI3074">
        <v>97.353582963978695</v>
      </c>
      <c r="AJ3074">
        <v>82.784315986920504</v>
      </c>
      <c r="AK3074">
        <v>0.64060167812263002</v>
      </c>
      <c r="AL3074">
        <v>81.867765005259898</v>
      </c>
      <c r="AM3074">
        <v>89.417247456648298</v>
      </c>
      <c r="AN3074">
        <v>0.99999997424424403</v>
      </c>
    </row>
    <row r="3075" spans="1:40" x14ac:dyDescent="0.25">
      <c r="A3075" t="str">
        <f>"20190312164327488"</f>
        <v>20190312164327488</v>
      </c>
      <c r="B3075" t="str">
        <f>"1552380207477656"</f>
        <v>1552380207477656</v>
      </c>
      <c r="C3075" t="s">
        <v>40</v>
      </c>
      <c r="D3075">
        <v>4.6195950000000003</v>
      </c>
      <c r="E3075">
        <v>0.56405959999999999</v>
      </c>
      <c r="F3075" t="s">
        <v>41</v>
      </c>
      <c r="G3075">
        <v>-189.6337</v>
      </c>
      <c r="H3075">
        <v>1.030794</v>
      </c>
      <c r="I3075">
        <v>189.37780000000001</v>
      </c>
      <c r="J3075">
        <v>-189.4605</v>
      </c>
      <c r="K3075">
        <v>1.1107590000000001</v>
      </c>
      <c r="L3075">
        <v>189.98490000000001</v>
      </c>
      <c r="M3075">
        <v>-0.150561</v>
      </c>
      <c r="N3075">
        <v>0</v>
      </c>
      <c r="O3075">
        <v>-0.98849989999999999</v>
      </c>
      <c r="P3075">
        <v>-0.159333</v>
      </c>
      <c r="Q3075">
        <v>0.127169</v>
      </c>
      <c r="R3075">
        <v>-0.97900030000000005</v>
      </c>
      <c r="S3075">
        <v>-0.72053529999999999</v>
      </c>
      <c r="T3075">
        <v>-0.26448070000000001</v>
      </c>
      <c r="U3075">
        <v>-2.9813079999999998</v>
      </c>
      <c r="V3075">
        <v>9.9798909999999994E-3</v>
      </c>
      <c r="W3075">
        <v>0.14116119999999999</v>
      </c>
      <c r="X3075">
        <v>0.98993629999999999</v>
      </c>
      <c r="Y3075">
        <v>8.5011260000000005E-2</v>
      </c>
      <c r="Z3075">
        <v>8.5487469999999996E-2</v>
      </c>
      <c r="AA3075">
        <v>0.99270590000000003</v>
      </c>
      <c r="AB3075">
        <v>31</v>
      </c>
      <c r="AC3075">
        <v>-0.17320000000000799</v>
      </c>
      <c r="AD3075">
        <v>-7.9964999999999994E-2</v>
      </c>
      <c r="AE3075">
        <v>-0.60710000000000197</v>
      </c>
      <c r="AF3075">
        <v>7.8550338931923397E-2</v>
      </c>
      <c r="AG3075">
        <v>-7.9964999999999994E-2</v>
      </c>
      <c r="AH3075">
        <v>0.61636920910709303</v>
      </c>
      <c r="AI3075">
        <v>97.333354233178298</v>
      </c>
      <c r="AJ3075">
        <v>82.737351747906899</v>
      </c>
      <c r="AK3075">
        <v>0.626478697887346</v>
      </c>
      <c r="AL3075">
        <v>81.8849543894802</v>
      </c>
      <c r="AM3075">
        <v>89.422400952529699</v>
      </c>
      <c r="AN3075">
        <v>0.99999998033375004</v>
      </c>
    </row>
    <row r="3076" spans="1:40" x14ac:dyDescent="0.25">
      <c r="A3076" t="str">
        <f>"20190312164327510"</f>
        <v>20190312164327510</v>
      </c>
      <c r="B3076" t="str">
        <f>"1552380207507908"</f>
        <v>1552380207507908</v>
      </c>
      <c r="C3076" t="s">
        <v>40</v>
      </c>
      <c r="D3076">
        <v>4.2740929999999997</v>
      </c>
      <c r="E3076">
        <v>0.566046099999999</v>
      </c>
      <c r="F3076" t="s">
        <v>41</v>
      </c>
      <c r="G3076">
        <v>-189.74109999999999</v>
      </c>
      <c r="H3076">
        <v>1.0268820000000001</v>
      </c>
      <c r="I3076">
        <v>189.11580000000001</v>
      </c>
      <c r="J3076">
        <v>-189.5051</v>
      </c>
      <c r="K3076">
        <v>1.1113360000000001</v>
      </c>
      <c r="L3076">
        <v>189.6814</v>
      </c>
      <c r="M3076">
        <v>-0.14846300000000001</v>
      </c>
      <c r="N3076">
        <v>0</v>
      </c>
      <c r="O3076">
        <v>-0.98881810000000003</v>
      </c>
      <c r="P3076">
        <v>-0.15861749999999999</v>
      </c>
      <c r="Q3076">
        <v>0.12727939999999999</v>
      </c>
      <c r="R3076">
        <v>-0.97910209999999998</v>
      </c>
      <c r="S3076">
        <v>-0.95111080000000003</v>
      </c>
      <c r="T3076">
        <v>-0.28445779999999998</v>
      </c>
      <c r="U3076">
        <v>-2.9464869999999999</v>
      </c>
      <c r="V3076">
        <v>1.116643E-2</v>
      </c>
      <c r="W3076">
        <v>0.14123859999999999</v>
      </c>
      <c r="X3076">
        <v>0.98991260000000003</v>
      </c>
      <c r="Y3076">
        <v>0.16118250000000001</v>
      </c>
      <c r="Z3076">
        <v>9.1582700000000003E-2</v>
      </c>
      <c r="AA3076">
        <v>0.98266620000000005</v>
      </c>
      <c r="AB3076">
        <v>31</v>
      </c>
      <c r="AC3076">
        <v>-0.235999999999989</v>
      </c>
      <c r="AD3076">
        <v>-8.4454000000000001E-2</v>
      </c>
      <c r="AE3076">
        <v>-0.565599999999989</v>
      </c>
      <c r="AF3076">
        <v>0.14662088293641701</v>
      </c>
      <c r="AG3076">
        <v>-8.4454000000000001E-2</v>
      </c>
      <c r="AH3076">
        <v>0.58329495087931704</v>
      </c>
      <c r="AI3076">
        <v>97.993184888093694</v>
      </c>
      <c r="AJ3076">
        <v>75.890084431492099</v>
      </c>
      <c r="AK3076">
        <v>0.60734105834395802</v>
      </c>
      <c r="AL3076">
        <v>81.880474923005593</v>
      </c>
      <c r="AM3076">
        <v>89.353718523236694</v>
      </c>
      <c r="AN3076">
        <v>0.99999999346383195</v>
      </c>
    </row>
    <row r="3077" spans="1:40" x14ac:dyDescent="0.25">
      <c r="A3077" t="str">
        <f>"20190312164327533"</f>
        <v>20190312164327533</v>
      </c>
      <c r="B3077" t="str">
        <f>"1552380207527428"</f>
        <v>1552380207527428</v>
      </c>
      <c r="C3077" t="s">
        <v>40</v>
      </c>
      <c r="D3077">
        <v>4.5359020000000001</v>
      </c>
      <c r="E3077">
        <v>0.5667953</v>
      </c>
      <c r="F3077" t="s">
        <v>41</v>
      </c>
      <c r="G3077">
        <v>-189.78129999999999</v>
      </c>
      <c r="H3077">
        <v>1.03169</v>
      </c>
      <c r="I3077">
        <v>188.83869999999999</v>
      </c>
      <c r="J3077">
        <v>-189.54839999999999</v>
      </c>
      <c r="K3077">
        <v>1.1118600000000001</v>
      </c>
      <c r="L3077">
        <v>189.37860000000001</v>
      </c>
      <c r="M3077">
        <v>-0.1458692</v>
      </c>
      <c r="N3077">
        <v>0</v>
      </c>
      <c r="O3077">
        <v>-0.98920450000000004</v>
      </c>
      <c r="P3077">
        <v>-0.1576525</v>
      </c>
      <c r="Q3077">
        <v>0.12626119999999999</v>
      </c>
      <c r="R3077">
        <v>-0.97938950000000002</v>
      </c>
      <c r="S3077">
        <v>-0.96434019999999998</v>
      </c>
      <c r="T3077">
        <v>-0.27853610000000001</v>
      </c>
      <c r="U3077">
        <v>-2.9439850000000001</v>
      </c>
      <c r="V3077">
        <v>1.259705E-2</v>
      </c>
      <c r="W3077">
        <v>0.14020099999999999</v>
      </c>
      <c r="X3077">
        <v>0.99004289999999995</v>
      </c>
      <c r="Y3077">
        <v>0.16805809999999999</v>
      </c>
      <c r="Z3077">
        <v>8.9703720000000001E-2</v>
      </c>
      <c r="AA3077">
        <v>0.98168719999999998</v>
      </c>
      <c r="AB3077">
        <v>31</v>
      </c>
      <c r="AC3077">
        <v>-0.2329</v>
      </c>
      <c r="AD3077">
        <v>-8.0170000000000005E-2</v>
      </c>
      <c r="AE3077">
        <v>-0.53990000000001703</v>
      </c>
      <c r="AF3077">
        <v>0.14887820009418901</v>
      </c>
      <c r="AG3077">
        <v>-8.0170000000000005E-2</v>
      </c>
      <c r="AH3077">
        <v>0.55773202250697995</v>
      </c>
      <c r="AI3077">
        <v>97.906668560744507</v>
      </c>
      <c r="AJ3077">
        <v>75.0542298626997</v>
      </c>
      <c r="AK3077">
        <v>0.58280095769740503</v>
      </c>
      <c r="AL3077">
        <v>81.940522382953205</v>
      </c>
      <c r="AM3077">
        <v>89.271022645811001</v>
      </c>
      <c r="AN3077">
        <v>0.99999997495505499</v>
      </c>
    </row>
    <row r="3078" spans="1:40" x14ac:dyDescent="0.25">
      <c r="A3078" t="str">
        <f>"20190312164327555"</f>
        <v>20190312164327555</v>
      </c>
      <c r="B3078" t="str">
        <f>"1552380207547924"</f>
        <v>1552380207547924</v>
      </c>
      <c r="C3078" t="s">
        <v>40</v>
      </c>
      <c r="D3078">
        <v>5.2550429999999997</v>
      </c>
      <c r="E3078">
        <v>0.56752100000000005</v>
      </c>
      <c r="F3078" t="s">
        <v>41</v>
      </c>
      <c r="G3078">
        <v>-189.81649999999999</v>
      </c>
      <c r="H3078">
        <v>1.034721</v>
      </c>
      <c r="I3078">
        <v>188.5633</v>
      </c>
      <c r="J3078">
        <v>-189.59139999999999</v>
      </c>
      <c r="K3078">
        <v>1.11232999999999</v>
      </c>
      <c r="L3078">
        <v>189.06800000000001</v>
      </c>
      <c r="M3078">
        <v>-0.14280190000000001</v>
      </c>
      <c r="N3078">
        <v>0</v>
      </c>
      <c r="O3078">
        <v>-0.98965259999999999</v>
      </c>
      <c r="P3078">
        <v>-0.15548429999999999</v>
      </c>
      <c r="Q3078">
        <v>0.1249532</v>
      </c>
      <c r="R3078">
        <v>-0.9799042</v>
      </c>
      <c r="S3078">
        <v>-0.96809389999999995</v>
      </c>
      <c r="T3078">
        <v>-0.27849159999999901</v>
      </c>
      <c r="U3078">
        <v>-2.9432070000000001</v>
      </c>
      <c r="V3078">
        <v>1.32999E-2</v>
      </c>
      <c r="W3078">
        <v>0.138878</v>
      </c>
      <c r="X3078">
        <v>0.99022019999999999</v>
      </c>
      <c r="Y3078">
        <v>0.1723191</v>
      </c>
      <c r="Z3078">
        <v>8.9721640000000005E-2</v>
      </c>
      <c r="AA3078">
        <v>0.98094650000000005</v>
      </c>
      <c r="AB3078">
        <v>31</v>
      </c>
      <c r="AC3078">
        <v>-0.225099999999997</v>
      </c>
      <c r="AD3078">
        <v>-7.7608999999999803E-2</v>
      </c>
      <c r="AE3078">
        <v>-0.50469999999998505</v>
      </c>
      <c r="AF3078">
        <v>0.147798418949555</v>
      </c>
      <c r="AG3078">
        <v>-7.7608999999999803E-2</v>
      </c>
      <c r="AH3078">
        <v>0.52139106856446005</v>
      </c>
      <c r="AI3078">
        <v>98.149764868814202</v>
      </c>
      <c r="AJ3078">
        <v>74.173589037959104</v>
      </c>
      <c r="AK3078">
        <v>0.54746340142860495</v>
      </c>
      <c r="AL3078">
        <v>82.017073970634698</v>
      </c>
      <c r="AM3078">
        <v>89.230492046146693</v>
      </c>
      <c r="AN3078">
        <v>1.00000001535602</v>
      </c>
    </row>
    <row r="3079" spans="1:40" x14ac:dyDescent="0.25">
      <c r="A3079" t="str">
        <f>"20190312164327577"</f>
        <v>20190312164327577</v>
      </c>
      <c r="B3079" t="str">
        <f>"1552380207567448"</f>
        <v>1552380207567448</v>
      </c>
      <c r="C3079" t="s">
        <v>40</v>
      </c>
      <c r="D3079">
        <v>4.4562359999999996</v>
      </c>
      <c r="E3079">
        <v>0.5679052</v>
      </c>
      <c r="F3079" t="s">
        <v>41</v>
      </c>
      <c r="G3079">
        <v>-189.8486</v>
      </c>
      <c r="H3079">
        <v>1.0387980000000001</v>
      </c>
      <c r="I3079">
        <v>188.28720000000001</v>
      </c>
      <c r="J3079">
        <v>-189.63159999999999</v>
      </c>
      <c r="K3079">
        <v>1.1126969999999901</v>
      </c>
      <c r="L3079">
        <v>188.768</v>
      </c>
      <c r="M3079">
        <v>-0.1395216</v>
      </c>
      <c r="N3079">
        <v>0</v>
      </c>
      <c r="O3079">
        <v>-0.99012080000000002</v>
      </c>
      <c r="P3079">
        <v>-0.15204609999999999</v>
      </c>
      <c r="Q3079">
        <v>0.1237038</v>
      </c>
      <c r="R3079">
        <v>-0.98060159999999996</v>
      </c>
      <c r="S3079">
        <v>-0.96850590000000003</v>
      </c>
      <c r="T3079">
        <v>-0.2776458</v>
      </c>
      <c r="U3079">
        <v>-2.9432680000000002</v>
      </c>
      <c r="V3079">
        <v>1.296568E-2</v>
      </c>
      <c r="W3079">
        <v>0.13761089999999901</v>
      </c>
      <c r="X3079">
        <v>0.99040150000000005</v>
      </c>
      <c r="Y3079">
        <v>0.1757069</v>
      </c>
      <c r="Z3079">
        <v>8.9483690000000005E-2</v>
      </c>
      <c r="AA3079">
        <v>0.98036719999999999</v>
      </c>
      <c r="AB3079">
        <v>31</v>
      </c>
      <c r="AC3079">
        <v>-0.21700000000001199</v>
      </c>
      <c r="AD3079">
        <v>-7.3898999999999895E-2</v>
      </c>
      <c r="AE3079">
        <v>-0.48079999999998702</v>
      </c>
      <c r="AF3079">
        <v>0.144943944995366</v>
      </c>
      <c r="AG3079">
        <v>-7.3898999999999895E-2</v>
      </c>
      <c r="AH3079">
        <v>0.496628725792297</v>
      </c>
      <c r="AI3079">
        <v>98.129251302521396</v>
      </c>
      <c r="AJ3079">
        <v>73.729811933534094</v>
      </c>
      <c r="AK3079">
        <v>0.52259917783507903</v>
      </c>
      <c r="AL3079">
        <v>82.090377182654905</v>
      </c>
      <c r="AM3079">
        <v>89.249964476099507</v>
      </c>
      <c r="AN3079">
        <v>0.99999999992946098</v>
      </c>
    </row>
    <row r="3080" spans="1:40" x14ac:dyDescent="0.25">
      <c r="A3080" t="str">
        <f>"20190312164327600"</f>
        <v>20190312164327600</v>
      </c>
      <c r="B3080" t="str">
        <f>"1552380207587940"</f>
        <v>1552380207587940</v>
      </c>
      <c r="C3080" t="s">
        <v>40</v>
      </c>
      <c r="D3080">
        <v>4.2227379999999997</v>
      </c>
      <c r="E3080">
        <v>0.56799509999999998</v>
      </c>
      <c r="F3080" t="s">
        <v>41</v>
      </c>
      <c r="G3080">
        <v>-189.87960000000001</v>
      </c>
      <c r="H3080">
        <v>1.0413059999999901</v>
      </c>
      <c r="I3080">
        <v>188.0093</v>
      </c>
      <c r="J3080">
        <v>-189.6722</v>
      </c>
      <c r="K3080">
        <v>1.1130070000000001</v>
      </c>
      <c r="L3080">
        <v>188.45439999999999</v>
      </c>
      <c r="M3080">
        <v>-0.13583580000000001</v>
      </c>
      <c r="N3080">
        <v>0</v>
      </c>
      <c r="O3080">
        <v>-0.9906336</v>
      </c>
      <c r="P3080">
        <v>-0.14792429999999901</v>
      </c>
      <c r="Q3080">
        <v>0.1227897</v>
      </c>
      <c r="R3080">
        <v>-0.98134679999999996</v>
      </c>
      <c r="S3080">
        <v>-0.96215819999999996</v>
      </c>
      <c r="T3080">
        <v>-0.27721000000000001</v>
      </c>
      <c r="U3080">
        <v>-2.9451290000000001</v>
      </c>
      <c r="V3080">
        <v>1.237597E-2</v>
      </c>
      <c r="W3080">
        <v>0.13667609999999999</v>
      </c>
      <c r="X3080">
        <v>0.99053849999999999</v>
      </c>
      <c r="Y3080">
        <v>0.1772812</v>
      </c>
      <c r="Z3080">
        <v>8.9376430000000007E-2</v>
      </c>
      <c r="AA3080">
        <v>0.98009349999999995</v>
      </c>
      <c r="AB3080">
        <v>31</v>
      </c>
      <c r="AC3080">
        <v>-0.207400000000006</v>
      </c>
      <c r="AD3080">
        <v>-7.1701000000000195E-2</v>
      </c>
      <c r="AE3080">
        <v>-0.445099999999996</v>
      </c>
      <c r="AF3080">
        <v>0.141983747058819</v>
      </c>
      <c r="AG3080">
        <v>-7.1701000000000195E-2</v>
      </c>
      <c r="AH3080">
        <v>0.45935503158345298</v>
      </c>
      <c r="AI3080">
        <v>98.481966851189995</v>
      </c>
      <c r="AJ3080">
        <v>72.823950338437399</v>
      </c>
      <c r="AK3080">
        <v>0.48611466020980898</v>
      </c>
      <c r="AL3080">
        <v>82.144448348400601</v>
      </c>
      <c r="AM3080">
        <v>89.284173250830705</v>
      </c>
      <c r="AN3080">
        <v>1.00000002046345</v>
      </c>
    </row>
    <row r="3081" spans="1:40" x14ac:dyDescent="0.25">
      <c r="A3081" t="str">
        <f>"20190312164327625"</f>
        <v>20190312164327625</v>
      </c>
      <c r="B3081" t="str">
        <f>"1552380207618196"</f>
        <v>1552380207618196</v>
      </c>
      <c r="C3081" t="s">
        <v>40</v>
      </c>
      <c r="D3081">
        <v>4.2865719999999996</v>
      </c>
      <c r="E3081">
        <v>0.56798019999999905</v>
      </c>
      <c r="F3081" t="s">
        <v>41</v>
      </c>
      <c r="G3081">
        <v>-189.90649999999999</v>
      </c>
      <c r="H3081">
        <v>1.04488</v>
      </c>
      <c r="I3081">
        <v>187.7285</v>
      </c>
      <c r="J3081">
        <v>-189.7123</v>
      </c>
      <c r="K3081">
        <v>1.113235</v>
      </c>
      <c r="L3081">
        <v>188.13220000000001</v>
      </c>
      <c r="M3081">
        <v>-0.13183239999999999</v>
      </c>
      <c r="N3081">
        <v>0</v>
      </c>
      <c r="O3081">
        <v>-0.99117449999999996</v>
      </c>
      <c r="P3081">
        <v>-0.1428866</v>
      </c>
      <c r="Q3081">
        <v>0.1225603</v>
      </c>
      <c r="R3081">
        <v>-0.98212149999999998</v>
      </c>
      <c r="S3081">
        <v>-0.95036319999999996</v>
      </c>
      <c r="T3081">
        <v>-0.27709409999999901</v>
      </c>
      <c r="U3081">
        <v>-2.9484560000000002</v>
      </c>
      <c r="V3081">
        <v>1.121602E-2</v>
      </c>
      <c r="W3081">
        <v>0.1364216</v>
      </c>
      <c r="X3081">
        <v>0.99058740000000001</v>
      </c>
      <c r="Y3081">
        <v>0.17738319999999999</v>
      </c>
      <c r="Z3081">
        <v>8.9369680000000007E-2</v>
      </c>
      <c r="AA3081">
        <v>0.98007569999999999</v>
      </c>
      <c r="AB3081">
        <v>31</v>
      </c>
      <c r="AC3081">
        <v>-0.19419999999999499</v>
      </c>
      <c r="AD3081">
        <v>-6.8354999999999902E-2</v>
      </c>
      <c r="AE3081">
        <v>-0.40370000000001399</v>
      </c>
      <c r="AF3081">
        <v>0.136109898865381</v>
      </c>
      <c r="AG3081">
        <v>-6.8354999999999902E-2</v>
      </c>
      <c r="AH3081">
        <v>0.41609268025354101</v>
      </c>
      <c r="AI3081">
        <v>98.8743353368708</v>
      </c>
      <c r="AJ3081">
        <v>71.886335063884403</v>
      </c>
      <c r="AK3081">
        <v>0.44309302539615802</v>
      </c>
      <c r="AL3081">
        <v>82.159168030202494</v>
      </c>
      <c r="AM3081">
        <v>89.351290810835806</v>
      </c>
      <c r="AN3081">
        <v>1.0000000245449701</v>
      </c>
    </row>
    <row r="3082" spans="1:40" x14ac:dyDescent="0.25">
      <c r="A3082" t="str">
        <f>"20190312164327645"</f>
        <v>20190312164327645</v>
      </c>
      <c r="B3082" t="str">
        <f>"1552380207637717"</f>
        <v>1552380207637717</v>
      </c>
      <c r="C3082" t="s">
        <v>40</v>
      </c>
      <c r="D3082">
        <v>4.303312</v>
      </c>
      <c r="E3082">
        <v>0.56769239999999999</v>
      </c>
      <c r="F3082" t="s">
        <v>42</v>
      </c>
      <c r="G3082">
        <v>-193.5136</v>
      </c>
      <c r="H3082" s="1">
        <v>-3.7337829999999999E-6</v>
      </c>
      <c r="I3082">
        <v>176.12719999999999</v>
      </c>
      <c r="J3082">
        <v>-189.74680000000001</v>
      </c>
      <c r="K3082">
        <v>1.1133770000000001</v>
      </c>
      <c r="L3082">
        <v>187.84559999999999</v>
      </c>
      <c r="M3082">
        <v>-0.12816520000000001</v>
      </c>
      <c r="N3082">
        <v>0</v>
      </c>
      <c r="O3082">
        <v>-0.99165579999999998</v>
      </c>
      <c r="P3082">
        <v>-0.1372205</v>
      </c>
      <c r="Q3082">
        <v>0.1227345</v>
      </c>
      <c r="R3082">
        <v>-0.98290739999999999</v>
      </c>
      <c r="S3082">
        <v>-0.93496699999999999</v>
      </c>
      <c r="T3082">
        <v>-0.27381339999999998</v>
      </c>
      <c r="U3082">
        <v>-2.9527739999999998</v>
      </c>
      <c r="V3082">
        <v>9.1182109999999993E-3</v>
      </c>
      <c r="W3082">
        <v>0.1365652</v>
      </c>
      <c r="X3082">
        <v>0.9905891</v>
      </c>
      <c r="Y3082">
        <v>0.1759946</v>
      </c>
      <c r="Z3082">
        <v>8.8341059999999999E-2</v>
      </c>
      <c r="AA3082">
        <v>0.98041920000000005</v>
      </c>
      <c r="AB3082">
        <v>31</v>
      </c>
      <c r="AC3082">
        <v>-3.7667999999999799</v>
      </c>
      <c r="AD3082">
        <v>-1.113380733783</v>
      </c>
      <c r="AE3082">
        <v>-11.718400000000001</v>
      </c>
      <c r="AF3082">
        <v>2.21556570299748</v>
      </c>
      <c r="AG3082">
        <v>-1.113380733783</v>
      </c>
      <c r="AH3082">
        <v>12.006323929181301</v>
      </c>
      <c r="AI3082">
        <v>95.210572040657794</v>
      </c>
      <c r="AJ3082">
        <v>79.544643090584898</v>
      </c>
      <c r="AK3082">
        <v>12.259696665704601</v>
      </c>
      <c r="AL3082">
        <v>82.150862276790605</v>
      </c>
      <c r="AM3082">
        <v>89.472616594888393</v>
      </c>
      <c r="AN3082">
        <v>0.99999998033084503</v>
      </c>
    </row>
    <row r="3083" spans="1:40" x14ac:dyDescent="0.25">
      <c r="A3083" t="str">
        <f>"20190312164327666"</f>
        <v>20190312164327666</v>
      </c>
      <c r="B3083" t="str">
        <f>"1552380207658213"</f>
        <v>1552380207658213</v>
      </c>
      <c r="C3083" t="s">
        <v>40</v>
      </c>
      <c r="D3083">
        <v>5.6829029999999996</v>
      </c>
      <c r="E3083">
        <v>0.56584679999999998</v>
      </c>
      <c r="F3083" t="s">
        <v>42</v>
      </c>
      <c r="G3083">
        <v>-193.49260000000001</v>
      </c>
      <c r="H3083" s="1">
        <v>-3.5685370000000002E-6</v>
      </c>
      <c r="I3083">
        <v>175.74119999999999</v>
      </c>
      <c r="J3083">
        <v>-189.78110000000001</v>
      </c>
      <c r="K3083">
        <v>1.1134729999999999</v>
      </c>
      <c r="L3083">
        <v>187.54939999999999</v>
      </c>
      <c r="M3083">
        <v>-0.1243187</v>
      </c>
      <c r="N3083">
        <v>0</v>
      </c>
      <c r="O3083">
        <v>-0.99214550000000001</v>
      </c>
      <c r="P3083">
        <v>-0.13132959999999999</v>
      </c>
      <c r="Q3083">
        <v>0.1222921</v>
      </c>
      <c r="R3083">
        <v>-0.9837669</v>
      </c>
      <c r="S3083">
        <v>-0.9154968</v>
      </c>
      <c r="T3083">
        <v>-0.2721133</v>
      </c>
      <c r="U3083">
        <v>-2.9583439999999999</v>
      </c>
      <c r="V3083">
        <v>6.9840220000000003E-3</v>
      </c>
      <c r="W3083">
        <v>0.136092299999999</v>
      </c>
      <c r="X3083">
        <v>0.99067150000000004</v>
      </c>
      <c r="Y3083">
        <v>0.17341599999999999</v>
      </c>
      <c r="Z3083">
        <v>8.7809219999999993E-2</v>
      </c>
      <c r="AA3083">
        <v>0.98092630000000003</v>
      </c>
      <c r="AB3083">
        <v>31</v>
      </c>
      <c r="AC3083">
        <v>-3.7115</v>
      </c>
      <c r="AD3083">
        <v>-1.1134765685369901</v>
      </c>
      <c r="AE3083">
        <v>-11.808199999999999</v>
      </c>
      <c r="AF3083">
        <v>2.1968032913073001</v>
      </c>
      <c r="AG3083">
        <v>-1.1134765685369901</v>
      </c>
      <c r="AH3083">
        <v>12.080272878089501</v>
      </c>
      <c r="AI3083">
        <v>95.181742974516098</v>
      </c>
      <c r="AJ3083">
        <v>79.6933628068183</v>
      </c>
      <c r="AK3083">
        <v>12.328778024544199</v>
      </c>
      <c r="AL3083">
        <v>82.178212612690302</v>
      </c>
      <c r="AM3083">
        <v>89.596083711241207</v>
      </c>
      <c r="AN3083">
        <v>0.99999995579741696</v>
      </c>
    </row>
    <row r="3084" spans="1:40" x14ac:dyDescent="0.25">
      <c r="A3084" t="str">
        <f>"20190312164327688"</f>
        <v>20190312164327688</v>
      </c>
      <c r="B3084" t="str">
        <f>"1552380207677733"</f>
        <v>1552380207677733</v>
      </c>
      <c r="C3084" t="s">
        <v>40</v>
      </c>
      <c r="D3084">
        <v>4.4664409999999997</v>
      </c>
      <c r="E3084">
        <v>0.45830490000000002</v>
      </c>
      <c r="F3084" t="s">
        <v>41</v>
      </c>
      <c r="G3084">
        <v>-190.0462</v>
      </c>
      <c r="H3084">
        <v>1.030743</v>
      </c>
      <c r="I3084">
        <v>186.6584</v>
      </c>
      <c r="J3084">
        <v>-189.8135</v>
      </c>
      <c r="K3084">
        <v>1.113531</v>
      </c>
      <c r="L3084">
        <v>187.26</v>
      </c>
      <c r="M3084">
        <v>-0.12053030000000001</v>
      </c>
      <c r="N3084">
        <v>0</v>
      </c>
      <c r="O3084">
        <v>-0.99261319999999997</v>
      </c>
      <c r="P3084">
        <v>-0.1237733</v>
      </c>
      <c r="Q3084">
        <v>0.12075089999999999</v>
      </c>
      <c r="R3084">
        <v>-0.98493620000000004</v>
      </c>
      <c r="S3084">
        <v>-0.88233950000000005</v>
      </c>
      <c r="T3084">
        <v>-0.27541909999999997</v>
      </c>
      <c r="U3084">
        <v>-2.9659879999999998</v>
      </c>
      <c r="V3084">
        <v>3.1193079999999999E-3</v>
      </c>
      <c r="W3084">
        <v>0.13451050000000001</v>
      </c>
      <c r="X3084">
        <v>0.99090730000000005</v>
      </c>
      <c r="Y3084">
        <v>0.16638520000000001</v>
      </c>
      <c r="Z3084">
        <v>8.8907059999999996E-2</v>
      </c>
      <c r="AA3084">
        <v>0.98204460000000005</v>
      </c>
      <c r="AB3084">
        <v>31</v>
      </c>
      <c r="AC3084">
        <v>-0.23269999999999399</v>
      </c>
      <c r="AD3084">
        <v>-8.2788E-2</v>
      </c>
      <c r="AE3084">
        <v>-0.60159999999999003</v>
      </c>
      <c r="AF3084">
        <v>0.155916856014156</v>
      </c>
      <c r="AG3084">
        <v>-8.2788E-2</v>
      </c>
      <c r="AH3084">
        <v>0.61513046973134899</v>
      </c>
      <c r="AI3084">
        <v>97.432855652127799</v>
      </c>
      <c r="AJ3084">
        <v>75.776811693482102</v>
      </c>
      <c r="AK3084">
        <v>0.63996047825256297</v>
      </c>
      <c r="AL3084">
        <v>82.269684881555094</v>
      </c>
      <c r="AM3084">
        <v>89.819637424152404</v>
      </c>
      <c r="AN3084">
        <v>1.0000000409429599</v>
      </c>
    </row>
    <row r="3085" spans="1:40" x14ac:dyDescent="0.25">
      <c r="A3085" t="str">
        <f>"20190312164327723"</f>
        <v>20190312164327723</v>
      </c>
      <c r="B3085" t="str">
        <f>"1552380207717749"</f>
        <v>1552380207717749</v>
      </c>
      <c r="C3085" t="s">
        <v>40</v>
      </c>
      <c r="D3085">
        <v>4.2832129999999999</v>
      </c>
      <c r="E3085">
        <v>0.45675579999999999</v>
      </c>
      <c r="F3085" t="s">
        <v>42</v>
      </c>
      <c r="G3085">
        <v>-189.86199999999999</v>
      </c>
      <c r="H3085" s="1">
        <v>-9.8727180000000004E-7</v>
      </c>
      <c r="I3085">
        <v>171.87710000000001</v>
      </c>
      <c r="J3085">
        <v>-189.86410000000001</v>
      </c>
      <c r="K3085">
        <v>1.113604</v>
      </c>
      <c r="L3085">
        <v>186.78550000000001</v>
      </c>
      <c r="M3085">
        <v>-0.1142997</v>
      </c>
      <c r="N3085">
        <v>0</v>
      </c>
      <c r="O3085">
        <v>-0.99335030000000002</v>
      </c>
      <c r="P3085">
        <v>-0.1144989</v>
      </c>
      <c r="Q3085">
        <v>0.1193975</v>
      </c>
      <c r="R3085">
        <v>-0.9862225</v>
      </c>
      <c r="S3085">
        <v>-9.6893310000000007E-3</v>
      </c>
      <c r="T3085">
        <v>-0.22237190000000001</v>
      </c>
      <c r="U3085">
        <v>-3.0719599999999998</v>
      </c>
      <c r="V3085" s="1">
        <v>-2.6427209999999899E-5</v>
      </c>
      <c r="W3085">
        <v>0.1331155</v>
      </c>
      <c r="X3085">
        <v>0.99110050000000005</v>
      </c>
      <c r="Y3085">
        <v>-0.1111838</v>
      </c>
      <c r="Z3085">
        <v>7.1265519999999999E-2</v>
      </c>
      <c r="AA3085">
        <v>0.99124129999999999</v>
      </c>
      <c r="AB3085">
        <v>31</v>
      </c>
      <c r="AC3085">
        <v>2.1000000000128598E-3</v>
      </c>
      <c r="AD3085">
        <v>-1.1136049872717999</v>
      </c>
      <c r="AE3085">
        <v>-14.9084</v>
      </c>
      <c r="AF3085">
        <v>-1.6968069924119999</v>
      </c>
      <c r="AG3085">
        <v>-1.1136049872717999</v>
      </c>
      <c r="AH3085">
        <v>14.7282590087408</v>
      </c>
      <c r="AI3085">
        <v>94.295605840950699</v>
      </c>
      <c r="AJ3085">
        <v>96.571934015180304</v>
      </c>
      <c r="AK3085">
        <v>14.8674437434863</v>
      </c>
      <c r="AL3085">
        <v>82.350337288847797</v>
      </c>
      <c r="AM3085">
        <v>90.001527763932003</v>
      </c>
      <c r="AN3085">
        <v>0.99999996906944799</v>
      </c>
    </row>
    <row r="3086" spans="1:40" x14ac:dyDescent="0.25">
      <c r="A3086" t="str">
        <f>"20190312164327745"</f>
        <v>20190312164327745</v>
      </c>
      <c r="B3086" t="str">
        <f>"1552380207737272"</f>
        <v>1552380207737272</v>
      </c>
      <c r="C3086" t="s">
        <v>40</v>
      </c>
      <c r="D3086">
        <v>4.3496319999999997</v>
      </c>
      <c r="E3086">
        <v>0.4576288</v>
      </c>
      <c r="F3086" t="s">
        <v>42</v>
      </c>
      <c r="G3086">
        <v>-189.69890000000001</v>
      </c>
      <c r="H3086" s="1">
        <v>-5.9575169999999904E-7</v>
      </c>
      <c r="I3086">
        <v>170.89699999999999</v>
      </c>
      <c r="J3086">
        <v>-189.89449999999999</v>
      </c>
      <c r="K3086">
        <v>1.1136239999999999</v>
      </c>
      <c r="L3086">
        <v>186.4854</v>
      </c>
      <c r="M3086">
        <v>-0.1103611</v>
      </c>
      <c r="N3086">
        <v>0</v>
      </c>
      <c r="O3086">
        <v>-0.99379580000000001</v>
      </c>
      <c r="P3086">
        <v>-0.10949349999999999</v>
      </c>
      <c r="Q3086">
        <v>0.1192993</v>
      </c>
      <c r="R3086">
        <v>-0.98680259999999997</v>
      </c>
      <c r="S3086">
        <v>3.1951899999999998E-2</v>
      </c>
      <c r="T3086">
        <v>-0.2152905</v>
      </c>
      <c r="U3086">
        <v>-3.0716860000000001</v>
      </c>
      <c r="V3086">
        <v>-1.1378499999999999E-3</v>
      </c>
      <c r="W3086">
        <v>0.13299839999999999</v>
      </c>
      <c r="X3086">
        <v>0.99111559999999999</v>
      </c>
      <c r="Y3086">
        <v>-0.1206777</v>
      </c>
      <c r="Z3086">
        <v>6.9019469999999999E-2</v>
      </c>
      <c r="AA3086">
        <v>0.99028939999999999</v>
      </c>
      <c r="AB3086">
        <v>31</v>
      </c>
      <c r="AC3086">
        <v>0.19559999999998401</v>
      </c>
      <c r="AD3086">
        <v>-1.1136245957516999</v>
      </c>
      <c r="AE3086">
        <v>-15.588399999999901</v>
      </c>
      <c r="AF3086">
        <v>-1.9051998763998299</v>
      </c>
      <c r="AG3086">
        <v>-1.1136245957516999</v>
      </c>
      <c r="AH3086">
        <v>15.393025182867101</v>
      </c>
      <c r="AI3086">
        <v>94.106686886578899</v>
      </c>
      <c r="AJ3086">
        <v>97.055635158662</v>
      </c>
      <c r="AK3086">
        <v>15.550407409122</v>
      </c>
      <c r="AL3086">
        <v>82.357107061047202</v>
      </c>
      <c r="AM3086">
        <v>90.065778375475702</v>
      </c>
      <c r="AN3086">
        <v>1.00000000083427</v>
      </c>
    </row>
    <row r="3087" spans="1:40" x14ac:dyDescent="0.25">
      <c r="A3087" t="str">
        <f>"20190312164327767"</f>
        <v>20190312164327767</v>
      </c>
      <c r="B3087" t="str">
        <f>"1552380207757768"</f>
        <v>1552380207757768</v>
      </c>
      <c r="C3087" t="s">
        <v>40</v>
      </c>
      <c r="D3087">
        <v>4.4789770000000004</v>
      </c>
      <c r="E3087">
        <v>0.45883259999999998</v>
      </c>
      <c r="F3087" t="s">
        <v>42</v>
      </c>
      <c r="G3087">
        <v>-189.6823</v>
      </c>
      <c r="H3087" s="1">
        <v>-5.6351750000000004E-7</v>
      </c>
      <c r="I3087">
        <v>170.815</v>
      </c>
      <c r="J3087">
        <v>-189.92259999999999</v>
      </c>
      <c r="K3087">
        <v>1.113648</v>
      </c>
      <c r="L3087">
        <v>186.19649999999999</v>
      </c>
      <c r="M3087">
        <v>-0.1065734</v>
      </c>
      <c r="N3087">
        <v>0</v>
      </c>
      <c r="O3087">
        <v>-0.99420920000000002</v>
      </c>
      <c r="P3087">
        <v>-0.1056827</v>
      </c>
      <c r="Q3087">
        <v>0.11934839999999999</v>
      </c>
      <c r="R3087">
        <v>-0.98721210000000004</v>
      </c>
      <c r="S3087">
        <v>4.1595460000000001E-2</v>
      </c>
      <c r="T3087">
        <v>-0.21825049999999999</v>
      </c>
      <c r="U3087">
        <v>-3.0711210000000002</v>
      </c>
      <c r="V3087">
        <v>-1.1931380000000001E-3</v>
      </c>
      <c r="W3087">
        <v>0.1330385</v>
      </c>
      <c r="X3087">
        <v>0.99111009999999999</v>
      </c>
      <c r="Y3087">
        <v>-0.120005</v>
      </c>
      <c r="Z3087">
        <v>7.0021929999999996E-2</v>
      </c>
      <c r="AA3087">
        <v>0.99030079999999998</v>
      </c>
      <c r="AB3087">
        <v>31</v>
      </c>
      <c r="AC3087">
        <v>0.24029999999998999</v>
      </c>
      <c r="AD3087">
        <v>-1.1136485635175</v>
      </c>
      <c r="AE3087">
        <v>-15.3814999999999</v>
      </c>
      <c r="AF3087">
        <v>-1.86855323106514</v>
      </c>
      <c r="AG3087">
        <v>-1.1136485635175</v>
      </c>
      <c r="AH3087">
        <v>15.1886711884499</v>
      </c>
      <c r="AI3087">
        <v>94.162212987158398</v>
      </c>
      <c r="AJ3087">
        <v>97.013448360704103</v>
      </c>
      <c r="AK3087">
        <v>15.3436448333242</v>
      </c>
      <c r="AL3087">
        <v>82.354788495223403</v>
      </c>
      <c r="AM3087">
        <v>90.068974918884095</v>
      </c>
      <c r="AN3087">
        <v>0.99999994819127203</v>
      </c>
    </row>
    <row r="3088" spans="1:40" x14ac:dyDescent="0.25">
      <c r="A3088" t="str">
        <f>"20190312164327789"</f>
        <v>20190312164327789</v>
      </c>
      <c r="B3088" t="str">
        <f>"1552380207778265"</f>
        <v>1552380207778265</v>
      </c>
      <c r="C3088" t="s">
        <v>40</v>
      </c>
      <c r="D3088">
        <v>4.7020309999999998</v>
      </c>
      <c r="E3088">
        <v>0.45991880000000002</v>
      </c>
      <c r="F3088" t="s">
        <v>42</v>
      </c>
      <c r="G3088">
        <v>-189.69810000000001</v>
      </c>
      <c r="H3088" s="1">
        <v>-4.393469E-7</v>
      </c>
      <c r="I3088">
        <v>170.53210000000001</v>
      </c>
      <c r="J3088">
        <v>-189.95089999999999</v>
      </c>
      <c r="K3088">
        <v>1.1136520000000001</v>
      </c>
      <c r="L3088">
        <v>185.893</v>
      </c>
      <c r="M3088">
        <v>-0.10259500000000001</v>
      </c>
      <c r="N3088">
        <v>0</v>
      </c>
      <c r="O3088">
        <v>-0.9946275</v>
      </c>
      <c r="P3088">
        <v>-0.1018145</v>
      </c>
      <c r="Q3088">
        <v>0.1195276</v>
      </c>
      <c r="R3088">
        <v>-0.98759669999999999</v>
      </c>
      <c r="S3088">
        <v>4.3991089999999997E-2</v>
      </c>
      <c r="T3088">
        <v>-0.2182568</v>
      </c>
      <c r="U3088">
        <v>-3.0699770000000002</v>
      </c>
      <c r="V3088">
        <v>-1.1122980000000001E-3</v>
      </c>
      <c r="W3088">
        <v>0.1332101</v>
      </c>
      <c r="X3088">
        <v>0.99108719999999995</v>
      </c>
      <c r="Y3088">
        <v>-0.1168102</v>
      </c>
      <c r="Z3088">
        <v>7.0107520000000006E-2</v>
      </c>
      <c r="AA3088">
        <v>0.99067669999999997</v>
      </c>
      <c r="AB3088">
        <v>31</v>
      </c>
      <c r="AC3088">
        <v>0.25279999999997899</v>
      </c>
      <c r="AD3088">
        <v>-1.1136524393468901</v>
      </c>
      <c r="AE3088">
        <v>-15.3608999999999</v>
      </c>
      <c r="AF3088">
        <v>-1.81801423217794</v>
      </c>
      <c r="AG3088">
        <v>-1.1136524393468901</v>
      </c>
      <c r="AH3088">
        <v>15.174154088656</v>
      </c>
      <c r="AI3088">
        <v>94.167791683992306</v>
      </c>
      <c r="AJ3088">
        <v>96.832037157146203</v>
      </c>
      <c r="AK3088">
        <v>15.3231964619116</v>
      </c>
      <c r="AL3088">
        <v>82.344868664123894</v>
      </c>
      <c r="AM3088">
        <v>90.064303074647299</v>
      </c>
      <c r="AN3088">
        <v>1.0000000029763401</v>
      </c>
    </row>
    <row r="3089" spans="1:40" x14ac:dyDescent="0.25">
      <c r="A3089" t="str">
        <f>"20190312164327813"</f>
        <v>20190312164327813</v>
      </c>
      <c r="B3089" t="str">
        <f>"1552380207807541"</f>
        <v>1552380207807541</v>
      </c>
      <c r="C3089" t="s">
        <v>40</v>
      </c>
      <c r="D3089">
        <v>4.4158010000000001</v>
      </c>
      <c r="E3089">
        <v>0.46090209999999998</v>
      </c>
      <c r="F3089" t="s">
        <v>42</v>
      </c>
      <c r="G3089">
        <v>-189.70959999999999</v>
      </c>
      <c r="H3089" s="1">
        <v>-3.5426980000000002E-7</v>
      </c>
      <c r="I3089">
        <v>170.33850000000001</v>
      </c>
      <c r="J3089">
        <v>-189.97919999999999</v>
      </c>
      <c r="K3089">
        <v>1.1136569999999999</v>
      </c>
      <c r="L3089">
        <v>185.5753</v>
      </c>
      <c r="M3089">
        <v>-9.8433149999999997E-2</v>
      </c>
      <c r="N3089">
        <v>0</v>
      </c>
      <c r="O3089">
        <v>-0.99504820000000005</v>
      </c>
      <c r="P3089">
        <v>-9.8247639999999997E-2</v>
      </c>
      <c r="Q3089">
        <v>0.120130399999999</v>
      </c>
      <c r="R3089">
        <v>-0.98788469999999995</v>
      </c>
      <c r="S3089">
        <v>4.7607419999999998E-2</v>
      </c>
      <c r="T3089">
        <v>-0.21974460000000001</v>
      </c>
      <c r="U3089">
        <v>-3.0691830000000002</v>
      </c>
      <c r="V3089">
        <v>-5.4325769999999905E-4</v>
      </c>
      <c r="W3089">
        <v>0.13380929999999999</v>
      </c>
      <c r="X3089">
        <v>0.99100699999999997</v>
      </c>
      <c r="Y3089">
        <v>-0.1138251</v>
      </c>
      <c r="Z3089">
        <v>7.0657919999999999E-2</v>
      </c>
      <c r="AA3089">
        <v>0.990985</v>
      </c>
      <c r="AB3089">
        <v>31</v>
      </c>
      <c r="AC3089">
        <v>0.26959999999999601</v>
      </c>
      <c r="AD3089">
        <v>-1.1136573542697901</v>
      </c>
      <c r="AE3089">
        <v>-15.236799999999899</v>
      </c>
      <c r="AF3089">
        <v>-1.75884613090182</v>
      </c>
      <c r="AG3089">
        <v>-1.1136573542697901</v>
      </c>
      <c r="AH3089">
        <v>15.055845476708701</v>
      </c>
      <c r="AI3089">
        <v>94.201903530912801</v>
      </c>
      <c r="AJ3089">
        <v>96.663175852893701</v>
      </c>
      <c r="AK3089">
        <v>15.1990873223834</v>
      </c>
      <c r="AL3089">
        <v>82.310227258280506</v>
      </c>
      <c r="AM3089">
        <v>90.031408829887198</v>
      </c>
      <c r="AN3089">
        <v>1.0000000489722001</v>
      </c>
    </row>
    <row r="3090" spans="1:40" x14ac:dyDescent="0.25">
      <c r="A3090" t="str">
        <f>"20190312164327835"</f>
        <v>20190312164327835</v>
      </c>
      <c r="B3090" t="str">
        <f>"1552380207828037"</f>
        <v>1552380207828037</v>
      </c>
      <c r="C3090" t="s">
        <v>40</v>
      </c>
      <c r="D3090">
        <v>4.382263</v>
      </c>
      <c r="E3090">
        <v>0.46175149999999998</v>
      </c>
      <c r="F3090" t="s">
        <v>42</v>
      </c>
      <c r="G3090">
        <v>-189.72810000000001</v>
      </c>
      <c r="H3090" s="1">
        <v>-3.6255080000000002E-7</v>
      </c>
      <c r="I3090">
        <v>170.3655</v>
      </c>
      <c r="J3090">
        <v>-190.005</v>
      </c>
      <c r="K3090">
        <v>1.1136619999999999</v>
      </c>
      <c r="L3090">
        <v>185.27250000000001</v>
      </c>
      <c r="M3090">
        <v>-9.4467679999999998E-2</v>
      </c>
      <c r="N3090">
        <v>0</v>
      </c>
      <c r="O3090">
        <v>-0.9954326</v>
      </c>
      <c r="P3090">
        <v>-9.4267260000000005E-2</v>
      </c>
      <c r="Q3090">
        <v>0.1212352</v>
      </c>
      <c r="R3090">
        <v>-0.98813770000000001</v>
      </c>
      <c r="S3090">
        <v>5.0674440000000001E-2</v>
      </c>
      <c r="T3090">
        <v>-0.2247219</v>
      </c>
      <c r="U3090">
        <v>-3.069153</v>
      </c>
      <c r="V3090">
        <v>-5.8286589999999999E-4</v>
      </c>
      <c r="W3090">
        <v>0.134906</v>
      </c>
      <c r="X3090">
        <v>0.99085829999999997</v>
      </c>
      <c r="Y3090">
        <v>-0.11085440000000001</v>
      </c>
      <c r="Z3090">
        <v>7.2304389999999996E-2</v>
      </c>
      <c r="AA3090">
        <v>0.99120299999999995</v>
      </c>
      <c r="AB3090">
        <v>31</v>
      </c>
      <c r="AC3090">
        <v>0.27689999999998299</v>
      </c>
      <c r="AD3090">
        <v>-1.1136623625508</v>
      </c>
      <c r="AE3090">
        <v>-14.907</v>
      </c>
      <c r="AF3090">
        <v>-1.6746813251500201</v>
      </c>
      <c r="AG3090">
        <v>-1.1136623625508</v>
      </c>
      <c r="AH3090">
        <v>14.7319680604424</v>
      </c>
      <c r="AI3090">
        <v>94.2954888108505</v>
      </c>
      <c r="AJ3090">
        <v>96.485354599005603</v>
      </c>
      <c r="AK3090">
        <v>14.868614068986499</v>
      </c>
      <c r="AL3090">
        <v>82.246816182014697</v>
      </c>
      <c r="AM3090">
        <v>90.033703862842998</v>
      </c>
      <c r="AN3090">
        <v>1.0000000696237701</v>
      </c>
    </row>
    <row r="3091" spans="1:40" x14ac:dyDescent="0.25">
      <c r="A3091" t="str">
        <f>"20190312164327857"</f>
        <v>20190312164327857</v>
      </c>
      <c r="B3091" t="str">
        <f>"1552380207847556"</f>
        <v>1552380207847556</v>
      </c>
      <c r="C3091" t="s">
        <v>40</v>
      </c>
      <c r="D3091">
        <v>4.6005229999999999</v>
      </c>
      <c r="E3091">
        <v>0.46246209999999999</v>
      </c>
      <c r="F3091" t="s">
        <v>42</v>
      </c>
      <c r="G3091">
        <v>-189.72489999999999</v>
      </c>
      <c r="H3091" s="1">
        <v>-1.473582E-7</v>
      </c>
      <c r="I3091">
        <v>169.86250000000001</v>
      </c>
      <c r="J3091">
        <v>-190.02879999999999</v>
      </c>
      <c r="K3091">
        <v>1.1136549999999901</v>
      </c>
      <c r="L3091">
        <v>184.9786</v>
      </c>
      <c r="M3091">
        <v>-9.0618149999999995E-2</v>
      </c>
      <c r="N3091">
        <v>0</v>
      </c>
      <c r="O3091">
        <v>-0.99579050000000002</v>
      </c>
      <c r="P3091">
        <v>-9.0971679999999999E-2</v>
      </c>
      <c r="Q3091">
        <v>0.1222642</v>
      </c>
      <c r="R3091">
        <v>-0.98831990000000003</v>
      </c>
      <c r="S3091">
        <v>5.577087E-2</v>
      </c>
      <c r="T3091">
        <v>-0.22176070000000001</v>
      </c>
      <c r="U3091">
        <v>-3.0685579999999999</v>
      </c>
      <c r="V3091" s="1">
        <v>-5.047722E-5</v>
      </c>
      <c r="W3091">
        <v>0.13593259999999999</v>
      </c>
      <c r="X3091">
        <v>0.99071810000000005</v>
      </c>
      <c r="Y3091">
        <v>-0.1086616</v>
      </c>
      <c r="Z3091">
        <v>7.1416740000000006E-2</v>
      </c>
      <c r="AA3091">
        <v>0.99151009999999995</v>
      </c>
      <c r="AB3091">
        <v>31</v>
      </c>
      <c r="AC3091">
        <v>0.30389999999999801</v>
      </c>
      <c r="AD3091">
        <v>-1.1136551473581999</v>
      </c>
      <c r="AE3091">
        <v>-15.1160999999999</v>
      </c>
      <c r="AF3091">
        <v>-1.6635466324600301</v>
      </c>
      <c r="AG3091">
        <v>-1.1136551473581999</v>
      </c>
      <c r="AH3091">
        <v>14.9452679224877</v>
      </c>
      <c r="AI3091">
        <v>94.235490260681601</v>
      </c>
      <c r="AJ3091">
        <v>96.351405839732195</v>
      </c>
      <c r="AK3091">
        <v>15.078748239179101</v>
      </c>
      <c r="AL3091">
        <v>82.187449035128196</v>
      </c>
      <c r="AM3091">
        <v>90.002919227644099</v>
      </c>
      <c r="AN3091">
        <v>1.0000000139791501</v>
      </c>
    </row>
    <row r="3092" spans="1:40" x14ac:dyDescent="0.25">
      <c r="A3092" t="str">
        <f>"20190312164327877"</f>
        <v>20190312164327877</v>
      </c>
      <c r="B3092" t="str">
        <f>"1552380207868052"</f>
        <v>1552380207868052</v>
      </c>
      <c r="C3092" t="s">
        <v>40</v>
      </c>
      <c r="D3092">
        <v>4.5885049999999996</v>
      </c>
      <c r="E3092">
        <v>0.46324530000000003</v>
      </c>
      <c r="F3092" t="s">
        <v>42</v>
      </c>
      <c r="G3092">
        <v>-189.7218</v>
      </c>
      <c r="H3092" s="1">
        <v>-4.6704100000000001E-6</v>
      </c>
      <c r="I3092">
        <v>169.40700000000001</v>
      </c>
      <c r="J3092">
        <v>-190.05099999999999</v>
      </c>
      <c r="K3092">
        <v>1.113656</v>
      </c>
      <c r="L3092">
        <v>184.69130000000001</v>
      </c>
      <c r="M3092">
        <v>-8.6857009999999998E-2</v>
      </c>
      <c r="N3092">
        <v>0</v>
      </c>
      <c r="O3092">
        <v>-0.99612560000000006</v>
      </c>
      <c r="P3092">
        <v>-8.7539290000000006E-2</v>
      </c>
      <c r="Q3092">
        <v>0.1232849</v>
      </c>
      <c r="R3092">
        <v>-0.98850269999999996</v>
      </c>
      <c r="S3092">
        <v>6.0485839999999999E-2</v>
      </c>
      <c r="T3092">
        <v>-0.21943099999999999</v>
      </c>
      <c r="U3092">
        <v>-3.0681609999999999</v>
      </c>
      <c r="V3092">
        <v>2.5522989999999997E-4</v>
      </c>
      <c r="W3092">
        <v>0.13694970000000001</v>
      </c>
      <c r="X3092">
        <v>0.99057799999999996</v>
      </c>
      <c r="Y3092">
        <v>-0.1064339</v>
      </c>
      <c r="Z3092">
        <v>7.0722779999999999E-2</v>
      </c>
      <c r="AA3092">
        <v>0.99180140000000006</v>
      </c>
      <c r="AB3092">
        <v>31</v>
      </c>
      <c r="AC3092">
        <v>0.329199999999985</v>
      </c>
      <c r="AD3092">
        <v>-1.1136606704100001</v>
      </c>
      <c r="AE3092">
        <v>-15.2843</v>
      </c>
      <c r="AF3092">
        <v>-1.6468908190149201</v>
      </c>
      <c r="AG3092">
        <v>-1.1136606704100001</v>
      </c>
      <c r="AH3092">
        <v>15.117707334021</v>
      </c>
      <c r="AI3092">
        <v>94.188448567431806</v>
      </c>
      <c r="AJ3092">
        <v>96.217163488002896</v>
      </c>
      <c r="AK3092">
        <v>15.2478708184351</v>
      </c>
      <c r="AL3092">
        <v>82.128623493898203</v>
      </c>
      <c r="AM3092">
        <v>89.985237310184601</v>
      </c>
      <c r="AN3092">
        <v>1.0000000297781899</v>
      </c>
    </row>
    <row r="3093" spans="1:40" x14ac:dyDescent="0.25">
      <c r="A3093" t="str">
        <f>"20190312164327900"</f>
        <v>20190312164327900</v>
      </c>
      <c r="B3093" t="str">
        <f>"1552380207897332"</f>
        <v>1552380207897332</v>
      </c>
      <c r="C3093" t="s">
        <v>40</v>
      </c>
      <c r="D3093">
        <v>4.594703</v>
      </c>
      <c r="E3093">
        <v>0.46402009999999999</v>
      </c>
      <c r="F3093" t="s">
        <v>42</v>
      </c>
      <c r="G3093">
        <v>-189.71629999999999</v>
      </c>
      <c r="H3093" s="1">
        <v>-4.5119580000000003E-6</v>
      </c>
      <c r="I3093">
        <v>169.06970000000001</v>
      </c>
      <c r="J3093">
        <v>-190.07310000000001</v>
      </c>
      <c r="K3093">
        <v>1.113658</v>
      </c>
      <c r="L3093">
        <v>184.39089999999999</v>
      </c>
      <c r="M3093">
        <v>-8.2923499999999997E-2</v>
      </c>
      <c r="N3093">
        <v>0</v>
      </c>
      <c r="O3093">
        <v>-0.99646089999999998</v>
      </c>
      <c r="P3093">
        <v>-8.3697839999999996E-2</v>
      </c>
      <c r="Q3093">
        <v>0.12401619999999999</v>
      </c>
      <c r="R3093">
        <v>-0.98874410000000001</v>
      </c>
      <c r="S3093">
        <v>6.5734860000000006E-2</v>
      </c>
      <c r="T3093">
        <v>-0.21871750000000001</v>
      </c>
      <c r="U3093">
        <v>-3.0680079999999998</v>
      </c>
      <c r="V3093">
        <v>3.2060500000000001E-4</v>
      </c>
      <c r="W3093">
        <v>0.1376761</v>
      </c>
      <c r="X3093">
        <v>0.9904773</v>
      </c>
      <c r="Y3093">
        <v>-0.1042054</v>
      </c>
      <c r="Z3093">
        <v>7.0540320000000004E-2</v>
      </c>
      <c r="AA3093">
        <v>0.99205109999999996</v>
      </c>
      <c r="AB3093">
        <v>30</v>
      </c>
      <c r="AC3093">
        <v>0.35680000000002099</v>
      </c>
      <c r="AD3093">
        <v>-1.1136625119579999</v>
      </c>
      <c r="AE3093">
        <v>-15.3211999999999</v>
      </c>
      <c r="AF3093">
        <v>-1.61763660875564</v>
      </c>
      <c r="AG3093">
        <v>-1.1136625119579999</v>
      </c>
      <c r="AH3093">
        <v>15.158784565475999</v>
      </c>
      <c r="AI3093">
        <v>94.178133091445204</v>
      </c>
      <c r="AJ3093">
        <v>96.091142634375203</v>
      </c>
      <c r="AK3093">
        <v>15.28547486639</v>
      </c>
      <c r="AL3093">
        <v>82.086605970626096</v>
      </c>
      <c r="AM3093">
        <v>89.981454080018494</v>
      </c>
      <c r="AN3093">
        <v>1.00000004655703</v>
      </c>
    </row>
    <row r="3094" spans="1:40" x14ac:dyDescent="0.25">
      <c r="A3094" t="str">
        <f>"20190312164327923"</f>
        <v>20190312164327923</v>
      </c>
      <c r="B3094" t="str">
        <f>"1552380207917829"</f>
        <v>1552380207917829</v>
      </c>
      <c r="C3094" t="s">
        <v>40</v>
      </c>
      <c r="D3094">
        <v>4.6339160000000001</v>
      </c>
      <c r="E3094">
        <v>0.46457080000000001</v>
      </c>
      <c r="F3094" t="s">
        <v>42</v>
      </c>
      <c r="G3094">
        <v>-189.7124</v>
      </c>
      <c r="H3094" s="1">
        <v>-4.4740660000000004E-6</v>
      </c>
      <c r="I3094">
        <v>168.9881</v>
      </c>
      <c r="J3094">
        <v>-190.09460000000001</v>
      </c>
      <c r="K3094">
        <v>1.1136539999999999</v>
      </c>
      <c r="L3094">
        <v>184.0789</v>
      </c>
      <c r="M3094">
        <v>-7.8846079999999999E-2</v>
      </c>
      <c r="N3094">
        <v>0</v>
      </c>
      <c r="O3094">
        <v>-0.99679180000000001</v>
      </c>
      <c r="P3094">
        <v>-7.9127890000000006E-2</v>
      </c>
      <c r="Q3094">
        <v>0.124038</v>
      </c>
      <c r="R3094">
        <v>-0.98911769999999999</v>
      </c>
      <c r="S3094">
        <v>7.1838379999999993E-2</v>
      </c>
      <c r="T3094">
        <v>-0.22182859999999999</v>
      </c>
      <c r="U3094">
        <v>-3.0680540000000001</v>
      </c>
      <c r="V3094">
        <v>-2.0244109999999999E-4</v>
      </c>
      <c r="W3094">
        <v>0.1376898</v>
      </c>
      <c r="X3094">
        <v>0.99047540000000001</v>
      </c>
      <c r="Y3094">
        <v>-0.1021068</v>
      </c>
      <c r="Z3094">
        <v>7.1579519999999994E-2</v>
      </c>
      <c r="AA3094">
        <v>0.99219480000000004</v>
      </c>
      <c r="AB3094">
        <v>30</v>
      </c>
      <c r="AC3094">
        <v>0.38220000000001098</v>
      </c>
      <c r="AD3094">
        <v>-1.113658474066</v>
      </c>
      <c r="AE3094">
        <v>-15.0908</v>
      </c>
      <c r="AF3094">
        <v>-1.5624692408640199</v>
      </c>
      <c r="AG3094">
        <v>-1.113658474066</v>
      </c>
      <c r="AH3094">
        <v>14.932402521482</v>
      </c>
      <c r="AI3094">
        <v>94.242147952668006</v>
      </c>
      <c r="AJ3094">
        <v>95.973472930336101</v>
      </c>
      <c r="AK3094">
        <v>15.055171549639301</v>
      </c>
      <c r="AL3094">
        <v>82.085813259519</v>
      </c>
      <c r="AM3094">
        <v>90.011710558857303</v>
      </c>
      <c r="AN3094">
        <v>1.0000000200057899</v>
      </c>
    </row>
    <row r="3095" spans="1:40" x14ac:dyDescent="0.25">
      <c r="A3095" t="str">
        <f>"20190312164327948"</f>
        <v>20190312164327948</v>
      </c>
      <c r="B3095" t="str">
        <f>"1552380207937351"</f>
        <v>1552380207937351</v>
      </c>
      <c r="C3095" t="s">
        <v>40</v>
      </c>
      <c r="D3095">
        <v>4.6779590000000004</v>
      </c>
      <c r="E3095">
        <v>0.46507399999999999</v>
      </c>
      <c r="F3095" t="s">
        <v>42</v>
      </c>
      <c r="G3095">
        <v>-189.691</v>
      </c>
      <c r="H3095" s="1">
        <v>-4.4383399999999998E-6</v>
      </c>
      <c r="I3095">
        <v>168.90450000000001</v>
      </c>
      <c r="J3095">
        <v>-190.1156</v>
      </c>
      <c r="K3095">
        <v>1.113639</v>
      </c>
      <c r="L3095">
        <v>183.7552</v>
      </c>
      <c r="M3095">
        <v>-7.4633969999999994E-2</v>
      </c>
      <c r="N3095">
        <v>0</v>
      </c>
      <c r="O3095">
        <v>-0.997116</v>
      </c>
      <c r="P3095">
        <v>-7.4982399999999894E-2</v>
      </c>
      <c r="Q3095">
        <v>0.12512960000000001</v>
      </c>
      <c r="R3095">
        <v>-0.98930300000000004</v>
      </c>
      <c r="S3095">
        <v>8.1603999999999996E-2</v>
      </c>
      <c r="T3095">
        <v>-0.22514429999999999</v>
      </c>
      <c r="U3095">
        <v>-3.0677639999999999</v>
      </c>
      <c r="V3095">
        <v>-1.6085519999999999E-4</v>
      </c>
      <c r="W3095">
        <v>0.13877600000000001</v>
      </c>
      <c r="X3095">
        <v>0.99032379999999998</v>
      </c>
      <c r="Y3095">
        <v>-0.1010605</v>
      </c>
      <c r="Z3095">
        <v>7.2687160000000001E-2</v>
      </c>
      <c r="AA3095">
        <v>0.99222140000000003</v>
      </c>
      <c r="AB3095">
        <v>30</v>
      </c>
      <c r="AC3095">
        <v>0.42460000000002601</v>
      </c>
      <c r="AD3095">
        <v>-1.11364343834</v>
      </c>
      <c r="AE3095">
        <v>-14.8506999999999</v>
      </c>
      <c r="AF3095">
        <v>-1.5233279932358601</v>
      </c>
      <c r="AG3095">
        <v>-1.11364343834</v>
      </c>
      <c r="AH3095">
        <v>14.695012550942099</v>
      </c>
      <c r="AI3095">
        <v>94.310793950925003</v>
      </c>
      <c r="AJ3095">
        <v>95.918309152483999</v>
      </c>
      <c r="AK3095">
        <v>14.8156715593685</v>
      </c>
      <c r="AL3095">
        <v>82.022975293324706</v>
      </c>
      <c r="AM3095">
        <v>90.009306374330905</v>
      </c>
      <c r="AN3095">
        <v>1.00000001644841</v>
      </c>
    </row>
    <row r="3096" spans="1:40" x14ac:dyDescent="0.25">
      <c r="A3096" t="str">
        <f>"20190312164327966"</f>
        <v>20190312164327966</v>
      </c>
      <c r="B3096" t="str">
        <f>"1552380207957845"</f>
        <v>1552380207957845</v>
      </c>
      <c r="C3096" t="s">
        <v>40</v>
      </c>
      <c r="D3096">
        <v>4.5558940000000003</v>
      </c>
      <c r="E3096">
        <v>0.46554889999999999</v>
      </c>
      <c r="F3096" t="s">
        <v>42</v>
      </c>
      <c r="G3096">
        <v>-189.66399999999999</v>
      </c>
      <c r="H3096" s="1">
        <v>-4.2315019999999997E-6</v>
      </c>
      <c r="I3096">
        <v>168.45679999999999</v>
      </c>
      <c r="J3096">
        <v>-190.1317</v>
      </c>
      <c r="K3096">
        <v>1.113626</v>
      </c>
      <c r="L3096">
        <v>183.4931</v>
      </c>
      <c r="M3096">
        <v>-7.1241079999999998E-2</v>
      </c>
      <c r="N3096">
        <v>0</v>
      </c>
      <c r="O3096">
        <v>-0.99736429999999998</v>
      </c>
      <c r="P3096">
        <v>-7.1537879999999998E-2</v>
      </c>
      <c r="Q3096">
        <v>0.12644259999999999</v>
      </c>
      <c r="R3096">
        <v>-0.98939129999999997</v>
      </c>
      <c r="S3096">
        <v>9.0560909999999994E-2</v>
      </c>
      <c r="T3096">
        <v>-0.22330149999999999</v>
      </c>
      <c r="U3096">
        <v>-3.0675509999999999</v>
      </c>
      <c r="V3096">
        <v>-2.316451E-4</v>
      </c>
      <c r="W3096">
        <v>0.1400825</v>
      </c>
      <c r="X3096">
        <v>0.99013980000000001</v>
      </c>
      <c r="Y3096">
        <v>-0.1005736</v>
      </c>
      <c r="Z3096">
        <v>7.2126220000000005E-2</v>
      </c>
      <c r="AA3096">
        <v>0.99231179999999997</v>
      </c>
      <c r="AB3096">
        <v>30</v>
      </c>
      <c r="AC3096">
        <v>0.46769999999997902</v>
      </c>
      <c r="AD3096">
        <v>-1.1136302315019999</v>
      </c>
      <c r="AE3096">
        <v>-15.036300000000001</v>
      </c>
      <c r="AF3096">
        <v>-1.5294337014875301</v>
      </c>
      <c r="AG3096">
        <v>-1.1136302315019999</v>
      </c>
      <c r="AH3096">
        <v>14.883204943843801</v>
      </c>
      <c r="AI3096">
        <v>94.256826967103507</v>
      </c>
      <c r="AJ3096">
        <v>95.8672560893162</v>
      </c>
      <c r="AK3096">
        <v>15.002970677176499</v>
      </c>
      <c r="AL3096">
        <v>81.947379742031501</v>
      </c>
      <c r="AM3096">
        <v>90.013404456959194</v>
      </c>
      <c r="AN3096">
        <v>0.999999992004871</v>
      </c>
    </row>
    <row r="3097" spans="1:40" x14ac:dyDescent="0.25">
      <c r="A3097" t="str">
        <f>"20190312164327992"</f>
        <v>20190312164327992</v>
      </c>
      <c r="B3097" t="str">
        <f>"1552380207988100"</f>
        <v>1552380207988100</v>
      </c>
      <c r="C3097" t="s">
        <v>40</v>
      </c>
      <c r="D3097">
        <v>4.6029239999999998</v>
      </c>
      <c r="E3097">
        <v>0.46611809999999998</v>
      </c>
      <c r="F3097" t="s">
        <v>42</v>
      </c>
      <c r="G3097">
        <v>-189.6343</v>
      </c>
      <c r="H3097" s="1">
        <v>-3.992757E-6</v>
      </c>
      <c r="I3097">
        <v>167.94059999999999</v>
      </c>
      <c r="J3097">
        <v>-190.1506</v>
      </c>
      <c r="K3097">
        <v>1.1135949999999999</v>
      </c>
      <c r="L3097">
        <v>183.16329999999999</v>
      </c>
      <c r="M3097">
        <v>-6.7012150000000006E-2</v>
      </c>
      <c r="N3097">
        <v>0</v>
      </c>
      <c r="O3097">
        <v>-0.99765749999999997</v>
      </c>
      <c r="P3097">
        <v>-6.7250420000000005E-2</v>
      </c>
      <c r="Q3097">
        <v>0.1283629</v>
      </c>
      <c r="R3097">
        <v>-0.98944469999999995</v>
      </c>
      <c r="S3097">
        <v>9.8098749999999998E-2</v>
      </c>
      <c r="T3097">
        <v>-0.21963360000000001</v>
      </c>
      <c r="U3097">
        <v>-3.0673219999999999</v>
      </c>
      <c r="V3097">
        <v>-3.1135039999999998E-4</v>
      </c>
      <c r="W3097">
        <v>0.14199389999999901</v>
      </c>
      <c r="X3097">
        <v>0.98986750000000001</v>
      </c>
      <c r="Y3097">
        <v>-9.8796670000000003E-2</v>
      </c>
      <c r="Z3097">
        <v>7.0987889999999998E-2</v>
      </c>
      <c r="AA3097">
        <v>0.99257240000000002</v>
      </c>
      <c r="AB3097">
        <v>30</v>
      </c>
      <c r="AC3097">
        <v>0.51630000000000098</v>
      </c>
      <c r="AD3097">
        <v>-1.113598992757</v>
      </c>
      <c r="AE3097">
        <v>-15.2227</v>
      </c>
      <c r="AF3097">
        <v>-1.5271781510054201</v>
      </c>
      <c r="AG3097">
        <v>-1.113598992757</v>
      </c>
      <c r="AH3097">
        <v>15.0733018263067</v>
      </c>
      <c r="AI3097">
        <v>94.203829637847093</v>
      </c>
      <c r="AJ3097">
        <v>95.785281349023805</v>
      </c>
      <c r="AK3097">
        <v>15.1913397621315</v>
      </c>
      <c r="AL3097">
        <v>81.836759018261802</v>
      </c>
      <c r="AM3097">
        <v>90.018021667830695</v>
      </c>
      <c r="AN3097">
        <v>1.0000000160662601</v>
      </c>
    </row>
    <row r="3098" spans="1:40" x14ac:dyDescent="0.25">
      <c r="A3098" t="str">
        <f>"20190312164328015"</f>
        <v>20190312164328015</v>
      </c>
      <c r="B3098" t="str">
        <f>"1552380208007622"</f>
        <v>1552380208007622</v>
      </c>
      <c r="C3098" t="s">
        <v>40</v>
      </c>
      <c r="D3098">
        <v>4.7562800000000003</v>
      </c>
      <c r="E3098">
        <v>0.47584270000000001</v>
      </c>
      <c r="F3098" t="s">
        <v>42</v>
      </c>
      <c r="G3098">
        <v>-189.5976</v>
      </c>
      <c r="H3098" s="1">
        <v>-3.6940239999999999E-6</v>
      </c>
      <c r="I3098">
        <v>167.29490000000001</v>
      </c>
      <c r="J3098">
        <v>-190.1677</v>
      </c>
      <c r="K3098">
        <v>1.1135520000000001</v>
      </c>
      <c r="L3098">
        <v>182.8458</v>
      </c>
      <c r="M3098">
        <v>-6.3002649999999993E-2</v>
      </c>
      <c r="N3098">
        <v>0</v>
      </c>
      <c r="O3098">
        <v>-0.99791879999999999</v>
      </c>
      <c r="P3098">
        <v>-6.3503699999999996E-2</v>
      </c>
      <c r="Q3098">
        <v>0.1287962</v>
      </c>
      <c r="R3098">
        <v>-0.98963570000000001</v>
      </c>
      <c r="S3098">
        <v>0.10688780000000001</v>
      </c>
      <c r="T3098">
        <v>-0.21524570000000001</v>
      </c>
      <c r="U3098">
        <v>-3.0671840000000001</v>
      </c>
      <c r="V3098" s="1">
        <v>-6.4524359999999897E-5</v>
      </c>
      <c r="W3098">
        <v>0.14242340000000001</v>
      </c>
      <c r="X3098">
        <v>0.98980579999999996</v>
      </c>
      <c r="Y3098">
        <v>-9.7643859999999999E-2</v>
      </c>
      <c r="Z3098">
        <v>6.9607879999999997E-2</v>
      </c>
      <c r="AA3098">
        <v>0.99278420000000001</v>
      </c>
      <c r="AB3098">
        <v>30</v>
      </c>
      <c r="AC3098">
        <v>0.57009999999999605</v>
      </c>
      <c r="AD3098">
        <v>-1.1135556940239999</v>
      </c>
      <c r="AE3098">
        <v>-15.550899999999899</v>
      </c>
      <c r="AF3098">
        <v>-1.54091700407049</v>
      </c>
      <c r="AG3098">
        <v>-1.1135556940239999</v>
      </c>
      <c r="AH3098">
        <v>15.4051935046731</v>
      </c>
      <c r="AI3098">
        <v>94.113944089626202</v>
      </c>
      <c r="AJ3098">
        <v>95.712057463968605</v>
      </c>
      <c r="AK3098">
        <v>15.522062311869201</v>
      </c>
      <c r="AL3098">
        <v>81.811897473831607</v>
      </c>
      <c r="AM3098">
        <v>90.003735049338502</v>
      </c>
      <c r="AN3098">
        <v>0.99999997537229601</v>
      </c>
    </row>
    <row r="3099" spans="1:40" x14ac:dyDescent="0.25">
      <c r="A3099" t="str">
        <f>"20190312164328036"</f>
        <v>20190312164328036</v>
      </c>
      <c r="B3099" t="str">
        <f>"1552380208028117"</f>
        <v>1552380208028117</v>
      </c>
      <c r="C3099" t="s">
        <v>40</v>
      </c>
      <c r="D3099">
        <v>4.6398219999999997</v>
      </c>
      <c r="E3099">
        <v>0.47524709999999998</v>
      </c>
      <c r="F3099" t="s">
        <v>42</v>
      </c>
      <c r="G3099">
        <v>-189.97069999999999</v>
      </c>
      <c r="H3099" s="1">
        <v>-4.1507480000000004E-6</v>
      </c>
      <c r="I3099">
        <v>168.38890000000001</v>
      </c>
      <c r="J3099">
        <v>-190.18199999999999</v>
      </c>
      <c r="K3099">
        <v>1.113502</v>
      </c>
      <c r="L3099">
        <v>182.55950000000001</v>
      </c>
      <c r="M3099">
        <v>-5.9457969999999999E-2</v>
      </c>
      <c r="N3099">
        <v>0</v>
      </c>
      <c r="O3099">
        <v>-0.99813629999999998</v>
      </c>
      <c r="P3099">
        <v>-6.0599119999999999E-2</v>
      </c>
      <c r="Q3099">
        <v>0.12847120000000001</v>
      </c>
      <c r="R3099">
        <v>-0.98986019999999997</v>
      </c>
      <c r="S3099">
        <v>4.1763309999999998E-2</v>
      </c>
      <c r="T3099">
        <v>-0.2360698</v>
      </c>
      <c r="U3099">
        <v>-3.0648040000000001</v>
      </c>
      <c r="V3099">
        <v>5.6624300000000002E-4</v>
      </c>
      <c r="W3099">
        <v>0.14209869999999999</v>
      </c>
      <c r="X3099">
        <v>0.98985230000000002</v>
      </c>
      <c r="Y3099">
        <v>-7.3019219999999996E-2</v>
      </c>
      <c r="Z3099">
        <v>7.6488849999999997E-2</v>
      </c>
      <c r="AA3099">
        <v>0.99439310000000003</v>
      </c>
      <c r="AB3099">
        <v>30</v>
      </c>
      <c r="AC3099">
        <v>0.211300000000022</v>
      </c>
      <c r="AD3099">
        <v>-1.113506150748</v>
      </c>
      <c r="AE3099">
        <v>-14.1706</v>
      </c>
      <c r="AF3099">
        <v>-1.0470967402638101</v>
      </c>
      <c r="AG3099">
        <v>-1.113506150748</v>
      </c>
      <c r="AH3099">
        <v>14.0462494457006</v>
      </c>
      <c r="AI3099">
        <v>94.520112061488206</v>
      </c>
      <c r="AJ3099">
        <v>94.263306072136999</v>
      </c>
      <c r="AK3099">
        <v>14.129169509283599</v>
      </c>
      <c r="AL3099">
        <v>81.830692519132697</v>
      </c>
      <c r="AM3099">
        <v>89.967224069146496</v>
      </c>
      <c r="AN3099">
        <v>0.99999996849405703</v>
      </c>
    </row>
    <row r="3100" spans="1:40" x14ac:dyDescent="0.25">
      <c r="A3100" t="str">
        <f>"20190312164328057"</f>
        <v>20190312164328057</v>
      </c>
      <c r="B3100" t="str">
        <f>"1552380208047638"</f>
        <v>1552380208047638</v>
      </c>
      <c r="C3100" t="s">
        <v>40</v>
      </c>
      <c r="D3100">
        <v>4.6282560000000004</v>
      </c>
      <c r="E3100">
        <v>0.47530699999999998</v>
      </c>
      <c r="F3100" t="s">
        <v>42</v>
      </c>
      <c r="G3100">
        <v>-189.92099999999999</v>
      </c>
      <c r="H3100" s="1">
        <v>-3.9674840000000001E-6</v>
      </c>
      <c r="I3100">
        <v>167.99469999999999</v>
      </c>
      <c r="J3100">
        <v>-190.19489999999999</v>
      </c>
      <c r="K3100">
        <v>1.113435</v>
      </c>
      <c r="L3100">
        <v>182.28360000000001</v>
      </c>
      <c r="M3100">
        <v>-5.6124489999999999E-2</v>
      </c>
      <c r="N3100">
        <v>0</v>
      </c>
      <c r="O3100">
        <v>-0.99832929999999998</v>
      </c>
      <c r="P3100">
        <v>-5.7899829999999999E-2</v>
      </c>
      <c r="Q3100">
        <v>0.12814919999999999</v>
      </c>
      <c r="R3100">
        <v>-0.99006360000000004</v>
      </c>
      <c r="S3100">
        <v>5.4916380000000001E-2</v>
      </c>
      <c r="T3100">
        <v>-0.2342861</v>
      </c>
      <c r="U3100">
        <v>-3.0644840000000002</v>
      </c>
      <c r="V3100">
        <v>1.1964479999999999E-3</v>
      </c>
      <c r="W3100">
        <v>0.14177679999999901</v>
      </c>
      <c r="X3100">
        <v>0.9898979</v>
      </c>
      <c r="Y3100">
        <v>-7.3957880000000004E-2</v>
      </c>
      <c r="Z3100">
        <v>7.5938980000000003E-2</v>
      </c>
      <c r="AA3100">
        <v>0.99436590000000002</v>
      </c>
      <c r="AB3100">
        <v>30</v>
      </c>
      <c r="AC3100">
        <v>0.27389999999999698</v>
      </c>
      <c r="AD3100">
        <v>-1.113438967484</v>
      </c>
      <c r="AE3100">
        <v>-14.2889</v>
      </c>
      <c r="AF3100">
        <v>-1.0690123612588001</v>
      </c>
      <c r="AG3100">
        <v>-1.113438967484</v>
      </c>
      <c r="AH3100">
        <v>14.1650202294826</v>
      </c>
      <c r="AI3100">
        <v>94.481790605127202</v>
      </c>
      <c r="AJ3100">
        <v>94.315843437242506</v>
      </c>
      <c r="AK3100">
        <v>14.2488712487862</v>
      </c>
      <c r="AL3100">
        <v>81.849324703449</v>
      </c>
      <c r="AM3100">
        <v>89.930749032374194</v>
      </c>
      <c r="AN3100">
        <v>0.99999997246523298</v>
      </c>
    </row>
    <row r="3101" spans="1:40" x14ac:dyDescent="0.25">
      <c r="A3101" t="str">
        <f>"20190312164328080"</f>
        <v>20190312164328080</v>
      </c>
      <c r="B3101" t="str">
        <f>"1552380208077894"</f>
        <v>1552380208077894</v>
      </c>
      <c r="C3101" t="s">
        <v>40</v>
      </c>
      <c r="D3101">
        <v>4.7595519999999896</v>
      </c>
      <c r="E3101">
        <v>0.47828559999999998</v>
      </c>
      <c r="F3101" t="s">
        <v>42</v>
      </c>
      <c r="G3101">
        <v>-189.89930000000001</v>
      </c>
      <c r="H3101" s="1">
        <v>-3.9237670000000002E-6</v>
      </c>
      <c r="I3101">
        <v>167.89410000000001</v>
      </c>
      <c r="J3101">
        <v>-190.20820000000001</v>
      </c>
      <c r="K3101">
        <v>1.1133379999999999</v>
      </c>
      <c r="L3101">
        <v>181.97810000000001</v>
      </c>
      <c r="M3101">
        <v>-5.253932E-2</v>
      </c>
      <c r="N3101">
        <v>0</v>
      </c>
      <c r="O3101">
        <v>-0.99852450000000004</v>
      </c>
      <c r="P3101">
        <v>-5.4954059999999999E-2</v>
      </c>
      <c r="Q3101">
        <v>0.12804879999999999</v>
      </c>
      <c r="R3101">
        <v>-0.99024460000000003</v>
      </c>
      <c r="S3101">
        <v>6.2942499999999998E-2</v>
      </c>
      <c r="T3101">
        <v>-0.2371248</v>
      </c>
      <c r="U3101">
        <v>-3.0644840000000002</v>
      </c>
      <c r="V3101">
        <v>1.8369289999999999E-3</v>
      </c>
      <c r="W3101">
        <v>0.14167439999999901</v>
      </c>
      <c r="X3101">
        <v>0.9899116</v>
      </c>
      <c r="Y3101">
        <v>-7.2978790000000002E-2</v>
      </c>
      <c r="Z3101">
        <v>7.687708E-2</v>
      </c>
      <c r="AA3101">
        <v>0.99436610000000003</v>
      </c>
      <c r="AB3101">
        <v>30</v>
      </c>
      <c r="AC3101">
        <v>0.30889999999999401</v>
      </c>
      <c r="AD3101">
        <v>-1.1133419237669999</v>
      </c>
      <c r="AE3101">
        <v>-14.084</v>
      </c>
      <c r="AF3101">
        <v>-1.0419985605069899</v>
      </c>
      <c r="AG3101">
        <v>-1.1133419237669999</v>
      </c>
      <c r="AH3101">
        <v>13.961113416085199</v>
      </c>
      <c r="AI3101">
        <v>94.546862889300499</v>
      </c>
      <c r="AJ3101">
        <v>94.268401106391494</v>
      </c>
      <c r="AK3101">
        <v>14.0441439417328</v>
      </c>
      <c r="AL3101">
        <v>81.855251785128004</v>
      </c>
      <c r="AM3101">
        <v>89.893679235438498</v>
      </c>
      <c r="AN3101">
        <v>0.99999999286903496</v>
      </c>
    </row>
    <row r="3102" spans="1:40" x14ac:dyDescent="0.25">
      <c r="A3102" t="str">
        <f>"20190312164328103"</f>
        <v>20190312164328103</v>
      </c>
      <c r="B3102" t="str">
        <f>"1552380208097413"</f>
        <v>1552380208097413</v>
      </c>
      <c r="C3102" t="s">
        <v>40</v>
      </c>
      <c r="D3102">
        <v>4.7694720000000004</v>
      </c>
      <c r="E3102">
        <v>0.47858200000000001</v>
      </c>
      <c r="F3102" t="s">
        <v>42</v>
      </c>
      <c r="G3102">
        <v>-189.9982</v>
      </c>
      <c r="H3102" s="1">
        <v>-4.5213250000000003E-6</v>
      </c>
      <c r="I3102">
        <v>169.1574</v>
      </c>
      <c r="J3102">
        <v>-190.22049999999999</v>
      </c>
      <c r="K3102">
        <v>1.113237</v>
      </c>
      <c r="L3102">
        <v>181.67310000000001</v>
      </c>
      <c r="M3102">
        <v>-4.909968E-2</v>
      </c>
      <c r="N3102">
        <v>0</v>
      </c>
      <c r="O3102">
        <v>-0.99869969999999997</v>
      </c>
      <c r="P3102">
        <v>-5.132623E-2</v>
      </c>
      <c r="Q3102">
        <v>0.12827769999999999</v>
      </c>
      <c r="R3102">
        <v>-0.99040950000000005</v>
      </c>
      <c r="S3102">
        <v>5.0231930000000001E-2</v>
      </c>
      <c r="T3102">
        <v>-0.26631510000000003</v>
      </c>
      <c r="U3102">
        <v>-3.0667719999999998</v>
      </c>
      <c r="V3102">
        <v>1.654888E-3</v>
      </c>
      <c r="W3102">
        <v>0.1418943</v>
      </c>
      <c r="X3102">
        <v>0.98988039999999999</v>
      </c>
      <c r="Y3102">
        <v>-6.5393870000000007E-2</v>
      </c>
      <c r="Z3102">
        <v>8.6258550000000003E-2</v>
      </c>
      <c r="AA3102">
        <v>0.99412429999999996</v>
      </c>
      <c r="AB3102">
        <v>30</v>
      </c>
      <c r="AC3102">
        <v>0.22229999999998901</v>
      </c>
      <c r="AD3102">
        <v>-1.113241521325</v>
      </c>
      <c r="AE3102">
        <v>-12.515700000000001</v>
      </c>
      <c r="AF3102">
        <v>-0.83004155872162499</v>
      </c>
      <c r="AG3102">
        <v>-1.113241521325</v>
      </c>
      <c r="AH3102">
        <v>12.3916778549469</v>
      </c>
      <c r="AI3102">
        <v>95.122130821924401</v>
      </c>
      <c r="AJ3102">
        <v>93.832163937175594</v>
      </c>
      <c r="AK3102">
        <v>12.469240383230501</v>
      </c>
      <c r="AL3102">
        <v>81.8425236613311</v>
      </c>
      <c r="AM3102">
        <v>89.904212660812107</v>
      </c>
      <c r="AN3102">
        <v>0.99999996866547003</v>
      </c>
    </row>
    <row r="3103" spans="1:40" x14ac:dyDescent="0.25">
      <c r="A3103" t="str">
        <f>"20190312164328125"</f>
        <v>20190312164328125</v>
      </c>
      <c r="B3103" t="str">
        <f>"1552380208117909"</f>
        <v>1552380208117909</v>
      </c>
      <c r="C3103" t="s">
        <v>40</v>
      </c>
      <c r="D3103">
        <v>4.8666689999999999</v>
      </c>
      <c r="E3103">
        <v>0.47813349999999999</v>
      </c>
      <c r="F3103" t="s">
        <v>42</v>
      </c>
      <c r="G3103">
        <v>-189.97389999999999</v>
      </c>
      <c r="H3103" s="1">
        <v>-4.2780369999999999E-6</v>
      </c>
      <c r="I3103">
        <v>168.65639999999999</v>
      </c>
      <c r="J3103">
        <v>-190.232</v>
      </c>
      <c r="K3103">
        <v>1.113119</v>
      </c>
      <c r="L3103">
        <v>181.3656</v>
      </c>
      <c r="M3103">
        <v>-4.5787199999999903E-2</v>
      </c>
      <c r="N3103">
        <v>0</v>
      </c>
      <c r="O3103">
        <v>-0.9988572</v>
      </c>
      <c r="P3103">
        <v>-4.8903679999999998E-2</v>
      </c>
      <c r="Q3103">
        <v>0.12830359999999999</v>
      </c>
      <c r="R3103">
        <v>-0.99052890000000005</v>
      </c>
      <c r="S3103">
        <v>5.8090210000000003E-2</v>
      </c>
      <c r="T3103">
        <v>-0.26222129999999999</v>
      </c>
      <c r="U3103">
        <v>-3.066055</v>
      </c>
      <c r="V3103">
        <v>2.5577569999999999E-3</v>
      </c>
      <c r="W3103">
        <v>0.14191790000000001</v>
      </c>
      <c r="X3103">
        <v>0.98987510000000001</v>
      </c>
      <c r="Y3103">
        <v>-6.4637490000000006E-2</v>
      </c>
      <c r="Z3103">
        <v>8.4982269999999999E-2</v>
      </c>
      <c r="AA3103">
        <v>0.99428369999999999</v>
      </c>
      <c r="AB3103">
        <v>30</v>
      </c>
      <c r="AC3103">
        <v>0.25810000000001299</v>
      </c>
      <c r="AD3103">
        <v>-1.113123278037</v>
      </c>
      <c r="AE3103">
        <v>-12.709199999999999</v>
      </c>
      <c r="AF3103">
        <v>-0.83341215636403598</v>
      </c>
      <c r="AG3103">
        <v>-1.113123278037</v>
      </c>
      <c r="AH3103">
        <v>12.587530780883901</v>
      </c>
      <c r="AI3103">
        <v>95.042573031640501</v>
      </c>
      <c r="AJ3103">
        <v>93.787987330087205</v>
      </c>
      <c r="AK3103">
        <v>12.6641048011371</v>
      </c>
      <c r="AL3103">
        <v>81.841157692954496</v>
      </c>
      <c r="AM3103">
        <v>89.851952680726498</v>
      </c>
      <c r="AN3103">
        <v>0.99999997303064503</v>
      </c>
    </row>
    <row r="3104" spans="1:40" x14ac:dyDescent="0.25">
      <c r="A3104" t="str">
        <f>"20190312164328148"</f>
        <v>20190312164328148</v>
      </c>
      <c r="B3104" t="str">
        <f>"1552380208137432"</f>
        <v>1552380208137432</v>
      </c>
      <c r="C3104" t="s">
        <v>40</v>
      </c>
      <c r="D3104">
        <v>4.8164400000000001</v>
      </c>
      <c r="E3104">
        <v>0.4790739</v>
      </c>
      <c r="F3104" t="s">
        <v>42</v>
      </c>
      <c r="G3104">
        <v>-189.94649999999999</v>
      </c>
      <c r="H3104" s="1">
        <v>-4.2956479999999996E-6</v>
      </c>
      <c r="I3104">
        <v>168.6985</v>
      </c>
      <c r="J3104">
        <v>-190.2422</v>
      </c>
      <c r="K3104">
        <v>1.113008</v>
      </c>
      <c r="L3104">
        <v>181.06950000000001</v>
      </c>
      <c r="M3104">
        <v>-4.2719800000000002E-2</v>
      </c>
      <c r="N3104">
        <v>0</v>
      </c>
      <c r="O3104">
        <v>-0.99899309999999997</v>
      </c>
      <c r="P3104">
        <v>-4.7479859999999999E-2</v>
      </c>
      <c r="Q3104">
        <v>0.1282297</v>
      </c>
      <c r="R3104">
        <v>-0.99060760000000003</v>
      </c>
      <c r="S3104">
        <v>6.9137569999999995E-2</v>
      </c>
      <c r="T3104">
        <v>-0.2695166</v>
      </c>
      <c r="U3104">
        <v>-3.0670320000000002</v>
      </c>
      <c r="V3104">
        <v>4.2140820000000001E-3</v>
      </c>
      <c r="W3104">
        <v>0.14184659999999999</v>
      </c>
      <c r="X3104">
        <v>0.98987970000000003</v>
      </c>
      <c r="Y3104">
        <v>-6.5142519999999995E-2</v>
      </c>
      <c r="Z3104">
        <v>8.7314230000000007E-2</v>
      </c>
      <c r="AA3104">
        <v>0.99404870000000001</v>
      </c>
      <c r="AB3104">
        <v>30</v>
      </c>
      <c r="AC3104">
        <v>0.29570000000001001</v>
      </c>
      <c r="AD3104">
        <v>-1.113012295648</v>
      </c>
      <c r="AE3104">
        <v>-12.371</v>
      </c>
      <c r="AF3104">
        <v>-0.81735398325920705</v>
      </c>
      <c r="AG3104">
        <v>-1.113012295648</v>
      </c>
      <c r="AH3104">
        <v>12.247986092382099</v>
      </c>
      <c r="AI3104">
        <v>95.180922285872796</v>
      </c>
      <c r="AJ3104">
        <v>93.817901129009996</v>
      </c>
      <c r="AK3104">
        <v>12.3255842548497</v>
      </c>
      <c r="AL3104">
        <v>81.845285005018695</v>
      </c>
      <c r="AM3104">
        <v>89.756083840787099</v>
      </c>
      <c r="AN3104">
        <v>1.0000000184453699</v>
      </c>
    </row>
    <row r="3105" spans="1:40" x14ac:dyDescent="0.25">
      <c r="A3105" t="str">
        <f>"20190312164328168"</f>
        <v>20190312164328168</v>
      </c>
      <c r="B3105" t="str">
        <f>"1552380208157925"</f>
        <v>1552380208157925</v>
      </c>
      <c r="C3105" t="s">
        <v>40</v>
      </c>
      <c r="D3105">
        <v>4.7553559999999999</v>
      </c>
      <c r="E3105">
        <v>0.47904219999999997</v>
      </c>
      <c r="F3105" t="s">
        <v>42</v>
      </c>
      <c r="G3105">
        <v>-189.97130000000001</v>
      </c>
      <c r="H3105" s="1">
        <v>-4.2997999999999999E-6</v>
      </c>
      <c r="I3105">
        <v>168.7039</v>
      </c>
      <c r="J3105">
        <v>-190.25129999999999</v>
      </c>
      <c r="K3105">
        <v>1.1129150000000001</v>
      </c>
      <c r="L3105">
        <v>180.7842</v>
      </c>
      <c r="M3105">
        <v>-3.9889269999999998E-2</v>
      </c>
      <c r="N3105">
        <v>0</v>
      </c>
      <c r="O3105">
        <v>-0.99911019999999995</v>
      </c>
      <c r="P3105">
        <v>-4.7153059999999997E-2</v>
      </c>
      <c r="Q3105">
        <v>0.1278668</v>
      </c>
      <c r="R3105">
        <v>-0.99067000000000005</v>
      </c>
      <c r="S3105">
        <v>6.7199709999999996E-2</v>
      </c>
      <c r="T3105">
        <v>-0.2760937</v>
      </c>
      <c r="U3105">
        <v>-3.0674130000000002</v>
      </c>
      <c r="V3105">
        <v>6.7317030000000003E-3</v>
      </c>
      <c r="W3105">
        <v>0.1414917</v>
      </c>
      <c r="X3105">
        <v>0.98991660000000004</v>
      </c>
      <c r="Y3105">
        <v>-6.1680350000000002E-2</v>
      </c>
      <c r="Z3105">
        <v>8.9443250000000002E-2</v>
      </c>
      <c r="AA3105">
        <v>0.99408019999999997</v>
      </c>
      <c r="AB3105">
        <v>30</v>
      </c>
      <c r="AC3105">
        <v>0.27999999999997199</v>
      </c>
      <c r="AD3105">
        <v>-1.1129192997999999</v>
      </c>
      <c r="AE3105">
        <v>-12.0802999999999</v>
      </c>
      <c r="AF3105">
        <v>-0.755289712476095</v>
      </c>
      <c r="AG3105">
        <v>-1.1129192997999999</v>
      </c>
      <c r="AH3105">
        <v>11.9580756862663</v>
      </c>
      <c r="AI3105">
        <v>95.306597688282096</v>
      </c>
      <c r="AJ3105">
        <v>93.614085137583302</v>
      </c>
      <c r="AK3105">
        <v>12.0334793819623</v>
      </c>
      <c r="AL3105">
        <v>81.865826682136401</v>
      </c>
      <c r="AM3105">
        <v>89.610379070692503</v>
      </c>
      <c r="AN3105">
        <v>1.0000000459748599</v>
      </c>
    </row>
    <row r="3106" spans="1:40" x14ac:dyDescent="0.25">
      <c r="A3106" t="str">
        <f>"20190312164328191"</f>
        <v>20190312164328191</v>
      </c>
      <c r="B3106" t="str">
        <f>"1552380208188181"</f>
        <v>1552380208188181</v>
      </c>
      <c r="C3106" t="s">
        <v>40</v>
      </c>
      <c r="D3106">
        <v>5.168698</v>
      </c>
      <c r="E3106">
        <v>0.47956199999999999</v>
      </c>
      <c r="F3106" t="s">
        <v>42</v>
      </c>
      <c r="G3106">
        <v>-189.97569999999999</v>
      </c>
      <c r="H3106" s="1">
        <v>-4.2738249999999997E-6</v>
      </c>
      <c r="I3106">
        <v>168.6464</v>
      </c>
      <c r="J3106">
        <v>-190.26</v>
      </c>
      <c r="K3106">
        <v>1.1128020000000001</v>
      </c>
      <c r="L3106">
        <v>180.49209999999999</v>
      </c>
      <c r="M3106">
        <v>-3.7139199999999997E-2</v>
      </c>
      <c r="N3106">
        <v>0</v>
      </c>
      <c r="O3106">
        <v>-0.99921629999999995</v>
      </c>
      <c r="P3106">
        <v>-4.7606009999999997E-2</v>
      </c>
      <c r="Q3106">
        <v>0.12819120000000001</v>
      </c>
      <c r="R3106">
        <v>-0.99060610000000004</v>
      </c>
      <c r="S3106">
        <v>6.9656369999999995E-2</v>
      </c>
      <c r="T3106">
        <v>-0.28129330000000002</v>
      </c>
      <c r="U3106">
        <v>-3.0678559999999999</v>
      </c>
      <c r="V3106">
        <v>9.9528359999999996E-3</v>
      </c>
      <c r="W3106">
        <v>0.14182439999999999</v>
      </c>
      <c r="X3106">
        <v>0.98984179999999999</v>
      </c>
      <c r="Y3106">
        <v>-5.9722200000000003E-2</v>
      </c>
      <c r="Z3106">
        <v>9.1119909999999998E-2</v>
      </c>
      <c r="AA3106">
        <v>0.99404749999999997</v>
      </c>
      <c r="AB3106">
        <v>30</v>
      </c>
      <c r="AC3106">
        <v>0.284300000000001</v>
      </c>
      <c r="AD3106">
        <v>-1.112806273825</v>
      </c>
      <c r="AE3106">
        <v>-11.8456999999999</v>
      </c>
      <c r="AF3106">
        <v>-0.71775431079501295</v>
      </c>
      <c r="AG3106">
        <v>-1.112806273825</v>
      </c>
      <c r="AH3106">
        <v>11.7235648732982</v>
      </c>
      <c r="AI3106">
        <v>95.412222981091503</v>
      </c>
      <c r="AJ3106">
        <v>93.503458769954705</v>
      </c>
      <c r="AK3106">
        <v>11.7981135098862</v>
      </c>
      <c r="AL3106">
        <v>81.846569844993098</v>
      </c>
      <c r="AM3106">
        <v>89.423911699772304</v>
      </c>
      <c r="AN3106">
        <v>1.00000000420352</v>
      </c>
    </row>
    <row r="3107" spans="1:40" x14ac:dyDescent="0.25">
      <c r="A3107" t="str">
        <f>"20190312164328215"</f>
        <v>20190312164328215</v>
      </c>
      <c r="B3107" t="str">
        <f>"1552380208207701"</f>
        <v>1552380208207701</v>
      </c>
      <c r="C3107" t="s">
        <v>40</v>
      </c>
      <c r="D3107">
        <v>4.7040309999999996</v>
      </c>
      <c r="E3107">
        <v>0.47964440000000003</v>
      </c>
      <c r="F3107" t="s">
        <v>42</v>
      </c>
      <c r="G3107">
        <v>-190.00049999999999</v>
      </c>
      <c r="H3107" s="1">
        <v>-3.958782E-6</v>
      </c>
      <c r="I3107">
        <v>167.96599999999901</v>
      </c>
      <c r="J3107">
        <v>-190.2689</v>
      </c>
      <c r="K3107">
        <v>1.1126590000000001</v>
      </c>
      <c r="L3107">
        <v>180.1635</v>
      </c>
      <c r="M3107">
        <v>-3.4242950000000001E-2</v>
      </c>
      <c r="N3107">
        <v>0</v>
      </c>
      <c r="O3107">
        <v>-0.99931970000000003</v>
      </c>
      <c r="P3107">
        <v>-4.8167790000000002E-2</v>
      </c>
      <c r="Q3107">
        <v>0.12910659999999999</v>
      </c>
      <c r="R3107">
        <v>-0.99046029999999996</v>
      </c>
      <c r="S3107">
        <v>6.3522339999999997E-2</v>
      </c>
      <c r="T3107">
        <v>-0.27244930000000001</v>
      </c>
      <c r="U3107">
        <v>-3.066757</v>
      </c>
      <c r="V3107">
        <v>1.343885E-2</v>
      </c>
      <c r="W3107">
        <v>0.14274479999999901</v>
      </c>
      <c r="X3107">
        <v>0.98966829999999995</v>
      </c>
      <c r="Y3107">
        <v>-5.4854310000000003E-2</v>
      </c>
      <c r="Z3107">
        <v>8.8337170000000007E-2</v>
      </c>
      <c r="AA3107">
        <v>0.99457910000000005</v>
      </c>
      <c r="AB3107">
        <v>30</v>
      </c>
      <c r="AC3107">
        <v>0.26840000000001402</v>
      </c>
      <c r="AD3107">
        <v>-1.1126629587820001</v>
      </c>
      <c r="AE3107">
        <v>-12.1975</v>
      </c>
      <c r="AF3107">
        <v>-0.68030193743390999</v>
      </c>
      <c r="AG3107">
        <v>-1.1126629587820001</v>
      </c>
      <c r="AH3107">
        <v>12.080676626529</v>
      </c>
      <c r="AI3107">
        <v>95.253972530455997</v>
      </c>
      <c r="AJ3107">
        <v>93.223106345218</v>
      </c>
      <c r="AK3107">
        <v>12.150867349316499</v>
      </c>
      <c r="AL3107">
        <v>81.793292822461694</v>
      </c>
      <c r="AM3107">
        <v>89.222020080051095</v>
      </c>
      <c r="AN3107">
        <v>1.0000000123206201</v>
      </c>
    </row>
    <row r="3108" spans="1:40" x14ac:dyDescent="0.25">
      <c r="A3108" t="str">
        <f>"20190312164328237"</f>
        <v>20190312164328237</v>
      </c>
      <c r="B3108" t="str">
        <f>"1552380208228197"</f>
        <v>1552380208228197</v>
      </c>
      <c r="C3108" t="s">
        <v>40</v>
      </c>
      <c r="D3108">
        <v>4.9627429999999997</v>
      </c>
      <c r="E3108">
        <v>0.56736519999999901</v>
      </c>
      <c r="F3108" t="s">
        <v>42</v>
      </c>
      <c r="G3108">
        <v>-190.01480000000001</v>
      </c>
      <c r="H3108" s="1">
        <v>-3.698554E-6</v>
      </c>
      <c r="I3108">
        <v>167.4075</v>
      </c>
      <c r="J3108">
        <v>-190.2765</v>
      </c>
      <c r="K3108">
        <v>1.1125160000000001</v>
      </c>
      <c r="L3108">
        <v>179.86420000000001</v>
      </c>
      <c r="M3108">
        <v>-3.1802999999999998E-2</v>
      </c>
      <c r="N3108">
        <v>0</v>
      </c>
      <c r="O3108">
        <v>-0.99940070000000003</v>
      </c>
      <c r="P3108">
        <v>-5.105606E-2</v>
      </c>
      <c r="Q3108">
        <v>0.12984180000000001</v>
      </c>
      <c r="R3108">
        <v>-0.99021950000000003</v>
      </c>
      <c r="S3108">
        <v>6.1096190000000002E-2</v>
      </c>
      <c r="T3108">
        <v>-0.26750059999999998</v>
      </c>
      <c r="U3108">
        <v>-3.0667270000000002</v>
      </c>
      <c r="V3108">
        <v>1.8803899999999998E-2</v>
      </c>
      <c r="W3108">
        <v>0.14349089999999901</v>
      </c>
      <c r="X3108">
        <v>0.98947300000000005</v>
      </c>
      <c r="Y3108">
        <v>-5.163268E-2</v>
      </c>
      <c r="Z3108">
        <v>8.676441E-2</v>
      </c>
      <c r="AA3108">
        <v>0.99489000000000005</v>
      </c>
      <c r="AB3108">
        <v>30</v>
      </c>
      <c r="AC3108">
        <v>0.26169999999999</v>
      </c>
      <c r="AD3108">
        <v>-1.112519698554</v>
      </c>
      <c r="AE3108">
        <v>-12.4567</v>
      </c>
      <c r="AF3108">
        <v>-0.65256220414801702</v>
      </c>
      <c r="AG3108">
        <v>-1.112519698554</v>
      </c>
      <c r="AH3108">
        <v>12.3436589738425</v>
      </c>
      <c r="AI3108">
        <v>95.142944075953295</v>
      </c>
      <c r="AJ3108">
        <v>93.026192352620399</v>
      </c>
      <c r="AK3108">
        <v>12.410860339737701</v>
      </c>
      <c r="AL3108">
        <v>81.750099872155602</v>
      </c>
      <c r="AM3108">
        <v>88.911284656288302</v>
      </c>
      <c r="AN3108">
        <v>1.0000000213835001</v>
      </c>
    </row>
    <row r="3109" spans="1:40" x14ac:dyDescent="0.25">
      <c r="A3109" t="str">
        <f>"20190312164328258"</f>
        <v>20190312164328258</v>
      </c>
      <c r="B3109" t="str">
        <f>"1552380208247717"</f>
        <v>1552380208247717</v>
      </c>
      <c r="C3109" t="s">
        <v>40</v>
      </c>
      <c r="D3109">
        <v>4.9391170000000004</v>
      </c>
      <c r="E3109">
        <v>0.57435389999999997</v>
      </c>
      <c r="F3109" t="s">
        <v>41</v>
      </c>
      <c r="G3109">
        <v>-190.441</v>
      </c>
      <c r="H3109">
        <v>1.036335</v>
      </c>
      <c r="I3109">
        <v>179.09190000000001</v>
      </c>
      <c r="J3109">
        <v>-190.28309999999999</v>
      </c>
      <c r="K3109">
        <v>1.112355</v>
      </c>
      <c r="L3109">
        <v>179.5831</v>
      </c>
      <c r="M3109">
        <v>-2.970801E-2</v>
      </c>
      <c r="N3109">
        <v>0</v>
      </c>
      <c r="O3109">
        <v>-0.9994651</v>
      </c>
      <c r="P3109">
        <v>-5.5138100000000002E-2</v>
      </c>
      <c r="Q3109">
        <v>0.13062199999999999</v>
      </c>
      <c r="R3109">
        <v>-0.9898981</v>
      </c>
      <c r="S3109">
        <v>-0.64575199999999999</v>
      </c>
      <c r="T3109">
        <v>-0.29978329999999997</v>
      </c>
      <c r="U3109">
        <v>-3.0356450000000001</v>
      </c>
      <c r="V3109">
        <v>2.502472E-2</v>
      </c>
      <c r="W3109">
        <v>0.14428179999999999</v>
      </c>
      <c r="X3109">
        <v>0.98922010000000005</v>
      </c>
      <c r="Y3109">
        <v>0.17794769999999999</v>
      </c>
      <c r="Z3109">
        <v>9.6360219999999996E-2</v>
      </c>
      <c r="AA3109">
        <v>0.97931060000000003</v>
      </c>
      <c r="AB3109">
        <v>30</v>
      </c>
      <c r="AC3109">
        <v>-0.157899999999983</v>
      </c>
      <c r="AD3109">
        <v>-7.6019999999999893E-2</v>
      </c>
      <c r="AE3109">
        <v>-0.49119999999999198</v>
      </c>
      <c r="AF3109">
        <v>0.140192962776816</v>
      </c>
      <c r="AG3109">
        <v>-7.6019999999999893E-2</v>
      </c>
      <c r="AH3109">
        <v>0.48514272245395101</v>
      </c>
      <c r="AI3109">
        <v>98.560846116189595</v>
      </c>
      <c r="AJ3109">
        <v>73.882154052592099</v>
      </c>
      <c r="AK3109">
        <v>0.51068245354836095</v>
      </c>
      <c r="AL3109">
        <v>81.704307464014207</v>
      </c>
      <c r="AM3109">
        <v>88.550873464331104</v>
      </c>
      <c r="AN3109">
        <v>0.99999994033316197</v>
      </c>
    </row>
    <row r="3110" spans="1:40" x14ac:dyDescent="0.25">
      <c r="A3110" t="str">
        <f>"20190312164328280"</f>
        <v>20190312164328280</v>
      </c>
      <c r="B3110" t="str">
        <f>"1552380208277974"</f>
        <v>1552380208277974</v>
      </c>
      <c r="C3110" t="s">
        <v>40</v>
      </c>
      <c r="D3110">
        <v>5.0519379999999998</v>
      </c>
      <c r="E3110">
        <v>0.57770769999999905</v>
      </c>
      <c r="F3110" t="s">
        <v>41</v>
      </c>
      <c r="G3110">
        <v>-190.4616</v>
      </c>
      <c r="H3110">
        <v>1.0335000000000001</v>
      </c>
      <c r="I3110">
        <v>178.8244</v>
      </c>
      <c r="J3110">
        <v>-190.28960000000001</v>
      </c>
      <c r="K3110">
        <v>1.112177</v>
      </c>
      <c r="L3110">
        <v>179.2928</v>
      </c>
      <c r="M3110">
        <v>-2.7754709999999998E-2</v>
      </c>
      <c r="N3110">
        <v>0</v>
      </c>
      <c r="O3110">
        <v>-0.9995214</v>
      </c>
      <c r="P3110">
        <v>-5.9949009999999997E-2</v>
      </c>
      <c r="Q3110">
        <v>0.13159870000000001</v>
      </c>
      <c r="R3110">
        <v>-0.98948879999999995</v>
      </c>
      <c r="S3110">
        <v>-0.71240230000000004</v>
      </c>
      <c r="T3110">
        <v>-0.315370599999999</v>
      </c>
      <c r="U3110">
        <v>-3.0325470000000001</v>
      </c>
      <c r="V3110">
        <v>3.1840920000000002E-2</v>
      </c>
      <c r="W3110">
        <v>0.1452637</v>
      </c>
      <c r="X3110">
        <v>0.98888050000000005</v>
      </c>
      <c r="Y3110">
        <v>0.2004156</v>
      </c>
      <c r="Z3110">
        <v>0.10096960000000001</v>
      </c>
      <c r="AA3110">
        <v>0.97449410000000003</v>
      </c>
      <c r="AB3110">
        <v>30</v>
      </c>
      <c r="AC3110">
        <v>-0.17199999999999699</v>
      </c>
      <c r="AD3110">
        <v>-7.8676999999999803E-2</v>
      </c>
      <c r="AE3110">
        <v>-0.46840000000000198</v>
      </c>
      <c r="AF3110">
        <v>0.15507677223706001</v>
      </c>
      <c r="AG3110">
        <v>-7.8676999999999803E-2</v>
      </c>
      <c r="AH3110">
        <v>0.461519722565294</v>
      </c>
      <c r="AI3110">
        <v>99.179372212513897</v>
      </c>
      <c r="AJ3110">
        <v>71.426965953868205</v>
      </c>
      <c r="AK3110">
        <v>0.49319299461084298</v>
      </c>
      <c r="AL3110">
        <v>81.647450360262994</v>
      </c>
      <c r="AM3110">
        <v>88.155772871650399</v>
      </c>
      <c r="AN3110">
        <v>1.0000000150021899</v>
      </c>
    </row>
    <row r="3111" spans="1:40" x14ac:dyDescent="0.25">
      <c r="A3111" t="str">
        <f>"20190312164328304"</f>
        <v>20190312164328304</v>
      </c>
      <c r="B3111" t="str">
        <f>"1552380208297495"</f>
        <v>1552380208297495</v>
      </c>
      <c r="C3111" t="s">
        <v>40</v>
      </c>
      <c r="D3111">
        <v>4.8687909999999999</v>
      </c>
      <c r="E3111">
        <v>0.57913680000000001</v>
      </c>
      <c r="F3111" t="s">
        <v>42</v>
      </c>
      <c r="G3111">
        <v>-193.00919999999999</v>
      </c>
      <c r="H3111" s="1">
        <v>-4.7878500000000002E-6</v>
      </c>
      <c r="I3111">
        <v>168.3639</v>
      </c>
      <c r="J3111">
        <v>-190.2962</v>
      </c>
      <c r="K3111">
        <v>1.1119760000000001</v>
      </c>
      <c r="L3111">
        <v>178.97909999999999</v>
      </c>
      <c r="M3111">
        <v>-2.5908819999999999E-2</v>
      </c>
      <c r="N3111">
        <v>0</v>
      </c>
      <c r="O3111">
        <v>-0.99957110000000005</v>
      </c>
      <c r="P3111">
        <v>-6.510523E-2</v>
      </c>
      <c r="Q3111">
        <v>0.1323336</v>
      </c>
      <c r="R3111">
        <v>-0.98906499999999997</v>
      </c>
      <c r="S3111">
        <v>-0.75332639999999995</v>
      </c>
      <c r="T3111">
        <v>-0.30806650000000002</v>
      </c>
      <c r="U3111">
        <v>-3.0272220000000001</v>
      </c>
      <c r="V3111">
        <v>3.890325E-2</v>
      </c>
      <c r="W3111">
        <v>0.14599579999999901</v>
      </c>
      <c r="X3111">
        <v>0.98851999999999995</v>
      </c>
      <c r="Y3111">
        <v>0.21508659999999999</v>
      </c>
      <c r="Z3111">
        <v>9.852052E-2</v>
      </c>
      <c r="AA3111">
        <v>0.97161280000000005</v>
      </c>
      <c r="AB3111">
        <v>30</v>
      </c>
      <c r="AC3111">
        <v>-2.7129999999999899</v>
      </c>
      <c r="AD3111">
        <v>-1.1119807878499901</v>
      </c>
      <c r="AE3111">
        <v>-10.6151999999999</v>
      </c>
      <c r="AF3111">
        <v>2.4121894115450999</v>
      </c>
      <c r="AG3111">
        <v>-1.1119807878499901</v>
      </c>
      <c r="AH3111">
        <v>10.5730256494247</v>
      </c>
      <c r="AI3111">
        <v>95.854465024419497</v>
      </c>
      <c r="AJ3111">
        <v>77.148186698153197</v>
      </c>
      <c r="AK3111">
        <v>10.901560916360101</v>
      </c>
      <c r="AL3111">
        <v>81.6050521056723</v>
      </c>
      <c r="AM3111">
        <v>87.746285018329701</v>
      </c>
      <c r="AN3111">
        <v>1.0000000134391001</v>
      </c>
    </row>
    <row r="3112" spans="1:40" x14ac:dyDescent="0.25">
      <c r="A3112" t="str">
        <f>"20190312164328326"</f>
        <v>20190312164328326</v>
      </c>
      <c r="B3112" t="str">
        <f>"1552380208317991"</f>
        <v>1552380208317991</v>
      </c>
      <c r="C3112" t="s">
        <v>40</v>
      </c>
      <c r="D3112">
        <v>4.9228649999999998</v>
      </c>
      <c r="E3112">
        <v>0.57974359999999903</v>
      </c>
      <c r="F3112" t="s">
        <v>42</v>
      </c>
      <c r="G3112">
        <v>-193.02940000000001</v>
      </c>
      <c r="H3112" s="1">
        <v>-4.7889559999999999E-6</v>
      </c>
      <c r="I3112">
        <v>168.35749999999999</v>
      </c>
      <c r="J3112">
        <v>-190.30240000000001</v>
      </c>
      <c r="K3112">
        <v>1.1117859999999999</v>
      </c>
      <c r="L3112">
        <v>178.66759999999999</v>
      </c>
      <c r="M3112">
        <v>-2.4326440000000001E-2</v>
      </c>
      <c r="N3112">
        <v>0</v>
      </c>
      <c r="O3112">
        <v>-0.99961100000000003</v>
      </c>
      <c r="P3112">
        <v>-7.0749850000000003E-2</v>
      </c>
      <c r="Q3112">
        <v>0.132553</v>
      </c>
      <c r="R3112">
        <v>-0.98864759999999996</v>
      </c>
      <c r="S3112">
        <v>-0.77824399999999905</v>
      </c>
      <c r="T3112">
        <v>-0.3166196</v>
      </c>
      <c r="U3112">
        <v>-3.0243380000000002</v>
      </c>
      <c r="V3112">
        <v>4.6190830000000002E-2</v>
      </c>
      <c r="W3112">
        <v>0.14620900000000001</v>
      </c>
      <c r="X3112">
        <v>0.98817469999999996</v>
      </c>
      <c r="Y3112">
        <v>0.22429730000000001</v>
      </c>
      <c r="Z3112">
        <v>0.1011203</v>
      </c>
      <c r="AA3112">
        <v>0.96926020000000002</v>
      </c>
      <c r="AB3112">
        <v>30</v>
      </c>
      <c r="AC3112">
        <v>-2.7269999999999999</v>
      </c>
      <c r="AD3112">
        <v>-1.1117907889559999</v>
      </c>
      <c r="AE3112">
        <v>-10.3101</v>
      </c>
      <c r="AF3112">
        <v>2.4487482632653301</v>
      </c>
      <c r="AG3112">
        <v>-1.1117907889559999</v>
      </c>
      <c r="AH3112">
        <v>10.2618658493785</v>
      </c>
      <c r="AI3112">
        <v>96.015804288605295</v>
      </c>
      <c r="AJ3112">
        <v>76.578725343273106</v>
      </c>
      <c r="AK3112">
        <v>10.6084088121591</v>
      </c>
      <c r="AL3112">
        <v>81.592703617499097</v>
      </c>
      <c r="AM3112">
        <v>87.323737792605797</v>
      </c>
      <c r="AN3112">
        <v>0.99999995108858797</v>
      </c>
    </row>
    <row r="3113" spans="1:40" x14ac:dyDescent="0.25">
      <c r="A3113" t="str">
        <f>"20190312164328349"</f>
        <v>20190312164328349</v>
      </c>
      <c r="B3113" t="str">
        <f>"1552380208337511"</f>
        <v>1552380208337511</v>
      </c>
      <c r="C3113" t="s">
        <v>40</v>
      </c>
      <c r="D3113">
        <v>5.0632820000000001</v>
      </c>
      <c r="E3113">
        <v>0.58042769999999899</v>
      </c>
      <c r="F3113" t="s">
        <v>42</v>
      </c>
      <c r="G3113">
        <v>-192.96879999999999</v>
      </c>
      <c r="H3113" s="1">
        <v>-4.855226E-6</v>
      </c>
      <c r="I3113">
        <v>168.55799999999999</v>
      </c>
      <c r="J3113">
        <v>-190.30799999999999</v>
      </c>
      <c r="K3113">
        <v>1.111631</v>
      </c>
      <c r="L3113">
        <v>178.37610000000001</v>
      </c>
      <c r="M3113">
        <v>-2.3026290000000001E-2</v>
      </c>
      <c r="N3113">
        <v>0</v>
      </c>
      <c r="O3113">
        <v>-0.99964169999999997</v>
      </c>
      <c r="P3113">
        <v>-7.7089790000000005E-2</v>
      </c>
      <c r="Q3113">
        <v>0.13244739999999999</v>
      </c>
      <c r="R3113">
        <v>-0.98818760000000005</v>
      </c>
      <c r="S3113">
        <v>-0.79705809999999999</v>
      </c>
      <c r="T3113">
        <v>-0.33233819999999997</v>
      </c>
      <c r="U3113">
        <v>-3.021973</v>
      </c>
      <c r="V3113">
        <v>5.3883319999999998E-2</v>
      </c>
      <c r="W3113">
        <v>0.1460958</v>
      </c>
      <c r="X3113">
        <v>0.98780190000000001</v>
      </c>
      <c r="Y3113">
        <v>0.23126250000000001</v>
      </c>
      <c r="Z3113">
        <v>0.1059996</v>
      </c>
      <c r="AA3113">
        <v>0.96709970000000001</v>
      </c>
      <c r="AB3113">
        <v>30</v>
      </c>
      <c r="AC3113">
        <v>-2.6607999999999898</v>
      </c>
      <c r="AD3113">
        <v>-1.1116358552259999</v>
      </c>
      <c r="AE3113">
        <v>-9.81810000000001</v>
      </c>
      <c r="AF3113">
        <v>2.4052742747132498</v>
      </c>
      <c r="AG3113">
        <v>-1.1116358552259999</v>
      </c>
      <c r="AH3113">
        <v>9.7602105254885299</v>
      </c>
      <c r="AI3113">
        <v>96.310478496132703</v>
      </c>
      <c r="AJ3113">
        <v>76.156068453779994</v>
      </c>
      <c r="AK3113">
        <v>10.113495345976</v>
      </c>
      <c r="AL3113">
        <v>81.599260266483597</v>
      </c>
      <c r="AM3113">
        <v>86.877683531588403</v>
      </c>
      <c r="AN3113">
        <v>0.99999999429773601</v>
      </c>
    </row>
    <row r="3114" spans="1:40" x14ac:dyDescent="0.25">
      <c r="A3114" t="str">
        <f>"20190312164328369"</f>
        <v>20190312164328369</v>
      </c>
      <c r="B3114" t="str">
        <f>"1552380208358008"</f>
        <v>1552380208358008</v>
      </c>
      <c r="C3114" t="s">
        <v>40</v>
      </c>
      <c r="D3114">
        <v>5.0950160000000002</v>
      </c>
      <c r="E3114">
        <v>0.58121750000000005</v>
      </c>
      <c r="F3114" t="s">
        <v>42</v>
      </c>
      <c r="G3114">
        <v>-192.9905</v>
      </c>
      <c r="H3114" s="1">
        <v>-4.8396399999999996E-6</v>
      </c>
      <c r="I3114">
        <v>168.50739999999999</v>
      </c>
      <c r="J3114">
        <v>-190.31309999999999</v>
      </c>
      <c r="K3114">
        <v>1.111491</v>
      </c>
      <c r="L3114">
        <v>178.10059999999999</v>
      </c>
      <c r="M3114">
        <v>-2.1961580000000001E-2</v>
      </c>
      <c r="N3114">
        <v>0</v>
      </c>
      <c r="O3114">
        <v>-0.99966619999999995</v>
      </c>
      <c r="P3114">
        <v>-8.3975869999999994E-2</v>
      </c>
      <c r="Q3114">
        <v>0.132279799999999</v>
      </c>
      <c r="R3114">
        <v>-0.98764949999999996</v>
      </c>
      <c r="S3114">
        <v>-0.82022090000000003</v>
      </c>
      <c r="T3114">
        <v>-0.339891</v>
      </c>
      <c r="U3114">
        <v>-3.0174259999999999</v>
      </c>
      <c r="V3114">
        <v>6.1882470000000002E-2</v>
      </c>
      <c r="W3114">
        <v>0.1459184</v>
      </c>
      <c r="X3114">
        <v>0.98735930000000005</v>
      </c>
      <c r="Y3114">
        <v>0.23950979999999999</v>
      </c>
      <c r="Z3114">
        <v>0.1083253</v>
      </c>
      <c r="AA3114">
        <v>0.96483189999999996</v>
      </c>
      <c r="AB3114">
        <v>30</v>
      </c>
      <c r="AC3114">
        <v>-2.6774</v>
      </c>
      <c r="AD3114">
        <v>-1.1114958396400001</v>
      </c>
      <c r="AE3114">
        <v>-9.5931999999999906</v>
      </c>
      <c r="AF3114">
        <v>2.4357180751987602</v>
      </c>
      <c r="AG3114">
        <v>-1.1114958396400001</v>
      </c>
      <c r="AH3114">
        <v>9.5309911362642303</v>
      </c>
      <c r="AI3114">
        <v>96.446388867295099</v>
      </c>
      <c r="AJ3114">
        <v>75.664449800045404</v>
      </c>
      <c r="AK3114">
        <v>9.8998958369739594</v>
      </c>
      <c r="AL3114">
        <v>81.609534719890604</v>
      </c>
      <c r="AM3114">
        <v>86.413693832327297</v>
      </c>
      <c r="AN3114">
        <v>1.0000000034241701</v>
      </c>
    </row>
    <row r="3115" spans="1:40" x14ac:dyDescent="0.25">
      <c r="A3115" t="str">
        <f>"20190312164328393"</f>
        <v>20190312164328393</v>
      </c>
      <c r="B3115" t="str">
        <f>"1552380208387291"</f>
        <v>1552380208387291</v>
      </c>
      <c r="C3115" t="s">
        <v>40</v>
      </c>
      <c r="D3115">
        <v>5.0869070000000001</v>
      </c>
      <c r="E3115">
        <v>0.58181629999999995</v>
      </c>
      <c r="F3115" t="s">
        <v>42</v>
      </c>
      <c r="G3115">
        <v>-193.05600000000001</v>
      </c>
      <c r="H3115" s="1">
        <v>-4.7825329999999998E-6</v>
      </c>
      <c r="I3115">
        <v>168.32849999999999</v>
      </c>
      <c r="J3115">
        <v>-190.31870000000001</v>
      </c>
      <c r="K3115">
        <v>1.111332</v>
      </c>
      <c r="L3115">
        <v>177.78809999999999</v>
      </c>
      <c r="M3115">
        <v>-2.0950799999999999E-2</v>
      </c>
      <c r="N3115">
        <v>0</v>
      </c>
      <c r="O3115">
        <v>-0.99968789999999996</v>
      </c>
      <c r="P3115">
        <v>-9.1049249999999998E-2</v>
      </c>
      <c r="Q3115">
        <v>0.13214400000000001</v>
      </c>
      <c r="R3115">
        <v>-0.98704049999999999</v>
      </c>
      <c r="S3115">
        <v>-0.84529109999999996</v>
      </c>
      <c r="T3115">
        <v>-0.34253440000000002</v>
      </c>
      <c r="U3115">
        <v>-3.01152</v>
      </c>
      <c r="V3115">
        <v>7.002237E-2</v>
      </c>
      <c r="W3115">
        <v>0.14576320000000001</v>
      </c>
      <c r="X3115">
        <v>0.98683829999999995</v>
      </c>
      <c r="Y3115">
        <v>0.24839749999999999</v>
      </c>
      <c r="Z3115">
        <v>0.109123499999999</v>
      </c>
      <c r="AA3115">
        <v>0.96249189999999996</v>
      </c>
      <c r="AB3115">
        <v>30</v>
      </c>
      <c r="AC3115">
        <v>-2.7372999999999701</v>
      </c>
      <c r="AD3115">
        <v>-1.1113367825330001</v>
      </c>
      <c r="AE3115">
        <v>-9.4595999999999894</v>
      </c>
      <c r="AF3115">
        <v>2.5065715529965802</v>
      </c>
      <c r="AG3115">
        <v>-1.1113367825330001</v>
      </c>
      <c r="AH3115">
        <v>9.3952223681961602</v>
      </c>
      <c r="AI3115">
        <v>96.520037590637301</v>
      </c>
      <c r="AJ3115">
        <v>75.061870815569506</v>
      </c>
      <c r="AK3115">
        <v>9.78714328812835</v>
      </c>
      <c r="AL3115">
        <v>81.618522563819894</v>
      </c>
      <c r="AM3115">
        <v>85.941307338531999</v>
      </c>
      <c r="AN3115">
        <v>0.99999993656077102</v>
      </c>
    </row>
    <row r="3116" spans="1:40" x14ac:dyDescent="0.25">
      <c r="A3116" t="str">
        <f>"20190312164328416"</f>
        <v>20190312164328416</v>
      </c>
      <c r="B3116" t="str">
        <f>"1552380208407783"</f>
        <v>1552380208407783</v>
      </c>
      <c r="C3116" t="s">
        <v>40</v>
      </c>
      <c r="D3116">
        <v>5.0620859999999999</v>
      </c>
      <c r="E3116">
        <v>0.58115099999999997</v>
      </c>
      <c r="F3116" t="s">
        <v>42</v>
      </c>
      <c r="G3116">
        <v>-193.06870000000001</v>
      </c>
      <c r="H3116" s="1">
        <v>-4.765916E-6</v>
      </c>
      <c r="I3116">
        <v>168.27930000000001</v>
      </c>
      <c r="J3116">
        <v>-190.32419999999999</v>
      </c>
      <c r="K3116">
        <v>1.111178</v>
      </c>
      <c r="L3116">
        <v>177.47569999999999</v>
      </c>
      <c r="M3116">
        <v>-2.0139259999999999E-2</v>
      </c>
      <c r="N3116">
        <v>0</v>
      </c>
      <c r="O3116">
        <v>-0.99970440000000005</v>
      </c>
      <c r="P3116">
        <v>-9.9265110000000004E-2</v>
      </c>
      <c r="Q3116">
        <v>0.13200729999999999</v>
      </c>
      <c r="R3116">
        <v>-0.98626599999999998</v>
      </c>
      <c r="S3116">
        <v>-0.8694153</v>
      </c>
      <c r="T3116">
        <v>-0.35135100000000002</v>
      </c>
      <c r="U3116">
        <v>-3.0062259999999998</v>
      </c>
      <c r="V3116">
        <v>7.9112539999999995E-2</v>
      </c>
      <c r="W3116">
        <v>0.1455996</v>
      </c>
      <c r="X3116">
        <v>0.98617540000000004</v>
      </c>
      <c r="Y3116">
        <v>0.25667390000000001</v>
      </c>
      <c r="Z3116">
        <v>0.11184429999999999</v>
      </c>
      <c r="AA3116">
        <v>0.96000490000000005</v>
      </c>
      <c r="AB3116">
        <v>30</v>
      </c>
      <c r="AC3116">
        <v>-2.7445000000000102</v>
      </c>
      <c r="AD3116">
        <v>-1.1111827659160001</v>
      </c>
      <c r="AE3116">
        <v>-9.1963999999999793</v>
      </c>
      <c r="AF3116">
        <v>2.5248702633429501</v>
      </c>
      <c r="AG3116">
        <v>-1.1111827659160001</v>
      </c>
      <c r="AH3116">
        <v>9.1274537821728305</v>
      </c>
      <c r="AI3116">
        <v>96.692156130630707</v>
      </c>
      <c r="AJ3116">
        <v>74.537293058833995</v>
      </c>
      <c r="AK3116">
        <v>9.5352036963917701</v>
      </c>
      <c r="AL3116">
        <v>81.627997587878497</v>
      </c>
      <c r="AM3116">
        <v>85.413464603630601</v>
      </c>
      <c r="AN3116">
        <v>0.99999997853528499</v>
      </c>
    </row>
    <row r="3117" spans="1:40" x14ac:dyDescent="0.25">
      <c r="A3117" t="str">
        <f>"20190312164328439"</f>
        <v>20190312164328439</v>
      </c>
      <c r="B3117" t="str">
        <f>"1552380208427302"</f>
        <v>1552380208427302</v>
      </c>
      <c r="C3117" t="s">
        <v>40</v>
      </c>
      <c r="D3117">
        <v>5.0307829999999996</v>
      </c>
      <c r="E3117">
        <v>0.58048159999999904</v>
      </c>
      <c r="F3117" t="s">
        <v>42</v>
      </c>
      <c r="G3117">
        <v>-193.08189999999999</v>
      </c>
      <c r="H3117" s="1">
        <v>-4.71883E-6</v>
      </c>
      <c r="I3117">
        <v>168.1506</v>
      </c>
      <c r="J3117">
        <v>-190.32939999999999</v>
      </c>
      <c r="K3117">
        <v>1.1110180000000001</v>
      </c>
      <c r="L3117">
        <v>177.18340000000001</v>
      </c>
      <c r="M3117">
        <v>-1.9563210000000001E-2</v>
      </c>
      <c r="N3117">
        <v>0</v>
      </c>
      <c r="O3117">
        <v>-0.99971589999999999</v>
      </c>
      <c r="P3117">
        <v>-0.1078262</v>
      </c>
      <c r="Q3117">
        <v>0.1318327</v>
      </c>
      <c r="R3117">
        <v>-0.98539010000000005</v>
      </c>
      <c r="S3117">
        <v>-0.8872833</v>
      </c>
      <c r="T3117">
        <v>-0.35751939999999999</v>
      </c>
      <c r="U3117">
        <v>-3.0003199999999999</v>
      </c>
      <c r="V3117">
        <v>8.8315249999999998E-2</v>
      </c>
      <c r="W3117">
        <v>0.14539099999999999</v>
      </c>
      <c r="X3117">
        <v>0.98542470000000004</v>
      </c>
      <c r="Y3117">
        <v>0.262932</v>
      </c>
      <c r="Z3117">
        <v>0.1138063</v>
      </c>
      <c r="AA3117">
        <v>0.95807869999999995</v>
      </c>
      <c r="AB3117">
        <v>30</v>
      </c>
      <c r="AC3117">
        <v>-2.7524999999999902</v>
      </c>
      <c r="AD3117">
        <v>-1.1110227188299999</v>
      </c>
      <c r="AE3117">
        <v>-9.0327999999999999</v>
      </c>
      <c r="AF3117">
        <v>2.5400831737656699</v>
      </c>
      <c r="AG3117">
        <v>-1.1110227188299999</v>
      </c>
      <c r="AH3117">
        <v>8.9608760539551007</v>
      </c>
      <c r="AI3117">
        <v>96.802448057030304</v>
      </c>
      <c r="AJ3117">
        <v>74.173891354769793</v>
      </c>
      <c r="AK3117">
        <v>9.3799623488449999</v>
      </c>
      <c r="AL3117">
        <v>81.640078072565203</v>
      </c>
      <c r="AM3117">
        <v>84.878747780591297</v>
      </c>
      <c r="AN3117">
        <v>0.99999998281682601</v>
      </c>
    </row>
    <row r="3118" spans="1:40" x14ac:dyDescent="0.25">
      <c r="A3118" t="str">
        <f>"20190312164328459"</f>
        <v>20190312164328459</v>
      </c>
      <c r="B3118" t="str">
        <f>"1552380208447799"</f>
        <v>1552380208447799</v>
      </c>
      <c r="C3118" t="s">
        <v>40</v>
      </c>
      <c r="D3118">
        <v>5.0179109999999998</v>
      </c>
      <c r="E3118">
        <v>0.58008890000000002</v>
      </c>
      <c r="F3118" t="s">
        <v>42</v>
      </c>
      <c r="G3118">
        <v>-193.1926</v>
      </c>
      <c r="H3118" s="1">
        <v>-4.581503E-6</v>
      </c>
      <c r="I3118">
        <v>167.74189999999999</v>
      </c>
      <c r="J3118">
        <v>-190.33430000000001</v>
      </c>
      <c r="K3118">
        <v>1.1108579999999999</v>
      </c>
      <c r="L3118">
        <v>176.9076</v>
      </c>
      <c r="M3118">
        <v>-1.9193350000000001E-2</v>
      </c>
      <c r="N3118">
        <v>0</v>
      </c>
      <c r="O3118">
        <v>-0.99972320000000003</v>
      </c>
      <c r="P3118">
        <v>-0.1171855</v>
      </c>
      <c r="Q3118">
        <v>0.131524</v>
      </c>
      <c r="R3118">
        <v>-0.98436239999999997</v>
      </c>
      <c r="S3118">
        <v>-0.90744020000000003</v>
      </c>
      <c r="T3118">
        <v>-0.35211429999999999</v>
      </c>
      <c r="U3118">
        <v>-2.9922939999999998</v>
      </c>
      <c r="V3118">
        <v>9.8113160000000005E-2</v>
      </c>
      <c r="W3118">
        <v>0.145042899999999</v>
      </c>
      <c r="X3118">
        <v>0.9845488</v>
      </c>
      <c r="Y3118">
        <v>0.26995550000000001</v>
      </c>
      <c r="Z3118">
        <v>0.1121781</v>
      </c>
      <c r="AA3118">
        <v>0.9563159</v>
      </c>
      <c r="AB3118">
        <v>30</v>
      </c>
      <c r="AC3118">
        <v>-2.8582999999999799</v>
      </c>
      <c r="AD3118">
        <v>-1.110862581503</v>
      </c>
      <c r="AE3118">
        <v>-9.16570000000001</v>
      </c>
      <c r="AF3118">
        <v>2.6464090413044099</v>
      </c>
      <c r="AG3118">
        <v>-1.110862581503</v>
      </c>
      <c r="AH3118">
        <v>9.0970936347447893</v>
      </c>
      <c r="AI3118">
        <v>96.687467194714301</v>
      </c>
      <c r="AJ3118">
        <v>73.779911976532205</v>
      </c>
      <c r="AK3118">
        <v>9.5391094494295103</v>
      </c>
      <c r="AL3118">
        <v>81.660236453196006</v>
      </c>
      <c r="AM3118">
        <v>84.309097025741394</v>
      </c>
      <c r="AN3118">
        <v>0.99999998729351702</v>
      </c>
    </row>
    <row r="3119" spans="1:40" x14ac:dyDescent="0.25">
      <c r="A3119" t="str">
        <f>"20190312164328482"</f>
        <v>20190312164328482</v>
      </c>
      <c r="B3119" t="str">
        <f>"1552380208478055"</f>
        <v>1552380208478055</v>
      </c>
      <c r="C3119" t="s">
        <v>40</v>
      </c>
      <c r="D3119">
        <v>4.9736690000000001</v>
      </c>
      <c r="E3119">
        <v>0.57913939999999997</v>
      </c>
      <c r="F3119" t="s">
        <v>42</v>
      </c>
      <c r="G3119">
        <v>-193.28030000000001</v>
      </c>
      <c r="H3119" s="1">
        <v>-4.490675E-6</v>
      </c>
      <c r="I3119">
        <v>167.4648</v>
      </c>
      <c r="J3119">
        <v>-190.33969999999999</v>
      </c>
      <c r="K3119">
        <v>1.1106929999999999</v>
      </c>
      <c r="L3119">
        <v>176.6053</v>
      </c>
      <c r="M3119">
        <v>-1.896225E-2</v>
      </c>
      <c r="N3119">
        <v>0</v>
      </c>
      <c r="O3119">
        <v>-0.99972780000000006</v>
      </c>
      <c r="P3119">
        <v>-0.1262615</v>
      </c>
      <c r="Q3119">
        <v>0.13040839999999901</v>
      </c>
      <c r="R3119">
        <v>-0.9833885</v>
      </c>
      <c r="S3119">
        <v>-0.93089290000000002</v>
      </c>
      <c r="T3119">
        <v>-0.3510085</v>
      </c>
      <c r="U3119">
        <v>-2.9837189999999998</v>
      </c>
      <c r="V3119">
        <v>0.1074915</v>
      </c>
      <c r="W3119">
        <v>0.14387839999999999</v>
      </c>
      <c r="X3119">
        <v>0.98374010000000001</v>
      </c>
      <c r="Y3119">
        <v>0.27780729999999998</v>
      </c>
      <c r="Z3119">
        <v>0.11188190000000001</v>
      </c>
      <c r="AA3119">
        <v>0.95409940000000004</v>
      </c>
      <c r="AB3119">
        <v>30</v>
      </c>
      <c r="AC3119">
        <v>-2.9406000000000101</v>
      </c>
      <c r="AD3119">
        <v>-1.110697490675</v>
      </c>
      <c r="AE3119">
        <v>-9.1404999999999994</v>
      </c>
      <c r="AF3119">
        <v>2.73019864622683</v>
      </c>
      <c r="AG3119">
        <v>-1.110697490675</v>
      </c>
      <c r="AH3119">
        <v>9.0732154481575904</v>
      </c>
      <c r="AI3119">
        <v>96.685868632616504</v>
      </c>
      <c r="AJ3119">
        <v>73.253064611800497</v>
      </c>
      <c r="AK3119">
        <v>9.5399618517233105</v>
      </c>
      <c r="AL3119">
        <v>81.727664788298</v>
      </c>
      <c r="AM3119">
        <v>83.764133149050807</v>
      </c>
      <c r="AN3119">
        <v>1.00000000045341</v>
      </c>
    </row>
    <row r="3120" spans="1:40" x14ac:dyDescent="0.25">
      <c r="A3120" t="str">
        <f>"20190312164328505"</f>
        <v>20190312164328505</v>
      </c>
      <c r="B3120" t="str">
        <f>"1552380208497574"</f>
        <v>1552380208497574</v>
      </c>
      <c r="C3120" t="s">
        <v>40</v>
      </c>
      <c r="D3120">
        <v>4.9044809999999996</v>
      </c>
      <c r="E3120">
        <v>0.57839859999999998</v>
      </c>
      <c r="F3120" t="s">
        <v>42</v>
      </c>
      <c r="G3120">
        <v>-193.2638</v>
      </c>
      <c r="H3120" s="1">
        <v>-4.4745360000000003E-6</v>
      </c>
      <c r="I3120">
        <v>167.43049999999999</v>
      </c>
      <c r="J3120">
        <v>-190.34540000000001</v>
      </c>
      <c r="K3120">
        <v>1.1105449999999999</v>
      </c>
      <c r="L3120">
        <v>176.2988</v>
      </c>
      <c r="M3120">
        <v>-1.8905829999999998E-2</v>
      </c>
      <c r="N3120">
        <v>0</v>
      </c>
      <c r="O3120">
        <v>-0.99972879999999997</v>
      </c>
      <c r="P3120">
        <v>-0.13536110000000001</v>
      </c>
      <c r="Q3120">
        <v>0.1295405</v>
      </c>
      <c r="R3120">
        <v>-0.98229180000000005</v>
      </c>
      <c r="S3120">
        <v>-0.9486694</v>
      </c>
      <c r="T3120">
        <v>-0.3603479</v>
      </c>
      <c r="U3120">
        <v>-2.976639</v>
      </c>
      <c r="V3120">
        <v>0.1167155</v>
      </c>
      <c r="W3120">
        <v>0.14295959999999999</v>
      </c>
      <c r="X3120">
        <v>0.98282250000000004</v>
      </c>
      <c r="Y3120">
        <v>0.28357909999999997</v>
      </c>
      <c r="Z3120">
        <v>0.1148772</v>
      </c>
      <c r="AA3120">
        <v>0.95204310000000003</v>
      </c>
      <c r="AB3120">
        <v>30</v>
      </c>
      <c r="AC3120">
        <v>-2.9183999999999899</v>
      </c>
      <c r="AD3120">
        <v>-1.1105494745360001</v>
      </c>
      <c r="AE3120">
        <v>-8.8682999999999996</v>
      </c>
      <c r="AF3120">
        <v>2.7118293187139799</v>
      </c>
      <c r="AG3120">
        <v>-1.1105494745360001</v>
      </c>
      <c r="AH3120">
        <v>8.7974159183666405</v>
      </c>
      <c r="AI3120">
        <v>96.878612850284597</v>
      </c>
      <c r="AJ3120">
        <v>72.867931914046096</v>
      </c>
      <c r="AK3120">
        <v>9.2726406826728507</v>
      </c>
      <c r="AL3120">
        <v>81.780858147388798</v>
      </c>
      <c r="AM3120">
        <v>83.227533738666295</v>
      </c>
      <c r="AN3120">
        <v>1.0000000108393201</v>
      </c>
    </row>
    <row r="3121" spans="1:40" x14ac:dyDescent="0.25">
      <c r="A3121" t="str">
        <f>"20190312164328527"</f>
        <v>20190312164328527</v>
      </c>
      <c r="B3121" t="str">
        <f>"1552380208518074"</f>
        <v>1552380208518074</v>
      </c>
      <c r="C3121" t="s">
        <v>40</v>
      </c>
      <c r="D3121">
        <v>4.8943690000000002</v>
      </c>
      <c r="E3121">
        <v>0.57785200000000003</v>
      </c>
      <c r="F3121" t="s">
        <v>42</v>
      </c>
      <c r="G3121">
        <v>-193.27019999999999</v>
      </c>
      <c r="H3121" s="1">
        <v>-4.4381120000000002E-6</v>
      </c>
      <c r="I3121">
        <v>167.33260000000001</v>
      </c>
      <c r="J3121">
        <v>-190.3509</v>
      </c>
      <c r="K3121">
        <v>1.1104350000000001</v>
      </c>
      <c r="L3121">
        <v>176.0044</v>
      </c>
      <c r="M3121">
        <v>-1.8976989999999999E-2</v>
      </c>
      <c r="N3121">
        <v>0</v>
      </c>
      <c r="O3121">
        <v>-0.9997277</v>
      </c>
      <c r="P3121">
        <v>-0.14501700000000001</v>
      </c>
      <c r="Q3121">
        <v>0.12899269999999999</v>
      </c>
      <c r="R3121">
        <v>-0.98098490000000005</v>
      </c>
      <c r="S3121">
        <v>-0.96856690000000001</v>
      </c>
      <c r="T3121">
        <v>-0.36775619999999998</v>
      </c>
      <c r="U3121">
        <v>-2.9691160000000001</v>
      </c>
      <c r="V3121">
        <v>0.12636230000000001</v>
      </c>
      <c r="W3121">
        <v>0.1423625</v>
      </c>
      <c r="X3121">
        <v>0.98171560000000002</v>
      </c>
      <c r="Y3121">
        <v>0.28989389999999998</v>
      </c>
      <c r="Z3121">
        <v>0.1172546</v>
      </c>
      <c r="AA3121">
        <v>0.9498489</v>
      </c>
      <c r="AB3121">
        <v>30</v>
      </c>
      <c r="AC3121">
        <v>-2.91929999999999</v>
      </c>
      <c r="AD3121">
        <v>-1.110439438112</v>
      </c>
      <c r="AE3121">
        <v>-8.6717999999999904</v>
      </c>
      <c r="AF3121">
        <v>2.71421896037522</v>
      </c>
      <c r="AG3121">
        <v>-1.110439438112</v>
      </c>
      <c r="AH3121">
        <v>8.5989955148298804</v>
      </c>
      <c r="AI3121">
        <v>97.020454340221505</v>
      </c>
      <c r="AJ3121">
        <v>72.482025570555194</v>
      </c>
      <c r="AK3121">
        <v>9.0853059483233292</v>
      </c>
      <c r="AL3121">
        <v>81.815423041248906</v>
      </c>
      <c r="AM3121">
        <v>82.665456637186395</v>
      </c>
      <c r="AN3121">
        <v>1.0000000157754401</v>
      </c>
    </row>
    <row r="3122" spans="1:40" x14ac:dyDescent="0.25">
      <c r="A3122" t="str">
        <f>"20190312164328549"</f>
        <v>20190312164328549</v>
      </c>
      <c r="B3122" t="str">
        <f>"1552380208537594"</f>
        <v>1552380208537594</v>
      </c>
      <c r="C3122" t="s">
        <v>40</v>
      </c>
      <c r="D3122">
        <v>4.8371879999999896</v>
      </c>
      <c r="E3122">
        <v>0.57723440000000004</v>
      </c>
      <c r="F3122" t="s">
        <v>42</v>
      </c>
      <c r="G3122">
        <v>-193.31739999999999</v>
      </c>
      <c r="H3122" s="1">
        <v>-4.3749000000000002E-6</v>
      </c>
      <c r="I3122">
        <v>167.1463</v>
      </c>
      <c r="J3122">
        <v>-190.35640000000001</v>
      </c>
      <c r="K3122">
        <v>1.110336</v>
      </c>
      <c r="L3122">
        <v>175.72200000000001</v>
      </c>
      <c r="M3122">
        <v>-1.9161419999999998E-2</v>
      </c>
      <c r="N3122">
        <v>0</v>
      </c>
      <c r="O3122">
        <v>-0.9997241</v>
      </c>
      <c r="P3122">
        <v>-0.1558052</v>
      </c>
      <c r="Q3122">
        <v>0.12806419999999999</v>
      </c>
      <c r="R3122">
        <v>-0.97945119999999997</v>
      </c>
      <c r="S3122">
        <v>-0.9913788</v>
      </c>
      <c r="T3122">
        <v>-0.37110850000000001</v>
      </c>
      <c r="U3122">
        <v>-2.960388</v>
      </c>
      <c r="V3122">
        <v>0.1370286</v>
      </c>
      <c r="W3122">
        <v>0.1413817</v>
      </c>
      <c r="X3122">
        <v>0.98042560000000001</v>
      </c>
      <c r="Y3122">
        <v>0.2970893</v>
      </c>
      <c r="Z3122">
        <v>0.1183623</v>
      </c>
      <c r="AA3122">
        <v>0.94748529999999997</v>
      </c>
      <c r="AB3122">
        <v>30</v>
      </c>
      <c r="AC3122">
        <v>-2.9609999999999799</v>
      </c>
      <c r="AD3122">
        <v>-1.1103403749</v>
      </c>
      <c r="AE3122">
        <v>-8.5757000000000101</v>
      </c>
      <c r="AF3122">
        <v>2.7548558049037499</v>
      </c>
      <c r="AG3122">
        <v>-1.1103403749</v>
      </c>
      <c r="AH3122">
        <v>8.50350053066356</v>
      </c>
      <c r="AI3122">
        <v>97.080921984660307</v>
      </c>
      <c r="AJ3122">
        <v>72.049373128991206</v>
      </c>
      <c r="AK3122">
        <v>9.0073085618813202</v>
      </c>
      <c r="AL3122">
        <v>81.872192758173298</v>
      </c>
      <c r="AM3122">
        <v>82.043629182455902</v>
      </c>
      <c r="AN3122">
        <v>0.99999998972410498</v>
      </c>
    </row>
    <row r="3123" spans="1:40" x14ac:dyDescent="0.25">
      <c r="A3123" t="str">
        <f>"20190312164328570"</f>
        <v>20190312164328570</v>
      </c>
      <c r="B3123" t="str">
        <f>"1552380208567847"</f>
        <v>1552380208567847</v>
      </c>
      <c r="C3123" t="s">
        <v>40</v>
      </c>
      <c r="D3123">
        <v>4.7172280000000004</v>
      </c>
      <c r="E3123">
        <v>0.57678660000000004</v>
      </c>
      <c r="F3123" t="s">
        <v>42</v>
      </c>
      <c r="G3123">
        <v>-193.35409999999999</v>
      </c>
      <c r="H3123" s="1">
        <v>-4.3314559999999996E-6</v>
      </c>
      <c r="I3123">
        <v>167.0162</v>
      </c>
      <c r="J3123">
        <v>-190.3622</v>
      </c>
      <c r="K3123">
        <v>1.1102299999999901</v>
      </c>
      <c r="L3123">
        <v>175.43199999999999</v>
      </c>
      <c r="M3123">
        <v>-1.9469759999999999E-2</v>
      </c>
      <c r="N3123">
        <v>0</v>
      </c>
      <c r="O3123">
        <v>-0.9997182</v>
      </c>
      <c r="P3123">
        <v>-0.16602620000000001</v>
      </c>
      <c r="Q3123">
        <v>0.1275259</v>
      </c>
      <c r="R3123">
        <v>-0.97784110000000002</v>
      </c>
      <c r="S3123">
        <v>-1.0159609999999999</v>
      </c>
      <c r="T3123">
        <v>-0.37631199999999998</v>
      </c>
      <c r="U3123">
        <v>-2.9505620000000001</v>
      </c>
      <c r="V3123">
        <v>0.14701110000000001</v>
      </c>
      <c r="W3123">
        <v>0.14078309999999999</v>
      </c>
      <c r="X3123">
        <v>0.97906479999999996</v>
      </c>
      <c r="Y3123">
        <v>0.304743599999999</v>
      </c>
      <c r="Z3123">
        <v>0.12006600000000001</v>
      </c>
      <c r="AA3123">
        <v>0.94483620000000001</v>
      </c>
      <c r="AB3123">
        <v>30</v>
      </c>
      <c r="AC3123">
        <v>-2.9918999999999798</v>
      </c>
      <c r="AD3123">
        <v>-1.1102343314559999</v>
      </c>
      <c r="AE3123">
        <v>-8.4158000000000097</v>
      </c>
      <c r="AF3123">
        <v>2.7844422111161</v>
      </c>
      <c r="AG3123">
        <v>-1.1102343314559999</v>
      </c>
      <c r="AH3123">
        <v>8.34354699401411</v>
      </c>
      <c r="AI3123">
        <v>97.193931205848003</v>
      </c>
      <c r="AJ3123">
        <v>71.544906278282298</v>
      </c>
      <c r="AK3123">
        <v>8.8656931561559507</v>
      </c>
      <c r="AL3123">
        <v>81.906836719828505</v>
      </c>
      <c r="AM3123">
        <v>81.460570627802596</v>
      </c>
      <c r="AN3123">
        <v>1.00000001368393</v>
      </c>
    </row>
    <row r="3124" spans="1:40" x14ac:dyDescent="0.25">
      <c r="A3124" t="str">
        <f>"20190312164328594"</f>
        <v>20190312164328594</v>
      </c>
      <c r="B3124" t="str">
        <f>"1552380208587367"</f>
        <v>1552380208587367</v>
      </c>
      <c r="C3124" t="s">
        <v>40</v>
      </c>
      <c r="D3124">
        <v>4.8163600000000004</v>
      </c>
      <c r="E3124">
        <v>0.5761307</v>
      </c>
      <c r="F3124" t="s">
        <v>42</v>
      </c>
      <c r="G3124">
        <v>-193.45259999999999</v>
      </c>
      <c r="H3124" s="1">
        <v>-4.2317919999999996E-6</v>
      </c>
      <c r="I3124">
        <v>166.71109999999999</v>
      </c>
      <c r="J3124">
        <v>-190.36859999999999</v>
      </c>
      <c r="K3124">
        <v>1.1101000000000001</v>
      </c>
      <c r="L3124">
        <v>175.12540000000001</v>
      </c>
      <c r="M3124">
        <v>-1.9924850000000001E-2</v>
      </c>
      <c r="N3124">
        <v>0</v>
      </c>
      <c r="O3124">
        <v>-0.99970910000000002</v>
      </c>
      <c r="P3124">
        <v>-0.17613679999999901</v>
      </c>
      <c r="Q3124">
        <v>0.1267007</v>
      </c>
      <c r="R3124">
        <v>-0.97617759999999998</v>
      </c>
      <c r="S3124">
        <v>-1.041809</v>
      </c>
      <c r="T3124">
        <v>-0.3742762</v>
      </c>
      <c r="U3124">
        <v>-2.9399259999999998</v>
      </c>
      <c r="V3124">
        <v>0.15674830000000001</v>
      </c>
      <c r="W3124">
        <v>0.1398847</v>
      </c>
      <c r="X3124">
        <v>0.9776821</v>
      </c>
      <c r="Y3124">
        <v>0.31277480000000002</v>
      </c>
      <c r="Z3124">
        <v>0.1195006</v>
      </c>
      <c r="AA3124">
        <v>0.94227989999999995</v>
      </c>
      <c r="AB3124">
        <v>30</v>
      </c>
      <c r="AC3124">
        <v>-3.0840000000000001</v>
      </c>
      <c r="AD3124">
        <v>-1.110104231792</v>
      </c>
      <c r="AE3124">
        <v>-8.4143000000000203</v>
      </c>
      <c r="AF3124">
        <v>2.8716546963769201</v>
      </c>
      <c r="AG3124">
        <v>-1.110104231792</v>
      </c>
      <c r="AH3124">
        <v>8.3460185939609399</v>
      </c>
      <c r="AI3124">
        <v>97.168634236379503</v>
      </c>
      <c r="AJ3124">
        <v>71.0129506861349</v>
      </c>
      <c r="AK3124">
        <v>8.8957719435363192</v>
      </c>
      <c r="AL3124">
        <v>81.958825801726803</v>
      </c>
      <c r="AM3124">
        <v>80.891486695378006</v>
      </c>
      <c r="AN3124">
        <v>1.0000000237536899</v>
      </c>
    </row>
    <row r="3125" spans="1:40" x14ac:dyDescent="0.25">
      <c r="A3125" t="str">
        <f>"20190312164328617"</f>
        <v>20190312164328617</v>
      </c>
      <c r="B3125" t="str">
        <f>"1552380208607863"</f>
        <v>1552380208607863</v>
      </c>
      <c r="C3125" t="s">
        <v>40</v>
      </c>
      <c r="D3125">
        <v>4.8828329999999998</v>
      </c>
      <c r="E3125">
        <v>0.5756057</v>
      </c>
      <c r="F3125" t="s">
        <v>42</v>
      </c>
      <c r="G3125">
        <v>-193.49600000000001</v>
      </c>
      <c r="H3125" s="1">
        <v>-4.1668130000000002E-6</v>
      </c>
      <c r="I3125">
        <v>166.52189999999999</v>
      </c>
      <c r="J3125">
        <v>-190.37540000000001</v>
      </c>
      <c r="K3125">
        <v>1.1099570000000001</v>
      </c>
      <c r="L3125">
        <v>174.8143</v>
      </c>
      <c r="M3125">
        <v>-2.0539100000000001E-2</v>
      </c>
      <c r="N3125">
        <v>0</v>
      </c>
      <c r="O3125">
        <v>-0.9996969</v>
      </c>
      <c r="P3125">
        <v>-0.18617049999999999</v>
      </c>
      <c r="Q3125">
        <v>0.12622619999999901</v>
      </c>
      <c r="R3125">
        <v>-0.97437549999999995</v>
      </c>
      <c r="S3125">
        <v>-1.065094</v>
      </c>
      <c r="T3125">
        <v>-0.37806590000000001</v>
      </c>
      <c r="U3125">
        <v>-2.9300989999999998</v>
      </c>
      <c r="V3125">
        <v>0.16626160000000001</v>
      </c>
      <c r="W3125">
        <v>0.1393247</v>
      </c>
      <c r="X3125">
        <v>0.97618939999999998</v>
      </c>
      <c r="Y3125">
        <v>0.3197565</v>
      </c>
      <c r="Z3125">
        <v>0.12076580000000001</v>
      </c>
      <c r="AA3125">
        <v>0.93977200000000005</v>
      </c>
      <c r="AB3125">
        <v>30</v>
      </c>
      <c r="AC3125">
        <v>-3.1205999999999601</v>
      </c>
      <c r="AD3125">
        <v>-1.1099611668129901</v>
      </c>
      <c r="AE3125">
        <v>-8.2924000000000095</v>
      </c>
      <c r="AF3125">
        <v>2.9040314918719101</v>
      </c>
      <c r="AG3125">
        <v>-1.1099611668129901</v>
      </c>
      <c r="AH3125">
        <v>8.2256568741256899</v>
      </c>
      <c r="AI3125">
        <v>97.251457545454997</v>
      </c>
      <c r="AJ3125">
        <v>70.554647993778303</v>
      </c>
      <c r="AK3125">
        <v>8.7935683148803605</v>
      </c>
      <c r="AL3125">
        <v>81.991228704751805</v>
      </c>
      <c r="AM3125">
        <v>80.334305861286396</v>
      </c>
      <c r="AN3125">
        <v>1.0000000181685</v>
      </c>
    </row>
    <row r="3126" spans="1:40" x14ac:dyDescent="0.25">
      <c r="A3126" t="str">
        <f>"20190312164328640"</f>
        <v>20190312164328640</v>
      </c>
      <c r="B3126" t="str">
        <f>"1552380208627383"</f>
        <v>1552380208627383</v>
      </c>
      <c r="C3126" t="s">
        <v>40</v>
      </c>
      <c r="D3126">
        <v>5.2667650000000004</v>
      </c>
      <c r="E3126">
        <v>0.57503719999999903</v>
      </c>
      <c r="F3126" t="s">
        <v>42</v>
      </c>
      <c r="G3126">
        <v>-193.55179999999999</v>
      </c>
      <c r="H3126" s="1">
        <v>-4.0911310000000003E-6</v>
      </c>
      <c r="I3126">
        <v>166.29900000000001</v>
      </c>
      <c r="J3126">
        <v>-190.38220000000001</v>
      </c>
      <c r="K3126">
        <v>1.1098209999999999</v>
      </c>
      <c r="L3126">
        <v>174.5249</v>
      </c>
      <c r="M3126">
        <v>-2.1279989999999999E-2</v>
      </c>
      <c r="N3126">
        <v>0</v>
      </c>
      <c r="O3126">
        <v>-0.9996815</v>
      </c>
      <c r="P3126">
        <v>-0.19691800000000001</v>
      </c>
      <c r="Q3126">
        <v>0.1258504</v>
      </c>
      <c r="R3126">
        <v>-0.97230919999999998</v>
      </c>
      <c r="S3126">
        <v>-1.089264</v>
      </c>
      <c r="T3126">
        <v>-0.38063049999999998</v>
      </c>
      <c r="U3126">
        <v>-2.9200900000000001</v>
      </c>
      <c r="V3126">
        <v>0.17637079999999999</v>
      </c>
      <c r="W3126">
        <v>0.1388558</v>
      </c>
      <c r="X3126">
        <v>0.97448060000000003</v>
      </c>
      <c r="Y3126">
        <v>0.3268895</v>
      </c>
      <c r="Z3126">
        <v>0.12163599999999999</v>
      </c>
      <c r="AA3126">
        <v>0.93720219999999999</v>
      </c>
      <c r="AB3126">
        <v>30</v>
      </c>
      <c r="AC3126">
        <v>-3.1695999999999702</v>
      </c>
      <c r="AD3126">
        <v>-1.1098250911309999</v>
      </c>
      <c r="AE3126">
        <v>-8.2258999999999904</v>
      </c>
      <c r="AF3126">
        <v>2.9471080514682</v>
      </c>
      <c r="AG3126">
        <v>-1.1098250911309999</v>
      </c>
      <c r="AH3126">
        <v>8.1621246583267197</v>
      </c>
      <c r="AI3126">
        <v>97.288060946002105</v>
      </c>
      <c r="AJ3126">
        <v>70.146809180733797</v>
      </c>
      <c r="AK3126">
        <v>8.7485676849412108</v>
      </c>
      <c r="AL3126">
        <v>82.018358386932405</v>
      </c>
      <c r="AM3126">
        <v>79.741118363835099</v>
      </c>
      <c r="AN3126">
        <v>1.0000000160313101</v>
      </c>
    </row>
    <row r="3127" spans="1:40" x14ac:dyDescent="0.25">
      <c r="A3127" t="str">
        <f>"20190312164328660"</f>
        <v>20190312164328660</v>
      </c>
      <c r="B3127" t="str">
        <f>"1552380208647880"</f>
        <v>1552380208647880</v>
      </c>
      <c r="C3127" t="s">
        <v>40</v>
      </c>
      <c r="D3127">
        <v>4.9196589999999896</v>
      </c>
      <c r="E3127">
        <v>0.57446960000000002</v>
      </c>
      <c r="F3127" t="s">
        <v>42</v>
      </c>
      <c r="G3127">
        <v>-193.65989999999999</v>
      </c>
      <c r="H3127" s="1">
        <v>-3.9879590000000001E-6</v>
      </c>
      <c r="I3127">
        <v>165.9804</v>
      </c>
      <c r="J3127">
        <v>-190.38900000000001</v>
      </c>
      <c r="K3127">
        <v>1.109683</v>
      </c>
      <c r="L3127">
        <v>174.2483</v>
      </c>
      <c r="M3127">
        <v>-2.2166700000000001E-2</v>
      </c>
      <c r="N3127">
        <v>0</v>
      </c>
      <c r="O3127">
        <v>-0.99966239999999995</v>
      </c>
      <c r="P3127">
        <v>-0.2074684</v>
      </c>
      <c r="Q3127">
        <v>0.12596099999999999</v>
      </c>
      <c r="R3127">
        <v>-0.97009869999999998</v>
      </c>
      <c r="S3127">
        <v>-1.1156919999999999</v>
      </c>
      <c r="T3127">
        <v>-0.37776280000000001</v>
      </c>
      <c r="U3127">
        <v>-2.908401</v>
      </c>
      <c r="V3127">
        <v>0.1861468</v>
      </c>
      <c r="W3127">
        <v>0.1388662</v>
      </c>
      <c r="X3127">
        <v>0.97265900000000005</v>
      </c>
      <c r="Y3127">
        <v>0.33475539999999998</v>
      </c>
      <c r="Z3127">
        <v>0.1208205</v>
      </c>
      <c r="AA3127">
        <v>0.93452729999999995</v>
      </c>
      <c r="AB3127">
        <v>30</v>
      </c>
      <c r="AC3127">
        <v>-3.2708999999999802</v>
      </c>
      <c r="AD3127">
        <v>-1.1096869879589999</v>
      </c>
      <c r="AE3127">
        <v>-8.2678999999999903</v>
      </c>
      <c r="AF3127">
        <v>3.0394640260024199</v>
      </c>
      <c r="AG3127">
        <v>-1.1096869879589999</v>
      </c>
      <c r="AH3127">
        <v>8.2104917508559705</v>
      </c>
      <c r="AI3127">
        <v>97.223637463271601</v>
      </c>
      <c r="AJ3127">
        <v>69.685816006729397</v>
      </c>
      <c r="AK3127">
        <v>8.8250734596082694</v>
      </c>
      <c r="AL3127">
        <v>82.017756484082994</v>
      </c>
      <c r="AM3127">
        <v>79.165777605266797</v>
      </c>
      <c r="AN3127">
        <v>0.99999999146684004</v>
      </c>
    </row>
    <row r="3128" spans="1:40" x14ac:dyDescent="0.25">
      <c r="A3128" t="str">
        <f>"20190312164328683"</f>
        <v>20190312164328683</v>
      </c>
      <c r="B3128" t="str">
        <f>"1552380208678135"</f>
        <v>1552380208678135</v>
      </c>
      <c r="C3128" t="s">
        <v>40</v>
      </c>
      <c r="D3128">
        <v>4.749663</v>
      </c>
      <c r="E3128">
        <v>0.57366680000000003</v>
      </c>
      <c r="F3128" t="s">
        <v>42</v>
      </c>
      <c r="G3128">
        <v>-193.79849999999999</v>
      </c>
      <c r="H3128" s="1">
        <v>-3.8542380000000001E-6</v>
      </c>
      <c r="I3128">
        <v>165.6071</v>
      </c>
      <c r="J3128">
        <v>-190.39699999999999</v>
      </c>
      <c r="K3128">
        <v>1.1095280000000001</v>
      </c>
      <c r="L3128">
        <v>173.94560000000001</v>
      </c>
      <c r="M3128">
        <v>-2.3358429999999999E-2</v>
      </c>
      <c r="N3128">
        <v>0</v>
      </c>
      <c r="O3128">
        <v>-0.9996351</v>
      </c>
      <c r="P3128">
        <v>-0.21895580000000001</v>
      </c>
      <c r="Q3128">
        <v>0.12617809999999999</v>
      </c>
      <c r="R3128">
        <v>-0.96754240000000002</v>
      </c>
      <c r="S3128">
        <v>-1.142792</v>
      </c>
      <c r="T3128">
        <v>-0.37194559999999999</v>
      </c>
      <c r="U3128">
        <v>-2.8963619999999999</v>
      </c>
      <c r="V3128">
        <v>0.19658100000000001</v>
      </c>
      <c r="W3128">
        <v>0.13896439999999999</v>
      </c>
      <c r="X3128">
        <v>0.97058990000000001</v>
      </c>
      <c r="Y3128">
        <v>0.3425877</v>
      </c>
      <c r="Z3128">
        <v>0.119072</v>
      </c>
      <c r="AA3128">
        <v>0.9319096</v>
      </c>
      <c r="AB3128">
        <v>30</v>
      </c>
      <c r="AC3128">
        <v>-3.4014999999999702</v>
      </c>
      <c r="AD3128">
        <v>-1.1095318542379999</v>
      </c>
      <c r="AE3128">
        <v>-8.3384999999999998</v>
      </c>
      <c r="AF3128">
        <v>3.1578453647339702</v>
      </c>
      <c r="AG3128">
        <v>-1.1095318542379999</v>
      </c>
      <c r="AH3128">
        <v>8.2898505471607802</v>
      </c>
      <c r="AI3128">
        <v>97.129239760442204</v>
      </c>
      <c r="AJ3128">
        <v>69.146706478963097</v>
      </c>
      <c r="AK3128">
        <v>8.9400598643075408</v>
      </c>
      <c r="AL3128">
        <v>82.012074811465595</v>
      </c>
      <c r="AM3128">
        <v>78.550331395006594</v>
      </c>
      <c r="AN3128">
        <v>0.99999997400518403</v>
      </c>
    </row>
    <row r="3129" spans="1:40" x14ac:dyDescent="0.25">
      <c r="A3129" t="str">
        <f>"20190312164328706"</f>
        <v>20190312164328706</v>
      </c>
      <c r="B3129" t="str">
        <f>"1552380208697655"</f>
        <v>1552380208697655</v>
      </c>
      <c r="C3129" t="s">
        <v>40</v>
      </c>
      <c r="D3129">
        <v>4.7897679999999996</v>
      </c>
      <c r="E3129">
        <v>0.573049699999999</v>
      </c>
      <c r="F3129" t="s">
        <v>42</v>
      </c>
      <c r="G3129">
        <v>-193.93270000000001</v>
      </c>
      <c r="H3129" s="1">
        <v>-3.712797E-6</v>
      </c>
      <c r="I3129">
        <v>165.23230000000001</v>
      </c>
      <c r="J3129">
        <v>-190.40549999999999</v>
      </c>
      <c r="K3129">
        <v>1.1093740000000001</v>
      </c>
      <c r="L3129">
        <v>173.6446</v>
      </c>
      <c r="M3129">
        <v>-2.4760330000000001E-2</v>
      </c>
      <c r="N3129">
        <v>0</v>
      </c>
      <c r="O3129">
        <v>-0.99960130000000003</v>
      </c>
      <c r="P3129">
        <v>-0.2298972</v>
      </c>
      <c r="Q3129">
        <v>0.12706819999999999</v>
      </c>
      <c r="R3129">
        <v>-0.96488430000000003</v>
      </c>
      <c r="S3129">
        <v>-1.1701809999999999</v>
      </c>
      <c r="T3129">
        <v>-0.36720530000000001</v>
      </c>
      <c r="U3129">
        <v>-2.8837130000000002</v>
      </c>
      <c r="V3129">
        <v>0.2062755</v>
      </c>
      <c r="W3129">
        <v>0.13972789999999999</v>
      </c>
      <c r="X3129">
        <v>0.9684661</v>
      </c>
      <c r="Y3129">
        <v>0.3503425</v>
      </c>
      <c r="Z3129">
        <v>0.1176714</v>
      </c>
      <c r="AA3129">
        <v>0.92920049999999998</v>
      </c>
      <c r="AB3129">
        <v>29</v>
      </c>
      <c r="AC3129">
        <v>-3.5272000000000201</v>
      </c>
      <c r="AD3129">
        <v>-1.1093777127969999</v>
      </c>
      <c r="AE3129">
        <v>-8.4122999999999806</v>
      </c>
      <c r="AF3129">
        <v>3.2694498552805502</v>
      </c>
      <c r="AG3129">
        <v>-1.1093777127969999</v>
      </c>
      <c r="AH3129">
        <v>8.3732158579790994</v>
      </c>
      <c r="AI3129">
        <v>97.035673470527996</v>
      </c>
      <c r="AJ3129">
        <v>68.671082208746896</v>
      </c>
      <c r="AK3129">
        <v>9.0570836956581893</v>
      </c>
      <c r="AL3129">
        <v>81.967898917117395</v>
      </c>
      <c r="AM3129">
        <v>77.9761335908224</v>
      </c>
      <c r="AN3129">
        <v>1.00000002739393</v>
      </c>
    </row>
    <row r="3130" spans="1:40" x14ac:dyDescent="0.25">
      <c r="A3130" t="str">
        <f>"20190312164328728"</f>
        <v>20190312164328728</v>
      </c>
      <c r="B3130" t="str">
        <f>"1552380208718151"</f>
        <v>1552380208718151</v>
      </c>
      <c r="C3130" t="s">
        <v>40</v>
      </c>
      <c r="D3130">
        <v>4.6779010000000003</v>
      </c>
      <c r="E3130">
        <v>0.57225819999999905</v>
      </c>
      <c r="F3130" t="s">
        <v>42</v>
      </c>
      <c r="G3130">
        <v>-194.0607</v>
      </c>
      <c r="H3130" s="1">
        <v>-3.579011E-6</v>
      </c>
      <c r="I3130">
        <v>164.87729999999999</v>
      </c>
      <c r="J3130">
        <v>-190.4144</v>
      </c>
      <c r="K3130">
        <v>1.1092420000000001</v>
      </c>
      <c r="L3130">
        <v>173.3492</v>
      </c>
      <c r="M3130">
        <v>-2.630538E-2</v>
      </c>
      <c r="N3130">
        <v>0</v>
      </c>
      <c r="O3130">
        <v>-0.99956210000000001</v>
      </c>
      <c r="P3130">
        <v>-0.24575459999999999</v>
      </c>
      <c r="Q3130">
        <v>0.12812129999999999</v>
      </c>
      <c r="R3130">
        <v>-0.96082800000000002</v>
      </c>
      <c r="S3130">
        <v>-1.197281</v>
      </c>
      <c r="T3130">
        <v>-0.36338130000000002</v>
      </c>
      <c r="U3130">
        <v>-2.8717800000000002</v>
      </c>
      <c r="V3130">
        <v>0.22078429999999999</v>
      </c>
      <c r="W3130">
        <v>0.1406259</v>
      </c>
      <c r="X3130">
        <v>0.96513139999999997</v>
      </c>
      <c r="Y3130">
        <v>0.3577767</v>
      </c>
      <c r="Z3130">
        <v>0.11652990000000001</v>
      </c>
      <c r="AA3130">
        <v>0.92650779999999999</v>
      </c>
      <c r="AB3130">
        <v>29</v>
      </c>
      <c r="AC3130">
        <v>-3.6462999999999899</v>
      </c>
      <c r="AD3130">
        <v>-1.1092455790109901</v>
      </c>
      <c r="AE3130">
        <v>-8.4718999999999998</v>
      </c>
      <c r="AF3130">
        <v>3.3733688119455398</v>
      </c>
      <c r="AG3130">
        <v>-1.1092455790109901</v>
      </c>
      <c r="AH3130">
        <v>8.4427781955748191</v>
      </c>
      <c r="AI3130">
        <v>96.956026350034506</v>
      </c>
      <c r="AJ3130">
        <v>68.220488467039303</v>
      </c>
      <c r="AK3130">
        <v>9.1591782685804297</v>
      </c>
      <c r="AL3130">
        <v>81.915933887646702</v>
      </c>
      <c r="AM3130">
        <v>77.114683519334605</v>
      </c>
      <c r="AN3130">
        <v>0.99999998507162902</v>
      </c>
    </row>
    <row r="3131" spans="1:40" x14ac:dyDescent="0.25">
      <c r="A3131" t="str">
        <f>"20190312164328760"</f>
        <v>20190312164328760</v>
      </c>
      <c r="B3131" t="str">
        <f>"1552380208758015"</f>
        <v>1552380208758015</v>
      </c>
      <c r="C3131" t="s">
        <v>40</v>
      </c>
      <c r="D3131">
        <v>4.8594989999999996</v>
      </c>
      <c r="E3131">
        <v>0.54950279999999996</v>
      </c>
      <c r="F3131" t="s">
        <v>42</v>
      </c>
      <c r="G3131">
        <v>-194.2251</v>
      </c>
      <c r="H3131" s="1">
        <v>-3.4678289999999998E-6</v>
      </c>
      <c r="I3131">
        <v>164.54949999999999</v>
      </c>
      <c r="J3131">
        <v>-190.42840000000001</v>
      </c>
      <c r="K3131">
        <v>1.109059</v>
      </c>
      <c r="L3131">
        <v>172.923</v>
      </c>
      <c r="M3131">
        <v>-2.882701E-2</v>
      </c>
      <c r="N3131">
        <v>0</v>
      </c>
      <c r="O3131">
        <v>-0.9994923</v>
      </c>
      <c r="P3131">
        <v>-0.26272879999999998</v>
      </c>
      <c r="Q3131">
        <v>0.1295095</v>
      </c>
      <c r="R3131">
        <v>-0.95613879999999996</v>
      </c>
      <c r="S3131">
        <v>-1.235992</v>
      </c>
      <c r="T3131">
        <v>-0.35978320000000003</v>
      </c>
      <c r="U3131">
        <v>-2.8541720000000002</v>
      </c>
      <c r="V3131">
        <v>0.23551630000000001</v>
      </c>
      <c r="W3131">
        <v>0.14181450000000001</v>
      </c>
      <c r="X3131">
        <v>0.96146799999999999</v>
      </c>
      <c r="Y3131">
        <v>0.3681121</v>
      </c>
      <c r="Z3131">
        <v>0.1154954</v>
      </c>
      <c r="AA3131">
        <v>0.92258019999999996</v>
      </c>
      <c r="AB3131">
        <v>29</v>
      </c>
      <c r="AC3131">
        <v>-3.79669999999998</v>
      </c>
      <c r="AD3131">
        <v>-1.109062467829</v>
      </c>
      <c r="AE3131">
        <v>-8.3734999999999999</v>
      </c>
      <c r="AF3131">
        <v>3.5027474709125399</v>
      </c>
      <c r="AG3131">
        <v>-1.109062467829</v>
      </c>
      <c r="AH3131">
        <v>8.3578601228847003</v>
      </c>
      <c r="AI3131">
        <v>96.977370042466006</v>
      </c>
      <c r="AJ3131">
        <v>67.261627136451196</v>
      </c>
      <c r="AK3131">
        <v>9.1297910839316305</v>
      </c>
      <c r="AL3131">
        <v>81.847142809958697</v>
      </c>
      <c r="AM3131">
        <v>76.236136931646499</v>
      </c>
      <c r="AN3131">
        <v>0.99999999749996904</v>
      </c>
    </row>
    <row r="3132" spans="1:40" x14ac:dyDescent="0.25">
      <c r="A3132" t="str">
        <f>"20190312164328784"</f>
        <v>20190312164328784</v>
      </c>
      <c r="B3132" t="str">
        <f>"1552380208777536"</f>
        <v>1552380208777536</v>
      </c>
      <c r="C3132" t="s">
        <v>40</v>
      </c>
      <c r="D3132">
        <v>4.7718740000000004</v>
      </c>
      <c r="E3132">
        <v>0.5537223</v>
      </c>
      <c r="F3132" t="s">
        <v>42</v>
      </c>
      <c r="G3132">
        <v>-193.95410000000001</v>
      </c>
      <c r="H3132" s="1">
        <v>-3.024417E-6</v>
      </c>
      <c r="I3132">
        <v>163.76400000000001</v>
      </c>
      <c r="J3132">
        <v>-190.43940000000001</v>
      </c>
      <c r="K3132">
        <v>1.1089169999999999</v>
      </c>
      <c r="L3132">
        <v>172.61789999999999</v>
      </c>
      <c r="M3132">
        <v>-3.0890999999999998E-2</v>
      </c>
      <c r="N3132">
        <v>0</v>
      </c>
      <c r="O3132">
        <v>-0.99943040000000005</v>
      </c>
      <c r="P3132">
        <v>-0.27445360000000002</v>
      </c>
      <c r="Q3132">
        <v>0.12952719999999901</v>
      </c>
      <c r="R3132">
        <v>-0.95283689999999999</v>
      </c>
      <c r="S3132">
        <v>-1.108719</v>
      </c>
      <c r="T3132">
        <v>-0.34876439999999997</v>
      </c>
      <c r="U3132">
        <v>-2.8802029999999998</v>
      </c>
      <c r="V3132">
        <v>0.245397</v>
      </c>
      <c r="W3132">
        <v>0.1416828</v>
      </c>
      <c r="X3132">
        <v>0.95901320000000001</v>
      </c>
      <c r="Y3132">
        <v>0.32795419999999997</v>
      </c>
      <c r="Z3132">
        <v>0.1128257</v>
      </c>
      <c r="AA3132">
        <v>0.93793199999999999</v>
      </c>
      <c r="AB3132">
        <v>29</v>
      </c>
      <c r="AC3132">
        <v>-3.5146999999999999</v>
      </c>
      <c r="AD3132">
        <v>-1.1089200244170001</v>
      </c>
      <c r="AE3132">
        <v>-8.8538999999999799</v>
      </c>
      <c r="AF3132">
        <v>3.1961790337774199</v>
      </c>
      <c r="AG3132">
        <v>-1.1089200244170001</v>
      </c>
      <c r="AH3132">
        <v>8.8384838909191803</v>
      </c>
      <c r="AI3132">
        <v>96.729066363669702</v>
      </c>
      <c r="AJ3132">
        <v>70.118958963204605</v>
      </c>
      <c r="AK3132">
        <v>9.4638291154558196</v>
      </c>
      <c r="AL3132">
        <v>81.854765741648606</v>
      </c>
      <c r="AM3132">
        <v>75.646852579558299</v>
      </c>
      <c r="AN3132">
        <v>1.0000000105995399</v>
      </c>
    </row>
    <row r="3133" spans="1:40" x14ac:dyDescent="0.25">
      <c r="A3133" t="str">
        <f>"20190312164328807"</f>
        <v>20190312164328807</v>
      </c>
      <c r="B3133" t="str">
        <f>"1552380208798031"</f>
        <v>1552380208798031</v>
      </c>
      <c r="C3133" t="s">
        <v>40</v>
      </c>
      <c r="D3133">
        <v>4.9341549999999996</v>
      </c>
      <c r="E3133">
        <v>0.55863569999999996</v>
      </c>
      <c r="F3133" t="s">
        <v>42</v>
      </c>
      <c r="G3133">
        <v>-194.4384</v>
      </c>
      <c r="H3133" s="1">
        <v>-2.7559269999999998E-6</v>
      </c>
      <c r="I3133">
        <v>162.92339999999999</v>
      </c>
      <c r="J3133">
        <v>-190.4513</v>
      </c>
      <c r="K3133">
        <v>1.1087549999999999</v>
      </c>
      <c r="L3133">
        <v>172.31120000000001</v>
      </c>
      <c r="M3133">
        <v>-3.3172859999999998E-2</v>
      </c>
      <c r="N3133">
        <v>0</v>
      </c>
      <c r="O3133">
        <v>-0.9993573</v>
      </c>
      <c r="P3133">
        <v>-0.28660279999999999</v>
      </c>
      <c r="Q3133">
        <v>0.1296387</v>
      </c>
      <c r="R3133">
        <v>-0.94923780000000002</v>
      </c>
      <c r="S3133">
        <v>-1.1772</v>
      </c>
      <c r="T3133">
        <v>-0.326436</v>
      </c>
      <c r="U3133">
        <v>-2.85379</v>
      </c>
      <c r="V3133">
        <v>0.25551829999999998</v>
      </c>
      <c r="W3133">
        <v>0.14162849999999999</v>
      </c>
      <c r="X3133">
        <v>0.95637430000000001</v>
      </c>
      <c r="Y3133">
        <v>0.34832239999999998</v>
      </c>
      <c r="Z3133">
        <v>0.1057288</v>
      </c>
      <c r="AA3133">
        <v>0.93139300000000003</v>
      </c>
      <c r="AB3133">
        <v>29</v>
      </c>
      <c r="AC3133">
        <v>-3.9870999999999901</v>
      </c>
      <c r="AD3133">
        <v>-1.1087577559270001</v>
      </c>
      <c r="AE3133">
        <v>-9.3878000000000199</v>
      </c>
      <c r="AF3133">
        <v>3.6305523913749802</v>
      </c>
      <c r="AG3133">
        <v>-1.1087577559270001</v>
      </c>
      <c r="AH3133">
        <v>9.4037792136799503</v>
      </c>
      <c r="AI3133">
        <v>96.276890440845094</v>
      </c>
      <c r="AJ3133">
        <v>68.889733732111196</v>
      </c>
      <c r="AK3133">
        <v>10.141070847178099</v>
      </c>
      <c r="AL3133">
        <v>81.857908652982502</v>
      </c>
      <c r="AM3133">
        <v>75.041450662931098</v>
      </c>
      <c r="AN3133">
        <v>1.00000001767381</v>
      </c>
    </row>
    <row r="3134" spans="1:40" x14ac:dyDescent="0.25">
      <c r="A3134" t="str">
        <f>"20190312164328830"</f>
        <v>20190312164328830</v>
      </c>
      <c r="B3134" t="str">
        <f>"1552380208817551"</f>
        <v>1552380208817551</v>
      </c>
      <c r="C3134" t="s">
        <v>40</v>
      </c>
      <c r="D3134">
        <v>4.7622070000000001</v>
      </c>
      <c r="E3134">
        <v>0.56062100000000004</v>
      </c>
      <c r="F3134" t="s">
        <v>42</v>
      </c>
      <c r="G3134">
        <v>-194.66659999999999</v>
      </c>
      <c r="H3134" s="1">
        <v>-2.7448680000000001E-6</v>
      </c>
      <c r="I3134">
        <v>162.77160000000001</v>
      </c>
      <c r="J3134">
        <v>-190.46360000000001</v>
      </c>
      <c r="K3134">
        <v>1.108611</v>
      </c>
      <c r="L3134">
        <v>172.0154</v>
      </c>
      <c r="M3134">
        <v>-3.5535259999999999E-2</v>
      </c>
      <c r="N3134">
        <v>0</v>
      </c>
      <c r="O3134">
        <v>-0.99927600000000005</v>
      </c>
      <c r="P3134">
        <v>-0.29863959999999901</v>
      </c>
      <c r="Q3134">
        <v>0.13007260000000001</v>
      </c>
      <c r="R3134">
        <v>-0.94546059999999998</v>
      </c>
      <c r="S3134">
        <v>-1.249619</v>
      </c>
      <c r="T3134">
        <v>-0.32868969999999997</v>
      </c>
      <c r="U3134">
        <v>-2.8280029999999998</v>
      </c>
      <c r="V3134">
        <v>0.265466799999999</v>
      </c>
      <c r="W3134">
        <v>0.14189570000000001</v>
      </c>
      <c r="X3134">
        <v>0.95362100000000005</v>
      </c>
      <c r="Y3134">
        <v>0.36912410000000001</v>
      </c>
      <c r="Z3134">
        <v>0.10636950000000001</v>
      </c>
      <c r="AA3134">
        <v>0.92327289999999995</v>
      </c>
      <c r="AB3134">
        <v>29</v>
      </c>
      <c r="AC3134">
        <v>-4.2029999999999701</v>
      </c>
      <c r="AD3134">
        <v>-1.108613744868</v>
      </c>
      <c r="AE3134">
        <v>-9.2437999999999896</v>
      </c>
      <c r="AF3134">
        <v>3.8262282553022802</v>
      </c>
      <c r="AG3134">
        <v>-1.108613744868</v>
      </c>
      <c r="AH3134">
        <v>9.2767577683759299</v>
      </c>
      <c r="AI3134">
        <v>96.3042631235936</v>
      </c>
      <c r="AJ3134">
        <v>67.586144990903804</v>
      </c>
      <c r="AK3134">
        <v>10.0959042086435</v>
      </c>
      <c r="AL3134">
        <v>81.842442980027897</v>
      </c>
      <c r="AM3134">
        <v>74.443984332913303</v>
      </c>
      <c r="AN3134">
        <v>1.0000000116108601</v>
      </c>
    </row>
    <row r="3135" spans="1:40" x14ac:dyDescent="0.25">
      <c r="A3135" t="str">
        <f>"20190312164328852"</f>
        <v>20190312164328852</v>
      </c>
      <c r="B3135" t="str">
        <f>"1552380208847808"</f>
        <v>1552380208847808</v>
      </c>
      <c r="C3135" t="s">
        <v>40</v>
      </c>
      <c r="D3135">
        <v>4.7767720000000002</v>
      </c>
      <c r="E3135">
        <v>0.5603745</v>
      </c>
      <c r="F3135" t="s">
        <v>42</v>
      </c>
      <c r="G3135">
        <v>-194.9743</v>
      </c>
      <c r="H3135" s="1">
        <v>-2.5942180000000002E-6</v>
      </c>
      <c r="I3135">
        <v>162.27969999999999</v>
      </c>
      <c r="J3135">
        <v>-190.47649999999999</v>
      </c>
      <c r="K3135">
        <v>1.1084830000000001</v>
      </c>
      <c r="L3135">
        <v>171.72550000000001</v>
      </c>
      <c r="M3135">
        <v>-3.8002849999999998E-2</v>
      </c>
      <c r="N3135">
        <v>0</v>
      </c>
      <c r="O3135">
        <v>-0.99918549999999995</v>
      </c>
      <c r="P3135">
        <v>-0.31046689999999999</v>
      </c>
      <c r="Q3135">
        <v>0.13047700000000001</v>
      </c>
      <c r="R3135">
        <v>-0.94158750000000002</v>
      </c>
      <c r="S3135">
        <v>-1.3002009999999999</v>
      </c>
      <c r="T3135">
        <v>-0.31955749999999999</v>
      </c>
      <c r="U3135">
        <v>-2.8063199999999999</v>
      </c>
      <c r="V3135">
        <v>0.27511809999999998</v>
      </c>
      <c r="W3135">
        <v>0.14213789999999901</v>
      </c>
      <c r="X3135">
        <v>0.95084539999999995</v>
      </c>
      <c r="Y3135">
        <v>0.38334459999999998</v>
      </c>
      <c r="Z3135">
        <v>0.10348</v>
      </c>
      <c r="AA3135">
        <v>0.9177902</v>
      </c>
      <c r="AB3135">
        <v>29</v>
      </c>
      <c r="AC3135">
        <v>-4.4978000000000096</v>
      </c>
      <c r="AD3135">
        <v>-1.1084855942180001</v>
      </c>
      <c r="AE3135">
        <v>-9.4458000000000197</v>
      </c>
      <c r="AF3135">
        <v>4.0896390312710196</v>
      </c>
      <c r="AG3135">
        <v>-1.1084855942180001</v>
      </c>
      <c r="AH3135">
        <v>9.5032355385554794</v>
      </c>
      <c r="AI3135">
        <v>96.115512093914802</v>
      </c>
      <c r="AJ3135">
        <v>66.7157718393007</v>
      </c>
      <c r="AK3135">
        <v>10.405064796528</v>
      </c>
      <c r="AL3135">
        <v>81.828424271795996</v>
      </c>
      <c r="AM3135">
        <v>73.862701451192706</v>
      </c>
      <c r="AN3135">
        <v>1.0000000631325801</v>
      </c>
    </row>
    <row r="3136" spans="1:40" x14ac:dyDescent="0.25">
      <c r="A3136" t="str">
        <f>"20190312164328874"</f>
        <v>20190312164328874</v>
      </c>
      <c r="B3136" t="str">
        <f>"1552380208867600"</f>
        <v>1552380208867600</v>
      </c>
      <c r="C3136" t="s">
        <v>40</v>
      </c>
      <c r="D3136">
        <v>5.6142820000000002</v>
      </c>
      <c r="E3136">
        <v>0.55967</v>
      </c>
      <c r="F3136" t="s">
        <v>42</v>
      </c>
      <c r="G3136">
        <v>-195.24549999999999</v>
      </c>
      <c r="H3136" s="1">
        <v>-2.4136859999999999E-6</v>
      </c>
      <c r="I3136">
        <v>161.74510000000001</v>
      </c>
      <c r="J3136">
        <v>-190.49029999999999</v>
      </c>
      <c r="K3136">
        <v>1.1083620000000001</v>
      </c>
      <c r="L3136">
        <v>171.43639999999999</v>
      </c>
      <c r="M3136">
        <v>-4.0610750000000001E-2</v>
      </c>
      <c r="N3136">
        <v>0</v>
      </c>
      <c r="O3136">
        <v>-0.99908269999999999</v>
      </c>
      <c r="P3136">
        <v>-0.32286599999999999</v>
      </c>
      <c r="Q3136">
        <v>0.1297865</v>
      </c>
      <c r="R3136">
        <v>-0.93750359999999999</v>
      </c>
      <c r="S3136">
        <v>-1.3329470000000001</v>
      </c>
      <c r="T3136">
        <v>-0.30982589999999999</v>
      </c>
      <c r="U3136">
        <v>-2.7895509999999999</v>
      </c>
      <c r="V3136">
        <v>0.28522130000000001</v>
      </c>
      <c r="W3136">
        <v>0.14128450000000001</v>
      </c>
      <c r="X3136">
        <v>0.94799129999999998</v>
      </c>
      <c r="Y3136">
        <v>0.3919666</v>
      </c>
      <c r="Z3136">
        <v>0.10046140000000001</v>
      </c>
      <c r="AA3136">
        <v>0.91447780000000001</v>
      </c>
      <c r="AB3136">
        <v>29</v>
      </c>
      <c r="AC3136">
        <v>-4.7552000000000003</v>
      </c>
      <c r="AD3136">
        <v>-1.108364413686</v>
      </c>
      <c r="AE3136">
        <v>-9.6912999999999805</v>
      </c>
      <c r="AF3136">
        <v>4.3122106360548402</v>
      </c>
      <c r="AG3136">
        <v>-1.108364413686</v>
      </c>
      <c r="AH3136">
        <v>9.7734042586444492</v>
      </c>
      <c r="AI3136">
        <v>95.923568424555498</v>
      </c>
      <c r="AJ3136">
        <v>66.192021760430805</v>
      </c>
      <c r="AK3136">
        <v>10.7397887803308</v>
      </c>
      <c r="AL3136">
        <v>81.877818481028001</v>
      </c>
      <c r="AM3136">
        <v>73.255081919102594</v>
      </c>
      <c r="AN3136">
        <v>1.0000000023948099</v>
      </c>
    </row>
    <row r="3137" spans="1:40" x14ac:dyDescent="0.25">
      <c r="A3137" t="str">
        <f>"20190312164328896"</f>
        <v>20190312164328896</v>
      </c>
      <c r="B3137" t="str">
        <f>"1552380208888096"</f>
        <v>1552380208888096</v>
      </c>
      <c r="C3137" t="s">
        <v>40</v>
      </c>
      <c r="D3137">
        <v>4.7622269999999904</v>
      </c>
      <c r="E3137">
        <v>0.55864269999999905</v>
      </c>
      <c r="F3137" t="s">
        <v>42</v>
      </c>
      <c r="G3137">
        <v>-195.4624</v>
      </c>
      <c r="H3137" s="1">
        <v>-2.2706229999999999E-6</v>
      </c>
      <c r="I3137">
        <v>161.32040000000001</v>
      </c>
      <c r="J3137">
        <v>-190.50559999999999</v>
      </c>
      <c r="K3137">
        <v>1.1082479999999999</v>
      </c>
      <c r="L3137">
        <v>171.13579999999999</v>
      </c>
      <c r="M3137">
        <v>-4.3461519999999997E-2</v>
      </c>
      <c r="N3137">
        <v>0</v>
      </c>
      <c r="O3137">
        <v>-0.99896249999999998</v>
      </c>
      <c r="P3137">
        <v>-0.33523740000000002</v>
      </c>
      <c r="Q3137">
        <v>0.12957689999999999</v>
      </c>
      <c r="R3137">
        <v>-0.93318049999999997</v>
      </c>
      <c r="S3137">
        <v>-1.362808</v>
      </c>
      <c r="T3137">
        <v>-0.30379159999999999</v>
      </c>
      <c r="U3137">
        <v>-2.7726899999999999</v>
      </c>
      <c r="V3137">
        <v>0.29509299999999999</v>
      </c>
      <c r="W3137">
        <v>0.1409115</v>
      </c>
      <c r="X3137">
        <v>0.94502070000000005</v>
      </c>
      <c r="Y3137">
        <v>0.399538</v>
      </c>
      <c r="Z3137">
        <v>9.8655300000000001E-2</v>
      </c>
      <c r="AA3137">
        <v>0.9113926</v>
      </c>
      <c r="AB3137">
        <v>29</v>
      </c>
      <c r="AC3137">
        <v>-4.9568000000000101</v>
      </c>
      <c r="AD3137">
        <v>-1.108250270623</v>
      </c>
      <c r="AE3137">
        <v>-9.8153999999999808</v>
      </c>
      <c r="AF3137">
        <v>4.4799763682510303</v>
      </c>
      <c r="AG3137">
        <v>-1.108250270623</v>
      </c>
      <c r="AH3137">
        <v>9.9207986488535997</v>
      </c>
      <c r="AI3137">
        <v>95.813281097381406</v>
      </c>
      <c r="AJ3137">
        <v>65.697294289247196</v>
      </c>
      <c r="AK3137">
        <v>10.9416933220374</v>
      </c>
      <c r="AL3137">
        <v>81.899405970268802</v>
      </c>
      <c r="AM3137">
        <v>72.658457614367407</v>
      </c>
      <c r="AN3137">
        <v>1.0000000264548601</v>
      </c>
    </row>
    <row r="3138" spans="1:40" x14ac:dyDescent="0.25">
      <c r="A3138" t="str">
        <f>"20190312164328918"</f>
        <v>20190312164328918</v>
      </c>
      <c r="B3138" t="str">
        <f>"1552380208907614"</f>
        <v>1552380208907614</v>
      </c>
      <c r="C3138" t="s">
        <v>40</v>
      </c>
      <c r="D3138">
        <v>4.8391109999999999</v>
      </c>
      <c r="E3138">
        <v>0.55753920000000001</v>
      </c>
      <c r="F3138" t="s">
        <v>42</v>
      </c>
      <c r="G3138">
        <v>-195.52510000000001</v>
      </c>
      <c r="H3138" s="1">
        <v>-2.2163109999999999E-6</v>
      </c>
      <c r="I3138">
        <v>161.17019999999999</v>
      </c>
      <c r="J3138">
        <v>-190.52029999999999</v>
      </c>
      <c r="K3138">
        <v>1.1081570000000001</v>
      </c>
      <c r="L3138">
        <v>170.86279999999999</v>
      </c>
      <c r="M3138">
        <v>-4.6155870000000002E-2</v>
      </c>
      <c r="N3138">
        <v>0</v>
      </c>
      <c r="O3138">
        <v>-0.99884189999999995</v>
      </c>
      <c r="P3138">
        <v>-0.34684189999999998</v>
      </c>
      <c r="Q3138">
        <v>0.12861040000000001</v>
      </c>
      <c r="R3138">
        <v>-0.92906429999999995</v>
      </c>
      <c r="S3138">
        <v>-1.3893279999999999</v>
      </c>
      <c r="T3138">
        <v>-0.30674309999999899</v>
      </c>
      <c r="U3138">
        <v>-2.758286</v>
      </c>
      <c r="V3138">
        <v>0.304344</v>
      </c>
      <c r="W3138">
        <v>0.13979829999999999</v>
      </c>
      <c r="X3138">
        <v>0.94224790000000003</v>
      </c>
      <c r="Y3138">
        <v>0.4059104</v>
      </c>
      <c r="Z3138">
        <v>9.9699529999999995E-2</v>
      </c>
      <c r="AA3138">
        <v>0.90845849999999995</v>
      </c>
      <c r="AB3138">
        <v>29</v>
      </c>
      <c r="AC3138">
        <v>-5.0048000000000101</v>
      </c>
      <c r="AD3138">
        <v>-1.1081592163109999</v>
      </c>
      <c r="AE3138">
        <v>-9.6926000000000005</v>
      </c>
      <c r="AF3138">
        <v>4.5055563962173002</v>
      </c>
      <c r="AG3138">
        <v>-1.1081592163109999</v>
      </c>
      <c r="AH3138">
        <v>9.8120307982463402</v>
      </c>
      <c r="AI3138">
        <v>95.860061879054697</v>
      </c>
      <c r="AJ3138">
        <v>65.336030725745402</v>
      </c>
      <c r="AK3138">
        <v>10.8537552798063</v>
      </c>
      <c r="AL3138">
        <v>81.963824847815602</v>
      </c>
      <c r="AM3138">
        <v>72.099657469313001</v>
      </c>
      <c r="AN3138">
        <v>0.99999997003664898</v>
      </c>
    </row>
    <row r="3139" spans="1:40" x14ac:dyDescent="0.25">
      <c r="A3139" t="str">
        <f>"20190312164328939"</f>
        <v>20190312164328939</v>
      </c>
      <c r="B3139" t="str">
        <f>"1552380208928110"</f>
        <v>1552380208928110</v>
      </c>
      <c r="C3139" t="s">
        <v>40</v>
      </c>
      <c r="D3139">
        <v>4.794594</v>
      </c>
      <c r="E3139">
        <v>0.55642219999999998</v>
      </c>
      <c r="F3139" t="s">
        <v>42</v>
      </c>
      <c r="G3139">
        <v>-195.56010000000001</v>
      </c>
      <c r="H3139" s="1">
        <v>-2.181476E-6</v>
      </c>
      <c r="I3139">
        <v>161.07679999999999</v>
      </c>
      <c r="J3139">
        <v>-190.53630000000001</v>
      </c>
      <c r="K3139">
        <v>1.10807099999999</v>
      </c>
      <c r="L3139">
        <v>170.58170000000001</v>
      </c>
      <c r="M3139">
        <v>-4.9012600000000003E-2</v>
      </c>
      <c r="N3139">
        <v>0</v>
      </c>
      <c r="O3139">
        <v>-0.99870550000000002</v>
      </c>
      <c r="P3139">
        <v>-0.3579232</v>
      </c>
      <c r="Q3139">
        <v>0.12755320000000001</v>
      </c>
      <c r="R3139">
        <v>-0.92499790000000004</v>
      </c>
      <c r="S3139">
        <v>-1.4133910000000001</v>
      </c>
      <c r="T3139">
        <v>-0.31077719999999998</v>
      </c>
      <c r="U3139">
        <v>-2.744415</v>
      </c>
      <c r="V3139">
        <v>0.31292950000000003</v>
      </c>
      <c r="W3139">
        <v>0.13860310000000001</v>
      </c>
      <c r="X3139">
        <v>0.93960860000000002</v>
      </c>
      <c r="Y3139">
        <v>0.41138809999999898</v>
      </c>
      <c r="Z3139">
        <v>0.10110710000000001</v>
      </c>
      <c r="AA3139">
        <v>0.9058351</v>
      </c>
      <c r="AB3139">
        <v>29</v>
      </c>
      <c r="AC3139">
        <v>-5.0237999999999898</v>
      </c>
      <c r="AD3139">
        <v>-1.1080731814760001</v>
      </c>
      <c r="AE3139">
        <v>-9.5049000000000099</v>
      </c>
      <c r="AF3139">
        <v>4.5040119071275297</v>
      </c>
      <c r="AG3139">
        <v>-1.1080731814760001</v>
      </c>
      <c r="AH3139">
        <v>9.6373490922192904</v>
      </c>
      <c r="AI3139">
        <v>95.946650168595497</v>
      </c>
      <c r="AJ3139">
        <v>64.950980052676698</v>
      </c>
      <c r="AK3139">
        <v>10.6954404752844</v>
      </c>
      <c r="AL3139">
        <v>82.032978322642194</v>
      </c>
      <c r="AM3139">
        <v>71.5800549890631</v>
      </c>
      <c r="AN3139">
        <v>1.0000000062469001</v>
      </c>
    </row>
    <row r="3140" spans="1:40" x14ac:dyDescent="0.25">
      <c r="A3140" t="str">
        <f>"20190312164328963"</f>
        <v>20190312164328963</v>
      </c>
      <c r="B3140" t="str">
        <f>"1552380208957391"</f>
        <v>1552380208957391</v>
      </c>
      <c r="C3140" t="s">
        <v>40</v>
      </c>
      <c r="D3140">
        <v>4.7210839999999896</v>
      </c>
      <c r="E3140">
        <v>0.55471419999999905</v>
      </c>
      <c r="F3140" t="s">
        <v>42</v>
      </c>
      <c r="G3140">
        <v>-195.60059999999999</v>
      </c>
      <c r="H3140" s="1">
        <v>-2.1354470000000002E-6</v>
      </c>
      <c r="I3140">
        <v>160.95670000000001</v>
      </c>
      <c r="J3140">
        <v>-190.55430000000001</v>
      </c>
      <c r="K3140">
        <v>1.107999</v>
      </c>
      <c r="L3140">
        <v>170.28200000000001</v>
      </c>
      <c r="M3140">
        <v>-5.213359E-2</v>
      </c>
      <c r="N3140">
        <v>0</v>
      </c>
      <c r="O3140">
        <v>-0.99854750000000003</v>
      </c>
      <c r="P3140">
        <v>-0.36957879999999999</v>
      </c>
      <c r="Q3140">
        <v>0.126552</v>
      </c>
      <c r="R3140">
        <v>-0.92054119999999995</v>
      </c>
      <c r="S3140">
        <v>-1.436768</v>
      </c>
      <c r="T3140">
        <v>-0.31436429999999999</v>
      </c>
      <c r="U3140">
        <v>-2.7306520000000001</v>
      </c>
      <c r="V3140">
        <v>0.3218741</v>
      </c>
      <c r="W3140">
        <v>0.137463</v>
      </c>
      <c r="X3140">
        <v>0.93675019999999998</v>
      </c>
      <c r="Y3140">
        <v>0.41642790000000002</v>
      </c>
      <c r="Z3140">
        <v>0.10237640000000001</v>
      </c>
      <c r="AA3140">
        <v>0.90338640000000003</v>
      </c>
      <c r="AB3140">
        <v>29</v>
      </c>
      <c r="AC3140">
        <v>-5.0462999999999703</v>
      </c>
      <c r="AD3140">
        <v>-1.1080011354470001</v>
      </c>
      <c r="AE3140">
        <v>-9.3253000000000004</v>
      </c>
      <c r="AF3140">
        <v>4.5040470114684803</v>
      </c>
      <c r="AG3140">
        <v>-1.1080011354470001</v>
      </c>
      <c r="AH3140">
        <v>9.4722875271416491</v>
      </c>
      <c r="AI3140">
        <v>96.0302828754769</v>
      </c>
      <c r="AJ3140">
        <v>64.569039139093505</v>
      </c>
      <c r="AK3140">
        <v>10.5469586608895</v>
      </c>
      <c r="AL3140">
        <v>82.098932334112803</v>
      </c>
      <c r="AM3140">
        <v>71.036910447942105</v>
      </c>
      <c r="AN3140">
        <v>0.99999997490992398</v>
      </c>
    </row>
    <row r="3141" spans="1:40" x14ac:dyDescent="0.25">
      <c r="A3141" t="str">
        <f>"20190312164328986"</f>
        <v>20190312164328986</v>
      </c>
      <c r="B3141" t="str">
        <f>"1552380208977886"</f>
        <v>1552380208977886</v>
      </c>
      <c r="C3141" t="s">
        <v>40</v>
      </c>
      <c r="D3141">
        <v>4.7625979999999997</v>
      </c>
      <c r="E3141">
        <v>0.5393888</v>
      </c>
      <c r="F3141" t="s">
        <v>42</v>
      </c>
      <c r="G3141">
        <v>-195.6294</v>
      </c>
      <c r="H3141" s="1">
        <v>-2.0747479999999999E-6</v>
      </c>
      <c r="I3141">
        <v>160.81200000000001</v>
      </c>
      <c r="J3141">
        <v>-190.5745</v>
      </c>
      <c r="K3141">
        <v>1.1079330000000001</v>
      </c>
      <c r="L3141">
        <v>169.9675</v>
      </c>
      <c r="M3141">
        <v>-5.5479630000000002E-2</v>
      </c>
      <c r="N3141">
        <v>0</v>
      </c>
      <c r="O3141">
        <v>-0.99836720000000001</v>
      </c>
      <c r="P3141">
        <v>-0.38221650000000001</v>
      </c>
      <c r="Q3141">
        <v>0.12518779999999999</v>
      </c>
      <c r="R3141">
        <v>-0.91555419999999998</v>
      </c>
      <c r="S3141">
        <v>-1.456558</v>
      </c>
      <c r="T3141">
        <v>-0.31799690000000003</v>
      </c>
      <c r="U3141">
        <v>-2.7178960000000001</v>
      </c>
      <c r="V3141">
        <v>0.33163169999999997</v>
      </c>
      <c r="W3141">
        <v>0.13595769999999999</v>
      </c>
      <c r="X3141">
        <v>0.93356090000000003</v>
      </c>
      <c r="Y3141">
        <v>0.42018929999999999</v>
      </c>
      <c r="Z3141">
        <v>0.1036822</v>
      </c>
      <c r="AA3141">
        <v>0.90149369999999995</v>
      </c>
      <c r="AB3141">
        <v>29</v>
      </c>
      <c r="AC3141">
        <v>-5.0548999999999999</v>
      </c>
      <c r="AD3141">
        <v>-1.1079350747479999</v>
      </c>
      <c r="AE3141">
        <v>-9.1554999999999893</v>
      </c>
      <c r="AF3141">
        <v>4.4887450878280504</v>
      </c>
      <c r="AG3141">
        <v>-1.1079350747479999</v>
      </c>
      <c r="AH3141">
        <v>9.31729795037303</v>
      </c>
      <c r="AI3141">
        <v>96.114645818403204</v>
      </c>
      <c r="AJ3141">
        <v>64.276875169356003</v>
      </c>
      <c r="AK3141">
        <v>10.4013649916433</v>
      </c>
      <c r="AL3141">
        <v>82.185997461237093</v>
      </c>
      <c r="AM3141">
        <v>70.443279439814205</v>
      </c>
      <c r="AN3141">
        <v>1.00000001732149</v>
      </c>
    </row>
    <row r="3142" spans="1:40" x14ac:dyDescent="0.25">
      <c r="A3142" t="str">
        <f>"20190312164329008"</f>
        <v>20190312164329008</v>
      </c>
      <c r="B3142" t="str">
        <f>"1552380208997410"</f>
        <v>1552380208997410</v>
      </c>
      <c r="C3142" t="s">
        <v>40</v>
      </c>
      <c r="D3142">
        <v>4.7165339999999896</v>
      </c>
      <c r="E3142">
        <v>0.53922399999999904</v>
      </c>
      <c r="F3142" t="s">
        <v>49</v>
      </c>
      <c r="G3142">
        <v>-197.12</v>
      </c>
      <c r="H3142" s="1">
        <v>-1.433722E-5</v>
      </c>
      <c r="I3142">
        <v>157.07169999999999</v>
      </c>
      <c r="J3142">
        <v>-190.59299999999999</v>
      </c>
      <c r="K3142">
        <v>1.10789</v>
      </c>
      <c r="L3142">
        <v>169.69040000000001</v>
      </c>
      <c r="M3142">
        <v>-5.8464000000000002E-2</v>
      </c>
      <c r="N3142">
        <v>0</v>
      </c>
      <c r="O3142">
        <v>-0.99819690000000005</v>
      </c>
      <c r="P3142">
        <v>-0.39408720000000003</v>
      </c>
      <c r="Q3142">
        <v>0.1238924</v>
      </c>
      <c r="R3142">
        <v>-0.9106843</v>
      </c>
      <c r="S3142">
        <v>-1.385788</v>
      </c>
      <c r="T3142">
        <v>-0.23457049999999999</v>
      </c>
      <c r="U3142">
        <v>-2.7302550000000001</v>
      </c>
      <c r="V3142">
        <v>0.34097300000000003</v>
      </c>
      <c r="W3142">
        <v>0.13453599999999999</v>
      </c>
      <c r="X3142">
        <v>0.93039640000000001</v>
      </c>
      <c r="Y3142">
        <v>0.39834570000000002</v>
      </c>
      <c r="Z3142">
        <v>7.7187080000000005E-2</v>
      </c>
      <c r="AA3142">
        <v>0.91398190000000001</v>
      </c>
      <c r="AB3142">
        <v>29</v>
      </c>
      <c r="AC3142">
        <v>-6.5270000000000099</v>
      </c>
      <c r="AD3142">
        <v>-1.1079043372199999</v>
      </c>
      <c r="AE3142">
        <v>-12.6187</v>
      </c>
      <c r="AF3142">
        <v>5.7430989871067402</v>
      </c>
      <c r="AG3142">
        <v>-1.1079043372199999</v>
      </c>
      <c r="AH3142">
        <v>12.900288475575501</v>
      </c>
      <c r="AI3142">
        <v>94.486140504559998</v>
      </c>
      <c r="AJ3142">
        <v>66.001777337770505</v>
      </c>
      <c r="AK3142">
        <v>14.1643242249393</v>
      </c>
      <c r="AL3142">
        <v>82.268210053178393</v>
      </c>
      <c r="AM3142">
        <v>69.873052788314695</v>
      </c>
      <c r="AN3142">
        <v>0.99999999157898001</v>
      </c>
    </row>
    <row r="3143" spans="1:40" x14ac:dyDescent="0.25">
      <c r="A3143" t="str">
        <f>"20190312164329031"</f>
        <v>20190312164329031</v>
      </c>
      <c r="B3143" t="str">
        <f>"1552380209027662"</f>
        <v>1552380209027662</v>
      </c>
      <c r="C3143" t="s">
        <v>40</v>
      </c>
      <c r="D3143">
        <v>4.6896599999999999</v>
      </c>
      <c r="E3143">
        <v>0.53753809999999902</v>
      </c>
      <c r="F3143" t="s">
        <v>49</v>
      </c>
      <c r="G3143">
        <v>-196.95959999999999</v>
      </c>
      <c r="H3143" s="1">
        <v>-1.4447679999999899E-5</v>
      </c>
      <c r="I3143">
        <v>157.51060000000001</v>
      </c>
      <c r="J3143">
        <v>-190.61420000000001</v>
      </c>
      <c r="K3143">
        <v>1.1078520000000001</v>
      </c>
      <c r="L3143">
        <v>169.3896</v>
      </c>
      <c r="M3143">
        <v>-6.1739780000000001E-2</v>
      </c>
      <c r="N3143">
        <v>0</v>
      </c>
      <c r="O3143">
        <v>-0.99799970000000005</v>
      </c>
      <c r="P3143">
        <v>-0.40533360000000002</v>
      </c>
      <c r="Q3143">
        <v>0.1240527</v>
      </c>
      <c r="R3143">
        <v>-0.90571279999999998</v>
      </c>
      <c r="S3143">
        <v>-1.4186099999999999</v>
      </c>
      <c r="T3143">
        <v>-0.24686559999999999</v>
      </c>
      <c r="U3143">
        <v>-2.7139280000000001</v>
      </c>
      <c r="V3143">
        <v>0.349454299999999</v>
      </c>
      <c r="W3143">
        <v>0.13457810000000001</v>
      </c>
      <c r="X3143">
        <v>0.92723809999999995</v>
      </c>
      <c r="Y3143">
        <v>0.40611429999999998</v>
      </c>
      <c r="Z3143">
        <v>8.1255060000000004E-2</v>
      </c>
      <c r="AA3143">
        <v>0.91020259999999997</v>
      </c>
      <c r="AB3143">
        <v>29</v>
      </c>
      <c r="AC3143">
        <v>-6.3453999999999802</v>
      </c>
      <c r="AD3143">
        <v>-1.10786644768</v>
      </c>
      <c r="AE3143">
        <v>-11.8789999999999</v>
      </c>
      <c r="AF3143">
        <v>5.5621784715179903</v>
      </c>
      <c r="AG3143">
        <v>-1.10786644768</v>
      </c>
      <c r="AH3143">
        <v>12.1658074393796</v>
      </c>
      <c r="AI3143">
        <v>94.734352931121705</v>
      </c>
      <c r="AJ3143">
        <v>65.430232388327298</v>
      </c>
      <c r="AK3143">
        <v>13.422818931468001</v>
      </c>
      <c r="AL3143">
        <v>82.265776088778594</v>
      </c>
      <c r="AM3143">
        <v>69.349750074167204</v>
      </c>
      <c r="AN3143">
        <v>1.00000003343985</v>
      </c>
    </row>
    <row r="3144" spans="1:40" x14ac:dyDescent="0.25">
      <c r="A3144" t="str">
        <f>"20190312164329054"</f>
        <v>20190312164329054</v>
      </c>
      <c r="B3144" t="str">
        <f>"1552380209048159"</f>
        <v>1552380209048159</v>
      </c>
      <c r="C3144" t="s">
        <v>40</v>
      </c>
      <c r="D3144">
        <v>4.6646289999999997</v>
      </c>
      <c r="E3144">
        <v>0.53620190000000001</v>
      </c>
      <c r="F3144" t="s">
        <v>49</v>
      </c>
      <c r="G3144">
        <v>-196.91309999999999</v>
      </c>
      <c r="H3144" s="1">
        <v>-1.446062E-5</v>
      </c>
      <c r="I3144">
        <v>157.56209999999999</v>
      </c>
      <c r="J3144">
        <v>-190.63650000000001</v>
      </c>
      <c r="K3144">
        <v>1.1078209999999999</v>
      </c>
      <c r="L3144">
        <v>169.0881</v>
      </c>
      <c r="M3144">
        <v>-6.5060220000000002E-2</v>
      </c>
      <c r="N3144">
        <v>0</v>
      </c>
      <c r="O3144">
        <v>-0.99778849999999997</v>
      </c>
      <c r="P3144">
        <v>-0.41718749999999999</v>
      </c>
      <c r="Q3144">
        <v>0.1229611</v>
      </c>
      <c r="R3144">
        <v>-0.90046389999999998</v>
      </c>
      <c r="S3144">
        <v>-1.4394229999999999</v>
      </c>
      <c r="T3144">
        <v>-0.2531697</v>
      </c>
      <c r="U3144">
        <v>-2.70282</v>
      </c>
      <c r="V3144">
        <v>0.35853390000000002</v>
      </c>
      <c r="W3144">
        <v>0.1333627</v>
      </c>
      <c r="X3144">
        <v>0.92394149999999997</v>
      </c>
      <c r="Y3144">
        <v>0.41000259999999999</v>
      </c>
      <c r="Z3144">
        <v>8.3372089999999996E-2</v>
      </c>
      <c r="AA3144">
        <v>0.90826589999999996</v>
      </c>
      <c r="AB3144">
        <v>29</v>
      </c>
      <c r="AC3144">
        <v>-6.27659999999997</v>
      </c>
      <c r="AD3144">
        <v>-1.10783546062</v>
      </c>
      <c r="AE3144">
        <v>-11.526</v>
      </c>
      <c r="AF3144">
        <v>5.4743394576795197</v>
      </c>
      <c r="AG3144">
        <v>-1.10783546062</v>
      </c>
      <c r="AH3144">
        <v>11.8257084343327</v>
      </c>
      <c r="AI3144">
        <v>94.859212527651707</v>
      </c>
      <c r="AJ3144">
        <v>65.159707830882297</v>
      </c>
      <c r="AK3144">
        <v>13.078343621405599</v>
      </c>
      <c r="AL3144">
        <v>82.3360468324625</v>
      </c>
      <c r="AM3144">
        <v>68.791343155711303</v>
      </c>
      <c r="AN3144">
        <v>1.0000000313113699</v>
      </c>
    </row>
    <row r="3145" spans="1:40" x14ac:dyDescent="0.25">
      <c r="A3145" t="str">
        <f>"20190312164329075"</f>
        <v>20190312164329075</v>
      </c>
      <c r="B3145" t="str">
        <f>"1552380209068184"</f>
        <v>1552380209068184</v>
      </c>
      <c r="C3145" t="s">
        <v>40</v>
      </c>
      <c r="D3145">
        <v>4.6571600000000002</v>
      </c>
      <c r="E3145">
        <v>0.53511519999999901</v>
      </c>
      <c r="F3145" t="s">
        <v>49</v>
      </c>
      <c r="G3145">
        <v>-196.88480000000001</v>
      </c>
      <c r="H3145" s="1">
        <v>-1.4471049999999999E-5</v>
      </c>
      <c r="I3145">
        <v>157.6035</v>
      </c>
      <c r="J3145">
        <v>-190.65719999999999</v>
      </c>
      <c r="K3145">
        <v>1.107783</v>
      </c>
      <c r="L3145">
        <v>168.8203</v>
      </c>
      <c r="M3145">
        <v>-6.8051730000000005E-2</v>
      </c>
      <c r="N3145">
        <v>0</v>
      </c>
      <c r="O3145">
        <v>-0.9975889</v>
      </c>
      <c r="P3145">
        <v>-0.42767329999999998</v>
      </c>
      <c r="Q3145">
        <v>0.1210821</v>
      </c>
      <c r="R3145">
        <v>-0.89578740000000001</v>
      </c>
      <c r="S3145">
        <v>-1.4630890000000001</v>
      </c>
      <c r="T3145">
        <v>-0.25940760000000002</v>
      </c>
      <c r="U3145">
        <v>-2.689209</v>
      </c>
      <c r="V3145">
        <v>0.36653400000000003</v>
      </c>
      <c r="W3145">
        <v>0.13137009999999999</v>
      </c>
      <c r="X3145">
        <v>0.92108350000000005</v>
      </c>
      <c r="Y3145">
        <v>0.41527330000000001</v>
      </c>
      <c r="Z3145">
        <v>8.5488229999999998E-2</v>
      </c>
      <c r="AA3145">
        <v>0.90567089999999995</v>
      </c>
      <c r="AB3145">
        <v>29</v>
      </c>
      <c r="AC3145">
        <v>-6.2276000000000202</v>
      </c>
      <c r="AD3145">
        <v>-1.10779747105</v>
      </c>
      <c r="AE3145">
        <v>-11.216799999999999</v>
      </c>
      <c r="AF3145">
        <v>5.4094356087381099</v>
      </c>
      <c r="AG3145">
        <v>-1.10779747105</v>
      </c>
      <c r="AH3145">
        <v>11.528675510877299</v>
      </c>
      <c r="AI3145">
        <v>94.971674446833603</v>
      </c>
      <c r="AJ3145">
        <v>64.863292866649502</v>
      </c>
      <c r="AK3145">
        <v>12.7827840424944</v>
      </c>
      <c r="AL3145">
        <v>82.451228019387202</v>
      </c>
      <c r="AM3145">
        <v>68.300517819439307</v>
      </c>
      <c r="AN3145">
        <v>1.00000004515112</v>
      </c>
    </row>
    <row r="3146" spans="1:40" x14ac:dyDescent="0.25">
      <c r="A3146" t="str">
        <f>"20190312164329097"</f>
        <v>20190312164329097</v>
      </c>
      <c r="B3146" t="str">
        <f>"1552380209087703"</f>
        <v>1552380209087703</v>
      </c>
      <c r="C3146" t="s">
        <v>40</v>
      </c>
      <c r="D3146">
        <v>4.763242</v>
      </c>
      <c r="E3146">
        <v>0.53459919999999905</v>
      </c>
      <c r="F3146" t="s">
        <v>49</v>
      </c>
      <c r="G3146">
        <v>-196.87200000000001</v>
      </c>
      <c r="H3146" s="1">
        <v>-1.4476810000000001E-5</v>
      </c>
      <c r="I3146">
        <v>157.62639999999999</v>
      </c>
      <c r="J3146">
        <v>-190.68090000000001</v>
      </c>
      <c r="K3146">
        <v>1.1077330000000001</v>
      </c>
      <c r="L3146">
        <v>168.52500000000001</v>
      </c>
      <c r="M3146">
        <v>-7.1404739999999994E-2</v>
      </c>
      <c r="N3146">
        <v>0</v>
      </c>
      <c r="O3146">
        <v>-0.99735469999999904</v>
      </c>
      <c r="P3146">
        <v>-0.43736399999999998</v>
      </c>
      <c r="Q3146">
        <v>0.11863120000000001</v>
      </c>
      <c r="R3146">
        <v>-0.89142569999999999</v>
      </c>
      <c r="S3146">
        <v>-1.4854889999999901</v>
      </c>
      <c r="T3146">
        <v>-0.26478889999999999</v>
      </c>
      <c r="U3146">
        <v>-2.675583</v>
      </c>
      <c r="V3146">
        <v>0.37340519999999999</v>
      </c>
      <c r="W3146">
        <v>0.12880710000000001</v>
      </c>
      <c r="X3146">
        <v>0.91868229999999995</v>
      </c>
      <c r="Y3146">
        <v>0.41988550000000002</v>
      </c>
      <c r="Z3146">
        <v>8.7340650000000006E-2</v>
      </c>
      <c r="AA3146">
        <v>0.90336470000000002</v>
      </c>
      <c r="AB3146">
        <v>29</v>
      </c>
      <c r="AC3146">
        <v>-6.1910999999999996</v>
      </c>
      <c r="AD3146">
        <v>-1.10774747681</v>
      </c>
      <c r="AE3146">
        <v>-10.8986</v>
      </c>
      <c r="AF3146">
        <v>5.3551833732852803</v>
      </c>
      <c r="AG3146">
        <v>-1.10774747681</v>
      </c>
      <c r="AH3146">
        <v>11.2252153518714</v>
      </c>
      <c r="AI3146">
        <v>95.089756288329994</v>
      </c>
      <c r="AJ3146">
        <v>64.495715963588594</v>
      </c>
      <c r="AK3146">
        <v>12.4864147428226</v>
      </c>
      <c r="AL3146">
        <v>82.599334922515098</v>
      </c>
      <c r="AM3146">
        <v>67.880353633240205</v>
      </c>
      <c r="AN3146">
        <v>0.99999994036536799</v>
      </c>
    </row>
    <row r="3147" spans="1:40" x14ac:dyDescent="0.25">
      <c r="A3147" t="str">
        <f>"20190312164329118"</f>
        <v>20190312164329118</v>
      </c>
      <c r="B3147" t="str">
        <f>"1552380209107241"</f>
        <v>1552380209107241</v>
      </c>
      <c r="C3147" t="s">
        <v>40</v>
      </c>
      <c r="D3147">
        <v>4.8885170000000002</v>
      </c>
      <c r="E3147">
        <v>0.52740339999999997</v>
      </c>
      <c r="F3147" t="s">
        <v>49</v>
      </c>
      <c r="G3147">
        <v>-196.8203</v>
      </c>
      <c r="H3147" s="1">
        <v>-1.449826E-5</v>
      </c>
      <c r="I3147">
        <v>157.71170000000001</v>
      </c>
      <c r="J3147">
        <v>-190.70429999999999</v>
      </c>
      <c r="K3147">
        <v>1.1076729999999999</v>
      </c>
      <c r="L3147">
        <v>168.24700000000001</v>
      </c>
      <c r="M3147">
        <v>-7.4636899999999895E-2</v>
      </c>
      <c r="N3147">
        <v>0</v>
      </c>
      <c r="O3147">
        <v>-0.99711810000000001</v>
      </c>
      <c r="P3147">
        <v>-0.44675110000000001</v>
      </c>
      <c r="Q3147">
        <v>0.1174543</v>
      </c>
      <c r="R3147">
        <v>-0.88691509999999996</v>
      </c>
      <c r="S3147">
        <v>-1.510559</v>
      </c>
      <c r="T3147">
        <v>-0.27255190000000001</v>
      </c>
      <c r="U3147">
        <v>-2.6605379999999998</v>
      </c>
      <c r="V3147">
        <v>0.38012629999999997</v>
      </c>
      <c r="W3147">
        <v>0.12750610000000001</v>
      </c>
      <c r="X3147">
        <v>0.91610380000000002</v>
      </c>
      <c r="Y3147">
        <v>0.4254521</v>
      </c>
      <c r="Z3147">
        <v>8.9970090000000003E-2</v>
      </c>
      <c r="AA3147">
        <v>0.90049760000000001</v>
      </c>
      <c r="AB3147">
        <v>29</v>
      </c>
      <c r="AC3147">
        <v>-6.1160000000000103</v>
      </c>
      <c r="AD3147">
        <v>-1.10768749826</v>
      </c>
      <c r="AE3147">
        <v>-10.535299999999999</v>
      </c>
      <c r="AF3147">
        <v>5.26897862679919</v>
      </c>
      <c r="AG3147">
        <v>-1.10768749826</v>
      </c>
      <c r="AH3147">
        <v>10.872535365664801</v>
      </c>
      <c r="AI3147">
        <v>95.238289484696793</v>
      </c>
      <c r="AJ3147">
        <v>64.144540094308695</v>
      </c>
      <c r="AK3147">
        <v>12.132647387981701</v>
      </c>
      <c r="AL3147">
        <v>82.674496901045202</v>
      </c>
      <c r="AM3147">
        <v>67.464579305583896</v>
      </c>
      <c r="AN3147">
        <v>0.99999999093167002</v>
      </c>
    </row>
    <row r="3148" spans="1:40" x14ac:dyDescent="0.25">
      <c r="A3148" t="str">
        <f>"20190312164329141"</f>
        <v>20190312164329141</v>
      </c>
      <c r="B3148" t="str">
        <f>"1552380209137480"</f>
        <v>1552380209137480</v>
      </c>
      <c r="C3148" t="s">
        <v>40</v>
      </c>
      <c r="D3148">
        <v>4.9079420000000002</v>
      </c>
      <c r="E3148">
        <v>0.52016589999999996</v>
      </c>
      <c r="F3148" t="s">
        <v>49</v>
      </c>
      <c r="G3148">
        <v>-196.41480000000001</v>
      </c>
      <c r="H3148" s="1">
        <v>-1.456494E-5</v>
      </c>
      <c r="I3148">
        <v>157.97669999999999</v>
      </c>
      <c r="J3148">
        <v>-190.72929999999999</v>
      </c>
      <c r="K3148">
        <v>1.107605</v>
      </c>
      <c r="L3148">
        <v>167.96170000000001</v>
      </c>
      <c r="M3148">
        <v>-7.804825E-2</v>
      </c>
      <c r="N3148">
        <v>0</v>
      </c>
      <c r="O3148">
        <v>-0.99685670000000004</v>
      </c>
      <c r="P3148">
        <v>-0.4564357</v>
      </c>
      <c r="Q3148">
        <v>0.1170219</v>
      </c>
      <c r="R3148">
        <v>-0.88202769999999997</v>
      </c>
      <c r="S3148">
        <v>-1.48584</v>
      </c>
      <c r="T3148">
        <v>-0.2882113</v>
      </c>
      <c r="U3148">
        <v>-2.672256</v>
      </c>
      <c r="V3148">
        <v>0.3870383</v>
      </c>
      <c r="W3148">
        <v>0.1269296</v>
      </c>
      <c r="X3148">
        <v>0.91328540000000002</v>
      </c>
      <c r="Y3148">
        <v>0.41405740000000002</v>
      </c>
      <c r="Z3148">
        <v>9.5152879999999995E-2</v>
      </c>
      <c r="AA3148">
        <v>0.9052637</v>
      </c>
      <c r="AB3148">
        <v>29</v>
      </c>
      <c r="AC3148">
        <v>-5.68550000000001</v>
      </c>
      <c r="AD3148">
        <v>-1.10761956494</v>
      </c>
      <c r="AE3148">
        <v>-9.9850000000000101</v>
      </c>
      <c r="AF3148">
        <v>4.8437598747116102</v>
      </c>
      <c r="AG3148">
        <v>-1.10761956494</v>
      </c>
      <c r="AH3148">
        <v>10.302585332819801</v>
      </c>
      <c r="AI3148">
        <v>95.556958876268794</v>
      </c>
      <c r="AJ3148">
        <v>64.819439333498593</v>
      </c>
      <c r="AK3148">
        <v>11.4381858423676</v>
      </c>
      <c r="AL3148">
        <v>82.707798533930202</v>
      </c>
      <c r="AM3148">
        <v>67.033410189100195</v>
      </c>
      <c r="AN3148">
        <v>0.99999999543810503</v>
      </c>
    </row>
    <row r="3149" spans="1:40" x14ac:dyDescent="0.25">
      <c r="A3149" t="str">
        <f>"20190312164329164"</f>
        <v>20190312164329164</v>
      </c>
      <c r="B3149" t="str">
        <f>"1552380209157976"</f>
        <v>1552380209157976</v>
      </c>
      <c r="C3149" t="s">
        <v>40</v>
      </c>
      <c r="D3149">
        <v>4.8790659999999999</v>
      </c>
      <c r="E3149">
        <v>0.51880539999999997</v>
      </c>
      <c r="F3149" t="s">
        <v>49</v>
      </c>
      <c r="G3149">
        <v>-195.434</v>
      </c>
      <c r="H3149" s="1">
        <v>-1.489162E-5</v>
      </c>
      <c r="I3149">
        <v>159.27500000000001</v>
      </c>
      <c r="J3149">
        <v>-190.75710000000001</v>
      </c>
      <c r="K3149">
        <v>1.1075250000000001</v>
      </c>
      <c r="L3149">
        <v>167.65899999999999</v>
      </c>
      <c r="M3149">
        <v>-8.1811899999999896E-2</v>
      </c>
      <c r="N3149">
        <v>0</v>
      </c>
      <c r="O3149">
        <v>-0.99655479999999996</v>
      </c>
      <c r="P3149">
        <v>-0.46573680000000001</v>
      </c>
      <c r="Q3149">
        <v>0.11626</v>
      </c>
      <c r="R3149">
        <v>-0.87725319999999996</v>
      </c>
      <c r="S3149">
        <v>-1.4581299999999999</v>
      </c>
      <c r="T3149">
        <v>-0.34328439999999999</v>
      </c>
      <c r="U3149">
        <v>-2.6922609999999998</v>
      </c>
      <c r="V3149">
        <v>0.39326329999999998</v>
      </c>
      <c r="W3149">
        <v>0.1260105</v>
      </c>
      <c r="X3149">
        <v>0.9107499</v>
      </c>
      <c r="Y3149">
        <v>0.39965859999999997</v>
      </c>
      <c r="Z3149">
        <v>0.1129585</v>
      </c>
      <c r="AA3149">
        <v>0.90967759999999998</v>
      </c>
      <c r="AB3149">
        <v>29</v>
      </c>
      <c r="AC3149">
        <v>-4.6769000000000096</v>
      </c>
      <c r="AD3149">
        <v>-1.1075398916200001</v>
      </c>
      <c r="AE3149">
        <v>-8.3840000000000092</v>
      </c>
      <c r="AF3149">
        <v>3.9230319887818998</v>
      </c>
      <c r="AG3149">
        <v>-1.1075398916200001</v>
      </c>
      <c r="AH3149">
        <v>8.6237754287219293</v>
      </c>
      <c r="AI3149">
        <v>96.667678272415998</v>
      </c>
      <c r="AJ3149">
        <v>65.538790557115504</v>
      </c>
      <c r="AK3149">
        <v>9.5386753399811095</v>
      </c>
      <c r="AL3149">
        <v>82.760885565266506</v>
      </c>
      <c r="AM3149">
        <v>66.645233991772798</v>
      </c>
      <c r="AN3149">
        <v>1.0000000247935701</v>
      </c>
    </row>
    <row r="3150" spans="1:40" x14ac:dyDescent="0.25">
      <c r="A3150" t="str">
        <f>"20190312164329187"</f>
        <v>20190312164329187</v>
      </c>
      <c r="B3150" t="str">
        <f>"1552380209177496"</f>
        <v>1552380209177496</v>
      </c>
      <c r="C3150" t="s">
        <v>40</v>
      </c>
      <c r="D3150">
        <v>4.7900600000000004</v>
      </c>
      <c r="E3150">
        <v>0.52365600000000001</v>
      </c>
      <c r="F3150" t="s">
        <v>49</v>
      </c>
      <c r="G3150">
        <v>-195.4982</v>
      </c>
      <c r="H3150" s="1">
        <v>-1.4833909999999999E-5</v>
      </c>
      <c r="I3150">
        <v>159.04570000000001</v>
      </c>
      <c r="J3150">
        <v>-190.78559999999999</v>
      </c>
      <c r="K3150">
        <v>1.107429</v>
      </c>
      <c r="L3150">
        <v>167.3629</v>
      </c>
      <c r="M3150">
        <v>-8.5631540000000006E-2</v>
      </c>
      <c r="N3150">
        <v>0</v>
      </c>
      <c r="O3150">
        <v>-0.99623379999999995</v>
      </c>
      <c r="P3150">
        <v>-0.47487770000000001</v>
      </c>
      <c r="Q3150">
        <v>0.11568870000000001</v>
      </c>
      <c r="R3150">
        <v>-0.87241480000000005</v>
      </c>
      <c r="S3150">
        <v>-1.476135</v>
      </c>
      <c r="T3150">
        <v>-0.34483530000000001</v>
      </c>
      <c r="U3150">
        <v>-2.6817630000000001</v>
      </c>
      <c r="V3150">
        <v>0.39930949999999998</v>
      </c>
      <c r="W3150">
        <v>0.12527489999999999</v>
      </c>
      <c r="X3150">
        <v>0.90821700000000005</v>
      </c>
      <c r="Y3150">
        <v>0.40230630000000001</v>
      </c>
      <c r="Z3150">
        <v>0.11355229999999999</v>
      </c>
      <c r="AA3150">
        <v>0.90843580000000002</v>
      </c>
      <c r="AB3150">
        <v>29</v>
      </c>
      <c r="AC3150">
        <v>-4.7126000000000001</v>
      </c>
      <c r="AD3150">
        <v>-1.1074438339099999</v>
      </c>
      <c r="AE3150">
        <v>-8.3171999999999802</v>
      </c>
      <c r="AF3150">
        <v>3.9302597476118102</v>
      </c>
      <c r="AG3150">
        <v>-1.1074438339099999</v>
      </c>
      <c r="AH3150">
        <v>8.5751453931256503</v>
      </c>
      <c r="AI3150">
        <v>96.695985220371895</v>
      </c>
      <c r="AJ3150">
        <v>65.376519277184997</v>
      </c>
      <c r="AK3150">
        <v>9.4977098314386801</v>
      </c>
      <c r="AL3150">
        <v>82.803368805925601</v>
      </c>
      <c r="AM3150">
        <v>66.266679645867896</v>
      </c>
      <c r="AN3150">
        <v>0.99999999822463004</v>
      </c>
    </row>
    <row r="3151" spans="1:40" x14ac:dyDescent="0.25">
      <c r="A3151" t="str">
        <f>"20190312164329208"</f>
        <v>20190312164329208</v>
      </c>
      <c r="B3151" t="str">
        <f>"1552380209197992"</f>
        <v>1552380209197992</v>
      </c>
      <c r="C3151" t="s">
        <v>40</v>
      </c>
      <c r="D3151">
        <v>4.6206319999999996</v>
      </c>
      <c r="E3151">
        <v>0.52300539999999995</v>
      </c>
      <c r="F3151" t="s">
        <v>49</v>
      </c>
      <c r="G3151">
        <v>-196.4581</v>
      </c>
      <c r="H3151" s="1">
        <v>-1.4482479999999899E-5</v>
      </c>
      <c r="I3151">
        <v>157.649</v>
      </c>
      <c r="J3151">
        <v>-190.81280000000001</v>
      </c>
      <c r="K3151">
        <v>1.1073459999999999</v>
      </c>
      <c r="L3151">
        <v>167.09129999999999</v>
      </c>
      <c r="M3151">
        <v>-8.9243639999999999E-2</v>
      </c>
      <c r="N3151">
        <v>0</v>
      </c>
      <c r="O3151">
        <v>-0.99591680000000005</v>
      </c>
      <c r="P3151">
        <v>-0.48291499999999998</v>
      </c>
      <c r="Q3151">
        <v>0.1156271</v>
      </c>
      <c r="R3151">
        <v>-0.86799999999999999</v>
      </c>
      <c r="S3151">
        <v>-1.541428</v>
      </c>
      <c r="T3151">
        <v>-0.3009307</v>
      </c>
      <c r="U3151">
        <v>-2.6396030000000001</v>
      </c>
      <c r="V3151">
        <v>0.4044314</v>
      </c>
      <c r="W3151">
        <v>0.12506819999999999</v>
      </c>
      <c r="X3151">
        <v>0.90597640000000002</v>
      </c>
      <c r="Y3151">
        <v>0.42269609999999902</v>
      </c>
      <c r="Z3151">
        <v>9.9531140000000004E-2</v>
      </c>
      <c r="AA3151">
        <v>0.90078939999999996</v>
      </c>
      <c r="AB3151">
        <v>29</v>
      </c>
      <c r="AC3151">
        <v>-5.64529999999999</v>
      </c>
      <c r="AD3151">
        <v>-1.1073604824800001</v>
      </c>
      <c r="AE3151">
        <v>-9.4422999999999799</v>
      </c>
      <c r="AF3151">
        <v>4.7320810476042698</v>
      </c>
      <c r="AG3151">
        <v>-1.1073604824800001</v>
      </c>
      <c r="AH3151">
        <v>9.8090841497943408</v>
      </c>
      <c r="AI3151">
        <v>95.805768310571693</v>
      </c>
      <c r="AJ3151">
        <v>64.246491082360706</v>
      </c>
      <c r="AK3151">
        <v>10.947007359867801</v>
      </c>
      <c r="AL3151">
        <v>82.815305917030201</v>
      </c>
      <c r="AM3151">
        <v>65.943829132476097</v>
      </c>
      <c r="AN3151">
        <v>1.0000000246570699</v>
      </c>
    </row>
    <row r="3152" spans="1:40" x14ac:dyDescent="0.25">
      <c r="A3152" t="str">
        <f>"20190312164329232"</f>
        <v>20190312164329232</v>
      </c>
      <c r="B3152" t="str">
        <f>"1552380209227272"</f>
        <v>1552380209227272</v>
      </c>
      <c r="C3152" t="s">
        <v>40</v>
      </c>
      <c r="D3152">
        <v>4.656765</v>
      </c>
      <c r="E3152">
        <v>0.52217639999999999</v>
      </c>
      <c r="F3152" t="s">
        <v>49</v>
      </c>
      <c r="G3152">
        <v>-196.64869999999999</v>
      </c>
      <c r="H3152" s="1">
        <v>-1.438785E-5</v>
      </c>
      <c r="I3152">
        <v>157.27279999999999</v>
      </c>
      <c r="J3152">
        <v>-190.8441</v>
      </c>
      <c r="K3152">
        <v>1.1072569999999999</v>
      </c>
      <c r="L3152">
        <v>166.7919</v>
      </c>
      <c r="M3152">
        <v>-9.3356999999999996E-2</v>
      </c>
      <c r="N3152">
        <v>0</v>
      </c>
      <c r="O3152">
        <v>-0.99553950000000002</v>
      </c>
      <c r="P3152">
        <v>-0.49173559999999999</v>
      </c>
      <c r="Q3152">
        <v>0.11607190000000001</v>
      </c>
      <c r="R3152">
        <v>-0.86297389999999996</v>
      </c>
      <c r="S3152">
        <v>-1.5614319999999999</v>
      </c>
      <c r="T3152">
        <v>-0.2962803</v>
      </c>
      <c r="U3152">
        <v>-2.6269840000000002</v>
      </c>
      <c r="V3152">
        <v>0.40995989999999999</v>
      </c>
      <c r="W3152">
        <v>0.12535299999999999</v>
      </c>
      <c r="X3152">
        <v>0.90344869999999999</v>
      </c>
      <c r="Y3152">
        <v>0.4259947</v>
      </c>
      <c r="Z3152">
        <v>9.809938E-2</v>
      </c>
      <c r="AA3152">
        <v>0.89939150000000001</v>
      </c>
      <c r="AB3152">
        <v>29</v>
      </c>
      <c r="AC3152">
        <v>-5.80459999999999</v>
      </c>
      <c r="AD3152">
        <v>-1.10727138785</v>
      </c>
      <c r="AE3152">
        <v>-9.5190999999999999</v>
      </c>
      <c r="AF3152">
        <v>4.8427234524888298</v>
      </c>
      <c r="AG3152">
        <v>-1.10727138785</v>
      </c>
      <c r="AH3152">
        <v>9.9216118850802406</v>
      </c>
      <c r="AI3152">
        <v>95.7271982323267</v>
      </c>
      <c r="AJ3152">
        <v>63.983068112051498</v>
      </c>
      <c r="AK3152">
        <v>11.0957831071899</v>
      </c>
      <c r="AL3152">
        <v>82.798858636713604</v>
      </c>
      <c r="AM3152">
        <v>65.592774016106702</v>
      </c>
      <c r="AN3152">
        <v>1.0000000238743401</v>
      </c>
    </row>
    <row r="3153" spans="1:40" x14ac:dyDescent="0.25">
      <c r="A3153" t="str">
        <f>"20190312164329255"</f>
        <v>20190312164329255</v>
      </c>
      <c r="B3153" t="str">
        <f>"1552380209247768"</f>
        <v>1552380209247768</v>
      </c>
      <c r="C3153" t="s">
        <v>40</v>
      </c>
      <c r="D3153">
        <v>4.6811590000000001</v>
      </c>
      <c r="E3153">
        <v>0.52217559999999996</v>
      </c>
      <c r="F3153" t="s">
        <v>49</v>
      </c>
      <c r="G3153">
        <v>-196.80840000000001</v>
      </c>
      <c r="H3153" s="1">
        <v>-1.4304199999999999E-5</v>
      </c>
      <c r="I3153">
        <v>156.94040000000001</v>
      </c>
      <c r="J3153">
        <v>-190.87620000000001</v>
      </c>
      <c r="K3153">
        <v>1.107175</v>
      </c>
      <c r="L3153">
        <v>166.4974</v>
      </c>
      <c r="M3153">
        <v>-9.7541870000000003E-2</v>
      </c>
      <c r="N3153">
        <v>0</v>
      </c>
      <c r="O3153">
        <v>-0.99513810000000003</v>
      </c>
      <c r="P3153">
        <v>-0.50047640000000004</v>
      </c>
      <c r="Q3153">
        <v>0.11583980000000001</v>
      </c>
      <c r="R3153">
        <v>-0.85796530000000004</v>
      </c>
      <c r="S3153">
        <v>-1.5826260000000001</v>
      </c>
      <c r="T3153">
        <v>-0.2938132</v>
      </c>
      <c r="U3153">
        <v>-2.61409</v>
      </c>
      <c r="V3153">
        <v>0.41536329999999999</v>
      </c>
      <c r="W3153">
        <v>0.1249603</v>
      </c>
      <c r="X3153">
        <v>0.90103169999999999</v>
      </c>
      <c r="Y3153">
        <v>0.4295312</v>
      </c>
      <c r="Z3153">
        <v>9.7365670000000001E-2</v>
      </c>
      <c r="AA3153">
        <v>0.89778769999999997</v>
      </c>
      <c r="AB3153">
        <v>29</v>
      </c>
      <c r="AC3153">
        <v>-5.9321999999999901</v>
      </c>
      <c r="AD3153">
        <v>-1.1071893042000001</v>
      </c>
      <c r="AE3153">
        <v>-9.5569999999999808</v>
      </c>
      <c r="AF3153">
        <v>4.9239067161516301</v>
      </c>
      <c r="AG3153">
        <v>-1.1071893042000001</v>
      </c>
      <c r="AH3153">
        <v>9.9932891552094194</v>
      </c>
      <c r="AI3153">
        <v>95.675656934444405</v>
      </c>
      <c r="AJ3153">
        <v>63.769548899186198</v>
      </c>
      <c r="AK3153">
        <v>11.1953809066205</v>
      </c>
      <c r="AL3153">
        <v>82.821536374896496</v>
      </c>
      <c r="AM3153">
        <v>65.250944156947298</v>
      </c>
      <c r="AN3153">
        <v>0.999999935983933</v>
      </c>
    </row>
    <row r="3154" spans="1:40" x14ac:dyDescent="0.25">
      <c r="A3154" t="str">
        <f>"20190312164329276"</f>
        <v>20190312164329276</v>
      </c>
      <c r="B3154" t="str">
        <f>"1552380209268264"</f>
        <v>1552380209268264</v>
      </c>
      <c r="C3154" t="s">
        <v>40</v>
      </c>
      <c r="D3154">
        <v>4.6772070000000001</v>
      </c>
      <c r="E3154">
        <v>0.5145324</v>
      </c>
      <c r="F3154" t="s">
        <v>49</v>
      </c>
      <c r="G3154">
        <v>-196.79339999999999</v>
      </c>
      <c r="H3154" s="1">
        <v>-1.4303200000000001E-5</v>
      </c>
      <c r="I3154">
        <v>156.93639999999999</v>
      </c>
      <c r="J3154">
        <v>-190.90819999999999</v>
      </c>
      <c r="K3154">
        <v>1.1070899999999999</v>
      </c>
      <c r="L3154">
        <v>166.2158</v>
      </c>
      <c r="M3154">
        <v>-0.1016705</v>
      </c>
      <c r="N3154">
        <v>0</v>
      </c>
      <c r="O3154">
        <v>-0.99472470000000002</v>
      </c>
      <c r="P3154">
        <v>-0.50588029999999995</v>
      </c>
      <c r="Q3154">
        <v>0.11514539999999999</v>
      </c>
      <c r="R3154">
        <v>-0.85488430000000004</v>
      </c>
      <c r="S3154">
        <v>-1.6084750000000001</v>
      </c>
      <c r="T3154">
        <v>-0.30097160000000001</v>
      </c>
      <c r="U3154">
        <v>-2.5989840000000002</v>
      </c>
      <c r="V3154">
        <v>0.41732459999999999</v>
      </c>
      <c r="W3154">
        <v>0.12414799999999999</v>
      </c>
      <c r="X3154">
        <v>0.90023739999999997</v>
      </c>
      <c r="Y3154">
        <v>0.43445040000000001</v>
      </c>
      <c r="Z3154">
        <v>9.9776020000000007E-2</v>
      </c>
      <c r="AA3154">
        <v>0.89515230000000001</v>
      </c>
      <c r="AB3154">
        <v>29</v>
      </c>
      <c r="AC3154">
        <v>-5.8851999999999904</v>
      </c>
      <c r="AD3154">
        <v>-1.1071043032000001</v>
      </c>
      <c r="AE3154">
        <v>-9.2794000000000096</v>
      </c>
      <c r="AF3154">
        <v>4.86181596121844</v>
      </c>
      <c r="AG3154">
        <v>-1.1071043032000001</v>
      </c>
      <c r="AH3154">
        <v>9.7309329681344501</v>
      </c>
      <c r="AI3154">
        <v>95.811309552960395</v>
      </c>
      <c r="AJ3154">
        <v>63.452146839805401</v>
      </c>
      <c r="AK3154">
        <v>10.934074757804</v>
      </c>
      <c r="AL3154">
        <v>82.868443198395397</v>
      </c>
      <c r="AM3154">
        <v>65.128894662158004</v>
      </c>
      <c r="AN3154">
        <v>0.99999996201395902</v>
      </c>
    </row>
    <row r="3155" spans="1:40" x14ac:dyDescent="0.25">
      <c r="A3155" t="str">
        <f>"20190312164329299"</f>
        <v>20190312164329299</v>
      </c>
      <c r="B3155" t="str">
        <f>"1552380209287784"</f>
        <v>1552380209287784</v>
      </c>
      <c r="C3155" t="s">
        <v>40</v>
      </c>
      <c r="D3155">
        <v>4.6568529999999999</v>
      </c>
      <c r="E3155">
        <v>0.51380439999999905</v>
      </c>
      <c r="F3155" t="s">
        <v>49</v>
      </c>
      <c r="G3155">
        <v>-195.8724</v>
      </c>
      <c r="H3155" s="1">
        <v>-1.454627E-5</v>
      </c>
      <c r="I3155">
        <v>157.9025</v>
      </c>
      <c r="J3155">
        <v>-190.9419</v>
      </c>
      <c r="K3155">
        <v>1.106995</v>
      </c>
      <c r="L3155">
        <v>165.9315</v>
      </c>
      <c r="M3155">
        <v>-0.1059551</v>
      </c>
      <c r="N3155">
        <v>0</v>
      </c>
      <c r="O3155">
        <v>-0.99427750000000004</v>
      </c>
      <c r="P3155">
        <v>-0.51354709999999903</v>
      </c>
      <c r="Q3155">
        <v>0.11475490000000001</v>
      </c>
      <c r="R3155">
        <v>-0.85035319999999903</v>
      </c>
      <c r="S3155">
        <v>-1.569153</v>
      </c>
      <c r="T3155">
        <v>-0.34995130000000002</v>
      </c>
      <c r="U3155">
        <v>-2.6278079999999999</v>
      </c>
      <c r="V3155">
        <v>0.42156300000000002</v>
      </c>
      <c r="W3155">
        <v>0.1236005</v>
      </c>
      <c r="X3155">
        <v>0.89833600000000002</v>
      </c>
      <c r="Y3155">
        <v>0.41539379999999998</v>
      </c>
      <c r="Z3155">
        <v>0.11559220000000001</v>
      </c>
      <c r="AA3155">
        <v>0.90226740000000005</v>
      </c>
      <c r="AB3155">
        <v>29</v>
      </c>
      <c r="AC3155">
        <v>-4.9304999999999897</v>
      </c>
      <c r="AD3155">
        <v>-1.10700954627</v>
      </c>
      <c r="AE3155">
        <v>-8.0289999999999893</v>
      </c>
      <c r="AF3155">
        <v>3.99677550269839</v>
      </c>
      <c r="AG3155">
        <v>-1.10700954627</v>
      </c>
      <c r="AH3155">
        <v>8.3904319620250298</v>
      </c>
      <c r="AI3155">
        <v>96.792695918556404</v>
      </c>
      <c r="AJ3155">
        <v>64.529242468112599</v>
      </c>
      <c r="AK3155">
        <v>9.3594355098944995</v>
      </c>
      <c r="AL3155">
        <v>82.900056450733004</v>
      </c>
      <c r="AM3155">
        <v>64.860698141461995</v>
      </c>
      <c r="AN3155">
        <v>1.0000000077326201</v>
      </c>
    </row>
    <row r="3156" spans="1:40" x14ac:dyDescent="0.25">
      <c r="A3156" t="str">
        <f>"20190312164329322"</f>
        <v>20190312164329322</v>
      </c>
      <c r="B3156" t="str">
        <f>"1552380209318040"</f>
        <v>1552380209318040</v>
      </c>
      <c r="C3156" t="s">
        <v>40</v>
      </c>
      <c r="D3156">
        <v>4.8637090000000001</v>
      </c>
      <c r="E3156">
        <v>0.5145168</v>
      </c>
      <c r="F3156" t="s">
        <v>49</v>
      </c>
      <c r="G3156">
        <v>-195.95910000000001</v>
      </c>
      <c r="H3156" s="1">
        <v>-1.448867E-5</v>
      </c>
      <c r="I3156">
        <v>157.67349999999999</v>
      </c>
      <c r="J3156">
        <v>-190.97819999999999</v>
      </c>
      <c r="K3156">
        <v>1.10691299999999</v>
      </c>
      <c r="L3156">
        <v>165.63630000000001</v>
      </c>
      <c r="M3156">
        <v>-0.1105091</v>
      </c>
      <c r="N3156">
        <v>0</v>
      </c>
      <c r="O3156">
        <v>-0.99378169999999999</v>
      </c>
      <c r="P3156">
        <v>-0.52106319999999995</v>
      </c>
      <c r="Q3156">
        <v>0.1150577</v>
      </c>
      <c r="R3156">
        <v>-0.84572769999999997</v>
      </c>
      <c r="S3156">
        <v>-1.5891109999999999</v>
      </c>
      <c r="T3156">
        <v>-0.35062120000000002</v>
      </c>
      <c r="U3156">
        <v>-2.6155400000000002</v>
      </c>
      <c r="V3156">
        <v>0.42544470000000001</v>
      </c>
      <c r="W3156">
        <v>0.1237538</v>
      </c>
      <c r="X3156">
        <v>0.89648300000000003</v>
      </c>
      <c r="Y3156">
        <v>0.41811969999999998</v>
      </c>
      <c r="Z3156">
        <v>0.1158956</v>
      </c>
      <c r="AA3156">
        <v>0.9009684</v>
      </c>
      <c r="AB3156">
        <v>29</v>
      </c>
      <c r="AC3156">
        <v>-4.9809000000000196</v>
      </c>
      <c r="AD3156">
        <v>-1.10692748866999</v>
      </c>
      <c r="AE3156">
        <v>-7.9628000000000103</v>
      </c>
      <c r="AF3156">
        <v>4.0145819169920198</v>
      </c>
      <c r="AG3156">
        <v>-1.10692748866999</v>
      </c>
      <c r="AH3156">
        <v>8.3485466433348101</v>
      </c>
      <c r="AI3156">
        <v>96.8140551203836</v>
      </c>
      <c r="AJ3156">
        <v>64.318404004241501</v>
      </c>
      <c r="AK3156">
        <v>9.3295437985653695</v>
      </c>
      <c r="AL3156">
        <v>82.891204871176896</v>
      </c>
      <c r="AM3156">
        <v>64.612347188003099</v>
      </c>
      <c r="AN3156">
        <v>0.99999998253076405</v>
      </c>
    </row>
    <row r="3157" spans="1:40" x14ac:dyDescent="0.25">
      <c r="A3157" t="str">
        <f>"20190312164329343"</f>
        <v>20190312164329343</v>
      </c>
      <c r="B3157" t="str">
        <f>"1552380209337560"</f>
        <v>1552380209337560</v>
      </c>
      <c r="C3157" t="s">
        <v>40</v>
      </c>
      <c r="D3157">
        <v>4.7015390000000004</v>
      </c>
      <c r="E3157">
        <v>0.51400690000000004</v>
      </c>
      <c r="F3157" t="s">
        <v>49</v>
      </c>
      <c r="G3157">
        <v>-196.7944</v>
      </c>
      <c r="H3157" s="1">
        <v>-1.4153400000000001E-5</v>
      </c>
      <c r="I3157">
        <v>156.34110000000001</v>
      </c>
      <c r="J3157">
        <v>-191.01329999999999</v>
      </c>
      <c r="K3157">
        <v>1.1068499999999999</v>
      </c>
      <c r="L3157">
        <v>165.36279999999999</v>
      </c>
      <c r="M3157">
        <v>-0.1148063</v>
      </c>
      <c r="N3157">
        <v>0</v>
      </c>
      <c r="O3157">
        <v>-0.99329469999999997</v>
      </c>
      <c r="P3157">
        <v>-0.52933869999999905</v>
      </c>
      <c r="Q3157">
        <v>0.1155972</v>
      </c>
      <c r="R3157">
        <v>-0.84049879999999999</v>
      </c>
      <c r="S3157">
        <v>-1.620941</v>
      </c>
      <c r="T3157">
        <v>-0.30849539999999998</v>
      </c>
      <c r="U3157">
        <v>-2.5905459999999998</v>
      </c>
      <c r="V3157">
        <v>0.4303997</v>
      </c>
      <c r="W3157">
        <v>0.12415130000000001</v>
      </c>
      <c r="X3157">
        <v>0.89405959999999995</v>
      </c>
      <c r="Y3157">
        <v>0.42681449999999999</v>
      </c>
      <c r="Z3157">
        <v>0.1023732</v>
      </c>
      <c r="AA3157">
        <v>0.89852609999999999</v>
      </c>
      <c r="AB3157">
        <v>29</v>
      </c>
      <c r="AC3157">
        <v>-5.7811000000000003</v>
      </c>
      <c r="AD3157">
        <v>-1.1068641534000001</v>
      </c>
      <c r="AE3157">
        <v>-9.0216999999999796</v>
      </c>
      <c r="AF3157">
        <v>4.6573259581071902</v>
      </c>
      <c r="AG3157">
        <v>-1.1068641534000001</v>
      </c>
      <c r="AH3157">
        <v>9.5241732506377001</v>
      </c>
      <c r="AI3157">
        <v>95.960218830587905</v>
      </c>
      <c r="AJ3157">
        <v>63.941341359178899</v>
      </c>
      <c r="AK3157">
        <v>10.6595360800695</v>
      </c>
      <c r="AL3157">
        <v>82.868252975653206</v>
      </c>
      <c r="AM3157">
        <v>64.293867054734207</v>
      </c>
      <c r="AN3157">
        <v>1.00000000770197</v>
      </c>
    </row>
    <row r="3158" spans="1:40" x14ac:dyDescent="0.25">
      <c r="A3158" t="str">
        <f>"20190312164329367"</f>
        <v>20190312164329367</v>
      </c>
      <c r="B3158" t="str">
        <f>"1552380209358056"</f>
        <v>1552380209358056</v>
      </c>
      <c r="C3158" t="s">
        <v>40</v>
      </c>
      <c r="D3158">
        <v>5.015117</v>
      </c>
      <c r="E3158">
        <v>0.51288750000000005</v>
      </c>
      <c r="F3158" t="s">
        <v>49</v>
      </c>
      <c r="G3158">
        <v>-197.02940000000001</v>
      </c>
      <c r="H3158" s="1">
        <v>-1.401896E-5</v>
      </c>
      <c r="I3158">
        <v>155.91990000000001</v>
      </c>
      <c r="J3158">
        <v>-191.05439999999999</v>
      </c>
      <c r="K3158">
        <v>1.1068020000000001</v>
      </c>
      <c r="L3158">
        <v>165.0548</v>
      </c>
      <c r="M3158">
        <v>-0.1197018</v>
      </c>
      <c r="N3158">
        <v>0</v>
      </c>
      <c r="O3158">
        <v>-0.99271659999999995</v>
      </c>
      <c r="P3158">
        <v>-0.53762129999999997</v>
      </c>
      <c r="Q3158">
        <v>0.115867</v>
      </c>
      <c r="R3158">
        <v>-0.83518789999999998</v>
      </c>
      <c r="S3158">
        <v>-1.6417539999999999</v>
      </c>
      <c r="T3158">
        <v>-0.3020563</v>
      </c>
      <c r="U3158">
        <v>-2.576889</v>
      </c>
      <c r="V3158">
        <v>0.43485249999999998</v>
      </c>
      <c r="W3158">
        <v>0.1243017</v>
      </c>
      <c r="X3158">
        <v>0.89188129999999999</v>
      </c>
      <c r="Y3158">
        <v>0.42979010000000001</v>
      </c>
      <c r="Z3158">
        <v>0.10034319999999999</v>
      </c>
      <c r="AA3158">
        <v>0.89733589999999996</v>
      </c>
      <c r="AB3158">
        <v>29</v>
      </c>
      <c r="AC3158">
        <v>-5.9750000000000201</v>
      </c>
      <c r="AD3158">
        <v>-1.10681601896</v>
      </c>
      <c r="AE3158">
        <v>-9.1348999999999805</v>
      </c>
      <c r="AF3158">
        <v>4.7892241724306999</v>
      </c>
      <c r="AG3158">
        <v>-1.10681601896</v>
      </c>
      <c r="AH3158">
        <v>9.6849133587419693</v>
      </c>
      <c r="AI3158">
        <v>95.849067680229197</v>
      </c>
      <c r="AJ3158">
        <v>63.687440384021102</v>
      </c>
      <c r="AK3158">
        <v>10.8609049641344</v>
      </c>
      <c r="AL3158">
        <v>82.859567870779202</v>
      </c>
      <c r="AM3158">
        <v>64.007633143758994</v>
      </c>
      <c r="AN3158">
        <v>0.99999993133441201</v>
      </c>
    </row>
    <row r="3159" spans="1:40" x14ac:dyDescent="0.25">
      <c r="A3159" t="str">
        <f>"20190312164329388"</f>
        <v>20190312164329388</v>
      </c>
      <c r="B3159" t="str">
        <f>"1552380209377577"</f>
        <v>1552380209377577</v>
      </c>
      <c r="C3159" t="s">
        <v>40</v>
      </c>
      <c r="D3159">
        <v>4.8505729999999998</v>
      </c>
      <c r="E3159">
        <v>0.51245419999999997</v>
      </c>
      <c r="F3159" t="s">
        <v>49</v>
      </c>
      <c r="G3159">
        <v>-197.0744</v>
      </c>
      <c r="H3159" s="1">
        <v>-1.39439899999999E-5</v>
      </c>
      <c r="I3159">
        <v>155.73589999999999</v>
      </c>
      <c r="J3159">
        <v>-191.09129999999999</v>
      </c>
      <c r="K3159">
        <v>1.1067720000000001</v>
      </c>
      <c r="L3159">
        <v>164.78700000000001</v>
      </c>
      <c r="M3159">
        <v>-0.1239856</v>
      </c>
      <c r="N3159">
        <v>0</v>
      </c>
      <c r="O3159">
        <v>-0.99219069999999998</v>
      </c>
      <c r="P3159">
        <v>-0.54491730000000005</v>
      </c>
      <c r="Q3159">
        <v>0.11584800000000001</v>
      </c>
      <c r="R3159">
        <v>-0.83044839999999998</v>
      </c>
      <c r="S3159">
        <v>-1.658218</v>
      </c>
      <c r="T3159">
        <v>-0.30487419999999998</v>
      </c>
      <c r="U3159">
        <v>-2.56691</v>
      </c>
      <c r="V3159">
        <v>0.43882450000000001</v>
      </c>
      <c r="W3159">
        <v>0.12419479999999999</v>
      </c>
      <c r="X3159">
        <v>0.88994869999999904</v>
      </c>
      <c r="Y3159">
        <v>0.4314962</v>
      </c>
      <c r="Z3159">
        <v>0.1013109</v>
      </c>
      <c r="AA3159">
        <v>0.89640789999999904</v>
      </c>
      <c r="AB3159">
        <v>29</v>
      </c>
      <c r="AC3159">
        <v>-5.9831000000000003</v>
      </c>
      <c r="AD3159">
        <v>-1.1067859439900001</v>
      </c>
      <c r="AE3159">
        <v>-9.0511000000000195</v>
      </c>
      <c r="AF3159">
        <v>4.7650317460917098</v>
      </c>
      <c r="AG3159">
        <v>-1.1067859439900001</v>
      </c>
      <c r="AH3159">
        <v>9.6230003627673497</v>
      </c>
      <c r="AI3159">
        <v>95.8847267414383</v>
      </c>
      <c r="AJ3159">
        <v>63.656716206752002</v>
      </c>
      <c r="AK3159">
        <v>10.7950284227924</v>
      </c>
      <c r="AL3159">
        <v>82.865741038007997</v>
      </c>
      <c r="AM3159">
        <v>63.752570278938798</v>
      </c>
      <c r="AN3159">
        <v>0.99999998938948897</v>
      </c>
    </row>
    <row r="3160" spans="1:40" x14ac:dyDescent="0.25">
      <c r="A3160" t="str">
        <f>"20190312164329409"</f>
        <v>20190312164329409</v>
      </c>
      <c r="B3160" t="str">
        <f>"1552380209398071"</f>
        <v>1552380209398071</v>
      </c>
      <c r="C3160" t="s">
        <v>40</v>
      </c>
      <c r="D3160">
        <v>4.6926629999999996</v>
      </c>
      <c r="E3160">
        <v>0.50951239999999998</v>
      </c>
      <c r="F3160" t="s">
        <v>49</v>
      </c>
      <c r="G3160">
        <v>-197.1335</v>
      </c>
      <c r="H3160" s="1">
        <v>-1.3884359999999999E-5</v>
      </c>
      <c r="I3160">
        <v>155.5847</v>
      </c>
      <c r="J3160">
        <v>-191.1302</v>
      </c>
      <c r="K3160">
        <v>1.106765</v>
      </c>
      <c r="L3160">
        <v>164.51349999999999</v>
      </c>
      <c r="M3160">
        <v>-0.12837000000000001</v>
      </c>
      <c r="N3160">
        <v>0</v>
      </c>
      <c r="O3160">
        <v>-0.99163330000000005</v>
      </c>
      <c r="P3160">
        <v>-0.55242860000000005</v>
      </c>
      <c r="Q3160">
        <v>0.1157748</v>
      </c>
      <c r="R3160">
        <v>-0.82548099999999902</v>
      </c>
      <c r="S3160">
        <v>-1.6773990000000001</v>
      </c>
      <c r="T3160">
        <v>-0.30725999999999998</v>
      </c>
      <c r="U3160">
        <v>-2.5547179999999998</v>
      </c>
      <c r="V3160">
        <v>0.44296720000000001</v>
      </c>
      <c r="W3160">
        <v>0.1240391</v>
      </c>
      <c r="X3160">
        <v>0.88791569999999997</v>
      </c>
      <c r="Y3160">
        <v>0.4341315</v>
      </c>
      <c r="Z3160">
        <v>0.1021519</v>
      </c>
      <c r="AA3160">
        <v>0.89503899999999903</v>
      </c>
      <c r="AB3160">
        <v>29</v>
      </c>
      <c r="AC3160">
        <v>-6.0032999999999896</v>
      </c>
      <c r="AD3160">
        <v>-1.1067788843599999</v>
      </c>
      <c r="AE3160">
        <v>-8.9287999999999901</v>
      </c>
      <c r="AF3160">
        <v>4.7569891369973698</v>
      </c>
      <c r="AG3160">
        <v>-1.1067788843599999</v>
      </c>
      <c r="AH3160">
        <v>9.5248391237925496</v>
      </c>
      <c r="AI3160">
        <v>95.934890261700403</v>
      </c>
      <c r="AJ3160">
        <v>63.461087752916498</v>
      </c>
      <c r="AK3160">
        <v>10.704039680536701</v>
      </c>
      <c r="AL3160">
        <v>82.874731330351807</v>
      </c>
      <c r="AM3160">
        <v>63.486111689969199</v>
      </c>
      <c r="AN3160">
        <v>0.99999996445556905</v>
      </c>
    </row>
    <row r="3161" spans="1:40" x14ac:dyDescent="0.25">
      <c r="A3161" t="str">
        <f>"20190312164329436"</f>
        <v>20190312164329436</v>
      </c>
      <c r="B3161" t="str">
        <f>"1552380209427353"</f>
        <v>1552380209427353</v>
      </c>
      <c r="C3161" t="s">
        <v>40</v>
      </c>
      <c r="D3161">
        <v>4.8968489999999996</v>
      </c>
      <c r="E3161">
        <v>0.50855519999999999</v>
      </c>
      <c r="F3161" t="s">
        <v>49</v>
      </c>
      <c r="G3161">
        <v>-196.179</v>
      </c>
      <c r="H3161" s="1">
        <v>-1.426886E-5</v>
      </c>
      <c r="I3161">
        <v>156.80000000000001</v>
      </c>
      <c r="J3161">
        <v>-191.1789</v>
      </c>
      <c r="K3161">
        <v>1.1067689999999999</v>
      </c>
      <c r="L3161">
        <v>164.1831</v>
      </c>
      <c r="M3161">
        <v>-0.1336484</v>
      </c>
      <c r="N3161">
        <v>0</v>
      </c>
      <c r="O3161">
        <v>-0.99093589999999998</v>
      </c>
      <c r="P3161">
        <v>-0.5610465</v>
      </c>
      <c r="Q3161">
        <v>0.1156726</v>
      </c>
      <c r="R3161">
        <v>-0.81966280000000002</v>
      </c>
      <c r="S3161">
        <v>-1.6776279999999999</v>
      </c>
      <c r="T3161">
        <v>-0.36777080000000001</v>
      </c>
      <c r="U3161">
        <v>-2.563126</v>
      </c>
      <c r="V3161">
        <v>0.44753870000000001</v>
      </c>
      <c r="W3161">
        <v>0.12386030000000001</v>
      </c>
      <c r="X3161">
        <v>0.88564540000000003</v>
      </c>
      <c r="Y3161">
        <v>0.42683270000000001</v>
      </c>
      <c r="Z3161">
        <v>0.1217251</v>
      </c>
      <c r="AA3161">
        <v>0.89610089999999998</v>
      </c>
      <c r="AB3161">
        <v>29</v>
      </c>
      <c r="AC3161">
        <v>-5.0000999999999998</v>
      </c>
      <c r="AD3161">
        <v>-1.1067832688599999</v>
      </c>
      <c r="AE3161">
        <v>-7.3830999999999802</v>
      </c>
      <c r="AF3161">
        <v>3.9081938668526499</v>
      </c>
      <c r="AG3161">
        <v>-1.1067832688599999</v>
      </c>
      <c r="AH3161">
        <v>7.8640144621944401</v>
      </c>
      <c r="AI3161">
        <v>97.183351761496894</v>
      </c>
      <c r="AJ3161">
        <v>63.573916750330298</v>
      </c>
      <c r="AK3161">
        <v>8.8510830956858797</v>
      </c>
      <c r="AL3161">
        <v>82.885055814949197</v>
      </c>
      <c r="AM3161">
        <v>63.1913922372093</v>
      </c>
      <c r="AN3161">
        <v>1.00000001822746</v>
      </c>
    </row>
    <row r="3162" spans="1:40" x14ac:dyDescent="0.25">
      <c r="A3162" t="str">
        <f>"20190312164329456"</f>
        <v>20190312164329456</v>
      </c>
      <c r="B3162" t="str">
        <f>"1552380209447848"</f>
        <v>1552380209447848</v>
      </c>
      <c r="C3162" t="s">
        <v>40</v>
      </c>
      <c r="D3162">
        <v>4.9904869999999999</v>
      </c>
      <c r="E3162">
        <v>0.50788929999999999</v>
      </c>
      <c r="F3162" t="s">
        <v>49</v>
      </c>
      <c r="G3162">
        <v>-196.59630000000001</v>
      </c>
      <c r="H3162" s="1">
        <v>-1.404204E-5</v>
      </c>
      <c r="I3162">
        <v>156.0633</v>
      </c>
      <c r="J3162">
        <v>-191.21889999999999</v>
      </c>
      <c r="K3162">
        <v>1.1067830000000001</v>
      </c>
      <c r="L3162">
        <v>163.9204</v>
      </c>
      <c r="M3162">
        <v>-0.13781599999999999</v>
      </c>
      <c r="N3162">
        <v>0</v>
      </c>
      <c r="O3162">
        <v>-0.99036500000000005</v>
      </c>
      <c r="P3162">
        <v>-0.5695578</v>
      </c>
      <c r="Q3162">
        <v>0.1159309</v>
      </c>
      <c r="R3162">
        <v>-0.81373469999999903</v>
      </c>
      <c r="S3162">
        <v>-1.6987920000000001</v>
      </c>
      <c r="T3162">
        <v>-0.34706490000000001</v>
      </c>
      <c r="U3162">
        <v>-2.5462039999999999</v>
      </c>
      <c r="V3162">
        <v>0.45304630000000001</v>
      </c>
      <c r="W3162">
        <v>0.1240377</v>
      </c>
      <c r="X3162">
        <v>0.88281580000000004</v>
      </c>
      <c r="Y3162">
        <v>0.431365</v>
      </c>
      <c r="Z3162">
        <v>0.1151326</v>
      </c>
      <c r="AA3162">
        <v>0.89480099999999996</v>
      </c>
      <c r="AB3162">
        <v>29</v>
      </c>
      <c r="AC3162">
        <v>-5.3774000000000202</v>
      </c>
      <c r="AD3162">
        <v>-1.10679704204</v>
      </c>
      <c r="AE3162">
        <v>-7.8571</v>
      </c>
      <c r="AF3162">
        <v>4.1865698953409902</v>
      </c>
      <c r="AG3162">
        <v>-1.10679704204</v>
      </c>
      <c r="AH3162">
        <v>8.4096293768711607</v>
      </c>
      <c r="AI3162">
        <v>96.719510483883994</v>
      </c>
      <c r="AJ3162">
        <v>63.534478206732601</v>
      </c>
      <c r="AK3162">
        <v>9.4590820610236008</v>
      </c>
      <c r="AL3162">
        <v>82.874812558288596</v>
      </c>
      <c r="AM3162">
        <v>62.833864062957801</v>
      </c>
      <c r="AN3162">
        <v>1.0000000188473099</v>
      </c>
    </row>
    <row r="3163" spans="1:40" x14ac:dyDescent="0.25">
      <c r="A3163" t="str">
        <f>"20190312164329483"</f>
        <v>20190312164329483</v>
      </c>
      <c r="B3163" t="str">
        <f>"1552380209478104"</f>
        <v>1552380209478104</v>
      </c>
      <c r="C3163" t="s">
        <v>40</v>
      </c>
      <c r="D3163">
        <v>4.7695949999999998</v>
      </c>
      <c r="E3163">
        <v>0.50765819999999995</v>
      </c>
      <c r="F3163" t="s">
        <v>49</v>
      </c>
      <c r="G3163">
        <v>-196.8587</v>
      </c>
      <c r="H3163" s="1">
        <v>-1.387766E-5</v>
      </c>
      <c r="I3163">
        <v>155.6259</v>
      </c>
      <c r="J3163">
        <v>-191.2731</v>
      </c>
      <c r="K3163">
        <v>1.106811</v>
      </c>
      <c r="L3163">
        <v>163.57509999999999</v>
      </c>
      <c r="M3163">
        <v>-0.1432542</v>
      </c>
      <c r="N3163">
        <v>0</v>
      </c>
      <c r="O3163">
        <v>-0.9895931</v>
      </c>
      <c r="P3163">
        <v>-0.57901930000000001</v>
      </c>
      <c r="Q3163">
        <v>0.1159746</v>
      </c>
      <c r="R3163">
        <v>-0.8070233</v>
      </c>
      <c r="S3163">
        <v>-1.72061199999999</v>
      </c>
      <c r="T3163">
        <v>-0.33766210000000002</v>
      </c>
      <c r="U3163">
        <v>-2.5305179999999998</v>
      </c>
      <c r="V3163">
        <v>0.45849770000000001</v>
      </c>
      <c r="W3163">
        <v>0.1240136</v>
      </c>
      <c r="X3163">
        <v>0.88000029999999996</v>
      </c>
      <c r="Y3163">
        <v>0.43446030000000002</v>
      </c>
      <c r="Z3163">
        <v>0.1121602</v>
      </c>
      <c r="AA3163">
        <v>0.89368019999999904</v>
      </c>
      <c r="AB3163">
        <v>29</v>
      </c>
      <c r="AC3163">
        <v>-5.5856000000000003</v>
      </c>
      <c r="AD3163">
        <v>-1.10682487766</v>
      </c>
      <c r="AE3163">
        <v>-7.9491999999999896</v>
      </c>
      <c r="AF3163">
        <v>4.3328821284983201</v>
      </c>
      <c r="AG3163">
        <v>-1.10682487766</v>
      </c>
      <c r="AH3163">
        <v>8.5563780541586691</v>
      </c>
      <c r="AI3163">
        <v>96.583017084623293</v>
      </c>
      <c r="AJ3163">
        <v>63.142706953513503</v>
      </c>
      <c r="AK3163">
        <v>9.6545602828381192</v>
      </c>
      <c r="AL3163">
        <v>82.876204145885495</v>
      </c>
      <c r="AM3163">
        <v>62.479587871508897</v>
      </c>
      <c r="AN3163">
        <v>1.0000000209451601</v>
      </c>
    </row>
    <row r="3164" spans="1:40" x14ac:dyDescent="0.25">
      <c r="A3164" t="str">
        <f>"20190312164329498"</f>
        <v>20190312164329498</v>
      </c>
      <c r="B3164" t="str">
        <f>"1552380209487864"</f>
        <v>1552380209487864</v>
      </c>
      <c r="C3164" t="s">
        <v>40</v>
      </c>
      <c r="D3164">
        <v>4.7972700000000001</v>
      </c>
      <c r="E3164">
        <v>0.50726590000000005</v>
      </c>
      <c r="F3164" t="s">
        <v>49</v>
      </c>
      <c r="G3164">
        <v>-197.02529999999999</v>
      </c>
      <c r="H3164" s="1">
        <v>-1.375713E-5</v>
      </c>
      <c r="I3164">
        <v>155.31039999999999</v>
      </c>
      <c r="J3164">
        <v>-191.30449999999999</v>
      </c>
      <c r="K3164">
        <v>1.1068290000000001</v>
      </c>
      <c r="L3164">
        <v>163.38040000000001</v>
      </c>
      <c r="M3164">
        <v>-0.14629809999999999</v>
      </c>
      <c r="N3164">
        <v>0</v>
      </c>
      <c r="O3164">
        <v>-0.98914800000000003</v>
      </c>
      <c r="P3164">
        <v>-0.58641980000000005</v>
      </c>
      <c r="Q3164">
        <v>0.1157706</v>
      </c>
      <c r="R3164">
        <v>-0.8016915</v>
      </c>
      <c r="S3164">
        <v>-1.748032</v>
      </c>
      <c r="T3164">
        <v>-0.33634899999999901</v>
      </c>
      <c r="U3164">
        <v>-2.51152</v>
      </c>
      <c r="V3164">
        <v>0.46387640000000002</v>
      </c>
      <c r="W3164">
        <v>0.12373869999999999</v>
      </c>
      <c r="X3164">
        <v>0.87721569999999904</v>
      </c>
      <c r="Y3164">
        <v>0.4414457</v>
      </c>
      <c r="Z3164">
        <v>0.11182690000000001</v>
      </c>
      <c r="AA3164">
        <v>0.89029230000000004</v>
      </c>
      <c r="AB3164">
        <v>29</v>
      </c>
      <c r="AC3164">
        <v>-5.7207999999999899</v>
      </c>
      <c r="AD3164">
        <v>-1.1068427571299999</v>
      </c>
      <c r="AE3164">
        <v>-8.0700000000000198</v>
      </c>
      <c r="AF3164">
        <v>4.4231252432752699</v>
      </c>
      <c r="AG3164">
        <v>-1.1068427571299999</v>
      </c>
      <c r="AH3164">
        <v>8.7111119845537406</v>
      </c>
      <c r="AI3164">
        <v>96.4636586007001</v>
      </c>
      <c r="AJ3164">
        <v>63.080513333147003</v>
      </c>
      <c r="AK3164">
        <v>9.8322230352116193</v>
      </c>
      <c r="AL3164">
        <v>82.892076737369806</v>
      </c>
      <c r="AM3164">
        <v>62.129872155335697</v>
      </c>
      <c r="AN3164">
        <v>0.99999998234056897</v>
      </c>
    </row>
    <row r="3165" spans="1:40" x14ac:dyDescent="0.25">
      <c r="A3165" t="str">
        <f>"20190312164329523"</f>
        <v>20190312164329523</v>
      </c>
      <c r="B3165" t="str">
        <f>"1552380209518120"</f>
        <v>1552380209518120</v>
      </c>
      <c r="C3165" t="s">
        <v>40</v>
      </c>
      <c r="D3165">
        <v>4.7924280000000001</v>
      </c>
      <c r="E3165">
        <v>0.50662680000000004</v>
      </c>
      <c r="F3165" t="s">
        <v>49</v>
      </c>
      <c r="G3165">
        <v>-197.15260000000001</v>
      </c>
      <c r="H3165" s="1">
        <v>-1.368756E-5</v>
      </c>
      <c r="I3165">
        <v>155.12200000000001</v>
      </c>
      <c r="J3165">
        <v>-191.35210000000001</v>
      </c>
      <c r="K3165">
        <v>1.1068559999999901</v>
      </c>
      <c r="L3165">
        <v>163.09200000000001</v>
      </c>
      <c r="M3165">
        <v>-0.15077979999999899</v>
      </c>
      <c r="N3165">
        <v>0</v>
      </c>
      <c r="O3165">
        <v>-0.98847499999999999</v>
      </c>
      <c r="P3165">
        <v>-0.59491470000000002</v>
      </c>
      <c r="Q3165">
        <v>0.115451</v>
      </c>
      <c r="R3165">
        <v>-0.79545469999999996</v>
      </c>
      <c r="S3165">
        <v>-1.76821899999999</v>
      </c>
      <c r="T3165">
        <v>-0.33466420000000002</v>
      </c>
      <c r="U3165">
        <v>-2.4970089999999998</v>
      </c>
      <c r="V3165">
        <v>0.46921570000000001</v>
      </c>
      <c r="W3165">
        <v>0.12335450000000001</v>
      </c>
      <c r="X3165">
        <v>0.87442569999999997</v>
      </c>
      <c r="Y3165">
        <v>0.44464779999999998</v>
      </c>
      <c r="Z3165">
        <v>0.1113553</v>
      </c>
      <c r="AA3165">
        <v>0.88875659999999901</v>
      </c>
      <c r="AB3165">
        <v>29</v>
      </c>
      <c r="AC3165">
        <v>-5.8005000000000004</v>
      </c>
      <c r="AD3165">
        <v>-1.1068696875599999</v>
      </c>
      <c r="AE3165">
        <v>-7.96999999999999</v>
      </c>
      <c r="AF3165">
        <v>4.47591200306847</v>
      </c>
      <c r="AG3165">
        <v>-1.1068696875599999</v>
      </c>
      <c r="AH3165">
        <v>8.6445455379993099</v>
      </c>
      <c r="AI3165">
        <v>96.486954973268098</v>
      </c>
      <c r="AJ3165">
        <v>62.626100337130403</v>
      </c>
      <c r="AK3165">
        <v>9.7973014816833803</v>
      </c>
      <c r="AL3165">
        <v>82.914259888915097</v>
      </c>
      <c r="AM3165">
        <v>61.782050641281998</v>
      </c>
      <c r="AN3165">
        <v>1.00000000530861</v>
      </c>
    </row>
    <row r="3166" spans="1:40" x14ac:dyDescent="0.25">
      <c r="A3166" t="str">
        <f>"20190312164329545"</f>
        <v>20190312164329545</v>
      </c>
      <c r="B3166" t="str">
        <f>"1552380209537640"</f>
        <v>1552380209537640</v>
      </c>
      <c r="C3166" t="s">
        <v>40</v>
      </c>
      <c r="D3166">
        <v>4.8783219999999998</v>
      </c>
      <c r="E3166">
        <v>0.49865730000000003</v>
      </c>
      <c r="F3166" t="s">
        <v>49</v>
      </c>
      <c r="G3166">
        <v>-197.249</v>
      </c>
      <c r="H3166" s="1">
        <v>-1.360828E-5</v>
      </c>
      <c r="I3166">
        <v>154.91720000000001</v>
      </c>
      <c r="J3166">
        <v>-191.4023</v>
      </c>
      <c r="K3166">
        <v>1.1068880000000001</v>
      </c>
      <c r="L3166">
        <v>162.797</v>
      </c>
      <c r="M3166">
        <v>-0.1553377</v>
      </c>
      <c r="N3166">
        <v>0</v>
      </c>
      <c r="O3166">
        <v>-0.98776909999999896</v>
      </c>
      <c r="P3166">
        <v>-0.60290869999999996</v>
      </c>
      <c r="Q3166">
        <v>0.1159153</v>
      </c>
      <c r="R3166">
        <v>-0.7893445</v>
      </c>
      <c r="S3166">
        <v>-1.790009</v>
      </c>
      <c r="T3166">
        <v>-0.33599410000000002</v>
      </c>
      <c r="U3166">
        <v>-2.4814910000000001</v>
      </c>
      <c r="V3166">
        <v>0.47401260000000001</v>
      </c>
      <c r="W3166">
        <v>0.1237586</v>
      </c>
      <c r="X3166">
        <v>0.87177749999999998</v>
      </c>
      <c r="Y3166">
        <v>0.44825710000000002</v>
      </c>
      <c r="Z3166">
        <v>0.111868</v>
      </c>
      <c r="AA3166">
        <v>0.88687719999999903</v>
      </c>
      <c r="AB3166">
        <v>28</v>
      </c>
      <c r="AC3166">
        <v>-5.8467000000000198</v>
      </c>
      <c r="AD3166">
        <v>-1.1069016082799901</v>
      </c>
      <c r="AE3166">
        <v>-7.8797999999999799</v>
      </c>
      <c r="AF3166">
        <v>4.4943776999397498</v>
      </c>
      <c r="AG3166">
        <v>-1.1069016082799901</v>
      </c>
      <c r="AH3166">
        <v>8.5831959387069201</v>
      </c>
      <c r="AI3166">
        <v>96.517600626351296</v>
      </c>
      <c r="AJ3166">
        <v>62.362312384105003</v>
      </c>
      <c r="AK3166">
        <v>9.7517134187979302</v>
      </c>
      <c r="AL3166">
        <v>82.890928365706003</v>
      </c>
      <c r="AM3166">
        <v>61.465696095274097</v>
      </c>
      <c r="AN3166">
        <v>1.00000007276948</v>
      </c>
    </row>
    <row r="3167" spans="1:40" x14ac:dyDescent="0.25">
      <c r="A3167" t="str">
        <f>"20190312164329567"</f>
        <v>20190312164329567</v>
      </c>
      <c r="B3167" t="str">
        <f>"1552380209558136"</f>
        <v>1552380209558136</v>
      </c>
      <c r="C3167" t="s">
        <v>40</v>
      </c>
      <c r="D3167">
        <v>4.816541</v>
      </c>
      <c r="E3167">
        <v>0.4980117</v>
      </c>
      <c r="F3167" t="s">
        <v>49</v>
      </c>
      <c r="G3167">
        <v>-196.83459999999999</v>
      </c>
      <c r="H3167" s="1">
        <v>-1.363807E-5</v>
      </c>
      <c r="I3167">
        <v>155.07239999999999</v>
      </c>
      <c r="J3167">
        <v>-191.4529</v>
      </c>
      <c r="K3167">
        <v>1.106903</v>
      </c>
      <c r="L3167">
        <v>162.50739999999999</v>
      </c>
      <c r="M3167">
        <v>-0.1597963</v>
      </c>
      <c r="N3167">
        <v>0</v>
      </c>
      <c r="O3167">
        <v>-0.98705770000000004</v>
      </c>
      <c r="P3167">
        <v>-0.61030759999999995</v>
      </c>
      <c r="Q3167">
        <v>0.1164061</v>
      </c>
      <c r="R3167">
        <v>-0.78356510000000001</v>
      </c>
      <c r="S3167">
        <v>-1.7629090000000001</v>
      </c>
      <c r="T3167">
        <v>-0.35921799999999998</v>
      </c>
      <c r="U3167">
        <v>-2.5068510000000002</v>
      </c>
      <c r="V3167">
        <v>0.47828949999999998</v>
      </c>
      <c r="W3167">
        <v>0.124192899999999</v>
      </c>
      <c r="X3167">
        <v>0.86937640000000005</v>
      </c>
      <c r="Y3167">
        <v>0.43302010000000002</v>
      </c>
      <c r="Z3167">
        <v>0.119186</v>
      </c>
      <c r="AA3167">
        <v>0.89346979999999998</v>
      </c>
      <c r="AB3167">
        <v>28</v>
      </c>
      <c r="AC3167">
        <v>-5.3816999999999897</v>
      </c>
      <c r="AD3167">
        <v>-1.10691663807</v>
      </c>
      <c r="AE3167">
        <v>-7.4349999999999996</v>
      </c>
      <c r="AF3167">
        <v>4.06521190628506</v>
      </c>
      <c r="AG3167">
        <v>-1.10691663807</v>
      </c>
      <c r="AH3167">
        <v>8.0819482681420691</v>
      </c>
      <c r="AI3167">
        <v>96.975755543483004</v>
      </c>
      <c r="AJ3167">
        <v>63.297649702851999</v>
      </c>
      <c r="AK3167">
        <v>9.1142251505853498</v>
      </c>
      <c r="AL3167">
        <v>82.865850994343404</v>
      </c>
      <c r="AM3167">
        <v>61.182503408169403</v>
      </c>
      <c r="AN3167">
        <v>1.0000000235488</v>
      </c>
    </row>
    <row r="3168" spans="1:40" x14ac:dyDescent="0.25">
      <c r="A3168" t="str">
        <f>"20190312164329589"</f>
        <v>20190312164329589</v>
      </c>
      <c r="B3168" t="str">
        <f>"1552380209577659"</f>
        <v>1552380209577659</v>
      </c>
      <c r="C3168" t="s">
        <v>40</v>
      </c>
      <c r="D3168">
        <v>4.9564089999999998</v>
      </c>
      <c r="E3168">
        <v>0.49812669999999998</v>
      </c>
      <c r="F3168" t="s">
        <v>49</v>
      </c>
      <c r="G3168">
        <v>-197.0264</v>
      </c>
      <c r="H3168" s="1">
        <v>-1.350258E-5</v>
      </c>
      <c r="I3168">
        <v>154.71690000000001</v>
      </c>
      <c r="J3168">
        <v>-191.49950000000001</v>
      </c>
      <c r="K3168">
        <v>1.1069169999999999</v>
      </c>
      <c r="L3168">
        <v>162.2467</v>
      </c>
      <c r="M3168">
        <v>-0.1638</v>
      </c>
      <c r="N3168">
        <v>0</v>
      </c>
      <c r="O3168">
        <v>-0.98640110000000003</v>
      </c>
      <c r="P3168">
        <v>-0.61739259999999996</v>
      </c>
      <c r="Q3168">
        <v>0.1162731</v>
      </c>
      <c r="R3168">
        <v>-0.77801489999999995</v>
      </c>
      <c r="S3168">
        <v>-1.7831269999999999</v>
      </c>
      <c r="T3168">
        <v>-0.35413549999999999</v>
      </c>
      <c r="U3168">
        <v>-2.492416</v>
      </c>
      <c r="V3168">
        <v>0.48264459999999998</v>
      </c>
      <c r="W3168">
        <v>0.1239994</v>
      </c>
      <c r="X3168">
        <v>0.86699380000000004</v>
      </c>
      <c r="Y3168">
        <v>0.43671969999999999</v>
      </c>
      <c r="Z3168">
        <v>0.1175953</v>
      </c>
      <c r="AA3168">
        <v>0.89187850000000002</v>
      </c>
      <c r="AB3168">
        <v>28</v>
      </c>
      <c r="AC3168">
        <v>-5.5268999999999799</v>
      </c>
      <c r="AD3168">
        <v>-1.10693050257999</v>
      </c>
      <c r="AE3168">
        <v>-7.5297999999999901</v>
      </c>
      <c r="AF3168">
        <v>4.1603147849250197</v>
      </c>
      <c r="AG3168">
        <v>-1.10693050257999</v>
      </c>
      <c r="AH3168">
        <v>8.2180519442233795</v>
      </c>
      <c r="AI3168">
        <v>96.8525658773532</v>
      </c>
      <c r="AJ3168">
        <v>63.149597445987702</v>
      </c>
      <c r="AK3168">
        <v>9.2773860545501403</v>
      </c>
      <c r="AL3168">
        <v>82.877023603719493</v>
      </c>
      <c r="AM3168">
        <v>60.895860776156397</v>
      </c>
      <c r="AN3168">
        <v>0.99999995517397899</v>
      </c>
    </row>
    <row r="3169" spans="1:40" x14ac:dyDescent="0.25">
      <c r="A3169" t="str">
        <f>"20190312164329612"</f>
        <v>20190312164329612</v>
      </c>
      <c r="B3169" t="str">
        <f>"1552380209607912"</f>
        <v>1552380209607912</v>
      </c>
      <c r="C3169" t="s">
        <v>40</v>
      </c>
      <c r="D3169">
        <v>4.832338</v>
      </c>
      <c r="E3169">
        <v>0.49754520000000002</v>
      </c>
      <c r="F3169" t="s">
        <v>49</v>
      </c>
      <c r="G3169">
        <v>-197.11179999999999</v>
      </c>
      <c r="H3169" s="1">
        <v>-1.345075E-5</v>
      </c>
      <c r="I3169">
        <v>154.55170000000001</v>
      </c>
      <c r="J3169">
        <v>-191.55340000000001</v>
      </c>
      <c r="K3169">
        <v>1.1069169999999999</v>
      </c>
      <c r="L3169">
        <v>161.9529</v>
      </c>
      <c r="M3169">
        <v>-0.16830989999999901</v>
      </c>
      <c r="N3169">
        <v>0</v>
      </c>
      <c r="O3169">
        <v>-0.98564169999999995</v>
      </c>
      <c r="P3169">
        <v>-0.62447200000000003</v>
      </c>
      <c r="Q3169">
        <v>0.1155746</v>
      </c>
      <c r="R3169">
        <v>-0.77244899999999905</v>
      </c>
      <c r="S3169">
        <v>-1.805893</v>
      </c>
      <c r="T3169">
        <v>-0.35618620000000001</v>
      </c>
      <c r="U3169">
        <v>-2.476105</v>
      </c>
      <c r="V3169">
        <v>0.48657240000000002</v>
      </c>
      <c r="W3169">
        <v>0.1232466</v>
      </c>
      <c r="X3169">
        <v>0.86490330000000004</v>
      </c>
      <c r="Y3169">
        <v>0.44070740000000003</v>
      </c>
      <c r="Z3169">
        <v>0.1183423</v>
      </c>
      <c r="AA3169">
        <v>0.88981569999999899</v>
      </c>
      <c r="AB3169">
        <v>28</v>
      </c>
      <c r="AC3169">
        <v>-5.5583999999999696</v>
      </c>
      <c r="AD3169">
        <v>-1.10693045075</v>
      </c>
      <c r="AE3169">
        <v>-7.4011999999999798</v>
      </c>
      <c r="AF3169">
        <v>4.1735910092062101</v>
      </c>
      <c r="AG3169">
        <v>-1.10693045075</v>
      </c>
      <c r="AH3169">
        <v>8.1151529437657501</v>
      </c>
      <c r="AI3169">
        <v>96.916241863578193</v>
      </c>
      <c r="AJ3169">
        <v>62.783420649145697</v>
      </c>
      <c r="AK3169">
        <v>9.1923807708141894</v>
      </c>
      <c r="AL3169">
        <v>82.920490112126799</v>
      </c>
      <c r="AM3169">
        <v>60.639011115885602</v>
      </c>
      <c r="AN3169">
        <v>1.0000000716021</v>
      </c>
    </row>
    <row r="3170" spans="1:40" x14ac:dyDescent="0.25">
      <c r="A3170" t="str">
        <f>"20190312164329637"</f>
        <v>20190312164329637</v>
      </c>
      <c r="B3170" t="str">
        <f>"1552380209627432"</f>
        <v>1552380209627432</v>
      </c>
      <c r="C3170" t="s">
        <v>40</v>
      </c>
      <c r="D3170">
        <v>4.8490719999999996</v>
      </c>
      <c r="E3170">
        <v>0.4969249</v>
      </c>
      <c r="F3170" t="s">
        <v>49</v>
      </c>
      <c r="G3170">
        <v>-197.1429</v>
      </c>
      <c r="H3170" s="1">
        <v>-1.3416710000000001E-5</v>
      </c>
      <c r="I3170">
        <v>154.40539999999999</v>
      </c>
      <c r="J3170">
        <v>-191.6104</v>
      </c>
      <c r="K3170">
        <v>1.106919</v>
      </c>
      <c r="L3170">
        <v>161.65</v>
      </c>
      <c r="M3170">
        <v>-0.17296210000000001</v>
      </c>
      <c r="N3170">
        <v>0</v>
      </c>
      <c r="O3170">
        <v>-0.9848363</v>
      </c>
      <c r="P3170">
        <v>-0.63146250000000004</v>
      </c>
      <c r="Q3170">
        <v>0.1141621</v>
      </c>
      <c r="R3170">
        <v>-0.76695649999999904</v>
      </c>
      <c r="S3170">
        <v>-1.824112</v>
      </c>
      <c r="T3170">
        <v>-0.3612435</v>
      </c>
      <c r="U3170">
        <v>-2.46312</v>
      </c>
      <c r="V3170">
        <v>0.4902958</v>
      </c>
      <c r="W3170">
        <v>0.1217776</v>
      </c>
      <c r="X3170">
        <v>0.86300650000000001</v>
      </c>
      <c r="Y3170">
        <v>0.44284869999999998</v>
      </c>
      <c r="Z3170">
        <v>0.1200471</v>
      </c>
      <c r="AA3170">
        <v>0.88852330000000002</v>
      </c>
      <c r="AB3170">
        <v>28</v>
      </c>
      <c r="AC3170">
        <v>-5.53249999999999</v>
      </c>
      <c r="AD3170">
        <v>-1.1069324167100001</v>
      </c>
      <c r="AE3170">
        <v>-7.2446000000000099</v>
      </c>
      <c r="AF3170">
        <v>4.1349716088277404</v>
      </c>
      <c r="AG3170">
        <v>-1.1069324167100001</v>
      </c>
      <c r="AH3170">
        <v>7.9747950049871204</v>
      </c>
      <c r="AI3170">
        <v>97.024827731183507</v>
      </c>
      <c r="AJ3170">
        <v>62.593032026492601</v>
      </c>
      <c r="AK3170">
        <v>9.0510024280486494</v>
      </c>
      <c r="AL3170">
        <v>83.005295865366307</v>
      </c>
      <c r="AM3170">
        <v>60.3979986270515</v>
      </c>
      <c r="AN3170">
        <v>0.99999998720082495</v>
      </c>
    </row>
    <row r="3171" spans="1:40" x14ac:dyDescent="0.25">
      <c r="A3171" t="str">
        <f>"20190312164329658"</f>
        <v>20190312164329658</v>
      </c>
      <c r="B3171" t="str">
        <f>"1552380209647928"</f>
        <v>1552380209647928</v>
      </c>
      <c r="C3171" t="s">
        <v>40</v>
      </c>
      <c r="D3171">
        <v>4.964073</v>
      </c>
      <c r="E3171">
        <v>0.49631690000000001</v>
      </c>
      <c r="F3171" t="s">
        <v>49</v>
      </c>
      <c r="G3171">
        <v>-197.2482</v>
      </c>
      <c r="H3171" s="1">
        <v>-1.336381E-5</v>
      </c>
      <c r="I3171">
        <v>154.15799999999999</v>
      </c>
      <c r="J3171">
        <v>-191.66220000000001</v>
      </c>
      <c r="K3171">
        <v>1.106916</v>
      </c>
      <c r="L3171">
        <v>161.3809</v>
      </c>
      <c r="M3171">
        <v>-0.17709659999999999</v>
      </c>
      <c r="N3171">
        <v>0</v>
      </c>
      <c r="O3171">
        <v>-0.98410149999999996</v>
      </c>
      <c r="P3171">
        <v>-0.63745830000000003</v>
      </c>
      <c r="Q3171">
        <v>0.1130635</v>
      </c>
      <c r="R3171">
        <v>-0.76214409999999999</v>
      </c>
      <c r="S3171">
        <v>-1.842484</v>
      </c>
      <c r="T3171">
        <v>-0.36175350000000001</v>
      </c>
      <c r="U3171">
        <v>-2.4484249999999999</v>
      </c>
      <c r="V3171">
        <v>0.49340250000000002</v>
      </c>
      <c r="W3171">
        <v>0.120627</v>
      </c>
      <c r="X3171">
        <v>0.86139599999999905</v>
      </c>
      <c r="Y3171">
        <v>0.44588660000000002</v>
      </c>
      <c r="Z3171">
        <v>0.1203103</v>
      </c>
      <c r="AA3171">
        <v>0.88696699999999995</v>
      </c>
      <c r="AB3171">
        <v>28</v>
      </c>
      <c r="AC3171">
        <v>-5.5859999999999799</v>
      </c>
      <c r="AD3171">
        <v>-1.10692936381</v>
      </c>
      <c r="AE3171">
        <v>-7.2229000000000099</v>
      </c>
      <c r="AF3171">
        <v>4.1573241175469802</v>
      </c>
      <c r="AG3171">
        <v>-1.10692936381</v>
      </c>
      <c r="AH3171">
        <v>7.98077277271212</v>
      </c>
      <c r="AI3171">
        <v>97.012742441101906</v>
      </c>
      <c r="AJ3171">
        <v>62.484204601496103</v>
      </c>
      <c r="AK3171">
        <v>9.0664971452301106</v>
      </c>
      <c r="AL3171">
        <v>83.071709991596094</v>
      </c>
      <c r="AM3171">
        <v>60.196175542003999</v>
      </c>
      <c r="AN3171">
        <v>0.99999998447562399</v>
      </c>
    </row>
    <row r="3172" spans="1:40" x14ac:dyDescent="0.25">
      <c r="A3172" t="str">
        <f>"20190312164329680"</f>
        <v>20190312164329680</v>
      </c>
      <c r="B3172" t="str">
        <f>"1552380209667452"</f>
        <v>1552380209667452</v>
      </c>
      <c r="C3172" t="s">
        <v>40</v>
      </c>
      <c r="D3172">
        <v>4.8793290000000002</v>
      </c>
      <c r="E3172">
        <v>0.49577690000000002</v>
      </c>
      <c r="F3172" t="s">
        <v>49</v>
      </c>
      <c r="G3172">
        <v>-197.37270000000001</v>
      </c>
      <c r="H3172" s="1">
        <v>-1.330901E-5</v>
      </c>
      <c r="I3172">
        <v>153.8964</v>
      </c>
      <c r="J3172">
        <v>-191.71549999999999</v>
      </c>
      <c r="K3172">
        <v>1.1069169999999999</v>
      </c>
      <c r="L3172">
        <v>161.11070000000001</v>
      </c>
      <c r="M3172">
        <v>-0.18124989999999999</v>
      </c>
      <c r="N3172">
        <v>0</v>
      </c>
      <c r="O3172">
        <v>-0.98334520000000003</v>
      </c>
      <c r="P3172">
        <v>-0.64388869999999998</v>
      </c>
      <c r="Q3172">
        <v>0.1115168</v>
      </c>
      <c r="R3172">
        <v>-0.75694890000000004</v>
      </c>
      <c r="S3172">
        <v>-1.858215</v>
      </c>
      <c r="T3172">
        <v>-0.36020400000000002</v>
      </c>
      <c r="U3172">
        <v>-2.4355319999999998</v>
      </c>
      <c r="V3172">
        <v>0.49700549999999999</v>
      </c>
      <c r="W3172">
        <v>0.11902119999999999</v>
      </c>
      <c r="X3172">
        <v>0.85954609999999998</v>
      </c>
      <c r="Y3172">
        <v>0.44802979999999998</v>
      </c>
      <c r="Z3172">
        <v>0.11988559999999999</v>
      </c>
      <c r="AA3172">
        <v>0.88594399999999995</v>
      </c>
      <c r="AB3172">
        <v>28</v>
      </c>
      <c r="AC3172">
        <v>-5.6572000000000102</v>
      </c>
      <c r="AD3172">
        <v>-1.10693030901</v>
      </c>
      <c r="AE3172">
        <v>-7.2142999999999997</v>
      </c>
      <c r="AF3172">
        <v>4.1946239297052799</v>
      </c>
      <c r="AG3172">
        <v>-1.10693030901</v>
      </c>
      <c r="AH3172">
        <v>8.0035705571121696</v>
      </c>
      <c r="AI3172">
        <v>96.983949340604596</v>
      </c>
      <c r="AJ3172">
        <v>62.341232629342699</v>
      </c>
      <c r="AK3172">
        <v>9.1036973962964005</v>
      </c>
      <c r="AL3172">
        <v>83.164383409202998</v>
      </c>
      <c r="AM3172">
        <v>59.962702388917897</v>
      </c>
      <c r="AN3172">
        <v>1.0000000055524401</v>
      </c>
    </row>
    <row r="3173" spans="1:40" x14ac:dyDescent="0.25">
      <c r="A3173" t="str">
        <f>"20190312164329701"</f>
        <v>20190312164329701</v>
      </c>
      <c r="B3173" t="str">
        <f>"1552380209697704"</f>
        <v>1552380209697704</v>
      </c>
      <c r="C3173" t="s">
        <v>40</v>
      </c>
      <c r="D3173">
        <v>5.0254279999999998</v>
      </c>
      <c r="E3173">
        <v>0.49653239999999998</v>
      </c>
      <c r="F3173" t="s">
        <v>49</v>
      </c>
      <c r="G3173">
        <v>-197.477</v>
      </c>
      <c r="H3173" s="1">
        <v>-1.32602399999999E-5</v>
      </c>
      <c r="I3173">
        <v>153.66579999999999</v>
      </c>
      <c r="J3173">
        <v>-191.7688</v>
      </c>
      <c r="K3173">
        <v>1.106911</v>
      </c>
      <c r="L3173">
        <v>160.8459</v>
      </c>
      <c r="M3173">
        <v>-0.18532499999999999</v>
      </c>
      <c r="N3173">
        <v>0</v>
      </c>
      <c r="O3173">
        <v>-0.98258540000000005</v>
      </c>
      <c r="P3173">
        <v>-0.65014569999999905</v>
      </c>
      <c r="Q3173">
        <v>0.1097747</v>
      </c>
      <c r="R3173">
        <v>-0.75183800000000001</v>
      </c>
      <c r="S3173">
        <v>-1.8743289999999999</v>
      </c>
      <c r="T3173">
        <v>-0.36010740000000002</v>
      </c>
      <c r="U3173">
        <v>-2.4219970000000002</v>
      </c>
      <c r="V3173">
        <v>0.50051109999999999</v>
      </c>
      <c r="W3173">
        <v>0.1172228</v>
      </c>
      <c r="X3173">
        <v>0.85775729999999994</v>
      </c>
      <c r="Y3173">
        <v>0.45040649999999999</v>
      </c>
      <c r="Z3173">
        <v>0.1199448</v>
      </c>
      <c r="AA3173">
        <v>0.88472999999999902</v>
      </c>
      <c r="AB3173">
        <v>28</v>
      </c>
      <c r="AC3173">
        <v>-5.7081999999999997</v>
      </c>
      <c r="AD3173">
        <v>-1.10692426023999</v>
      </c>
      <c r="AE3173">
        <v>-7.1801000000000004</v>
      </c>
      <c r="AF3173">
        <v>4.2171149906525596</v>
      </c>
      <c r="AG3173">
        <v>-1.10692426023999</v>
      </c>
      <c r="AH3173">
        <v>7.9972039968599704</v>
      </c>
      <c r="AI3173">
        <v>96.980217053317403</v>
      </c>
      <c r="AJ3173">
        <v>62.196257249793298</v>
      </c>
      <c r="AK3173">
        <v>9.1084911994076894</v>
      </c>
      <c r="AL3173">
        <v>83.268151026066107</v>
      </c>
      <c r="AM3173">
        <v>59.735954360455203</v>
      </c>
      <c r="AN3173">
        <v>1.00000006588316</v>
      </c>
    </row>
    <row r="3174" spans="1:40" x14ac:dyDescent="0.25">
      <c r="A3174" t="str">
        <f>"20190312164329725"</f>
        <v>20190312164329725</v>
      </c>
      <c r="B3174" t="str">
        <f>"1552380209718200"</f>
        <v>1552380209718200</v>
      </c>
      <c r="C3174" t="s">
        <v>40</v>
      </c>
      <c r="D3174">
        <v>5.1897029999999997</v>
      </c>
      <c r="E3174">
        <v>0.4968129</v>
      </c>
      <c r="F3174" t="s">
        <v>49</v>
      </c>
      <c r="G3174">
        <v>-197.52809999999999</v>
      </c>
      <c r="H3174" s="1">
        <v>-1.323711E-5</v>
      </c>
      <c r="I3174">
        <v>153.5558</v>
      </c>
      <c r="J3174">
        <v>-191.83090000000001</v>
      </c>
      <c r="K3174">
        <v>1.1069119999999999</v>
      </c>
      <c r="L3174">
        <v>160.54519999999999</v>
      </c>
      <c r="M3174">
        <v>-0.1899574</v>
      </c>
      <c r="N3174">
        <v>0</v>
      </c>
      <c r="O3174">
        <v>-0.98170049999999998</v>
      </c>
      <c r="P3174">
        <v>-0.65668649999999995</v>
      </c>
      <c r="Q3174">
        <v>0.10856250000000001</v>
      </c>
      <c r="R3174">
        <v>-0.746309</v>
      </c>
      <c r="S3174">
        <v>-1.897888</v>
      </c>
      <c r="T3174">
        <v>-0.36477080000000001</v>
      </c>
      <c r="U3174">
        <v>-2.4023439999999998</v>
      </c>
      <c r="V3174">
        <v>0.50391260000000004</v>
      </c>
      <c r="W3174">
        <v>0.1159541</v>
      </c>
      <c r="X3174">
        <v>0.85593619999999904</v>
      </c>
      <c r="Y3174">
        <v>0.4549339</v>
      </c>
      <c r="Z3174">
        <v>0.1216034</v>
      </c>
      <c r="AA3174">
        <v>0.88218359999999996</v>
      </c>
      <c r="AB3174">
        <v>28</v>
      </c>
      <c r="AC3174">
        <v>-5.6971999999999801</v>
      </c>
      <c r="AD3174">
        <v>-1.10692523711</v>
      </c>
      <c r="AE3174">
        <v>-6.9893999999999803</v>
      </c>
      <c r="AF3174">
        <v>4.2023144079542396</v>
      </c>
      <c r="AG3174">
        <v>-1.10692523711</v>
      </c>
      <c r="AH3174">
        <v>7.8264990287328002</v>
      </c>
      <c r="AI3174">
        <v>97.102846140048598</v>
      </c>
      <c r="AJ3174">
        <v>61.7671311748486</v>
      </c>
      <c r="AK3174">
        <v>8.9520286477762294</v>
      </c>
      <c r="AL3174">
        <v>83.341341010548504</v>
      </c>
      <c r="AM3174">
        <v>59.513536755373799</v>
      </c>
      <c r="AN3174">
        <v>1.0000000201079999</v>
      </c>
    </row>
    <row r="3175" spans="1:40" x14ac:dyDescent="0.25">
      <c r="A3175" t="str">
        <f>"20190312164329746"</f>
        <v>20190312164329746</v>
      </c>
      <c r="B3175" t="str">
        <f>"1552380209737720"</f>
        <v>1552380209737720</v>
      </c>
      <c r="C3175" t="s">
        <v>40</v>
      </c>
      <c r="D3175">
        <v>4.8781429999999997</v>
      </c>
      <c r="E3175">
        <v>0.49701600000000001</v>
      </c>
      <c r="F3175" t="s">
        <v>49</v>
      </c>
      <c r="G3175">
        <v>-197.65119999999999</v>
      </c>
      <c r="H3175" s="1">
        <v>-1.3189370000000001E-5</v>
      </c>
      <c r="I3175">
        <v>153.3227</v>
      </c>
      <c r="J3175">
        <v>-191.88669999999999</v>
      </c>
      <c r="K3175">
        <v>1.106916</v>
      </c>
      <c r="L3175">
        <v>160.28030000000001</v>
      </c>
      <c r="M3175">
        <v>-0.19403790000000001</v>
      </c>
      <c r="N3175">
        <v>0</v>
      </c>
      <c r="O3175">
        <v>-0.98090239999999995</v>
      </c>
      <c r="P3175">
        <v>-0.66277059999999999</v>
      </c>
      <c r="Q3175">
        <v>0.1080184</v>
      </c>
      <c r="R3175">
        <v>-0.74099099999999996</v>
      </c>
      <c r="S3175">
        <v>-1.9204410000000001</v>
      </c>
      <c r="T3175">
        <v>-0.36523329999999998</v>
      </c>
      <c r="U3175">
        <v>-2.3830870000000002</v>
      </c>
      <c r="V3175">
        <v>0.50733700000000004</v>
      </c>
      <c r="W3175">
        <v>0.1153526</v>
      </c>
      <c r="X3175">
        <v>0.85399230000000004</v>
      </c>
      <c r="Y3175">
        <v>0.45975359999999998</v>
      </c>
      <c r="Z3175">
        <v>0.1218837</v>
      </c>
      <c r="AA3175">
        <v>0.87964249999999899</v>
      </c>
      <c r="AB3175">
        <v>28</v>
      </c>
      <c r="AC3175">
        <v>-5.7644999999999902</v>
      </c>
      <c r="AD3175">
        <v>-1.10692918937</v>
      </c>
      <c r="AE3175">
        <v>-6.95760000000001</v>
      </c>
      <c r="AF3175">
        <v>4.24110637122127</v>
      </c>
      <c r="AG3175">
        <v>-1.10692918937</v>
      </c>
      <c r="AH3175">
        <v>7.8265048055976401</v>
      </c>
      <c r="AI3175">
        <v>97.088322084711194</v>
      </c>
      <c r="AJ3175">
        <v>61.547169454259397</v>
      </c>
      <c r="AK3175">
        <v>8.9703095238869004</v>
      </c>
      <c r="AL3175">
        <v>83.376036787474305</v>
      </c>
      <c r="AM3175">
        <v>59.2864362848415</v>
      </c>
      <c r="AN3175">
        <v>0.99999995117752305</v>
      </c>
    </row>
    <row r="3176" spans="1:40" x14ac:dyDescent="0.25">
      <c r="A3176" t="str">
        <f>"20190312164329773"</f>
        <v>20190312164329773</v>
      </c>
      <c r="B3176" t="str">
        <f>"1552380209767976"</f>
        <v>1552380209767976</v>
      </c>
      <c r="C3176" t="s">
        <v>40</v>
      </c>
      <c r="D3176">
        <v>4.8369650000000002</v>
      </c>
      <c r="E3176">
        <v>0.49695980000000001</v>
      </c>
      <c r="F3176" t="s">
        <v>49</v>
      </c>
      <c r="G3176">
        <v>-197.80770000000001</v>
      </c>
      <c r="H3176" s="1">
        <v>-1.313855E-5</v>
      </c>
      <c r="I3176">
        <v>153.06559999999999</v>
      </c>
      <c r="J3176">
        <v>-191.959</v>
      </c>
      <c r="K3176">
        <v>1.1069119999999999</v>
      </c>
      <c r="L3176">
        <v>159.94540000000001</v>
      </c>
      <c r="M3176">
        <v>-0.1991976</v>
      </c>
      <c r="N3176">
        <v>0</v>
      </c>
      <c r="O3176">
        <v>-0.97986770000000001</v>
      </c>
      <c r="P3176">
        <v>-0.66980229999999996</v>
      </c>
      <c r="Q3176">
        <v>0.10756739999999999</v>
      </c>
      <c r="R3176">
        <v>-0.73470719999999901</v>
      </c>
      <c r="S3176">
        <v>-1.9411320000000001</v>
      </c>
      <c r="T3176">
        <v>-0.3628982</v>
      </c>
      <c r="U3176">
        <v>-2.3652950000000001</v>
      </c>
      <c r="V3176">
        <v>0.51096459999999999</v>
      </c>
      <c r="W3176">
        <v>0.1148406</v>
      </c>
      <c r="X3176">
        <v>0.85189599999999899</v>
      </c>
      <c r="Y3176">
        <v>0.46298109999999998</v>
      </c>
      <c r="Z3176">
        <v>0.1212173</v>
      </c>
      <c r="AA3176">
        <v>0.87804040000000005</v>
      </c>
      <c r="AB3176">
        <v>28</v>
      </c>
      <c r="AC3176">
        <v>-5.8487</v>
      </c>
      <c r="AD3176">
        <v>-1.1069251385500001</v>
      </c>
      <c r="AE3176">
        <v>-6.8798000000000101</v>
      </c>
      <c r="AF3176">
        <v>4.2963431863998798</v>
      </c>
      <c r="AG3176">
        <v>-1.1069251385500001</v>
      </c>
      <c r="AH3176">
        <v>7.7899909507693703</v>
      </c>
      <c r="AI3176">
        <v>97.092667217429707</v>
      </c>
      <c r="AJ3176">
        <v>61.122344165908601</v>
      </c>
      <c r="AK3176">
        <v>8.9648093705748906</v>
      </c>
      <c r="AL3176">
        <v>83.405568746473705</v>
      </c>
      <c r="AM3176">
        <v>59.0447996921312</v>
      </c>
      <c r="AN3176">
        <v>0.99999999033875897</v>
      </c>
    </row>
    <row r="3177" spans="1:40" x14ac:dyDescent="0.25">
      <c r="A3177" t="str">
        <f>"20190312164329791"</f>
        <v>20190312164329791</v>
      </c>
      <c r="B3177" t="str">
        <f>"1552380209787496"</f>
        <v>1552380209787496</v>
      </c>
      <c r="C3177" t="s">
        <v>40</v>
      </c>
      <c r="D3177">
        <v>4.999244</v>
      </c>
      <c r="E3177">
        <v>0.4968456</v>
      </c>
      <c r="F3177" t="s">
        <v>49</v>
      </c>
      <c r="G3177">
        <v>-198.0086</v>
      </c>
      <c r="H3177" s="1">
        <v>-1.306668E-5</v>
      </c>
      <c r="I3177">
        <v>152.70910000000001</v>
      </c>
      <c r="J3177">
        <v>-192.00620000000001</v>
      </c>
      <c r="K3177">
        <v>1.1069119999999999</v>
      </c>
      <c r="L3177">
        <v>159.7312</v>
      </c>
      <c r="M3177">
        <v>-0.20249929999999999</v>
      </c>
      <c r="N3177">
        <v>0</v>
      </c>
      <c r="O3177">
        <v>-0.97919080000000003</v>
      </c>
      <c r="P3177">
        <v>-0.67670529999999995</v>
      </c>
      <c r="Q3177">
        <v>0.1062321</v>
      </c>
      <c r="R3177">
        <v>-0.72854980000000003</v>
      </c>
      <c r="S3177">
        <v>-1.962143</v>
      </c>
      <c r="T3177">
        <v>-0.35902119999999998</v>
      </c>
      <c r="U3177">
        <v>-2.3470309999999999</v>
      </c>
      <c r="V3177">
        <v>0.51607999999999998</v>
      </c>
      <c r="W3177">
        <v>0.1134223</v>
      </c>
      <c r="X3177">
        <v>0.84899760000000002</v>
      </c>
      <c r="Y3177">
        <v>0.46807280000000001</v>
      </c>
      <c r="Z3177">
        <v>0.1200538</v>
      </c>
      <c r="AA3177">
        <v>0.87549690000000002</v>
      </c>
      <c r="AB3177">
        <v>28</v>
      </c>
      <c r="AC3177">
        <v>-6.00239999999999</v>
      </c>
      <c r="AD3177">
        <v>-1.1069250666799999</v>
      </c>
      <c r="AE3177">
        <v>-7.0220999999999902</v>
      </c>
      <c r="AF3177">
        <v>4.3928521976425596</v>
      </c>
      <c r="AG3177">
        <v>-1.1069250666799999</v>
      </c>
      <c r="AH3177">
        <v>7.9776414068202497</v>
      </c>
      <c r="AI3177">
        <v>96.930012280400106</v>
      </c>
      <c r="AJ3177">
        <v>61.1608198359623</v>
      </c>
      <c r="AK3177">
        <v>9.1741591412723302</v>
      </c>
      <c r="AL3177">
        <v>83.487366269619699</v>
      </c>
      <c r="AM3177">
        <v>58.705845570769803</v>
      </c>
      <c r="AN3177">
        <v>1.00000005467152</v>
      </c>
    </row>
    <row r="3178" spans="1:40" x14ac:dyDescent="0.25">
      <c r="A3178" t="str">
        <f>"20190312164329825"</f>
        <v>20190312164329825</v>
      </c>
      <c r="B3178" t="str">
        <f>"1552380209817754"</f>
        <v>1552380209817754</v>
      </c>
      <c r="C3178" t="s">
        <v>40</v>
      </c>
      <c r="D3178">
        <v>5.1782440000000003</v>
      </c>
      <c r="E3178">
        <v>0.4965675</v>
      </c>
      <c r="F3178" t="s">
        <v>49</v>
      </c>
      <c r="G3178">
        <v>-198.10339999999999</v>
      </c>
      <c r="H3178" s="1">
        <v>-1.303895E-5</v>
      </c>
      <c r="I3178">
        <v>152.56549999999999</v>
      </c>
      <c r="J3178">
        <v>-192.10290000000001</v>
      </c>
      <c r="K3178">
        <v>1.106911</v>
      </c>
      <c r="L3178">
        <v>159.30240000000001</v>
      </c>
      <c r="M3178">
        <v>-0.20911640000000001</v>
      </c>
      <c r="N3178">
        <v>0</v>
      </c>
      <c r="O3178">
        <v>-0.97779919999999998</v>
      </c>
      <c r="P3178">
        <v>-0.68514569999999997</v>
      </c>
      <c r="Q3178">
        <v>0.1057864</v>
      </c>
      <c r="R3178">
        <v>-0.72068359999999998</v>
      </c>
      <c r="S3178">
        <v>-1.981949</v>
      </c>
      <c r="T3178">
        <v>-0.3598133</v>
      </c>
      <c r="U3178">
        <v>-2.329285</v>
      </c>
      <c r="V3178">
        <v>0.52021030000000001</v>
      </c>
      <c r="W3178">
        <v>0.1129058</v>
      </c>
      <c r="X3178">
        <v>0.84654209999999996</v>
      </c>
      <c r="Y3178">
        <v>0.46969050000000001</v>
      </c>
      <c r="Z3178">
        <v>0.1204018</v>
      </c>
      <c r="AA3178">
        <v>0.87458239999999998</v>
      </c>
      <c r="AB3178">
        <v>28</v>
      </c>
      <c r="AC3178">
        <v>-6.0004999999999802</v>
      </c>
      <c r="AD3178">
        <v>-1.1069240389499999</v>
      </c>
      <c r="AE3178">
        <v>-6.7369000000000101</v>
      </c>
      <c r="AF3178">
        <v>4.3927580076937298</v>
      </c>
      <c r="AG3178">
        <v>-1.1069240389499999</v>
      </c>
      <c r="AH3178">
        <v>7.7265246784975901</v>
      </c>
      <c r="AI3178">
        <v>97.0991899125206</v>
      </c>
      <c r="AJ3178">
        <v>60.380487897394701</v>
      </c>
      <c r="AK3178">
        <v>8.9566057940268298</v>
      </c>
      <c r="AL3178">
        <v>83.5171505189725</v>
      </c>
      <c r="AM3178">
        <v>58.428774893150702</v>
      </c>
      <c r="AN3178">
        <v>1.0000000014860699</v>
      </c>
    </row>
    <row r="3179" spans="1:40" x14ac:dyDescent="0.25">
      <c r="A3179" t="str">
        <f>"20190312164329848"</f>
        <v>20190312164329848</v>
      </c>
      <c r="B3179" t="str">
        <f>"1552380209838248"</f>
        <v>1552380209838248</v>
      </c>
      <c r="C3179" t="s">
        <v>40</v>
      </c>
      <c r="D3179">
        <v>4.8969449999999997</v>
      </c>
      <c r="E3179">
        <v>0.49635849999999998</v>
      </c>
      <c r="F3179" t="s">
        <v>49</v>
      </c>
      <c r="G3179">
        <v>-198.33770000000001</v>
      </c>
      <c r="H3179" s="1">
        <v>-1.295381E-5</v>
      </c>
      <c r="I3179">
        <v>152.14449999999999</v>
      </c>
      <c r="J3179">
        <v>-192.16849999999999</v>
      </c>
      <c r="K3179">
        <v>1.1069119999999999</v>
      </c>
      <c r="L3179">
        <v>159.01910000000001</v>
      </c>
      <c r="M3179">
        <v>-0.2134993</v>
      </c>
      <c r="N3179">
        <v>0</v>
      </c>
      <c r="O3179">
        <v>-0.97685140000000004</v>
      </c>
      <c r="P3179">
        <v>-0.69071169999999904</v>
      </c>
      <c r="Q3179">
        <v>0.1053959</v>
      </c>
      <c r="R3179">
        <v>-0.7154083</v>
      </c>
      <c r="S3179">
        <v>-2.0084080000000002</v>
      </c>
      <c r="T3179">
        <v>-0.35657050000000001</v>
      </c>
      <c r="U3179">
        <v>-2.3057400000000001</v>
      </c>
      <c r="V3179">
        <v>0.52296279999999995</v>
      </c>
      <c r="W3179">
        <v>0.1124642</v>
      </c>
      <c r="X3179">
        <v>0.84490330000000002</v>
      </c>
      <c r="Y3179">
        <v>0.4759331</v>
      </c>
      <c r="Z3179">
        <v>0.119464899999999</v>
      </c>
      <c r="AA3179">
        <v>0.87132989999999999</v>
      </c>
      <c r="AB3179">
        <v>28</v>
      </c>
      <c r="AC3179">
        <v>-6.1692000000000098</v>
      </c>
      <c r="AD3179">
        <v>-1.1069249538099999</v>
      </c>
      <c r="AE3179">
        <v>-6.8746000000000098</v>
      </c>
      <c r="AF3179">
        <v>4.4945315855561603</v>
      </c>
      <c r="AG3179">
        <v>-1.1069249538099999</v>
      </c>
      <c r="AH3179">
        <v>7.9195688277949801</v>
      </c>
      <c r="AI3179">
        <v>96.930819626236598</v>
      </c>
      <c r="AJ3179">
        <v>60.4241248753451</v>
      </c>
      <c r="AK3179">
        <v>9.1730947583196407</v>
      </c>
      <c r="AL3179">
        <v>83.542614099661407</v>
      </c>
      <c r="AM3179">
        <v>58.244078155242804</v>
      </c>
      <c r="AN3179">
        <v>0.99999993640818297</v>
      </c>
    </row>
    <row r="3180" spans="1:40" x14ac:dyDescent="0.25">
      <c r="A3180" t="str">
        <f>"20190312164329870"</f>
        <v>20190312164329870</v>
      </c>
      <c r="B3180" t="str">
        <f>"1552380209857768"</f>
        <v>1552380209857768</v>
      </c>
      <c r="C3180" t="s">
        <v>40</v>
      </c>
      <c r="D3180">
        <v>5.1053499999999996</v>
      </c>
      <c r="E3180">
        <v>0.49613970000000002</v>
      </c>
      <c r="F3180" t="s">
        <v>49</v>
      </c>
      <c r="G3180">
        <v>-198.46360000000001</v>
      </c>
      <c r="H3180" s="1">
        <v>-1.29032199999999E-5</v>
      </c>
      <c r="I3180">
        <v>151.8991</v>
      </c>
      <c r="J3180">
        <v>-192.23320000000001</v>
      </c>
      <c r="K3180">
        <v>1.106905</v>
      </c>
      <c r="L3180">
        <v>158.74529999999999</v>
      </c>
      <c r="M3180">
        <v>-0.21774979999999999</v>
      </c>
      <c r="N3180">
        <v>0</v>
      </c>
      <c r="O3180">
        <v>-0.97591300000000003</v>
      </c>
      <c r="P3180">
        <v>-0.69637479999999996</v>
      </c>
      <c r="Q3180">
        <v>0.10497919999999999</v>
      </c>
      <c r="R3180">
        <v>-0.70995889999999995</v>
      </c>
      <c r="S3180">
        <v>-2.0251920000000001</v>
      </c>
      <c r="T3180">
        <v>-0.3561049</v>
      </c>
      <c r="U3180">
        <v>-2.2905579999999999</v>
      </c>
      <c r="V3180">
        <v>0.52598469999999997</v>
      </c>
      <c r="W3180">
        <v>0.111988</v>
      </c>
      <c r="X3180">
        <v>0.84308879999999997</v>
      </c>
      <c r="Y3180">
        <v>0.47856739999999998</v>
      </c>
      <c r="Z3180">
        <v>0.1193818</v>
      </c>
      <c r="AA3180">
        <v>0.86989729999999998</v>
      </c>
      <c r="AB3180">
        <v>28</v>
      </c>
      <c r="AC3180">
        <v>-6.2304000000000004</v>
      </c>
      <c r="AD3180">
        <v>-1.1069179032200001</v>
      </c>
      <c r="AE3180">
        <v>-6.8461999999999801</v>
      </c>
      <c r="AF3180">
        <v>4.5252727444285403</v>
      </c>
      <c r="AG3180">
        <v>-1.1069179032200001</v>
      </c>
      <c r="AH3180">
        <v>7.9253572107544104</v>
      </c>
      <c r="AI3180">
        <v>96.915555211566598</v>
      </c>
      <c r="AJ3180">
        <v>60.274212183241197</v>
      </c>
      <c r="AK3180">
        <v>9.1931848438935297</v>
      </c>
      <c r="AL3180">
        <v>83.5700720322004</v>
      </c>
      <c r="AM3180">
        <v>58.040861018261197</v>
      </c>
      <c r="AN3180">
        <v>0.99999997073176405</v>
      </c>
    </row>
    <row r="3181" spans="1:40" x14ac:dyDescent="0.25">
      <c r="A3181" t="str">
        <f>"20190312164329891"</f>
        <v>20190312164329891</v>
      </c>
      <c r="B3181" t="str">
        <f>"1552380209888025"</f>
        <v>1552380209888025</v>
      </c>
      <c r="C3181" t="s">
        <v>40</v>
      </c>
      <c r="D3181">
        <v>5.0891840000000004</v>
      </c>
      <c r="E3181">
        <v>0.51067099999999999</v>
      </c>
      <c r="F3181" t="s">
        <v>49</v>
      </c>
      <c r="G3181">
        <v>-198.5986</v>
      </c>
      <c r="H3181" s="1">
        <v>-1.285324E-5</v>
      </c>
      <c r="I3181">
        <v>151.65289999999999</v>
      </c>
      <c r="J3181">
        <v>-192.2938</v>
      </c>
      <c r="K3181">
        <v>1.1068910000000001</v>
      </c>
      <c r="L3181">
        <v>158.49350000000001</v>
      </c>
      <c r="M3181">
        <v>-0.22168180000000001</v>
      </c>
      <c r="N3181">
        <v>0</v>
      </c>
      <c r="O3181">
        <v>-0.97502750000000005</v>
      </c>
      <c r="P3181">
        <v>-0.70179939999999996</v>
      </c>
      <c r="Q3181">
        <v>0.1045233</v>
      </c>
      <c r="R3181">
        <v>-0.7046654</v>
      </c>
      <c r="S3181">
        <v>-2.0419770000000002</v>
      </c>
      <c r="T3181">
        <v>-0.35509259999999998</v>
      </c>
      <c r="U3181">
        <v>-2.2751920000000001</v>
      </c>
      <c r="V3181">
        <v>0.52903809999999996</v>
      </c>
      <c r="W3181">
        <v>0.11146540000000001</v>
      </c>
      <c r="X3181">
        <v>0.84124560000000004</v>
      </c>
      <c r="Y3181">
        <v>0.48152980000000001</v>
      </c>
      <c r="Z3181">
        <v>0.1191197</v>
      </c>
      <c r="AA3181">
        <v>0.86829690000000004</v>
      </c>
      <c r="AB3181">
        <v>28</v>
      </c>
      <c r="AC3181">
        <v>-6.3048000000000002</v>
      </c>
      <c r="AD3181">
        <v>-1.10690385324</v>
      </c>
      <c r="AE3181">
        <v>-6.8406000000000198</v>
      </c>
      <c r="AF3181">
        <v>4.5666783896535197</v>
      </c>
      <c r="AG3181">
        <v>-1.10690385324</v>
      </c>
      <c r="AH3181">
        <v>7.9555239053660198</v>
      </c>
      <c r="AI3181">
        <v>96.880561165111004</v>
      </c>
      <c r="AJ3181">
        <v>60.143051104947702</v>
      </c>
      <c r="AK3181">
        <v>9.2395967587171395</v>
      </c>
      <c r="AL3181">
        <v>83.600203669455297</v>
      </c>
      <c r="AM3181">
        <v>57.835250180661397</v>
      </c>
      <c r="AN3181">
        <v>1.0000000030840599</v>
      </c>
    </row>
    <row r="3182" spans="1:40" x14ac:dyDescent="0.25">
      <c r="A3182" t="str">
        <f>"20190312164329918"</f>
        <v>20190312164329918</v>
      </c>
      <c r="B3182" t="str">
        <f>"1552380209907545"</f>
        <v>1552380209907545</v>
      </c>
      <c r="C3182" t="s">
        <v>40</v>
      </c>
      <c r="D3182">
        <v>4.6978260000000001</v>
      </c>
      <c r="E3182">
        <v>0.53696690000000002</v>
      </c>
      <c r="F3182" t="s">
        <v>49</v>
      </c>
      <c r="G3182">
        <v>-198.87790000000001</v>
      </c>
      <c r="H3182" s="1">
        <v>-1.29145E-5</v>
      </c>
      <c r="I3182">
        <v>151.7979</v>
      </c>
      <c r="J3182">
        <v>-192.3758</v>
      </c>
      <c r="K3182">
        <v>1.106865</v>
      </c>
      <c r="L3182">
        <v>158.15969999999999</v>
      </c>
      <c r="M3182">
        <v>-0.22694700000000001</v>
      </c>
      <c r="N3182">
        <v>0</v>
      </c>
      <c r="O3182">
        <v>-0.97381530000000005</v>
      </c>
      <c r="P3182">
        <v>-0.70827459999999998</v>
      </c>
      <c r="Q3182">
        <v>0.10385809999999999</v>
      </c>
      <c r="R3182">
        <v>-0.69825579999999998</v>
      </c>
      <c r="S3182">
        <v>-2.1415860000000002</v>
      </c>
      <c r="T3182">
        <v>-0.36004029999999998</v>
      </c>
      <c r="U3182">
        <v>-2.1778719999999998</v>
      </c>
      <c r="V3182">
        <v>0.53223999999999905</v>
      </c>
      <c r="W3182">
        <v>0.1107076</v>
      </c>
      <c r="X3182">
        <v>0.83932379999999995</v>
      </c>
      <c r="Y3182">
        <v>0.51578950000000001</v>
      </c>
      <c r="Z3182">
        <v>0.12145010000000001</v>
      </c>
      <c r="AA3182">
        <v>0.84806309999999996</v>
      </c>
      <c r="AB3182">
        <v>28</v>
      </c>
      <c r="AC3182">
        <v>-6.5021000000000102</v>
      </c>
      <c r="AD3182">
        <v>-1.1068779145000001</v>
      </c>
      <c r="AE3182">
        <v>-6.3617999999999801</v>
      </c>
      <c r="AF3182">
        <v>4.8171680149418101</v>
      </c>
      <c r="AG3182">
        <v>-1.1068779145000001</v>
      </c>
      <c r="AH3182">
        <v>7.5596099830735399</v>
      </c>
      <c r="AI3182">
        <v>97.039291775368099</v>
      </c>
      <c r="AJ3182">
        <v>57.493718067119197</v>
      </c>
      <c r="AK3182">
        <v>9.0320534485781003</v>
      </c>
      <c r="AL3182">
        <v>83.643892896532705</v>
      </c>
      <c r="AM3182">
        <v>57.620009597942001</v>
      </c>
      <c r="AN3182">
        <v>1.0000000157720901</v>
      </c>
    </row>
    <row r="3183" spans="1:40" x14ac:dyDescent="0.25">
      <c r="A3183" t="str">
        <f>"20190312164329936"</f>
        <v>20190312164329936</v>
      </c>
      <c r="B3183" t="str">
        <f>"1552380209928040"</f>
        <v>1552380209928040</v>
      </c>
      <c r="C3183" t="s">
        <v>40</v>
      </c>
      <c r="D3183">
        <v>4.682512</v>
      </c>
      <c r="E3183">
        <v>0.53996489999999997</v>
      </c>
      <c r="F3183" t="s">
        <v>49</v>
      </c>
      <c r="G3183">
        <v>-199.9348</v>
      </c>
      <c r="H3183" s="1">
        <v>-1.296177E-5</v>
      </c>
      <c r="I3183">
        <v>151.61320000000001</v>
      </c>
      <c r="J3183">
        <v>-192.43270000000001</v>
      </c>
      <c r="K3183">
        <v>1.1068260000000001</v>
      </c>
      <c r="L3183">
        <v>157.93299999999999</v>
      </c>
      <c r="M3183">
        <v>-0.23057620000000001</v>
      </c>
      <c r="N3183">
        <v>0</v>
      </c>
      <c r="O3183">
        <v>-0.97296260000000001</v>
      </c>
      <c r="P3183">
        <v>-0.71342519999999998</v>
      </c>
      <c r="Q3183">
        <v>0.1039158</v>
      </c>
      <c r="R3183">
        <v>-0.69298349999999997</v>
      </c>
      <c r="S3183">
        <v>-2.3116150000000002</v>
      </c>
      <c r="T3183">
        <v>-0.33849420000000002</v>
      </c>
      <c r="U3183">
        <v>-2.0019990000000001</v>
      </c>
      <c r="V3183">
        <v>0.53533759999999997</v>
      </c>
      <c r="W3183">
        <v>0.1106721</v>
      </c>
      <c r="X3183">
        <v>0.83735619999999999</v>
      </c>
      <c r="Y3183">
        <v>0.57952680000000001</v>
      </c>
      <c r="Z3183">
        <v>0.11521339999999999</v>
      </c>
      <c r="AA3183">
        <v>0.80676800000000004</v>
      </c>
      <c r="AB3183">
        <v>28</v>
      </c>
      <c r="AC3183">
        <v>-7.50209999999998</v>
      </c>
      <c r="AD3183">
        <v>-1.1068389617700001</v>
      </c>
      <c r="AE3183">
        <v>-6.3197999999999803</v>
      </c>
      <c r="AF3183">
        <v>5.7691356696074196</v>
      </c>
      <c r="AG3183">
        <v>-1.1068389617700001</v>
      </c>
      <c r="AH3183">
        <v>7.7803776828671296</v>
      </c>
      <c r="AI3183">
        <v>96.519076241200693</v>
      </c>
      <c r="AJ3183">
        <v>53.443133521929198</v>
      </c>
      <c r="AK3183">
        <v>9.7489638295403296</v>
      </c>
      <c r="AL3183">
        <v>83.645939580799094</v>
      </c>
      <c r="AM3183">
        <v>57.408452220994199</v>
      </c>
      <c r="AN3183">
        <v>1.0000000326853</v>
      </c>
    </row>
    <row r="3184" spans="1:40" x14ac:dyDescent="0.25">
      <c r="A3184" t="str">
        <f>"20190312164329959"</f>
        <v>20190312164329959</v>
      </c>
      <c r="B3184" t="str">
        <f>"1552380209947564"</f>
        <v>1552380209947564</v>
      </c>
      <c r="C3184" t="s">
        <v>40</v>
      </c>
      <c r="D3184">
        <v>4.6534959999999996</v>
      </c>
      <c r="E3184">
        <v>0.54006160000000003</v>
      </c>
      <c r="F3184" t="s">
        <v>49</v>
      </c>
      <c r="G3184">
        <v>-200.24610000000001</v>
      </c>
      <c r="H3184" s="1">
        <v>-1.276405E-5</v>
      </c>
      <c r="I3184">
        <v>151.3776</v>
      </c>
      <c r="J3184">
        <v>-192.50190000000001</v>
      </c>
      <c r="K3184">
        <v>1.1067739999999999</v>
      </c>
      <c r="L3184">
        <v>157.66220000000001</v>
      </c>
      <c r="M3184">
        <v>-0.2349774</v>
      </c>
      <c r="N3184">
        <v>0</v>
      </c>
      <c r="O3184">
        <v>-0.97190889999999996</v>
      </c>
      <c r="P3184">
        <v>-0.71869439999999996</v>
      </c>
      <c r="Q3184">
        <v>0.104312</v>
      </c>
      <c r="R3184">
        <v>-0.68745690000000004</v>
      </c>
      <c r="S3184">
        <v>-2.3435359999999998</v>
      </c>
      <c r="T3184">
        <v>-0.33198610000000001</v>
      </c>
      <c r="U3184">
        <v>-1.9662170000000001</v>
      </c>
      <c r="V3184">
        <v>0.53797229999999996</v>
      </c>
      <c r="W3184">
        <v>0.1109588</v>
      </c>
      <c r="X3184">
        <v>0.83562789999999998</v>
      </c>
      <c r="Y3184">
        <v>0.58864510000000003</v>
      </c>
      <c r="Z3184">
        <v>0.1131807</v>
      </c>
      <c r="AA3184">
        <v>0.80042930000000001</v>
      </c>
      <c r="AB3184">
        <v>28</v>
      </c>
      <c r="AC3184">
        <v>-7.7442000000000002</v>
      </c>
      <c r="AD3184">
        <v>-1.10678676405</v>
      </c>
      <c r="AE3184">
        <v>-6.28460000000001</v>
      </c>
      <c r="AF3184">
        <v>5.9768525647109003</v>
      </c>
      <c r="AG3184">
        <v>-1.10678676405</v>
      </c>
      <c r="AH3184">
        <v>7.8320262972718204</v>
      </c>
      <c r="AI3184">
        <v>96.409759895533497</v>
      </c>
      <c r="AJ3184">
        <v>52.651668670237903</v>
      </c>
      <c r="AK3184">
        <v>9.9140495985507808</v>
      </c>
      <c r="AL3184">
        <v>83.629410995147197</v>
      </c>
      <c r="AM3184">
        <v>57.226804917470801</v>
      </c>
      <c r="AN3184">
        <v>1.0000000190615701</v>
      </c>
    </row>
    <row r="3185" spans="1:40" x14ac:dyDescent="0.25">
      <c r="A3185" t="str">
        <f>"20190312164329980"</f>
        <v>20190312164329980</v>
      </c>
      <c r="B3185" t="str">
        <f>"1552380209968056"</f>
        <v>1552380209968056</v>
      </c>
      <c r="C3185" t="s">
        <v>40</v>
      </c>
      <c r="D3185">
        <v>4.6804290000000002</v>
      </c>
      <c r="E3185">
        <v>0.53950940000000003</v>
      </c>
      <c r="F3185" t="s">
        <v>49</v>
      </c>
      <c r="G3185">
        <v>-200.54859999999999</v>
      </c>
      <c r="H3185" s="1">
        <v>-1.2527220000000001E-5</v>
      </c>
      <c r="I3185">
        <v>151.0223</v>
      </c>
      <c r="J3185">
        <v>-192.56979999999999</v>
      </c>
      <c r="K3185">
        <v>1.106717</v>
      </c>
      <c r="L3185">
        <v>157.4014</v>
      </c>
      <c r="M3185">
        <v>-0.2393054</v>
      </c>
      <c r="N3185">
        <v>0</v>
      </c>
      <c r="O3185">
        <v>-0.97085259999999995</v>
      </c>
      <c r="P3185">
        <v>-0.72369949999999905</v>
      </c>
      <c r="Q3185">
        <v>0.1048099</v>
      </c>
      <c r="R3185">
        <v>-0.68211040000000001</v>
      </c>
      <c r="S3185">
        <v>-2.3592070000000001</v>
      </c>
      <c r="T3185">
        <v>-0.32449899999999998</v>
      </c>
      <c r="U3185">
        <v>-1.9467319999999999</v>
      </c>
      <c r="V3185">
        <v>0.54039669999999995</v>
      </c>
      <c r="W3185">
        <v>0.11133079999999999</v>
      </c>
      <c r="X3185">
        <v>0.83401239999999999</v>
      </c>
      <c r="Y3185">
        <v>0.59180749999999904</v>
      </c>
      <c r="Z3185">
        <v>0.1107631</v>
      </c>
      <c r="AA3185">
        <v>0.79843310000000001</v>
      </c>
      <c r="AB3185">
        <v>28</v>
      </c>
      <c r="AC3185">
        <v>-7.9787999999999997</v>
      </c>
      <c r="AD3185">
        <v>-1.10672952722</v>
      </c>
      <c r="AE3185">
        <v>-6.3790999999999896</v>
      </c>
      <c r="AF3185">
        <v>6.1480770990885398</v>
      </c>
      <c r="AG3185">
        <v>-1.10672952722</v>
      </c>
      <c r="AH3185">
        <v>8.0092495484456396</v>
      </c>
      <c r="AI3185">
        <v>96.255279967318401</v>
      </c>
      <c r="AJ3185">
        <v>52.489358400800299</v>
      </c>
      <c r="AK3185">
        <v>10.157351061769701</v>
      </c>
      <c r="AL3185">
        <v>83.607963397190105</v>
      </c>
      <c r="AM3185">
        <v>57.058859262560397</v>
      </c>
      <c r="AN3185">
        <v>0.99999991187664095</v>
      </c>
    </row>
    <row r="3186" spans="1:40" x14ac:dyDescent="0.25">
      <c r="A3186" t="str">
        <f>"20190312164330004"</f>
        <v>20190312164330004</v>
      </c>
      <c r="B3186" t="str">
        <f>"1552380209998313"</f>
        <v>1552380209998313</v>
      </c>
      <c r="C3186" t="s">
        <v>40</v>
      </c>
      <c r="D3186">
        <v>4.6213550000000003</v>
      </c>
      <c r="E3186">
        <v>0.5385084</v>
      </c>
      <c r="F3186" t="s">
        <v>49</v>
      </c>
      <c r="G3186">
        <v>-200.68690000000001</v>
      </c>
      <c r="H3186" s="1">
        <v>-1.2399699999999999E-5</v>
      </c>
      <c r="I3186">
        <v>150.7835</v>
      </c>
      <c r="J3186">
        <v>-192.64439999999999</v>
      </c>
      <c r="K3186">
        <v>1.106636</v>
      </c>
      <c r="L3186">
        <v>157.12110000000001</v>
      </c>
      <c r="M3186">
        <v>-0.24408099999999999</v>
      </c>
      <c r="N3186">
        <v>0</v>
      </c>
      <c r="O3186">
        <v>-0.96966280000000005</v>
      </c>
      <c r="P3186">
        <v>-0.7291031</v>
      </c>
      <c r="Q3186">
        <v>0.10468479999999999</v>
      </c>
      <c r="R3186">
        <v>-0.67635040000000002</v>
      </c>
      <c r="S3186">
        <v>-2.370514</v>
      </c>
      <c r="T3186">
        <v>-0.3232083</v>
      </c>
      <c r="U3186">
        <v>-1.932709</v>
      </c>
      <c r="V3186">
        <v>0.54294430000000005</v>
      </c>
      <c r="W3186">
        <v>0.1110517</v>
      </c>
      <c r="X3186">
        <v>0.83239359999999996</v>
      </c>
      <c r="Y3186">
        <v>0.59258900000000003</v>
      </c>
      <c r="Z3186">
        <v>0.11038729999999999</v>
      </c>
      <c r="AA3186">
        <v>0.79790530000000004</v>
      </c>
      <c r="AB3186">
        <v>28</v>
      </c>
      <c r="AC3186">
        <v>-8.0425000000000093</v>
      </c>
      <c r="AD3186">
        <v>-1.1066483997000001</v>
      </c>
      <c r="AE3186">
        <v>-6.3376000000000001</v>
      </c>
      <c r="AF3186">
        <v>6.1799976290788603</v>
      </c>
      <c r="AG3186">
        <v>-1.1066483997000001</v>
      </c>
      <c r="AH3186">
        <v>8.0154553030433693</v>
      </c>
      <c r="AI3186">
        <v>96.239876098957893</v>
      </c>
      <c r="AJ3186">
        <v>52.367410977193302</v>
      </c>
      <c r="AK3186">
        <v>10.181579695266599</v>
      </c>
      <c r="AL3186">
        <v>83.624055309666304</v>
      </c>
      <c r="AM3186">
        <v>56.884847519562697</v>
      </c>
      <c r="AN3186">
        <v>1.00000004914816</v>
      </c>
    </row>
    <row r="3187" spans="1:40" x14ac:dyDescent="0.25">
      <c r="A3187" t="str">
        <f>"20190312164330026"</f>
        <v>20190312164330026</v>
      </c>
      <c r="B3187" t="str">
        <f>"1552380210017833"</f>
        <v>1552380210017833</v>
      </c>
      <c r="C3187" t="s">
        <v>40</v>
      </c>
      <c r="D3187">
        <v>4.6686050000000003</v>
      </c>
      <c r="E3187">
        <v>0.53836660000000003</v>
      </c>
      <c r="F3187" t="s">
        <v>49</v>
      </c>
      <c r="G3187">
        <v>-200.86080000000001</v>
      </c>
      <c r="H3187" s="1">
        <v>-1.224436E-5</v>
      </c>
      <c r="I3187">
        <v>150.49930000000001</v>
      </c>
      <c r="J3187">
        <v>-192.72110000000001</v>
      </c>
      <c r="K3187">
        <v>1.1065419999999999</v>
      </c>
      <c r="L3187">
        <v>156.83920000000001</v>
      </c>
      <c r="M3187">
        <v>-0.2490184</v>
      </c>
      <c r="N3187">
        <v>0</v>
      </c>
      <c r="O3187">
        <v>-0.96840689999999996</v>
      </c>
      <c r="P3187">
        <v>-0.73391059999999997</v>
      </c>
      <c r="Q3187">
        <v>0.10481939999999999</v>
      </c>
      <c r="R3187">
        <v>-0.67110990000000004</v>
      </c>
      <c r="S3187">
        <v>-2.3807680000000002</v>
      </c>
      <c r="T3187">
        <v>-0.32066209999999901</v>
      </c>
      <c r="U3187">
        <v>-1.918747</v>
      </c>
      <c r="V3187">
        <v>0.54467480000000001</v>
      </c>
      <c r="W3187">
        <v>0.1110346</v>
      </c>
      <c r="X3187">
        <v>0.83126460000000002</v>
      </c>
      <c r="Y3187">
        <v>0.59308209999999995</v>
      </c>
      <c r="Z3187">
        <v>0.1096041</v>
      </c>
      <c r="AA3187">
        <v>0.79764690000000005</v>
      </c>
      <c r="AB3187">
        <v>28</v>
      </c>
      <c r="AC3187">
        <v>-8.1396999999999995</v>
      </c>
      <c r="AD3187">
        <v>-1.1065542443599901</v>
      </c>
      <c r="AE3187">
        <v>-6.3399000000000001</v>
      </c>
      <c r="AF3187">
        <v>6.2326577002562598</v>
      </c>
      <c r="AG3187">
        <v>-1.1065542443599901</v>
      </c>
      <c r="AH3187">
        <v>8.0743864705648907</v>
      </c>
      <c r="AI3187">
        <v>96.191507964905995</v>
      </c>
      <c r="AJ3187">
        <v>52.335277136160997</v>
      </c>
      <c r="AK3187">
        <v>10.259931831172899</v>
      </c>
      <c r="AL3187">
        <v>83.625041347041702</v>
      </c>
      <c r="AM3187">
        <v>56.765725084546602</v>
      </c>
      <c r="AN3187">
        <v>1.0000000776826701</v>
      </c>
    </row>
    <row r="3188" spans="1:40" x14ac:dyDescent="0.25">
      <c r="A3188" t="str">
        <f>"20190312164330051"</f>
        <v>20190312164330051</v>
      </c>
      <c r="B3188" t="str">
        <f>"1552380210048088"</f>
        <v>1552380210048088</v>
      </c>
      <c r="C3188" t="s">
        <v>40</v>
      </c>
      <c r="D3188">
        <v>4.6574519999999904</v>
      </c>
      <c r="E3188">
        <v>0.53802469999999902</v>
      </c>
      <c r="F3188" t="s">
        <v>49</v>
      </c>
      <c r="G3188">
        <v>-201.26740000000001</v>
      </c>
      <c r="H3188" s="1">
        <v>-1.19729E-5</v>
      </c>
      <c r="I3188">
        <v>150.06059999999999</v>
      </c>
      <c r="J3188">
        <v>-192.80179999999999</v>
      </c>
      <c r="K3188">
        <v>1.1064510000000001</v>
      </c>
      <c r="L3188">
        <v>156.5489</v>
      </c>
      <c r="M3188">
        <v>-0.2542295</v>
      </c>
      <c r="N3188">
        <v>0</v>
      </c>
      <c r="O3188">
        <v>-0.96705189999999996</v>
      </c>
      <c r="P3188">
        <v>-0.73853119999999906</v>
      </c>
      <c r="Q3188">
        <v>0.10566109999999999</v>
      </c>
      <c r="R3188">
        <v>-0.6658887</v>
      </c>
      <c r="S3188">
        <v>-2.3949579999999999</v>
      </c>
      <c r="T3188">
        <v>-0.31009409999999998</v>
      </c>
      <c r="U3188">
        <v>-1.8996120000000001</v>
      </c>
      <c r="V3188">
        <v>0.54601069999999996</v>
      </c>
      <c r="W3188">
        <v>0.1117312</v>
      </c>
      <c r="X3188">
        <v>0.83029430000000004</v>
      </c>
      <c r="Y3188">
        <v>0.59526959999999995</v>
      </c>
      <c r="Z3188">
        <v>0.106132</v>
      </c>
      <c r="AA3188">
        <v>0.79648609999999997</v>
      </c>
      <c r="AB3188">
        <v>28</v>
      </c>
      <c r="AC3188">
        <v>-8.4656000000000198</v>
      </c>
      <c r="AD3188">
        <v>-1.1064629729</v>
      </c>
      <c r="AE3188">
        <v>-6.4882999999999997</v>
      </c>
      <c r="AF3188">
        <v>6.4681331980223504</v>
      </c>
      <c r="AG3188">
        <v>-1.1064629729</v>
      </c>
      <c r="AH3188">
        <v>8.3377525217174195</v>
      </c>
      <c r="AI3188">
        <v>95.985781727146104</v>
      </c>
      <c r="AJ3188">
        <v>52.196956517992199</v>
      </c>
      <c r="AK3188">
        <v>10.610331026464801</v>
      </c>
      <c r="AL3188">
        <v>83.584879250731504</v>
      </c>
      <c r="AM3188">
        <v>56.670638501409002</v>
      </c>
      <c r="AN3188">
        <v>1.0000000850902</v>
      </c>
    </row>
    <row r="3189" spans="1:40" x14ac:dyDescent="0.25">
      <c r="A3189" t="str">
        <f>"20190312164330094"</f>
        <v>20190312164330094</v>
      </c>
      <c r="B3189" t="str">
        <f>"1552380210088104"</f>
        <v>1552380210088104</v>
      </c>
      <c r="C3189" t="s">
        <v>40</v>
      </c>
      <c r="D3189">
        <v>4.6980199999999996</v>
      </c>
      <c r="E3189">
        <v>0.53740659999999996</v>
      </c>
      <c r="F3189" t="s">
        <v>49</v>
      </c>
      <c r="G3189">
        <v>-201.70670000000001</v>
      </c>
      <c r="H3189" s="1">
        <v>-1.167518E-5</v>
      </c>
      <c r="I3189">
        <v>149.5806</v>
      </c>
      <c r="J3189">
        <v>-192.9563</v>
      </c>
      <c r="K3189">
        <v>1.106276</v>
      </c>
      <c r="L3189">
        <v>156.01079999999999</v>
      </c>
      <c r="M3189">
        <v>-0.26428859999999998</v>
      </c>
      <c r="N3189">
        <v>0</v>
      </c>
      <c r="O3189">
        <v>-0.96435130000000002</v>
      </c>
      <c r="P3189">
        <v>-0.74771960000000004</v>
      </c>
      <c r="Q3189">
        <v>0.10703029999999999</v>
      </c>
      <c r="R3189">
        <v>-0.65533209999999997</v>
      </c>
      <c r="S3189">
        <v>-2.406784</v>
      </c>
      <c r="T3189">
        <v>-0.2990526</v>
      </c>
      <c r="U3189">
        <v>-1.883362</v>
      </c>
      <c r="V3189">
        <v>0.54903040000000003</v>
      </c>
      <c r="W3189">
        <v>0.112803</v>
      </c>
      <c r="X3189">
        <v>0.82815530000000004</v>
      </c>
      <c r="Y3189">
        <v>0.59246409999999905</v>
      </c>
      <c r="Z3189">
        <v>0.10242420000000001</v>
      </c>
      <c r="AA3189">
        <v>0.79905919999999997</v>
      </c>
      <c r="AB3189">
        <v>28</v>
      </c>
      <c r="AC3189">
        <v>-8.7504000000000097</v>
      </c>
      <c r="AD3189">
        <v>-1.1062876751799999</v>
      </c>
      <c r="AE3189">
        <v>-6.4301999999999797</v>
      </c>
      <c r="AF3189">
        <v>6.6703985168335</v>
      </c>
      <c r="AG3189">
        <v>-1.1062876751799999</v>
      </c>
      <c r="AH3189">
        <v>8.4268973215448799</v>
      </c>
      <c r="AI3189">
        <v>95.877058572186201</v>
      </c>
      <c r="AJ3189">
        <v>51.636256396739398</v>
      </c>
      <c r="AK3189">
        <v>10.804197668567999</v>
      </c>
      <c r="AL3189">
        <v>83.523078703701799</v>
      </c>
      <c r="AM3189">
        <v>56.457379119305998</v>
      </c>
      <c r="AN3189">
        <v>1.00000004892562</v>
      </c>
    </row>
    <row r="3190" spans="1:40" x14ac:dyDescent="0.25">
      <c r="A3190" t="str">
        <f>"20190312164330117"</f>
        <v>20190312164330117</v>
      </c>
      <c r="B3190" t="str">
        <f>"1552380210107625"</f>
        <v>1552380210107625</v>
      </c>
      <c r="C3190" t="s">
        <v>40</v>
      </c>
      <c r="D3190">
        <v>4.9970330000000001</v>
      </c>
      <c r="E3190">
        <v>0.53713759999999999</v>
      </c>
      <c r="F3190" t="s">
        <v>49</v>
      </c>
      <c r="G3190">
        <v>-202.09010000000001</v>
      </c>
      <c r="H3190" s="1">
        <v>-1.134524E-5</v>
      </c>
      <c r="I3190">
        <v>149.04300000000001</v>
      </c>
      <c r="J3190">
        <v>-193.0352</v>
      </c>
      <c r="K3190">
        <v>1.1061669999999999</v>
      </c>
      <c r="L3190">
        <v>155.74469999999999</v>
      </c>
      <c r="M3190">
        <v>-0.2694897</v>
      </c>
      <c r="N3190">
        <v>0</v>
      </c>
      <c r="O3190">
        <v>-0.96291079999999996</v>
      </c>
      <c r="P3190">
        <v>-0.75249259999999996</v>
      </c>
      <c r="Q3190">
        <v>0.1075175</v>
      </c>
      <c r="R3190">
        <v>-0.64976579999999995</v>
      </c>
      <c r="S3190">
        <v>-2.4297789999999999</v>
      </c>
      <c r="T3190">
        <v>-0.29429699999999998</v>
      </c>
      <c r="U3190">
        <v>-1.853577</v>
      </c>
      <c r="V3190">
        <v>0.5506759</v>
      </c>
      <c r="W3190">
        <v>0.1131133</v>
      </c>
      <c r="X3190">
        <v>0.82701959999999997</v>
      </c>
      <c r="Y3190">
        <v>0.59807819999999901</v>
      </c>
      <c r="Z3190">
        <v>0.1009371</v>
      </c>
      <c r="AA3190">
        <v>0.79505599999999998</v>
      </c>
      <c r="AB3190">
        <v>28</v>
      </c>
      <c r="AC3190">
        <v>-9.0548999999999999</v>
      </c>
      <c r="AD3190">
        <v>-1.10617834523999</v>
      </c>
      <c r="AE3190">
        <v>-6.7016999999999802</v>
      </c>
      <c r="AF3190">
        <v>6.8476116732204302</v>
      </c>
      <c r="AG3190">
        <v>-1.10617834523999</v>
      </c>
      <c r="AH3190">
        <v>8.8091938313989893</v>
      </c>
      <c r="AI3190">
        <v>95.6618811244943</v>
      </c>
      <c r="AJ3190">
        <v>52.141163328095601</v>
      </c>
      <c r="AK3190">
        <v>11.212283983108</v>
      </c>
      <c r="AL3190">
        <v>83.505184931358698</v>
      </c>
      <c r="AM3190">
        <v>56.342103674155297</v>
      </c>
      <c r="AN3190">
        <v>0.99999999213092905</v>
      </c>
    </row>
    <row r="3191" spans="1:40" x14ac:dyDescent="0.25">
      <c r="A3191" t="str">
        <f>"20190312164330139"</f>
        <v>20190312164330139</v>
      </c>
      <c r="B3191" t="str">
        <f>"1552380210128120"</f>
        <v>1552380210128120</v>
      </c>
      <c r="C3191" t="s">
        <v>40</v>
      </c>
      <c r="D3191">
        <v>4.6769210000000001</v>
      </c>
      <c r="E3191">
        <v>0.53695530000000002</v>
      </c>
      <c r="F3191" t="s">
        <v>49</v>
      </c>
      <c r="G3191">
        <v>-202.26679999999999</v>
      </c>
      <c r="H3191" s="1">
        <v>-1.11942899999999E-5</v>
      </c>
      <c r="I3191">
        <v>148.79910000000001</v>
      </c>
      <c r="J3191">
        <v>-193.11609999999999</v>
      </c>
      <c r="K3191">
        <v>1.1060369999999999</v>
      </c>
      <c r="L3191">
        <v>155.47739999999999</v>
      </c>
      <c r="M3191">
        <v>-0.27488580000000001</v>
      </c>
      <c r="N3191">
        <v>0</v>
      </c>
      <c r="O3191">
        <v>-0.96138420000000002</v>
      </c>
      <c r="P3191">
        <v>-0.75792510000000002</v>
      </c>
      <c r="Q3191">
        <v>0.106897699999999</v>
      </c>
      <c r="R3191">
        <v>-0.64352349999999903</v>
      </c>
      <c r="S3191">
        <v>-2.442062</v>
      </c>
      <c r="T3191">
        <v>-0.29261949999999998</v>
      </c>
      <c r="U3191">
        <v>-1.837326</v>
      </c>
      <c r="V3191">
        <v>0.55298849999999999</v>
      </c>
      <c r="W3191">
        <v>0.112278</v>
      </c>
      <c r="X3191">
        <v>0.82558920000000002</v>
      </c>
      <c r="Y3191">
        <v>0.59893969999999996</v>
      </c>
      <c r="Z3191">
        <v>0.1004097</v>
      </c>
      <c r="AA3191">
        <v>0.79447409999999996</v>
      </c>
      <c r="AB3191">
        <v>28</v>
      </c>
      <c r="AC3191">
        <v>-9.1507000000000005</v>
      </c>
      <c r="AD3191">
        <v>-1.10604819429</v>
      </c>
      <c r="AE3191">
        <v>-6.6782999999999699</v>
      </c>
      <c r="AF3191">
        <v>6.8964491568630404</v>
      </c>
      <c r="AG3191">
        <v>-1.10604819429</v>
      </c>
      <c r="AH3191">
        <v>8.8522228855130098</v>
      </c>
      <c r="AI3191">
        <v>95.629163789789899</v>
      </c>
      <c r="AJ3191">
        <v>52.079123268692598</v>
      </c>
      <c r="AK3191">
        <v>11.275912539395099</v>
      </c>
      <c r="AL3191">
        <v>83.5533514977773</v>
      </c>
      <c r="AM3191">
        <v>56.185400219595302</v>
      </c>
      <c r="AN3191">
        <v>1.00000007878644</v>
      </c>
    </row>
    <row r="3192" spans="1:40" x14ac:dyDescent="0.25">
      <c r="A3192" t="str">
        <f>"20190312164330161"</f>
        <v>20190312164330161</v>
      </c>
      <c r="B3192" t="str">
        <f>"1552380210157401"</f>
        <v>1552380210157401</v>
      </c>
      <c r="C3192" t="s">
        <v>40</v>
      </c>
      <c r="D3192">
        <v>4.6594540000000002</v>
      </c>
      <c r="E3192">
        <v>0.53666930000000002</v>
      </c>
      <c r="F3192" t="s">
        <v>49</v>
      </c>
      <c r="G3192">
        <v>-202.3689</v>
      </c>
      <c r="H3192" s="1">
        <v>-1.1095790000000001E-5</v>
      </c>
      <c r="I3192">
        <v>148.62010000000001</v>
      </c>
      <c r="J3192">
        <v>-193.1953</v>
      </c>
      <c r="K3192">
        <v>1.105893</v>
      </c>
      <c r="L3192">
        <v>155.2216</v>
      </c>
      <c r="M3192">
        <v>-0.2802287</v>
      </c>
      <c r="N3192">
        <v>0</v>
      </c>
      <c r="O3192">
        <v>-0.95984069999999999</v>
      </c>
      <c r="P3192">
        <v>-0.76309729999999998</v>
      </c>
      <c r="Q3192">
        <v>0.1055252</v>
      </c>
      <c r="R3192">
        <v>-0.63761060000000003</v>
      </c>
      <c r="S3192">
        <v>-2.4548489999999998</v>
      </c>
      <c r="T3192">
        <v>-0.29344629999999999</v>
      </c>
      <c r="U3192">
        <v>-1.819321</v>
      </c>
      <c r="V3192">
        <v>0.55502469999999904</v>
      </c>
      <c r="W3192">
        <v>0.110682</v>
      </c>
      <c r="X3192">
        <v>0.82443739999999999</v>
      </c>
      <c r="Y3192">
        <v>0.60021020000000003</v>
      </c>
      <c r="Z3192">
        <v>0.1007559</v>
      </c>
      <c r="AA3192">
        <v>0.79347080000000003</v>
      </c>
      <c r="AB3192">
        <v>28</v>
      </c>
      <c r="AC3192">
        <v>-9.1735999999999898</v>
      </c>
      <c r="AD3192">
        <v>-1.1059040957899999</v>
      </c>
      <c r="AE3192">
        <v>-6.6014999999999802</v>
      </c>
      <c r="AF3192">
        <v>6.8899139914183198</v>
      </c>
      <c r="AG3192">
        <v>-1.1059040957899999</v>
      </c>
      <c r="AH3192">
        <v>8.8234043205944293</v>
      </c>
      <c r="AI3192">
        <v>95.641794181516701</v>
      </c>
      <c r="AJ3192">
        <v>52.014861888582701</v>
      </c>
      <c r="AK3192">
        <v>11.2492845320452</v>
      </c>
      <c r="AL3192">
        <v>83.645368475786299</v>
      </c>
      <c r="AM3192">
        <v>56.050917252572098</v>
      </c>
      <c r="AN3192">
        <v>0.99999997462642398</v>
      </c>
    </row>
    <row r="3193" spans="1:40" x14ac:dyDescent="0.25">
      <c r="A3193" t="str">
        <f>"20190312164330182"</f>
        <v>20190312164330182</v>
      </c>
      <c r="B3193" t="str">
        <f>"1552380210177897"</f>
        <v>1552380210177897</v>
      </c>
      <c r="C3193" t="s">
        <v>40</v>
      </c>
      <c r="D3193">
        <v>4.6104520000000004</v>
      </c>
      <c r="E3193">
        <v>0.53648819999999997</v>
      </c>
      <c r="F3193" t="s">
        <v>49</v>
      </c>
      <c r="G3193">
        <v>-202.33590000000001</v>
      </c>
      <c r="H3193" s="1">
        <v>-1.1087609999999999E-5</v>
      </c>
      <c r="I3193">
        <v>148.54339999999999</v>
      </c>
      <c r="J3193">
        <v>-193.2773</v>
      </c>
      <c r="K3193">
        <v>1.105742</v>
      </c>
      <c r="L3193">
        <v>154.9631</v>
      </c>
      <c r="M3193">
        <v>-0.28583170000000002</v>
      </c>
      <c r="N3193">
        <v>0</v>
      </c>
      <c r="O3193">
        <v>-0.95818680000000001</v>
      </c>
      <c r="P3193">
        <v>-0.7677368</v>
      </c>
      <c r="Q3193">
        <v>0.1036818</v>
      </c>
      <c r="R3193">
        <v>-0.63232119999999903</v>
      </c>
      <c r="S3193">
        <v>-2.466736</v>
      </c>
      <c r="T3193">
        <v>-0.2984483</v>
      </c>
      <c r="U3193">
        <v>-1.8022309999999999</v>
      </c>
      <c r="V3193">
        <v>0.55616840000000001</v>
      </c>
      <c r="W3193">
        <v>0.108616</v>
      </c>
      <c r="X3193">
        <v>0.82394129999999999</v>
      </c>
      <c r="Y3193">
        <v>0.60080889999999998</v>
      </c>
      <c r="Z3193">
        <v>0.1025118</v>
      </c>
      <c r="AA3193">
        <v>0.79279259999999996</v>
      </c>
      <c r="AB3193">
        <v>28</v>
      </c>
      <c r="AC3193">
        <v>-9.0586000000000109</v>
      </c>
      <c r="AD3193">
        <v>-1.1057530876099999</v>
      </c>
      <c r="AE3193">
        <v>-6.4196999999999997</v>
      </c>
      <c r="AF3193">
        <v>6.7782557647097503</v>
      </c>
      <c r="AG3193">
        <v>-1.1057530876099999</v>
      </c>
      <c r="AH3193">
        <v>8.6554351938112202</v>
      </c>
      <c r="AI3193">
        <v>95.743531624938001</v>
      </c>
      <c r="AJ3193">
        <v>51.934747312689296</v>
      </c>
      <c r="AK3193">
        <v>11.0491628414484</v>
      </c>
      <c r="AL3193">
        <v>83.764459786109995</v>
      </c>
      <c r="AM3193">
        <v>55.9802667580066</v>
      </c>
      <c r="AN3193">
        <v>0.99999999523012495</v>
      </c>
    </row>
    <row r="3194" spans="1:40" x14ac:dyDescent="0.25">
      <c r="A3194" t="str">
        <f>"20190312164330205"</f>
        <v>20190312164330205</v>
      </c>
      <c r="B3194" t="str">
        <f>"1552380210198393"</f>
        <v>1552380210198393</v>
      </c>
      <c r="C3194" t="s">
        <v>40</v>
      </c>
      <c r="D3194">
        <v>4.6080589999999999</v>
      </c>
      <c r="E3194">
        <v>0.53646729999999998</v>
      </c>
      <c r="F3194" t="s">
        <v>49</v>
      </c>
      <c r="G3194">
        <v>-202.37719999999999</v>
      </c>
      <c r="H3194" s="1">
        <v>-1.103173E-5</v>
      </c>
      <c r="I3194">
        <v>148.41720000000001</v>
      </c>
      <c r="J3194">
        <v>-193.36680000000001</v>
      </c>
      <c r="K3194">
        <v>1.1055699999999999</v>
      </c>
      <c r="L3194">
        <v>154.68729999999999</v>
      </c>
      <c r="M3194">
        <v>-0.2920548</v>
      </c>
      <c r="N3194">
        <v>0</v>
      </c>
      <c r="O3194">
        <v>-0.95630879999999996</v>
      </c>
      <c r="P3194">
        <v>-0.77325580000000005</v>
      </c>
      <c r="Q3194">
        <v>0.10324</v>
      </c>
      <c r="R3194">
        <v>-0.62563380000000002</v>
      </c>
      <c r="S3194">
        <v>-2.4793400000000001</v>
      </c>
      <c r="T3194">
        <v>-0.30127130000000002</v>
      </c>
      <c r="U3194">
        <v>-1.783493</v>
      </c>
      <c r="V3194">
        <v>0.55806230000000001</v>
      </c>
      <c r="W3194">
        <v>0.1079036</v>
      </c>
      <c r="X3194">
        <v>0.82275350000000003</v>
      </c>
      <c r="Y3194">
        <v>0.60139860000000001</v>
      </c>
      <c r="Z3194">
        <v>0.10353329999999999</v>
      </c>
      <c r="AA3194">
        <v>0.79221249999999999</v>
      </c>
      <c r="AB3194">
        <v>28</v>
      </c>
      <c r="AC3194">
        <v>-9.0103999999999704</v>
      </c>
      <c r="AD3194">
        <v>-1.1055810317299899</v>
      </c>
      <c r="AE3194">
        <v>-6.2700999999999798</v>
      </c>
      <c r="AF3194">
        <v>6.7179703221578002</v>
      </c>
      <c r="AG3194">
        <v>-1.1055810317299899</v>
      </c>
      <c r="AH3194">
        <v>8.5418040776564297</v>
      </c>
      <c r="AI3194">
        <v>95.809094591650407</v>
      </c>
      <c r="AJ3194">
        <v>51.815606702414698</v>
      </c>
      <c r="AK3194">
        <v>10.923179553965999</v>
      </c>
      <c r="AL3194">
        <v>83.805518770206305</v>
      </c>
      <c r="AM3194">
        <v>55.851498986867099</v>
      </c>
      <c r="AN3194">
        <v>1.0000000196682499</v>
      </c>
    </row>
    <row r="3195" spans="1:40" x14ac:dyDescent="0.25">
      <c r="A3195" t="str">
        <f>"20190312164330227"</f>
        <v>20190312164330227</v>
      </c>
      <c r="B3195" t="str">
        <f>"1552380210217913"</f>
        <v>1552380210217913</v>
      </c>
      <c r="C3195" t="s">
        <v>40</v>
      </c>
      <c r="D3195">
        <v>4.5864929999999999</v>
      </c>
      <c r="E3195">
        <v>0.53631269999999998</v>
      </c>
      <c r="F3195" t="s">
        <v>49</v>
      </c>
      <c r="G3195">
        <v>-202.53</v>
      </c>
      <c r="H3195" s="1">
        <v>-1.090696E-5</v>
      </c>
      <c r="I3195">
        <v>148.22559999999999</v>
      </c>
      <c r="J3195">
        <v>-193.45500000000001</v>
      </c>
      <c r="K3195">
        <v>1.1054109999999999</v>
      </c>
      <c r="L3195">
        <v>154.42230000000001</v>
      </c>
      <c r="M3195">
        <v>-0.2982359</v>
      </c>
      <c r="N3195">
        <v>0</v>
      </c>
      <c r="O3195">
        <v>-0.954399</v>
      </c>
      <c r="P3195">
        <v>-0.77854409999999996</v>
      </c>
      <c r="Q3195">
        <v>0.1036073</v>
      </c>
      <c r="R3195">
        <v>-0.61897919999999995</v>
      </c>
      <c r="S3195">
        <v>-2.4958649999999998</v>
      </c>
      <c r="T3195">
        <v>-0.30113780000000001</v>
      </c>
      <c r="U3195">
        <v>-1.76004</v>
      </c>
      <c r="V3195">
        <v>0.55979569999999901</v>
      </c>
      <c r="W3195">
        <v>0.108020699999999</v>
      </c>
      <c r="X3195">
        <v>0.8215597</v>
      </c>
      <c r="Y3195">
        <v>0.60368429999999995</v>
      </c>
      <c r="Z3195">
        <v>0.103557</v>
      </c>
      <c r="AA3195">
        <v>0.79046899999999998</v>
      </c>
      <c r="AB3195">
        <v>28</v>
      </c>
      <c r="AC3195">
        <v>-9.0749999999999797</v>
      </c>
      <c r="AD3195">
        <v>-1.10542190696</v>
      </c>
      <c r="AE3195">
        <v>-6.1967000000000203</v>
      </c>
      <c r="AF3195">
        <v>6.7454392488989203</v>
      </c>
      <c r="AG3195">
        <v>-1.10542190696</v>
      </c>
      <c r="AH3195">
        <v>8.5350132970651096</v>
      </c>
      <c r="AI3195">
        <v>95.802073921100501</v>
      </c>
      <c r="AJ3195">
        <v>51.679780636827303</v>
      </c>
      <c r="AK3195">
        <v>10.934777557593501</v>
      </c>
      <c r="AL3195">
        <v>83.798769983893493</v>
      </c>
      <c r="AM3195">
        <v>55.730200774515403</v>
      </c>
      <c r="AN3195">
        <v>1.00000001901553</v>
      </c>
    </row>
    <row r="3196" spans="1:40" x14ac:dyDescent="0.25">
      <c r="A3196" t="str">
        <f>"20190312164330251"</f>
        <v>20190312164330251</v>
      </c>
      <c r="B3196" t="str">
        <f>"1552380210248169"</f>
        <v>1552380210248169</v>
      </c>
      <c r="C3196" t="s">
        <v>40</v>
      </c>
      <c r="D3196">
        <v>4.5400099999999997</v>
      </c>
      <c r="E3196">
        <v>0.53609439999999997</v>
      </c>
      <c r="F3196" t="s">
        <v>49</v>
      </c>
      <c r="G3196">
        <v>-202.75790000000001</v>
      </c>
      <c r="H3196" s="1">
        <v>-1.0732719999999999E-5</v>
      </c>
      <c r="I3196">
        <v>147.9795</v>
      </c>
      <c r="J3196">
        <v>-193.54740000000001</v>
      </c>
      <c r="K3196">
        <v>1.1052489999999999</v>
      </c>
      <c r="L3196">
        <v>154.15110000000001</v>
      </c>
      <c r="M3196">
        <v>-0.304795599999999</v>
      </c>
      <c r="N3196">
        <v>0</v>
      </c>
      <c r="O3196">
        <v>-0.95232450000000002</v>
      </c>
      <c r="P3196">
        <v>-0.78435390000000005</v>
      </c>
      <c r="Q3196">
        <v>0.10354140000000001</v>
      </c>
      <c r="R3196">
        <v>-0.61161169999999998</v>
      </c>
      <c r="S3196">
        <v>-2.5106350000000002</v>
      </c>
      <c r="T3196">
        <v>-0.29832940000000002</v>
      </c>
      <c r="U3196">
        <v>-1.7387699999999999</v>
      </c>
      <c r="V3196">
        <v>0.56194069999999996</v>
      </c>
      <c r="W3196">
        <v>0.1076864</v>
      </c>
      <c r="X3196">
        <v>0.82013799999999903</v>
      </c>
      <c r="Y3196">
        <v>0.60499829999999999</v>
      </c>
      <c r="Z3196">
        <v>0.1026437</v>
      </c>
      <c r="AA3196">
        <v>0.78958300000000003</v>
      </c>
      <c r="AB3196">
        <v>28</v>
      </c>
      <c r="AC3196">
        <v>-9.2104999999999908</v>
      </c>
      <c r="AD3196">
        <v>-1.10525973272</v>
      </c>
      <c r="AE3196">
        <v>-6.1716000000000104</v>
      </c>
      <c r="AF3196">
        <v>6.8231124013686397</v>
      </c>
      <c r="AG3196">
        <v>-1.10525973272</v>
      </c>
      <c r="AH3196">
        <v>8.5999906926814003</v>
      </c>
      <c r="AI3196">
        <v>95.749180691729194</v>
      </c>
      <c r="AJ3196">
        <v>51.5720073310206</v>
      </c>
      <c r="AK3196">
        <v>11.033417504685</v>
      </c>
      <c r="AL3196">
        <v>83.818036384868606</v>
      </c>
      <c r="AM3196">
        <v>55.581906860227797</v>
      </c>
      <c r="AN3196">
        <v>1.0000000250527199</v>
      </c>
    </row>
    <row r="3197" spans="1:40" x14ac:dyDescent="0.25">
      <c r="A3197" t="str">
        <f>"20190312164330272"</f>
        <v>20190312164330272</v>
      </c>
      <c r="B3197" t="str">
        <f>"1552380210267688"</f>
        <v>1552380210267688</v>
      </c>
      <c r="C3197" t="s">
        <v>40</v>
      </c>
      <c r="D3197">
        <v>4.5367419999999896</v>
      </c>
      <c r="E3197">
        <v>0.53596350000000004</v>
      </c>
      <c r="F3197" t="s">
        <v>49</v>
      </c>
      <c r="G3197">
        <v>-202.95500000000001</v>
      </c>
      <c r="H3197" s="1">
        <v>-1.058099E-5</v>
      </c>
      <c r="I3197">
        <v>147.76339999999999</v>
      </c>
      <c r="J3197">
        <v>-193.63919999999999</v>
      </c>
      <c r="K3197">
        <v>1.1050599999999999</v>
      </c>
      <c r="L3197">
        <v>153.88849999999999</v>
      </c>
      <c r="M3197">
        <v>-0.31141560000000001</v>
      </c>
      <c r="N3197">
        <v>0</v>
      </c>
      <c r="O3197">
        <v>-0.95017989999999997</v>
      </c>
      <c r="P3197">
        <v>-0.78967189999999998</v>
      </c>
      <c r="Q3197">
        <v>0.10288</v>
      </c>
      <c r="R3197">
        <v>-0.60484199999999999</v>
      </c>
      <c r="S3197">
        <v>-2.5263819999999999</v>
      </c>
      <c r="T3197">
        <v>-0.29681419999999997</v>
      </c>
      <c r="U3197">
        <v>-1.7153929999999999</v>
      </c>
      <c r="V3197">
        <v>0.56341030000000003</v>
      </c>
      <c r="W3197">
        <v>0.106752</v>
      </c>
      <c r="X3197">
        <v>0.81925139999999996</v>
      </c>
      <c r="Y3197">
        <v>0.60680109999999998</v>
      </c>
      <c r="Z3197">
        <v>0.1021831</v>
      </c>
      <c r="AA3197">
        <v>0.78825829999999997</v>
      </c>
      <c r="AB3197">
        <v>28</v>
      </c>
      <c r="AC3197">
        <v>-9.3158000000000207</v>
      </c>
      <c r="AD3197">
        <v>-1.1050705809900001</v>
      </c>
      <c r="AE3197">
        <v>-6.1250999999999998</v>
      </c>
      <c r="AF3197">
        <v>6.8772888625965498</v>
      </c>
      <c r="AG3197">
        <v>-1.1050705809900001</v>
      </c>
      <c r="AH3197">
        <v>8.6369579073788199</v>
      </c>
      <c r="AI3197">
        <v>95.715802033704094</v>
      </c>
      <c r="AJ3197">
        <v>51.470992142496698</v>
      </c>
      <c r="AK3197">
        <v>11.0957345400112</v>
      </c>
      <c r="AL3197">
        <v>83.871883854341107</v>
      </c>
      <c r="AM3197">
        <v>55.483168835519599</v>
      </c>
      <c r="AN3197">
        <v>1.0000000060260199</v>
      </c>
    </row>
    <row r="3198" spans="1:40" x14ac:dyDescent="0.25">
      <c r="A3198" t="str">
        <f>"20190312164330295"</f>
        <v>20190312164330295</v>
      </c>
      <c r="B3198" t="str">
        <f>"1552380210288185"</f>
        <v>1552380210288185</v>
      </c>
      <c r="C3198" t="s">
        <v>40</v>
      </c>
      <c r="D3198">
        <v>4.4834319999999996</v>
      </c>
      <c r="E3198">
        <v>0.53586330000000004</v>
      </c>
      <c r="F3198" t="s">
        <v>49</v>
      </c>
      <c r="G3198">
        <v>-203.08750000000001</v>
      </c>
      <c r="H3198" s="1">
        <v>-1.0472800000000001E-5</v>
      </c>
      <c r="I3198">
        <v>147.59719999999999</v>
      </c>
      <c r="J3198">
        <v>-193.7312</v>
      </c>
      <c r="K3198">
        <v>1.104849</v>
      </c>
      <c r="L3198">
        <v>153.63159999999999</v>
      </c>
      <c r="M3198">
        <v>-0.31818089999999999</v>
      </c>
      <c r="N3198">
        <v>0</v>
      </c>
      <c r="O3198">
        <v>-0.94793609999999995</v>
      </c>
      <c r="P3198">
        <v>-0.79487259999999904</v>
      </c>
      <c r="Q3198">
        <v>0.1032211</v>
      </c>
      <c r="R3198">
        <v>-0.59793219999999903</v>
      </c>
      <c r="S3198">
        <v>-2.54155</v>
      </c>
      <c r="T3198">
        <v>-0.29725869999999999</v>
      </c>
      <c r="U3198">
        <v>-1.6923220000000001</v>
      </c>
      <c r="V3198">
        <v>0.56473370000000001</v>
      </c>
      <c r="W3198">
        <v>0.1067829</v>
      </c>
      <c r="X3198">
        <v>0.81833559999999905</v>
      </c>
      <c r="Y3198">
        <v>0.60826199999999997</v>
      </c>
      <c r="Z3198">
        <v>0.1023826</v>
      </c>
      <c r="AA3198">
        <v>0.78710559999999996</v>
      </c>
      <c r="AB3198">
        <v>28</v>
      </c>
      <c r="AC3198">
        <v>-9.3562999999999992</v>
      </c>
      <c r="AD3198">
        <v>-1.1048594728000001</v>
      </c>
      <c r="AE3198">
        <v>-6.0343999999999998</v>
      </c>
      <c r="AF3198">
        <v>6.8819879982158501</v>
      </c>
      <c r="AG3198">
        <v>-1.1048594728000001</v>
      </c>
      <c r="AH3198">
        <v>8.6131726255940499</v>
      </c>
      <c r="AI3198">
        <v>95.722783067277703</v>
      </c>
      <c r="AJ3198">
        <v>51.374889170404103</v>
      </c>
      <c r="AK3198">
        <v>11.080127072398801</v>
      </c>
      <c r="AL3198">
        <v>83.870102873196302</v>
      </c>
      <c r="AM3198">
        <v>55.390428720778601</v>
      </c>
      <c r="AN3198">
        <v>0.99999994693772798</v>
      </c>
    </row>
    <row r="3199" spans="1:40" x14ac:dyDescent="0.25">
      <c r="A3199" t="str">
        <f>"20190312164330318"</f>
        <v>20190312164330318</v>
      </c>
      <c r="B3199" t="str">
        <f>"1552380210307705"</f>
        <v>1552380210307705</v>
      </c>
      <c r="C3199" t="s">
        <v>40</v>
      </c>
      <c r="D3199">
        <v>4.5067089999999999</v>
      </c>
      <c r="E3199">
        <v>0.53578559999999997</v>
      </c>
      <c r="F3199" t="s">
        <v>49</v>
      </c>
      <c r="G3199">
        <v>-203.3158</v>
      </c>
      <c r="H3199" s="1">
        <v>-1.0305009999999999E-5</v>
      </c>
      <c r="I3199">
        <v>147.37350000000001</v>
      </c>
      <c r="J3199">
        <v>-193.83439999999999</v>
      </c>
      <c r="K3199">
        <v>1.1045700000000001</v>
      </c>
      <c r="L3199">
        <v>153.3511</v>
      </c>
      <c r="M3199">
        <v>-0.325928</v>
      </c>
      <c r="N3199">
        <v>0</v>
      </c>
      <c r="O3199">
        <v>-0.94530020000000003</v>
      </c>
      <c r="P3199">
        <v>-0.80098139999999995</v>
      </c>
      <c r="Q3199">
        <v>0.1043896</v>
      </c>
      <c r="R3199">
        <v>-0.58951869999999995</v>
      </c>
      <c r="S3199">
        <v>-2.556702</v>
      </c>
      <c r="T3199">
        <v>-0.29472389999999998</v>
      </c>
      <c r="U3199">
        <v>-1.669373</v>
      </c>
      <c r="V3199">
        <v>0.56660929999999998</v>
      </c>
      <c r="W3199">
        <v>0.10754519999999999</v>
      </c>
      <c r="X3199">
        <v>0.81693819999999995</v>
      </c>
      <c r="Y3199">
        <v>0.60895010000000005</v>
      </c>
      <c r="Z3199">
        <v>0.1015327</v>
      </c>
      <c r="AA3199">
        <v>0.78668349999999998</v>
      </c>
      <c r="AB3199">
        <v>28</v>
      </c>
      <c r="AC3199">
        <v>-9.4814000000000007</v>
      </c>
      <c r="AD3199">
        <v>-1.10458030501</v>
      </c>
      <c r="AE3199">
        <v>-5.97759999999999</v>
      </c>
      <c r="AF3199">
        <v>6.9476529533906497</v>
      </c>
      <c r="AG3199">
        <v>-1.10458030501</v>
      </c>
      <c r="AH3199">
        <v>8.6575784486406899</v>
      </c>
      <c r="AI3199">
        <v>95.682583171153297</v>
      </c>
      <c r="AJ3199">
        <v>51.253173449185702</v>
      </c>
      <c r="AK3199">
        <v>11.155431134893</v>
      </c>
      <c r="AL3199">
        <v>83.826173934658001</v>
      </c>
      <c r="AM3199">
        <v>55.255724556224102</v>
      </c>
      <c r="AN3199">
        <v>1.0000000457543801</v>
      </c>
    </row>
    <row r="3200" spans="1:40" x14ac:dyDescent="0.25">
      <c r="A3200" t="str">
        <f>"20190312164330342"</f>
        <v>20190312164330342</v>
      </c>
      <c r="B3200" t="str">
        <f>"1552380210337960"</f>
        <v>1552380210337960</v>
      </c>
      <c r="C3200" t="s">
        <v>40</v>
      </c>
      <c r="D3200">
        <v>4.786327</v>
      </c>
      <c r="E3200">
        <v>0.53556890000000001</v>
      </c>
      <c r="F3200" t="s">
        <v>49</v>
      </c>
      <c r="G3200">
        <v>-203.6216</v>
      </c>
      <c r="H3200" s="1">
        <v>-1.0089239999999999E-5</v>
      </c>
      <c r="I3200">
        <v>147.10409999999999</v>
      </c>
      <c r="J3200">
        <v>-193.9385</v>
      </c>
      <c r="K3200">
        <v>1.1042609999999999</v>
      </c>
      <c r="L3200">
        <v>153.07650000000001</v>
      </c>
      <c r="M3200">
        <v>-0.33392460000000002</v>
      </c>
      <c r="N3200">
        <v>0</v>
      </c>
      <c r="O3200">
        <v>-0.94250489999999998</v>
      </c>
      <c r="P3200">
        <v>-0.80731180000000002</v>
      </c>
      <c r="Q3200">
        <v>0.104871699999999</v>
      </c>
      <c r="R3200">
        <v>-0.58073209999999997</v>
      </c>
      <c r="S3200">
        <v>-2.574036</v>
      </c>
      <c r="T3200">
        <v>-0.29050670000000001</v>
      </c>
      <c r="U3200">
        <v>-1.6429750000000001</v>
      </c>
      <c r="V3200">
        <v>0.56864289999999995</v>
      </c>
      <c r="W3200">
        <v>0.10757890000000001</v>
      </c>
      <c r="X3200">
        <v>0.81551960000000001</v>
      </c>
      <c r="Y3200">
        <v>0.61051060000000001</v>
      </c>
      <c r="Z3200">
        <v>0.10011299999999999</v>
      </c>
      <c r="AA3200">
        <v>0.7856552</v>
      </c>
      <c r="AB3200">
        <v>28</v>
      </c>
      <c r="AC3200">
        <v>-9.6830999999999907</v>
      </c>
      <c r="AD3200">
        <v>-1.1042710892400001</v>
      </c>
      <c r="AE3200">
        <v>-5.9724000000000199</v>
      </c>
      <c r="AF3200">
        <v>7.0661041470713899</v>
      </c>
      <c r="AG3200">
        <v>-1.1042710892400001</v>
      </c>
      <c r="AH3200">
        <v>8.7805106744545007</v>
      </c>
      <c r="AI3200">
        <v>95.595849649249502</v>
      </c>
      <c r="AJ3200">
        <v>51.174674495417598</v>
      </c>
      <c r="AK3200">
        <v>11.3246019868249</v>
      </c>
      <c r="AL3200">
        <v>83.824232090579599</v>
      </c>
      <c r="AM3200">
        <v>55.112830374389503</v>
      </c>
      <c r="AN3200">
        <v>1.00000009271488</v>
      </c>
    </row>
    <row r="3201" spans="1:40" x14ac:dyDescent="0.25">
      <c r="A3201" t="str">
        <f>"20190312164330363"</f>
        <v>20190312164330363</v>
      </c>
      <c r="B3201" t="str">
        <f>"1552380210357481"</f>
        <v>1552380210357481</v>
      </c>
      <c r="C3201" t="s">
        <v>40</v>
      </c>
      <c r="D3201">
        <v>4.5066059999999997</v>
      </c>
      <c r="E3201">
        <v>0.53544789999999998</v>
      </c>
      <c r="F3201" t="s">
        <v>49</v>
      </c>
      <c r="G3201">
        <v>-203.89240000000001</v>
      </c>
      <c r="H3201" s="1">
        <v>-9.9192649999999993E-6</v>
      </c>
      <c r="I3201">
        <v>146.86670000000001</v>
      </c>
      <c r="J3201">
        <v>-194.0361</v>
      </c>
      <c r="K3201">
        <v>1.1039639999999999</v>
      </c>
      <c r="L3201">
        <v>152.82679999999999</v>
      </c>
      <c r="M3201">
        <v>-0.34162920000000002</v>
      </c>
      <c r="N3201">
        <v>0</v>
      </c>
      <c r="O3201">
        <v>-0.93973910000000005</v>
      </c>
      <c r="P3201">
        <v>-0.81306429999999996</v>
      </c>
      <c r="Q3201">
        <v>0.1059672</v>
      </c>
      <c r="R3201">
        <v>-0.57244839999999997</v>
      </c>
      <c r="S3201">
        <v>-2.5907439999999999</v>
      </c>
      <c r="T3201">
        <v>-0.28741230000000001</v>
      </c>
      <c r="U3201">
        <v>-1.6162570000000001</v>
      </c>
      <c r="V3201">
        <v>0.57026739999999998</v>
      </c>
      <c r="W3201">
        <v>0.10823679999999999</v>
      </c>
      <c r="X3201">
        <v>0.8142971</v>
      </c>
      <c r="Y3201">
        <v>0.61224279999999998</v>
      </c>
      <c r="Z3201">
        <v>9.9087250000000002E-2</v>
      </c>
      <c r="AA3201">
        <v>0.78443629999999998</v>
      </c>
      <c r="AB3201">
        <v>28</v>
      </c>
      <c r="AC3201">
        <v>-9.8562999999999992</v>
      </c>
      <c r="AD3201">
        <v>-1.103973919265</v>
      </c>
      <c r="AE3201">
        <v>-5.9600999999999802</v>
      </c>
      <c r="AF3201">
        <v>7.1610717530286498</v>
      </c>
      <c r="AG3201">
        <v>-1.103973919265</v>
      </c>
      <c r="AH3201">
        <v>8.8873031679202494</v>
      </c>
      <c r="AI3201">
        <v>95.524823893646499</v>
      </c>
      <c r="AJ3201">
        <v>51.139372523566998</v>
      </c>
      <c r="AK3201">
        <v>11.466641385556899</v>
      </c>
      <c r="AL3201">
        <v>83.786314848693493</v>
      </c>
      <c r="AM3201">
        <v>54.995730574897898</v>
      </c>
      <c r="AN3201">
        <v>0.99999993972270296</v>
      </c>
    </row>
    <row r="3202" spans="1:40" x14ac:dyDescent="0.25">
      <c r="A3202" t="str">
        <f>"20190312164330388"</f>
        <v>20190312164330388</v>
      </c>
      <c r="B3202" t="str">
        <f>"1552380210377764"</f>
        <v>1552380210377764</v>
      </c>
      <c r="C3202" t="s">
        <v>40</v>
      </c>
      <c r="D3202">
        <v>4.4603440000000001</v>
      </c>
      <c r="E3202">
        <v>0.53560920000000001</v>
      </c>
      <c r="F3202" t="s">
        <v>49</v>
      </c>
      <c r="G3202">
        <v>-204.1942</v>
      </c>
      <c r="H3202" s="1">
        <v>-9.7429660000000001E-6</v>
      </c>
      <c r="I3202">
        <v>146.6292</v>
      </c>
      <c r="J3202">
        <v>-194.15389999999999</v>
      </c>
      <c r="K3202">
        <v>1.1036429999999999</v>
      </c>
      <c r="L3202">
        <v>152.53469999999999</v>
      </c>
      <c r="M3202">
        <v>-0.35109629999999997</v>
      </c>
      <c r="N3202">
        <v>0</v>
      </c>
      <c r="O3202">
        <v>-0.93624300000000005</v>
      </c>
      <c r="P3202">
        <v>-0.81978989999999996</v>
      </c>
      <c r="Q3202">
        <v>0.1082388</v>
      </c>
      <c r="R3202">
        <v>-0.56234259999999903</v>
      </c>
      <c r="S3202">
        <v>-2.6068570000000002</v>
      </c>
      <c r="T3202">
        <v>-0.2833097</v>
      </c>
      <c r="U3202">
        <v>-1.590454</v>
      </c>
      <c r="V3202">
        <v>0.57197640000000005</v>
      </c>
      <c r="W3202">
        <v>0.1100223</v>
      </c>
      <c r="X3202">
        <v>0.81285799999999997</v>
      </c>
      <c r="Y3202">
        <v>0.61222480000000001</v>
      </c>
      <c r="Z3202">
        <v>9.7656179999999995E-2</v>
      </c>
      <c r="AA3202">
        <v>0.78462989999999999</v>
      </c>
      <c r="AB3202">
        <v>28</v>
      </c>
      <c r="AC3202">
        <v>-10.0403</v>
      </c>
      <c r="AD3202">
        <v>-1.1036527429659999</v>
      </c>
      <c r="AE3202">
        <v>-5.9054999999999804</v>
      </c>
      <c r="AF3202">
        <v>7.2622280071626202</v>
      </c>
      <c r="AG3202">
        <v>-1.1036527429659999</v>
      </c>
      <c r="AH3202">
        <v>8.9743476466728502</v>
      </c>
      <c r="AI3202">
        <v>95.460804338353498</v>
      </c>
      <c r="AJ3202">
        <v>51.019498548944902</v>
      </c>
      <c r="AK3202">
        <v>11.597280745434</v>
      </c>
      <c r="AL3202">
        <v>83.683399048994502</v>
      </c>
      <c r="AM3202">
        <v>54.867446822993102</v>
      </c>
      <c r="AN3202">
        <v>1.00000001840912</v>
      </c>
    </row>
    <row r="3203" spans="1:40" x14ac:dyDescent="0.25">
      <c r="A3203" t="str">
        <f>"20190312164330411"</f>
        <v>20190312164330411</v>
      </c>
      <c r="B3203" t="str">
        <f>"1552380210408020"</f>
        <v>1552380210408020</v>
      </c>
      <c r="C3203" t="s">
        <v>40</v>
      </c>
      <c r="D3203">
        <v>4.5702410000000002</v>
      </c>
      <c r="E3203">
        <v>0.56083930000000004</v>
      </c>
      <c r="F3203" t="s">
        <v>49</v>
      </c>
      <c r="G3203">
        <v>-204.54130000000001</v>
      </c>
      <c r="H3203" s="1">
        <v>-9.5447009999999997E-6</v>
      </c>
      <c r="I3203">
        <v>146.37299999999999</v>
      </c>
      <c r="J3203">
        <v>-194.2655</v>
      </c>
      <c r="K3203">
        <v>1.1033459999999999</v>
      </c>
      <c r="L3203">
        <v>152.2663</v>
      </c>
      <c r="M3203">
        <v>-0.36022700000000002</v>
      </c>
      <c r="N3203">
        <v>0</v>
      </c>
      <c r="O3203">
        <v>-0.93276720000000002</v>
      </c>
      <c r="P3203">
        <v>-0.82643929999999999</v>
      </c>
      <c r="Q3203">
        <v>0.11031920000000001</v>
      </c>
      <c r="R3203">
        <v>-0.55211219999999905</v>
      </c>
      <c r="S3203">
        <v>-2.6272739999999999</v>
      </c>
      <c r="T3203">
        <v>-0.27914539999999999</v>
      </c>
      <c r="U3203">
        <v>-1.5584559999999901</v>
      </c>
      <c r="V3203">
        <v>0.57399669999999903</v>
      </c>
      <c r="W3203">
        <v>0.1116516</v>
      </c>
      <c r="X3203">
        <v>0.81120999999999999</v>
      </c>
      <c r="Y3203">
        <v>0.61439200000000005</v>
      </c>
      <c r="Z3203">
        <v>9.6220490000000006E-2</v>
      </c>
      <c r="AA3203">
        <v>0.78311180000000002</v>
      </c>
      <c r="AB3203">
        <v>28</v>
      </c>
      <c r="AC3203">
        <v>-10.2758</v>
      </c>
      <c r="AD3203">
        <v>-1.1033555447009999</v>
      </c>
      <c r="AE3203">
        <v>-5.8933000000000098</v>
      </c>
      <c r="AF3203">
        <v>7.3984952795200298</v>
      </c>
      <c r="AG3203">
        <v>-1.1033555447009999</v>
      </c>
      <c r="AH3203">
        <v>9.1204086345996291</v>
      </c>
      <c r="AI3203">
        <v>95.367254487106806</v>
      </c>
      <c r="AJ3203">
        <v>50.950960632279802</v>
      </c>
      <c r="AK3203">
        <v>11.7956339177333</v>
      </c>
      <c r="AL3203">
        <v>83.589468019901304</v>
      </c>
      <c r="AM3203">
        <v>54.7175044488026</v>
      </c>
      <c r="AN3203">
        <v>0.999999977746724</v>
      </c>
    </row>
    <row r="3204" spans="1:40" x14ac:dyDescent="0.25">
      <c r="A3204" t="str">
        <f>"20190312164330429"</f>
        <v>20190312164330429</v>
      </c>
      <c r="B3204" t="str">
        <f>"1552380210417780"</f>
        <v>1552380210417780</v>
      </c>
      <c r="C3204" t="s">
        <v>40</v>
      </c>
      <c r="D3204">
        <v>5.300217</v>
      </c>
      <c r="E3204">
        <v>0.56023750000000005</v>
      </c>
      <c r="F3204" t="s">
        <v>49</v>
      </c>
      <c r="G3204">
        <v>-203.37360000000001</v>
      </c>
      <c r="H3204" s="1">
        <v>-1.0390709999999999E-5</v>
      </c>
      <c r="I3204">
        <v>147.74780000000001</v>
      </c>
      <c r="J3204">
        <v>-194.3537</v>
      </c>
      <c r="K3204">
        <v>1.1031139999999999</v>
      </c>
      <c r="L3204">
        <v>152.06010000000001</v>
      </c>
      <c r="M3204">
        <v>-0.3675505</v>
      </c>
      <c r="N3204">
        <v>0</v>
      </c>
      <c r="O3204">
        <v>-0.9299056</v>
      </c>
      <c r="P3204">
        <v>-0.83135709999999996</v>
      </c>
      <c r="Q3204">
        <v>0.11181389999999999</v>
      </c>
      <c r="R3204">
        <v>-0.54437440000000004</v>
      </c>
      <c r="S3204">
        <v>-2.7599330000000002</v>
      </c>
      <c r="T3204">
        <v>-0.33433889999999999</v>
      </c>
      <c r="U3204">
        <v>-1.3692169999999999</v>
      </c>
      <c r="V3204">
        <v>0.57509619999999995</v>
      </c>
      <c r="W3204">
        <v>0.1128073</v>
      </c>
      <c r="X3204">
        <v>0.81027079999999996</v>
      </c>
      <c r="Y3204">
        <v>0.66354269999999904</v>
      </c>
      <c r="Z3204">
        <v>0.11552370000000001</v>
      </c>
      <c r="AA3204">
        <v>0.73916519999999997</v>
      </c>
      <c r="AB3204">
        <v>28</v>
      </c>
      <c r="AC3204">
        <v>-9.0198999999999998</v>
      </c>
      <c r="AD3204">
        <v>-1.1031243907099999</v>
      </c>
      <c r="AE3204">
        <v>-4.3122999999999898</v>
      </c>
      <c r="AF3204">
        <v>6.72145780929268</v>
      </c>
      <c r="AG3204">
        <v>-1.1031243907099999</v>
      </c>
      <c r="AH3204">
        <v>7.2378518305403796</v>
      </c>
      <c r="AI3204">
        <v>96.372433488519505</v>
      </c>
      <c r="AJ3204">
        <v>47.118565562542997</v>
      </c>
      <c r="AK3204">
        <v>9.93888211140154</v>
      </c>
      <c r="AL3204">
        <v>83.522830091128895</v>
      </c>
      <c r="AM3204">
        <v>54.6344669065478</v>
      </c>
      <c r="AN3204">
        <v>0.99999994776018297</v>
      </c>
    </row>
    <row r="3205" spans="1:40" x14ac:dyDescent="0.25">
      <c r="A3205" t="str">
        <f>"20190312164330453"</f>
        <v>20190312164330453</v>
      </c>
      <c r="B3205" t="str">
        <f>"1552380210448036"</f>
        <v>1552380210448036</v>
      </c>
      <c r="C3205" t="s">
        <v>40</v>
      </c>
      <c r="D3205">
        <v>4.5629819999999999</v>
      </c>
      <c r="E3205">
        <v>0.56059399999999904</v>
      </c>
      <c r="F3205" t="s">
        <v>49</v>
      </c>
      <c r="G3205">
        <v>-203.53800000000001</v>
      </c>
      <c r="H3205" s="1">
        <v>-1.0270839999999899E-5</v>
      </c>
      <c r="I3205">
        <v>147.5898</v>
      </c>
      <c r="J3205">
        <v>-194.4727</v>
      </c>
      <c r="K3205">
        <v>1.1028039999999999</v>
      </c>
      <c r="L3205">
        <v>151.79</v>
      </c>
      <c r="M3205">
        <v>-0.37756729999999999</v>
      </c>
      <c r="N3205">
        <v>0</v>
      </c>
      <c r="O3205">
        <v>-0.92588289999999995</v>
      </c>
      <c r="P3205">
        <v>-0.83774859999999896</v>
      </c>
      <c r="Q3205">
        <v>0.1127426</v>
      </c>
      <c r="R3205">
        <v>-0.53429090000000001</v>
      </c>
      <c r="S3205">
        <v>-2.7703700000000002</v>
      </c>
      <c r="T3205">
        <v>-0.33275080000000001</v>
      </c>
      <c r="U3205">
        <v>-1.348419</v>
      </c>
      <c r="V3205">
        <v>0.57613159999999997</v>
      </c>
      <c r="W3205">
        <v>0.1132886</v>
      </c>
      <c r="X3205">
        <v>0.80946779999999996</v>
      </c>
      <c r="Y3205">
        <v>0.66115489999999999</v>
      </c>
      <c r="Z3205">
        <v>0.1148796</v>
      </c>
      <c r="AA3205">
        <v>0.74140189999999995</v>
      </c>
      <c r="AB3205">
        <v>28</v>
      </c>
      <c r="AC3205">
        <v>-9.0652999999999793</v>
      </c>
      <c r="AD3205">
        <v>-1.1028142708399999</v>
      </c>
      <c r="AE3205">
        <v>-4.2001999999999899</v>
      </c>
      <c r="AF3205">
        <v>6.7262230554348896</v>
      </c>
      <c r="AG3205">
        <v>-1.1028142708399999</v>
      </c>
      <c r="AH3205">
        <v>7.2243069728858798</v>
      </c>
      <c r="AI3205">
        <v>96.374928931738395</v>
      </c>
      <c r="AJ3205">
        <v>47.044796093320102</v>
      </c>
      <c r="AK3205">
        <v>9.9322146143707499</v>
      </c>
      <c r="AL3205">
        <v>83.495076205843503</v>
      </c>
      <c r="AM3205">
        <v>54.558974228692598</v>
      </c>
      <c r="AN3205">
        <v>1.00000002332267</v>
      </c>
    </row>
    <row r="3206" spans="1:40" x14ac:dyDescent="0.25">
      <c r="A3206" t="str">
        <f>"20190312164330473"</f>
        <v>20190312164330473</v>
      </c>
      <c r="B3206" t="str">
        <f>"1552380210468062"</f>
        <v>1552380210468062</v>
      </c>
      <c r="C3206" t="s">
        <v>40</v>
      </c>
      <c r="D3206">
        <v>4.5477959999999999</v>
      </c>
      <c r="E3206">
        <v>0.56064049999999999</v>
      </c>
      <c r="F3206" t="s">
        <v>49</v>
      </c>
      <c r="G3206">
        <v>-204.32040000000001</v>
      </c>
      <c r="H3206" s="1">
        <v>-9.8374479999999997E-6</v>
      </c>
      <c r="I3206">
        <v>147.1671</v>
      </c>
      <c r="J3206">
        <v>-194.58269999999999</v>
      </c>
      <c r="K3206">
        <v>1.1024989999999999</v>
      </c>
      <c r="L3206">
        <v>151.54810000000001</v>
      </c>
      <c r="M3206">
        <v>-0.38694689999999998</v>
      </c>
      <c r="N3206">
        <v>0</v>
      </c>
      <c r="O3206">
        <v>-0.92200139999999997</v>
      </c>
      <c r="P3206">
        <v>-0.84379879999999996</v>
      </c>
      <c r="Q3206">
        <v>0.113583199999999</v>
      </c>
      <c r="R3206">
        <v>-0.52450209999999997</v>
      </c>
      <c r="S3206">
        <v>-2.7882690000000001</v>
      </c>
      <c r="T3206">
        <v>-0.31224800000000003</v>
      </c>
      <c r="U3206">
        <v>-1.308899</v>
      </c>
      <c r="V3206">
        <v>0.57733639999999997</v>
      </c>
      <c r="W3206">
        <v>0.1137051</v>
      </c>
      <c r="X3206">
        <v>0.80855049999999995</v>
      </c>
      <c r="Y3206">
        <v>0.6647438</v>
      </c>
      <c r="Z3206">
        <v>0.1079693</v>
      </c>
      <c r="AA3206">
        <v>0.739228199999999</v>
      </c>
      <c r="AB3206">
        <v>28</v>
      </c>
      <c r="AC3206">
        <v>-9.7377000000000091</v>
      </c>
      <c r="AD3206">
        <v>-1.1025088374480001</v>
      </c>
      <c r="AE3206">
        <v>-4.3810000000000002</v>
      </c>
      <c r="AF3206">
        <v>7.2068024867614202</v>
      </c>
      <c r="AG3206">
        <v>-1.1025088374480001</v>
      </c>
      <c r="AH3206">
        <v>7.7256222792254903</v>
      </c>
      <c r="AI3206">
        <v>95.957421981670507</v>
      </c>
      <c r="AJ3206">
        <v>46.989913354967598</v>
      </c>
      <c r="AK3206">
        <v>10.622559363030399</v>
      </c>
      <c r="AL3206">
        <v>83.471057420508998</v>
      </c>
      <c r="AM3206">
        <v>54.471692356936998</v>
      </c>
      <c r="AN3206">
        <v>1.0000000397905999</v>
      </c>
    </row>
    <row r="3207" spans="1:40" x14ac:dyDescent="0.25">
      <c r="A3207" t="str">
        <f>"20190312164330496"</f>
        <v>20190312164330496</v>
      </c>
      <c r="B3207" t="str">
        <f>"1552380210487582"</f>
        <v>1552380210487582</v>
      </c>
      <c r="C3207" t="s">
        <v>40</v>
      </c>
      <c r="D3207">
        <v>4.601254</v>
      </c>
      <c r="E3207">
        <v>0.56050390000000005</v>
      </c>
      <c r="F3207" t="s">
        <v>49</v>
      </c>
      <c r="G3207">
        <v>-204.89750000000001</v>
      </c>
      <c r="H3207" s="1">
        <v>-9.5395499999999992E-6</v>
      </c>
      <c r="I3207">
        <v>146.86160000000001</v>
      </c>
      <c r="J3207">
        <v>-194.69919999999999</v>
      </c>
      <c r="K3207">
        <v>1.1021700000000001</v>
      </c>
      <c r="L3207">
        <v>151.2996</v>
      </c>
      <c r="M3207">
        <v>-0.39698149999999999</v>
      </c>
      <c r="N3207">
        <v>0</v>
      </c>
      <c r="O3207">
        <v>-0.91772480000000001</v>
      </c>
      <c r="P3207">
        <v>-0.84994130000000001</v>
      </c>
      <c r="Q3207">
        <v>0.1127978</v>
      </c>
      <c r="R3207">
        <v>-0.51466199999999995</v>
      </c>
      <c r="S3207">
        <v>-2.8038180000000001</v>
      </c>
      <c r="T3207">
        <v>-0.29968739999999999</v>
      </c>
      <c r="U3207">
        <v>-1.273895</v>
      </c>
      <c r="V3207">
        <v>0.57808369999999998</v>
      </c>
      <c r="W3207">
        <v>0.1124903</v>
      </c>
      <c r="X3207">
        <v>0.80818639999999997</v>
      </c>
      <c r="Y3207">
        <v>0.66625719999999899</v>
      </c>
      <c r="Z3207">
        <v>0.103682</v>
      </c>
      <c r="AA3207">
        <v>0.73847910000000005</v>
      </c>
      <c r="AB3207">
        <v>28</v>
      </c>
      <c r="AC3207">
        <v>-10.1983</v>
      </c>
      <c r="AD3207">
        <v>-1.10217953955</v>
      </c>
      <c r="AE3207">
        <v>-4.4379999999999802</v>
      </c>
      <c r="AF3207">
        <v>7.52424752236477</v>
      </c>
      <c r="AG3207">
        <v>-1.10217953955</v>
      </c>
      <c r="AH3207">
        <v>8.0431705997254905</v>
      </c>
      <c r="AI3207">
        <v>95.714638653584601</v>
      </c>
      <c r="AJ3207">
        <v>46.9091860352138</v>
      </c>
      <c r="AK3207">
        <v>11.0689517937112</v>
      </c>
      <c r="AL3207">
        <v>83.541109830578094</v>
      </c>
      <c r="AM3207">
        <v>54.4244238637325</v>
      </c>
      <c r="AN3207">
        <v>1.00000004447236</v>
      </c>
    </row>
    <row r="3208" spans="1:40" x14ac:dyDescent="0.25">
      <c r="A3208" t="str">
        <f>"20190312164330518"</f>
        <v>20190312164330518</v>
      </c>
      <c r="B3208" t="str">
        <f>"1552380210508078"</f>
        <v>1552380210508078</v>
      </c>
      <c r="C3208" t="s">
        <v>40</v>
      </c>
      <c r="D3208">
        <v>4.7062200000000001</v>
      </c>
      <c r="E3208">
        <v>0.56034050000000002</v>
      </c>
      <c r="F3208" t="s">
        <v>49</v>
      </c>
      <c r="G3208">
        <v>-205.191</v>
      </c>
      <c r="H3208" s="1">
        <v>-9.3661830000000004E-6</v>
      </c>
      <c r="I3208">
        <v>146.6825</v>
      </c>
      <c r="J3208">
        <v>-194.82210000000001</v>
      </c>
      <c r="K3208">
        <v>1.1018300000000001</v>
      </c>
      <c r="L3208">
        <v>151.04580000000001</v>
      </c>
      <c r="M3208">
        <v>-0.4076478</v>
      </c>
      <c r="N3208">
        <v>0</v>
      </c>
      <c r="O3208">
        <v>-0.91303590000000001</v>
      </c>
      <c r="P3208">
        <v>-0.85584830000000001</v>
      </c>
      <c r="Q3208">
        <v>0.11071789999999899</v>
      </c>
      <c r="R3208">
        <v>-0.50523809999999902</v>
      </c>
      <c r="S3208">
        <v>-2.8180079999999998</v>
      </c>
      <c r="T3208">
        <v>-0.29603679999999999</v>
      </c>
      <c r="U3208">
        <v>-1.2401120000000001</v>
      </c>
      <c r="V3208">
        <v>0.57789419999999903</v>
      </c>
      <c r="W3208">
        <v>0.1100034</v>
      </c>
      <c r="X3208">
        <v>0.8086641</v>
      </c>
      <c r="Y3208">
        <v>0.66651609999999994</v>
      </c>
      <c r="Z3208">
        <v>0.1024086</v>
      </c>
      <c r="AA3208">
        <v>0.73842319999999995</v>
      </c>
      <c r="AB3208">
        <v>28</v>
      </c>
      <c r="AC3208">
        <v>-10.368899999999901</v>
      </c>
      <c r="AD3208">
        <v>-1.1018393661829999</v>
      </c>
      <c r="AE3208">
        <v>-4.3632999999999997</v>
      </c>
      <c r="AF3208">
        <v>7.6161502115348103</v>
      </c>
      <c r="AG3208">
        <v>-1.1018393661829999</v>
      </c>
      <c r="AH3208">
        <v>8.1334573537855501</v>
      </c>
      <c r="AI3208">
        <v>95.647320816072096</v>
      </c>
      <c r="AJ3208">
        <v>46.881244593454802</v>
      </c>
      <c r="AK3208">
        <v>11.197005070972301</v>
      </c>
      <c r="AL3208">
        <v>83.684488692503393</v>
      </c>
      <c r="AM3208">
        <v>54.449329315657799</v>
      </c>
      <c r="AN3208">
        <v>1.000000040517</v>
      </c>
    </row>
    <row r="3209" spans="1:40" x14ac:dyDescent="0.25">
      <c r="A3209" t="str">
        <f>"20190312164330540"</f>
        <v>20190312164330540</v>
      </c>
      <c r="B3209" t="str">
        <f>"1552380210527601"</f>
        <v>1552380210527601</v>
      </c>
      <c r="C3209" t="s">
        <v>40</v>
      </c>
      <c r="D3209">
        <v>4.6178129999999999</v>
      </c>
      <c r="E3209">
        <v>0.55973200000000001</v>
      </c>
      <c r="F3209" t="s">
        <v>49</v>
      </c>
      <c r="G3209">
        <v>-205.2329</v>
      </c>
      <c r="H3209" s="1">
        <v>-9.3273859999999999E-6</v>
      </c>
      <c r="I3209">
        <v>146.60589999999999</v>
      </c>
      <c r="J3209">
        <v>-194.94390000000001</v>
      </c>
      <c r="K3209">
        <v>1.1015029999999999</v>
      </c>
      <c r="L3209">
        <v>150.80250000000001</v>
      </c>
      <c r="M3209">
        <v>-0.4182707</v>
      </c>
      <c r="N3209">
        <v>0</v>
      </c>
      <c r="O3209">
        <v>-0.90821770000000002</v>
      </c>
      <c r="P3209">
        <v>-0.86128090000000002</v>
      </c>
      <c r="Q3209">
        <v>0.1081034</v>
      </c>
      <c r="R3209">
        <v>-0.49649660000000001</v>
      </c>
      <c r="S3209">
        <v>-2.8312529999999998</v>
      </c>
      <c r="T3209">
        <v>-0.29965069999999999</v>
      </c>
      <c r="U3209">
        <v>-1.207443</v>
      </c>
      <c r="V3209">
        <v>0.57702390000000003</v>
      </c>
      <c r="W3209">
        <v>0.10703269999999999</v>
      </c>
      <c r="X3209">
        <v>0.8096835</v>
      </c>
      <c r="Y3209">
        <v>0.66618849999999996</v>
      </c>
      <c r="Z3209">
        <v>0.103598</v>
      </c>
      <c r="AA3209">
        <v>0.73855280000000001</v>
      </c>
      <c r="AB3209">
        <v>28</v>
      </c>
      <c r="AC3209">
        <v>-10.2889999999999</v>
      </c>
      <c r="AD3209">
        <v>-1.1015123273859999</v>
      </c>
      <c r="AE3209">
        <v>-4.1966000000000099</v>
      </c>
      <c r="AF3209">
        <v>7.5162009556858598</v>
      </c>
      <c r="AG3209">
        <v>-1.1015123273859999</v>
      </c>
      <c r="AH3209">
        <v>8.0368117067646594</v>
      </c>
      <c r="AI3209">
        <v>95.716430515577102</v>
      </c>
      <c r="AJ3209">
        <v>46.9171633339542</v>
      </c>
      <c r="AK3209">
        <v>11.058795080099101</v>
      </c>
      <c r="AL3209">
        <v>83.855708061866594</v>
      </c>
      <c r="AM3209">
        <v>54.524289139141104</v>
      </c>
      <c r="AN3209">
        <v>0.99999997510637395</v>
      </c>
    </row>
    <row r="3210" spans="1:40" x14ac:dyDescent="0.25">
      <c r="A3210" t="str">
        <f>"20190312164330563"</f>
        <v>20190312164330563</v>
      </c>
      <c r="B3210" t="str">
        <f>"1552380210557855"</f>
        <v>1552380210557855</v>
      </c>
      <c r="C3210" t="s">
        <v>40</v>
      </c>
      <c r="D3210">
        <v>4.6310269999999996</v>
      </c>
      <c r="E3210">
        <v>0.55931709999999901</v>
      </c>
      <c r="F3210" t="s">
        <v>49</v>
      </c>
      <c r="G3210">
        <v>-204.8545</v>
      </c>
      <c r="H3210" s="1">
        <v>-9.5093090000000002E-6</v>
      </c>
      <c r="I3210">
        <v>146.68559999999999</v>
      </c>
      <c r="J3210">
        <v>-195.07409999999999</v>
      </c>
      <c r="K3210">
        <v>1.101175</v>
      </c>
      <c r="L3210">
        <v>150.5513</v>
      </c>
      <c r="M3210">
        <v>-0.4296777</v>
      </c>
      <c r="N3210">
        <v>0</v>
      </c>
      <c r="O3210">
        <v>-0.90287580000000001</v>
      </c>
      <c r="P3210">
        <v>-0.86709519999999995</v>
      </c>
      <c r="Q3210">
        <v>0.1058238</v>
      </c>
      <c r="R3210">
        <v>-0.4867726</v>
      </c>
      <c r="S3210">
        <v>-2.842209</v>
      </c>
      <c r="T3210">
        <v>-0.31589660000000003</v>
      </c>
      <c r="U3210">
        <v>-1.1806639999999999</v>
      </c>
      <c r="V3210">
        <v>0.57622150000000005</v>
      </c>
      <c r="W3210">
        <v>0.1043992</v>
      </c>
      <c r="X3210">
        <v>0.81059829999999999</v>
      </c>
      <c r="Y3210">
        <v>0.66320570000000001</v>
      </c>
      <c r="Z3210">
        <v>0.1089852</v>
      </c>
      <c r="AA3210">
        <v>0.7404596</v>
      </c>
      <c r="AB3210">
        <v>27</v>
      </c>
      <c r="AC3210">
        <v>-9.7804000000000109</v>
      </c>
      <c r="AD3210">
        <v>-1.101184509309</v>
      </c>
      <c r="AE3210">
        <v>-3.8656999999999999</v>
      </c>
      <c r="AF3210">
        <v>7.0924104873618301</v>
      </c>
      <c r="AG3210">
        <v>-1.101184509309</v>
      </c>
      <c r="AH3210">
        <v>7.6099716870116803</v>
      </c>
      <c r="AI3210">
        <v>96.042640114969501</v>
      </c>
      <c r="AJ3210">
        <v>47.016124450633598</v>
      </c>
      <c r="AK3210">
        <v>10.4607152203805</v>
      </c>
      <c r="AL3210">
        <v>84.007447026534905</v>
      </c>
      <c r="AM3210">
        <v>54.592520553508002</v>
      </c>
      <c r="AN3210">
        <v>1.0000000069928801</v>
      </c>
    </row>
    <row r="3211" spans="1:40" x14ac:dyDescent="0.25">
      <c r="A3211" t="str">
        <f>"20190312164330585"</f>
        <v>20190312164330585</v>
      </c>
      <c r="B3211" t="str">
        <f>"1552380210577375"</f>
        <v>1552380210577375</v>
      </c>
      <c r="C3211" t="s">
        <v>40</v>
      </c>
      <c r="D3211">
        <v>4.6435849999999999</v>
      </c>
      <c r="E3211">
        <v>0.55876559999999997</v>
      </c>
      <c r="F3211" t="s">
        <v>49</v>
      </c>
      <c r="G3211">
        <v>-204.71039999999999</v>
      </c>
      <c r="H3211" s="1">
        <v>-9.5596519999999997E-6</v>
      </c>
      <c r="I3211">
        <v>146.67089999999999</v>
      </c>
      <c r="J3211">
        <v>-195.20570000000001</v>
      </c>
      <c r="K3211">
        <v>1.100862</v>
      </c>
      <c r="L3211">
        <v>150.30600000000001</v>
      </c>
      <c r="M3211">
        <v>-0.44121320000000003</v>
      </c>
      <c r="N3211">
        <v>0</v>
      </c>
      <c r="O3211">
        <v>-0.89729409999999898</v>
      </c>
      <c r="P3211">
        <v>-0.87283999999999995</v>
      </c>
      <c r="Q3211">
        <v>0.10424650000000001</v>
      </c>
      <c r="R3211">
        <v>-0.47674290000000002</v>
      </c>
      <c r="S3211">
        <v>-2.8543850000000002</v>
      </c>
      <c r="T3211">
        <v>-0.326183</v>
      </c>
      <c r="U3211">
        <v>-1.1494139999999999</v>
      </c>
      <c r="V3211">
        <v>0.5753878</v>
      </c>
      <c r="W3211">
        <v>0.1024983</v>
      </c>
      <c r="X3211">
        <v>0.81143269999999901</v>
      </c>
      <c r="Y3211">
        <v>0.66135259999999996</v>
      </c>
      <c r="Z3211">
        <v>0.1123379</v>
      </c>
      <c r="AA3211">
        <v>0.74161509999999997</v>
      </c>
      <c r="AB3211">
        <v>27</v>
      </c>
      <c r="AC3211">
        <v>-9.5046999999999802</v>
      </c>
      <c r="AD3211">
        <v>-1.100871559652</v>
      </c>
      <c r="AE3211">
        <v>-3.63510000000002</v>
      </c>
      <c r="AF3211">
        <v>6.8452178003658899</v>
      </c>
      <c r="AG3211">
        <v>-1.100871559652</v>
      </c>
      <c r="AH3211">
        <v>7.3698254405568697</v>
      </c>
      <c r="AI3211">
        <v>96.246048668575895</v>
      </c>
      <c r="AJ3211">
        <v>47.113547472600096</v>
      </c>
      <c r="AK3211">
        <v>10.118460947672601</v>
      </c>
      <c r="AL3211">
        <v>84.116948188798204</v>
      </c>
      <c r="AM3211">
        <v>54.6595054906577</v>
      </c>
      <c r="AN3211">
        <v>1.0000000242605001</v>
      </c>
    </row>
    <row r="3212" spans="1:40" x14ac:dyDescent="0.25">
      <c r="A3212" t="str">
        <f>"20190312164330607"</f>
        <v>20190312164330607</v>
      </c>
      <c r="B3212" t="str">
        <f>"1552380210597870"</f>
        <v>1552380210597870</v>
      </c>
      <c r="C3212" t="s">
        <v>40</v>
      </c>
      <c r="D3212">
        <v>4.6605509999999999</v>
      </c>
      <c r="E3212">
        <v>0.55830009999999997</v>
      </c>
      <c r="F3212" t="s">
        <v>49</v>
      </c>
      <c r="G3212">
        <v>-204.70089999999999</v>
      </c>
      <c r="H3212" s="1">
        <v>-9.5433939999999994E-6</v>
      </c>
      <c r="I3212">
        <v>146.59569999999999</v>
      </c>
      <c r="J3212">
        <v>-195.34119999999999</v>
      </c>
      <c r="K3212">
        <v>1.100579</v>
      </c>
      <c r="L3212">
        <v>150.06180000000001</v>
      </c>
      <c r="M3212">
        <v>-0.45302799999999999</v>
      </c>
      <c r="N3212">
        <v>0</v>
      </c>
      <c r="O3212">
        <v>-0.89138629999999996</v>
      </c>
      <c r="P3212">
        <v>-0.87872209999999995</v>
      </c>
      <c r="Q3212">
        <v>0.1033729</v>
      </c>
      <c r="R3212">
        <v>-0.46600639999999999</v>
      </c>
      <c r="S3212">
        <v>-2.8652039999999999</v>
      </c>
      <c r="T3212">
        <v>-0.33219340000000003</v>
      </c>
      <c r="U3212">
        <v>-1.1195980000000001</v>
      </c>
      <c r="V3212">
        <v>0.57475390000000004</v>
      </c>
      <c r="W3212">
        <v>0.1013347</v>
      </c>
      <c r="X3212">
        <v>0.81202779999999997</v>
      </c>
      <c r="Y3212">
        <v>0.65891469999999996</v>
      </c>
      <c r="Z3212">
        <v>0.1141855</v>
      </c>
      <c r="AA3212">
        <v>0.74350050000000001</v>
      </c>
      <c r="AB3212">
        <v>27</v>
      </c>
      <c r="AC3212">
        <v>-9.3597000000000001</v>
      </c>
      <c r="AD3212">
        <v>-1.1005885433939999</v>
      </c>
      <c r="AE3212">
        <v>-3.4661000000000102</v>
      </c>
      <c r="AF3212">
        <v>6.6921593819306198</v>
      </c>
      <c r="AG3212">
        <v>-1.1005885433939999</v>
      </c>
      <c r="AH3212">
        <v>7.2424944686935397</v>
      </c>
      <c r="AI3212">
        <v>96.368458639252296</v>
      </c>
      <c r="AJ3212">
        <v>47.261663564697102</v>
      </c>
      <c r="AK3212">
        <v>9.9221982677262002</v>
      </c>
      <c r="AL3212">
        <v>84.183966137775101</v>
      </c>
      <c r="AM3212">
        <v>54.709110667271297</v>
      </c>
      <c r="AN3212">
        <v>0.99999995748106896</v>
      </c>
    </row>
    <row r="3213" spans="1:40" x14ac:dyDescent="0.25">
      <c r="A3213" t="str">
        <f>"20190312164330630"</f>
        <v>20190312164330630</v>
      </c>
      <c r="B3213" t="str">
        <f>"1552380210617393"</f>
        <v>1552380210617393</v>
      </c>
      <c r="C3213" t="s">
        <v>40</v>
      </c>
      <c r="D3213">
        <v>4.6442750000000004</v>
      </c>
      <c r="E3213">
        <v>0.55778719999999904</v>
      </c>
      <c r="F3213" t="s">
        <v>49</v>
      </c>
      <c r="G3213">
        <v>-204.9222</v>
      </c>
      <c r="H3213" s="1">
        <v>-9.4199740000000001E-6</v>
      </c>
      <c r="I3213">
        <v>146.44380000000001</v>
      </c>
      <c r="J3213">
        <v>-195.4796</v>
      </c>
      <c r="K3213">
        <v>1.1003320000000001</v>
      </c>
      <c r="L3213">
        <v>149.82060000000001</v>
      </c>
      <c r="M3213">
        <v>-0.4650128</v>
      </c>
      <c r="N3213">
        <v>0</v>
      </c>
      <c r="O3213">
        <v>-0.88519179999999997</v>
      </c>
      <c r="P3213">
        <v>-0.8840808</v>
      </c>
      <c r="Q3213">
        <v>0.10326349999999999</v>
      </c>
      <c r="R3213">
        <v>-0.45578259999999998</v>
      </c>
      <c r="S3213">
        <v>-2.8768159999999998</v>
      </c>
      <c r="T3213">
        <v>-0.33046720000000002</v>
      </c>
      <c r="U3213">
        <v>-1.086365</v>
      </c>
      <c r="V3213">
        <v>0.57328369999999995</v>
      </c>
      <c r="W3213">
        <v>0.1009931</v>
      </c>
      <c r="X3213">
        <v>0.81310899999999997</v>
      </c>
      <c r="Y3213">
        <v>0.65740410000000005</v>
      </c>
      <c r="Z3213">
        <v>0.11340550000000001</v>
      </c>
      <c r="AA3213">
        <v>0.7449557</v>
      </c>
      <c r="AB3213">
        <v>27</v>
      </c>
      <c r="AC3213">
        <v>-9.4426000000000005</v>
      </c>
      <c r="AD3213">
        <v>-1.10034141997399</v>
      </c>
      <c r="AE3213">
        <v>-3.3767999999999998</v>
      </c>
      <c r="AF3213">
        <v>6.7081684086097297</v>
      </c>
      <c r="AG3213">
        <v>-1.10034141997399</v>
      </c>
      <c r="AH3213">
        <v>7.2929751010862898</v>
      </c>
      <c r="AI3213">
        <v>96.336470821917104</v>
      </c>
      <c r="AJ3213">
        <v>47.3917682271112</v>
      </c>
      <c r="AK3213">
        <v>9.9698425496015002</v>
      </c>
      <c r="AL3213">
        <v>84.203639705697299</v>
      </c>
      <c r="AM3213">
        <v>54.8141933088813</v>
      </c>
      <c r="AN3213">
        <v>1.00000002640714</v>
      </c>
    </row>
    <row r="3214" spans="1:40" x14ac:dyDescent="0.25">
      <c r="A3214" t="str">
        <f>"20190312164330653"</f>
        <v>20190312164330653</v>
      </c>
      <c r="B3214" t="str">
        <f>"1552380210647646"</f>
        <v>1552380210647646</v>
      </c>
      <c r="C3214" t="s">
        <v>40</v>
      </c>
      <c r="D3214">
        <v>4.5642050000000003</v>
      </c>
      <c r="E3214">
        <v>0.55690779999999995</v>
      </c>
      <c r="F3214" t="s">
        <v>49</v>
      </c>
      <c r="G3214">
        <v>-205.2372</v>
      </c>
      <c r="H3214" s="1">
        <v>-9.2335360000000008E-6</v>
      </c>
      <c r="I3214">
        <v>146.2576</v>
      </c>
      <c r="J3214">
        <v>-195.6302</v>
      </c>
      <c r="K3214">
        <v>1.1000829999999999</v>
      </c>
      <c r="L3214">
        <v>149.5669</v>
      </c>
      <c r="M3214">
        <v>-0.47795330000000003</v>
      </c>
      <c r="N3214">
        <v>0</v>
      </c>
      <c r="O3214">
        <v>-0.87827119999999903</v>
      </c>
      <c r="P3214">
        <v>-0.890190699999999</v>
      </c>
      <c r="Q3214">
        <v>0.1029109</v>
      </c>
      <c r="R3214">
        <v>-0.44381369999999998</v>
      </c>
      <c r="S3214">
        <v>-2.887772</v>
      </c>
      <c r="T3214">
        <v>-0.32564870000000001</v>
      </c>
      <c r="U3214">
        <v>-1.0544739999999999</v>
      </c>
      <c r="V3214">
        <v>0.57240749999999996</v>
      </c>
      <c r="W3214">
        <v>0.1003925</v>
      </c>
      <c r="X3214">
        <v>0.81380030000000003</v>
      </c>
      <c r="Y3214">
        <v>0.65477350000000001</v>
      </c>
      <c r="Z3214">
        <v>0.1114827</v>
      </c>
      <c r="AA3214">
        <v>0.74755819999999995</v>
      </c>
      <c r="AB3214">
        <v>27</v>
      </c>
      <c r="AC3214">
        <v>-9.6069999999999993</v>
      </c>
      <c r="AD3214">
        <v>-1.1000922335359999</v>
      </c>
      <c r="AE3214">
        <v>-3.3092999999999999</v>
      </c>
      <c r="AF3214">
        <v>6.7771091514855604</v>
      </c>
      <c r="AG3214">
        <v>-1.1000922335359999</v>
      </c>
      <c r="AH3214">
        <v>7.4120309018652497</v>
      </c>
      <c r="AI3214">
        <v>96.250983856024703</v>
      </c>
      <c r="AJ3214">
        <v>47.562106339369102</v>
      </c>
      <c r="AK3214">
        <v>10.1033466467127</v>
      </c>
      <c r="AL3214">
        <v>84.238226980257494</v>
      </c>
      <c r="AM3214">
        <v>54.878371134126901</v>
      </c>
      <c r="AN3214">
        <v>0.999999964196294</v>
      </c>
    </row>
    <row r="3215" spans="1:40" x14ac:dyDescent="0.25">
      <c r="A3215" t="str">
        <f>"20190312164330676"</f>
        <v>20190312164330676</v>
      </c>
      <c r="B3215" t="str">
        <f>"1552380210668142"</f>
        <v>1552380210668142</v>
      </c>
      <c r="C3215" t="s">
        <v>40</v>
      </c>
      <c r="D3215">
        <v>4.5687579999999999</v>
      </c>
      <c r="E3215">
        <v>0.55650169999999999</v>
      </c>
      <c r="F3215" t="s">
        <v>49</v>
      </c>
      <c r="G3215">
        <v>-205.6026</v>
      </c>
      <c r="H3215" s="1">
        <v>-9.0189480000000006E-6</v>
      </c>
      <c r="I3215">
        <v>146.05860000000001</v>
      </c>
      <c r="J3215">
        <v>-195.77850000000001</v>
      </c>
      <c r="K3215">
        <v>1.0998509999999999</v>
      </c>
      <c r="L3215">
        <v>149.32579999999999</v>
      </c>
      <c r="M3215">
        <v>-0.49056290000000002</v>
      </c>
      <c r="N3215">
        <v>0</v>
      </c>
      <c r="O3215">
        <v>-0.87128969999999994</v>
      </c>
      <c r="P3215">
        <v>-0.89583599999999997</v>
      </c>
      <c r="Q3215">
        <v>0.1024612</v>
      </c>
      <c r="R3215">
        <v>-0.43241170000000001</v>
      </c>
      <c r="S3215">
        <v>-2.8986510000000001</v>
      </c>
      <c r="T3215">
        <v>-0.31976179999999998</v>
      </c>
      <c r="U3215">
        <v>-1.0197449999999999</v>
      </c>
      <c r="V3215">
        <v>0.57115509999999903</v>
      </c>
      <c r="W3215">
        <v>9.9733050000000004E-2</v>
      </c>
      <c r="X3215">
        <v>0.81476079999999995</v>
      </c>
      <c r="Y3215">
        <v>0.65301849999999995</v>
      </c>
      <c r="Z3215">
        <v>0.1092376</v>
      </c>
      <c r="AA3215">
        <v>0.74942240000000004</v>
      </c>
      <c r="AB3215">
        <v>27</v>
      </c>
      <c r="AC3215">
        <v>-9.8240999999999801</v>
      </c>
      <c r="AD3215">
        <v>-1.0998600189479999</v>
      </c>
      <c r="AE3215">
        <v>-3.2671999999999701</v>
      </c>
      <c r="AF3215">
        <v>6.8799286531373598</v>
      </c>
      <c r="AG3215">
        <v>-1.0998600189479999</v>
      </c>
      <c r="AH3215">
        <v>7.5812323131110704</v>
      </c>
      <c r="AI3215">
        <v>96.131958749753693</v>
      </c>
      <c r="AJ3215">
        <v>47.776421902647002</v>
      </c>
      <c r="AK3215">
        <v>10.296513668174301</v>
      </c>
      <c r="AL3215">
        <v>84.276201451337698</v>
      </c>
      <c r="AM3215">
        <v>54.969177519381603</v>
      </c>
      <c r="AN3215">
        <v>0.99999999536747597</v>
      </c>
    </row>
    <row r="3216" spans="1:40" x14ac:dyDescent="0.25">
      <c r="A3216" t="str">
        <f>"20190312164330697"</f>
        <v>20190312164330697</v>
      </c>
      <c r="B3216" t="str">
        <f>"1552380210687662"</f>
        <v>1552380210687662</v>
      </c>
      <c r="C3216" t="s">
        <v>40</v>
      </c>
      <c r="D3216">
        <v>4.4953669999999999</v>
      </c>
      <c r="E3216">
        <v>0.55603549999999902</v>
      </c>
      <c r="F3216" t="s">
        <v>49</v>
      </c>
      <c r="G3216">
        <v>-205.86410000000001</v>
      </c>
      <c r="H3216" s="1">
        <v>-8.865514E-6</v>
      </c>
      <c r="I3216">
        <v>145.91669999999999</v>
      </c>
      <c r="J3216">
        <v>-195.92310000000001</v>
      </c>
      <c r="K3216">
        <v>1.099634</v>
      </c>
      <c r="L3216">
        <v>149.09829999999999</v>
      </c>
      <c r="M3216">
        <v>-0.50274379999999996</v>
      </c>
      <c r="N3216">
        <v>0</v>
      </c>
      <c r="O3216">
        <v>-0.86431709999999995</v>
      </c>
      <c r="P3216">
        <v>-0.90092459999999996</v>
      </c>
      <c r="Q3216">
        <v>0.10220310000000001</v>
      </c>
      <c r="R3216">
        <v>-0.42176920000000001</v>
      </c>
      <c r="S3216">
        <v>-2.9103089999999998</v>
      </c>
      <c r="T3216">
        <v>-0.31737480000000001</v>
      </c>
      <c r="U3216">
        <v>-0.98373409999999994</v>
      </c>
      <c r="V3216">
        <v>0.56943859999999902</v>
      </c>
      <c r="W3216">
        <v>9.9299849999999995E-2</v>
      </c>
      <c r="X3216">
        <v>0.81601420000000002</v>
      </c>
      <c r="Y3216">
        <v>0.65177799999999997</v>
      </c>
      <c r="Z3216">
        <v>0.1081594</v>
      </c>
      <c r="AA3216">
        <v>0.75065769999999998</v>
      </c>
      <c r="AB3216">
        <v>27</v>
      </c>
      <c r="AC3216">
        <v>-9.9410000000000007</v>
      </c>
      <c r="AD3216">
        <v>-1.099642865514</v>
      </c>
      <c r="AE3216">
        <v>-3.1816</v>
      </c>
      <c r="AF3216">
        <v>6.9165934771247297</v>
      </c>
      <c r="AG3216">
        <v>-1.099642865514</v>
      </c>
      <c r="AH3216">
        <v>7.6634223172715901</v>
      </c>
      <c r="AI3216">
        <v>96.080337399020493</v>
      </c>
      <c r="AJ3216">
        <v>47.932285952388099</v>
      </c>
      <c r="AK3216">
        <v>10.381547156967301</v>
      </c>
      <c r="AL3216">
        <v>84.301145704130207</v>
      </c>
      <c r="AM3216">
        <v>55.0915369075272</v>
      </c>
      <c r="AN3216">
        <v>0.999999976990811</v>
      </c>
    </row>
    <row r="3217" spans="1:40" x14ac:dyDescent="0.25">
      <c r="A3217" t="str">
        <f>"20190312164330719"</f>
        <v>20190312164330719</v>
      </c>
      <c r="B3217" t="str">
        <f>"1552380210708158"</f>
        <v>1552380210708158</v>
      </c>
      <c r="C3217" t="s">
        <v>40</v>
      </c>
      <c r="D3217">
        <v>4.4185270000000001</v>
      </c>
      <c r="E3217">
        <v>0.55561510000000003</v>
      </c>
      <c r="F3217" t="s">
        <v>49</v>
      </c>
      <c r="G3217">
        <v>-206.13749999999999</v>
      </c>
      <c r="H3217" s="1">
        <v>-8.707153E-6</v>
      </c>
      <c r="I3217">
        <v>145.77610000000001</v>
      </c>
      <c r="J3217">
        <v>-196.0745</v>
      </c>
      <c r="K3217">
        <v>1.099407</v>
      </c>
      <c r="L3217">
        <v>148.8681</v>
      </c>
      <c r="M3217">
        <v>-0.51534530000000001</v>
      </c>
      <c r="N3217">
        <v>0</v>
      </c>
      <c r="O3217">
        <v>-0.85686189999999995</v>
      </c>
      <c r="P3217">
        <v>-0.90597969999999906</v>
      </c>
      <c r="Q3217">
        <v>0.10348830000000001</v>
      </c>
      <c r="R3217">
        <v>-0.41047679999999998</v>
      </c>
      <c r="S3217">
        <v>-2.9208370000000001</v>
      </c>
      <c r="T3217">
        <v>-0.31444680000000003</v>
      </c>
      <c r="U3217">
        <v>-0.95001219999999997</v>
      </c>
      <c r="V3217">
        <v>0.56764700000000001</v>
      </c>
      <c r="W3217">
        <v>0.100412</v>
      </c>
      <c r="X3217">
        <v>0.81712559999999901</v>
      </c>
      <c r="Y3217">
        <v>0.64948930000000005</v>
      </c>
      <c r="Z3217">
        <v>0.10682170000000001</v>
      </c>
      <c r="AA3217">
        <v>0.75282990000000005</v>
      </c>
      <c r="AB3217">
        <v>27</v>
      </c>
      <c r="AC3217">
        <v>-10.062999999999899</v>
      </c>
      <c r="AD3217">
        <v>-1.099415707153</v>
      </c>
      <c r="AE3217">
        <v>-3.0919999999999801</v>
      </c>
      <c r="AF3217">
        <v>6.9540362205895603</v>
      </c>
      <c r="AG3217">
        <v>-1.099415707153</v>
      </c>
      <c r="AH3217">
        <v>7.75160401988507</v>
      </c>
      <c r="AI3217">
        <v>96.026595669144498</v>
      </c>
      <c r="AJ3217">
        <v>48.104423943728101</v>
      </c>
      <c r="AK3217">
        <v>10.471613989042201</v>
      </c>
      <c r="AL3217">
        <v>84.237104050166096</v>
      </c>
      <c r="AM3217">
        <v>55.212771682103401</v>
      </c>
      <c r="AN3217">
        <v>0.99999996626417897</v>
      </c>
    </row>
    <row r="3218" spans="1:40" x14ac:dyDescent="0.25">
      <c r="A3218" t="str">
        <f>"20190312164330741"</f>
        <v>20190312164330741</v>
      </c>
      <c r="B3218" t="str">
        <f>"1552380210727693"</f>
        <v>1552380210727693</v>
      </c>
      <c r="C3218" t="s">
        <v>40</v>
      </c>
      <c r="D3218">
        <v>4.3998929999999996</v>
      </c>
      <c r="E3218">
        <v>0.55520329999999996</v>
      </c>
      <c r="F3218" t="s">
        <v>49</v>
      </c>
      <c r="G3218">
        <v>-206.5712</v>
      </c>
      <c r="H3218" s="1">
        <v>-8.4668449999999997E-6</v>
      </c>
      <c r="I3218">
        <v>145.5942</v>
      </c>
      <c r="J3218">
        <v>-196.21979999999999</v>
      </c>
      <c r="K3218">
        <v>1.099213</v>
      </c>
      <c r="L3218">
        <v>148.6542</v>
      </c>
      <c r="M3218">
        <v>-0.5272983</v>
      </c>
      <c r="N3218">
        <v>0</v>
      </c>
      <c r="O3218">
        <v>-0.84955729999999996</v>
      </c>
      <c r="P3218">
        <v>-0.91106889999999996</v>
      </c>
      <c r="Q3218">
        <v>0.1048856</v>
      </c>
      <c r="R3218">
        <v>-0.39868940000000003</v>
      </c>
      <c r="S3218">
        <v>-2.9321139999999999</v>
      </c>
      <c r="T3218">
        <v>-0.3071083</v>
      </c>
      <c r="U3218">
        <v>-0.91450500000000001</v>
      </c>
      <c r="V3218">
        <v>0.56674979999999997</v>
      </c>
      <c r="W3218">
        <v>0.10162640000000001</v>
      </c>
      <c r="X3218">
        <v>0.81759819999999905</v>
      </c>
      <c r="Y3218">
        <v>0.64831640000000001</v>
      </c>
      <c r="Z3218">
        <v>0.1040177</v>
      </c>
      <c r="AA3218">
        <v>0.75423219999999902</v>
      </c>
      <c r="AB3218">
        <v>27</v>
      </c>
      <c r="AC3218">
        <v>-10.3514</v>
      </c>
      <c r="AD3218">
        <v>-1.099221466845</v>
      </c>
      <c r="AE3218">
        <v>-3.06</v>
      </c>
      <c r="AF3218">
        <v>7.1076171520585598</v>
      </c>
      <c r="AG3218">
        <v>-1.099221466845</v>
      </c>
      <c r="AH3218">
        <v>7.9760492889756103</v>
      </c>
      <c r="AI3218">
        <v>95.874511311642706</v>
      </c>
      <c r="AJ3218">
        <v>48.2951289879557</v>
      </c>
      <c r="AK3218">
        <v>10.7398264266038</v>
      </c>
      <c r="AL3218">
        <v>84.167166704999801</v>
      </c>
      <c r="AM3218">
        <v>55.270738973180599</v>
      </c>
      <c r="AN3218">
        <v>1.00000003881011</v>
      </c>
    </row>
    <row r="3219" spans="1:40" x14ac:dyDescent="0.25">
      <c r="A3219" t="str">
        <f>"20190312164330763"</f>
        <v>20190312164330763</v>
      </c>
      <c r="B3219" t="str">
        <f>"1552380210757934"</f>
        <v>1552380210757934</v>
      </c>
      <c r="C3219" t="s">
        <v>40</v>
      </c>
      <c r="D3219">
        <v>4.2766310000000001</v>
      </c>
      <c r="E3219">
        <v>0.55454859999999995</v>
      </c>
      <c r="F3219" t="s">
        <v>49</v>
      </c>
      <c r="G3219">
        <v>-206.99080000000001</v>
      </c>
      <c r="H3219" s="1">
        <v>-8.2385000000000008E-6</v>
      </c>
      <c r="I3219">
        <v>145.4342</v>
      </c>
      <c r="J3219">
        <v>-196.3828</v>
      </c>
      <c r="K3219">
        <v>1.0990150000000001</v>
      </c>
      <c r="L3219">
        <v>148.4229</v>
      </c>
      <c r="M3219">
        <v>-0.5405105</v>
      </c>
      <c r="N3219">
        <v>0</v>
      </c>
      <c r="O3219">
        <v>-0.84121179999999995</v>
      </c>
      <c r="P3219">
        <v>-0.91672589999999998</v>
      </c>
      <c r="Q3219">
        <v>0.10637770000000001</v>
      </c>
      <c r="R3219">
        <v>-0.3850942</v>
      </c>
      <c r="S3219">
        <v>-2.9424589999999999</v>
      </c>
      <c r="T3219">
        <v>-0.3002898</v>
      </c>
      <c r="U3219">
        <v>-0.87965389999999999</v>
      </c>
      <c r="V3219">
        <v>0.56608009999999997</v>
      </c>
      <c r="W3219">
        <v>0.1029219</v>
      </c>
      <c r="X3219">
        <v>0.81789999999999996</v>
      </c>
      <c r="Y3219">
        <v>0.64567459999999999</v>
      </c>
      <c r="Z3219">
        <v>0.10129440000000001</v>
      </c>
      <c r="AA3219">
        <v>0.75686439999999999</v>
      </c>
      <c r="AB3219">
        <v>27</v>
      </c>
      <c r="AC3219">
        <v>-10.608000000000001</v>
      </c>
      <c r="AD3219">
        <v>-1.0990232384999901</v>
      </c>
      <c r="AE3219">
        <v>-2.9886999999999899</v>
      </c>
      <c r="AF3219">
        <v>7.2369562451924203</v>
      </c>
      <c r="AG3219">
        <v>-1.0990232384999901</v>
      </c>
      <c r="AH3219">
        <v>8.1675157540867502</v>
      </c>
      <c r="AI3219">
        <v>95.751018719309599</v>
      </c>
      <c r="AJ3219">
        <v>48.456945461412701</v>
      </c>
      <c r="AK3219">
        <v>10.9676661768512</v>
      </c>
      <c r="AL3219">
        <v>84.092548533255098</v>
      </c>
      <c r="AM3219">
        <v>55.312346415601503</v>
      </c>
      <c r="AN3219">
        <v>1.0000000035578001</v>
      </c>
    </row>
    <row r="3220" spans="1:40" x14ac:dyDescent="0.25">
      <c r="A3220" t="str">
        <f>"20190312164330786"</f>
        <v>20190312164330786</v>
      </c>
      <c r="B3220" t="str">
        <f>"1552380210777455"</f>
        <v>1552380210777455</v>
      </c>
      <c r="C3220" t="s">
        <v>40</v>
      </c>
      <c r="D3220">
        <v>4.7508239999999997</v>
      </c>
      <c r="E3220">
        <v>0.55414619999999903</v>
      </c>
      <c r="F3220" t="s">
        <v>49</v>
      </c>
      <c r="G3220">
        <v>-207.483</v>
      </c>
      <c r="H3220" s="1">
        <v>-7.9750989999999999E-6</v>
      </c>
      <c r="I3220">
        <v>145.26320000000001</v>
      </c>
      <c r="J3220">
        <v>-196.55430000000001</v>
      </c>
      <c r="K3220">
        <v>1.0988290000000001</v>
      </c>
      <c r="L3220">
        <v>148.18790000000001</v>
      </c>
      <c r="M3220">
        <v>-0.55419739999999995</v>
      </c>
      <c r="N3220">
        <v>0</v>
      </c>
      <c r="O3220">
        <v>-0.83225729999999998</v>
      </c>
      <c r="P3220">
        <v>-0.92202669999999998</v>
      </c>
      <c r="Q3220">
        <v>0.1065226</v>
      </c>
      <c r="R3220">
        <v>-0.37218319999999999</v>
      </c>
      <c r="S3220">
        <v>-2.9533079999999998</v>
      </c>
      <c r="T3220">
        <v>-0.29240440000000001</v>
      </c>
      <c r="U3220">
        <v>-0.84065249999999903</v>
      </c>
      <c r="V3220">
        <v>0.56422349999999999</v>
      </c>
      <c r="W3220">
        <v>0.1029327</v>
      </c>
      <c r="X3220">
        <v>0.81918049999999998</v>
      </c>
      <c r="Y3220">
        <v>0.64352469999999995</v>
      </c>
      <c r="Z3220">
        <v>9.8213380000000003E-2</v>
      </c>
      <c r="AA3220">
        <v>0.75909819999999995</v>
      </c>
      <c r="AB3220">
        <v>27</v>
      </c>
      <c r="AC3220">
        <v>-10.9286999999999</v>
      </c>
      <c r="AD3220">
        <v>-1.0988369750989999</v>
      </c>
      <c r="AE3220">
        <v>-2.9247000000000001</v>
      </c>
      <c r="AF3220">
        <v>7.4055624825853101</v>
      </c>
      <c r="AG3220">
        <v>-1.0988369750989999</v>
      </c>
      <c r="AH3220">
        <v>8.4123041076688594</v>
      </c>
      <c r="AI3220">
        <v>95.599629947285493</v>
      </c>
      <c r="AJ3220">
        <v>48.641726813185201</v>
      </c>
      <c r="AK3220">
        <v>11.2612902804795</v>
      </c>
      <c r="AL3220">
        <v>84.091926384835901</v>
      </c>
      <c r="AM3220">
        <v>55.442258954953402</v>
      </c>
      <c r="AN3220">
        <v>0.99999999513089399</v>
      </c>
    </row>
    <row r="3221" spans="1:40" x14ac:dyDescent="0.25">
      <c r="A3221" t="str">
        <f>"20190312164330807"</f>
        <v>20190312164330807</v>
      </c>
      <c r="B3221" t="str">
        <f>"1552380210797950"</f>
        <v>1552380210797950</v>
      </c>
      <c r="C3221" t="s">
        <v>40</v>
      </c>
      <c r="D3221">
        <v>4.1894879999999999</v>
      </c>
      <c r="E3221">
        <v>0.55373190000000005</v>
      </c>
      <c r="F3221" t="s">
        <v>49</v>
      </c>
      <c r="G3221">
        <v>-207.83580000000001</v>
      </c>
      <c r="H3221" s="1">
        <v>-7.787226E-6</v>
      </c>
      <c r="I3221">
        <v>145.14410000000001</v>
      </c>
      <c r="J3221">
        <v>-196.71619999999999</v>
      </c>
      <c r="K3221">
        <v>1.098679</v>
      </c>
      <c r="L3221">
        <v>147.9734</v>
      </c>
      <c r="M3221">
        <v>-0.56689060000000002</v>
      </c>
      <c r="N3221">
        <v>0</v>
      </c>
      <c r="O3221">
        <v>-0.82366260000000002</v>
      </c>
      <c r="P3221">
        <v>-0.92627630000000005</v>
      </c>
      <c r="Q3221">
        <v>0.1057109</v>
      </c>
      <c r="R3221">
        <v>-0.36171540000000002</v>
      </c>
      <c r="S3221">
        <v>-2.9642179999999998</v>
      </c>
      <c r="T3221">
        <v>-0.28871989999999997</v>
      </c>
      <c r="U3221">
        <v>-0.79975889999999905</v>
      </c>
      <c r="V3221">
        <v>0.56102949999999996</v>
      </c>
      <c r="W3221">
        <v>0.1020851</v>
      </c>
      <c r="X3221">
        <v>0.82147709999999996</v>
      </c>
      <c r="Y3221">
        <v>0.64245469999999905</v>
      </c>
      <c r="Z3221">
        <v>9.6586469999999994E-2</v>
      </c>
      <c r="AA3221">
        <v>0.76021240000000001</v>
      </c>
      <c r="AB3221">
        <v>27</v>
      </c>
      <c r="AC3221">
        <v>-11.1196</v>
      </c>
      <c r="AD3221">
        <v>-1.098686787226</v>
      </c>
      <c r="AE3221">
        <v>-2.8292999999999799</v>
      </c>
      <c r="AF3221">
        <v>7.4870578496316096</v>
      </c>
      <c r="AG3221">
        <v>-1.098686787226</v>
      </c>
      <c r="AH3221">
        <v>8.5564586760072299</v>
      </c>
      <c r="AI3221">
        <v>95.519540597638596</v>
      </c>
      <c r="AJ3221">
        <v>48.813481276433201</v>
      </c>
      <c r="AK3221">
        <v>11.422614979695901</v>
      </c>
      <c r="AL3221">
        <v>84.140747777574603</v>
      </c>
      <c r="AM3221">
        <v>55.6687959220409</v>
      </c>
      <c r="AN3221">
        <v>1.0000000466683301</v>
      </c>
    </row>
    <row r="3222" spans="1:40" x14ac:dyDescent="0.25">
      <c r="A3222" t="str">
        <f>"20190312164330830"</f>
        <v>20190312164330830</v>
      </c>
      <c r="B3222" t="str">
        <f>"1552380210817470"</f>
        <v>1552380210817470</v>
      </c>
      <c r="C3222" t="s">
        <v>40</v>
      </c>
      <c r="D3222">
        <v>4.2528620000000004</v>
      </c>
      <c r="E3222">
        <v>0.55331399999999997</v>
      </c>
      <c r="F3222" t="s">
        <v>49</v>
      </c>
      <c r="G3222">
        <v>-208.06129999999999</v>
      </c>
      <c r="H3222" s="1">
        <v>-7.6624369999999992E-6</v>
      </c>
      <c r="I3222">
        <v>145.05029999999999</v>
      </c>
      <c r="J3222">
        <v>-196.88310000000001</v>
      </c>
      <c r="K3222">
        <v>1.0985450000000001</v>
      </c>
      <c r="L3222">
        <v>147.75970000000001</v>
      </c>
      <c r="M3222">
        <v>-0.57972009999999996</v>
      </c>
      <c r="N3222">
        <v>0</v>
      </c>
      <c r="O3222">
        <v>-0.81468240000000003</v>
      </c>
      <c r="P3222">
        <v>-0.93057999999999996</v>
      </c>
      <c r="Q3222">
        <v>0.1067434</v>
      </c>
      <c r="R3222">
        <v>-0.35018129999999997</v>
      </c>
      <c r="S3222">
        <v>-2.9725489999999999</v>
      </c>
      <c r="T3222">
        <v>-0.28786919999999999</v>
      </c>
      <c r="U3222">
        <v>-0.76588440000000002</v>
      </c>
      <c r="V3222">
        <v>0.55833060000000001</v>
      </c>
      <c r="W3222">
        <v>0.10308589999999999</v>
      </c>
      <c r="X3222">
        <v>0.82318910000000001</v>
      </c>
      <c r="Y3222">
        <v>0.63919179999999998</v>
      </c>
      <c r="Z3222">
        <v>9.5791909999999994E-2</v>
      </c>
      <c r="AA3222">
        <v>0.76305809999999996</v>
      </c>
      <c r="AB3222">
        <v>27</v>
      </c>
      <c r="AC3222">
        <v>-11.178199999999901</v>
      </c>
      <c r="AD3222">
        <v>-1.0985526624369999</v>
      </c>
      <c r="AE3222">
        <v>-2.7094000000000098</v>
      </c>
      <c r="AF3222">
        <v>7.4686760915464099</v>
      </c>
      <c r="AG3222">
        <v>-1.0985526624369999</v>
      </c>
      <c r="AH3222">
        <v>8.6099288536082899</v>
      </c>
      <c r="AI3222">
        <v>95.505280766842404</v>
      </c>
      <c r="AJ3222">
        <v>49.060021718877401</v>
      </c>
      <c r="AK3222">
        <v>11.4507124397035</v>
      </c>
      <c r="AL3222">
        <v>84.083101922932102</v>
      </c>
      <c r="AM3222">
        <v>55.852793803430004</v>
      </c>
      <c r="AN3222">
        <v>1.0000000280169801</v>
      </c>
    </row>
    <row r="3223" spans="1:40" x14ac:dyDescent="0.25">
      <c r="A3223" t="str">
        <f>"20190312164330853"</f>
        <v>20190312164330853</v>
      </c>
      <c r="B3223" t="str">
        <f>"1552380210847726"</f>
        <v>1552380210847726</v>
      </c>
      <c r="C3223" t="s">
        <v>40</v>
      </c>
      <c r="D3223">
        <v>4.1885300000000001</v>
      </c>
      <c r="E3223">
        <v>0.55310059999999905</v>
      </c>
      <c r="F3223" t="s">
        <v>49</v>
      </c>
      <c r="G3223">
        <v>-208.44319999999999</v>
      </c>
      <c r="H3223" s="1">
        <v>-7.4586559999999999E-6</v>
      </c>
      <c r="I3223">
        <v>144.91990000000001</v>
      </c>
      <c r="J3223">
        <v>-197.06649999999999</v>
      </c>
      <c r="K3223">
        <v>1.0984119999999999</v>
      </c>
      <c r="L3223">
        <v>147.5326</v>
      </c>
      <c r="M3223">
        <v>-0.59352669999999996</v>
      </c>
      <c r="N3223">
        <v>0</v>
      </c>
      <c r="O3223">
        <v>-0.80467829999999996</v>
      </c>
      <c r="P3223">
        <v>-0.93498119999999996</v>
      </c>
      <c r="Q3223">
        <v>0.10915039999999999</v>
      </c>
      <c r="R3223">
        <v>-0.33748539999999999</v>
      </c>
      <c r="S3223">
        <v>-2.9807429999999999</v>
      </c>
      <c r="T3223">
        <v>-0.28325810000000001</v>
      </c>
      <c r="U3223">
        <v>-0.73222349999999903</v>
      </c>
      <c r="V3223">
        <v>0.5553669</v>
      </c>
      <c r="W3223">
        <v>0.105488</v>
      </c>
      <c r="X3223">
        <v>0.82488779999999995</v>
      </c>
      <c r="Y3223">
        <v>0.63493159999999904</v>
      </c>
      <c r="Z3223">
        <v>9.3645580000000006E-2</v>
      </c>
      <c r="AA3223">
        <v>0.76687179999999999</v>
      </c>
      <c r="AB3223">
        <v>27</v>
      </c>
      <c r="AC3223">
        <v>-11.3767</v>
      </c>
      <c r="AD3223">
        <v>-1.0984194586560001</v>
      </c>
      <c r="AE3223">
        <v>-2.6126999999999798</v>
      </c>
      <c r="AF3223">
        <v>7.53796105445437</v>
      </c>
      <c r="AG3223">
        <v>-1.0984194586560001</v>
      </c>
      <c r="AH3223">
        <v>8.7779993922987902</v>
      </c>
      <c r="AI3223">
        <v>95.423041276792404</v>
      </c>
      <c r="AJ3223">
        <v>49.346212842110397</v>
      </c>
      <c r="AK3223">
        <v>11.6224203803176</v>
      </c>
      <c r="AL3223">
        <v>83.944716935095897</v>
      </c>
      <c r="AM3223">
        <v>56.049054023422499</v>
      </c>
      <c r="AN3223">
        <v>0.99999999717422505</v>
      </c>
    </row>
    <row r="3224" spans="1:40" x14ac:dyDescent="0.25">
      <c r="A3224" t="str">
        <f>"20190312164330877"</f>
        <v>20190312164330877</v>
      </c>
      <c r="B3224" t="str">
        <f>"1552380210868222"</f>
        <v>1552380210868222</v>
      </c>
      <c r="C3224" t="s">
        <v>40</v>
      </c>
      <c r="D3224">
        <v>4.238918</v>
      </c>
      <c r="E3224">
        <v>0.55338339999999997</v>
      </c>
      <c r="F3224" t="s">
        <v>49</v>
      </c>
      <c r="G3224">
        <v>-209.08690000000001</v>
      </c>
      <c r="H3224" s="1">
        <v>-7.1270319999999997E-6</v>
      </c>
      <c r="I3224">
        <v>144.745</v>
      </c>
      <c r="J3224">
        <v>-197.256</v>
      </c>
      <c r="K3224">
        <v>1.0983069999999999</v>
      </c>
      <c r="L3224">
        <v>147.30619999999999</v>
      </c>
      <c r="M3224">
        <v>-0.60744799999999999</v>
      </c>
      <c r="N3224">
        <v>0</v>
      </c>
      <c r="O3224">
        <v>-0.79422040000000005</v>
      </c>
      <c r="P3224">
        <v>-0.93934759999999995</v>
      </c>
      <c r="Q3224">
        <v>0.1108502</v>
      </c>
      <c r="R3224">
        <v>-0.32455869999999998</v>
      </c>
      <c r="S3224">
        <v>-2.9902190000000002</v>
      </c>
      <c r="T3224">
        <v>-0.27324569999999998</v>
      </c>
      <c r="U3224">
        <v>-0.69346619999999903</v>
      </c>
      <c r="V3224">
        <v>0.55228980000000005</v>
      </c>
      <c r="W3224">
        <v>0.1072176</v>
      </c>
      <c r="X3224">
        <v>0.82672880000000004</v>
      </c>
      <c r="Y3224">
        <v>0.63187299999999902</v>
      </c>
      <c r="Z3224">
        <v>8.9743260000000005E-2</v>
      </c>
      <c r="AA3224">
        <v>0.76985890000000001</v>
      </c>
      <c r="AB3224">
        <v>27</v>
      </c>
      <c r="AC3224">
        <v>-11.8309</v>
      </c>
      <c r="AD3224">
        <v>-1.0983141270319901</v>
      </c>
      <c r="AE3224">
        <v>-2.5611999999999799</v>
      </c>
      <c r="AF3224">
        <v>7.7773857845726004</v>
      </c>
      <c r="AG3224">
        <v>-1.0983141270319901</v>
      </c>
      <c r="AH3224">
        <v>9.1465343811550994</v>
      </c>
      <c r="AI3224">
        <v>95.226844417039899</v>
      </c>
      <c r="AJ3224">
        <v>49.625167478807398</v>
      </c>
      <c r="AK3224">
        <v>12.0562479548722</v>
      </c>
      <c r="AL3224">
        <v>83.845053360348501</v>
      </c>
      <c r="AM3224">
        <v>56.255401248964297</v>
      </c>
      <c r="AN3224">
        <v>1.0000000728416101</v>
      </c>
    </row>
    <row r="3225" spans="1:40" x14ac:dyDescent="0.25">
      <c r="A3225" t="str">
        <f>"20190312164330898"</f>
        <v>20190312164330898</v>
      </c>
      <c r="B3225" t="str">
        <f>"1552380210887742"</f>
        <v>1552380210887742</v>
      </c>
      <c r="C3225" t="s">
        <v>40</v>
      </c>
      <c r="D3225">
        <v>4.2292820000000004</v>
      </c>
      <c r="E3225">
        <v>0.55364780000000002</v>
      </c>
      <c r="F3225" t="s">
        <v>49</v>
      </c>
      <c r="G3225">
        <v>-209.52709999999999</v>
      </c>
      <c r="H3225" s="1">
        <v>-6.9061860000000001E-6</v>
      </c>
      <c r="I3225">
        <v>144.64779999999999</v>
      </c>
      <c r="J3225">
        <v>-197.42580000000001</v>
      </c>
      <c r="K3225">
        <v>1.0982320000000001</v>
      </c>
      <c r="L3225">
        <v>147.1103</v>
      </c>
      <c r="M3225">
        <v>-0.6196024</v>
      </c>
      <c r="N3225">
        <v>0</v>
      </c>
      <c r="O3225">
        <v>-0.78477439999999998</v>
      </c>
      <c r="P3225">
        <v>-0.94284559999999995</v>
      </c>
      <c r="Q3225">
        <v>0.1103871</v>
      </c>
      <c r="R3225">
        <v>-0.31441570000000002</v>
      </c>
      <c r="S3225">
        <v>-3.0007630000000001</v>
      </c>
      <c r="T3225">
        <v>-0.26858169999999998</v>
      </c>
      <c r="U3225">
        <v>-0.65007019999999904</v>
      </c>
      <c r="V3225">
        <v>0.54850919999999903</v>
      </c>
      <c r="W3225">
        <v>0.10685020000000001</v>
      </c>
      <c r="X3225">
        <v>0.82928930000000001</v>
      </c>
      <c r="Y3225">
        <v>0.63136239999999999</v>
      </c>
      <c r="Z3225">
        <v>8.7732850000000001E-2</v>
      </c>
      <c r="AA3225">
        <v>0.77050920000000001</v>
      </c>
      <c r="AB3225">
        <v>27</v>
      </c>
      <c r="AC3225">
        <v>-12.101299999999901</v>
      </c>
      <c r="AD3225">
        <v>-1.0982389061859901</v>
      </c>
      <c r="AE3225">
        <v>-2.4624999999999999</v>
      </c>
      <c r="AF3225">
        <v>7.9093513161984799</v>
      </c>
      <c r="AG3225">
        <v>-1.0982389061859901</v>
      </c>
      <c r="AH3225">
        <v>9.3575419021767701</v>
      </c>
      <c r="AI3225">
        <v>95.121993825327706</v>
      </c>
      <c r="AJ3225">
        <v>49.7942305570173</v>
      </c>
      <c r="AK3225">
        <v>12.301526628394701</v>
      </c>
      <c r="AL3225">
        <v>83.866225162068503</v>
      </c>
      <c r="AM3225">
        <v>56.5185203767643</v>
      </c>
      <c r="AN3225">
        <v>1.00000002540958</v>
      </c>
    </row>
    <row r="3226" spans="1:40" x14ac:dyDescent="0.25">
      <c r="A3226" t="str">
        <f>"20190312164330921"</f>
        <v>20190312164330921</v>
      </c>
      <c r="B3226" t="str">
        <f>"1552380210917998"</f>
        <v>1552380210917998</v>
      </c>
      <c r="C3226" t="s">
        <v>40</v>
      </c>
      <c r="D3226">
        <v>4.1287469999999997</v>
      </c>
      <c r="E3226">
        <v>0.55380169999999995</v>
      </c>
      <c r="F3226" t="s">
        <v>49</v>
      </c>
      <c r="G3226">
        <v>-209.7013</v>
      </c>
      <c r="H3226" s="1">
        <v>-6.8163810000000002E-6</v>
      </c>
      <c r="I3226">
        <v>144.60040000000001</v>
      </c>
      <c r="J3226">
        <v>-197.61359999999999</v>
      </c>
      <c r="K3226">
        <v>1.098169</v>
      </c>
      <c r="L3226">
        <v>146.90029999999999</v>
      </c>
      <c r="M3226">
        <v>-0.63270800000000005</v>
      </c>
      <c r="N3226">
        <v>0</v>
      </c>
      <c r="O3226">
        <v>-0.77424649999999995</v>
      </c>
      <c r="P3226">
        <v>-0.946878</v>
      </c>
      <c r="Q3226">
        <v>0.1079478</v>
      </c>
      <c r="R3226">
        <v>-0.30293530000000002</v>
      </c>
      <c r="S3226">
        <v>-3.00827</v>
      </c>
      <c r="T3226">
        <v>-0.2691364</v>
      </c>
      <c r="U3226">
        <v>-0.61508180000000001</v>
      </c>
      <c r="V3226">
        <v>0.54479409999999995</v>
      </c>
      <c r="W3226">
        <v>0.1045244</v>
      </c>
      <c r="X3226">
        <v>0.83203009999999999</v>
      </c>
      <c r="Y3226">
        <v>0.62735839999999998</v>
      </c>
      <c r="Z3226">
        <v>8.7238800000000005E-2</v>
      </c>
      <c r="AA3226">
        <v>0.77382869999999904</v>
      </c>
      <c r="AB3226">
        <v>27</v>
      </c>
      <c r="AC3226">
        <v>-12.0877</v>
      </c>
      <c r="AD3226">
        <v>-1.098175816381</v>
      </c>
      <c r="AE3226">
        <v>-2.2998999999999801</v>
      </c>
      <c r="AF3226">
        <v>7.8421092978725797</v>
      </c>
      <c r="AG3226">
        <v>-1.098175816381</v>
      </c>
      <c r="AH3226">
        <v>9.3552064987183901</v>
      </c>
      <c r="AI3226">
        <v>95.140517476948105</v>
      </c>
      <c r="AJ3226">
        <v>50.028192218465101</v>
      </c>
      <c r="AK3226">
        <v>12.256612786456399</v>
      </c>
      <c r="AL3226">
        <v>84.000234237630593</v>
      </c>
      <c r="AM3226">
        <v>56.784146653353403</v>
      </c>
      <c r="AN3226">
        <v>1.00000002444808</v>
      </c>
    </row>
    <row r="3227" spans="1:40" x14ac:dyDescent="0.25">
      <c r="A3227" t="str">
        <f>"20190312164330943"</f>
        <v>20190312164330943</v>
      </c>
      <c r="B3227" t="str">
        <f>"1552380210937519"</f>
        <v>1552380210937519</v>
      </c>
      <c r="C3227" t="s">
        <v>40</v>
      </c>
      <c r="D3227">
        <v>4.1685990000000004</v>
      </c>
      <c r="E3227">
        <v>0.55403219999999997</v>
      </c>
      <c r="F3227" t="s">
        <v>49</v>
      </c>
      <c r="G3227">
        <v>-209.57830000000001</v>
      </c>
      <c r="H3227" s="1">
        <v>-6.8751499999999997E-6</v>
      </c>
      <c r="I3227">
        <v>144.6164</v>
      </c>
      <c r="J3227">
        <v>-197.7962</v>
      </c>
      <c r="K3227">
        <v>1.0981209999999999</v>
      </c>
      <c r="L3227">
        <v>146.70339999999999</v>
      </c>
      <c r="M3227">
        <v>-0.64507809999999999</v>
      </c>
      <c r="N3227">
        <v>0</v>
      </c>
      <c r="O3227">
        <v>-0.76396980000000003</v>
      </c>
      <c r="P3227">
        <v>-0.95022790000000001</v>
      </c>
      <c r="Q3227">
        <v>0.1049353</v>
      </c>
      <c r="R3227">
        <v>-0.29335229999999901</v>
      </c>
      <c r="S3227">
        <v>-3.0156860000000001</v>
      </c>
      <c r="T3227">
        <v>-0.27679399999999998</v>
      </c>
      <c r="U3227">
        <v>-0.57566830000000002</v>
      </c>
      <c r="V3227">
        <v>0.53998109999999999</v>
      </c>
      <c r="W3227">
        <v>0.1016909</v>
      </c>
      <c r="X3227">
        <v>0.83551149999999996</v>
      </c>
      <c r="Y3227">
        <v>0.62475119999999995</v>
      </c>
      <c r="Z3227">
        <v>8.9082809999999998E-2</v>
      </c>
      <c r="AA3227">
        <v>0.77572569999999996</v>
      </c>
      <c r="AB3227">
        <v>27</v>
      </c>
      <c r="AC3227">
        <v>-11.7821</v>
      </c>
      <c r="AD3227">
        <v>-1.0981278751500001</v>
      </c>
      <c r="AE3227">
        <v>-2.0869999999999802</v>
      </c>
      <c r="AF3227">
        <v>7.5918072307687297</v>
      </c>
      <c r="AG3227">
        <v>-1.0981278751500001</v>
      </c>
      <c r="AH3227">
        <v>9.11900619402107</v>
      </c>
      <c r="AI3227">
        <v>95.287513811893106</v>
      </c>
      <c r="AJ3227">
        <v>50.221748191245197</v>
      </c>
      <c r="AK3227">
        <v>11.916278606424401</v>
      </c>
      <c r="AL3227">
        <v>84.163451930484499</v>
      </c>
      <c r="AM3227">
        <v>57.125896802448302</v>
      </c>
      <c r="AN3227">
        <v>1.0000000470661301</v>
      </c>
    </row>
    <row r="3228" spans="1:40" x14ac:dyDescent="0.25">
      <c r="A3228" t="str">
        <f>"20190312164330965"</f>
        <v>20190312164330965</v>
      </c>
      <c r="B3228" t="str">
        <f>"1552380210958014"</f>
        <v>1552380210958014</v>
      </c>
      <c r="C3228" t="s">
        <v>40</v>
      </c>
      <c r="D3228">
        <v>4.1772119999999999</v>
      </c>
      <c r="E3228">
        <v>0.55414240000000003</v>
      </c>
      <c r="F3228" t="s">
        <v>49</v>
      </c>
      <c r="G3228">
        <v>-209.5498</v>
      </c>
      <c r="H3228" s="1">
        <v>-6.8840819999999998E-6</v>
      </c>
      <c r="I3228">
        <v>144.60220000000001</v>
      </c>
      <c r="J3228">
        <v>-197.99379999999999</v>
      </c>
      <c r="K3228">
        <v>1.098088</v>
      </c>
      <c r="L3228">
        <v>146.4975</v>
      </c>
      <c r="M3228">
        <v>-0.65807419999999905</v>
      </c>
      <c r="N3228">
        <v>0</v>
      </c>
      <c r="O3228">
        <v>-0.75280349999999996</v>
      </c>
      <c r="P3228">
        <v>-0.95391490000000001</v>
      </c>
      <c r="Q3228">
        <v>0.10279919999999999</v>
      </c>
      <c r="R3228">
        <v>-0.2819198</v>
      </c>
      <c r="S3228">
        <v>-3.0215450000000001</v>
      </c>
      <c r="T3228">
        <v>-0.2823001</v>
      </c>
      <c r="U3228">
        <v>-0.54016109999999995</v>
      </c>
      <c r="V3228">
        <v>0.53580240000000001</v>
      </c>
      <c r="W3228">
        <v>9.9722130000000006E-2</v>
      </c>
      <c r="X3228">
        <v>0.83843389999999995</v>
      </c>
      <c r="Y3228">
        <v>0.62035079999999998</v>
      </c>
      <c r="Z3228">
        <v>9.0073520000000004E-2</v>
      </c>
      <c r="AA3228">
        <v>0.77913520000000003</v>
      </c>
      <c r="AB3228">
        <v>27</v>
      </c>
      <c r="AC3228">
        <v>-11.555999999999999</v>
      </c>
      <c r="AD3228">
        <v>-1.098094884082</v>
      </c>
      <c r="AE3228">
        <v>-1.89529999999999</v>
      </c>
      <c r="AF3228">
        <v>7.3880257371967701</v>
      </c>
      <c r="AG3228">
        <v>-1.098094884082</v>
      </c>
      <c r="AH3228">
        <v>8.9537806702746305</v>
      </c>
      <c r="AI3228">
        <v>95.403842632401606</v>
      </c>
      <c r="AJ3228">
        <v>50.472964877681299</v>
      </c>
      <c r="AK3228">
        <v>11.660142578858601</v>
      </c>
      <c r="AL3228">
        <v>84.276830626337301</v>
      </c>
      <c r="AM3228">
        <v>57.419329067698001</v>
      </c>
      <c r="AN3228">
        <v>1.0000000598633501</v>
      </c>
    </row>
    <row r="3229" spans="1:40" x14ac:dyDescent="0.25">
      <c r="A3229" t="str">
        <f>"20190312164330989"</f>
        <v>20190312164330989</v>
      </c>
      <c r="B3229" t="str">
        <f>"1552380210977534"</f>
        <v>1552380210977534</v>
      </c>
      <c r="C3229" t="s">
        <v>40</v>
      </c>
      <c r="D3229">
        <v>4.2086309999999996</v>
      </c>
      <c r="E3229">
        <v>0.55419189999999996</v>
      </c>
      <c r="F3229" t="s">
        <v>49</v>
      </c>
      <c r="G3229">
        <v>-209.54169999999999</v>
      </c>
      <c r="H3229" s="1">
        <v>-6.882738E-6</v>
      </c>
      <c r="I3229">
        <v>144.58349999999999</v>
      </c>
      <c r="J3229">
        <v>-198.1942</v>
      </c>
      <c r="K3229">
        <v>1.098068</v>
      </c>
      <c r="L3229">
        <v>146.2955</v>
      </c>
      <c r="M3229">
        <v>-0.67085930000000005</v>
      </c>
      <c r="N3229">
        <v>0</v>
      </c>
      <c r="O3229">
        <v>-0.74143230000000004</v>
      </c>
      <c r="P3229">
        <v>-0.95753549999999998</v>
      </c>
      <c r="Q3229">
        <v>0.1018192</v>
      </c>
      <c r="R3229">
        <v>-0.2697386</v>
      </c>
      <c r="S3229">
        <v>-3.0276489999999998</v>
      </c>
      <c r="T3229">
        <v>-0.28790009999999999</v>
      </c>
      <c r="U3229">
        <v>-0.50180049999999998</v>
      </c>
      <c r="V3229">
        <v>0.53218319999999997</v>
      </c>
      <c r="W3229">
        <v>9.8896059999999994E-2</v>
      </c>
      <c r="X3229">
        <v>0.84083339999999995</v>
      </c>
      <c r="Y3229">
        <v>0.616676</v>
      </c>
      <c r="Z3229">
        <v>9.1057520000000003E-2</v>
      </c>
      <c r="AA3229">
        <v>0.78193299999999999</v>
      </c>
      <c r="AB3229">
        <v>27</v>
      </c>
      <c r="AC3229">
        <v>-11.347499999999901</v>
      </c>
      <c r="AD3229">
        <v>-1.098074882738</v>
      </c>
      <c r="AE3229">
        <v>-1.71200000000001</v>
      </c>
      <c r="AF3229">
        <v>7.1997940019637801</v>
      </c>
      <c r="AG3229">
        <v>-1.098074882738</v>
      </c>
      <c r="AH3229">
        <v>8.8023206446316493</v>
      </c>
      <c r="AI3229">
        <v>95.515449644618002</v>
      </c>
      <c r="AJ3229">
        <v>50.718800470326499</v>
      </c>
      <c r="AK3229">
        <v>11.4246947814688</v>
      </c>
      <c r="AL3229">
        <v>84.324396298972005</v>
      </c>
      <c r="AM3229">
        <v>57.669319859054198</v>
      </c>
      <c r="AN3229">
        <v>1.00000009780065</v>
      </c>
    </row>
    <row r="3230" spans="1:40" x14ac:dyDescent="0.25">
      <c r="A3230" t="str">
        <f>"20190312164331010"</f>
        <v>20190312164331010</v>
      </c>
      <c r="B3230" t="str">
        <f>"1552380210998031"</f>
        <v>1552380210998031</v>
      </c>
      <c r="C3230" t="s">
        <v>40</v>
      </c>
      <c r="D3230">
        <v>4.2372129999999997</v>
      </c>
      <c r="E3230">
        <v>0.55422839999999995</v>
      </c>
      <c r="F3230" t="s">
        <v>49</v>
      </c>
      <c r="G3230">
        <v>-209.67179999999999</v>
      </c>
      <c r="H3230" s="1">
        <v>-6.8147969999999997E-6</v>
      </c>
      <c r="I3230">
        <v>144.54480000000001</v>
      </c>
      <c r="J3230">
        <v>-198.3819</v>
      </c>
      <c r="K3230">
        <v>1.0980639999999999</v>
      </c>
      <c r="L3230">
        <v>146.11240000000001</v>
      </c>
      <c r="M3230">
        <v>-0.68247279999999999</v>
      </c>
      <c r="N3230">
        <v>0</v>
      </c>
      <c r="O3230">
        <v>-0.73075599999999996</v>
      </c>
      <c r="P3230">
        <v>-0.9604182</v>
      </c>
      <c r="Q3230">
        <v>0.10103139999999999</v>
      </c>
      <c r="R3230">
        <v>-0.25959520000000003</v>
      </c>
      <c r="S3230">
        <v>-3.033569</v>
      </c>
      <c r="T3230">
        <v>-0.29022409999999998</v>
      </c>
      <c r="U3230">
        <v>-0.4626923</v>
      </c>
      <c r="V3230">
        <v>0.52783669999999905</v>
      </c>
      <c r="W3230">
        <v>9.8294380000000001E-2</v>
      </c>
      <c r="X3230">
        <v>0.84363899999999903</v>
      </c>
      <c r="Y3230">
        <v>0.61433329999999997</v>
      </c>
      <c r="Z3230">
        <v>9.1065400000000005E-2</v>
      </c>
      <c r="AA3230">
        <v>0.78377399999999997</v>
      </c>
      <c r="AB3230">
        <v>27</v>
      </c>
      <c r="AC3230">
        <v>-11.2898999999999</v>
      </c>
      <c r="AD3230">
        <v>-1.098070814797</v>
      </c>
      <c r="AE3230">
        <v>-1.5675999999999899</v>
      </c>
      <c r="AF3230">
        <v>7.11509719254971</v>
      </c>
      <c r="AG3230">
        <v>-1.098070814797</v>
      </c>
      <c r="AH3230">
        <v>8.7701907280719098</v>
      </c>
      <c r="AI3230">
        <v>95.553481158987907</v>
      </c>
      <c r="AJ3230">
        <v>50.948204823395301</v>
      </c>
      <c r="AK3230">
        <v>11.3466564670168</v>
      </c>
      <c r="AL3230">
        <v>84.359038624639894</v>
      </c>
      <c r="AM3230">
        <v>57.967162311602102</v>
      </c>
      <c r="AN3230">
        <v>1.0000000646637299</v>
      </c>
    </row>
    <row r="3231" spans="1:40" x14ac:dyDescent="0.25">
      <c r="A3231" t="str">
        <f>"20190312164331031"</f>
        <v>20190312164331031</v>
      </c>
      <c r="B3231" t="str">
        <f>"1552380211028288"</f>
        <v>1552380211028288</v>
      </c>
      <c r="C3231" t="s">
        <v>40</v>
      </c>
      <c r="D3231">
        <v>4.2546140000000001</v>
      </c>
      <c r="E3231">
        <v>0.55413419999999902</v>
      </c>
      <c r="F3231" t="s">
        <v>49</v>
      </c>
      <c r="G3231">
        <v>-209.86680000000001</v>
      </c>
      <c r="H3231" s="1">
        <v>-6.7138589999999997E-6</v>
      </c>
      <c r="I3231">
        <v>144.49</v>
      </c>
      <c r="J3231">
        <v>-198.57</v>
      </c>
      <c r="K3231">
        <v>1.098068</v>
      </c>
      <c r="L3231">
        <v>145.93459999999999</v>
      </c>
      <c r="M3231">
        <v>-0.69377279999999997</v>
      </c>
      <c r="N3231">
        <v>0</v>
      </c>
      <c r="O3231">
        <v>-0.72003619999999902</v>
      </c>
      <c r="P3231">
        <v>-0.96300439999999998</v>
      </c>
      <c r="Q3231">
        <v>0.1010397</v>
      </c>
      <c r="R3231">
        <v>-0.24982689999999999</v>
      </c>
      <c r="S3231">
        <v>-3.0381930000000001</v>
      </c>
      <c r="T3231">
        <v>-0.29048220000000002</v>
      </c>
      <c r="U3231">
        <v>-0.42918400000000001</v>
      </c>
      <c r="V3231">
        <v>0.52324939999999998</v>
      </c>
      <c r="W3231">
        <v>9.849985E-2</v>
      </c>
      <c r="X3231">
        <v>0.84646790000000005</v>
      </c>
      <c r="Y3231">
        <v>0.61075740000000001</v>
      </c>
      <c r="Z3231">
        <v>9.0346399999999993E-2</v>
      </c>
      <c r="AA3231">
        <v>0.78664669999999903</v>
      </c>
      <c r="AB3231">
        <v>27</v>
      </c>
      <c r="AC3231">
        <v>-11.296799999999999</v>
      </c>
      <c r="AD3231">
        <v>-1.0980747138589999</v>
      </c>
      <c r="AE3231">
        <v>-1.4445999999999799</v>
      </c>
      <c r="AF3231">
        <v>7.0669943209522303</v>
      </c>
      <c r="AG3231">
        <v>-1.0980747138589999</v>
      </c>
      <c r="AH3231">
        <v>8.79680793883443</v>
      </c>
      <c r="AI3231">
        <v>95.558149854539195</v>
      </c>
      <c r="AJ3231">
        <v>51.223034351634603</v>
      </c>
      <c r="AK3231">
        <v>11.3371957168573</v>
      </c>
      <c r="AL3231">
        <v>84.347208459060397</v>
      </c>
      <c r="AM3231">
        <v>58.277458078335101</v>
      </c>
      <c r="AN3231">
        <v>1.00000003039039</v>
      </c>
    </row>
    <row r="3232" spans="1:40" x14ac:dyDescent="0.25">
      <c r="A3232" t="str">
        <f>"20190312164331055"</f>
        <v>20190312164331055</v>
      </c>
      <c r="B3232" t="str">
        <f>"1552380211047806"</f>
        <v>1552380211047806</v>
      </c>
      <c r="C3232" t="s">
        <v>40</v>
      </c>
      <c r="D3232">
        <v>4.2919549999999997</v>
      </c>
      <c r="E3232">
        <v>0.5540138</v>
      </c>
      <c r="F3232" t="s">
        <v>42</v>
      </c>
      <c r="G3232">
        <v>-210.18989999999999</v>
      </c>
      <c r="H3232" s="1">
        <v>-5.4907279999999997E-6</v>
      </c>
      <c r="I3232">
        <v>144.42150000000001</v>
      </c>
      <c r="J3232">
        <v>-198.78829999999999</v>
      </c>
      <c r="K3232">
        <v>1.0980780000000001</v>
      </c>
      <c r="L3232">
        <v>145.73490000000001</v>
      </c>
      <c r="M3232">
        <v>-0.706488</v>
      </c>
      <c r="N3232">
        <v>0</v>
      </c>
      <c r="O3232">
        <v>-0.70756430000000003</v>
      </c>
      <c r="P3232">
        <v>-0.96605099999999999</v>
      </c>
      <c r="Q3232">
        <v>0.1008146</v>
      </c>
      <c r="R3232">
        <v>-0.23786930000000001</v>
      </c>
      <c r="S3232">
        <v>-3.042618</v>
      </c>
      <c r="T3232">
        <v>-0.28752539999999999</v>
      </c>
      <c r="U3232">
        <v>-0.39619450000000001</v>
      </c>
      <c r="V3232">
        <v>0.51866020000000002</v>
      </c>
      <c r="W3232">
        <v>9.8475649999999998E-2</v>
      </c>
      <c r="X3232">
        <v>0.8492904</v>
      </c>
      <c r="Y3232">
        <v>0.60538890000000001</v>
      </c>
      <c r="Z3232">
        <v>8.8425760000000006E-2</v>
      </c>
      <c r="AA3232">
        <v>0.79100269999999995</v>
      </c>
      <c r="AB3232">
        <v>27</v>
      </c>
      <c r="AC3232">
        <v>-11.4016</v>
      </c>
      <c r="AD3232">
        <v>-1.0980834907279999</v>
      </c>
      <c r="AE3232">
        <v>-1.3133999999999999</v>
      </c>
      <c r="AF3232">
        <v>7.0755062663473103</v>
      </c>
      <c r="AG3232">
        <v>-1.0980834907279999</v>
      </c>
      <c r="AH3232">
        <v>8.9039234313190292</v>
      </c>
      <c r="AI3232">
        <v>95.514967951502996</v>
      </c>
      <c r="AJ3232">
        <v>51.527576305232799</v>
      </c>
      <c r="AK3232">
        <v>11.425779130918</v>
      </c>
      <c r="AL3232">
        <v>84.348601732661095</v>
      </c>
      <c r="AM3232">
        <v>58.5876587451489</v>
      </c>
      <c r="AN3232">
        <v>1.00000002011956</v>
      </c>
    </row>
    <row r="3233" spans="1:40" x14ac:dyDescent="0.25">
      <c r="A3233" t="str">
        <f>"20190312164331078"</f>
        <v>20190312164331078</v>
      </c>
      <c r="B3233" t="str">
        <f>"1552380211068302"</f>
        <v>1552380211068302</v>
      </c>
      <c r="C3233" t="s">
        <v>40</v>
      </c>
      <c r="D3233">
        <v>4.2843839999999904</v>
      </c>
      <c r="E3233">
        <v>0.55385319999999905</v>
      </c>
      <c r="F3233" t="s">
        <v>42</v>
      </c>
      <c r="G3233">
        <v>-210.47659999999999</v>
      </c>
      <c r="H3233" s="1">
        <v>-5.3703199999999896E-6</v>
      </c>
      <c r="I3233">
        <v>144.36340000000001</v>
      </c>
      <c r="J3233">
        <v>-199.00219999999999</v>
      </c>
      <c r="K3233">
        <v>1.0980939999999999</v>
      </c>
      <c r="L3233">
        <v>145.54599999999999</v>
      </c>
      <c r="M3233">
        <v>-0.7185376</v>
      </c>
      <c r="N3233">
        <v>0</v>
      </c>
      <c r="O3233">
        <v>-0.69532419999999995</v>
      </c>
      <c r="P3233">
        <v>-0.96861850000000005</v>
      </c>
      <c r="Q3233">
        <v>0.1014428</v>
      </c>
      <c r="R3233">
        <v>-0.22690850000000001</v>
      </c>
      <c r="S3233">
        <v>-3.0472260000000002</v>
      </c>
      <c r="T3233">
        <v>-0.28627909999999901</v>
      </c>
      <c r="U3233">
        <v>-0.35755920000000002</v>
      </c>
      <c r="V3233">
        <v>0.51364960000000004</v>
      </c>
      <c r="W3233">
        <v>9.9319299999999999E-2</v>
      </c>
      <c r="X3233">
        <v>0.8522322</v>
      </c>
      <c r="Y3233">
        <v>0.60188469999999905</v>
      </c>
      <c r="Z3233">
        <v>8.7127460000000004E-2</v>
      </c>
      <c r="AA3233">
        <v>0.79381590000000002</v>
      </c>
      <c r="AB3233">
        <v>27</v>
      </c>
      <c r="AC3233">
        <v>-11.474399999999999</v>
      </c>
      <c r="AD3233">
        <v>-1.0980993703199999</v>
      </c>
      <c r="AE3233">
        <v>-1.1825999999999699</v>
      </c>
      <c r="AF3233">
        <v>7.0654693344928701</v>
      </c>
      <c r="AG3233">
        <v>-1.0980993703199999</v>
      </c>
      <c r="AH3233">
        <v>8.9866727630359193</v>
      </c>
      <c r="AI3233">
        <v>95.486903805270899</v>
      </c>
      <c r="AJ3233">
        <v>51.824990642638703</v>
      </c>
      <c r="AK3233">
        <v>11.484205087582099</v>
      </c>
      <c r="AL3233">
        <v>84.300025775356801</v>
      </c>
      <c r="AM3233">
        <v>58.922173652663197</v>
      </c>
      <c r="AN3233">
        <v>0.99999997882474401</v>
      </c>
    </row>
    <row r="3234" spans="1:40" x14ac:dyDescent="0.25">
      <c r="A3234" t="str">
        <f>"20190312164331103"</f>
        <v>20190312164331103</v>
      </c>
      <c r="B3234" t="str">
        <f>"1552380211097582"</f>
        <v>1552380211097582</v>
      </c>
      <c r="C3234" t="s">
        <v>40</v>
      </c>
      <c r="D3234">
        <v>4.331944</v>
      </c>
      <c r="E3234">
        <v>0.55349859999999995</v>
      </c>
      <c r="F3234" t="s">
        <v>42</v>
      </c>
      <c r="G3234">
        <v>-210.83580000000001</v>
      </c>
      <c r="H3234" s="1">
        <v>-5.2194880000000003E-6</v>
      </c>
      <c r="I3234">
        <v>144.29079999999999</v>
      </c>
      <c r="J3234">
        <v>-199.22630000000001</v>
      </c>
      <c r="K3234">
        <v>1.0981190000000001</v>
      </c>
      <c r="L3234">
        <v>145.35489999999999</v>
      </c>
      <c r="M3234">
        <v>-0.73074849999999902</v>
      </c>
      <c r="N3234">
        <v>0</v>
      </c>
      <c r="O3234">
        <v>-0.68247990000000003</v>
      </c>
      <c r="P3234">
        <v>-0.97118329999999997</v>
      </c>
      <c r="Q3234">
        <v>0.1024605</v>
      </c>
      <c r="R3234">
        <v>-0.2151865</v>
      </c>
      <c r="S3234">
        <v>-3.051056</v>
      </c>
      <c r="T3234">
        <v>-0.28312039999999999</v>
      </c>
      <c r="U3234">
        <v>-0.32360840000000002</v>
      </c>
      <c r="V3234">
        <v>0.5087834</v>
      </c>
      <c r="W3234">
        <v>0.1005472</v>
      </c>
      <c r="X3234">
        <v>0.85500279999999995</v>
      </c>
      <c r="Y3234">
        <v>0.59677650000000004</v>
      </c>
      <c r="Z3234">
        <v>8.5127090000000002E-2</v>
      </c>
      <c r="AA3234">
        <v>0.79787919999999901</v>
      </c>
      <c r="AB3234">
        <v>27</v>
      </c>
      <c r="AC3234">
        <v>-11.609499999999899</v>
      </c>
      <c r="AD3234">
        <v>-1.0981242194879901</v>
      </c>
      <c r="AE3234">
        <v>-1.0640999999999901</v>
      </c>
      <c r="AF3234">
        <v>7.0836260302897598</v>
      </c>
      <c r="AG3234">
        <v>-1.0981242194879901</v>
      </c>
      <c r="AH3234">
        <v>9.1298964590537395</v>
      </c>
      <c r="AI3234">
        <v>95.428476439371707</v>
      </c>
      <c r="AJ3234">
        <v>52.193134431843802</v>
      </c>
      <c r="AK3234">
        <v>11.607697613715899</v>
      </c>
      <c r="AL3234">
        <v>84.229318671604503</v>
      </c>
      <c r="AM3234">
        <v>59.244546694230998</v>
      </c>
      <c r="AN3234">
        <v>1.00000003777561</v>
      </c>
    </row>
    <row r="3235" spans="1:40" x14ac:dyDescent="0.25">
      <c r="A3235" t="str">
        <f>"20190312164331121"</f>
        <v>20190312164331121</v>
      </c>
      <c r="B3235" t="str">
        <f>"1552380211118078"</f>
        <v>1552380211118078</v>
      </c>
      <c r="C3235" t="s">
        <v>40</v>
      </c>
      <c r="D3235">
        <v>4.4240320000000004</v>
      </c>
      <c r="E3235">
        <v>0.55324879999999999</v>
      </c>
      <c r="F3235" t="s">
        <v>42</v>
      </c>
      <c r="G3235">
        <v>-211.2577</v>
      </c>
      <c r="H3235" s="1">
        <v>-5.0444369999999999E-6</v>
      </c>
      <c r="I3235">
        <v>144.21729999999999</v>
      </c>
      <c r="J3235">
        <v>-199.41120000000001</v>
      </c>
      <c r="K3235">
        <v>1.0981379999999901</v>
      </c>
      <c r="L3235">
        <v>145.20240000000001</v>
      </c>
      <c r="M3235">
        <v>-0.74052050000000003</v>
      </c>
      <c r="N3235">
        <v>0</v>
      </c>
      <c r="O3235">
        <v>-0.67186400000000002</v>
      </c>
      <c r="P3235">
        <v>-0.97270630000000002</v>
      </c>
      <c r="Q3235">
        <v>0.1033567</v>
      </c>
      <c r="R3235">
        <v>-0.2077502</v>
      </c>
      <c r="S3235">
        <v>-3.054459</v>
      </c>
      <c r="T3235">
        <v>-0.27878360000000002</v>
      </c>
      <c r="U3235">
        <v>-0.28881839999999998</v>
      </c>
      <c r="V3235">
        <v>0.50292720000000002</v>
      </c>
      <c r="W3235">
        <v>0.1016867</v>
      </c>
      <c r="X3235">
        <v>0.85832640000000004</v>
      </c>
      <c r="Y3235">
        <v>0.59451279999999995</v>
      </c>
      <c r="Z3235">
        <v>8.3059369999999993E-2</v>
      </c>
      <c r="AA3235">
        <v>0.79978470000000002</v>
      </c>
      <c r="AB3235">
        <v>27</v>
      </c>
      <c r="AC3235">
        <v>-11.846499999999899</v>
      </c>
      <c r="AD3235">
        <v>-1.09814304443699</v>
      </c>
      <c r="AE3235">
        <v>-0.98510000000001696</v>
      </c>
      <c r="AF3235">
        <v>7.16939250588731</v>
      </c>
      <c r="AG3235">
        <v>-1.09814304443699</v>
      </c>
      <c r="AH3235">
        <v>9.3556659225442207</v>
      </c>
      <c r="AI3235">
        <v>95.322721305831394</v>
      </c>
      <c r="AJ3235">
        <v>52.5364919298435</v>
      </c>
      <c r="AK3235">
        <v>11.837845745902101</v>
      </c>
      <c r="AL3235">
        <v>84.163694026563405</v>
      </c>
      <c r="AM3235">
        <v>59.632284750416801</v>
      </c>
      <c r="AN3235">
        <v>1.0000000811968399</v>
      </c>
    </row>
    <row r="3236" spans="1:40" x14ac:dyDescent="0.25">
      <c r="A3236" t="str">
        <f>"20190312164331144"</f>
        <v>20190312164331144</v>
      </c>
      <c r="B3236" t="str">
        <f>"1552380211137599"</f>
        <v>1552380211137599</v>
      </c>
      <c r="C3236" t="s">
        <v>40</v>
      </c>
      <c r="D3236">
        <v>4.4005900000000002</v>
      </c>
      <c r="E3236">
        <v>0.55308880000000005</v>
      </c>
      <c r="F3236" t="s">
        <v>42</v>
      </c>
      <c r="G3236">
        <v>-211.59559999999999</v>
      </c>
      <c r="H3236" s="1">
        <v>-4.9018199999999999E-6</v>
      </c>
      <c r="I3236">
        <v>144.1447</v>
      </c>
      <c r="J3236">
        <v>-199.6267</v>
      </c>
      <c r="K3236">
        <v>1.0981650000000001</v>
      </c>
      <c r="L3236">
        <v>145.03059999999999</v>
      </c>
      <c r="M3236">
        <v>-0.75156269999999903</v>
      </c>
      <c r="N3236">
        <v>0</v>
      </c>
      <c r="O3236">
        <v>-0.65948859999999998</v>
      </c>
      <c r="P3236">
        <v>-0.97451500000000002</v>
      </c>
      <c r="Q3236">
        <v>0.1044419</v>
      </c>
      <c r="R3236">
        <v>-0.19852620000000001</v>
      </c>
      <c r="S3236">
        <v>-3.0567630000000001</v>
      </c>
      <c r="T3236">
        <v>-0.2754974</v>
      </c>
      <c r="U3236">
        <v>-0.26535029999999998</v>
      </c>
      <c r="V3236">
        <v>0.49675209999999997</v>
      </c>
      <c r="W3236">
        <v>0.1030295</v>
      </c>
      <c r="X3236">
        <v>0.8617553</v>
      </c>
      <c r="Y3236">
        <v>0.5875165</v>
      </c>
      <c r="Z3236">
        <v>8.0974859999999996E-2</v>
      </c>
      <c r="AA3236">
        <v>0.80515059999999905</v>
      </c>
      <c r="AB3236">
        <v>27</v>
      </c>
      <c r="AC3236">
        <v>-11.9688999999999</v>
      </c>
      <c r="AD3236">
        <v>-1.09816990182</v>
      </c>
      <c r="AE3236">
        <v>-0.88589999999999203</v>
      </c>
      <c r="AF3236">
        <v>7.1683514643075297</v>
      </c>
      <c r="AG3236">
        <v>-1.09816990182</v>
      </c>
      <c r="AH3236">
        <v>9.5011644393290098</v>
      </c>
      <c r="AI3236">
        <v>95.271626648460398</v>
      </c>
      <c r="AJ3236">
        <v>52.966511495139699</v>
      </c>
      <c r="AK3236">
        <v>11.9525464045229</v>
      </c>
      <c r="AL3236">
        <v>84.086350310949598</v>
      </c>
      <c r="AM3236">
        <v>60.039037790159298</v>
      </c>
      <c r="AN3236">
        <v>0.99999996190137397</v>
      </c>
    </row>
    <row r="3237" spans="1:40" x14ac:dyDescent="0.25">
      <c r="A3237" t="str">
        <f>"20190312164331166"</f>
        <v>20190312164331166</v>
      </c>
      <c r="B3237" t="str">
        <f>"1552380211158094"</f>
        <v>1552380211158094</v>
      </c>
      <c r="C3237" t="s">
        <v>40</v>
      </c>
      <c r="D3237">
        <v>4.4348429999999999</v>
      </c>
      <c r="E3237">
        <v>0.53909649999999998</v>
      </c>
      <c r="F3237" t="s">
        <v>42</v>
      </c>
      <c r="G3237">
        <v>-212.0549</v>
      </c>
      <c r="H3237" s="1">
        <v>-4.7129460000000002E-6</v>
      </c>
      <c r="I3237">
        <v>144.07429999999999</v>
      </c>
      <c r="J3237">
        <v>-199.84800000000001</v>
      </c>
      <c r="K3237">
        <v>1.0981909999999999</v>
      </c>
      <c r="L3237">
        <v>144.86009999999999</v>
      </c>
      <c r="M3237">
        <v>-0.76254659999999996</v>
      </c>
      <c r="N3237">
        <v>0</v>
      </c>
      <c r="O3237">
        <v>-0.64675649999999996</v>
      </c>
      <c r="P3237">
        <v>-0.97623059999999995</v>
      </c>
      <c r="Q3237">
        <v>0.1059634</v>
      </c>
      <c r="R3237">
        <v>-0.1890657</v>
      </c>
      <c r="S3237">
        <v>-3.0594640000000002</v>
      </c>
      <c r="T3237">
        <v>-0.27033669999999999</v>
      </c>
      <c r="U3237">
        <v>-0.2354126</v>
      </c>
      <c r="V3237">
        <v>0.49053099999999999</v>
      </c>
      <c r="W3237">
        <v>0.1048089</v>
      </c>
      <c r="X3237">
        <v>0.86509789999999998</v>
      </c>
      <c r="Y3237">
        <v>0.58205039999999997</v>
      </c>
      <c r="Z3237">
        <v>7.8403870000000001E-2</v>
      </c>
      <c r="AA3237">
        <v>0.80936409999999903</v>
      </c>
      <c r="AB3237">
        <v>27</v>
      </c>
      <c r="AC3237">
        <v>-12.206899999999999</v>
      </c>
      <c r="AD3237">
        <v>-1.0981957129459901</v>
      </c>
      <c r="AE3237">
        <v>-0.78579999999999395</v>
      </c>
      <c r="AF3237">
        <v>7.2381751818454303</v>
      </c>
      <c r="AG3237">
        <v>-1.0981957129459901</v>
      </c>
      <c r="AH3237">
        <v>9.73917319049146</v>
      </c>
      <c r="AI3237">
        <v>95.171350537284994</v>
      </c>
      <c r="AJ3237">
        <v>53.380186433057901</v>
      </c>
      <c r="AK3237">
        <v>12.183952898029499</v>
      </c>
      <c r="AL3237">
        <v>83.9838432441381</v>
      </c>
      <c r="AM3237">
        <v>60.445736402268402</v>
      </c>
      <c r="AN3237">
        <v>0.99999997203230895</v>
      </c>
    </row>
    <row r="3238" spans="1:40" x14ac:dyDescent="0.25">
      <c r="A3238" t="str">
        <f>"20190312164331189"</f>
        <v>20190312164331189</v>
      </c>
      <c r="B3238" t="str">
        <f>"1552380211177619"</f>
        <v>1552380211177619</v>
      </c>
      <c r="C3238" t="s">
        <v>40</v>
      </c>
      <c r="D3238">
        <v>4.7474210000000001</v>
      </c>
      <c r="E3238">
        <v>0.53823639999999995</v>
      </c>
      <c r="F3238" t="s">
        <v>42</v>
      </c>
      <c r="G3238">
        <v>-212.04990000000001</v>
      </c>
      <c r="H3238" s="1">
        <v>-4.6295250000000004E-6</v>
      </c>
      <c r="I3238">
        <v>143.59309999999999</v>
      </c>
      <c r="J3238">
        <v>-200.0676</v>
      </c>
      <c r="K3238">
        <v>1.0982080000000001</v>
      </c>
      <c r="L3238">
        <v>144.69659999999999</v>
      </c>
      <c r="M3238">
        <v>-0.7730998</v>
      </c>
      <c r="N3238">
        <v>0</v>
      </c>
      <c r="O3238">
        <v>-0.63410429999999995</v>
      </c>
      <c r="P3238">
        <v>-0.97765709999999995</v>
      </c>
      <c r="Q3238">
        <v>0.1067608</v>
      </c>
      <c r="R3238">
        <v>-0.1810784</v>
      </c>
      <c r="S3238">
        <v>-3.0415800000000002</v>
      </c>
      <c r="T3238">
        <v>-0.27374850000000001</v>
      </c>
      <c r="U3238">
        <v>-0.31582640000000001</v>
      </c>
      <c r="V3238">
        <v>0.48328579999999999</v>
      </c>
      <c r="W3238">
        <v>0.10590330000000001</v>
      </c>
      <c r="X3238">
        <v>0.86903359999999996</v>
      </c>
      <c r="Y3238">
        <v>0.54660640000000005</v>
      </c>
      <c r="Z3238">
        <v>7.7204209999999995E-2</v>
      </c>
      <c r="AA3238">
        <v>0.83382309999999904</v>
      </c>
      <c r="AB3238">
        <v>27</v>
      </c>
      <c r="AC3238">
        <v>-11.9823</v>
      </c>
      <c r="AD3238">
        <v>-1.0982126295250001</v>
      </c>
      <c r="AE3238">
        <v>-1.1034999999999899</v>
      </c>
      <c r="AF3238">
        <v>6.6899581104260299</v>
      </c>
      <c r="AG3238">
        <v>-1.0982126295250001</v>
      </c>
      <c r="AH3238">
        <v>9.8820722063443291</v>
      </c>
      <c r="AI3238">
        <v>95.257943738627105</v>
      </c>
      <c r="AJ3238">
        <v>55.902813868578797</v>
      </c>
      <c r="AK3238">
        <v>11.984029438811699</v>
      </c>
      <c r="AL3238">
        <v>83.9207881950705</v>
      </c>
      <c r="AM3238">
        <v>60.920747661317201</v>
      </c>
      <c r="AN3238">
        <v>1.0000000356807399</v>
      </c>
    </row>
    <row r="3239" spans="1:40" x14ac:dyDescent="0.25">
      <c r="A3239" t="str">
        <f>"20190312164331210"</f>
        <v>20190312164331210</v>
      </c>
      <c r="B3239" t="str">
        <f>"1552380211207870"</f>
        <v>1552380211207870</v>
      </c>
      <c r="C3239" t="s">
        <v>40</v>
      </c>
      <c r="D3239">
        <v>4.486097</v>
      </c>
      <c r="E3239">
        <v>0.53653009999999901</v>
      </c>
      <c r="F3239" t="s">
        <v>42</v>
      </c>
      <c r="G3239">
        <v>-212.4152</v>
      </c>
      <c r="H3239" s="1">
        <v>-4.4710390000000001E-6</v>
      </c>
      <c r="I3239">
        <v>143.4906</v>
      </c>
      <c r="J3239">
        <v>-200.2801</v>
      </c>
      <c r="K3239">
        <v>1.0982419999999999</v>
      </c>
      <c r="L3239">
        <v>144.5436</v>
      </c>
      <c r="M3239">
        <v>-0.78299280000000004</v>
      </c>
      <c r="N3239">
        <v>0</v>
      </c>
      <c r="O3239">
        <v>-0.62184700000000004</v>
      </c>
      <c r="P3239">
        <v>-0.97873189999999999</v>
      </c>
      <c r="Q3239">
        <v>0.10682179999999999</v>
      </c>
      <c r="R3239">
        <v>-0.17513709999999999</v>
      </c>
      <c r="S3239">
        <v>-3.0430600000000001</v>
      </c>
      <c r="T3239">
        <v>-0.27065289999999997</v>
      </c>
      <c r="U3239">
        <v>-0.29722599999999999</v>
      </c>
      <c r="V3239">
        <v>0.47483170000000002</v>
      </c>
      <c r="W3239">
        <v>0.10630829999999999</v>
      </c>
      <c r="X3239">
        <v>0.87363230000000003</v>
      </c>
      <c r="Y3239">
        <v>0.53867240000000005</v>
      </c>
      <c r="Z3239">
        <v>7.5167349999999994E-2</v>
      </c>
      <c r="AA3239">
        <v>0.83915550000000005</v>
      </c>
      <c r="AB3239">
        <v>27</v>
      </c>
      <c r="AC3239">
        <v>-12.1350999999999</v>
      </c>
      <c r="AD3239">
        <v>-1.0982464710390001</v>
      </c>
      <c r="AE3239">
        <v>-1.0529999999999899</v>
      </c>
      <c r="AF3239">
        <v>6.6682440752906897</v>
      </c>
      <c r="AG3239">
        <v>-1.0982464710390001</v>
      </c>
      <c r="AH3239">
        <v>10.0757526366531</v>
      </c>
      <c r="AI3239">
        <v>95.193673559144599</v>
      </c>
      <c r="AJ3239">
        <v>56.502970151118497</v>
      </c>
      <c r="AK3239">
        <v>12.132288141724199</v>
      </c>
      <c r="AL3239">
        <v>83.897451428493198</v>
      </c>
      <c r="AM3239">
        <v>61.475284728782803</v>
      </c>
      <c r="AN3239">
        <v>0.99999999678853502</v>
      </c>
    </row>
    <row r="3240" spans="1:40" x14ac:dyDescent="0.25">
      <c r="A3240" t="str">
        <f>"20190312164331234"</f>
        <v>20190312164331234</v>
      </c>
      <c r="B3240" t="str">
        <f>"1552380211228367"</f>
        <v>1552380211228367</v>
      </c>
      <c r="C3240" t="s">
        <v>40</v>
      </c>
      <c r="D3240">
        <v>4.9286459999999996</v>
      </c>
      <c r="E3240">
        <v>0.53567810000000005</v>
      </c>
      <c r="F3240" t="s">
        <v>42</v>
      </c>
      <c r="G3240">
        <v>-213.35679999999999</v>
      </c>
      <c r="H3240" s="1">
        <v>-4.0755869999999998E-6</v>
      </c>
      <c r="I3240">
        <v>143.2997</v>
      </c>
      <c r="J3240">
        <v>-200.5155</v>
      </c>
      <c r="K3240">
        <v>1.098279</v>
      </c>
      <c r="L3240">
        <v>144.37979999999999</v>
      </c>
      <c r="M3240">
        <v>-0.79359000000000002</v>
      </c>
      <c r="N3240">
        <v>0</v>
      </c>
      <c r="O3240">
        <v>-0.60826499999999994</v>
      </c>
      <c r="P3240">
        <v>-0.98004190000000002</v>
      </c>
      <c r="Q3240">
        <v>0.106741</v>
      </c>
      <c r="R3240">
        <v>-0.16770280000000001</v>
      </c>
      <c r="S3240">
        <v>-3.0413209999999999</v>
      </c>
      <c r="T3240">
        <v>-0.25542550000000003</v>
      </c>
      <c r="U3240">
        <v>-0.28930660000000002</v>
      </c>
      <c r="V3240">
        <v>0.46637240000000002</v>
      </c>
      <c r="W3240">
        <v>0.10657899999999999</v>
      </c>
      <c r="X3240">
        <v>0.87814439999999905</v>
      </c>
      <c r="Y3240">
        <v>0.52677980000000002</v>
      </c>
      <c r="Z3240">
        <v>6.963242E-2</v>
      </c>
      <c r="AA3240">
        <v>0.84714480000000003</v>
      </c>
      <c r="AB3240">
        <v>27</v>
      </c>
      <c r="AC3240">
        <v>-12.841299999999899</v>
      </c>
      <c r="AD3240">
        <v>-1.0982830755869999</v>
      </c>
      <c r="AE3240">
        <v>-1.0800999999999801</v>
      </c>
      <c r="AF3240">
        <v>6.9044012817150398</v>
      </c>
      <c r="AG3240">
        <v>-1.0982830755869999</v>
      </c>
      <c r="AH3240">
        <v>10.7707207459276</v>
      </c>
      <c r="AI3240">
        <v>94.906555936555705</v>
      </c>
      <c r="AJ3240">
        <v>57.338736221188398</v>
      </c>
      <c r="AK3240">
        <v>12.8407713226201</v>
      </c>
      <c r="AL3240">
        <v>83.881852510769207</v>
      </c>
      <c r="AM3240">
        <v>62.027742259090999</v>
      </c>
      <c r="AN3240">
        <v>0.99999994298705797</v>
      </c>
    </row>
    <row r="3241" spans="1:40" x14ac:dyDescent="0.25">
      <c r="A3241" t="str">
        <f>"20190312164331257"</f>
        <v>20190312164331257</v>
      </c>
      <c r="B3241" t="str">
        <f>"1552380211247887"</f>
        <v>1552380211247887</v>
      </c>
      <c r="C3241" t="s">
        <v>40</v>
      </c>
      <c r="D3241">
        <v>4.5217970000000003</v>
      </c>
      <c r="E3241">
        <v>0.53513909999999998</v>
      </c>
      <c r="F3241" t="s">
        <v>42</v>
      </c>
      <c r="G3241">
        <v>-213.82509999999999</v>
      </c>
      <c r="H3241" s="1">
        <v>-3.8509769999999996E-6</v>
      </c>
      <c r="I3241">
        <v>143.1926</v>
      </c>
      <c r="J3241">
        <v>-200.75319999999999</v>
      </c>
      <c r="K3241">
        <v>1.0983240000000001</v>
      </c>
      <c r="L3241">
        <v>144.22040000000001</v>
      </c>
      <c r="M3241">
        <v>-0.80390609999999996</v>
      </c>
      <c r="N3241">
        <v>0</v>
      </c>
      <c r="O3241">
        <v>-0.59456409999999904</v>
      </c>
      <c r="P3241">
        <v>-0.98136730000000005</v>
      </c>
      <c r="Q3241">
        <v>0.1066247</v>
      </c>
      <c r="R3241">
        <v>-0.1598415</v>
      </c>
      <c r="S3241">
        <v>-3.0420069999999999</v>
      </c>
      <c r="T3241">
        <v>-0.25102210000000003</v>
      </c>
      <c r="U3241">
        <v>-0.271347</v>
      </c>
      <c r="V3241">
        <v>0.45831169999999999</v>
      </c>
      <c r="W3241">
        <v>0.1068061</v>
      </c>
      <c r="X3241">
        <v>0.88235069999999904</v>
      </c>
      <c r="Y3241">
        <v>0.51736369999999998</v>
      </c>
      <c r="Z3241">
        <v>6.7182030000000004E-2</v>
      </c>
      <c r="AA3241">
        <v>0.85312449999999995</v>
      </c>
      <c r="AB3241">
        <v>27</v>
      </c>
      <c r="AC3241">
        <v>-13.071899999999999</v>
      </c>
      <c r="AD3241">
        <v>-1.098327850977</v>
      </c>
      <c r="AE3241">
        <v>-1.02780000000001</v>
      </c>
      <c r="AF3241">
        <v>6.8982213217789798</v>
      </c>
      <c r="AG3241">
        <v>-1.098327850977</v>
      </c>
      <c r="AH3241">
        <v>11.0434593009258</v>
      </c>
      <c r="AI3241">
        <v>94.821556506493593</v>
      </c>
      <c r="AJ3241">
        <v>58.009321453607001</v>
      </c>
      <c r="AK3241">
        <v>13.067125728471501</v>
      </c>
      <c r="AL3241">
        <v>83.868766030870802</v>
      </c>
      <c r="AM3241">
        <v>62.551676699312502</v>
      </c>
      <c r="AN3241">
        <v>0.99999995757229398</v>
      </c>
    </row>
    <row r="3242" spans="1:40" x14ac:dyDescent="0.25">
      <c r="A3242" t="str">
        <f>"20190312164331304"</f>
        <v>20190312164331304</v>
      </c>
      <c r="B3242" t="str">
        <f>"1552380211297662"</f>
        <v>1552380211297662</v>
      </c>
      <c r="C3242" t="s">
        <v>40</v>
      </c>
      <c r="D3242">
        <v>4.8515249999999996</v>
      </c>
      <c r="E3242">
        <v>0.53374390000000005</v>
      </c>
      <c r="F3242" t="s">
        <v>42</v>
      </c>
      <c r="G3242">
        <v>-213.9923</v>
      </c>
      <c r="H3242" s="1">
        <v>-3.7548219999999998E-6</v>
      </c>
      <c r="I3242">
        <v>143.1284</v>
      </c>
      <c r="J3242">
        <v>-201.22130000000001</v>
      </c>
      <c r="K3242">
        <v>1.0984689999999999</v>
      </c>
      <c r="L3242">
        <v>143.92320000000001</v>
      </c>
      <c r="M3242">
        <v>-0.82308989999999904</v>
      </c>
      <c r="N3242">
        <v>0</v>
      </c>
      <c r="O3242">
        <v>-0.56771079999999996</v>
      </c>
      <c r="P3242">
        <v>-0.98345669999999996</v>
      </c>
      <c r="Q3242">
        <v>0.10693709999999999</v>
      </c>
      <c r="R3242">
        <v>-0.14621110000000001</v>
      </c>
      <c r="S3242">
        <v>-3.0435029999999998</v>
      </c>
      <c r="T3242">
        <v>-0.25249179999999999</v>
      </c>
      <c r="U3242">
        <v>-0.25103760000000003</v>
      </c>
      <c r="V3242">
        <v>0.44127729999999998</v>
      </c>
      <c r="W3242">
        <v>0.10786279999999999</v>
      </c>
      <c r="X3242">
        <v>0.89086480000000001</v>
      </c>
      <c r="Y3242">
        <v>0.49478830000000001</v>
      </c>
      <c r="Z3242">
        <v>6.4849829999999997E-2</v>
      </c>
      <c r="AA3242">
        <v>0.86659050000000004</v>
      </c>
      <c r="AB3242">
        <v>27</v>
      </c>
      <c r="AC3242">
        <v>-12.7709999999999</v>
      </c>
      <c r="AD3242">
        <v>-1.0984727548219999</v>
      </c>
      <c r="AE3242">
        <v>-0.79480000000000905</v>
      </c>
      <c r="AF3242">
        <v>6.5485323519727903</v>
      </c>
      <c r="AG3242">
        <v>-1.0984727548219999</v>
      </c>
      <c r="AH3242">
        <v>10.8839333572037</v>
      </c>
      <c r="AI3242">
        <v>94.942621062524395</v>
      </c>
      <c r="AJ3242">
        <v>58.965954261156298</v>
      </c>
      <c r="AK3242">
        <v>12.749506801518701</v>
      </c>
      <c r="AL3242">
        <v>83.807870446583095</v>
      </c>
      <c r="AM3242">
        <v>63.649134918775196</v>
      </c>
      <c r="AN3242">
        <v>1.0000000654990799</v>
      </c>
    </row>
    <row r="3243" spans="1:40" x14ac:dyDescent="0.25">
      <c r="A3243" t="str">
        <f>"20190312164331324"</f>
        <v>20190312164331324</v>
      </c>
      <c r="B3243" t="str">
        <f>"1552380211318158"</f>
        <v>1552380211318158</v>
      </c>
      <c r="C3243" t="s">
        <v>40</v>
      </c>
      <c r="D3243">
        <v>4.6253640000000003</v>
      </c>
      <c r="E3243">
        <v>0.51906479999999999</v>
      </c>
      <c r="F3243" t="s">
        <v>42</v>
      </c>
      <c r="G3243">
        <v>-214.42529999999999</v>
      </c>
      <c r="H3243" s="1">
        <v>-3.5080999999999999E-6</v>
      </c>
      <c r="I3243">
        <v>142.97040000000001</v>
      </c>
      <c r="J3243">
        <v>-201.4537</v>
      </c>
      <c r="K3243">
        <v>1.098552</v>
      </c>
      <c r="L3243">
        <v>143.7835</v>
      </c>
      <c r="M3243">
        <v>-0.83206990000000003</v>
      </c>
      <c r="N3243">
        <v>0</v>
      </c>
      <c r="O3243">
        <v>-0.55446640000000003</v>
      </c>
      <c r="P3243">
        <v>-0.98453369999999996</v>
      </c>
      <c r="Q3243">
        <v>0.106083399999999</v>
      </c>
      <c r="R3243">
        <v>-0.13942739999999901</v>
      </c>
      <c r="S3243">
        <v>-3.0453489999999999</v>
      </c>
      <c r="T3243">
        <v>-0.25334889999999999</v>
      </c>
      <c r="U3243">
        <v>-0.21974179999999999</v>
      </c>
      <c r="V3243">
        <v>0.43313689999999999</v>
      </c>
      <c r="W3243">
        <v>0.1073679</v>
      </c>
      <c r="X3243">
        <v>0.89491030000000005</v>
      </c>
      <c r="Y3243">
        <v>0.48982160000000002</v>
      </c>
      <c r="Z3243">
        <v>6.3971879999999995E-2</v>
      </c>
      <c r="AA3243">
        <v>0.86947249999999998</v>
      </c>
      <c r="AB3243">
        <v>27</v>
      </c>
      <c r="AC3243">
        <v>-12.971599999999899</v>
      </c>
      <c r="AD3243">
        <v>-1.0985555081</v>
      </c>
      <c r="AE3243">
        <v>-0.81309999999999105</v>
      </c>
      <c r="AF3243">
        <v>6.4702740249827499</v>
      </c>
      <c r="AG3243">
        <v>-1.0985555081</v>
      </c>
      <c r="AH3243">
        <v>11.165619776597801</v>
      </c>
      <c r="AI3243">
        <v>94.865701152852793</v>
      </c>
      <c r="AJ3243">
        <v>59.908486528270103</v>
      </c>
      <c r="AK3243">
        <v>12.951537945676399</v>
      </c>
      <c r="AL3243">
        <v>83.836391000188101</v>
      </c>
      <c r="AM3243">
        <v>64.173001546893005</v>
      </c>
      <c r="AN3243">
        <v>0.999999942569053</v>
      </c>
    </row>
    <row r="3244" spans="1:40" x14ac:dyDescent="0.25">
      <c r="A3244" t="str">
        <f>"20190312164331346"</f>
        <v>20190312164331346</v>
      </c>
      <c r="B3244" t="str">
        <f>"1552380211327919"</f>
        <v>1552380211327919</v>
      </c>
      <c r="C3244" t="s">
        <v>40</v>
      </c>
      <c r="D3244">
        <v>4.9252649999999996</v>
      </c>
      <c r="E3244">
        <v>0.52372070000000004</v>
      </c>
      <c r="F3244" t="s">
        <v>42</v>
      </c>
      <c r="G3244">
        <v>-211.6353</v>
      </c>
      <c r="H3244" s="1">
        <v>-4.6311140000000004E-6</v>
      </c>
      <c r="I3244">
        <v>142.7046</v>
      </c>
      <c r="J3244">
        <v>-201.67840000000001</v>
      </c>
      <c r="K3244">
        <v>1.098643</v>
      </c>
      <c r="L3244">
        <v>143.65309999999999</v>
      </c>
      <c r="M3244">
        <v>-0.84042879999999998</v>
      </c>
      <c r="N3244">
        <v>0</v>
      </c>
      <c r="O3244">
        <v>-0.54171349999999996</v>
      </c>
      <c r="P3244">
        <v>-0.98549100000000001</v>
      </c>
      <c r="Q3244">
        <v>0.10502599999999999</v>
      </c>
      <c r="R3244">
        <v>-0.13333139999999999</v>
      </c>
      <c r="S3244">
        <v>-3.03688</v>
      </c>
      <c r="T3244">
        <v>-0.32766849999999997</v>
      </c>
      <c r="U3244">
        <v>-0.32182309999999997</v>
      </c>
      <c r="V3244">
        <v>0.42500900000000003</v>
      </c>
      <c r="W3244">
        <v>0.10666200000000001</v>
      </c>
      <c r="X3244">
        <v>0.89888299999999999</v>
      </c>
      <c r="Y3244">
        <v>0.44486779999999998</v>
      </c>
      <c r="Z3244">
        <v>7.9059329999999997E-2</v>
      </c>
      <c r="AA3244">
        <v>0.89209989999999995</v>
      </c>
      <c r="AB3244">
        <v>27</v>
      </c>
      <c r="AC3244">
        <v>-9.9568999999999903</v>
      </c>
      <c r="AD3244">
        <v>-1.0986476311139901</v>
      </c>
      <c r="AE3244">
        <v>-0.94849999999999501</v>
      </c>
      <c r="AF3244">
        <v>4.5423539788666698</v>
      </c>
      <c r="AG3244">
        <v>-1.0986476311139901</v>
      </c>
      <c r="AH3244">
        <v>8.7769855122955391</v>
      </c>
      <c r="AI3244">
        <v>96.343432819908898</v>
      </c>
      <c r="AJ3244">
        <v>62.6370759780825</v>
      </c>
      <c r="AK3244">
        <v>9.9436150855573704</v>
      </c>
      <c r="AL3244">
        <v>83.877070294065206</v>
      </c>
      <c r="AM3244">
        <v>64.694323869001295</v>
      </c>
      <c r="AN3244">
        <v>1.0000000400069899</v>
      </c>
    </row>
    <row r="3245" spans="1:40" x14ac:dyDescent="0.25">
      <c r="A3245" t="str">
        <f>"20190312164331369"</f>
        <v>20190312164331369</v>
      </c>
      <c r="B3245" t="str">
        <f>"1552380211358175"</f>
        <v>1552380211358175</v>
      </c>
      <c r="C3245" t="s">
        <v>40</v>
      </c>
      <c r="D3245">
        <v>4.9059589999999904</v>
      </c>
      <c r="E3245">
        <v>0.52492119999999998</v>
      </c>
      <c r="F3245" t="s">
        <v>42</v>
      </c>
      <c r="G3245">
        <v>-212.30699999999999</v>
      </c>
      <c r="H3245" s="1">
        <v>-4.377677E-6</v>
      </c>
      <c r="I3245">
        <v>142.72999999999999</v>
      </c>
      <c r="J3245">
        <v>-201.92060000000001</v>
      </c>
      <c r="K3245">
        <v>1.098751</v>
      </c>
      <c r="L3245">
        <v>143.51750000000001</v>
      </c>
      <c r="M3245">
        <v>-0.8490645</v>
      </c>
      <c r="N3245">
        <v>0</v>
      </c>
      <c r="O3245">
        <v>-0.52807630000000005</v>
      </c>
      <c r="P3245">
        <v>-0.98654249999999999</v>
      </c>
      <c r="Q3245">
        <v>0.1042587</v>
      </c>
      <c r="R3245">
        <v>-0.12595300000000001</v>
      </c>
      <c r="S3245">
        <v>-3.0419309999999999</v>
      </c>
      <c r="T3245">
        <v>-0.31443549999999998</v>
      </c>
      <c r="U3245">
        <v>-0.2641907</v>
      </c>
      <c r="V3245">
        <v>0.41719079999999897</v>
      </c>
      <c r="W3245">
        <v>0.1062438</v>
      </c>
      <c r="X3245">
        <v>0.90258740000000004</v>
      </c>
      <c r="Y3245">
        <v>0.44780710000000001</v>
      </c>
      <c r="Z3245">
        <v>7.4858960000000002E-2</v>
      </c>
      <c r="AA3245">
        <v>0.89099099999999998</v>
      </c>
      <c r="AB3245">
        <v>27</v>
      </c>
      <c r="AC3245">
        <v>-10.3864</v>
      </c>
      <c r="AD3245">
        <v>-1.098755377677</v>
      </c>
      <c r="AE3245">
        <v>-0.78750000000002196</v>
      </c>
      <c r="AF3245">
        <v>4.76370872994503</v>
      </c>
      <c r="AG3245">
        <v>-1.098755377677</v>
      </c>
      <c r="AH3245">
        <v>9.1339872979325296</v>
      </c>
      <c r="AI3245">
        <v>96.088086503631402</v>
      </c>
      <c r="AJ3245">
        <v>62.456310166304299</v>
      </c>
      <c r="AK3245">
        <v>10.3600148746283</v>
      </c>
      <c r="AL3245">
        <v>83.901167839615695</v>
      </c>
      <c r="AM3245">
        <v>65.192840593879396</v>
      </c>
      <c r="AN3245">
        <v>0.99999996164091898</v>
      </c>
    </row>
    <row r="3246" spans="1:40" x14ac:dyDescent="0.25">
      <c r="A3246" t="str">
        <f>"20190312164331392"</f>
        <v>20190312164331392</v>
      </c>
      <c r="B3246" t="str">
        <f>"1552380211388430"</f>
        <v>1552380211388430</v>
      </c>
      <c r="C3246" t="s">
        <v>40</v>
      </c>
      <c r="D3246">
        <v>4.7307420000000002</v>
      </c>
      <c r="E3246">
        <v>0.52460099999999998</v>
      </c>
      <c r="F3246" t="s">
        <v>42</v>
      </c>
      <c r="G3246">
        <v>-213.36779999999999</v>
      </c>
      <c r="H3246" s="1">
        <v>-3.9244159999999997E-6</v>
      </c>
      <c r="I3246">
        <v>142.65629999999999</v>
      </c>
      <c r="J3246">
        <v>-202.15710000000001</v>
      </c>
      <c r="K3246">
        <v>1.098867</v>
      </c>
      <c r="L3246">
        <v>143.3897</v>
      </c>
      <c r="M3246">
        <v>-0.85712790000000005</v>
      </c>
      <c r="N3246">
        <v>0</v>
      </c>
      <c r="O3246">
        <v>-0.51488670000000003</v>
      </c>
      <c r="P3246">
        <v>-0.98750000000000004</v>
      </c>
      <c r="Q3246">
        <v>0.10385469999999999</v>
      </c>
      <c r="R3246">
        <v>-0.11856559999999999</v>
      </c>
      <c r="S3246">
        <v>-3.042557</v>
      </c>
      <c r="T3246">
        <v>-0.29203820000000003</v>
      </c>
      <c r="U3246">
        <v>-0.22889709999999999</v>
      </c>
      <c r="V3246">
        <v>0.40994560000000002</v>
      </c>
      <c r="W3246">
        <v>0.1061665</v>
      </c>
      <c r="X3246">
        <v>0.9059102</v>
      </c>
      <c r="Y3246">
        <v>0.44501990000000002</v>
      </c>
      <c r="Z3246">
        <v>6.8392419999999995E-2</v>
      </c>
      <c r="AA3246">
        <v>0.89290519999999995</v>
      </c>
      <c r="AB3246">
        <v>27</v>
      </c>
      <c r="AC3246">
        <v>-11.2106999999999</v>
      </c>
      <c r="AD3246">
        <v>-1.098870924416</v>
      </c>
      <c r="AE3246">
        <v>-0.73340000000001704</v>
      </c>
      <c r="AF3246">
        <v>5.0954496131874096</v>
      </c>
      <c r="AG3246">
        <v>-1.098870924416</v>
      </c>
      <c r="AH3246">
        <v>9.8930909512403904</v>
      </c>
      <c r="AI3246">
        <v>95.639475352975097</v>
      </c>
      <c r="AJ3246">
        <v>62.7492083190062</v>
      </c>
      <c r="AK3246">
        <v>11.182324116147401</v>
      </c>
      <c r="AL3246">
        <v>83.9056222639352</v>
      </c>
      <c r="AM3246">
        <v>65.652133397785903</v>
      </c>
      <c r="AN3246">
        <v>1.00000000557282</v>
      </c>
    </row>
    <row r="3247" spans="1:40" x14ac:dyDescent="0.25">
      <c r="A3247" t="str">
        <f>"20190312164331435"</f>
        <v>20190312164331435</v>
      </c>
      <c r="B3247" t="str">
        <f>"1552380211427471"</f>
        <v>1552380211427471</v>
      </c>
      <c r="C3247" t="s">
        <v>40</v>
      </c>
      <c r="D3247">
        <v>4.7319839999999997</v>
      </c>
      <c r="E3247">
        <v>0.52347399999999999</v>
      </c>
      <c r="F3247" t="s">
        <v>42</v>
      </c>
      <c r="G3247">
        <v>-213.36510000000001</v>
      </c>
      <c r="H3247" s="1">
        <v>-3.9163579999999996E-6</v>
      </c>
      <c r="I3247">
        <v>142.62119999999999</v>
      </c>
      <c r="J3247">
        <v>-202.6251</v>
      </c>
      <c r="K3247">
        <v>1.099159</v>
      </c>
      <c r="L3247">
        <v>143.1497</v>
      </c>
      <c r="M3247">
        <v>-0.8720253</v>
      </c>
      <c r="N3247">
        <v>0</v>
      </c>
      <c r="O3247">
        <v>-0.48923699999999998</v>
      </c>
      <c r="P3247">
        <v>-0.9890293</v>
      </c>
      <c r="Q3247">
        <v>0.10310320000000001</v>
      </c>
      <c r="R3247">
        <v>-0.1057872</v>
      </c>
      <c r="S3247">
        <v>-3.0443120000000001</v>
      </c>
      <c r="T3247">
        <v>-0.29847439999999997</v>
      </c>
      <c r="U3247">
        <v>-0.20874019999999999</v>
      </c>
      <c r="V3247">
        <v>0.39464450000000001</v>
      </c>
      <c r="W3247">
        <v>0.1061025</v>
      </c>
      <c r="X3247">
        <v>0.91268720000000003</v>
      </c>
      <c r="Y3247">
        <v>0.42432120000000001</v>
      </c>
      <c r="Z3247">
        <v>6.6695080000000004E-2</v>
      </c>
      <c r="AA3247">
        <v>0.90305219999999997</v>
      </c>
      <c r="AB3247">
        <v>27</v>
      </c>
      <c r="AC3247">
        <v>-10.74</v>
      </c>
      <c r="AD3247">
        <v>-1.0991629163579999</v>
      </c>
      <c r="AE3247">
        <v>-0.52850000000000796</v>
      </c>
      <c r="AF3247">
        <v>4.74449097009225</v>
      </c>
      <c r="AG3247">
        <v>-1.0991629163579999</v>
      </c>
      <c r="AH3247">
        <v>9.5256364605579797</v>
      </c>
      <c r="AI3247">
        <v>95.897015097115798</v>
      </c>
      <c r="AJ3247">
        <v>63.523206029793897</v>
      </c>
      <c r="AK3247">
        <v>10.6984159416567</v>
      </c>
      <c r="AL3247">
        <v>83.909309826770993</v>
      </c>
      <c r="AM3247">
        <v>66.616420896968506</v>
      </c>
      <c r="AN3247">
        <v>0.999999973465169</v>
      </c>
    </row>
    <row r="3248" spans="1:40" x14ac:dyDescent="0.25">
      <c r="A3248" t="str">
        <f>"20190312164331457"</f>
        <v>20190312164331457</v>
      </c>
      <c r="B3248" t="str">
        <f>"1552380211447967"</f>
        <v>1552380211447967</v>
      </c>
      <c r="C3248" t="s">
        <v>40</v>
      </c>
      <c r="D3248">
        <v>4.7654300000000003</v>
      </c>
      <c r="E3248">
        <v>0.52301229999999999</v>
      </c>
      <c r="F3248" t="s">
        <v>42</v>
      </c>
      <c r="G3248">
        <v>-213.30520000000001</v>
      </c>
      <c r="H3248" s="1">
        <v>-3.9197830000000003E-6</v>
      </c>
      <c r="I3248">
        <v>142.52770000000001</v>
      </c>
      <c r="J3248">
        <v>-202.874</v>
      </c>
      <c r="K3248">
        <v>1.0993329999999999</v>
      </c>
      <c r="L3248">
        <v>143.02869999999999</v>
      </c>
      <c r="M3248">
        <v>-0.87941619999999998</v>
      </c>
      <c r="N3248">
        <v>0</v>
      </c>
      <c r="O3248">
        <v>-0.47582600000000003</v>
      </c>
      <c r="P3248">
        <v>-0.98968199999999995</v>
      </c>
      <c r="Q3248">
        <v>0.10292569999999999</v>
      </c>
      <c r="R3248">
        <v>-9.9678169999999996E-2</v>
      </c>
      <c r="S3248">
        <v>-3.0469819999999999</v>
      </c>
      <c r="T3248">
        <v>-0.31358419999999998</v>
      </c>
      <c r="U3248">
        <v>-0.1774597</v>
      </c>
      <c r="V3248">
        <v>0.38623410000000002</v>
      </c>
      <c r="W3248">
        <v>0.1062888</v>
      </c>
      <c r="X3248">
        <v>0.91625650000000003</v>
      </c>
      <c r="Y3248">
        <v>0.4194156</v>
      </c>
      <c r="Z3248">
        <v>6.8578260000000002E-2</v>
      </c>
      <c r="AA3248">
        <v>0.90520029999999996</v>
      </c>
      <c r="AB3248">
        <v>27</v>
      </c>
      <c r="AC3248">
        <v>-10.431199999999899</v>
      </c>
      <c r="AD3248">
        <v>-1.0993369197830001</v>
      </c>
      <c r="AE3248">
        <v>-0.50099999999997602</v>
      </c>
      <c r="AF3248">
        <v>4.4737636212688097</v>
      </c>
      <c r="AG3248">
        <v>-1.0993369197830001</v>
      </c>
      <c r="AH3248">
        <v>9.3096123156426103</v>
      </c>
      <c r="AI3248">
        <v>96.075373624558395</v>
      </c>
      <c r="AJ3248">
        <v>64.333240825815494</v>
      </c>
      <c r="AK3248">
        <v>10.3871066264745</v>
      </c>
      <c r="AL3248">
        <v>83.898575274399093</v>
      </c>
      <c r="AM3248">
        <v>67.142878552363896</v>
      </c>
      <c r="AN3248">
        <v>1.00000003140024</v>
      </c>
    </row>
    <row r="3249" spans="1:40" x14ac:dyDescent="0.25">
      <c r="A3249" t="str">
        <f>"20190312164331482"</f>
        <v>20190312164331482</v>
      </c>
      <c r="B3249" t="str">
        <f>"1552380211478223"</f>
        <v>1552380211478223</v>
      </c>
      <c r="C3249" t="s">
        <v>40</v>
      </c>
      <c r="D3249">
        <v>4.796576</v>
      </c>
      <c r="E3249">
        <v>0.52245940000000002</v>
      </c>
      <c r="F3249" t="s">
        <v>42</v>
      </c>
      <c r="G3249">
        <v>-213.37289999999999</v>
      </c>
      <c r="H3249" s="1">
        <v>-3.8732240000000003E-6</v>
      </c>
      <c r="I3249">
        <v>142.47299999999899</v>
      </c>
      <c r="J3249">
        <v>-203.13589999999999</v>
      </c>
      <c r="K3249">
        <v>1.0994919999999999</v>
      </c>
      <c r="L3249">
        <v>142.90600000000001</v>
      </c>
      <c r="M3249">
        <v>-0.88680999999999999</v>
      </c>
      <c r="N3249">
        <v>0</v>
      </c>
      <c r="O3249">
        <v>-0.4619026</v>
      </c>
      <c r="P3249">
        <v>-0.99042609999999998</v>
      </c>
      <c r="Q3249">
        <v>0.1025537</v>
      </c>
      <c r="R3249">
        <v>-9.2407459999999997E-2</v>
      </c>
      <c r="S3249">
        <v>-3.0482179999999999</v>
      </c>
      <c r="T3249">
        <v>-0.31917830000000003</v>
      </c>
      <c r="U3249">
        <v>-0.16133120000000001</v>
      </c>
      <c r="V3249">
        <v>0.37845519999999999</v>
      </c>
      <c r="W3249">
        <v>0.1062471</v>
      </c>
      <c r="X3249">
        <v>0.91950160000000003</v>
      </c>
      <c r="Y3249">
        <v>0.40985830000000001</v>
      </c>
      <c r="Z3249">
        <v>6.7996730000000005E-2</v>
      </c>
      <c r="AA3249">
        <v>0.90961130000000001</v>
      </c>
      <c r="AB3249">
        <v>26</v>
      </c>
      <c r="AC3249">
        <v>-10.236999999999901</v>
      </c>
      <c r="AD3249">
        <v>-1.0994958732240001</v>
      </c>
      <c r="AE3249">
        <v>-0.43300000000002098</v>
      </c>
      <c r="AF3249">
        <v>4.2955101715560398</v>
      </c>
      <c r="AG3249">
        <v>-1.0994958732240001</v>
      </c>
      <c r="AH3249">
        <v>9.1736359878381304</v>
      </c>
      <c r="AI3249">
        <v>96.194849951490397</v>
      </c>
      <c r="AJ3249">
        <v>64.908886666362903</v>
      </c>
      <c r="AK3249">
        <v>10.1890085899726</v>
      </c>
      <c r="AL3249">
        <v>83.900977851904898</v>
      </c>
      <c r="AM3249">
        <v>67.628555513392001</v>
      </c>
      <c r="AN3249">
        <v>0.99999998853400496</v>
      </c>
    </row>
    <row r="3250" spans="1:40" x14ac:dyDescent="0.25">
      <c r="A3250" t="str">
        <f>"20190312164331503"</f>
        <v>20190312164331503</v>
      </c>
      <c r="B3250" t="str">
        <f>"1552380211497743"</f>
        <v>1552380211497743</v>
      </c>
      <c r="C3250" t="s">
        <v>40</v>
      </c>
      <c r="D3250">
        <v>4.8012139999999999</v>
      </c>
      <c r="E3250">
        <v>0.52231899999999998</v>
      </c>
      <c r="F3250" t="s">
        <v>42</v>
      </c>
      <c r="G3250">
        <v>-213.5093</v>
      </c>
      <c r="H3250" s="1">
        <v>-3.7941810000000001E-6</v>
      </c>
      <c r="I3250">
        <v>142.41820000000001</v>
      </c>
      <c r="J3250">
        <v>-203.37610000000001</v>
      </c>
      <c r="K3250">
        <v>1.099639</v>
      </c>
      <c r="L3250">
        <v>142.798</v>
      </c>
      <c r="M3250">
        <v>-0.89325359999999998</v>
      </c>
      <c r="N3250">
        <v>0</v>
      </c>
      <c r="O3250">
        <v>-0.44931759999999898</v>
      </c>
      <c r="P3250">
        <v>-0.99094959999999999</v>
      </c>
      <c r="Q3250">
        <v>0.1023801</v>
      </c>
      <c r="R3250">
        <v>-8.6817920000000007E-2</v>
      </c>
      <c r="S3250">
        <v>-3.0491030000000001</v>
      </c>
      <c r="T3250">
        <v>-0.32317820000000003</v>
      </c>
      <c r="U3250">
        <v>-0.14337159999999999</v>
      </c>
      <c r="V3250">
        <v>0.37058059999999998</v>
      </c>
      <c r="W3250">
        <v>0.1063794</v>
      </c>
      <c r="X3250">
        <v>0.92268810000000001</v>
      </c>
      <c r="Y3250">
        <v>0.40231620000000001</v>
      </c>
      <c r="Z3250">
        <v>6.7255239999999994E-2</v>
      </c>
      <c r="AA3250">
        <v>0.91302700000000003</v>
      </c>
      <c r="AB3250">
        <v>26</v>
      </c>
      <c r="AC3250">
        <v>-10.133199999999899</v>
      </c>
      <c r="AD3250">
        <v>-1.0996427941810001</v>
      </c>
      <c r="AE3250">
        <v>-0.37979999999998798</v>
      </c>
      <c r="AF3250">
        <v>4.1652311523443197</v>
      </c>
      <c r="AG3250">
        <v>-1.0996427941810001</v>
      </c>
      <c r="AH3250">
        <v>9.1159427579231505</v>
      </c>
      <c r="AI3250">
        <v>96.261329818780496</v>
      </c>
      <c r="AJ3250">
        <v>65.443523318790895</v>
      </c>
      <c r="AK3250">
        <v>10.082597740314</v>
      </c>
      <c r="AL3250">
        <v>83.893354141945807</v>
      </c>
      <c r="AM3250">
        <v>68.118051640103104</v>
      </c>
      <c r="AN3250">
        <v>0.99999994386116298</v>
      </c>
    </row>
    <row r="3251" spans="1:40" x14ac:dyDescent="0.25">
      <c r="A3251" t="str">
        <f>"20190312164331527"</f>
        <v>20190312164331527</v>
      </c>
      <c r="B3251" t="str">
        <f>"1552380211518239"</f>
        <v>1552380211518239</v>
      </c>
      <c r="C3251" t="s">
        <v>40</v>
      </c>
      <c r="D3251">
        <v>4.7900869999999998</v>
      </c>
      <c r="E3251">
        <v>0.52196719999999996</v>
      </c>
      <c r="F3251" t="s">
        <v>42</v>
      </c>
      <c r="G3251">
        <v>-213.65020000000001</v>
      </c>
      <c r="H3251" s="1">
        <v>-3.7138400000000002E-6</v>
      </c>
      <c r="I3251">
        <v>142.3665</v>
      </c>
      <c r="J3251">
        <v>-203.6328</v>
      </c>
      <c r="K3251">
        <v>1.099777</v>
      </c>
      <c r="L3251">
        <v>142.68680000000001</v>
      </c>
      <c r="M3251">
        <v>-0.89981730000000004</v>
      </c>
      <c r="N3251">
        <v>0</v>
      </c>
      <c r="O3251">
        <v>-0.4360272</v>
      </c>
      <c r="P3251">
        <v>-0.99149390000000004</v>
      </c>
      <c r="Q3251">
        <v>0.1020407</v>
      </c>
      <c r="R3251">
        <v>-8.0793080000000003E-2</v>
      </c>
      <c r="S3251">
        <v>-3.0499109999999998</v>
      </c>
      <c r="T3251">
        <v>-0.3264341</v>
      </c>
      <c r="U3251">
        <v>-0.12806699999999999</v>
      </c>
      <c r="V3251">
        <v>0.36245450000000001</v>
      </c>
      <c r="W3251">
        <v>0.106332</v>
      </c>
      <c r="X3251">
        <v>0.92591590000000001</v>
      </c>
      <c r="Y3251">
        <v>0.39335829999999999</v>
      </c>
      <c r="Z3251">
        <v>6.6167610000000002E-2</v>
      </c>
      <c r="AA3251">
        <v>0.91700110000000001</v>
      </c>
      <c r="AB3251">
        <v>26</v>
      </c>
      <c r="AC3251">
        <v>-10.0174</v>
      </c>
      <c r="AD3251">
        <v>-1.09978071384</v>
      </c>
      <c r="AE3251">
        <v>-0.32030000000000303</v>
      </c>
      <c r="AF3251">
        <v>4.0315308047840803</v>
      </c>
      <c r="AG3251">
        <v>-1.09978071384</v>
      </c>
      <c r="AH3251">
        <v>9.0455303292945999</v>
      </c>
      <c r="AI3251">
        <v>96.336858765624697</v>
      </c>
      <c r="AJ3251">
        <v>65.977795027165698</v>
      </c>
      <c r="AK3251">
        <v>9.9641546147501092</v>
      </c>
      <c r="AL3251">
        <v>83.896085836421193</v>
      </c>
      <c r="AM3251">
        <v>68.6218876581936</v>
      </c>
      <c r="AN3251">
        <v>1.0000000063335299</v>
      </c>
    </row>
    <row r="3252" spans="1:40" x14ac:dyDescent="0.25">
      <c r="A3252" t="str">
        <f>"20190312164331569"</f>
        <v>20190312164331569</v>
      </c>
      <c r="B3252" t="str">
        <f>"1552380211558255"</f>
        <v>1552380211558255</v>
      </c>
      <c r="C3252" t="s">
        <v>40</v>
      </c>
      <c r="D3252">
        <v>4.797015</v>
      </c>
      <c r="E3252">
        <v>0.51162189999999996</v>
      </c>
      <c r="F3252" t="s">
        <v>42</v>
      </c>
      <c r="G3252">
        <v>-213.81460000000001</v>
      </c>
      <c r="H3252" s="1">
        <v>-3.6217520000000001E-6</v>
      </c>
      <c r="I3252">
        <v>142.3125</v>
      </c>
      <c r="J3252">
        <v>-204.11199999999999</v>
      </c>
      <c r="K3252">
        <v>1.099996</v>
      </c>
      <c r="L3252">
        <v>142.4906</v>
      </c>
      <c r="M3252">
        <v>-0.91127190000000002</v>
      </c>
      <c r="N3252">
        <v>0</v>
      </c>
      <c r="O3252">
        <v>-0.41155770000000003</v>
      </c>
      <c r="P3252">
        <v>-0.99229219999999896</v>
      </c>
      <c r="Q3252">
        <v>0.10132289999999999</v>
      </c>
      <c r="R3252">
        <v>-7.1344699999999997E-2</v>
      </c>
      <c r="S3252">
        <v>-3.0505070000000001</v>
      </c>
      <c r="T3252">
        <v>-0.32949899999999999</v>
      </c>
      <c r="U3252">
        <v>-0.1121521</v>
      </c>
      <c r="V3252">
        <v>0.34613319999999997</v>
      </c>
      <c r="W3252">
        <v>0.1061361</v>
      </c>
      <c r="X3252">
        <v>0.9321625</v>
      </c>
      <c r="Y3252">
        <v>0.37340640000000003</v>
      </c>
      <c r="Z3252">
        <v>6.3303059999999994E-2</v>
      </c>
      <c r="AA3252">
        <v>0.92550549999999998</v>
      </c>
      <c r="AB3252">
        <v>26</v>
      </c>
      <c r="AC3252">
        <v>-9.7026000000000092</v>
      </c>
      <c r="AD3252">
        <v>-1.0999996217520001</v>
      </c>
      <c r="AE3252">
        <v>-0.17810000000000001</v>
      </c>
      <c r="AF3252">
        <v>3.7826698484590202</v>
      </c>
      <c r="AG3252">
        <v>-1.0999996217520001</v>
      </c>
      <c r="AH3252">
        <v>8.8028081629145891</v>
      </c>
      <c r="AI3252">
        <v>96.5493945869096</v>
      </c>
      <c r="AJ3252">
        <v>66.746236347341096</v>
      </c>
      <c r="AK3252">
        <v>9.6440666683391996</v>
      </c>
      <c r="AL3252">
        <v>83.907373888853201</v>
      </c>
      <c r="AM3252">
        <v>69.628889953971296</v>
      </c>
      <c r="AN3252">
        <v>0.99999999513585003</v>
      </c>
    </row>
    <row r="3253" spans="1:40" x14ac:dyDescent="0.25">
      <c r="A3253" t="str">
        <f>"20190312164331590"</f>
        <v>20190312164331590</v>
      </c>
      <c r="B3253" t="str">
        <f>"1552380211578180"</f>
        <v>1552380211578180</v>
      </c>
      <c r="C3253" t="s">
        <v>40</v>
      </c>
      <c r="D3253">
        <v>4.8154450000000004</v>
      </c>
      <c r="E3253">
        <v>0.51118549999999996</v>
      </c>
      <c r="F3253" t="s">
        <v>42</v>
      </c>
      <c r="G3253">
        <v>-215.31059999999999</v>
      </c>
      <c r="H3253" s="1">
        <v>-2.802952E-6</v>
      </c>
      <c r="I3253">
        <v>141.8929</v>
      </c>
      <c r="J3253">
        <v>-204.352</v>
      </c>
      <c r="K3253">
        <v>1.10009</v>
      </c>
      <c r="L3253">
        <v>142.39769999999999</v>
      </c>
      <c r="M3253">
        <v>-0.91664880000000004</v>
      </c>
      <c r="N3253">
        <v>0</v>
      </c>
      <c r="O3253">
        <v>-0.39944079999999998</v>
      </c>
      <c r="P3253">
        <v>-0.99257569999999995</v>
      </c>
      <c r="Q3253">
        <v>0.1020131</v>
      </c>
      <c r="R3253">
        <v>-6.6231670000000006E-2</v>
      </c>
      <c r="S3253">
        <v>-3.04216</v>
      </c>
      <c r="T3253">
        <v>-0.29882039999999999</v>
      </c>
      <c r="U3253">
        <v>-0.16235350000000001</v>
      </c>
      <c r="V3253">
        <v>0.3385205</v>
      </c>
      <c r="W3253">
        <v>0.1070483</v>
      </c>
      <c r="X3253">
        <v>0.93484999999999996</v>
      </c>
      <c r="Y3253">
        <v>0.34658050000000001</v>
      </c>
      <c r="Z3253">
        <v>5.5131930000000003E-2</v>
      </c>
      <c r="AA3253">
        <v>0.93639859999999997</v>
      </c>
      <c r="AB3253">
        <v>26</v>
      </c>
      <c r="AC3253">
        <v>-10.958599999999899</v>
      </c>
      <c r="AD3253">
        <v>-1.1000928029520001</v>
      </c>
      <c r="AE3253">
        <v>-0.50479999999998804</v>
      </c>
      <c r="AF3253">
        <v>3.87600576465102</v>
      </c>
      <c r="AG3253">
        <v>-1.1000928029520001</v>
      </c>
      <c r="AH3253">
        <v>10.1458333409178</v>
      </c>
      <c r="AI3253">
        <v>95.783669282995206</v>
      </c>
      <c r="AJ3253">
        <v>69.091677366572497</v>
      </c>
      <c r="AK3253">
        <v>10.9165726784735</v>
      </c>
      <c r="AL3253">
        <v>83.854809205320606</v>
      </c>
      <c r="AM3253">
        <v>70.094065327773805</v>
      </c>
      <c r="AN3253">
        <v>0.999999994976569</v>
      </c>
    </row>
    <row r="3254" spans="1:40" x14ac:dyDescent="0.25">
      <c r="A3254" t="str">
        <f>"20190312164331636"</f>
        <v>20190312164331636</v>
      </c>
      <c r="B3254" t="str">
        <f>"1552380211627957"</f>
        <v>1552380211627957</v>
      </c>
      <c r="C3254" t="s">
        <v>40</v>
      </c>
      <c r="D3254">
        <v>4.8366870000000004</v>
      </c>
      <c r="E3254">
        <v>0.51259169999999998</v>
      </c>
      <c r="F3254" t="s">
        <v>42</v>
      </c>
      <c r="G3254">
        <v>-215.53880000000001</v>
      </c>
      <c r="H3254" s="1">
        <v>-2.6814080000000001E-6</v>
      </c>
      <c r="I3254">
        <v>141.8417</v>
      </c>
      <c r="J3254">
        <v>-204.87889999999999</v>
      </c>
      <c r="K3254">
        <v>1.1002559999999999</v>
      </c>
      <c r="L3254">
        <v>142.20599999999999</v>
      </c>
      <c r="M3254">
        <v>-0.92769120000000005</v>
      </c>
      <c r="N3254">
        <v>0</v>
      </c>
      <c r="O3254">
        <v>-0.373085</v>
      </c>
      <c r="P3254">
        <v>-0.99326570000000003</v>
      </c>
      <c r="Q3254">
        <v>0.1016092</v>
      </c>
      <c r="R3254">
        <v>-5.5671409999999998E-2</v>
      </c>
      <c r="S3254">
        <v>-3.0431059999999999</v>
      </c>
      <c r="T3254">
        <v>-0.29925190000000002</v>
      </c>
      <c r="U3254">
        <v>-0.15124509999999999</v>
      </c>
      <c r="V3254">
        <v>0.32163009999999997</v>
      </c>
      <c r="W3254">
        <v>0.1071043</v>
      </c>
      <c r="X3254">
        <v>0.94078839999999997</v>
      </c>
      <c r="Y3254">
        <v>0.32333859999999998</v>
      </c>
      <c r="Z3254">
        <v>5.1660669999999999E-2</v>
      </c>
      <c r="AA3254">
        <v>0.94487209999999999</v>
      </c>
      <c r="AB3254">
        <v>26</v>
      </c>
      <c r="AC3254">
        <v>-10.6599</v>
      </c>
      <c r="AD3254">
        <v>-1.100258681408</v>
      </c>
      <c r="AE3254">
        <v>-0.364300000000014</v>
      </c>
      <c r="AF3254">
        <v>3.60112961055352</v>
      </c>
      <c r="AG3254">
        <v>-1.100258681408</v>
      </c>
      <c r="AH3254">
        <v>9.9204341175379103</v>
      </c>
      <c r="AI3254">
        <v>95.951708823057302</v>
      </c>
      <c r="AJ3254">
        <v>70.049041425731303</v>
      </c>
      <c r="AK3254">
        <v>10.611018646597</v>
      </c>
      <c r="AL3254">
        <v>83.851582322642997</v>
      </c>
      <c r="AM3254">
        <v>71.125829751494194</v>
      </c>
      <c r="AN3254">
        <v>1.00000003293952</v>
      </c>
    </row>
    <row r="3255" spans="1:40" x14ac:dyDescent="0.25">
      <c r="A3255" t="str">
        <f>"20190312164331658"</f>
        <v>20190312164331658</v>
      </c>
      <c r="B3255" t="str">
        <f>"1552380211648452"</f>
        <v>1552380211648452</v>
      </c>
      <c r="C3255" t="s">
        <v>40</v>
      </c>
      <c r="D3255">
        <v>4.8174029999999997</v>
      </c>
      <c r="E3255">
        <v>0.51191500000000001</v>
      </c>
      <c r="F3255" t="s">
        <v>42</v>
      </c>
      <c r="G3255">
        <v>-217.23259999999999</v>
      </c>
      <c r="H3255" s="1">
        <v>-1.865685E-6</v>
      </c>
      <c r="I3255">
        <v>141.785</v>
      </c>
      <c r="J3255">
        <v>-205.12979999999999</v>
      </c>
      <c r="K3255">
        <v>1.1003289999999999</v>
      </c>
      <c r="L3255">
        <v>142.12039999999999</v>
      </c>
      <c r="M3255">
        <v>-0.93259610000000004</v>
      </c>
      <c r="N3255">
        <v>0</v>
      </c>
      <c r="O3255">
        <v>-0.36065239999999998</v>
      </c>
      <c r="P3255">
        <v>-0.9935235</v>
      </c>
      <c r="Q3255">
        <v>0.1011898</v>
      </c>
      <c r="R3255">
        <v>-5.169116E-2</v>
      </c>
      <c r="S3255">
        <v>-3.042252</v>
      </c>
      <c r="T3255">
        <v>-0.27095320000000001</v>
      </c>
      <c r="U3255">
        <v>-0.1036682</v>
      </c>
      <c r="V3255">
        <v>0.3127839</v>
      </c>
      <c r="W3255">
        <v>0.106918</v>
      </c>
      <c r="X3255">
        <v>0.9437875</v>
      </c>
      <c r="Y3255">
        <v>0.32605719999999999</v>
      </c>
      <c r="Z3255">
        <v>4.5930239999999997E-2</v>
      </c>
      <c r="AA3255">
        <v>0.94423360000000001</v>
      </c>
      <c r="AB3255">
        <v>26</v>
      </c>
      <c r="AC3255">
        <v>-12.1028</v>
      </c>
      <c r="AD3255">
        <v>-1.1003308656849999</v>
      </c>
      <c r="AE3255">
        <v>-0.33539999999999198</v>
      </c>
      <c r="AF3255">
        <v>4.0193084385977702</v>
      </c>
      <c r="AG3255">
        <v>-1.1003308656849999</v>
      </c>
      <c r="AH3255">
        <v>11.315636828681599</v>
      </c>
      <c r="AI3255">
        <v>95.235455922530406</v>
      </c>
      <c r="AJ3255">
        <v>70.444987581901501</v>
      </c>
      <c r="AK3255">
        <v>12.0585739280057</v>
      </c>
      <c r="AL3255">
        <v>83.862318192000004</v>
      </c>
      <c r="AM3255">
        <v>71.664107661208106</v>
      </c>
      <c r="AN3255">
        <v>1.0000000359897201</v>
      </c>
    </row>
    <row r="3256" spans="1:40" x14ac:dyDescent="0.25">
      <c r="A3256" t="str">
        <f>"20190312164331683"</f>
        <v>20190312164331683</v>
      </c>
      <c r="B3256" t="str">
        <f>"1552380211677731"</f>
        <v>1552380211677731</v>
      </c>
      <c r="C3256" t="s">
        <v>40</v>
      </c>
      <c r="D3256">
        <v>4.9690519999999996</v>
      </c>
      <c r="E3256">
        <v>0.51148359999999904</v>
      </c>
      <c r="F3256" t="s">
        <v>42</v>
      </c>
      <c r="G3256">
        <v>-217.18530000000001</v>
      </c>
      <c r="H3256" s="1">
        <v>-1.8769260000000001E-6</v>
      </c>
      <c r="I3256">
        <v>141.7432</v>
      </c>
      <c r="J3256">
        <v>-205.4109</v>
      </c>
      <c r="K3256">
        <v>1.1004229999999999</v>
      </c>
      <c r="L3256">
        <v>142.02889999999999</v>
      </c>
      <c r="M3256">
        <v>-0.93782690000000002</v>
      </c>
      <c r="N3256">
        <v>0</v>
      </c>
      <c r="O3256">
        <v>-0.34682649999999998</v>
      </c>
      <c r="P3256">
        <v>-0.99380999999999997</v>
      </c>
      <c r="Q3256">
        <v>0.1018433</v>
      </c>
      <c r="R3256">
        <v>-4.4383800000000001E-2</v>
      </c>
      <c r="S3256">
        <v>-3.0428920000000002</v>
      </c>
      <c r="T3256">
        <v>-0.27773179999999997</v>
      </c>
      <c r="U3256">
        <v>-9.5214839999999995E-2</v>
      </c>
      <c r="V3256">
        <v>0.30571999999999999</v>
      </c>
      <c r="W3256">
        <v>0.10776090000000001</v>
      </c>
      <c r="X3256">
        <v>0.94600359999999994</v>
      </c>
      <c r="Y3256">
        <v>0.31466290000000002</v>
      </c>
      <c r="Z3256">
        <v>4.5362550000000001E-2</v>
      </c>
      <c r="AA3256">
        <v>0.94811889999999999</v>
      </c>
      <c r="AB3256">
        <v>26</v>
      </c>
      <c r="AC3256">
        <v>-11.7744</v>
      </c>
      <c r="AD3256">
        <v>-1.1004248769260001</v>
      </c>
      <c r="AE3256">
        <v>-0.28569999999999102</v>
      </c>
      <c r="AF3256">
        <v>3.78307906648311</v>
      </c>
      <c r="AG3256">
        <v>-1.1004248769260001</v>
      </c>
      <c r="AH3256">
        <v>11.0460812111384</v>
      </c>
      <c r="AI3256">
        <v>95.384063651985798</v>
      </c>
      <c r="AJ3256">
        <v>71.0946138506783</v>
      </c>
      <c r="AK3256">
        <v>11.727682305386899</v>
      </c>
      <c r="AL3256">
        <v>83.813742526648795</v>
      </c>
      <c r="AM3256">
        <v>72.090722833174993</v>
      </c>
      <c r="AN3256">
        <v>0.99999997059088397</v>
      </c>
    </row>
    <row r="3257" spans="1:40" x14ac:dyDescent="0.25">
      <c r="A3257" t="str">
        <f>"20190312164331704"</f>
        <v>20190312164331704</v>
      </c>
      <c r="B3257" t="str">
        <f>"1552380211698227"</f>
        <v>1552380211698227</v>
      </c>
      <c r="C3257" t="s">
        <v>40</v>
      </c>
      <c r="D3257">
        <v>4.8458249999999996</v>
      </c>
      <c r="E3257">
        <v>0.51130129999999996</v>
      </c>
      <c r="F3257" t="s">
        <v>42</v>
      </c>
      <c r="G3257">
        <v>-217.37090000000001</v>
      </c>
      <c r="H3257" s="1">
        <v>-1.783641E-6</v>
      </c>
      <c r="I3257">
        <v>141.72229999999999</v>
      </c>
      <c r="J3257">
        <v>-205.6568</v>
      </c>
      <c r="K3257">
        <v>1.1005180000000001</v>
      </c>
      <c r="L3257">
        <v>141.95249999999999</v>
      </c>
      <c r="M3257">
        <v>-0.94216909999999998</v>
      </c>
      <c r="N3257">
        <v>0</v>
      </c>
      <c r="O3257">
        <v>-0.33485470000000001</v>
      </c>
      <c r="P3257">
        <v>-0.99398640000000005</v>
      </c>
      <c r="Q3257">
        <v>0.1022623</v>
      </c>
      <c r="R3257">
        <v>-3.9164209999999998E-2</v>
      </c>
      <c r="S3257">
        <v>-3.0438839999999998</v>
      </c>
      <c r="T3257">
        <v>-0.28006569999999997</v>
      </c>
      <c r="U3257">
        <v>-7.8018190000000001E-2</v>
      </c>
      <c r="V3257">
        <v>0.29859010000000002</v>
      </c>
      <c r="W3257">
        <v>0.1083814</v>
      </c>
      <c r="X3257">
        <v>0.94820749999999998</v>
      </c>
      <c r="Y3257">
        <v>0.30796760000000001</v>
      </c>
      <c r="Z3257">
        <v>4.4387780000000002E-2</v>
      </c>
      <c r="AA3257">
        <v>0.95036080000000001</v>
      </c>
      <c r="AB3257">
        <v>26</v>
      </c>
      <c r="AC3257">
        <v>-11.7141</v>
      </c>
      <c r="AD3257">
        <v>-1.1005197836409999</v>
      </c>
      <c r="AE3257">
        <v>-0.23019999999999599</v>
      </c>
      <c r="AF3257">
        <v>3.6735741861148399</v>
      </c>
      <c r="AG3257">
        <v>-1.1005197836409999</v>
      </c>
      <c r="AH3257">
        <v>11.017594123644599</v>
      </c>
      <c r="AI3257">
        <v>95.413121678487599</v>
      </c>
      <c r="AJ3257">
        <v>71.5601705920933</v>
      </c>
      <c r="AK3257">
        <v>11.665919225180801</v>
      </c>
      <c r="AL3257">
        <v>83.777981349302195</v>
      </c>
      <c r="AM3257">
        <v>72.520809490503694</v>
      </c>
      <c r="AN3257">
        <v>1.0000000193701</v>
      </c>
    </row>
    <row r="3258" spans="1:40" x14ac:dyDescent="0.25">
      <c r="A3258" t="str">
        <f>"20190312164331748"</f>
        <v>20190312164331748</v>
      </c>
      <c r="B3258" t="str">
        <f>"1552380211738244"</f>
        <v>1552380211738244</v>
      </c>
      <c r="C3258" t="s">
        <v>40</v>
      </c>
      <c r="D3258">
        <v>4.8121689999999999</v>
      </c>
      <c r="E3258">
        <v>0.51039869999999998</v>
      </c>
      <c r="F3258" t="s">
        <v>42</v>
      </c>
      <c r="G3258">
        <v>-217.8664</v>
      </c>
      <c r="H3258" s="1">
        <v>-1.5410419999999901E-6</v>
      </c>
      <c r="I3258">
        <v>141.6909</v>
      </c>
      <c r="J3258">
        <v>-206.16990000000001</v>
      </c>
      <c r="K3258">
        <v>1.100741</v>
      </c>
      <c r="L3258">
        <v>141.80369999999999</v>
      </c>
      <c r="M3258">
        <v>-0.95056490000000005</v>
      </c>
      <c r="N3258">
        <v>0</v>
      </c>
      <c r="O3258">
        <v>-0.31022670000000002</v>
      </c>
      <c r="P3258">
        <v>-0.99447099999999999</v>
      </c>
      <c r="Q3258">
        <v>0.1000048</v>
      </c>
      <c r="R3258">
        <v>-3.2041680000000003E-2</v>
      </c>
      <c r="S3258">
        <v>-3.0438230000000002</v>
      </c>
      <c r="T3258">
        <v>-0.27435710000000002</v>
      </c>
      <c r="U3258">
        <v>-6.5216060000000006E-2</v>
      </c>
      <c r="V3258">
        <v>0.28059200000000001</v>
      </c>
      <c r="W3258">
        <v>0.10663160000000001</v>
      </c>
      <c r="X3258">
        <v>0.95388569999999995</v>
      </c>
      <c r="Y3258">
        <v>0.28743449999999998</v>
      </c>
      <c r="Z3258">
        <v>4.045497E-2</v>
      </c>
      <c r="AA3258">
        <v>0.9569455</v>
      </c>
      <c r="AB3258">
        <v>26</v>
      </c>
      <c r="AC3258">
        <v>-11.696499999999901</v>
      </c>
      <c r="AD3258">
        <v>-1.100742541042</v>
      </c>
      <c r="AE3258">
        <v>-0.112799999999992</v>
      </c>
      <c r="AF3258">
        <v>3.4907571538957698</v>
      </c>
      <c r="AG3258">
        <v>-1.100742541042</v>
      </c>
      <c r="AH3258">
        <v>11.0564006676086</v>
      </c>
      <c r="AI3258">
        <v>95.423274198826107</v>
      </c>
      <c r="AJ3258">
        <v>72.477908339458907</v>
      </c>
      <c r="AK3258">
        <v>11.6465022805918</v>
      </c>
      <c r="AL3258">
        <v>83.878822129106695</v>
      </c>
      <c r="AM3258">
        <v>73.6083930655373</v>
      </c>
      <c r="AN3258">
        <v>1.0000000486235201</v>
      </c>
    </row>
    <row r="3259" spans="1:40" x14ac:dyDescent="0.25">
      <c r="A3259" t="str">
        <f>"20190312164331770"</f>
        <v>20190312164331770</v>
      </c>
      <c r="B3259" t="str">
        <f>"1552380211767524"</f>
        <v>1552380211767524</v>
      </c>
      <c r="C3259" t="s">
        <v>40</v>
      </c>
      <c r="D3259">
        <v>4.8512899999999997</v>
      </c>
      <c r="E3259">
        <v>0.51004300000000002</v>
      </c>
      <c r="F3259" t="s">
        <v>42</v>
      </c>
      <c r="G3259">
        <v>-218.05719999999999</v>
      </c>
      <c r="H3259" s="1">
        <v>-1.4337769999999999E-6</v>
      </c>
      <c r="I3259">
        <v>141.6267</v>
      </c>
      <c r="J3259">
        <v>-206.42679999999999</v>
      </c>
      <c r="K3259">
        <v>1.100854</v>
      </c>
      <c r="L3259">
        <v>141.73419999999999</v>
      </c>
      <c r="M3259">
        <v>-0.95443449999999996</v>
      </c>
      <c r="N3259">
        <v>0</v>
      </c>
      <c r="O3259">
        <v>-0.2981125</v>
      </c>
      <c r="P3259">
        <v>-0.99462989999999996</v>
      </c>
      <c r="Q3259">
        <v>9.9965209999999999E-2</v>
      </c>
      <c r="R3259">
        <v>-2.6804060000000001E-2</v>
      </c>
      <c r="S3259">
        <v>-3.0435639999999999</v>
      </c>
      <c r="T3259">
        <v>-0.2818292</v>
      </c>
      <c r="U3259">
        <v>-4.5318600000000001E-2</v>
      </c>
      <c r="V3259">
        <v>0.27343460000000003</v>
      </c>
      <c r="W3259">
        <v>0.10679329999999999</v>
      </c>
      <c r="X3259">
        <v>0.95594389999999996</v>
      </c>
      <c r="Y3259">
        <v>0.28144910000000001</v>
      </c>
      <c r="Z3259">
        <v>4.0212810000000002E-2</v>
      </c>
      <c r="AA3259">
        <v>0.95873319999999995</v>
      </c>
      <c r="AB3259">
        <v>26</v>
      </c>
      <c r="AC3259">
        <v>-11.6304</v>
      </c>
      <c r="AD3259">
        <v>-1.100855433777</v>
      </c>
      <c r="AE3259">
        <v>-0.10749999999998699</v>
      </c>
      <c r="AF3259">
        <v>3.33499852009985</v>
      </c>
      <c r="AG3259">
        <v>-1.100855433777</v>
      </c>
      <c r="AH3259">
        <v>11.0346710441524</v>
      </c>
      <c r="AI3259">
        <v>95.455040632518603</v>
      </c>
      <c r="AJ3259">
        <v>73.1836561232073</v>
      </c>
      <c r="AK3259">
        <v>11.5800717989052</v>
      </c>
      <c r="AL3259">
        <v>83.869503986976596</v>
      </c>
      <c r="AM3259">
        <v>74.037551059844603</v>
      </c>
      <c r="AN3259">
        <v>1.00000001467463</v>
      </c>
    </row>
    <row r="3260" spans="1:40" x14ac:dyDescent="0.25">
      <c r="A3260" t="str">
        <f>"20190312164331792"</f>
        <v>20190312164331792</v>
      </c>
      <c r="B3260" t="str">
        <f>"1552380211788020"</f>
        <v>1552380211788020</v>
      </c>
      <c r="C3260" t="s">
        <v>40</v>
      </c>
      <c r="D3260">
        <v>4.819782</v>
      </c>
      <c r="E3260">
        <v>0.5096948</v>
      </c>
      <c r="F3260" t="s">
        <v>42</v>
      </c>
      <c r="G3260">
        <v>-218.2157</v>
      </c>
      <c r="H3260" s="1">
        <v>-1.353316E-6</v>
      </c>
      <c r="I3260">
        <v>141.60599999999999</v>
      </c>
      <c r="J3260">
        <v>-206.68209999999999</v>
      </c>
      <c r="K3260">
        <v>1.1009869999999999</v>
      </c>
      <c r="L3260">
        <v>141.66839999999999</v>
      </c>
      <c r="M3260">
        <v>-0.95806159999999996</v>
      </c>
      <c r="N3260">
        <v>0</v>
      </c>
      <c r="O3260">
        <v>-0.28624470000000002</v>
      </c>
      <c r="P3260">
        <v>-0.9946026</v>
      </c>
      <c r="Q3260">
        <v>0.1017704</v>
      </c>
      <c r="R3260">
        <v>-2.0212190000000001E-2</v>
      </c>
      <c r="S3260">
        <v>-3.0438689999999999</v>
      </c>
      <c r="T3260">
        <v>-0.28423739999999997</v>
      </c>
      <c r="U3260">
        <v>-3.311157E-2</v>
      </c>
      <c r="V3260">
        <v>0.26784639999999998</v>
      </c>
      <c r="W3260">
        <v>0.1087606</v>
      </c>
      <c r="X3260">
        <v>0.95730320000000002</v>
      </c>
      <c r="Y3260">
        <v>0.27342549999999999</v>
      </c>
      <c r="Z3260">
        <v>3.9115440000000001E-2</v>
      </c>
      <c r="AA3260">
        <v>0.96109750000000005</v>
      </c>
      <c r="AB3260">
        <v>26</v>
      </c>
      <c r="AC3260">
        <v>-11.5336</v>
      </c>
      <c r="AD3260">
        <v>-1.1009883533159901</v>
      </c>
      <c r="AE3260">
        <v>-6.2399999999996597E-2</v>
      </c>
      <c r="AF3260">
        <v>3.2126692983576701</v>
      </c>
      <c r="AG3260">
        <v>-1.1009883533159901</v>
      </c>
      <c r="AH3260">
        <v>10.968817924511599</v>
      </c>
      <c r="AI3260">
        <v>95.502191044579106</v>
      </c>
      <c r="AJ3260">
        <v>73.675161145449906</v>
      </c>
      <c r="AK3260">
        <v>11.482525246470599</v>
      </c>
      <c r="AL3260">
        <v>83.756125406251002</v>
      </c>
      <c r="AM3260">
        <v>74.368770670365393</v>
      </c>
      <c r="AN3260">
        <v>0.99999998941778001</v>
      </c>
    </row>
    <row r="3261" spans="1:40" x14ac:dyDescent="0.25">
      <c r="A3261" t="str">
        <f>"20190312164331815"</f>
        <v>20190312164331815</v>
      </c>
      <c r="B3261" t="str">
        <f>"1552380211807540"</f>
        <v>1552380211807540</v>
      </c>
      <c r="C3261" t="s">
        <v>40</v>
      </c>
      <c r="D3261">
        <v>5.0634309999999996</v>
      </c>
      <c r="E3261">
        <v>0.50950790000000001</v>
      </c>
      <c r="F3261" t="s">
        <v>42</v>
      </c>
      <c r="G3261">
        <v>-218.59299999999999</v>
      </c>
      <c r="H3261" s="1">
        <v>-1.1688670000000001E-6</v>
      </c>
      <c r="I3261">
        <v>141.5831</v>
      </c>
      <c r="J3261">
        <v>-206.9539</v>
      </c>
      <c r="K3261">
        <v>1.1011679999999999</v>
      </c>
      <c r="L3261">
        <v>141.6018</v>
      </c>
      <c r="M3261">
        <v>-0.96167650000000005</v>
      </c>
      <c r="N3261">
        <v>0</v>
      </c>
      <c r="O3261">
        <v>-0.2738585</v>
      </c>
      <c r="P3261">
        <v>-0.99450400000000005</v>
      </c>
      <c r="Q3261">
        <v>0.1037211</v>
      </c>
      <c r="R3261">
        <v>-1.428315E-2</v>
      </c>
      <c r="S3261">
        <v>-3.0446469999999999</v>
      </c>
      <c r="T3261">
        <v>-0.28143190000000001</v>
      </c>
      <c r="U3261">
        <v>-2.182007E-2</v>
      </c>
      <c r="V3261">
        <v>0.261125</v>
      </c>
      <c r="W3261">
        <v>0.1109195</v>
      </c>
      <c r="X3261">
        <v>0.95891119999999996</v>
      </c>
      <c r="Y3261">
        <v>0.26471159999999999</v>
      </c>
      <c r="Z3261">
        <v>3.7217449999999999E-2</v>
      </c>
      <c r="AA3261">
        <v>0.96360919999999906</v>
      </c>
      <c r="AB3261">
        <v>26</v>
      </c>
      <c r="AC3261">
        <v>-11.6390999999999</v>
      </c>
      <c r="AD3261">
        <v>-1.101169168867</v>
      </c>
      <c r="AE3261">
        <v>-1.8699999999995401E-2</v>
      </c>
      <c r="AF3261">
        <v>3.1416474744250502</v>
      </c>
      <c r="AG3261">
        <v>-1.101169168867</v>
      </c>
      <c r="AH3261">
        <v>11.0998233883602</v>
      </c>
      <c r="AI3261">
        <v>95.452715763281105</v>
      </c>
      <c r="AJ3261">
        <v>74.196587467322601</v>
      </c>
      <c r="AK3261">
        <v>11.5882958904583</v>
      </c>
      <c r="AL3261">
        <v>83.6316768727674</v>
      </c>
      <c r="AM3261">
        <v>74.766920004598703</v>
      </c>
      <c r="AN3261">
        <v>1.0000000452953399</v>
      </c>
    </row>
    <row r="3262" spans="1:40" x14ac:dyDescent="0.25">
      <c r="A3262" t="str">
        <f>"20190312164331837"</f>
        <v>20190312164331837</v>
      </c>
      <c r="B3262" t="str">
        <f>"1552380211828036"</f>
        <v>1552380211828036</v>
      </c>
      <c r="C3262" t="s">
        <v>40</v>
      </c>
      <c r="D3262">
        <v>4.8461650000000001</v>
      </c>
      <c r="E3262">
        <v>0.50931949999999904</v>
      </c>
      <c r="F3262" t="s">
        <v>42</v>
      </c>
      <c r="G3262">
        <v>-219.15299999999999</v>
      </c>
      <c r="H3262" s="1">
        <v>-9.0236100000000002E-7</v>
      </c>
      <c r="I3262">
        <v>141.57640000000001</v>
      </c>
      <c r="J3262">
        <v>-207.21459999999999</v>
      </c>
      <c r="K3262">
        <v>1.1013820000000001</v>
      </c>
      <c r="L3262">
        <v>141.541</v>
      </c>
      <c r="M3262">
        <v>-0.96490339999999997</v>
      </c>
      <c r="N3262">
        <v>0</v>
      </c>
      <c r="O3262">
        <v>-0.26226650000000001</v>
      </c>
      <c r="P3262">
        <v>-0.99452359999999995</v>
      </c>
      <c r="Q3262">
        <v>0.1039471</v>
      </c>
      <c r="R3262">
        <v>-1.0869790000000001E-2</v>
      </c>
      <c r="S3262">
        <v>-3.0451510000000002</v>
      </c>
      <c r="T3262">
        <v>-0.27487460000000002</v>
      </c>
      <c r="U3262">
        <v>-6.3323969999999896E-3</v>
      </c>
      <c r="V3262">
        <v>0.25279859999999998</v>
      </c>
      <c r="W3262">
        <v>0.1114076</v>
      </c>
      <c r="X3262">
        <v>0.96108340000000003</v>
      </c>
      <c r="Y3262">
        <v>0.25818570000000002</v>
      </c>
      <c r="Z3262">
        <v>3.5044449999999998E-2</v>
      </c>
      <c r="AA3262">
        <v>0.96545950000000003</v>
      </c>
      <c r="AB3262">
        <v>26</v>
      </c>
      <c r="AC3262">
        <v>-11.9384</v>
      </c>
      <c r="AD3262">
        <v>-1.10138290236099</v>
      </c>
      <c r="AE3262">
        <v>3.5400000000009799E-2</v>
      </c>
      <c r="AF3262">
        <v>3.1387672002825102</v>
      </c>
      <c r="AG3262">
        <v>-1.10138290236099</v>
      </c>
      <c r="AH3262">
        <v>11.4139968666085</v>
      </c>
      <c r="AI3262">
        <v>95.315511811798999</v>
      </c>
      <c r="AJ3262">
        <v>74.624131144528704</v>
      </c>
      <c r="AK3262">
        <v>11.888827877723299</v>
      </c>
      <c r="AL3262">
        <v>83.603536381908896</v>
      </c>
      <c r="AM3262">
        <v>75.263021111872902</v>
      </c>
      <c r="AN3262">
        <v>1.00000004362763</v>
      </c>
    </row>
    <row r="3263" spans="1:40" x14ac:dyDescent="0.25">
      <c r="A3263" t="str">
        <f>"20190312164331860"</f>
        <v>20190312164331860</v>
      </c>
      <c r="B3263" t="str">
        <f>"1552380211847555"</f>
        <v>1552380211847555</v>
      </c>
      <c r="C3263" t="s">
        <v>40</v>
      </c>
      <c r="D3263">
        <v>4.8561769999999997</v>
      </c>
      <c r="E3263">
        <v>0.50889549999999995</v>
      </c>
      <c r="F3263" t="s">
        <v>42</v>
      </c>
      <c r="G3263">
        <v>-219.5909</v>
      </c>
      <c r="H3263" s="1">
        <v>-6.9152389999999995E-7</v>
      </c>
      <c r="I3263">
        <v>141.56190000000001</v>
      </c>
      <c r="J3263">
        <v>-207.48099999999999</v>
      </c>
      <c r="K3263">
        <v>1.101623</v>
      </c>
      <c r="L3263">
        <v>141.4819</v>
      </c>
      <c r="M3263">
        <v>-0.96796490000000002</v>
      </c>
      <c r="N3263">
        <v>0</v>
      </c>
      <c r="O3263">
        <v>-0.2507355</v>
      </c>
      <c r="P3263">
        <v>-0.99468590000000001</v>
      </c>
      <c r="Q3263">
        <v>0.1026185</v>
      </c>
      <c r="R3263">
        <v>-8.3493379999999996E-3</v>
      </c>
      <c r="S3263">
        <v>-3.0448759999999999</v>
      </c>
      <c r="T3263">
        <v>-0.27096809999999899</v>
      </c>
      <c r="U3263">
        <v>5.1422120000000002E-3</v>
      </c>
      <c r="V3263">
        <v>0.2436847</v>
      </c>
      <c r="W3263">
        <v>0.1103664</v>
      </c>
      <c r="X3263">
        <v>0.96355440000000003</v>
      </c>
      <c r="Y3263">
        <v>0.25042730000000002</v>
      </c>
      <c r="Z3263">
        <v>3.3212279999999997E-2</v>
      </c>
      <c r="AA3263">
        <v>0.96756549999999997</v>
      </c>
      <c r="AB3263">
        <v>26</v>
      </c>
      <c r="AC3263">
        <v>-12.1099</v>
      </c>
      <c r="AD3263">
        <v>-1.1016236915238999</v>
      </c>
      <c r="AE3263">
        <v>8.0000000000012506E-2</v>
      </c>
      <c r="AF3263">
        <v>3.08853501148287</v>
      </c>
      <c r="AG3263">
        <v>-1.1016236915238999</v>
      </c>
      <c r="AH3263">
        <v>11.606880626159599</v>
      </c>
      <c r="AI3263">
        <v>95.240484457896898</v>
      </c>
      <c r="AJ3263">
        <v>75.099156981020698</v>
      </c>
      <c r="AK3263">
        <v>12.061189872678399</v>
      </c>
      <c r="AL3263">
        <v>83.663562834031097</v>
      </c>
      <c r="AM3263">
        <v>75.807379615711994</v>
      </c>
      <c r="AN3263">
        <v>1.0000000285112001</v>
      </c>
    </row>
    <row r="3264" spans="1:40" x14ac:dyDescent="0.25">
      <c r="A3264" t="str">
        <f>"20190312164331884"</f>
        <v>20190312164331884</v>
      </c>
      <c r="B3264" t="str">
        <f>"1552380211877813"</f>
        <v>1552380211877813</v>
      </c>
      <c r="C3264" t="s">
        <v>40</v>
      </c>
      <c r="D3264">
        <v>4.8301319999999999</v>
      </c>
      <c r="E3264">
        <v>0.50849390000000005</v>
      </c>
      <c r="F3264" t="s">
        <v>42</v>
      </c>
      <c r="G3264">
        <v>-219.61070000000001</v>
      </c>
      <c r="H3264" s="1">
        <v>-6.7485270000000004E-7</v>
      </c>
      <c r="I3264">
        <v>141.53440000000001</v>
      </c>
      <c r="J3264">
        <v>-207.76179999999999</v>
      </c>
      <c r="K3264">
        <v>1.10189</v>
      </c>
      <c r="L3264">
        <v>141.423</v>
      </c>
      <c r="M3264">
        <v>-0.97093669999999999</v>
      </c>
      <c r="N3264">
        <v>0</v>
      </c>
      <c r="O3264">
        <v>-0.23897499999999999</v>
      </c>
      <c r="P3264">
        <v>-0.99477210000000005</v>
      </c>
      <c r="Q3264">
        <v>0.1020086</v>
      </c>
      <c r="R3264">
        <v>-4.7597550000000001E-3</v>
      </c>
      <c r="S3264">
        <v>-3.0446620000000002</v>
      </c>
      <c r="T3264">
        <v>-0.27651619999999999</v>
      </c>
      <c r="U3264">
        <v>1.318359E-2</v>
      </c>
      <c r="V3264">
        <v>0.23538049999999999</v>
      </c>
      <c r="W3264">
        <v>0.1100238</v>
      </c>
      <c r="X3264">
        <v>0.96565559999999995</v>
      </c>
      <c r="Y3264">
        <v>0.24123549999999999</v>
      </c>
      <c r="Z3264">
        <v>3.2436100000000002E-2</v>
      </c>
      <c r="AA3264">
        <v>0.96992440000000002</v>
      </c>
      <c r="AB3264">
        <v>26</v>
      </c>
      <c r="AC3264">
        <v>-11.8489</v>
      </c>
      <c r="AD3264">
        <v>-1.1018906748527</v>
      </c>
      <c r="AE3264">
        <v>0.111400000000003</v>
      </c>
      <c r="AF3264">
        <v>2.91480207617973</v>
      </c>
      <c r="AG3264">
        <v>-1.1018906748527</v>
      </c>
      <c r="AH3264">
        <v>11.3804913107462</v>
      </c>
      <c r="AI3264">
        <v>95.358392411781296</v>
      </c>
      <c r="AJ3264">
        <v>75.634066256162001</v>
      </c>
      <c r="AK3264">
        <v>11.799398996415</v>
      </c>
      <c r="AL3264">
        <v>83.683312318246806</v>
      </c>
      <c r="AM3264">
        <v>76.301173921261096</v>
      </c>
      <c r="AN3264">
        <v>0.99999997707902399</v>
      </c>
    </row>
    <row r="3265" spans="1:40" x14ac:dyDescent="0.25">
      <c r="A3265" t="str">
        <f>"20190312164331907"</f>
        <v>20190312164331907</v>
      </c>
      <c r="B3265" t="str">
        <f>"1552380211898308"</f>
        <v>1552380211898308</v>
      </c>
      <c r="C3265" t="s">
        <v>40</v>
      </c>
      <c r="D3265">
        <v>4.9869960000000004</v>
      </c>
      <c r="E3265">
        <v>0.50841170000000002</v>
      </c>
      <c r="F3265" t="s">
        <v>42</v>
      </c>
      <c r="G3265">
        <v>-219.88249999999999</v>
      </c>
      <c r="H3265" s="1">
        <v>-5.4042230000000005E-7</v>
      </c>
      <c r="I3265">
        <v>141.512</v>
      </c>
      <c r="J3265">
        <v>-208.02789999999999</v>
      </c>
      <c r="K3265">
        <v>1.102149</v>
      </c>
      <c r="L3265">
        <v>141.37</v>
      </c>
      <c r="M3265">
        <v>-0.97353000000000001</v>
      </c>
      <c r="N3265">
        <v>0</v>
      </c>
      <c r="O3265">
        <v>-0.2281851</v>
      </c>
      <c r="P3265">
        <v>-0.99466759999999999</v>
      </c>
      <c r="Q3265">
        <v>0.1031326</v>
      </c>
      <c r="R3265">
        <v>-6.3888940000000004E-4</v>
      </c>
      <c r="S3265">
        <v>-3.0442499999999999</v>
      </c>
      <c r="T3265">
        <v>-0.27675270000000002</v>
      </c>
      <c r="U3265">
        <v>2.235413E-2</v>
      </c>
      <c r="V3265">
        <v>0.22857440000000001</v>
      </c>
      <c r="W3265">
        <v>0.11135970000000001</v>
      </c>
      <c r="X3265">
        <v>0.96713640000000001</v>
      </c>
      <c r="Y3265">
        <v>0.23345569999999999</v>
      </c>
      <c r="Z3265">
        <v>3.1158499999999999E-2</v>
      </c>
      <c r="AA3265">
        <v>0.97186810000000001</v>
      </c>
      <c r="AB3265">
        <v>27</v>
      </c>
      <c r="AC3265">
        <v>-11.8546</v>
      </c>
      <c r="AD3265">
        <v>-1.1021495404223001</v>
      </c>
      <c r="AE3265">
        <v>0.14199999999999499</v>
      </c>
      <c r="AF3265">
        <v>2.8191624131652899</v>
      </c>
      <c r="AG3265">
        <v>-1.1021495404223001</v>
      </c>
      <c r="AH3265">
        <v>11.410771121212701</v>
      </c>
      <c r="AI3265">
        <v>95.356910197872494</v>
      </c>
      <c r="AJ3265">
        <v>76.122324798353105</v>
      </c>
      <c r="AK3265">
        <v>11.805427052925999</v>
      </c>
      <c r="AL3265">
        <v>83.606297931554394</v>
      </c>
      <c r="AM3265">
        <v>76.702634672921803</v>
      </c>
      <c r="AN3265">
        <v>1.0000000276622001</v>
      </c>
    </row>
    <row r="3266" spans="1:40" x14ac:dyDescent="0.25">
      <c r="A3266" t="str">
        <f>"20190312164331929"</f>
        <v>20190312164331929</v>
      </c>
      <c r="B3266" t="str">
        <f>"1552380211917828"</f>
        <v>1552380211917828</v>
      </c>
      <c r="C3266" t="s">
        <v>40</v>
      </c>
      <c r="D3266">
        <v>4.8412169999999897</v>
      </c>
      <c r="E3266">
        <v>0.50815140000000003</v>
      </c>
      <c r="F3266" t="s">
        <v>42</v>
      </c>
      <c r="G3266">
        <v>-220.32499999999999</v>
      </c>
      <c r="H3266" s="1">
        <v>-4.4997789999999997E-6</v>
      </c>
      <c r="I3266">
        <v>141.50129999999999</v>
      </c>
      <c r="J3266">
        <v>-208.29429999999999</v>
      </c>
      <c r="K3266">
        <v>1.1023860000000001</v>
      </c>
      <c r="L3266">
        <v>141.31960000000001</v>
      </c>
      <c r="M3266">
        <v>-0.97593430000000003</v>
      </c>
      <c r="N3266">
        <v>0</v>
      </c>
      <c r="O3266">
        <v>-0.21767790000000001</v>
      </c>
      <c r="P3266">
        <v>-0.99438720000000003</v>
      </c>
      <c r="Q3266">
        <v>0.1057597</v>
      </c>
      <c r="R3266">
        <v>3.0112730000000001E-3</v>
      </c>
      <c r="S3266">
        <v>-3.0444179999999998</v>
      </c>
      <c r="T3266">
        <v>-0.27286270000000001</v>
      </c>
      <c r="U3266">
        <v>3.251648E-2</v>
      </c>
      <c r="V3266">
        <v>0.2216098</v>
      </c>
      <c r="W3266">
        <v>0.1141769</v>
      </c>
      <c r="X3266">
        <v>0.96842799999999996</v>
      </c>
      <c r="Y3266">
        <v>0.2263377</v>
      </c>
      <c r="Z3266">
        <v>2.94816E-2</v>
      </c>
      <c r="AA3266">
        <v>0.97360270000000004</v>
      </c>
      <c r="AB3266">
        <v>27</v>
      </c>
      <c r="AC3266">
        <v>-12.0306999999999</v>
      </c>
      <c r="AD3266">
        <v>-1.1023904997789999</v>
      </c>
      <c r="AE3266">
        <v>0.18169999999997799</v>
      </c>
      <c r="AF3266">
        <v>2.7731019329608602</v>
      </c>
      <c r="AG3266">
        <v>-1.1023904997789999</v>
      </c>
      <c r="AH3266">
        <v>11.605188439929799</v>
      </c>
      <c r="AI3266">
        <v>95.278578008176098</v>
      </c>
      <c r="AJ3266">
        <v>76.560967422819502</v>
      </c>
      <c r="AK3266">
        <v>11.982727480455999</v>
      </c>
      <c r="AL3266">
        <v>83.443848004847794</v>
      </c>
      <c r="AM3266">
        <v>77.1106712262022</v>
      </c>
      <c r="AN3266">
        <v>1.0000000295668201</v>
      </c>
    </row>
    <row r="3267" spans="1:40" x14ac:dyDescent="0.25">
      <c r="A3267" t="str">
        <f>"20190312164331950"</f>
        <v>20190312164331950</v>
      </c>
      <c r="B3267" t="str">
        <f>"1552380211938325"</f>
        <v>1552380211938325</v>
      </c>
      <c r="C3267" t="s">
        <v>40</v>
      </c>
      <c r="D3267">
        <v>4.8450499999999996</v>
      </c>
      <c r="E3267">
        <v>0.50779839999999998</v>
      </c>
      <c r="F3267" t="s">
        <v>42</v>
      </c>
      <c r="G3267">
        <v>-220.99</v>
      </c>
      <c r="H3267" s="1">
        <v>-4.2713409999999997E-6</v>
      </c>
      <c r="I3267">
        <v>141.48910000000001</v>
      </c>
      <c r="J3267">
        <v>-208.5395</v>
      </c>
      <c r="K3267">
        <v>1.1025799999999999</v>
      </c>
      <c r="L3267">
        <v>141.2756</v>
      </c>
      <c r="M3267">
        <v>-0.97798560000000001</v>
      </c>
      <c r="N3267">
        <v>0</v>
      </c>
      <c r="O3267">
        <v>-0.20827319999999999</v>
      </c>
      <c r="P3267">
        <v>-0.99414130000000001</v>
      </c>
      <c r="Q3267">
        <v>0.1080025</v>
      </c>
      <c r="R3267">
        <v>4.3174009999999898E-3</v>
      </c>
      <c r="S3267">
        <v>-3.044937</v>
      </c>
      <c r="T3267">
        <v>-0.26439940000000001</v>
      </c>
      <c r="U3267">
        <v>4.066467E-2</v>
      </c>
      <c r="V3267">
        <v>0.213478</v>
      </c>
      <c r="W3267">
        <v>0.1166143</v>
      </c>
      <c r="X3267">
        <v>0.96996300000000002</v>
      </c>
      <c r="Y3267">
        <v>0.21973010000000001</v>
      </c>
      <c r="Z3267">
        <v>2.7479139999999999E-2</v>
      </c>
      <c r="AA3267">
        <v>0.97517359999999997</v>
      </c>
      <c r="AB3267">
        <v>27</v>
      </c>
      <c r="AC3267">
        <v>-12.4505</v>
      </c>
      <c r="AD3267">
        <v>-1.1025842713409999</v>
      </c>
      <c r="AE3267">
        <v>0.21350000000000999</v>
      </c>
      <c r="AF3267">
        <v>2.7803404236561802</v>
      </c>
      <c r="AG3267">
        <v>-1.1025842713409999</v>
      </c>
      <c r="AH3267">
        <v>12.0385693903965</v>
      </c>
      <c r="AI3267">
        <v>95.099487709178405</v>
      </c>
      <c r="AJ3267">
        <v>76.995401662549597</v>
      </c>
      <c r="AK3267">
        <v>12.4045611737867</v>
      </c>
      <c r="AL3267">
        <v>83.303255740592704</v>
      </c>
      <c r="AM3267">
        <v>77.587728171619304</v>
      </c>
      <c r="AN3267">
        <v>0.99999998640874399</v>
      </c>
    </row>
    <row r="3268" spans="1:40" x14ac:dyDescent="0.25">
      <c r="A3268" t="str">
        <f>"20190312164331971"</f>
        <v>20190312164331971</v>
      </c>
      <c r="B3268" t="str">
        <f>"1552380211967603"</f>
        <v>1552380211967603</v>
      </c>
      <c r="C3268" t="s">
        <v>40</v>
      </c>
      <c r="D3268">
        <v>4.8979609999999996</v>
      </c>
      <c r="E3268">
        <v>0.50754549999999998</v>
      </c>
      <c r="F3268" t="s">
        <v>42</v>
      </c>
      <c r="G3268">
        <v>-221.51859999999999</v>
      </c>
      <c r="H3268" s="1">
        <v>-4.0861550000000002E-6</v>
      </c>
      <c r="I3268">
        <v>141.45920000000001</v>
      </c>
      <c r="J3268">
        <v>-208.79820000000001</v>
      </c>
      <c r="K3268">
        <v>1.1027750000000001</v>
      </c>
      <c r="L3268">
        <v>141.23150000000001</v>
      </c>
      <c r="M3268">
        <v>-0.9799892</v>
      </c>
      <c r="N3268">
        <v>0</v>
      </c>
      <c r="O3268">
        <v>-0.1986376</v>
      </c>
      <c r="P3268">
        <v>-0.99403739999999996</v>
      </c>
      <c r="Q3268">
        <v>0.1088851</v>
      </c>
      <c r="R3268">
        <v>5.7776700000000004E-3</v>
      </c>
      <c r="S3268">
        <v>-3.0456089999999998</v>
      </c>
      <c r="T3268">
        <v>-0.25872830000000002</v>
      </c>
      <c r="U3268">
        <v>4.3106079999999998E-2</v>
      </c>
      <c r="V3268">
        <v>0.20527719999999999</v>
      </c>
      <c r="W3268">
        <v>0.1176831</v>
      </c>
      <c r="X3268">
        <v>0.97160279999999999</v>
      </c>
      <c r="Y3268">
        <v>0.211035</v>
      </c>
      <c r="Z3268">
        <v>2.5713E-2</v>
      </c>
      <c r="AA3268">
        <v>0.97714020000000001</v>
      </c>
      <c r="AB3268">
        <v>27</v>
      </c>
      <c r="AC3268">
        <v>-12.7203999999999</v>
      </c>
      <c r="AD3268">
        <v>-1.102779086155</v>
      </c>
      <c r="AE3268">
        <v>0.22769999999999799</v>
      </c>
      <c r="AF3268">
        <v>2.72961051160478</v>
      </c>
      <c r="AG3268">
        <v>-1.102779086155</v>
      </c>
      <c r="AH3268">
        <v>12.329012371115899</v>
      </c>
      <c r="AI3268">
        <v>94.991041695985601</v>
      </c>
      <c r="AJ3268">
        <v>77.516238455951793</v>
      </c>
      <c r="AK3268">
        <v>12.675623902003901</v>
      </c>
      <c r="AL3268">
        <v>83.241593658876795</v>
      </c>
      <c r="AM3268">
        <v>78.070169607946596</v>
      </c>
      <c r="AN3268">
        <v>1.00000002091664</v>
      </c>
    </row>
    <row r="3269" spans="1:40" x14ac:dyDescent="0.25">
      <c r="A3269" t="str">
        <f>"20190312164331996"</f>
        <v>20190312164331996</v>
      </c>
      <c r="B3269" t="str">
        <f>"1552380211988100"</f>
        <v>1552380211988100</v>
      </c>
      <c r="C3269" t="s">
        <v>40</v>
      </c>
      <c r="D3269">
        <v>4.8221869999999996</v>
      </c>
      <c r="E3269">
        <v>0.50739809999999996</v>
      </c>
      <c r="F3269" t="s">
        <v>42</v>
      </c>
      <c r="G3269">
        <v>-221.95429999999999</v>
      </c>
      <c r="H3269" s="1">
        <v>-3.9163119999999996E-6</v>
      </c>
      <c r="I3269">
        <v>141.42939999999999</v>
      </c>
      <c r="J3269">
        <v>-209.10210000000001</v>
      </c>
      <c r="K3269">
        <v>1.103016</v>
      </c>
      <c r="L3269">
        <v>141.18260000000001</v>
      </c>
      <c r="M3269">
        <v>-0.98214690000000004</v>
      </c>
      <c r="N3269">
        <v>0</v>
      </c>
      <c r="O3269">
        <v>-0.18768609999999999</v>
      </c>
      <c r="P3269">
        <v>-0.99391419999999997</v>
      </c>
      <c r="Q3269">
        <v>0.109815</v>
      </c>
      <c r="R3269">
        <v>8.6925349999999995E-3</v>
      </c>
      <c r="S3269">
        <v>-3.0457000000000001</v>
      </c>
      <c r="T3269">
        <v>-0.25529990000000002</v>
      </c>
      <c r="U3269">
        <v>4.58374E-2</v>
      </c>
      <c r="V3269">
        <v>0.19718859999999999</v>
      </c>
      <c r="W3269">
        <v>0.1187873</v>
      </c>
      <c r="X3269">
        <v>0.97314239999999996</v>
      </c>
      <c r="Y3269">
        <v>0.20110239999999999</v>
      </c>
      <c r="Z3269">
        <v>2.4053560000000002E-2</v>
      </c>
      <c r="AA3269">
        <v>0.97927489999999995</v>
      </c>
      <c r="AB3269">
        <v>27</v>
      </c>
      <c r="AC3269">
        <v>-12.8521999999999</v>
      </c>
      <c r="AD3269">
        <v>-1.103019916312</v>
      </c>
      <c r="AE3269">
        <v>0.24679999999997901</v>
      </c>
      <c r="AF3269">
        <v>2.6353832069249998</v>
      </c>
      <c r="AG3269">
        <v>-1.103019916312</v>
      </c>
      <c r="AH3269">
        <v>12.4855123076978</v>
      </c>
      <c r="AI3269">
        <v>94.940333431899504</v>
      </c>
      <c r="AJ3269">
        <v>78.081225971514002</v>
      </c>
      <c r="AK3269">
        <v>12.808197186520699</v>
      </c>
      <c r="AL3269">
        <v>83.177880255009001</v>
      </c>
      <c r="AM3269">
        <v>78.545206141089693</v>
      </c>
      <c r="AN3269">
        <v>0.99999994864450303</v>
      </c>
    </row>
    <row r="3270" spans="1:40" x14ac:dyDescent="0.25">
      <c r="A3270" t="str">
        <f>"20190312164332015"</f>
        <v>20190312164332015</v>
      </c>
      <c r="B3270" t="str">
        <f>"1552380212007621"</f>
        <v>1552380212007621</v>
      </c>
      <c r="C3270" t="s">
        <v>40</v>
      </c>
      <c r="D3270">
        <v>4.9344640000000002</v>
      </c>
      <c r="E3270">
        <v>0.50720580000000004</v>
      </c>
      <c r="F3270" t="s">
        <v>42</v>
      </c>
      <c r="G3270">
        <v>-222.45509999999999</v>
      </c>
      <c r="H3270" s="1">
        <v>-3.6982820000000002E-6</v>
      </c>
      <c r="I3270">
        <v>141.41739999999999</v>
      </c>
      <c r="J3270">
        <v>-209.32900000000001</v>
      </c>
      <c r="K3270">
        <v>1.103213</v>
      </c>
      <c r="L3270">
        <v>141.1481</v>
      </c>
      <c r="M3270">
        <v>-0.98362519999999998</v>
      </c>
      <c r="N3270">
        <v>0</v>
      </c>
      <c r="O3270">
        <v>-0.1797832</v>
      </c>
      <c r="P3270">
        <v>-0.99379340000000005</v>
      </c>
      <c r="Q3270">
        <v>0.1109178</v>
      </c>
      <c r="R3270">
        <v>8.4890269999999997E-3</v>
      </c>
      <c r="S3270">
        <v>-3.045731</v>
      </c>
      <c r="T3270">
        <v>-0.25159189999999998</v>
      </c>
      <c r="U3270">
        <v>5.3588869999999997E-2</v>
      </c>
      <c r="V3270">
        <v>0.1890858</v>
      </c>
      <c r="W3270">
        <v>0.120058399999999</v>
      </c>
      <c r="X3270">
        <v>0.9745935</v>
      </c>
      <c r="Y3270">
        <v>0.19580020000000001</v>
      </c>
      <c r="Z3270">
        <v>2.2843249999999999E-2</v>
      </c>
      <c r="AA3270">
        <v>0.98037770000000002</v>
      </c>
      <c r="AB3270">
        <v>27</v>
      </c>
      <c r="AC3270">
        <v>-13.1260999999999</v>
      </c>
      <c r="AD3270">
        <v>-1.103216698282</v>
      </c>
      <c r="AE3270">
        <v>0.26929999999998699</v>
      </c>
      <c r="AF3270">
        <v>2.6065469513306501</v>
      </c>
      <c r="AG3270">
        <v>-1.103216698282</v>
      </c>
      <c r="AH3270">
        <v>12.7735783378197</v>
      </c>
      <c r="AI3270">
        <v>94.837028912674</v>
      </c>
      <c r="AJ3270">
        <v>78.466696045008405</v>
      </c>
      <c r="AK3270">
        <v>13.083404665654699</v>
      </c>
      <c r="AL3270">
        <v>83.104526804810703</v>
      </c>
      <c r="AM3270">
        <v>79.020167620551405</v>
      </c>
      <c r="AN3270">
        <v>0.99999997470722402</v>
      </c>
    </row>
    <row r="3271" spans="1:40" x14ac:dyDescent="0.25">
      <c r="A3271" t="str">
        <f>"20190312164332038"</f>
        <v>20190312164332038</v>
      </c>
      <c r="B3271" t="str">
        <f>"1552380212028116"</f>
        <v>1552380212028116</v>
      </c>
      <c r="C3271" t="s">
        <v>40</v>
      </c>
      <c r="D3271">
        <v>4.8095270000000001</v>
      </c>
      <c r="E3271">
        <v>0.50702939999999996</v>
      </c>
      <c r="F3271" t="s">
        <v>42</v>
      </c>
      <c r="G3271">
        <v>-222.77930000000001</v>
      </c>
      <c r="H3271" s="1">
        <v>-3.5491060000000002E-6</v>
      </c>
      <c r="I3271">
        <v>141.37950000000001</v>
      </c>
      <c r="J3271">
        <v>-209.5984</v>
      </c>
      <c r="K3271">
        <v>1.103478</v>
      </c>
      <c r="L3271">
        <v>141.10919999999999</v>
      </c>
      <c r="M3271">
        <v>-0.98524339999999999</v>
      </c>
      <c r="N3271">
        <v>0</v>
      </c>
      <c r="O3271">
        <v>-0.17070070000000001</v>
      </c>
      <c r="P3271">
        <v>-0.99365429999999999</v>
      </c>
      <c r="Q3271">
        <v>0.1120671</v>
      </c>
      <c r="R3271">
        <v>9.610904E-3</v>
      </c>
      <c r="S3271">
        <v>-3.0461879999999999</v>
      </c>
      <c r="T3271">
        <v>-0.24985379999999999</v>
      </c>
      <c r="U3271">
        <v>5.2429199999999898E-2</v>
      </c>
      <c r="V3271">
        <v>0.18109749999999999</v>
      </c>
      <c r="W3271">
        <v>0.12137439999999999</v>
      </c>
      <c r="X3271">
        <v>0.97594669999999895</v>
      </c>
      <c r="Y3271">
        <v>0.18644939999999999</v>
      </c>
      <c r="Z3271">
        <v>2.1564219999999999E-2</v>
      </c>
      <c r="AA3271">
        <v>0.98222790000000004</v>
      </c>
      <c r="AB3271">
        <v>27</v>
      </c>
      <c r="AC3271">
        <v>-13.180899999999999</v>
      </c>
      <c r="AD3271">
        <v>-1.1034815491059999</v>
      </c>
      <c r="AE3271">
        <v>0.27030000000002002</v>
      </c>
      <c r="AF3271">
        <v>2.4989899291730899</v>
      </c>
      <c r="AG3271">
        <v>-1.1034815491059999</v>
      </c>
      <c r="AH3271">
        <v>12.8512352894116</v>
      </c>
      <c r="AI3271">
        <v>94.817902574104806</v>
      </c>
      <c r="AJ3271">
        <v>78.995863630689698</v>
      </c>
      <c r="AK3271">
        <v>13.1383739731804</v>
      </c>
      <c r="AL3271">
        <v>83.028570297231298</v>
      </c>
      <c r="AM3271">
        <v>79.487713995545207</v>
      </c>
      <c r="AN3271">
        <v>1.0000000053612399</v>
      </c>
    </row>
    <row r="3272" spans="1:40" x14ac:dyDescent="0.25">
      <c r="A3272" t="str">
        <f>"20190312164332062"</f>
        <v>20190312164332062</v>
      </c>
      <c r="B3272" t="str">
        <f>"1552380212058371"</f>
        <v>1552380212058371</v>
      </c>
      <c r="C3272" t="s">
        <v>40</v>
      </c>
      <c r="D3272">
        <v>4.9443339999999996</v>
      </c>
      <c r="E3272">
        <v>0.50683290000000003</v>
      </c>
      <c r="F3272" t="s">
        <v>42</v>
      </c>
      <c r="G3272">
        <v>-223.25470000000001</v>
      </c>
      <c r="H3272" s="1">
        <v>-3.3399169999999998E-6</v>
      </c>
      <c r="I3272">
        <v>141.3597</v>
      </c>
      <c r="J3272">
        <v>-209.87559999999999</v>
      </c>
      <c r="K3272">
        <v>1.1037629999999901</v>
      </c>
      <c r="L3272">
        <v>141.07130000000001</v>
      </c>
      <c r="M3272">
        <v>-0.98675809999999997</v>
      </c>
      <c r="N3272">
        <v>0</v>
      </c>
      <c r="O3272">
        <v>-0.1617227</v>
      </c>
      <c r="P3272">
        <v>-0.99339</v>
      </c>
      <c r="Q3272">
        <v>0.1142523</v>
      </c>
      <c r="R3272">
        <v>1.1088819999999999E-2</v>
      </c>
      <c r="S3272">
        <v>-3.0463710000000002</v>
      </c>
      <c r="T3272">
        <v>-0.24615870000000001</v>
      </c>
      <c r="U3272">
        <v>5.5908199999999998E-2</v>
      </c>
      <c r="V3272">
        <v>0.17355609999999999</v>
      </c>
      <c r="W3272">
        <v>0.12371360000000001</v>
      </c>
      <c r="X3272">
        <v>0.97702259999999996</v>
      </c>
      <c r="Y3272">
        <v>0.17870910000000001</v>
      </c>
      <c r="Z3272">
        <v>2.021587E-2</v>
      </c>
      <c r="AA3272">
        <v>0.98369430000000002</v>
      </c>
      <c r="AB3272">
        <v>27</v>
      </c>
      <c r="AC3272">
        <v>-13.379099999999999</v>
      </c>
      <c r="AD3272">
        <v>-1.1037663399169999</v>
      </c>
      <c r="AE3272">
        <v>0.28839999999999499</v>
      </c>
      <c r="AF3272">
        <v>2.4319296696353399</v>
      </c>
      <c r="AG3272">
        <v>-1.1037663399169999</v>
      </c>
      <c r="AH3272">
        <v>13.067411746111601</v>
      </c>
      <c r="AI3272">
        <v>94.747021353658297</v>
      </c>
      <c r="AJ3272">
        <v>79.457496734620904</v>
      </c>
      <c r="AK3272">
        <v>13.3375346969971</v>
      </c>
      <c r="AL3272">
        <v>82.893525893064805</v>
      </c>
      <c r="AM3272">
        <v>79.927179196005696</v>
      </c>
      <c r="AN3272">
        <v>0.99999996779146405</v>
      </c>
    </row>
    <row r="3273" spans="1:40" x14ac:dyDescent="0.25">
      <c r="A3273" t="str">
        <f>"20190312164332084"</f>
        <v>20190312164332084</v>
      </c>
      <c r="B3273" t="str">
        <f>"1552380212078491"</f>
        <v>1552380212078491</v>
      </c>
      <c r="C3273" t="s">
        <v>40</v>
      </c>
      <c r="D3273">
        <v>4.7640770000000003</v>
      </c>
      <c r="E3273">
        <v>0.50668440000000003</v>
      </c>
      <c r="F3273" t="s">
        <v>42</v>
      </c>
      <c r="G3273">
        <v>-223.93039999999999</v>
      </c>
      <c r="H3273" s="1">
        <v>-3.045536E-6</v>
      </c>
      <c r="I3273">
        <v>141.34289999999999</v>
      </c>
      <c r="J3273">
        <v>-210.1412</v>
      </c>
      <c r="K3273">
        <v>1.104047</v>
      </c>
      <c r="L3273">
        <v>141.03720000000001</v>
      </c>
      <c r="M3273">
        <v>-0.98806700000000003</v>
      </c>
      <c r="N3273">
        <v>0</v>
      </c>
      <c r="O3273">
        <v>-0.1535299</v>
      </c>
      <c r="P3273">
        <v>-0.9930158</v>
      </c>
      <c r="Q3273">
        <v>0.11734459999999999</v>
      </c>
      <c r="R3273">
        <v>1.2235350000000001E-2</v>
      </c>
      <c r="S3273">
        <v>-3.0468289999999998</v>
      </c>
      <c r="T3273">
        <v>-0.23927760000000001</v>
      </c>
      <c r="U3273">
        <v>5.8883669999999999E-2</v>
      </c>
      <c r="V3273">
        <v>0.16646720000000001</v>
      </c>
      <c r="W3273">
        <v>0.12694140000000001</v>
      </c>
      <c r="X3273">
        <v>0.97784179999999998</v>
      </c>
      <c r="Y3273">
        <v>0.1716078</v>
      </c>
      <c r="Z3273">
        <v>1.8734460000000001E-2</v>
      </c>
      <c r="AA3273">
        <v>0.98498719999999995</v>
      </c>
      <c r="AB3273">
        <v>27</v>
      </c>
      <c r="AC3273">
        <v>-13.7891999999999</v>
      </c>
      <c r="AD3273">
        <v>-1.1040500455360001</v>
      </c>
      <c r="AE3273">
        <v>0.30569999999997299</v>
      </c>
      <c r="AF3273">
        <v>2.4038878437943598</v>
      </c>
      <c r="AG3273">
        <v>-1.1040500455360001</v>
      </c>
      <c r="AH3273">
        <v>13.4923011916849</v>
      </c>
      <c r="AI3273">
        <v>94.605773771628293</v>
      </c>
      <c r="AJ3273">
        <v>79.897765243669198</v>
      </c>
      <c r="AK3273">
        <v>13.749174328509</v>
      </c>
      <c r="AL3273">
        <v>82.707117086623995</v>
      </c>
      <c r="AM3273">
        <v>80.3386239529394</v>
      </c>
      <c r="AN3273">
        <v>1.0000000167685199</v>
      </c>
    </row>
    <row r="3274" spans="1:40" x14ac:dyDescent="0.25">
      <c r="A3274" t="str">
        <f>"20190312164332129"</f>
        <v>20190312164332129</v>
      </c>
      <c r="B3274" t="str">
        <f>"1552380212118506"</f>
        <v>1552380212118506</v>
      </c>
      <c r="C3274" t="s">
        <v>40</v>
      </c>
      <c r="D3274">
        <v>4.7683739999999997</v>
      </c>
      <c r="E3274">
        <v>0.50646910000000001</v>
      </c>
      <c r="F3274" t="s">
        <v>42</v>
      </c>
      <c r="G3274">
        <v>-224.77850000000001</v>
      </c>
      <c r="H3274" s="1">
        <v>-2.6763140000000001E-6</v>
      </c>
      <c r="I3274">
        <v>141.32249999999999</v>
      </c>
      <c r="J3274">
        <v>-210.67580000000001</v>
      </c>
      <c r="K3274">
        <v>1.104565</v>
      </c>
      <c r="L3274">
        <v>140.97380000000001</v>
      </c>
      <c r="M3274">
        <v>-0.99035289999999998</v>
      </c>
      <c r="N3274">
        <v>0</v>
      </c>
      <c r="O3274">
        <v>-0.13803609999999999</v>
      </c>
      <c r="P3274">
        <v>-0.99243349999999997</v>
      </c>
      <c r="Q3274">
        <v>0.1218568</v>
      </c>
      <c r="R3274">
        <v>1.505188E-2</v>
      </c>
      <c r="S3274">
        <v>-3.0475310000000002</v>
      </c>
      <c r="T3274">
        <v>-0.22986770000000001</v>
      </c>
      <c r="U3274">
        <v>5.941772E-2</v>
      </c>
      <c r="V3274">
        <v>0.15372149999999901</v>
      </c>
      <c r="W3274">
        <v>0.13166449999999999</v>
      </c>
      <c r="X3274">
        <v>0.97930289999999998</v>
      </c>
      <c r="Y3274">
        <v>0.15649170000000001</v>
      </c>
      <c r="Z3274">
        <v>1.6268149999999999E-2</v>
      </c>
      <c r="AA3274">
        <v>0.98754529999999996</v>
      </c>
      <c r="AB3274">
        <v>27</v>
      </c>
      <c r="AC3274">
        <v>-14.1027</v>
      </c>
      <c r="AD3274">
        <v>-1.104567676314</v>
      </c>
      <c r="AE3274">
        <v>0.34869999999997903</v>
      </c>
      <c r="AF3274">
        <v>2.2782192113802799</v>
      </c>
      <c r="AG3274">
        <v>-1.104567676314</v>
      </c>
      <c r="AH3274">
        <v>13.834723508251701</v>
      </c>
      <c r="AI3274">
        <v>94.504414842546794</v>
      </c>
      <c r="AJ3274">
        <v>80.648799428670699</v>
      </c>
      <c r="AK3274">
        <v>14.0644917105607</v>
      </c>
      <c r="AL3274">
        <v>82.434212037036005</v>
      </c>
      <c r="AM3274">
        <v>81.079056978288193</v>
      </c>
      <c r="AN3274">
        <v>1.0000000050354501</v>
      </c>
    </row>
    <row r="3275" spans="1:40" x14ac:dyDescent="0.25">
      <c r="A3275" t="str">
        <f>"20190312164332150"</f>
        <v>20190312164332150</v>
      </c>
      <c r="B3275" t="str">
        <f>"1552380212138030"</f>
        <v>1552380212138030</v>
      </c>
      <c r="C3275" t="s">
        <v>40</v>
      </c>
      <c r="D3275">
        <v>4.9830489999999896</v>
      </c>
      <c r="E3275">
        <v>0.5063455</v>
      </c>
      <c r="F3275" t="s">
        <v>42</v>
      </c>
      <c r="G3275">
        <v>-226.15459999999999</v>
      </c>
      <c r="H3275" s="1">
        <v>-2.0799959999999999E-6</v>
      </c>
      <c r="I3275">
        <v>141.30000000000001</v>
      </c>
      <c r="J3275">
        <v>-210.9392</v>
      </c>
      <c r="K3275">
        <v>1.1048119999999999</v>
      </c>
      <c r="L3275">
        <v>140.9452</v>
      </c>
      <c r="M3275">
        <v>-0.99131789999999997</v>
      </c>
      <c r="N3275">
        <v>0</v>
      </c>
      <c r="O3275">
        <v>-0.13093460000000001</v>
      </c>
      <c r="P3275">
        <v>-0.99228479999999997</v>
      </c>
      <c r="Q3275">
        <v>0.12273679999999999</v>
      </c>
      <c r="R3275">
        <v>1.750258E-2</v>
      </c>
      <c r="S3275">
        <v>-3.0486149999999999</v>
      </c>
      <c r="T3275">
        <v>-0.21755089999999999</v>
      </c>
      <c r="U3275">
        <v>6.4254759999999994E-2</v>
      </c>
      <c r="V3275">
        <v>0.14903079999999999</v>
      </c>
      <c r="W3275">
        <v>0.1326136</v>
      </c>
      <c r="X3275">
        <v>0.97989970000000004</v>
      </c>
      <c r="Y3275">
        <v>0.15108969999999999</v>
      </c>
      <c r="Z3275">
        <v>1.469785E-2</v>
      </c>
      <c r="AA3275">
        <v>0.98841080000000003</v>
      </c>
      <c r="AB3275">
        <v>27</v>
      </c>
      <c r="AC3275">
        <v>-15.215399999999899</v>
      </c>
      <c r="AD3275">
        <v>-1.104814079996</v>
      </c>
      <c r="AE3275">
        <v>0.354800000000011</v>
      </c>
      <c r="AF3275">
        <v>2.3318240801026602</v>
      </c>
      <c r="AG3275">
        <v>-1.104814079996</v>
      </c>
      <c r="AH3275">
        <v>14.959104586123001</v>
      </c>
      <c r="AI3275">
        <v>94.173724880373499</v>
      </c>
      <c r="AJ3275">
        <v>81.140040498439006</v>
      </c>
      <c r="AK3275">
        <v>15.1800140879536</v>
      </c>
      <c r="AL3275">
        <v>82.379351389530797</v>
      </c>
      <c r="AM3275">
        <v>81.352279921614198</v>
      </c>
      <c r="AN3275">
        <v>0.99999998415684399</v>
      </c>
    </row>
    <row r="3276" spans="1:40" x14ac:dyDescent="0.25">
      <c r="A3276" t="str">
        <f>"20190312164332173"</f>
        <v>20190312164332173</v>
      </c>
      <c r="B3276" t="str">
        <f>"1552380212168283"</f>
        <v>1552380212168283</v>
      </c>
      <c r="C3276" t="s">
        <v>40</v>
      </c>
      <c r="D3276">
        <v>4.507466</v>
      </c>
      <c r="E3276">
        <v>0.51874629999999999</v>
      </c>
      <c r="F3276" t="s">
        <v>42</v>
      </c>
      <c r="G3276">
        <v>-226.51599999999999</v>
      </c>
      <c r="H3276" s="1">
        <v>-1.9262580000000002E-6</v>
      </c>
      <c r="I3276">
        <v>141.30500000000001</v>
      </c>
      <c r="J3276">
        <v>-211.2081</v>
      </c>
      <c r="K3276">
        <v>1.1050679999999999</v>
      </c>
      <c r="L3276">
        <v>140.91739999999999</v>
      </c>
      <c r="M3276">
        <v>-0.9922031</v>
      </c>
      <c r="N3276">
        <v>0</v>
      </c>
      <c r="O3276">
        <v>-0.1240575</v>
      </c>
      <c r="P3276">
        <v>-0.99202809999999997</v>
      </c>
      <c r="Q3276">
        <v>0.1242518</v>
      </c>
      <c r="R3276">
        <v>2.1019900000000001E-2</v>
      </c>
      <c r="S3276">
        <v>-3.0488430000000002</v>
      </c>
      <c r="T3276">
        <v>-0.2162451</v>
      </c>
      <c r="U3276">
        <v>7.0434570000000002E-2</v>
      </c>
      <c r="V3276">
        <v>0.1456141</v>
      </c>
      <c r="W3276">
        <v>0.1341755</v>
      </c>
      <c r="X3276">
        <v>0.98020070000000004</v>
      </c>
      <c r="Y3276">
        <v>0.1462726</v>
      </c>
      <c r="Z3276">
        <v>1.395366E-2</v>
      </c>
      <c r="AA3276">
        <v>0.98914590000000002</v>
      </c>
      <c r="AB3276">
        <v>27</v>
      </c>
      <c r="AC3276">
        <v>-15.307899999999901</v>
      </c>
      <c r="AD3276">
        <v>-1.1050699262579999</v>
      </c>
      <c r="AE3276">
        <v>0.38760000000001998</v>
      </c>
      <c r="AF3276">
        <v>2.2719683492055802</v>
      </c>
      <c r="AG3276">
        <v>-1.1050699262579999</v>
      </c>
      <c r="AH3276">
        <v>15.063093471742601</v>
      </c>
      <c r="AI3276">
        <v>94.149095773991903</v>
      </c>
      <c r="AJ3276">
        <v>81.422723726351293</v>
      </c>
      <c r="AK3276">
        <v>15.2735000789002</v>
      </c>
      <c r="AL3276">
        <v>82.289054017235998</v>
      </c>
      <c r="AM3276">
        <v>81.550200048456205</v>
      </c>
      <c r="AN3276">
        <v>0.99999997159977405</v>
      </c>
    </row>
    <row r="3277" spans="1:40" x14ac:dyDescent="0.25">
      <c r="A3277" t="str">
        <f>"20190312164332194"</f>
        <v>20190312164332194</v>
      </c>
      <c r="B3277" t="str">
        <f>"1552380212187802"</f>
        <v>1552380212187802</v>
      </c>
      <c r="C3277" t="s">
        <v>40</v>
      </c>
      <c r="D3277">
        <v>4.6111890000000004</v>
      </c>
      <c r="E3277">
        <v>0.52582620000000002</v>
      </c>
      <c r="F3277" t="s">
        <v>42</v>
      </c>
      <c r="G3277">
        <v>-224.85810000000001</v>
      </c>
      <c r="H3277" s="1">
        <v>-2.742125E-6</v>
      </c>
      <c r="I3277">
        <v>141.69820000000001</v>
      </c>
      <c r="J3277">
        <v>-211.4683</v>
      </c>
      <c r="K3277">
        <v>1.1053660000000001</v>
      </c>
      <c r="L3277">
        <v>140.89189999999999</v>
      </c>
      <c r="M3277">
        <v>-0.99296050000000002</v>
      </c>
      <c r="N3277">
        <v>0</v>
      </c>
      <c r="O3277">
        <v>-0.1178522</v>
      </c>
      <c r="P3277">
        <v>-0.99210419999999999</v>
      </c>
      <c r="Q3277">
        <v>0.12310500000000001</v>
      </c>
      <c r="R3277">
        <v>2.397297E-2</v>
      </c>
      <c r="S3277">
        <v>-3.051361</v>
      </c>
      <c r="T3277">
        <v>-0.24703130000000001</v>
      </c>
      <c r="U3277">
        <v>0.17454529999999999</v>
      </c>
      <c r="V3277">
        <v>0.1423017</v>
      </c>
      <c r="W3277">
        <v>0.1330877</v>
      </c>
      <c r="X3277">
        <v>0.98083529999999997</v>
      </c>
      <c r="Y3277">
        <v>0.173429</v>
      </c>
      <c r="Z3277">
        <v>1.65127999999999E-2</v>
      </c>
      <c r="AA3277">
        <v>0.98470800000000003</v>
      </c>
      <c r="AB3277">
        <v>27</v>
      </c>
      <c r="AC3277">
        <v>-13.389799999999999</v>
      </c>
      <c r="AD3277">
        <v>-1.105368742125</v>
      </c>
      <c r="AE3277">
        <v>0.806300000000021</v>
      </c>
      <c r="AF3277">
        <v>2.3627642511508302</v>
      </c>
      <c r="AG3277">
        <v>-1.105368742125</v>
      </c>
      <c r="AH3277">
        <v>13.1124061689095</v>
      </c>
      <c r="AI3277">
        <v>94.742587497990598</v>
      </c>
      <c r="AJ3277">
        <v>79.785313702241893</v>
      </c>
      <c r="AK3277">
        <v>13.369356398160599</v>
      </c>
      <c r="AL3277">
        <v>82.351944631534906</v>
      </c>
      <c r="AM3277">
        <v>81.745002563856403</v>
      </c>
      <c r="AN3277">
        <v>0.99999999772013504</v>
      </c>
    </row>
    <row r="3278" spans="1:40" x14ac:dyDescent="0.25">
      <c r="A3278" t="str">
        <f>"20190312164332218"</f>
        <v>20190312164332218</v>
      </c>
      <c r="B3278" t="str">
        <f>"1552380212208299"</f>
        <v>1552380212208299</v>
      </c>
      <c r="C3278" t="s">
        <v>40</v>
      </c>
      <c r="D3278">
        <v>4.9600519999999904</v>
      </c>
      <c r="E3278">
        <v>0.52625849999999996</v>
      </c>
      <c r="F3278" t="s">
        <v>42</v>
      </c>
      <c r="G3278">
        <v>-231.1103</v>
      </c>
      <c r="H3278" s="1">
        <v>-4.4046220000000003E-6</v>
      </c>
      <c r="I3278">
        <v>142.47130000000001</v>
      </c>
      <c r="J3278">
        <v>-211.749</v>
      </c>
      <c r="K3278">
        <v>1.105739</v>
      </c>
      <c r="L3278">
        <v>140.8657</v>
      </c>
      <c r="M3278">
        <v>-0.99367479999999997</v>
      </c>
      <c r="N3278">
        <v>0</v>
      </c>
      <c r="O3278">
        <v>-0.1116805</v>
      </c>
      <c r="P3278">
        <v>-0.99244429999999995</v>
      </c>
      <c r="Q3278">
        <v>0.120085</v>
      </c>
      <c r="R3278">
        <v>2.517635E-2</v>
      </c>
      <c r="S3278">
        <v>-3.0391849999999998</v>
      </c>
      <c r="T3278">
        <v>-0.17103309999999999</v>
      </c>
      <c r="U3278">
        <v>0.24438480000000001</v>
      </c>
      <c r="V3278">
        <v>0.13727129999999901</v>
      </c>
      <c r="W3278">
        <v>0.13015889999999999</v>
      </c>
      <c r="X3278">
        <v>0.98194459999999995</v>
      </c>
      <c r="Y3278">
        <v>0.19050439999999999</v>
      </c>
      <c r="Z3278">
        <v>1.161506E-2</v>
      </c>
      <c r="AA3278">
        <v>0.98161759999999998</v>
      </c>
      <c r="AB3278">
        <v>27</v>
      </c>
      <c r="AC3278">
        <v>-19.3612999999999</v>
      </c>
      <c r="AD3278">
        <v>-1.105743404622</v>
      </c>
      <c r="AE3278">
        <v>1.6055999999999999</v>
      </c>
      <c r="AF3278">
        <v>3.7458487016600799</v>
      </c>
      <c r="AG3278">
        <v>-1.105743404622</v>
      </c>
      <c r="AH3278">
        <v>18.999289475825101</v>
      </c>
      <c r="AI3278">
        <v>93.268040957493398</v>
      </c>
      <c r="AJ3278">
        <v>78.846762845541903</v>
      </c>
      <c r="AK3278">
        <v>19.396573191128201</v>
      </c>
      <c r="AL3278">
        <v>82.521225166216794</v>
      </c>
      <c r="AM3278">
        <v>82.041889479096696</v>
      </c>
      <c r="AN3278">
        <v>0.99999997326102896</v>
      </c>
    </row>
    <row r="3279" spans="1:40" x14ac:dyDescent="0.25">
      <c r="A3279" t="str">
        <f>"20190312164332239"</f>
        <v>20190312164332239</v>
      </c>
      <c r="B3279" t="str">
        <f>"1552380212227818"</f>
        <v>1552380212227818</v>
      </c>
      <c r="C3279" t="s">
        <v>40</v>
      </c>
      <c r="D3279">
        <v>5.0327699999999904</v>
      </c>
      <c r="E3279">
        <v>0.52630549999999998</v>
      </c>
      <c r="F3279" t="s">
        <v>42</v>
      </c>
      <c r="G3279">
        <v>-230.12780000000001</v>
      </c>
      <c r="H3279" s="1">
        <v>-4.7257619999999999E-6</v>
      </c>
      <c r="I3279">
        <v>142.39680000000001</v>
      </c>
      <c r="J3279">
        <v>-212.01390000000001</v>
      </c>
      <c r="K3279">
        <v>1.1061049999999999</v>
      </c>
      <c r="L3279">
        <v>140.84200000000001</v>
      </c>
      <c r="M3279">
        <v>-0.99425969999999997</v>
      </c>
      <c r="N3279">
        <v>0</v>
      </c>
      <c r="O3279">
        <v>-0.1063597</v>
      </c>
      <c r="P3279">
        <v>-0.99269629999999998</v>
      </c>
      <c r="Q3279">
        <v>0.1178502</v>
      </c>
      <c r="R3279">
        <v>2.5799389999999998E-2</v>
      </c>
      <c r="S3279">
        <v>-3.0385439999999999</v>
      </c>
      <c r="T3279">
        <v>-0.18281169999999999</v>
      </c>
      <c r="U3279">
        <v>0.25314330000000002</v>
      </c>
      <c r="V3279">
        <v>0.1325055</v>
      </c>
      <c r="W3279">
        <v>0.12800129999999901</v>
      </c>
      <c r="X3279">
        <v>0.98288249999999999</v>
      </c>
      <c r="Y3279">
        <v>0.18802250000000001</v>
      </c>
      <c r="Z3279">
        <v>1.202192E-2</v>
      </c>
      <c r="AA3279">
        <v>0.98209109999999999</v>
      </c>
      <c r="AB3279">
        <v>27</v>
      </c>
      <c r="AC3279">
        <v>-18.113900000000001</v>
      </c>
      <c r="AD3279">
        <v>-1.1061097257619901</v>
      </c>
      <c r="AE3279">
        <v>1.5548</v>
      </c>
      <c r="AF3279">
        <v>3.45989183435253</v>
      </c>
      <c r="AG3279">
        <v>-1.1061097257619901</v>
      </c>
      <c r="AH3279">
        <v>17.779946200133001</v>
      </c>
      <c r="AI3279">
        <v>93.494463675411893</v>
      </c>
      <c r="AJ3279">
        <v>78.988137501096205</v>
      </c>
      <c r="AK3279">
        <v>18.1471986022766</v>
      </c>
      <c r="AL3279">
        <v>82.645889868985194</v>
      </c>
      <c r="AM3279">
        <v>82.322065780449293</v>
      </c>
      <c r="AN3279">
        <v>1.0000000245690901</v>
      </c>
    </row>
    <row r="3280" spans="1:40" x14ac:dyDescent="0.25">
      <c r="A3280" t="str">
        <f>"20190312164332261"</f>
        <v>20190312164332261</v>
      </c>
      <c r="B3280" t="str">
        <f>"1552380212258074"</f>
        <v>1552380212258074</v>
      </c>
      <c r="C3280" t="s">
        <v>40</v>
      </c>
      <c r="D3280">
        <v>4.6255559999999996</v>
      </c>
      <c r="E3280">
        <v>0.52566400000000002</v>
      </c>
      <c r="F3280" t="s">
        <v>42</v>
      </c>
      <c r="G3280">
        <v>-230.0676</v>
      </c>
      <c r="H3280" s="1">
        <v>-4.7428949999999996E-6</v>
      </c>
      <c r="I3280">
        <v>142.37799999999999</v>
      </c>
      <c r="J3280">
        <v>-212.27500000000001</v>
      </c>
      <c r="K3280">
        <v>1.1064529999999999</v>
      </c>
      <c r="L3280">
        <v>140.8194</v>
      </c>
      <c r="M3280">
        <v>-0.99476030000000004</v>
      </c>
      <c r="N3280">
        <v>0</v>
      </c>
      <c r="O3280">
        <v>-0.10158440000000001</v>
      </c>
      <c r="P3280">
        <v>-0.99266140000000003</v>
      </c>
      <c r="Q3280">
        <v>0.1177348</v>
      </c>
      <c r="R3280">
        <v>2.7603300000000001E-2</v>
      </c>
      <c r="S3280">
        <v>-3.037445</v>
      </c>
      <c r="T3280">
        <v>-0.1860976</v>
      </c>
      <c r="U3280">
        <v>0.2584381</v>
      </c>
      <c r="V3280">
        <v>0.1294516</v>
      </c>
      <c r="W3280">
        <v>0.12792000000000001</v>
      </c>
      <c r="X3280">
        <v>0.9832999</v>
      </c>
      <c r="Y3280">
        <v>0.18503030000000001</v>
      </c>
      <c r="Z3280">
        <v>1.185861E-2</v>
      </c>
      <c r="AA3280">
        <v>0.98266120000000001</v>
      </c>
      <c r="AB3280">
        <v>27</v>
      </c>
      <c r="AC3280">
        <v>-17.792599999999901</v>
      </c>
      <c r="AD3280">
        <v>-1.106457742895</v>
      </c>
      <c r="AE3280">
        <v>1.55859999999998</v>
      </c>
      <c r="AF3280">
        <v>3.3452684370863199</v>
      </c>
      <c r="AG3280">
        <v>-1.106457742895</v>
      </c>
      <c r="AH3280">
        <v>17.4751410137366</v>
      </c>
      <c r="AI3280">
        <v>93.558465367793005</v>
      </c>
      <c r="AJ3280">
        <v>79.162968517596397</v>
      </c>
      <c r="AK3280">
        <v>17.826823135459598</v>
      </c>
      <c r="AL3280">
        <v>82.650586210373703</v>
      </c>
      <c r="AM3280">
        <v>82.500131031385607</v>
      </c>
      <c r="AN3280">
        <v>0.99999996824128401</v>
      </c>
    </row>
    <row r="3281" spans="1:40" x14ac:dyDescent="0.25">
      <c r="A3281" t="str">
        <f>"20190312164332284"</f>
        <v>20190312164332284</v>
      </c>
      <c r="B3281" t="str">
        <f>"1552380212277594"</f>
        <v>1552380212277594</v>
      </c>
      <c r="C3281" t="s">
        <v>40</v>
      </c>
      <c r="D3281">
        <v>4.5594449999999904</v>
      </c>
      <c r="E3281">
        <v>0.52560319999999905</v>
      </c>
      <c r="F3281" t="s">
        <v>42</v>
      </c>
      <c r="G3281">
        <v>-230.2269</v>
      </c>
      <c r="H3281" s="1">
        <v>-4.6819159999999996E-6</v>
      </c>
      <c r="I3281">
        <v>142.3399</v>
      </c>
      <c r="J3281">
        <v>-212.5488</v>
      </c>
      <c r="K3281">
        <v>1.1067769999999999</v>
      </c>
      <c r="L3281">
        <v>140.79669999999999</v>
      </c>
      <c r="M3281">
        <v>-0.99521320000000002</v>
      </c>
      <c r="N3281">
        <v>0</v>
      </c>
      <c r="O3281">
        <v>-9.7062629999999997E-2</v>
      </c>
      <c r="P3281">
        <v>-0.99253519999999895</v>
      </c>
      <c r="Q3281">
        <v>0.1184424</v>
      </c>
      <c r="R3281">
        <v>2.908196E-2</v>
      </c>
      <c r="S3281">
        <v>-3.0372309999999998</v>
      </c>
      <c r="T3281">
        <v>-0.187198</v>
      </c>
      <c r="U3281">
        <v>0.25724789999999997</v>
      </c>
      <c r="V3281">
        <v>0.12633610000000001</v>
      </c>
      <c r="W3281">
        <v>0.1286302</v>
      </c>
      <c r="X3281">
        <v>0.9836125</v>
      </c>
      <c r="Y3281">
        <v>0.180197</v>
      </c>
      <c r="Z3281">
        <v>1.150355E-2</v>
      </c>
      <c r="AA3281">
        <v>0.98356319999999997</v>
      </c>
      <c r="AB3281">
        <v>27</v>
      </c>
      <c r="AC3281">
        <v>-17.678100000000001</v>
      </c>
      <c r="AD3281">
        <v>-1.1067816819159999</v>
      </c>
      <c r="AE3281">
        <v>1.5432000000000099</v>
      </c>
      <c r="AF3281">
        <v>3.2393054310904299</v>
      </c>
      <c r="AG3281">
        <v>-1.1067816819159999</v>
      </c>
      <c r="AH3281">
        <v>17.377222924207601</v>
      </c>
      <c r="AI3281">
        <v>93.582779916686405</v>
      </c>
      <c r="AJ3281">
        <v>79.440632846068098</v>
      </c>
      <c r="AK3281">
        <v>17.711181268479098</v>
      </c>
      <c r="AL3281">
        <v>82.609556343224497</v>
      </c>
      <c r="AM3281">
        <v>82.680949132948001</v>
      </c>
      <c r="AN3281">
        <v>1.00000004433574</v>
      </c>
    </row>
    <row r="3282" spans="1:40" x14ac:dyDescent="0.25">
      <c r="A3282" t="str">
        <f>"20190312164332306"</f>
        <v>20190312164332306</v>
      </c>
      <c r="B3282" t="str">
        <f>"1552380212298090"</f>
        <v>1552380212298090</v>
      </c>
      <c r="C3282" t="s">
        <v>40</v>
      </c>
      <c r="D3282">
        <v>4.7101319999999998</v>
      </c>
      <c r="E3282">
        <v>0.52514989999999995</v>
      </c>
      <c r="F3282" t="s">
        <v>42</v>
      </c>
      <c r="G3282">
        <v>-230.78360000000001</v>
      </c>
      <c r="H3282" s="1">
        <v>-4.495969E-6</v>
      </c>
      <c r="I3282">
        <v>142.3596</v>
      </c>
      <c r="J3282">
        <v>-212.82749999999999</v>
      </c>
      <c r="K3282">
        <v>1.107032</v>
      </c>
      <c r="L3282">
        <v>140.77440000000001</v>
      </c>
      <c r="M3282">
        <v>-0.99561980000000005</v>
      </c>
      <c r="N3282">
        <v>0</v>
      </c>
      <c r="O3282">
        <v>-9.2814850000000004E-2</v>
      </c>
      <c r="P3282">
        <v>-0.99244489999999996</v>
      </c>
      <c r="Q3282">
        <v>0.1190266</v>
      </c>
      <c r="R3282">
        <v>2.9760539999999999E-2</v>
      </c>
      <c r="S3282">
        <v>-3.0369259999999998</v>
      </c>
      <c r="T3282">
        <v>-0.1843294</v>
      </c>
      <c r="U3282">
        <v>0.26031490000000002</v>
      </c>
      <c r="V3282">
        <v>0.12272420000000001</v>
      </c>
      <c r="W3282">
        <v>0.12919340000000001</v>
      </c>
      <c r="X3282">
        <v>0.98399590000000003</v>
      </c>
      <c r="Y3282">
        <v>0.17702270000000001</v>
      </c>
      <c r="Z3282">
        <v>1.0975449999999999E-2</v>
      </c>
      <c r="AA3282">
        <v>0.98414559999999995</v>
      </c>
      <c r="AB3282">
        <v>27</v>
      </c>
      <c r="AC3282">
        <v>-17.956099999999999</v>
      </c>
      <c r="AD3282">
        <v>-1.107036495969</v>
      </c>
      <c r="AE3282">
        <v>1.58519999999998</v>
      </c>
      <c r="AF3282">
        <v>3.23286154888009</v>
      </c>
      <c r="AG3282">
        <v>-1.107036495969</v>
      </c>
      <c r="AH3282">
        <v>17.664816165186402</v>
      </c>
      <c r="AI3282">
        <v>93.527543900153702</v>
      </c>
      <c r="AJ3282">
        <v>79.628992542710094</v>
      </c>
      <c r="AK3282">
        <v>17.992294288040799</v>
      </c>
      <c r="AL3282">
        <v>82.577015869288005</v>
      </c>
      <c r="AM3282">
        <v>82.890766935995202</v>
      </c>
      <c r="AN3282">
        <v>1.000000047543</v>
      </c>
    </row>
    <row r="3283" spans="1:40" x14ac:dyDescent="0.25">
      <c r="A3283" t="str">
        <f>"20190312164332331"</f>
        <v>20190312164332331</v>
      </c>
      <c r="B3283" t="str">
        <f>"1552380212328346"</f>
        <v>1552380212328346</v>
      </c>
      <c r="C3283" t="s">
        <v>40</v>
      </c>
      <c r="D3283">
        <v>4.7765849999999999</v>
      </c>
      <c r="E3283">
        <v>0.52464239999999995</v>
      </c>
      <c r="F3283" t="s">
        <v>42</v>
      </c>
      <c r="G3283">
        <v>-231.16460000000001</v>
      </c>
      <c r="H3283" s="1">
        <v>-4.3633269999999999E-6</v>
      </c>
      <c r="I3283">
        <v>142.3426</v>
      </c>
      <c r="J3283">
        <v>-213.11420000000001</v>
      </c>
      <c r="K3283">
        <v>1.1072040000000001</v>
      </c>
      <c r="L3283">
        <v>140.75239999999999</v>
      </c>
      <c r="M3283">
        <v>-0.99599499999999996</v>
      </c>
      <c r="N3283">
        <v>0</v>
      </c>
      <c r="O3283">
        <v>-8.8717660000000004E-2</v>
      </c>
      <c r="P3283">
        <v>-0.99228079999999996</v>
      </c>
      <c r="Q3283">
        <v>0.12025760000000001</v>
      </c>
      <c r="R3283">
        <v>3.0281200000000001E-2</v>
      </c>
      <c r="S3283">
        <v>-3.037048</v>
      </c>
      <c r="T3283">
        <v>-0.18335119999999999</v>
      </c>
      <c r="U3283">
        <v>0.25975039999999999</v>
      </c>
      <c r="V3283">
        <v>0.119126</v>
      </c>
      <c r="W3283">
        <v>0.13035930000000001</v>
      </c>
      <c r="X3283">
        <v>0.98428419999999905</v>
      </c>
      <c r="Y3283">
        <v>0.17280719999999999</v>
      </c>
      <c r="Z3283">
        <v>1.054363E-2</v>
      </c>
      <c r="AA3283">
        <v>0.98489919999999997</v>
      </c>
      <c r="AB3283">
        <v>27</v>
      </c>
      <c r="AC3283">
        <v>-18.0504</v>
      </c>
      <c r="AD3283">
        <v>-1.107208363327</v>
      </c>
      <c r="AE3283">
        <v>1.59020000000001</v>
      </c>
      <c r="AF3283">
        <v>3.1735678035369599</v>
      </c>
      <c r="AG3283">
        <v>-1.107208363327</v>
      </c>
      <c r="AH3283">
        <v>17.7717749817994</v>
      </c>
      <c r="AI3283">
        <v>93.509628504944999</v>
      </c>
      <c r="AJ3283">
        <v>79.875214128527006</v>
      </c>
      <c r="AK3283">
        <v>18.0868302631273</v>
      </c>
      <c r="AL3283">
        <v>82.509644389027301</v>
      </c>
      <c r="AM3283">
        <v>83.099166752661503</v>
      </c>
      <c r="AN3283">
        <v>0.999999968671064</v>
      </c>
    </row>
    <row r="3284" spans="1:40" x14ac:dyDescent="0.25">
      <c r="A3284" t="str">
        <f>"20190312164332354"</f>
        <v>20190312164332354</v>
      </c>
      <c r="B3284" t="str">
        <f>"1552380212347867"</f>
        <v>1552380212347867</v>
      </c>
      <c r="C3284" t="s">
        <v>40</v>
      </c>
      <c r="D3284">
        <v>4.655246</v>
      </c>
      <c r="E3284">
        <v>0.52420659999999997</v>
      </c>
      <c r="F3284" t="s">
        <v>42</v>
      </c>
      <c r="G3284">
        <v>-231.78110000000001</v>
      </c>
      <c r="H3284" s="1">
        <v>-4.1536049999999999E-6</v>
      </c>
      <c r="I3284">
        <v>142.34309999999999</v>
      </c>
      <c r="J3284">
        <v>-213.40039999999999</v>
      </c>
      <c r="K3284">
        <v>1.107313</v>
      </c>
      <c r="L3284">
        <v>140.73140000000001</v>
      </c>
      <c r="M3284">
        <v>-0.99633769999999999</v>
      </c>
      <c r="N3284">
        <v>0</v>
      </c>
      <c r="O3284">
        <v>-8.4804039999999997E-2</v>
      </c>
      <c r="P3284">
        <v>-0.99204619999999999</v>
      </c>
      <c r="Q3284">
        <v>0.12206060000000001</v>
      </c>
      <c r="R3284">
        <v>3.0752499999999999E-2</v>
      </c>
      <c r="S3284">
        <v>-3.037277</v>
      </c>
      <c r="T3284">
        <v>-0.18015329999999999</v>
      </c>
      <c r="U3284">
        <v>0.25883479999999998</v>
      </c>
      <c r="V3284">
        <v>0.1156784</v>
      </c>
      <c r="W3284">
        <v>0.132054</v>
      </c>
      <c r="X3284">
        <v>0.9844695</v>
      </c>
      <c r="Y3284">
        <v>0.1686657</v>
      </c>
      <c r="Z3284">
        <v>1.00056E-2</v>
      </c>
      <c r="AA3284">
        <v>0.98562249999999996</v>
      </c>
      <c r="AB3284">
        <v>27</v>
      </c>
      <c r="AC3284">
        <v>-18.380700000000001</v>
      </c>
      <c r="AD3284">
        <v>-1.1073171536049999</v>
      </c>
      <c r="AE3284">
        <v>1.6116999999999799</v>
      </c>
      <c r="AF3284">
        <v>3.1533869383509301</v>
      </c>
      <c r="AG3284">
        <v>-1.1073171536049999</v>
      </c>
      <c r="AH3284">
        <v>18.112557593240901</v>
      </c>
      <c r="AI3284">
        <v>93.446723686996506</v>
      </c>
      <c r="AJ3284">
        <v>80.123824712941698</v>
      </c>
      <c r="AK3284">
        <v>18.418326281996901</v>
      </c>
      <c r="AL3284">
        <v>82.411698516487604</v>
      </c>
      <c r="AM3284">
        <v>83.298288515219596</v>
      </c>
      <c r="AN3284">
        <v>0.99999997378640404</v>
      </c>
    </row>
    <row r="3285" spans="1:40" x14ac:dyDescent="0.25">
      <c r="A3285" t="str">
        <f>"20190312164332396"</f>
        <v>20190312164332396</v>
      </c>
      <c r="B3285" t="str">
        <f>"1552380212387882"</f>
        <v>1552380212387882</v>
      </c>
      <c r="C3285" t="s">
        <v>40</v>
      </c>
      <c r="D3285">
        <v>4.6234270000000004</v>
      </c>
      <c r="E3285">
        <v>0.52357829999999905</v>
      </c>
      <c r="F3285" t="s">
        <v>42</v>
      </c>
      <c r="G3285">
        <v>-232.4854</v>
      </c>
      <c r="H3285" s="1">
        <v>-3.9157249999999997E-6</v>
      </c>
      <c r="I3285">
        <v>142.35329999999999</v>
      </c>
      <c r="J3285">
        <v>-213.9128</v>
      </c>
      <c r="K3285">
        <v>1.1073930000000001</v>
      </c>
      <c r="L3285">
        <v>140.69630000000001</v>
      </c>
      <c r="M3285">
        <v>-0.99690089999999998</v>
      </c>
      <c r="N3285">
        <v>0</v>
      </c>
      <c r="O3285">
        <v>-7.7951839999999994E-2</v>
      </c>
      <c r="P3285">
        <v>-0.9913052</v>
      </c>
      <c r="Q3285">
        <v>0.128397699999999</v>
      </c>
      <c r="R3285">
        <v>2.8777710000000001E-2</v>
      </c>
      <c r="S3285">
        <v>-3.0377350000000001</v>
      </c>
      <c r="T3285">
        <v>-0.1762503</v>
      </c>
      <c r="U3285">
        <v>0.25816349999999999</v>
      </c>
      <c r="V3285">
        <v>0.1068791</v>
      </c>
      <c r="W3285">
        <v>0.1381328</v>
      </c>
      <c r="X3285">
        <v>0.98463000000000001</v>
      </c>
      <c r="Y3285">
        <v>0.16169810000000001</v>
      </c>
      <c r="Z3285">
        <v>9.189961E-3</v>
      </c>
      <c r="AA3285">
        <v>0.98679749999999999</v>
      </c>
      <c r="AB3285">
        <v>27</v>
      </c>
      <c r="AC3285">
        <v>-18.572599999999898</v>
      </c>
      <c r="AD3285">
        <v>-1.1073969157250001</v>
      </c>
      <c r="AE3285">
        <v>1.65699999999998</v>
      </c>
      <c r="AF3285">
        <v>3.0889119859848102</v>
      </c>
      <c r="AG3285">
        <v>-1.1073969157250001</v>
      </c>
      <c r="AH3285">
        <v>18.32228157298</v>
      </c>
      <c r="AI3285">
        <v>93.410729895859006</v>
      </c>
      <c r="AJ3285">
        <v>80.430616893637193</v>
      </c>
      <c r="AK3285">
        <v>18.613804211543702</v>
      </c>
      <c r="AL3285">
        <v>82.060186391056902</v>
      </c>
      <c r="AM3285">
        <v>83.804943041225499</v>
      </c>
      <c r="AN3285">
        <v>1.0000000246763201</v>
      </c>
    </row>
    <row r="3286" spans="1:40" x14ac:dyDescent="0.25">
      <c r="A3286" t="str">
        <f>"20190312164332418"</f>
        <v>20190312164332418</v>
      </c>
      <c r="B3286" t="str">
        <f>"1552380212408378"</f>
        <v>1552380212408378</v>
      </c>
      <c r="C3286" t="s">
        <v>40</v>
      </c>
      <c r="D3286">
        <v>4.6351310000000003</v>
      </c>
      <c r="E3286">
        <v>0.51500109999999999</v>
      </c>
      <c r="F3286" t="s">
        <v>42</v>
      </c>
      <c r="G3286">
        <v>-235.08600000000001</v>
      </c>
      <c r="H3286" s="1">
        <v>-2.8380120000000001E-6</v>
      </c>
      <c r="I3286">
        <v>142.42609999999999</v>
      </c>
      <c r="J3286">
        <v>-214.17449999999999</v>
      </c>
      <c r="K3286">
        <v>1.107394</v>
      </c>
      <c r="L3286">
        <v>140.6797</v>
      </c>
      <c r="M3286">
        <v>-0.99717089999999997</v>
      </c>
      <c r="N3286">
        <v>0</v>
      </c>
      <c r="O3286">
        <v>-7.4443709999999996E-2</v>
      </c>
      <c r="P3286">
        <v>-0.99123159999999999</v>
      </c>
      <c r="Q3286">
        <v>0.1294023</v>
      </c>
      <c r="R3286">
        <v>2.6742700000000001E-2</v>
      </c>
      <c r="S3286">
        <v>-3.0397029999999998</v>
      </c>
      <c r="T3286">
        <v>-0.15898199999999901</v>
      </c>
      <c r="U3286">
        <v>0.2483368</v>
      </c>
      <c r="V3286">
        <v>0.1013737</v>
      </c>
      <c r="W3286">
        <v>0.13900879999999999</v>
      </c>
      <c r="X3286">
        <v>0.98508879999999999</v>
      </c>
      <c r="Y3286">
        <v>0.155089</v>
      </c>
      <c r="Z3286">
        <v>7.9311079999999992E-3</v>
      </c>
      <c r="AA3286">
        <v>0.98786870000000004</v>
      </c>
      <c r="AB3286">
        <v>27</v>
      </c>
      <c r="AC3286">
        <v>-20.911499999999901</v>
      </c>
      <c r="AD3286">
        <v>-1.1073968380120001</v>
      </c>
      <c r="AE3286">
        <v>1.74639999999999</v>
      </c>
      <c r="AF3286">
        <v>3.28920727895389</v>
      </c>
      <c r="AG3286">
        <v>-1.1073968380120001</v>
      </c>
      <c r="AH3286">
        <v>20.665899763865799</v>
      </c>
      <c r="AI3286">
        <v>93.029244740402603</v>
      </c>
      <c r="AJ3286">
        <v>80.956595033440294</v>
      </c>
      <c r="AK3286">
        <v>20.9553006499766</v>
      </c>
      <c r="AL3286">
        <v>82.0095062251511</v>
      </c>
      <c r="AM3286">
        <v>84.124477877865601</v>
      </c>
      <c r="AN3286">
        <v>1.00000000870728</v>
      </c>
    </row>
    <row r="3287" spans="1:40" x14ac:dyDescent="0.25">
      <c r="A3287" t="str">
        <f>"20190312164332441"</f>
        <v>20190312164332441</v>
      </c>
      <c r="B3287" t="str">
        <f>"1552380212427898"</f>
        <v>1552380212427898</v>
      </c>
      <c r="C3287" t="s">
        <v>40</v>
      </c>
      <c r="D3287">
        <v>4.558141</v>
      </c>
      <c r="E3287">
        <v>0.4892379</v>
      </c>
      <c r="F3287" t="s">
        <v>41</v>
      </c>
      <c r="G3287">
        <v>-214.95230000000001</v>
      </c>
      <c r="H3287">
        <v>1.044915</v>
      </c>
      <c r="I3287">
        <v>140.72329999999999</v>
      </c>
      <c r="J3287">
        <v>-214.4554</v>
      </c>
      <c r="K3287">
        <v>1.1073660000000001</v>
      </c>
      <c r="L3287">
        <v>140.6628</v>
      </c>
      <c r="M3287">
        <v>-0.99744909999999998</v>
      </c>
      <c r="N3287">
        <v>0</v>
      </c>
      <c r="O3287">
        <v>-7.0644999999999999E-2</v>
      </c>
      <c r="P3287">
        <v>-0.99139719999999998</v>
      </c>
      <c r="Q3287">
        <v>0.12874910000000001</v>
      </c>
      <c r="R3287">
        <v>2.356507E-2</v>
      </c>
      <c r="S3287">
        <v>-3.0539700000000001</v>
      </c>
      <c r="T3287">
        <v>-0.24530279999999999</v>
      </c>
      <c r="U3287">
        <v>0.17097470000000001</v>
      </c>
      <c r="V3287">
        <v>9.4452079999999994E-2</v>
      </c>
      <c r="W3287">
        <v>0.13822679999999901</v>
      </c>
      <c r="X3287">
        <v>0.9858865</v>
      </c>
      <c r="Y3287">
        <v>0.12566479999999999</v>
      </c>
      <c r="Z3287">
        <v>1.069523E-2</v>
      </c>
      <c r="AA3287">
        <v>0.99201510000000004</v>
      </c>
      <c r="AB3287">
        <v>27</v>
      </c>
      <c r="AC3287">
        <v>-0.49690000000001</v>
      </c>
      <c r="AD3287">
        <v>-6.2451E-2</v>
      </c>
      <c r="AE3287">
        <v>6.0499999999990402E-2</v>
      </c>
      <c r="AF3287">
        <v>9.3991186684568601E-2</v>
      </c>
      <c r="AG3287">
        <v>-6.2451E-2</v>
      </c>
      <c r="AH3287">
        <v>0.483852944057446</v>
      </c>
      <c r="AI3287">
        <v>97.221000950656006</v>
      </c>
      <c r="AJ3287">
        <v>79.006880445859494</v>
      </c>
      <c r="AK3287">
        <v>0.49683814471961701</v>
      </c>
      <c r="AL3287">
        <v>82.054748363115195</v>
      </c>
      <c r="AM3287">
        <v>84.527525106124898</v>
      </c>
      <c r="AN3287">
        <v>1.0000000172684</v>
      </c>
    </row>
    <row r="3288" spans="1:40" x14ac:dyDescent="0.25">
      <c r="A3288" t="str">
        <f>"20190312164332462"</f>
        <v>20190312164332462</v>
      </c>
      <c r="B3288" t="str">
        <f>"1552380212458155"</f>
        <v>1552380212458155</v>
      </c>
      <c r="C3288" t="s">
        <v>40</v>
      </c>
      <c r="D3288">
        <v>4.7425739999999896</v>
      </c>
      <c r="E3288">
        <v>0.48569869999999998</v>
      </c>
      <c r="F3288" t="s">
        <v>41</v>
      </c>
      <c r="G3288">
        <v>-215.19820000000001</v>
      </c>
      <c r="H3288">
        <v>1.0518730000000001</v>
      </c>
      <c r="I3288">
        <v>140.65280000000001</v>
      </c>
      <c r="J3288">
        <v>-214.70609999999999</v>
      </c>
      <c r="K3288">
        <v>1.107327</v>
      </c>
      <c r="L3288">
        <v>140.64869999999999</v>
      </c>
      <c r="M3288">
        <v>-0.9976872</v>
      </c>
      <c r="N3288">
        <v>0</v>
      </c>
      <c r="O3288">
        <v>-6.7224279999999997E-2</v>
      </c>
      <c r="P3288">
        <v>-0.99167240000000001</v>
      </c>
      <c r="Q3288">
        <v>0.12719649999999999</v>
      </c>
      <c r="R3288">
        <v>2.0174069999999999E-2</v>
      </c>
      <c r="S3288">
        <v>-3.056686</v>
      </c>
      <c r="T3288">
        <v>-0.22821830000000001</v>
      </c>
      <c r="U3288">
        <v>-4.2205810000000003E-2</v>
      </c>
      <c r="V3288">
        <v>8.7694809999999998E-2</v>
      </c>
      <c r="W3288">
        <v>0.1365632</v>
      </c>
      <c r="X3288">
        <v>0.98674209999999996</v>
      </c>
      <c r="Y3288">
        <v>5.3111539999999999E-2</v>
      </c>
      <c r="Z3288">
        <v>6.9885750000000003E-3</v>
      </c>
      <c r="AA3288">
        <v>0.99856409999999995</v>
      </c>
      <c r="AB3288">
        <v>27</v>
      </c>
      <c r="AC3288">
        <v>-0.49210000000002202</v>
      </c>
      <c r="AD3288">
        <v>-5.5453999999999802E-2</v>
      </c>
      <c r="AE3288">
        <v>4.1000000000224104E-3</v>
      </c>
      <c r="AF3288">
        <v>3.6707362574966401E-2</v>
      </c>
      <c r="AG3288">
        <v>-5.5453999999999802E-2</v>
      </c>
      <c r="AH3288">
        <v>0.48455823995469999</v>
      </c>
      <c r="AI3288">
        <v>96.510169900804001</v>
      </c>
      <c r="AJ3288">
        <v>85.667873538430101</v>
      </c>
      <c r="AK3288">
        <v>0.48910046461970103</v>
      </c>
      <c r="AL3288">
        <v>82.150977551420695</v>
      </c>
      <c r="AM3288">
        <v>84.921290799687199</v>
      </c>
      <c r="AN3288">
        <v>0.99999992960379003</v>
      </c>
    </row>
    <row r="3289" spans="1:40" x14ac:dyDescent="0.25">
      <c r="A3289" t="str">
        <f>"20190312164332485"</f>
        <v>20190312164332485</v>
      </c>
      <c r="B3289" t="str">
        <f>"1552380212477678"</f>
        <v>1552380212477678</v>
      </c>
      <c r="C3289" t="s">
        <v>40</v>
      </c>
      <c r="D3289">
        <v>4.5764189999999996</v>
      </c>
      <c r="E3289">
        <v>0.48534119999999997</v>
      </c>
      <c r="F3289" t="s">
        <v>41</v>
      </c>
      <c r="G3289">
        <v>-215.67910000000001</v>
      </c>
      <c r="H3289">
        <v>1.039007</v>
      </c>
      <c r="I3289">
        <v>140.62350000000001</v>
      </c>
      <c r="J3289">
        <v>-215.00069999999999</v>
      </c>
      <c r="K3289">
        <v>1.107273</v>
      </c>
      <c r="L3289">
        <v>140.63319999999999</v>
      </c>
      <c r="M3289">
        <v>-0.99795330000000004</v>
      </c>
      <c r="N3289">
        <v>0</v>
      </c>
      <c r="O3289">
        <v>-6.317863E-2</v>
      </c>
      <c r="P3289">
        <v>-0.99189349999999998</v>
      </c>
      <c r="Q3289">
        <v>0.12584010000000001</v>
      </c>
      <c r="R3289">
        <v>1.7652129999999999E-2</v>
      </c>
      <c r="S3289">
        <v>-3.0542910000000001</v>
      </c>
      <c r="T3289">
        <v>-0.21445130000000001</v>
      </c>
      <c r="U3289">
        <v>-7.9315189999999994E-2</v>
      </c>
      <c r="V3289">
        <v>8.1183329999999998E-2</v>
      </c>
      <c r="W3289">
        <v>0.135078</v>
      </c>
      <c r="X3289">
        <v>0.98750349999999998</v>
      </c>
      <c r="Y3289">
        <v>3.7006369999999997E-2</v>
      </c>
      <c r="Z3289">
        <v>5.7242150000000004E-3</v>
      </c>
      <c r="AA3289">
        <v>0.99929860000000004</v>
      </c>
      <c r="AB3289">
        <v>27</v>
      </c>
      <c r="AC3289">
        <v>-0.67840000000001</v>
      </c>
      <c r="AD3289">
        <v>-6.8265999999999896E-2</v>
      </c>
      <c r="AE3289">
        <v>-9.6999999999809391E-3</v>
      </c>
      <c r="AF3289">
        <v>3.28492926664046E-2</v>
      </c>
      <c r="AG3289">
        <v>-6.8265999999999896E-2</v>
      </c>
      <c r="AH3289">
        <v>0.67086565985993896</v>
      </c>
      <c r="AI3289">
        <v>95.803403306726295</v>
      </c>
      <c r="AJ3289">
        <v>87.196720754934304</v>
      </c>
      <c r="AK3289">
        <v>0.67512965892781995</v>
      </c>
      <c r="AL3289">
        <v>82.236869577055003</v>
      </c>
      <c r="AM3289">
        <v>85.300244151474701</v>
      </c>
      <c r="AN3289">
        <v>0.99999998083306896</v>
      </c>
    </row>
    <row r="3290" spans="1:40" x14ac:dyDescent="0.25">
      <c r="A3290" t="str">
        <f>"20190312164332508"</f>
        <v>20190312164332508</v>
      </c>
      <c r="B3290" t="str">
        <f>"1552380212498171"</f>
        <v>1552380212498171</v>
      </c>
      <c r="C3290" t="s">
        <v>40</v>
      </c>
      <c r="D3290">
        <v>4.5462030000000002</v>
      </c>
      <c r="E3290">
        <v>0.48536689999999999</v>
      </c>
      <c r="F3290" t="s">
        <v>41</v>
      </c>
      <c r="G3290">
        <v>-215.92760000000001</v>
      </c>
      <c r="H3290">
        <v>1.042473</v>
      </c>
      <c r="I3290">
        <v>140.60599999999999</v>
      </c>
      <c r="J3290">
        <v>-215.29040000000001</v>
      </c>
      <c r="K3290">
        <v>1.1072219999999999</v>
      </c>
      <c r="L3290">
        <v>140.61920000000001</v>
      </c>
      <c r="M3290">
        <v>-0.99819979999999997</v>
      </c>
      <c r="N3290">
        <v>0</v>
      </c>
      <c r="O3290">
        <v>-5.9182360000000003E-2</v>
      </c>
      <c r="P3290">
        <v>-0.99224590000000001</v>
      </c>
      <c r="Q3290">
        <v>0.1233824</v>
      </c>
      <c r="R3290">
        <v>1.4999500000000001E-2</v>
      </c>
      <c r="S3290">
        <v>-3.053207</v>
      </c>
      <c r="T3290">
        <v>-0.2134085</v>
      </c>
      <c r="U3290">
        <v>-9.0133669999999999E-2</v>
      </c>
      <c r="V3290">
        <v>7.4588509999999997E-2</v>
      </c>
      <c r="W3290">
        <v>0.1325134</v>
      </c>
      <c r="X3290">
        <v>0.98837079999999999</v>
      </c>
      <c r="Y3290">
        <v>2.9487059999999999E-2</v>
      </c>
      <c r="Z3290">
        <v>5.1572249999999997E-3</v>
      </c>
      <c r="AA3290">
        <v>0.99955179999999999</v>
      </c>
      <c r="AB3290">
        <v>27</v>
      </c>
      <c r="AC3290">
        <v>-0.63720000000000698</v>
      </c>
      <c r="AD3290">
        <v>-6.4748999999999904E-2</v>
      </c>
      <c r="AE3290">
        <v>-1.32000000000118E-2</v>
      </c>
      <c r="AF3290">
        <v>2.4285271074713701E-2</v>
      </c>
      <c r="AG3290">
        <v>-6.4748999999999904E-2</v>
      </c>
      <c r="AH3290">
        <v>0.63035822212276704</v>
      </c>
      <c r="AI3290">
        <v>95.860409820224703</v>
      </c>
      <c r="AJ3290">
        <v>87.793705741451305</v>
      </c>
      <c r="AK3290">
        <v>0.63414012299329303</v>
      </c>
      <c r="AL3290">
        <v>82.385143993363002</v>
      </c>
      <c r="AM3290">
        <v>85.684290237733805</v>
      </c>
      <c r="AN3290">
        <v>1.0000000426480999</v>
      </c>
    </row>
    <row r="3291" spans="1:40" x14ac:dyDescent="0.25">
      <c r="A3291" t="str">
        <f>"20190312164332532"</f>
        <v>20190312164332532</v>
      </c>
      <c r="B3291" t="str">
        <f>"1552380212528427"</f>
        <v>1552380212528427</v>
      </c>
      <c r="C3291" t="s">
        <v>40</v>
      </c>
      <c r="D3291">
        <v>4.5661009999999997</v>
      </c>
      <c r="E3291">
        <v>0.48497210000000002</v>
      </c>
      <c r="F3291" t="s">
        <v>41</v>
      </c>
      <c r="G3291">
        <v>-216.1765</v>
      </c>
      <c r="H3291">
        <v>1.0444800000000001</v>
      </c>
      <c r="I3291">
        <v>140.5908</v>
      </c>
      <c r="J3291">
        <v>-215.5677</v>
      </c>
      <c r="K3291">
        <v>1.107173</v>
      </c>
      <c r="L3291">
        <v>140.60679999999999</v>
      </c>
      <c r="M3291">
        <v>-0.99842140000000001</v>
      </c>
      <c r="N3291">
        <v>0</v>
      </c>
      <c r="O3291">
        <v>-5.5342780000000001E-2</v>
      </c>
      <c r="P3291">
        <v>-0.99250079999999996</v>
      </c>
      <c r="Q3291">
        <v>0.12161719999999999</v>
      </c>
      <c r="R3291">
        <v>1.2315939999999999E-2</v>
      </c>
      <c r="S3291">
        <v>-3.0518040000000002</v>
      </c>
      <c r="T3291">
        <v>-0.21595909999999999</v>
      </c>
      <c r="U3291">
        <v>-9.8297120000000002E-2</v>
      </c>
      <c r="V3291">
        <v>6.8112569999999997E-2</v>
      </c>
      <c r="W3291">
        <v>0.13065959999999999</v>
      </c>
      <c r="X3291">
        <v>0.98908479999999999</v>
      </c>
      <c r="Y3291">
        <v>2.2977689999999999E-2</v>
      </c>
      <c r="Z3291">
        <v>4.7199829999999996E-3</v>
      </c>
      <c r="AA3291">
        <v>0.99972490000000003</v>
      </c>
      <c r="AB3291">
        <v>27</v>
      </c>
      <c r="AC3291">
        <v>-0.60880000000000201</v>
      </c>
      <c r="AD3291">
        <v>-6.2693000000000096E-2</v>
      </c>
      <c r="AE3291">
        <v>-1.5999999999991101E-2</v>
      </c>
      <c r="AF3291">
        <v>1.7532956806244102E-2</v>
      </c>
      <c r="AG3291">
        <v>-6.2693000000000096E-2</v>
      </c>
      <c r="AH3291">
        <v>0.60236900812921002</v>
      </c>
      <c r="AI3291">
        <v>95.939305925420399</v>
      </c>
      <c r="AJ3291">
        <v>88.332781286031903</v>
      </c>
      <c r="AK3291">
        <v>0.60587642203500403</v>
      </c>
      <c r="AL3291">
        <v>82.492290252308095</v>
      </c>
      <c r="AM3291">
        <v>86.060589276608596</v>
      </c>
      <c r="AN3291">
        <v>0.99999999742760204</v>
      </c>
    </row>
    <row r="3292" spans="1:40" x14ac:dyDescent="0.25">
      <c r="A3292" t="str">
        <f>"20190312164332554"</f>
        <v>20190312164332554</v>
      </c>
      <c r="B3292" t="str">
        <f>"1552380212547947"</f>
        <v>1552380212547947</v>
      </c>
      <c r="C3292" t="s">
        <v>40</v>
      </c>
      <c r="D3292">
        <v>4.5650139999999997</v>
      </c>
      <c r="E3292">
        <v>0.48513250000000002</v>
      </c>
      <c r="F3292" t="s">
        <v>41</v>
      </c>
      <c r="G3292">
        <v>-216.42410000000001</v>
      </c>
      <c r="H3292">
        <v>1.044189</v>
      </c>
      <c r="I3292">
        <v>140.57650000000001</v>
      </c>
      <c r="J3292">
        <v>-215.84989999999999</v>
      </c>
      <c r="K3292">
        <v>1.1071310000000001</v>
      </c>
      <c r="L3292">
        <v>140.59520000000001</v>
      </c>
      <c r="M3292">
        <v>-0.99863170000000001</v>
      </c>
      <c r="N3292">
        <v>0</v>
      </c>
      <c r="O3292">
        <v>-5.1431459999999998E-2</v>
      </c>
      <c r="P3292">
        <v>-0.99272059999999995</v>
      </c>
      <c r="Q3292">
        <v>0.1200456</v>
      </c>
      <c r="R3292">
        <v>9.746747E-3</v>
      </c>
      <c r="S3292">
        <v>-3.051498</v>
      </c>
      <c r="T3292">
        <v>-0.2243146</v>
      </c>
      <c r="U3292">
        <v>-0.10847469999999999</v>
      </c>
      <c r="V3292">
        <v>6.167512E-2</v>
      </c>
      <c r="W3292">
        <v>0.1290057</v>
      </c>
      <c r="X3292">
        <v>0.98972400000000005</v>
      </c>
      <c r="Y3292">
        <v>1.5741890000000001E-2</v>
      </c>
      <c r="Z3292">
        <v>4.3501149999999999E-3</v>
      </c>
      <c r="AA3292">
        <v>0.99986660000000005</v>
      </c>
      <c r="AB3292">
        <v>27</v>
      </c>
      <c r="AC3292">
        <v>-0.57420000000001803</v>
      </c>
      <c r="AD3292">
        <v>-6.2941999999999804E-2</v>
      </c>
      <c r="AE3292">
        <v>-1.8699999999995401E-2</v>
      </c>
      <c r="AF3292">
        <v>1.0729233298755801E-2</v>
      </c>
      <c r="AG3292">
        <v>-6.2941999999999804E-2</v>
      </c>
      <c r="AH3292">
        <v>0.56758896363670397</v>
      </c>
      <c r="AI3292">
        <v>96.3267615083126</v>
      </c>
      <c r="AJ3292">
        <v>88.917056851267802</v>
      </c>
      <c r="AK3292">
        <v>0.57116901478753801</v>
      </c>
      <c r="AL3292">
        <v>82.587860268300005</v>
      </c>
      <c r="AM3292">
        <v>86.434197179420295</v>
      </c>
      <c r="AN3292">
        <v>0.99999994361775002</v>
      </c>
    </row>
    <row r="3293" spans="1:40" x14ac:dyDescent="0.25">
      <c r="A3293" t="str">
        <f>"20190312164332574"</f>
        <v>20190312164332574</v>
      </c>
      <c r="B3293" t="str">
        <f>"1552380212568443"</f>
        <v>1552380212568443</v>
      </c>
      <c r="C3293" t="s">
        <v>40</v>
      </c>
      <c r="D3293">
        <v>4.5734409999999999</v>
      </c>
      <c r="E3293">
        <v>0.4853442</v>
      </c>
      <c r="F3293" t="s">
        <v>41</v>
      </c>
      <c r="G3293">
        <v>-216.673</v>
      </c>
      <c r="H3293">
        <v>1.0446059999999999</v>
      </c>
      <c r="I3293">
        <v>140.56489999999999</v>
      </c>
      <c r="J3293">
        <v>-216.10079999999999</v>
      </c>
      <c r="K3293">
        <v>1.107097</v>
      </c>
      <c r="L3293">
        <v>140.58590000000001</v>
      </c>
      <c r="M3293">
        <v>-0.99880559999999996</v>
      </c>
      <c r="N3293">
        <v>0</v>
      </c>
      <c r="O3293">
        <v>-4.7954469999999999E-2</v>
      </c>
      <c r="P3293">
        <v>-0.99277629999999994</v>
      </c>
      <c r="Q3293">
        <v>0.1197636</v>
      </c>
      <c r="R3293">
        <v>7.2279279999999998E-3</v>
      </c>
      <c r="S3293">
        <v>-3.0511170000000001</v>
      </c>
      <c r="T3293">
        <v>-0.23162450000000001</v>
      </c>
      <c r="U3293">
        <v>-0.1133118</v>
      </c>
      <c r="V3293">
        <v>5.5715380000000002E-2</v>
      </c>
      <c r="W3293">
        <v>0.12866050000000001</v>
      </c>
      <c r="X3293">
        <v>0.99012239999999996</v>
      </c>
      <c r="Y3293">
        <v>1.068567E-2</v>
      </c>
      <c r="Z3293">
        <v>4.0371529999999999E-3</v>
      </c>
      <c r="AA3293">
        <v>0.99993469999999995</v>
      </c>
      <c r="AB3293">
        <v>28</v>
      </c>
      <c r="AC3293">
        <v>-0.57220000000000903</v>
      </c>
      <c r="AD3293">
        <v>-6.2490999999999998E-2</v>
      </c>
      <c r="AE3293">
        <v>-2.1000000000015E-2</v>
      </c>
      <c r="AF3293">
        <v>6.3888154521927797E-3</v>
      </c>
      <c r="AG3293">
        <v>-6.2490999999999998E-2</v>
      </c>
      <c r="AH3293">
        <v>0.56580927275641202</v>
      </c>
      <c r="AI3293">
        <v>96.302110061072696</v>
      </c>
      <c r="AJ3293">
        <v>89.353074218750194</v>
      </c>
      <c r="AK3293">
        <v>0.56928558314875899</v>
      </c>
      <c r="AL3293">
        <v>82.607805757607807</v>
      </c>
      <c r="AM3293">
        <v>86.779294011124307</v>
      </c>
      <c r="AN3293">
        <v>1.0000000474052699</v>
      </c>
    </row>
    <row r="3294" spans="1:40" x14ac:dyDescent="0.25">
      <c r="A3294" t="str">
        <f>"20190312164332597"</f>
        <v>20190312164332597</v>
      </c>
      <c r="B3294" t="str">
        <f>"1552380212587963"</f>
        <v>1552380212587963</v>
      </c>
      <c r="C3294" t="s">
        <v>40</v>
      </c>
      <c r="D3294">
        <v>4.8073569999999997</v>
      </c>
      <c r="E3294">
        <v>0.48599750000000003</v>
      </c>
      <c r="F3294" t="s">
        <v>41</v>
      </c>
      <c r="G3294">
        <v>-216.922</v>
      </c>
      <c r="H3294">
        <v>1.044314</v>
      </c>
      <c r="I3294">
        <v>140.55430000000001</v>
      </c>
      <c r="J3294">
        <v>-216.38499999999999</v>
      </c>
      <c r="K3294">
        <v>1.1070719999999901</v>
      </c>
      <c r="L3294">
        <v>140.57640000000001</v>
      </c>
      <c r="M3294">
        <v>-0.99898759999999998</v>
      </c>
      <c r="N3294">
        <v>0</v>
      </c>
      <c r="O3294">
        <v>-4.4024609999999999E-2</v>
      </c>
      <c r="P3294">
        <v>-0.99262550000000005</v>
      </c>
      <c r="Q3294">
        <v>0.1210951</v>
      </c>
      <c r="R3294">
        <v>5.5340270000000004E-3</v>
      </c>
      <c r="S3294">
        <v>-3.050827</v>
      </c>
      <c r="T3294">
        <v>-0.23315179999999999</v>
      </c>
      <c r="U3294">
        <v>-0.1179047</v>
      </c>
      <c r="V3294">
        <v>5.0129640000000003E-2</v>
      </c>
      <c r="W3294">
        <v>0.1299159</v>
      </c>
      <c r="X3294">
        <v>0.99025700000000005</v>
      </c>
      <c r="Y3294">
        <v>5.2697380000000004E-3</v>
      </c>
      <c r="Z3294">
        <v>3.5579349999999999E-3</v>
      </c>
      <c r="AA3294">
        <v>0.99997979999999997</v>
      </c>
      <c r="AB3294">
        <v>28</v>
      </c>
      <c r="AC3294">
        <v>-0.53700000000000603</v>
      </c>
      <c r="AD3294">
        <v>-6.27579999999998E-2</v>
      </c>
      <c r="AE3294">
        <v>-2.20999999999946E-2</v>
      </c>
      <c r="AF3294">
        <v>1.54262290206164E-3</v>
      </c>
      <c r="AG3294">
        <v>-6.27579999999998E-2</v>
      </c>
      <c r="AH3294">
        <v>0.53022271195676096</v>
      </c>
      <c r="AI3294">
        <v>96.750185520945294</v>
      </c>
      <c r="AJ3294">
        <v>89.8333048918971</v>
      </c>
      <c r="AK3294">
        <v>0.53392609088168796</v>
      </c>
      <c r="AL3294">
        <v>82.535267651952594</v>
      </c>
      <c r="AM3294">
        <v>87.101997715837996</v>
      </c>
      <c r="AN3294">
        <v>1.00000002396416</v>
      </c>
    </row>
    <row r="3295" spans="1:40" x14ac:dyDescent="0.25">
      <c r="A3295" t="str">
        <f>"20190312164332618"</f>
        <v>20190312164332618</v>
      </c>
      <c r="B3295" t="str">
        <f>"1552380212608459"</f>
        <v>1552380212608459</v>
      </c>
      <c r="C3295" t="s">
        <v>40</v>
      </c>
      <c r="D3295">
        <v>4.617496</v>
      </c>
      <c r="E3295">
        <v>0.4863789</v>
      </c>
      <c r="F3295" t="s">
        <v>42</v>
      </c>
      <c r="G3295">
        <v>-231.11019999999999</v>
      </c>
      <c r="H3295" s="1">
        <v>-3.9012120000000004E-6</v>
      </c>
      <c r="I3295">
        <v>140.01169999999999</v>
      </c>
      <c r="J3295">
        <v>-216.65260000000001</v>
      </c>
      <c r="K3295">
        <v>1.1070549999999999</v>
      </c>
      <c r="L3295">
        <v>140.5684</v>
      </c>
      <c r="M3295">
        <v>-0.99914400000000003</v>
      </c>
      <c r="N3295">
        <v>0</v>
      </c>
      <c r="O3295">
        <v>-4.0344169999999999E-2</v>
      </c>
      <c r="P3295">
        <v>-0.99254240000000005</v>
      </c>
      <c r="Q3295">
        <v>0.12184589999999899</v>
      </c>
      <c r="R3295">
        <v>3.6172069999999999E-3</v>
      </c>
      <c r="S3295">
        <v>-3.0509339999999998</v>
      </c>
      <c r="T3295">
        <v>-0.229377</v>
      </c>
      <c r="U3295">
        <v>-0.1169891</v>
      </c>
      <c r="V3295">
        <v>4.4565380000000002E-2</v>
      </c>
      <c r="W3295">
        <v>0.13060139999999901</v>
      </c>
      <c r="X3295">
        <v>0.99043289999999995</v>
      </c>
      <c r="Y3295">
        <v>1.9112529999999999E-3</v>
      </c>
      <c r="Z3295">
        <v>3.098441E-3</v>
      </c>
      <c r="AA3295">
        <v>0.99999340000000003</v>
      </c>
      <c r="AB3295">
        <v>28</v>
      </c>
      <c r="AC3295">
        <v>-14.4575999999999</v>
      </c>
      <c r="AD3295">
        <v>-1.10705890121199</v>
      </c>
      <c r="AE3295">
        <v>-0.55670000000000597</v>
      </c>
      <c r="AF3295">
        <v>2.6900046578059101E-2</v>
      </c>
      <c r="AG3295">
        <v>-1.10705890121199</v>
      </c>
      <c r="AH3295">
        <v>14.384074167070599</v>
      </c>
      <c r="AI3295">
        <v>94.401040555877501</v>
      </c>
      <c r="AJ3295">
        <v>89.892849736246902</v>
      </c>
      <c r="AK3295">
        <v>14.426638300971099</v>
      </c>
      <c r="AL3295">
        <v>82.495654190680298</v>
      </c>
      <c r="AM3295">
        <v>87.423664901157096</v>
      </c>
      <c r="AN3295">
        <v>1.00000006408945</v>
      </c>
    </row>
    <row r="3296" spans="1:40" x14ac:dyDescent="0.25">
      <c r="A3296" t="str">
        <f>"20190312164332642"</f>
        <v>20190312164332642</v>
      </c>
      <c r="B3296" t="str">
        <f>"1552380212637739"</f>
        <v>1552380212637739</v>
      </c>
      <c r="C3296" t="s">
        <v>40</v>
      </c>
      <c r="D3296">
        <v>4.6247480000000003</v>
      </c>
      <c r="E3296">
        <v>0.48651299999999997</v>
      </c>
      <c r="F3296" t="s">
        <v>42</v>
      </c>
      <c r="G3296">
        <v>-231.5712</v>
      </c>
      <c r="H3296" s="1">
        <v>-3.696257E-6</v>
      </c>
      <c r="I3296">
        <v>139.9846</v>
      </c>
      <c r="J3296">
        <v>-216.94200000000001</v>
      </c>
      <c r="K3296">
        <v>1.1070530000000001</v>
      </c>
      <c r="L3296">
        <v>140.5609</v>
      </c>
      <c r="M3296">
        <v>-0.99929630000000003</v>
      </c>
      <c r="N3296">
        <v>0</v>
      </c>
      <c r="O3296">
        <v>-3.640413E-2</v>
      </c>
      <c r="P3296">
        <v>-0.99224659999999998</v>
      </c>
      <c r="Q3296">
        <v>0.12424830000000001</v>
      </c>
      <c r="R3296">
        <v>3.0085429999999998E-3</v>
      </c>
      <c r="S3296">
        <v>-3.0507659999999999</v>
      </c>
      <c r="T3296">
        <v>-0.22638849999999999</v>
      </c>
      <c r="U3296">
        <v>-0.1193695</v>
      </c>
      <c r="V3296">
        <v>4.0050379999999997E-2</v>
      </c>
      <c r="W3296">
        <v>0.13292509999999999</v>
      </c>
      <c r="X3296">
        <v>0.99031659999999999</v>
      </c>
      <c r="Y3296">
        <v>-2.786335E-3</v>
      </c>
      <c r="Z3296">
        <v>2.5926899999999999E-3</v>
      </c>
      <c r="AA3296">
        <v>0.99999269999999996</v>
      </c>
      <c r="AB3296">
        <v>28</v>
      </c>
      <c r="AC3296">
        <v>-14.6291999999999</v>
      </c>
      <c r="AD3296">
        <v>-1.1070566962569901</v>
      </c>
      <c r="AE3296">
        <v>-0.57630000000000303</v>
      </c>
      <c r="AF3296">
        <v>-4.3086569856448403E-2</v>
      </c>
      <c r="AG3296">
        <v>-1.1070566962569901</v>
      </c>
      <c r="AH3296">
        <v>14.5572481009628</v>
      </c>
      <c r="AI3296">
        <v>94.348867527831004</v>
      </c>
      <c r="AJ3296">
        <v>90.169583658978198</v>
      </c>
      <c r="AK3296">
        <v>14.5993459872083</v>
      </c>
      <c r="AL3296">
        <v>82.361344778831693</v>
      </c>
      <c r="AM3296">
        <v>87.684106353028199</v>
      </c>
      <c r="AN3296">
        <v>1.00000004169185</v>
      </c>
    </row>
    <row r="3297" spans="1:40" x14ac:dyDescent="0.25">
      <c r="A3297" t="str">
        <f>"20190312164332662"</f>
        <v>20190312164332662</v>
      </c>
      <c r="B3297" t="str">
        <f>"1552380212658235"</f>
        <v>1552380212658235</v>
      </c>
      <c r="C3297" t="s">
        <v>40</v>
      </c>
      <c r="D3297">
        <v>4.6372429999999998</v>
      </c>
      <c r="E3297">
        <v>0.48668549999999999</v>
      </c>
      <c r="F3297" t="s">
        <v>41</v>
      </c>
      <c r="G3297">
        <v>-217.91820000000001</v>
      </c>
      <c r="H3297">
        <v>1.0362659999999999</v>
      </c>
      <c r="I3297">
        <v>140.52199999999999</v>
      </c>
      <c r="J3297">
        <v>-217.20070000000001</v>
      </c>
      <c r="K3297">
        <v>1.107067</v>
      </c>
      <c r="L3297">
        <v>140.55510000000001</v>
      </c>
      <c r="M3297">
        <v>-0.99941760000000002</v>
      </c>
      <c r="N3297">
        <v>0</v>
      </c>
      <c r="O3297">
        <v>-3.2936800000000002E-2</v>
      </c>
      <c r="P3297">
        <v>-0.9920776</v>
      </c>
      <c r="Q3297">
        <v>0.12560959999999999</v>
      </c>
      <c r="R3297">
        <v>2.1120319999999998E-3</v>
      </c>
      <c r="S3297">
        <v>-3.0515439999999998</v>
      </c>
      <c r="T3297">
        <v>-0.2212759</v>
      </c>
      <c r="U3297">
        <v>-0.12150569999999999</v>
      </c>
      <c r="V3297">
        <v>3.5710949999999998E-2</v>
      </c>
      <c r="W3297">
        <v>0.13422700000000001</v>
      </c>
      <c r="X3297">
        <v>0.99030689999999999</v>
      </c>
      <c r="Y3297">
        <v>-6.9208009999999999E-3</v>
      </c>
      <c r="Z3297">
        <v>2.1331520000000001E-3</v>
      </c>
      <c r="AA3297">
        <v>0.99997380000000002</v>
      </c>
      <c r="AB3297">
        <v>28</v>
      </c>
      <c r="AC3297">
        <v>-0.71750000000000103</v>
      </c>
      <c r="AD3297">
        <v>-7.08010000000001E-2</v>
      </c>
      <c r="AE3297">
        <v>-3.3099999999990297E-2</v>
      </c>
      <c r="AF3297">
        <v>-9.3580172094700192E-3</v>
      </c>
      <c r="AG3297">
        <v>-7.08010000000001E-2</v>
      </c>
      <c r="AH3297">
        <v>0.71128965596549798</v>
      </c>
      <c r="AI3297">
        <v>95.683946561366497</v>
      </c>
      <c r="AJ3297">
        <v>90.753763187376407</v>
      </c>
      <c r="AK3297">
        <v>0.71486595160953703</v>
      </c>
      <c r="AL3297">
        <v>82.286076241968701</v>
      </c>
      <c r="AM3297">
        <v>87.934781100244805</v>
      </c>
      <c r="AN3297">
        <v>0.99999995783325502</v>
      </c>
    </row>
    <row r="3298" spans="1:40" x14ac:dyDescent="0.25">
      <c r="A3298" t="str">
        <f>"20190312164332686"</f>
        <v>20190312164332686</v>
      </c>
      <c r="B3298" t="str">
        <f>"1552380212677755"</f>
        <v>1552380212677755</v>
      </c>
      <c r="C3298" t="s">
        <v>40</v>
      </c>
      <c r="D3298">
        <v>4.7061089999999997</v>
      </c>
      <c r="E3298">
        <v>0.48705009999999999</v>
      </c>
      <c r="F3298" t="s">
        <v>41</v>
      </c>
      <c r="G3298">
        <v>-218.1782</v>
      </c>
      <c r="H3298">
        <v>1.037161</v>
      </c>
      <c r="I3298">
        <v>140.5155</v>
      </c>
      <c r="J3298">
        <v>-217.50530000000001</v>
      </c>
      <c r="K3298">
        <v>1.107097</v>
      </c>
      <c r="L3298">
        <v>140.54939999999999</v>
      </c>
      <c r="M3298">
        <v>-0.99954270000000001</v>
      </c>
      <c r="N3298">
        <v>0</v>
      </c>
      <c r="O3298">
        <v>-2.8921240000000001E-2</v>
      </c>
      <c r="P3298">
        <v>-0.99200569999999999</v>
      </c>
      <c r="Q3298">
        <v>0.12618180000000001</v>
      </c>
      <c r="R3298">
        <v>1.74338799999999E-3</v>
      </c>
      <c r="S3298">
        <v>-3.0518649999999998</v>
      </c>
      <c r="T3298">
        <v>-0.21817890000000001</v>
      </c>
      <c r="U3298">
        <v>-0.1239777</v>
      </c>
      <c r="V3298">
        <v>3.1349700000000001E-2</v>
      </c>
      <c r="W3298">
        <v>0.13473689999999999</v>
      </c>
      <c r="X3298">
        <v>0.99038539999999997</v>
      </c>
      <c r="Y3298">
        <v>-1.171839E-2</v>
      </c>
      <c r="Z3298">
        <v>1.6454989999999999E-3</v>
      </c>
      <c r="AA3298">
        <v>0.99992999999999999</v>
      </c>
      <c r="AB3298">
        <v>28</v>
      </c>
      <c r="AC3298">
        <v>-0.67289999999999806</v>
      </c>
      <c r="AD3298">
        <v>-6.9935999999999998E-2</v>
      </c>
      <c r="AE3298">
        <v>-3.3899999999988398E-2</v>
      </c>
      <c r="AF3298">
        <v>-1.42702021476149E-2</v>
      </c>
      <c r="AG3298">
        <v>-6.9935999999999998E-2</v>
      </c>
      <c r="AH3298">
        <v>0.66641859870181097</v>
      </c>
      <c r="AI3298">
        <v>95.989502453920807</v>
      </c>
      <c r="AJ3298">
        <v>91.226702592316997</v>
      </c>
      <c r="AK3298">
        <v>0.67023013320875002</v>
      </c>
      <c r="AL3298">
        <v>82.256593926945399</v>
      </c>
      <c r="AM3298">
        <v>88.186962429213494</v>
      </c>
      <c r="AN3298">
        <v>1.0000000382224199</v>
      </c>
    </row>
    <row r="3299" spans="1:40" x14ac:dyDescent="0.25">
      <c r="A3299" t="str">
        <f>"20190312164332709"</f>
        <v>20190312164332709</v>
      </c>
      <c r="B3299" t="str">
        <f>"1552380212698251"</f>
        <v>1552380212698251</v>
      </c>
      <c r="C3299" t="s">
        <v>40</v>
      </c>
      <c r="D3299">
        <v>4.6301560000000004</v>
      </c>
      <c r="E3299">
        <v>0.4876374</v>
      </c>
      <c r="F3299" t="s">
        <v>42</v>
      </c>
      <c r="G3299">
        <v>-232.98750000000001</v>
      </c>
      <c r="H3299" s="1">
        <v>-3.072883E-6</v>
      </c>
      <c r="I3299">
        <v>139.9254</v>
      </c>
      <c r="J3299">
        <v>-217.8022</v>
      </c>
      <c r="K3299">
        <v>1.107135</v>
      </c>
      <c r="L3299">
        <v>140.54490000000001</v>
      </c>
      <c r="M3299">
        <v>-0.99964679999999995</v>
      </c>
      <c r="N3299">
        <v>0</v>
      </c>
      <c r="O3299">
        <v>-2.5092759999999999E-2</v>
      </c>
      <c r="P3299">
        <v>-0.99187429999999999</v>
      </c>
      <c r="Q3299">
        <v>0.127208399999999</v>
      </c>
      <c r="R3299">
        <v>1.840272E-3</v>
      </c>
      <c r="S3299">
        <v>-3.0521389999999999</v>
      </c>
      <c r="T3299">
        <v>-0.21825159999999999</v>
      </c>
      <c r="U3299">
        <v>-0.1230011</v>
      </c>
      <c r="V3299">
        <v>2.7638200000000002E-2</v>
      </c>
      <c r="W3299">
        <v>0.13570589999999999</v>
      </c>
      <c r="X3299">
        <v>0.99036360000000001</v>
      </c>
      <c r="Y3299">
        <v>-1.520642E-2</v>
      </c>
      <c r="Z3299">
        <v>1.248241E-3</v>
      </c>
      <c r="AA3299">
        <v>0.99988359999999998</v>
      </c>
      <c r="AB3299">
        <v>28</v>
      </c>
      <c r="AC3299">
        <v>-15.1853</v>
      </c>
      <c r="AD3299">
        <v>-1.107138072883</v>
      </c>
      <c r="AE3299">
        <v>-0.61950000000001604</v>
      </c>
      <c r="AF3299">
        <v>-0.23699156040135499</v>
      </c>
      <c r="AG3299">
        <v>-1.107138072883</v>
      </c>
      <c r="AH3299">
        <v>15.115846629795101</v>
      </c>
      <c r="AI3299">
        <v>94.188552396503795</v>
      </c>
      <c r="AJ3299">
        <v>90.898229791425607</v>
      </c>
      <c r="AK3299">
        <v>15.158190493842501</v>
      </c>
      <c r="AL3299">
        <v>82.200559449377593</v>
      </c>
      <c r="AM3299">
        <v>88.401454464629893</v>
      </c>
      <c r="AN3299">
        <v>1.0000000107995</v>
      </c>
    </row>
    <row r="3300" spans="1:40" x14ac:dyDescent="0.25">
      <c r="A3300" t="str">
        <f>"20190312164332733"</f>
        <v>20190312164332733</v>
      </c>
      <c r="B3300" t="str">
        <f>"1552380212727531"</f>
        <v>1552380212727531</v>
      </c>
      <c r="C3300" t="s">
        <v>40</v>
      </c>
      <c r="D3300">
        <v>4.6479150000000002</v>
      </c>
      <c r="E3300">
        <v>0.48827969999999998</v>
      </c>
      <c r="F3300" t="s">
        <v>42</v>
      </c>
      <c r="G3300">
        <v>-233.59559999999999</v>
      </c>
      <c r="H3300" s="1">
        <v>-2.8127990000000002E-6</v>
      </c>
      <c r="I3300">
        <v>139.92840000000001</v>
      </c>
      <c r="J3300">
        <v>-218.0864</v>
      </c>
      <c r="K3300">
        <v>1.107181</v>
      </c>
      <c r="L3300">
        <v>140.54159999999999</v>
      </c>
      <c r="M3300">
        <v>-0.99973049999999997</v>
      </c>
      <c r="N3300">
        <v>0</v>
      </c>
      <c r="O3300">
        <v>-2.1530859999999999E-2</v>
      </c>
      <c r="P3300">
        <v>-0.99149109999999996</v>
      </c>
      <c r="Q3300">
        <v>0.13014329999999999</v>
      </c>
      <c r="R3300">
        <v>2.8188689999999999E-3</v>
      </c>
      <c r="S3300">
        <v>-3.0522309999999999</v>
      </c>
      <c r="T3300">
        <v>-0.2139653</v>
      </c>
      <c r="U3300">
        <v>-0.1191406</v>
      </c>
      <c r="V3300">
        <v>2.5076959999999999E-2</v>
      </c>
      <c r="W3300">
        <v>0.13857949999999999</v>
      </c>
      <c r="X3300">
        <v>0.99003370000000002</v>
      </c>
      <c r="Y3300">
        <v>-1.7489810000000001E-2</v>
      </c>
      <c r="Z3300">
        <v>8.9468589999999997E-4</v>
      </c>
      <c r="AA3300">
        <v>0.99984660000000003</v>
      </c>
      <c r="AB3300">
        <v>28</v>
      </c>
      <c r="AC3300">
        <v>-15.5091999999999</v>
      </c>
      <c r="AD3300">
        <v>-1.1071838127989999</v>
      </c>
      <c r="AE3300">
        <v>-0.61319999999997699</v>
      </c>
      <c r="AF3300">
        <v>-0.27770576321304402</v>
      </c>
      <c r="AG3300">
        <v>-1.1071838127989999</v>
      </c>
      <c r="AH3300">
        <v>15.440241358986301</v>
      </c>
      <c r="AI3300">
        <v>94.100865779993498</v>
      </c>
      <c r="AJ3300">
        <v>91.030401819232296</v>
      </c>
      <c r="AK3300">
        <v>15.482378037949999</v>
      </c>
      <c r="AL3300">
        <v>82.034343063388306</v>
      </c>
      <c r="AM3300">
        <v>88.549042507282493</v>
      </c>
      <c r="AN3300">
        <v>0.99999992943938798</v>
      </c>
    </row>
    <row r="3301" spans="1:40" x14ac:dyDescent="0.25">
      <c r="A3301" t="str">
        <f>"20190312164332754"</f>
        <v>20190312164332754</v>
      </c>
      <c r="B3301" t="str">
        <f>"1552380212748027"</f>
        <v>1552380212748027</v>
      </c>
      <c r="C3301" t="s">
        <v>40</v>
      </c>
      <c r="D3301">
        <v>4.6467720000000003</v>
      </c>
      <c r="E3301">
        <v>0.48878739999999998</v>
      </c>
      <c r="F3301" t="s">
        <v>42</v>
      </c>
      <c r="G3301">
        <v>-234.67830000000001</v>
      </c>
      <c r="H3301" s="1">
        <v>-2.3470230000000001E-6</v>
      </c>
      <c r="I3301">
        <v>139.92330000000001</v>
      </c>
      <c r="J3301">
        <v>-218.3663</v>
      </c>
      <c r="K3301">
        <v>1.1072489999999999</v>
      </c>
      <c r="L3301">
        <v>140.53909999999999</v>
      </c>
      <c r="M3301">
        <v>-0.99979850000000003</v>
      </c>
      <c r="N3301">
        <v>0</v>
      </c>
      <c r="O3301">
        <v>-1.8139590000000001E-2</v>
      </c>
      <c r="P3301">
        <v>-0.99103370000000002</v>
      </c>
      <c r="Q3301">
        <v>0.13352410000000001</v>
      </c>
      <c r="R3301">
        <v>4.8605769999999996E-3</v>
      </c>
      <c r="S3301">
        <v>-3.0528409999999999</v>
      </c>
      <c r="T3301">
        <v>-0.2037177</v>
      </c>
      <c r="U3301">
        <v>-0.11373900000000001</v>
      </c>
      <c r="V3301">
        <v>2.3746819999999998E-2</v>
      </c>
      <c r="W3301">
        <v>0.1418952</v>
      </c>
      <c r="X3301">
        <v>0.98959680000000005</v>
      </c>
      <c r="Y3301">
        <v>-1.9095009999999999E-2</v>
      </c>
      <c r="Z3301">
        <v>5.724126E-4</v>
      </c>
      <c r="AA3301">
        <v>0.99981750000000003</v>
      </c>
      <c r="AB3301">
        <v>28</v>
      </c>
      <c r="AC3301">
        <v>-16.312000000000001</v>
      </c>
      <c r="AD3301">
        <v>-1.1072513470230001</v>
      </c>
      <c r="AE3301">
        <v>-0.61579999999997803</v>
      </c>
      <c r="AF3301">
        <v>-0.318330081956959</v>
      </c>
      <c r="AG3301">
        <v>-1.1072513470230001</v>
      </c>
      <c r="AH3301">
        <v>16.245738768122902</v>
      </c>
      <c r="AI3301">
        <v>93.898299098252295</v>
      </c>
      <c r="AJ3301">
        <v>91.122548915283502</v>
      </c>
      <c r="AK3301">
        <v>16.2865394638841</v>
      </c>
      <c r="AL3301">
        <v>81.842471767130505</v>
      </c>
      <c r="AM3301">
        <v>88.625367931327403</v>
      </c>
      <c r="AN3301">
        <v>0.99999999290669594</v>
      </c>
    </row>
    <row r="3302" spans="1:40" x14ac:dyDescent="0.25">
      <c r="A3302" t="str">
        <f>"20190312164332777"</f>
        <v>20190312164332777</v>
      </c>
      <c r="B3302" t="str">
        <f>"1552380212767546"</f>
        <v>1552380212767546</v>
      </c>
      <c r="C3302" t="s">
        <v>40</v>
      </c>
      <c r="D3302">
        <v>4.6713909999999998</v>
      </c>
      <c r="E3302">
        <v>0.48921550000000003</v>
      </c>
      <c r="F3302" t="s">
        <v>42</v>
      </c>
      <c r="G3302">
        <v>-235.90880000000001</v>
      </c>
      <c r="H3302" s="1">
        <v>-1.8197379999999999E-6</v>
      </c>
      <c r="I3302">
        <v>139.92570000000001</v>
      </c>
      <c r="J3302">
        <v>-218.64940000000001</v>
      </c>
      <c r="K3302">
        <v>1.1073280000000001</v>
      </c>
      <c r="L3302">
        <v>140.53749999999999</v>
      </c>
      <c r="M3302">
        <v>-0.99985349999999995</v>
      </c>
      <c r="N3302">
        <v>0</v>
      </c>
      <c r="O3302">
        <v>-1.484075E-2</v>
      </c>
      <c r="P3302">
        <v>-0.99082599999999998</v>
      </c>
      <c r="Q3302">
        <v>0.1350056</v>
      </c>
      <c r="R3302">
        <v>6.1234820000000004E-3</v>
      </c>
      <c r="S3302">
        <v>-3.0536349999999999</v>
      </c>
      <c r="T3302">
        <v>-0.1927392</v>
      </c>
      <c r="U3302">
        <v>-0.10676570000000001</v>
      </c>
      <c r="V3302">
        <v>2.1718459999999998E-2</v>
      </c>
      <c r="W3302">
        <v>0.14332149999999999</v>
      </c>
      <c r="X3302">
        <v>0.98943780000000003</v>
      </c>
      <c r="Y3302">
        <v>-2.009563E-2</v>
      </c>
      <c r="Z3302">
        <v>3.020756E-4</v>
      </c>
      <c r="AA3302">
        <v>0.99979799999999996</v>
      </c>
      <c r="AB3302">
        <v>28</v>
      </c>
      <c r="AC3302">
        <v>-17.259399999999999</v>
      </c>
      <c r="AD3302">
        <v>-1.1073298197379999</v>
      </c>
      <c r="AE3302">
        <v>-0.61179999999998802</v>
      </c>
      <c r="AF3302">
        <v>-0.35412502108731703</v>
      </c>
      <c r="AG3302">
        <v>-1.1073298197379999</v>
      </c>
      <c r="AH3302">
        <v>17.1958851109462</v>
      </c>
      <c r="AI3302">
        <v>93.6836982791324</v>
      </c>
      <c r="AJ3302">
        <v>91.179759078584397</v>
      </c>
      <c r="AK3302">
        <v>17.235139935872301</v>
      </c>
      <c r="AL3302">
        <v>81.759906569866999</v>
      </c>
      <c r="AM3302">
        <v>88.742542179089</v>
      </c>
      <c r="AN3302">
        <v>0.99999995196792901</v>
      </c>
    </row>
    <row r="3303" spans="1:40" x14ac:dyDescent="0.25">
      <c r="A3303" t="str">
        <f>"20190312164332797"</f>
        <v>20190312164332797</v>
      </c>
      <c r="B3303" t="str">
        <f>"1552380212788043"</f>
        <v>1552380212788043</v>
      </c>
      <c r="C3303" t="s">
        <v>40</v>
      </c>
      <c r="D3303">
        <v>4.6696519999999904</v>
      </c>
      <c r="E3303">
        <v>0.4895813</v>
      </c>
      <c r="F3303" t="s">
        <v>42</v>
      </c>
      <c r="G3303">
        <v>-236.6807</v>
      </c>
      <c r="H3303" s="1">
        <v>-1.492251E-6</v>
      </c>
      <c r="I3303">
        <v>139.93940000000001</v>
      </c>
      <c r="J3303">
        <v>-218.92</v>
      </c>
      <c r="K3303">
        <v>1.1074109999999999</v>
      </c>
      <c r="L3303">
        <v>140.5367</v>
      </c>
      <c r="M3303">
        <v>-0.99989430000000001</v>
      </c>
      <c r="N3303">
        <v>0</v>
      </c>
      <c r="O3303">
        <v>-1.1819710000000001E-2</v>
      </c>
      <c r="P3303">
        <v>-0.99076120000000001</v>
      </c>
      <c r="Q3303">
        <v>0.13543569999999999</v>
      </c>
      <c r="R3303">
        <v>7.0231640000000001E-3</v>
      </c>
      <c r="S3303">
        <v>-3.0539700000000001</v>
      </c>
      <c r="T3303">
        <v>-0.18754850000000001</v>
      </c>
      <c r="U3303">
        <v>-0.1012878</v>
      </c>
      <c r="V3303">
        <v>1.959607E-2</v>
      </c>
      <c r="W3303">
        <v>0.14370189999999999</v>
      </c>
      <c r="X3303">
        <v>0.98942699999999995</v>
      </c>
      <c r="Y3303">
        <v>-2.131392E-2</v>
      </c>
      <c r="Z3303" s="1">
        <v>7.1296990000000005E-5</v>
      </c>
      <c r="AA3303">
        <v>0.99977280000000002</v>
      </c>
      <c r="AB3303">
        <v>28</v>
      </c>
      <c r="AC3303">
        <v>-17.7607</v>
      </c>
      <c r="AD3303">
        <v>-1.107412492251</v>
      </c>
      <c r="AE3303">
        <v>-0.59729999999998995</v>
      </c>
      <c r="AF3303">
        <v>-0.38582612245909198</v>
      </c>
      <c r="AG3303">
        <v>-1.107412492251</v>
      </c>
      <c r="AH3303">
        <v>17.697792481895402</v>
      </c>
      <c r="AI3303">
        <v>93.579679806562893</v>
      </c>
      <c r="AJ3303">
        <v>91.248896283928104</v>
      </c>
      <c r="AK3303">
        <v>17.7366029147917</v>
      </c>
      <c r="AL3303">
        <v>81.737883808607407</v>
      </c>
      <c r="AM3303">
        <v>88.865378309266603</v>
      </c>
      <c r="AN3303">
        <v>1.00000001517602</v>
      </c>
    </row>
    <row r="3304" spans="1:40" x14ac:dyDescent="0.25">
      <c r="A3304" t="str">
        <f>"20190312164332821"</f>
        <v>20190312164332821</v>
      </c>
      <c r="B3304" t="str">
        <f>"1552380212807563"</f>
        <v>1552380212807563</v>
      </c>
      <c r="C3304" t="s">
        <v>40</v>
      </c>
      <c r="D3304">
        <v>4.8475000000000001</v>
      </c>
      <c r="E3304">
        <v>0.48990899999999998</v>
      </c>
      <c r="F3304" t="s">
        <v>42</v>
      </c>
      <c r="G3304">
        <v>-237.11109999999999</v>
      </c>
      <c r="H3304" s="1">
        <v>-1.314353E-6</v>
      </c>
      <c r="I3304">
        <v>139.96469999999999</v>
      </c>
      <c r="J3304">
        <v>-219.214</v>
      </c>
      <c r="K3304">
        <v>1.1074949999999999</v>
      </c>
      <c r="L3304">
        <v>140.53649999999999</v>
      </c>
      <c r="M3304">
        <v>-0.99992720000000002</v>
      </c>
      <c r="N3304">
        <v>0</v>
      </c>
      <c r="O3304">
        <v>-8.6810410000000005E-3</v>
      </c>
      <c r="P3304">
        <v>-0.99053740000000001</v>
      </c>
      <c r="Q3304">
        <v>0.1369765</v>
      </c>
      <c r="R3304">
        <v>8.5519710000000002E-3</v>
      </c>
      <c r="S3304">
        <v>-3.0540769999999999</v>
      </c>
      <c r="T3304">
        <v>-0.18592149999999999</v>
      </c>
      <c r="U3304">
        <v>-9.6008300000000005E-2</v>
      </c>
      <c r="V3304">
        <v>1.7987369999999999E-2</v>
      </c>
      <c r="W3304">
        <v>0.14518159999999999</v>
      </c>
      <c r="X3304">
        <v>0.9892415</v>
      </c>
      <c r="Y3304">
        <v>-2.2716389999999999E-2</v>
      </c>
      <c r="Z3304">
        <v>-1.6278930000000001E-4</v>
      </c>
      <c r="AA3304">
        <v>0.99974189999999996</v>
      </c>
      <c r="AB3304">
        <v>28</v>
      </c>
      <c r="AC3304">
        <v>-17.897099999999899</v>
      </c>
      <c r="AD3304">
        <v>-1.1074963143529899</v>
      </c>
      <c r="AE3304">
        <v>-0.57179999999999598</v>
      </c>
      <c r="AF3304">
        <v>-0.41482068483044499</v>
      </c>
      <c r="AG3304">
        <v>-1.1074963143529899</v>
      </c>
      <c r="AH3304">
        <v>17.833170663457</v>
      </c>
      <c r="AI3304">
        <v>93.552726666867301</v>
      </c>
      <c r="AJ3304">
        <v>91.332527435066893</v>
      </c>
      <c r="AK3304">
        <v>17.8723417659481</v>
      </c>
      <c r="AL3304">
        <v>81.652204567423794</v>
      </c>
      <c r="AM3304">
        <v>88.958306107634201</v>
      </c>
      <c r="AN3304">
        <v>0.99999999389016303</v>
      </c>
    </row>
    <row r="3305" spans="1:40" x14ac:dyDescent="0.25">
      <c r="A3305" t="str">
        <f>"20190312164332843"</f>
        <v>20190312164332843</v>
      </c>
      <c r="B3305" t="str">
        <f>"1552380212837819"</f>
        <v>1552380212837819</v>
      </c>
      <c r="C3305" t="s">
        <v>40</v>
      </c>
      <c r="D3305">
        <v>4.8763370000000004</v>
      </c>
      <c r="E3305">
        <v>0.49028480000000002</v>
      </c>
      <c r="F3305" t="s">
        <v>42</v>
      </c>
      <c r="G3305">
        <v>-237.82409999999999</v>
      </c>
      <c r="H3305" s="1">
        <v>-1.0157620000000001E-6</v>
      </c>
      <c r="I3305">
        <v>139.99209999999999</v>
      </c>
      <c r="J3305">
        <v>-219.49770000000001</v>
      </c>
      <c r="K3305">
        <v>1.107577</v>
      </c>
      <c r="L3305">
        <v>140.53710000000001</v>
      </c>
      <c r="M3305">
        <v>-0.99994870000000002</v>
      </c>
      <c r="N3305">
        <v>0</v>
      </c>
      <c r="O3305">
        <v>-5.8043909999999999E-3</v>
      </c>
      <c r="P3305">
        <v>-0.99018079999999997</v>
      </c>
      <c r="Q3305">
        <v>0.1394513</v>
      </c>
      <c r="R3305">
        <v>9.7700100000000008E-3</v>
      </c>
      <c r="S3305">
        <v>-3.0545650000000002</v>
      </c>
      <c r="T3305">
        <v>-0.1817782</v>
      </c>
      <c r="U3305">
        <v>-8.9340210000000003E-2</v>
      </c>
      <c r="V3305">
        <v>1.633478E-2</v>
      </c>
      <c r="W3305">
        <v>0.14759330000000001</v>
      </c>
      <c r="X3305">
        <v>0.98891320000000005</v>
      </c>
      <c r="Y3305">
        <v>-2.3401890000000002E-2</v>
      </c>
      <c r="Z3305">
        <v>-3.5051789999999999E-4</v>
      </c>
      <c r="AA3305">
        <v>0.99972609999999995</v>
      </c>
      <c r="AB3305">
        <v>28</v>
      </c>
      <c r="AC3305">
        <v>-18.3263999999999</v>
      </c>
      <c r="AD3305">
        <v>-1.1075780157619901</v>
      </c>
      <c r="AE3305">
        <v>-0.54500000000001503</v>
      </c>
      <c r="AF3305">
        <v>-0.43701874653988698</v>
      </c>
      <c r="AG3305">
        <v>-1.1075780157619901</v>
      </c>
      <c r="AH3305">
        <v>18.262608891826801</v>
      </c>
      <c r="AI3305">
        <v>93.469592919860901</v>
      </c>
      <c r="AJ3305">
        <v>91.370809182102704</v>
      </c>
      <c r="AK3305">
        <v>18.301382406300899</v>
      </c>
      <c r="AL3305">
        <v>81.512519246932001</v>
      </c>
      <c r="AM3305">
        <v>89.053679485193797</v>
      </c>
      <c r="AN3305">
        <v>0.99999996218838805</v>
      </c>
    </row>
    <row r="3306" spans="1:40" x14ac:dyDescent="0.25">
      <c r="A3306" t="str">
        <f>"20190312164332864"</f>
        <v>20190312164332864</v>
      </c>
      <c r="B3306" t="str">
        <f>"1552380212858315"</f>
        <v>1552380212858315</v>
      </c>
      <c r="C3306" t="s">
        <v>40</v>
      </c>
      <c r="D3306">
        <v>4.8988839999999998</v>
      </c>
      <c r="E3306">
        <v>0.49053249999999998</v>
      </c>
      <c r="F3306" t="s">
        <v>42</v>
      </c>
      <c r="G3306">
        <v>-238.68899999999999</v>
      </c>
      <c r="H3306" s="1">
        <v>-6.5162359999999904E-7</v>
      </c>
      <c r="I3306">
        <v>140.0181</v>
      </c>
      <c r="J3306">
        <v>-219.77119999999999</v>
      </c>
      <c r="K3306">
        <v>1.10765</v>
      </c>
      <c r="L3306">
        <v>140.53829999999999</v>
      </c>
      <c r="M3306">
        <v>-0.99996110000000005</v>
      </c>
      <c r="N3306">
        <v>0</v>
      </c>
      <c r="O3306">
        <v>-3.1521909999999999E-3</v>
      </c>
      <c r="P3306">
        <v>-0.98959739999999996</v>
      </c>
      <c r="Q3306">
        <v>0.14349519999999999</v>
      </c>
      <c r="R3306">
        <v>1.0327630000000001E-2</v>
      </c>
      <c r="S3306">
        <v>-3.0554199999999998</v>
      </c>
      <c r="T3306">
        <v>-0.17633550000000001</v>
      </c>
      <c r="U3306">
        <v>-8.2626340000000006E-2</v>
      </c>
      <c r="V3306">
        <v>1.425624E-2</v>
      </c>
      <c r="W3306">
        <v>0.1515763</v>
      </c>
      <c r="X3306">
        <v>0.98834279999999997</v>
      </c>
      <c r="Y3306">
        <v>-2.384698E-2</v>
      </c>
      <c r="Z3306">
        <v>-5.0569510000000005E-4</v>
      </c>
      <c r="AA3306">
        <v>0.99971549999999998</v>
      </c>
      <c r="AB3306">
        <v>29</v>
      </c>
      <c r="AC3306">
        <v>-18.9178</v>
      </c>
      <c r="AD3306">
        <v>-1.1076506516236</v>
      </c>
      <c r="AE3306">
        <v>-0.52019999999998801</v>
      </c>
      <c r="AF3306">
        <v>-0.45899055694666002</v>
      </c>
      <c r="AG3306">
        <v>-1.1076506516236</v>
      </c>
      <c r="AH3306">
        <v>18.8547570591621</v>
      </c>
      <c r="AI3306">
        <v>93.361067928664397</v>
      </c>
      <c r="AJ3306">
        <v>91.394503715443804</v>
      </c>
      <c r="AK3306">
        <v>18.892840603187</v>
      </c>
      <c r="AL3306">
        <v>81.281713956405696</v>
      </c>
      <c r="AM3306">
        <v>89.173600758124294</v>
      </c>
      <c r="AN3306">
        <v>1.00000005270623</v>
      </c>
    </row>
    <row r="3307" spans="1:40" x14ac:dyDescent="0.25">
      <c r="A3307" t="str">
        <f>"20190312164332886"</f>
        <v>20190312164332886</v>
      </c>
      <c r="B3307" t="str">
        <f>"1552380212877836"</f>
        <v>1552380212877836</v>
      </c>
      <c r="C3307" t="s">
        <v>40</v>
      </c>
      <c r="D3307">
        <v>5.0180429999999996</v>
      </c>
      <c r="E3307">
        <v>0.4904307</v>
      </c>
      <c r="F3307" t="s">
        <v>42</v>
      </c>
      <c r="G3307">
        <v>-240.32820000000001</v>
      </c>
      <c r="H3307" s="1">
        <v>-4.2336509999999999E-6</v>
      </c>
      <c r="I3307">
        <v>140.0069</v>
      </c>
      <c r="J3307">
        <v>-220.05889999999999</v>
      </c>
      <c r="K3307">
        <v>1.1077269999999999</v>
      </c>
      <c r="L3307">
        <v>140.5403</v>
      </c>
      <c r="M3307">
        <v>-0.99996660000000004</v>
      </c>
      <c r="N3307">
        <v>0</v>
      </c>
      <c r="O3307">
        <v>-4.6622450000000001E-4</v>
      </c>
      <c r="P3307">
        <v>-0.98901090000000003</v>
      </c>
      <c r="Q3307">
        <v>0.14738370000000001</v>
      </c>
      <c r="R3307">
        <v>1.165773E-2</v>
      </c>
      <c r="S3307">
        <v>-3.0562589999999998</v>
      </c>
      <c r="T3307">
        <v>-0.16467850000000001</v>
      </c>
      <c r="U3307">
        <v>-7.8994750000000002E-2</v>
      </c>
      <c r="V3307">
        <v>1.292162E-2</v>
      </c>
      <c r="W3307">
        <v>0.1553986</v>
      </c>
      <c r="X3307">
        <v>0.98776730000000001</v>
      </c>
      <c r="Y3307">
        <v>-2.5336109999999998E-2</v>
      </c>
      <c r="Z3307">
        <v>-6.5687649999999998E-4</v>
      </c>
      <c r="AA3307">
        <v>0.99967879999999998</v>
      </c>
      <c r="AB3307">
        <v>29</v>
      </c>
      <c r="AC3307">
        <v>-20.269300000000001</v>
      </c>
      <c r="AD3307">
        <v>-1.1077312336509999</v>
      </c>
      <c r="AE3307">
        <v>-0.53339999999999999</v>
      </c>
      <c r="AF3307">
        <v>-0.52239044043164595</v>
      </c>
      <c r="AG3307">
        <v>-1.1077312336509999</v>
      </c>
      <c r="AH3307">
        <v>20.2092293961277</v>
      </c>
      <c r="AI3307">
        <v>93.136376187025903</v>
      </c>
      <c r="AJ3307">
        <v>91.480714738713502</v>
      </c>
      <c r="AK3307">
        <v>20.246306158002501</v>
      </c>
      <c r="AL3307">
        <v>81.060085223830797</v>
      </c>
      <c r="AM3307">
        <v>89.250519770519006</v>
      </c>
      <c r="AN3307">
        <v>0.99999996604733599</v>
      </c>
    </row>
    <row r="3308" spans="1:40" x14ac:dyDescent="0.25">
      <c r="A3308" t="str">
        <f>"20190312164332910"</f>
        <v>20190312164332910</v>
      </c>
      <c r="B3308" t="str">
        <f>"1552380212898331"</f>
        <v>1552380212898331</v>
      </c>
      <c r="C3308" t="s">
        <v>40</v>
      </c>
      <c r="D3308">
        <v>4.8515040000000003</v>
      </c>
      <c r="E3308">
        <v>0.4826261</v>
      </c>
      <c r="F3308" t="s">
        <v>42</v>
      </c>
      <c r="G3308">
        <v>-242.20910000000001</v>
      </c>
      <c r="H3308" s="1">
        <v>-3.4224879999999999E-6</v>
      </c>
      <c r="I3308">
        <v>139.98410000000001</v>
      </c>
      <c r="J3308">
        <v>-220.35990000000001</v>
      </c>
      <c r="K3308">
        <v>1.107783</v>
      </c>
      <c r="L3308">
        <v>140.54310000000001</v>
      </c>
      <c r="M3308">
        <v>-0.99996479999999999</v>
      </c>
      <c r="N3308">
        <v>0</v>
      </c>
      <c r="O3308">
        <v>2.2463600000000002E-3</v>
      </c>
      <c r="P3308">
        <v>-0.98852739999999995</v>
      </c>
      <c r="Q3308">
        <v>0.1505445</v>
      </c>
      <c r="R3308">
        <v>1.225731E-2</v>
      </c>
      <c r="S3308">
        <v>-3.057007</v>
      </c>
      <c r="T3308">
        <v>-0.15288099999999999</v>
      </c>
      <c r="U3308">
        <v>-7.6751710000000001E-2</v>
      </c>
      <c r="V3308">
        <v>1.083131E-2</v>
      </c>
      <c r="W3308">
        <v>0.15849360000000001</v>
      </c>
      <c r="X3308">
        <v>0.98730059999999997</v>
      </c>
      <c r="Y3308">
        <v>-2.7307660000000001E-2</v>
      </c>
      <c r="Z3308">
        <v>-7.9455179999999995E-4</v>
      </c>
      <c r="AA3308">
        <v>0.99962680000000004</v>
      </c>
      <c r="AB3308">
        <v>29</v>
      </c>
      <c r="AC3308">
        <v>-21.8492</v>
      </c>
      <c r="AD3308">
        <v>-1.1077864224880001</v>
      </c>
      <c r="AE3308">
        <v>-0.55899999999999705</v>
      </c>
      <c r="AF3308">
        <v>-0.60652323026794697</v>
      </c>
      <c r="AG3308">
        <v>-1.1077864224880001</v>
      </c>
      <c r="AH3308">
        <v>21.791906644532201</v>
      </c>
      <c r="AI3308">
        <v>92.908987819934495</v>
      </c>
      <c r="AJ3308">
        <v>91.594273171431695</v>
      </c>
      <c r="AK3308">
        <v>21.828473524062801</v>
      </c>
      <c r="AL3308">
        <v>80.880529871702905</v>
      </c>
      <c r="AM3308">
        <v>89.371454393443301</v>
      </c>
      <c r="AN3308">
        <v>1.0000000066388099</v>
      </c>
    </row>
    <row r="3309" spans="1:40" x14ac:dyDescent="0.25">
      <c r="A3309" t="str">
        <f>"20190312164332954"</f>
        <v>20190312164332954</v>
      </c>
      <c r="B3309" t="str">
        <f>"1552380212948107"</f>
        <v>1552380212948107</v>
      </c>
      <c r="C3309" t="s">
        <v>40</v>
      </c>
      <c r="D3309">
        <v>4.6815470000000001</v>
      </c>
      <c r="E3309">
        <v>0.4808868</v>
      </c>
      <c r="F3309" t="s">
        <v>42</v>
      </c>
      <c r="G3309">
        <v>-238.68520000000001</v>
      </c>
      <c r="H3309" s="1">
        <v>-5.6959740000000001E-7</v>
      </c>
      <c r="I3309">
        <v>139.70359999999999</v>
      </c>
      <c r="J3309">
        <v>-220.9323</v>
      </c>
      <c r="K3309">
        <v>1.107877</v>
      </c>
      <c r="L3309">
        <v>140.55029999999999</v>
      </c>
      <c r="M3309">
        <v>-0.99994309999999997</v>
      </c>
      <c r="N3309">
        <v>0</v>
      </c>
      <c r="O3309">
        <v>7.1347069999999997E-3</v>
      </c>
      <c r="P3309">
        <v>-0.98805370000000003</v>
      </c>
      <c r="Q3309">
        <v>0.15372189999999999</v>
      </c>
      <c r="R3309">
        <v>1.09522E-2</v>
      </c>
      <c r="S3309">
        <v>-3.0647579999999999</v>
      </c>
      <c r="T3309">
        <v>-0.1852676</v>
      </c>
      <c r="U3309">
        <v>-0.1403809</v>
      </c>
      <c r="V3309">
        <v>4.6675659999999997E-3</v>
      </c>
      <c r="W3309">
        <v>0.16155069999999999</v>
      </c>
      <c r="X3309">
        <v>0.98685339999999999</v>
      </c>
      <c r="Y3309">
        <v>-5.2774040000000001E-2</v>
      </c>
      <c r="Z3309">
        <v>-2.023543E-3</v>
      </c>
      <c r="AA3309">
        <v>0.99860439999999995</v>
      </c>
      <c r="AB3309">
        <v>29</v>
      </c>
      <c r="AC3309">
        <v>-17.7529</v>
      </c>
      <c r="AD3309">
        <v>-1.1078775695973999</v>
      </c>
      <c r="AE3309">
        <v>-0.84669999999999801</v>
      </c>
      <c r="AF3309">
        <v>-0.96957678307707396</v>
      </c>
      <c r="AG3309">
        <v>-1.1078775695973999</v>
      </c>
      <c r="AH3309">
        <v>17.677718417581101</v>
      </c>
      <c r="AI3309">
        <v>93.580717196276197</v>
      </c>
      <c r="AJ3309">
        <v>93.139378703913593</v>
      </c>
      <c r="AK3309">
        <v>17.738917675517399</v>
      </c>
      <c r="AL3309">
        <v>80.703084365226701</v>
      </c>
      <c r="AM3309">
        <v>89.729007532191602</v>
      </c>
      <c r="AN3309">
        <v>1.0000000239672</v>
      </c>
    </row>
    <row r="3310" spans="1:40" x14ac:dyDescent="0.25">
      <c r="A3310" t="str">
        <f>"20190312164332976"</f>
        <v>20190312164332976</v>
      </c>
      <c r="B3310" t="str">
        <f>"1552380212967627"</f>
        <v>1552380212967627</v>
      </c>
      <c r="C3310" t="s">
        <v>40</v>
      </c>
      <c r="D3310">
        <v>4.7314819999999997</v>
      </c>
      <c r="E3310">
        <v>0.48067599999999999</v>
      </c>
      <c r="F3310" t="s">
        <v>42</v>
      </c>
      <c r="G3310">
        <v>-241.7319</v>
      </c>
      <c r="H3310" s="1">
        <v>-3.5555219999999999E-6</v>
      </c>
      <c r="I3310">
        <v>139.4684</v>
      </c>
      <c r="J3310">
        <v>-221.21610000000001</v>
      </c>
      <c r="K3310">
        <v>1.1079190000000001</v>
      </c>
      <c r="L3310">
        <v>140.5547</v>
      </c>
      <c r="M3310">
        <v>-0.99992460000000005</v>
      </c>
      <c r="N3310">
        <v>0</v>
      </c>
      <c r="O3310">
        <v>9.4379960000000006E-3</v>
      </c>
      <c r="P3310">
        <v>-0.98779479999999997</v>
      </c>
      <c r="Q3310">
        <v>0.1554442</v>
      </c>
      <c r="R3310">
        <v>9.9304900000000002E-3</v>
      </c>
      <c r="S3310">
        <v>-3.0634459999999999</v>
      </c>
      <c r="T3310">
        <v>-0.1631736</v>
      </c>
      <c r="U3310">
        <v>-0.15933229999999901</v>
      </c>
      <c r="V3310">
        <v>1.35703E-3</v>
      </c>
      <c r="W3310">
        <v>0.16321350000000001</v>
      </c>
      <c r="X3310">
        <v>0.98658979999999996</v>
      </c>
      <c r="Y3310">
        <v>-6.1263860000000003E-2</v>
      </c>
      <c r="Z3310">
        <v>-2.1314049999999998E-3</v>
      </c>
      <c r="AA3310">
        <v>0.99811939999999999</v>
      </c>
      <c r="AB3310">
        <v>29</v>
      </c>
      <c r="AC3310">
        <v>-20.515799999999899</v>
      </c>
      <c r="AD3310">
        <v>-1.107922555522</v>
      </c>
      <c r="AE3310">
        <v>-1.0862999999999901</v>
      </c>
      <c r="AF3310">
        <v>-1.2761742436174199</v>
      </c>
      <c r="AG3310">
        <v>-1.107922555522</v>
      </c>
      <c r="AH3310">
        <v>20.4451744892976</v>
      </c>
      <c r="AI3310">
        <v>93.095807102629294</v>
      </c>
      <c r="AJ3310">
        <v>93.571730705446001</v>
      </c>
      <c r="AK3310">
        <v>20.5149036796894</v>
      </c>
      <c r="AL3310">
        <v>80.606530879936301</v>
      </c>
      <c r="AM3310">
        <v>89.921191114444099</v>
      </c>
      <c r="AN3310">
        <v>0.99999996078835396</v>
      </c>
    </row>
    <row r="3311" spans="1:40" x14ac:dyDescent="0.25">
      <c r="A3311" t="str">
        <f>"20190312164332998"</f>
        <v>20190312164332998</v>
      </c>
      <c r="B3311" t="str">
        <f>"1552380212988122"</f>
        <v>1552380212988122</v>
      </c>
      <c r="C3311" t="s">
        <v>40</v>
      </c>
      <c r="D3311">
        <v>4.7161350000000004</v>
      </c>
      <c r="E3311">
        <v>0.48041260000000002</v>
      </c>
      <c r="F3311" t="s">
        <v>42</v>
      </c>
      <c r="G3311">
        <v>-242.97319999999999</v>
      </c>
      <c r="H3311" s="1">
        <v>-3.0372540000000001E-6</v>
      </c>
      <c r="I3311">
        <v>139.38820000000001</v>
      </c>
      <c r="J3311">
        <v>-221.51679999999999</v>
      </c>
      <c r="K3311">
        <v>1.107972</v>
      </c>
      <c r="L3311">
        <v>140.56</v>
      </c>
      <c r="M3311">
        <v>-0.99990009999999996</v>
      </c>
      <c r="N3311">
        <v>0</v>
      </c>
      <c r="O3311">
        <v>1.1789060000000001E-2</v>
      </c>
      <c r="P3311">
        <v>-0.98751009999999995</v>
      </c>
      <c r="Q3311">
        <v>0.15731110000000001</v>
      </c>
      <c r="R3311">
        <v>8.7836679999999997E-3</v>
      </c>
      <c r="S3311">
        <v>-3.0632480000000002</v>
      </c>
      <c r="T3311">
        <v>-0.15598809999999999</v>
      </c>
      <c r="U3311">
        <v>-0.1642303</v>
      </c>
      <c r="V3311">
        <v>-2.1269919999999999E-3</v>
      </c>
      <c r="W3311">
        <v>0.16501830000000001</v>
      </c>
      <c r="X3311">
        <v>0.98628819999999995</v>
      </c>
      <c r="Y3311">
        <v>-6.5205559999999996E-2</v>
      </c>
      <c r="Z3311">
        <v>-2.2575149999999999E-3</v>
      </c>
      <c r="AA3311">
        <v>0.99786929999999996</v>
      </c>
      <c r="AB3311">
        <v>29</v>
      </c>
      <c r="AC3311">
        <v>-21.456399999999999</v>
      </c>
      <c r="AD3311">
        <v>-1.107975037254</v>
      </c>
      <c r="AE3311">
        <v>-1.17179999999999</v>
      </c>
      <c r="AF3311">
        <v>-1.4208994388740299</v>
      </c>
      <c r="AG3311">
        <v>-1.107975037254</v>
      </c>
      <c r="AH3311">
        <v>21.3842418659946</v>
      </c>
      <c r="AI3311">
        <v>92.959481734332499</v>
      </c>
      <c r="AJ3311">
        <v>93.801492937276805</v>
      </c>
      <c r="AK3311">
        <v>21.460017802460602</v>
      </c>
      <c r="AL3311">
        <v>80.501702335206303</v>
      </c>
      <c r="AM3311">
        <v>90.123561729454707</v>
      </c>
      <c r="AN3311">
        <v>0.99999998844454896</v>
      </c>
    </row>
    <row r="3312" spans="1:40" x14ac:dyDescent="0.25">
      <c r="A3312" t="str">
        <f>"20190312164333020"</f>
        <v>20190312164333020</v>
      </c>
      <c r="B3312" t="str">
        <f>"1552380213007647"</f>
        <v>1552380213007647</v>
      </c>
      <c r="C3312" t="s">
        <v>40</v>
      </c>
      <c r="D3312">
        <v>4.7466660000000003</v>
      </c>
      <c r="E3312">
        <v>0.4803442</v>
      </c>
      <c r="F3312" t="s">
        <v>42</v>
      </c>
      <c r="G3312">
        <v>-243.00129999999999</v>
      </c>
      <c r="H3312" s="1">
        <v>-3.029339E-6</v>
      </c>
      <c r="I3312">
        <v>139.3648</v>
      </c>
      <c r="J3312">
        <v>-221.803</v>
      </c>
      <c r="K3312">
        <v>1.108026</v>
      </c>
      <c r="L3312">
        <v>140.56559999999999</v>
      </c>
      <c r="M3312">
        <v>-0.99987329999999996</v>
      </c>
      <c r="N3312">
        <v>0</v>
      </c>
      <c r="O3312">
        <v>1.3917280000000001E-2</v>
      </c>
      <c r="P3312">
        <v>-0.98726239999999998</v>
      </c>
      <c r="Q3312">
        <v>0.1589284</v>
      </c>
      <c r="R3312">
        <v>7.3915379999999996E-3</v>
      </c>
      <c r="S3312">
        <v>-3.0646209999999998</v>
      </c>
      <c r="T3312">
        <v>-0.15804550000000001</v>
      </c>
      <c r="U3312">
        <v>-0.17047119999999999</v>
      </c>
      <c r="V3312">
        <v>-5.6395439999999998E-3</v>
      </c>
      <c r="W3312">
        <v>0.166579</v>
      </c>
      <c r="X3312">
        <v>0.986012</v>
      </c>
      <c r="Y3312">
        <v>-6.9320220000000002E-2</v>
      </c>
      <c r="Z3312">
        <v>-2.5016639999999998E-3</v>
      </c>
      <c r="AA3312">
        <v>0.99759129999999996</v>
      </c>
      <c r="AB3312">
        <v>29</v>
      </c>
      <c r="AC3312">
        <v>-21.1982999999999</v>
      </c>
      <c r="AD3312">
        <v>-1.108029029339</v>
      </c>
      <c r="AE3312">
        <v>-1.2007999999999801</v>
      </c>
      <c r="AF3312">
        <v>-1.4916528344786599</v>
      </c>
      <c r="AG3312">
        <v>-1.108029029339</v>
      </c>
      <c r="AH3312">
        <v>21.122011104984601</v>
      </c>
      <c r="AI3312">
        <v>92.995451470424797</v>
      </c>
      <c r="AJ3312">
        <v>94.039565870742706</v>
      </c>
      <c r="AK3312">
        <v>21.2035871877274</v>
      </c>
      <c r="AL3312">
        <v>80.411026069769804</v>
      </c>
      <c r="AM3312">
        <v>90.327702448033804</v>
      </c>
      <c r="AN3312">
        <v>1.00000001592076</v>
      </c>
    </row>
    <row r="3313" spans="1:40" x14ac:dyDescent="0.25">
      <c r="A3313" t="str">
        <f>"20190312164333042"</f>
        <v>20190312164333042</v>
      </c>
      <c r="B3313" t="str">
        <f>"1552380213037899"</f>
        <v>1552380213037899</v>
      </c>
      <c r="C3313" t="s">
        <v>40</v>
      </c>
      <c r="D3313">
        <v>4.7416790000000004</v>
      </c>
      <c r="E3313">
        <v>0.48031010000000002</v>
      </c>
      <c r="F3313" t="s">
        <v>42</v>
      </c>
      <c r="G3313">
        <v>-243.7833</v>
      </c>
      <c r="H3313" s="1">
        <v>-2.7036720000000001E-6</v>
      </c>
      <c r="I3313">
        <v>139.30940000000001</v>
      </c>
      <c r="J3313">
        <v>-222.0855</v>
      </c>
      <c r="K3313">
        <v>1.1080950000000001</v>
      </c>
      <c r="L3313">
        <v>140.57159999999999</v>
      </c>
      <c r="M3313">
        <v>-0.99984439999999997</v>
      </c>
      <c r="N3313">
        <v>0</v>
      </c>
      <c r="O3313">
        <v>1.5890100000000001E-2</v>
      </c>
      <c r="P3313">
        <v>-0.98708110000000004</v>
      </c>
      <c r="Q3313">
        <v>0.16011979999999901</v>
      </c>
      <c r="R3313">
        <v>5.726091E-3</v>
      </c>
      <c r="S3313">
        <v>-3.0648960000000001</v>
      </c>
      <c r="T3313">
        <v>-0.15450129999999901</v>
      </c>
      <c r="U3313">
        <v>-0.17515559999999999</v>
      </c>
      <c r="V3313">
        <v>-9.2786520000000001E-3</v>
      </c>
      <c r="W3313">
        <v>0.16771910000000001</v>
      </c>
      <c r="X3313">
        <v>0.98579110000000003</v>
      </c>
      <c r="Y3313">
        <v>-7.2801080000000004E-2</v>
      </c>
      <c r="Z3313">
        <v>-2.6322440000000002E-3</v>
      </c>
      <c r="AA3313">
        <v>0.99734299999999998</v>
      </c>
      <c r="AB3313">
        <v>29</v>
      </c>
      <c r="AC3313">
        <v>-21.697800000000001</v>
      </c>
      <c r="AD3313">
        <v>-1.1080977036719999</v>
      </c>
      <c r="AE3313">
        <v>-1.26219999999997</v>
      </c>
      <c r="AF3313">
        <v>-1.60266514048788</v>
      </c>
      <c r="AG3313">
        <v>-1.1080977036719999</v>
      </c>
      <c r="AH3313">
        <v>21.618809378034101</v>
      </c>
      <c r="AI3313">
        <v>92.926179676209898</v>
      </c>
      <c r="AJ3313">
        <v>94.2397471503904</v>
      </c>
      <c r="AK3313">
        <v>21.706435336028701</v>
      </c>
      <c r="AL3313">
        <v>80.344770322296796</v>
      </c>
      <c r="AM3313">
        <v>90.539274396461394</v>
      </c>
      <c r="AN3313">
        <v>0.99999994136347603</v>
      </c>
    </row>
    <row r="3314" spans="1:40" x14ac:dyDescent="0.25">
      <c r="A3314" t="str">
        <f>"20190312164333065"</f>
        <v>20190312164333065</v>
      </c>
      <c r="B3314" t="str">
        <f>"1552380213058396"</f>
        <v>1552380213058396</v>
      </c>
      <c r="C3314" t="s">
        <v>40</v>
      </c>
      <c r="D3314">
        <v>4.7397640000000001</v>
      </c>
      <c r="E3314">
        <v>0.48009170000000001</v>
      </c>
      <c r="F3314" t="s">
        <v>42</v>
      </c>
      <c r="G3314">
        <v>-244.76220000000001</v>
      </c>
      <c r="H3314" s="1">
        <v>-2.2969789999999998E-6</v>
      </c>
      <c r="I3314">
        <v>139.23480000000001</v>
      </c>
      <c r="J3314">
        <v>-222.38820000000001</v>
      </c>
      <c r="K3314">
        <v>1.1081890000000001</v>
      </c>
      <c r="L3314">
        <v>140.57849999999999</v>
      </c>
      <c r="M3314">
        <v>-0.99981189999999998</v>
      </c>
      <c r="N3314">
        <v>0</v>
      </c>
      <c r="O3314">
        <v>1.7852710000000001E-2</v>
      </c>
      <c r="P3314">
        <v>-0.98703189999999996</v>
      </c>
      <c r="Q3314">
        <v>0.16048780000000001</v>
      </c>
      <c r="R3314">
        <v>3.492471E-3</v>
      </c>
      <c r="S3314">
        <v>-3.0645899999999999</v>
      </c>
      <c r="T3314">
        <v>-0.14975179999999999</v>
      </c>
      <c r="U3314">
        <v>-0.1806488</v>
      </c>
      <c r="V3314">
        <v>-1.3488170000000001E-2</v>
      </c>
      <c r="W3314">
        <v>0.16803360000000001</v>
      </c>
      <c r="X3314">
        <v>0.98568900000000004</v>
      </c>
      <c r="Y3314">
        <v>-7.6545630000000003E-2</v>
      </c>
      <c r="Z3314">
        <v>-2.7386810000000002E-3</v>
      </c>
      <c r="AA3314">
        <v>0.99706229999999996</v>
      </c>
      <c r="AB3314">
        <v>29</v>
      </c>
      <c r="AC3314">
        <v>-22.373999999999899</v>
      </c>
      <c r="AD3314">
        <v>-1.10819129697899</v>
      </c>
      <c r="AE3314">
        <v>-1.3436999999999799</v>
      </c>
      <c r="AF3314">
        <v>-1.7386837453400701</v>
      </c>
      <c r="AG3314">
        <v>-1.10819129697899</v>
      </c>
      <c r="AH3314">
        <v>22.291953375721299</v>
      </c>
      <c r="AI3314">
        <v>92.837376919681702</v>
      </c>
      <c r="AJ3314">
        <v>94.459814075342294</v>
      </c>
      <c r="AK3314">
        <v>22.387101072321599</v>
      </c>
      <c r="AL3314">
        <v>80.326492085401597</v>
      </c>
      <c r="AM3314">
        <v>90.783986615183494</v>
      </c>
      <c r="AN3314">
        <v>1.00000001308995</v>
      </c>
    </row>
    <row r="3315" spans="1:40" x14ac:dyDescent="0.25">
      <c r="A3315" t="str">
        <f>"20190312164333112"</f>
        <v>20190312164333112</v>
      </c>
      <c r="B3315" t="str">
        <f>"1552380213108171"</f>
        <v>1552380213108171</v>
      </c>
      <c r="C3315" t="s">
        <v>40</v>
      </c>
      <c r="D3315">
        <v>4.7334750000000003</v>
      </c>
      <c r="E3315">
        <v>0.44883260000000003</v>
      </c>
      <c r="F3315" t="s">
        <v>42</v>
      </c>
      <c r="G3315">
        <v>-244.7749</v>
      </c>
      <c r="H3315" s="1">
        <v>-2.298871E-6</v>
      </c>
      <c r="I3315">
        <v>139.1934</v>
      </c>
      <c r="J3315">
        <v>-223.0094</v>
      </c>
      <c r="K3315">
        <v>1.108382</v>
      </c>
      <c r="L3315">
        <v>140.59399999999999</v>
      </c>
      <c r="M3315">
        <v>-0.99974200000000002</v>
      </c>
      <c r="N3315">
        <v>0</v>
      </c>
      <c r="O3315">
        <v>2.1451769999999998E-2</v>
      </c>
      <c r="P3315">
        <v>-0.98658230000000002</v>
      </c>
      <c r="Q3315">
        <v>0.163263299999999</v>
      </c>
      <c r="R3315">
        <v>7.0592919999999996E-4</v>
      </c>
      <c r="S3315">
        <v>-3.0647579999999999</v>
      </c>
      <c r="T3315">
        <v>-0.15171279999999901</v>
      </c>
      <c r="U3315">
        <v>-0.18960569999999999</v>
      </c>
      <c r="V3315">
        <v>-1.9889569999999999E-2</v>
      </c>
      <c r="W3315">
        <v>0.17070009999999999</v>
      </c>
      <c r="X3315">
        <v>0.98512230000000001</v>
      </c>
      <c r="Y3315">
        <v>-8.3018129999999996E-2</v>
      </c>
      <c r="Z3315">
        <v>-3.1119780000000001E-3</v>
      </c>
      <c r="AA3315">
        <v>0.99654319999999996</v>
      </c>
      <c r="AB3315">
        <v>30</v>
      </c>
      <c r="AC3315">
        <v>-21.765499999999999</v>
      </c>
      <c r="AD3315">
        <v>-1.108384298871</v>
      </c>
      <c r="AE3315">
        <v>-1.4005999999999901</v>
      </c>
      <c r="AF3315">
        <v>-1.86238948414794</v>
      </c>
      <c r="AG3315">
        <v>-1.108384298871</v>
      </c>
      <c r="AH3315">
        <v>21.674469542607799</v>
      </c>
      <c r="AI3315">
        <v>92.916700232196007</v>
      </c>
      <c r="AJ3315">
        <v>94.911105273183395</v>
      </c>
      <c r="AK3315">
        <v>21.782553576155401</v>
      </c>
      <c r="AL3315">
        <v>80.171473489474707</v>
      </c>
      <c r="AM3315">
        <v>91.156641779568901</v>
      </c>
      <c r="AN3315">
        <v>1.0000000325460401</v>
      </c>
    </row>
    <row r="3316" spans="1:40" x14ac:dyDescent="0.25">
      <c r="A3316" t="str">
        <f>"20190312164333133"</f>
        <v>20190312164333133</v>
      </c>
      <c r="B3316" t="str">
        <f>"1552380213127692"</f>
        <v>1552380213127692</v>
      </c>
      <c r="C3316" t="s">
        <v>40</v>
      </c>
      <c r="D3316">
        <v>4.8526730000000002</v>
      </c>
      <c r="E3316">
        <v>0.44674350000000002</v>
      </c>
      <c r="F3316" t="s">
        <v>42</v>
      </c>
      <c r="G3316">
        <v>-241.81700000000001</v>
      </c>
      <c r="H3316" s="1">
        <v>-3.810326E-6</v>
      </c>
      <c r="I3316">
        <v>137.82599999999999</v>
      </c>
      <c r="J3316">
        <v>-223.29580000000001</v>
      </c>
      <c r="K3316">
        <v>1.10849</v>
      </c>
      <c r="L3316">
        <v>140.60159999999999</v>
      </c>
      <c r="M3316">
        <v>-0.99971089999999996</v>
      </c>
      <c r="N3316">
        <v>0</v>
      </c>
      <c r="O3316">
        <v>2.2872340000000001E-2</v>
      </c>
      <c r="P3316">
        <v>-0.98622759999999998</v>
      </c>
      <c r="Q3316">
        <v>0.1653946</v>
      </c>
      <c r="R3316">
        <v>-4.678064E-4</v>
      </c>
      <c r="S3316">
        <v>-3.071075</v>
      </c>
      <c r="T3316">
        <v>-0.18098710000000001</v>
      </c>
      <c r="U3316">
        <v>-0.45196530000000001</v>
      </c>
      <c r="V3316">
        <v>-2.2493900000000001E-2</v>
      </c>
      <c r="W3316">
        <v>0.172784299999999</v>
      </c>
      <c r="X3316">
        <v>0.98470279999999999</v>
      </c>
      <c r="Y3316">
        <v>-0.16786699999999999</v>
      </c>
      <c r="Z3316">
        <v>-6.2558219999999899E-3</v>
      </c>
      <c r="AA3316">
        <v>0.98578980000000005</v>
      </c>
      <c r="AB3316">
        <v>30</v>
      </c>
      <c r="AC3316">
        <v>-18.5212</v>
      </c>
      <c r="AD3316">
        <v>-1.108493810326</v>
      </c>
      <c r="AE3316">
        <v>-2.7755999999999901</v>
      </c>
      <c r="AF3316">
        <v>-3.1873423187041801</v>
      </c>
      <c r="AG3316">
        <v>-1.108493810326</v>
      </c>
      <c r="AH3316">
        <v>18.388447213315899</v>
      </c>
      <c r="AI3316">
        <v>93.399169945847206</v>
      </c>
      <c r="AJ3316">
        <v>99.8335986558006</v>
      </c>
      <c r="AK3316">
        <v>18.695531565083598</v>
      </c>
      <c r="AL3316">
        <v>80.050256199177895</v>
      </c>
      <c r="AM3316">
        <v>91.308599336686399</v>
      </c>
      <c r="AN3316">
        <v>0.99999999709577003</v>
      </c>
    </row>
    <row r="3317" spans="1:40" x14ac:dyDescent="0.25">
      <c r="A3317" t="str">
        <f>"20190312164333155"</f>
        <v>20190312164333155</v>
      </c>
      <c r="B3317" t="str">
        <f>"1552380213148189"</f>
        <v>1552380213148189</v>
      </c>
      <c r="C3317" t="s">
        <v>40</v>
      </c>
      <c r="D3317">
        <v>4.7055009999999999</v>
      </c>
      <c r="E3317">
        <v>0.44567190000000001</v>
      </c>
      <c r="F3317" t="s">
        <v>42</v>
      </c>
      <c r="G3317">
        <v>-240.45349999999999</v>
      </c>
      <c r="H3317" s="1">
        <v>-4.3732349999999998E-6</v>
      </c>
      <c r="I3317">
        <v>137.9504</v>
      </c>
      <c r="J3317">
        <v>-223.59979999999999</v>
      </c>
      <c r="K3317">
        <v>1.1086210000000001</v>
      </c>
      <c r="L3317">
        <v>140.61000000000001</v>
      </c>
      <c r="M3317">
        <v>-0.99968029999999997</v>
      </c>
      <c r="N3317">
        <v>0</v>
      </c>
      <c r="O3317">
        <v>2.4184899999999999E-2</v>
      </c>
      <c r="P3317">
        <v>-0.98598609999999998</v>
      </c>
      <c r="Q3317">
        <v>0.16682330000000001</v>
      </c>
      <c r="R3317">
        <v>-1.295544E-3</v>
      </c>
      <c r="S3317">
        <v>-3.0749659999999999</v>
      </c>
      <c r="T3317">
        <v>-0.19866300000000001</v>
      </c>
      <c r="U3317">
        <v>-0.47514339999999999</v>
      </c>
      <c r="V3317">
        <v>-2.4661740000000001E-2</v>
      </c>
      <c r="W3317">
        <v>0.1741654</v>
      </c>
      <c r="X3317">
        <v>0.98440749999999999</v>
      </c>
      <c r="Y3317">
        <v>-0.17615649999999999</v>
      </c>
      <c r="Z3317">
        <v>-7.2034229999999996E-3</v>
      </c>
      <c r="AA3317">
        <v>0.98433579999999998</v>
      </c>
      <c r="AB3317">
        <v>30</v>
      </c>
      <c r="AC3317">
        <v>-16.8537</v>
      </c>
      <c r="AD3317">
        <v>-1.10862537323499</v>
      </c>
      <c r="AE3317">
        <v>-2.65960000000001</v>
      </c>
      <c r="AF3317">
        <v>-3.0535467338845601</v>
      </c>
      <c r="AG3317">
        <v>-1.10862537323499</v>
      </c>
      <c r="AH3317">
        <v>16.713883659034899</v>
      </c>
      <c r="AI3317">
        <v>93.733235248693006</v>
      </c>
      <c r="AJ3317">
        <v>100.353481788534</v>
      </c>
      <c r="AK3317">
        <v>17.0266586517129</v>
      </c>
      <c r="AL3317">
        <v>79.969906350439302</v>
      </c>
      <c r="AM3317">
        <v>91.435094832461701</v>
      </c>
      <c r="AN3317">
        <v>0.99999995701661704</v>
      </c>
    </row>
    <row r="3318" spans="1:40" x14ac:dyDescent="0.25">
      <c r="A3318" t="str">
        <f>"20190312164333177"</f>
        <v>20190312164333177</v>
      </c>
      <c r="B3318" t="str">
        <f>"1552380213167708"</f>
        <v>1552380213167708</v>
      </c>
      <c r="C3318" t="s">
        <v>40</v>
      </c>
      <c r="D3318">
        <v>4.7205170000000001</v>
      </c>
      <c r="E3318">
        <v>0.44479970000000002</v>
      </c>
      <c r="F3318" t="s">
        <v>42</v>
      </c>
      <c r="G3318">
        <v>-240.59530000000001</v>
      </c>
      <c r="H3318" s="1">
        <v>-4.31748E-6</v>
      </c>
      <c r="I3318">
        <v>137.92160000000001</v>
      </c>
      <c r="J3318">
        <v>-223.88919999999999</v>
      </c>
      <c r="K3318">
        <v>1.1087579999999999</v>
      </c>
      <c r="L3318">
        <v>140.6181</v>
      </c>
      <c r="M3318">
        <v>-0.99965459999999995</v>
      </c>
      <c r="N3318">
        <v>0</v>
      </c>
      <c r="O3318">
        <v>2.5233350000000002E-2</v>
      </c>
      <c r="P3318">
        <v>-0.98592709999999995</v>
      </c>
      <c r="Q3318">
        <v>0.16716239999999999</v>
      </c>
      <c r="R3318">
        <v>-2.1326240000000001E-3</v>
      </c>
      <c r="S3318">
        <v>-3.0759430000000001</v>
      </c>
      <c r="T3318">
        <v>-0.20064509999999999</v>
      </c>
      <c r="U3318">
        <v>-0.48654170000000002</v>
      </c>
      <c r="V3318">
        <v>-2.659187E-2</v>
      </c>
      <c r="W3318">
        <v>0.1744617</v>
      </c>
      <c r="X3318">
        <v>0.98430479999999998</v>
      </c>
      <c r="Y3318">
        <v>-0.18068110000000001</v>
      </c>
      <c r="Z3318">
        <v>-7.4852769999999898E-3</v>
      </c>
      <c r="AA3318">
        <v>0.98351319999999998</v>
      </c>
      <c r="AB3318">
        <v>30</v>
      </c>
      <c r="AC3318">
        <v>-16.706099999999999</v>
      </c>
      <c r="AD3318">
        <v>-1.1087623174800001</v>
      </c>
      <c r="AE3318">
        <v>-2.6964999999999799</v>
      </c>
      <c r="AF3318">
        <v>-3.1038787619688799</v>
      </c>
      <c r="AG3318">
        <v>-1.1087623174800001</v>
      </c>
      <c r="AH3318">
        <v>16.5616382314061</v>
      </c>
      <c r="AI3318">
        <v>93.764748601553094</v>
      </c>
      <c r="AJ3318">
        <v>100.61488139055901</v>
      </c>
      <c r="AK3318">
        <v>16.886422893959399</v>
      </c>
      <c r="AL3318">
        <v>79.952665849353295</v>
      </c>
      <c r="AM3318">
        <v>91.547520048087307</v>
      </c>
      <c r="AN3318">
        <v>0.99999997581001299</v>
      </c>
    </row>
    <row r="3319" spans="1:40" x14ac:dyDescent="0.25">
      <c r="A3319" t="str">
        <f>"20190312164333200"</f>
        <v>20190312164333200</v>
      </c>
      <c r="B3319" t="str">
        <f>"1552380213188204"</f>
        <v>1552380213188204</v>
      </c>
      <c r="C3319" t="s">
        <v>40</v>
      </c>
      <c r="D3319">
        <v>4.8196430000000001</v>
      </c>
      <c r="E3319">
        <v>0.44410909999999898</v>
      </c>
      <c r="F3319" t="s">
        <v>42</v>
      </c>
      <c r="G3319">
        <v>-240.4803</v>
      </c>
      <c r="H3319" s="1">
        <v>-4.3621280000000001E-6</v>
      </c>
      <c r="I3319">
        <v>137.94810000000001</v>
      </c>
      <c r="J3319">
        <v>-224.19110000000001</v>
      </c>
      <c r="K3319">
        <v>1.1089209999999901</v>
      </c>
      <c r="L3319">
        <v>140.6267</v>
      </c>
      <c r="M3319">
        <v>-0.99963230000000003</v>
      </c>
      <c r="N3319">
        <v>0</v>
      </c>
      <c r="O3319">
        <v>2.6114709999999999E-2</v>
      </c>
      <c r="P3319">
        <v>-0.98573789999999994</v>
      </c>
      <c r="Q3319">
        <v>0.16827609999999901</v>
      </c>
      <c r="R3319">
        <v>-2.0159119999999999E-3</v>
      </c>
      <c r="S3319">
        <v>-3.0766140000000002</v>
      </c>
      <c r="T3319">
        <v>-0.20560680000000001</v>
      </c>
      <c r="U3319">
        <v>-0.49511719999999998</v>
      </c>
      <c r="V3319">
        <v>-2.7407460000000002E-2</v>
      </c>
      <c r="W3319">
        <v>0.1755312</v>
      </c>
      <c r="X3319">
        <v>0.98409230000000003</v>
      </c>
      <c r="Y3319">
        <v>-0.18415680000000001</v>
      </c>
      <c r="Z3319">
        <v>-7.8404519999999995E-3</v>
      </c>
      <c r="AA3319">
        <v>0.98286560000000001</v>
      </c>
      <c r="AB3319">
        <v>30</v>
      </c>
      <c r="AC3319">
        <v>-16.289199999999902</v>
      </c>
      <c r="AD3319">
        <v>-1.10892536212799</v>
      </c>
      <c r="AE3319">
        <v>-2.6785999999999799</v>
      </c>
      <c r="AF3319">
        <v>-3.0891457110756302</v>
      </c>
      <c r="AG3319">
        <v>-1.10892536212799</v>
      </c>
      <c r="AH3319">
        <v>16.140855929699399</v>
      </c>
      <c r="AI3319">
        <v>93.860369463024298</v>
      </c>
      <c r="AJ3319">
        <v>100.834633236635</v>
      </c>
      <c r="AK3319">
        <v>16.471179885677302</v>
      </c>
      <c r="AL3319">
        <v>79.890427993837406</v>
      </c>
      <c r="AM3319">
        <v>91.595303575317502</v>
      </c>
      <c r="AN3319">
        <v>1.0000000129781901</v>
      </c>
    </row>
    <row r="3320" spans="1:40" x14ac:dyDescent="0.25">
      <c r="A3320" t="str">
        <f>"20190312164333222"</f>
        <v>20190312164333222</v>
      </c>
      <c r="B3320" t="str">
        <f>"1552380213218460"</f>
        <v>1552380213218460</v>
      </c>
      <c r="C3320" t="s">
        <v>40</v>
      </c>
      <c r="D3320">
        <v>4.8148439999999999</v>
      </c>
      <c r="E3320">
        <v>0.44506570000000001</v>
      </c>
      <c r="F3320" t="s">
        <v>42</v>
      </c>
      <c r="G3320">
        <v>-240.56479999999999</v>
      </c>
      <c r="H3320" s="1">
        <v>-4.3218720000000001E-6</v>
      </c>
      <c r="I3320">
        <v>137.97069999999999</v>
      </c>
      <c r="J3320">
        <v>-224.47210000000001</v>
      </c>
      <c r="K3320">
        <v>1.1090850000000001</v>
      </c>
      <c r="L3320">
        <v>140.63480000000001</v>
      </c>
      <c r="M3320">
        <v>-0.99961630000000001</v>
      </c>
      <c r="N3320">
        <v>0</v>
      </c>
      <c r="O3320">
        <v>2.6728709999999999E-2</v>
      </c>
      <c r="P3320">
        <v>-0.98551109999999997</v>
      </c>
      <c r="Q3320">
        <v>0.16961200000000001</v>
      </c>
      <c r="R3320" s="1">
        <v>-3.3800959999999899E-5</v>
      </c>
      <c r="S3320">
        <v>-3.0779719999999999</v>
      </c>
      <c r="T3320">
        <v>-0.2084599</v>
      </c>
      <c r="U3320">
        <v>-0.49926759999999898</v>
      </c>
      <c r="V3320">
        <v>-2.6091139999999999E-2</v>
      </c>
      <c r="W3320">
        <v>0.176824799999999</v>
      </c>
      <c r="X3320">
        <v>0.9838964</v>
      </c>
      <c r="Y3320">
        <v>-0.18596599999999999</v>
      </c>
      <c r="Z3320">
        <v>-8.0468139999999994E-3</v>
      </c>
      <c r="AA3320">
        <v>0.98252320000000004</v>
      </c>
      <c r="AB3320">
        <v>30</v>
      </c>
      <c r="AC3320">
        <v>-16.092699999999901</v>
      </c>
      <c r="AD3320">
        <v>-1.1090893218719999</v>
      </c>
      <c r="AE3320">
        <v>-2.6641000000000101</v>
      </c>
      <c r="AF3320">
        <v>-3.0790617977229999</v>
      </c>
      <c r="AG3320">
        <v>-1.1090893218719999</v>
      </c>
      <c r="AH3320">
        <v>15.942038705027899</v>
      </c>
      <c r="AI3320">
        <v>93.907673607385206</v>
      </c>
      <c r="AJ3320">
        <v>100.931563930938</v>
      </c>
      <c r="AK3320">
        <v>16.274498417791399</v>
      </c>
      <c r="AL3320">
        <v>79.815131686090396</v>
      </c>
      <c r="AM3320">
        <v>91.519023688039894</v>
      </c>
      <c r="AN3320">
        <v>0.99999994170724804</v>
      </c>
    </row>
    <row r="3321" spans="1:40" x14ac:dyDescent="0.25">
      <c r="A3321" t="str">
        <f>"20190312164333242"</f>
        <v>20190312164333242</v>
      </c>
      <c r="B3321" t="str">
        <f>"1552380213237980"</f>
        <v>1552380213237980</v>
      </c>
      <c r="C3321" t="s">
        <v>40</v>
      </c>
      <c r="D3321">
        <v>4.6996859999999998</v>
      </c>
      <c r="E3321">
        <v>0.44506980000000002</v>
      </c>
      <c r="F3321" t="s">
        <v>42</v>
      </c>
      <c r="G3321">
        <v>-240.68049999999999</v>
      </c>
      <c r="H3321" s="1">
        <v>-4.2537929999999998E-6</v>
      </c>
      <c r="I3321">
        <v>138.07470000000001</v>
      </c>
      <c r="J3321">
        <v>-224.76599999999999</v>
      </c>
      <c r="K3321">
        <v>1.109243</v>
      </c>
      <c r="L3321">
        <v>140.6431</v>
      </c>
      <c r="M3321">
        <v>-0.99960490000000002</v>
      </c>
      <c r="N3321">
        <v>0</v>
      </c>
      <c r="O3321">
        <v>2.7157319999999999E-2</v>
      </c>
      <c r="P3321">
        <v>-0.98540570000000005</v>
      </c>
      <c r="Q3321">
        <v>0.17021430000000001</v>
      </c>
      <c r="R3321">
        <v>1.8001009999999999E-3</v>
      </c>
      <c r="S3321">
        <v>-3.080368</v>
      </c>
      <c r="T3321">
        <v>-0.21078</v>
      </c>
      <c r="U3321">
        <v>-0.48652649999999997</v>
      </c>
      <c r="V3321">
        <v>-2.474583E-2</v>
      </c>
      <c r="W3321">
        <v>0.177390299999999</v>
      </c>
      <c r="X3321">
        <v>0.98382939999999997</v>
      </c>
      <c r="Y3321">
        <v>-0.18229989999999999</v>
      </c>
      <c r="Z3321">
        <v>-8.0371669999999996E-3</v>
      </c>
      <c r="AA3321">
        <v>0.98321009999999998</v>
      </c>
      <c r="AB3321">
        <v>30</v>
      </c>
      <c r="AC3321">
        <v>-15.9145</v>
      </c>
      <c r="AD3321">
        <v>-1.109247253793</v>
      </c>
      <c r="AE3321">
        <v>-2.5683999999999898</v>
      </c>
      <c r="AF3321">
        <v>-2.9855232418705899</v>
      </c>
      <c r="AG3321">
        <v>-1.109247253793</v>
      </c>
      <c r="AH3321">
        <v>15.7642363836173</v>
      </c>
      <c r="AI3321">
        <v>93.954900340382096</v>
      </c>
      <c r="AJ3321">
        <v>100.724000869411</v>
      </c>
      <c r="AK3321">
        <v>16.082752477619</v>
      </c>
      <c r="AL3321">
        <v>79.782210896312193</v>
      </c>
      <c r="AM3321">
        <v>91.440831850812003</v>
      </c>
      <c r="AN3321">
        <v>0.99999998147041902</v>
      </c>
    </row>
    <row r="3322" spans="1:40" x14ac:dyDescent="0.25">
      <c r="A3322" t="str">
        <f>"20190312164333266"</f>
        <v>20190312164333266</v>
      </c>
      <c r="B3322" t="str">
        <f>"1552380213258477"</f>
        <v>1552380213258477</v>
      </c>
      <c r="C3322" t="s">
        <v>40</v>
      </c>
      <c r="D3322">
        <v>4.7507359999999998</v>
      </c>
      <c r="E3322">
        <v>0.44444650000000002</v>
      </c>
      <c r="F3322" t="s">
        <v>42</v>
      </c>
      <c r="G3322">
        <v>-241.2817</v>
      </c>
      <c r="H3322" s="1">
        <v>-3.9957319999999997E-6</v>
      </c>
      <c r="I3322">
        <v>138.07550000000001</v>
      </c>
      <c r="J3322">
        <v>-225.08629999999999</v>
      </c>
      <c r="K3322">
        <v>1.109389</v>
      </c>
      <c r="L3322">
        <v>140.65219999999999</v>
      </c>
      <c r="M3322">
        <v>-0.99959739999999997</v>
      </c>
      <c r="N3322">
        <v>0</v>
      </c>
      <c r="O3322">
        <v>2.7439089999999999E-2</v>
      </c>
      <c r="P3322">
        <v>-0.98546579999999995</v>
      </c>
      <c r="Q3322">
        <v>0.1698277</v>
      </c>
      <c r="R3322">
        <v>3.9555789999999999E-3</v>
      </c>
      <c r="S3322">
        <v>-3.08107</v>
      </c>
      <c r="T3322">
        <v>-0.2069347</v>
      </c>
      <c r="U3322">
        <v>-0.47898859999999899</v>
      </c>
      <c r="V3322">
        <v>-2.2935319999999999E-2</v>
      </c>
      <c r="W3322">
        <v>0.17697079999999901</v>
      </c>
      <c r="X3322">
        <v>0.98394879999999996</v>
      </c>
      <c r="Y3322">
        <v>-0.1802155</v>
      </c>
      <c r="Z3322">
        <v>-7.8398659999999992E-3</v>
      </c>
      <c r="AA3322">
        <v>0.98359589999999997</v>
      </c>
      <c r="AB3322">
        <v>30</v>
      </c>
      <c r="AC3322">
        <v>-16.195399999999999</v>
      </c>
      <c r="AD3322">
        <v>-1.1093929957319999</v>
      </c>
      <c r="AE3322">
        <v>-2.5766999999999798</v>
      </c>
      <c r="AF3322">
        <v>-3.0063698125783902</v>
      </c>
      <c r="AG3322">
        <v>-1.1093929957319999</v>
      </c>
      <c r="AH3322">
        <v>16.045167308738002</v>
      </c>
      <c r="AI3322">
        <v>93.887799677480103</v>
      </c>
      <c r="AJ3322">
        <v>100.61241413251901</v>
      </c>
      <c r="AK3322">
        <v>16.362041627937401</v>
      </c>
      <c r="AL3322">
        <v>79.806632722887798</v>
      </c>
      <c r="AM3322">
        <v>91.335292160241295</v>
      </c>
      <c r="AN3322">
        <v>0.99999996698879001</v>
      </c>
    </row>
    <row r="3323" spans="1:40" x14ac:dyDescent="0.25">
      <c r="A3323" t="str">
        <f>"20190312164333289"</f>
        <v>20190312164333289</v>
      </c>
      <c r="B3323" t="str">
        <f>"1552380213277995"</f>
        <v>1552380213277995</v>
      </c>
      <c r="C3323" t="s">
        <v>40</v>
      </c>
      <c r="D3323">
        <v>4.7509119999999996</v>
      </c>
      <c r="E3323">
        <v>0.4437989</v>
      </c>
      <c r="F3323" t="s">
        <v>42</v>
      </c>
      <c r="G3323">
        <v>-241.2859</v>
      </c>
      <c r="H3323" s="1">
        <v>-3.9804440000000004E-6</v>
      </c>
      <c r="I3323">
        <v>138.1514</v>
      </c>
      <c r="J3323">
        <v>-225.39769999999999</v>
      </c>
      <c r="K3323">
        <v>1.109505</v>
      </c>
      <c r="L3323">
        <v>140.661</v>
      </c>
      <c r="M3323">
        <v>-0.99959390000000004</v>
      </c>
      <c r="N3323">
        <v>0</v>
      </c>
      <c r="O3323">
        <v>2.7567089999999999E-2</v>
      </c>
      <c r="P3323">
        <v>-0.9856473</v>
      </c>
      <c r="Q3323">
        <v>0.16868250000000001</v>
      </c>
      <c r="R3323">
        <v>6.7620939999999997E-3</v>
      </c>
      <c r="S3323">
        <v>-3.0825499999999999</v>
      </c>
      <c r="T3323">
        <v>-0.21110110000000001</v>
      </c>
      <c r="U3323">
        <v>-0.47584530000000003</v>
      </c>
      <c r="V3323">
        <v>-2.0311200000000001E-2</v>
      </c>
      <c r="W3323">
        <v>0.17580019999999999</v>
      </c>
      <c r="X3323">
        <v>0.98421630000000004</v>
      </c>
      <c r="Y3323">
        <v>-0.17927390000000001</v>
      </c>
      <c r="Z3323">
        <v>-7.9708750000000005E-3</v>
      </c>
      <c r="AA3323">
        <v>0.9837669</v>
      </c>
      <c r="AB3323">
        <v>30</v>
      </c>
      <c r="AC3323">
        <v>-15.888199999999999</v>
      </c>
      <c r="AD3323">
        <v>-1.1095089804439999</v>
      </c>
      <c r="AE3323">
        <v>-2.5095999999999998</v>
      </c>
      <c r="AF3323">
        <v>-2.9326957410564298</v>
      </c>
      <c r="AG3323">
        <v>-1.1095089804439999</v>
      </c>
      <c r="AH3323">
        <v>15.738097940249199</v>
      </c>
      <c r="AI3323">
        <v>93.9645605799046</v>
      </c>
      <c r="AJ3323">
        <v>100.55564201918099</v>
      </c>
      <c r="AK3323">
        <v>16.0474122918361</v>
      </c>
      <c r="AL3323">
        <v>79.874771743000807</v>
      </c>
      <c r="AM3323">
        <v>91.182241010020704</v>
      </c>
      <c r="AN3323">
        <v>0.99999999017558405</v>
      </c>
    </row>
    <row r="3324" spans="1:40" x14ac:dyDescent="0.25">
      <c r="A3324" t="str">
        <f>"20190312164333313"</f>
        <v>20190312164333313</v>
      </c>
      <c r="B3324" t="str">
        <f>"1552380213308251"</f>
        <v>1552380213308251</v>
      </c>
      <c r="C3324" t="s">
        <v>40</v>
      </c>
      <c r="D3324">
        <v>4.7523600000000004</v>
      </c>
      <c r="E3324">
        <v>0.44391819999999999</v>
      </c>
      <c r="F3324" t="s">
        <v>42</v>
      </c>
      <c r="G3324">
        <v>-241.01390000000001</v>
      </c>
      <c r="H3324" s="1">
        <v>-4.0756679999999998E-6</v>
      </c>
      <c r="I3324">
        <v>138.27250000000001</v>
      </c>
      <c r="J3324">
        <v>-225.7149</v>
      </c>
      <c r="K3324">
        <v>1.109594</v>
      </c>
      <c r="L3324">
        <v>140.66980000000001</v>
      </c>
      <c r="M3324">
        <v>-0.99959390000000004</v>
      </c>
      <c r="N3324">
        <v>0</v>
      </c>
      <c r="O3324">
        <v>2.7576150000000001E-2</v>
      </c>
      <c r="P3324">
        <v>-0.98598909999999995</v>
      </c>
      <c r="Q3324">
        <v>0.16653109999999999</v>
      </c>
      <c r="R3324">
        <v>9.6373859999999995E-3</v>
      </c>
      <c r="S3324">
        <v>-3.0844420000000001</v>
      </c>
      <c r="T3324">
        <v>-0.21914539999999999</v>
      </c>
      <c r="U3324">
        <v>-0.47175600000000001</v>
      </c>
      <c r="V3324">
        <v>-1.749742E-2</v>
      </c>
      <c r="W3324">
        <v>0.17362639999999999</v>
      </c>
      <c r="X3324">
        <v>0.98465619999999998</v>
      </c>
      <c r="Y3324">
        <v>-0.1778845</v>
      </c>
      <c r="Z3324">
        <v>-8.2213210000000002E-3</v>
      </c>
      <c r="AA3324">
        <v>0.98401700000000003</v>
      </c>
      <c r="AB3324">
        <v>30</v>
      </c>
      <c r="AC3324">
        <v>-15.298999999999999</v>
      </c>
      <c r="AD3324">
        <v>-1.109598075668</v>
      </c>
      <c r="AE3324">
        <v>-2.3973</v>
      </c>
      <c r="AF3324">
        <v>-2.8038910127470098</v>
      </c>
      <c r="AG3324">
        <v>-1.109598075668</v>
      </c>
      <c r="AH3324">
        <v>15.1492924724147</v>
      </c>
      <c r="AI3324">
        <v>94.119388201771997</v>
      </c>
      <c r="AJ3324">
        <v>100.485869328142</v>
      </c>
      <c r="AK3324">
        <v>15.446490705517901</v>
      </c>
      <c r="AL3324">
        <v>80.001267614203996</v>
      </c>
      <c r="AM3324">
        <v>91.018043469021606</v>
      </c>
      <c r="AN3324">
        <v>1.0000000593410201</v>
      </c>
    </row>
    <row r="3325" spans="1:40" x14ac:dyDescent="0.25">
      <c r="A3325" t="str">
        <f>"20190312164333357"</f>
        <v>20190312164333357</v>
      </c>
      <c r="B3325" t="str">
        <f>"1552380213348268"</f>
        <v>1552380213348268</v>
      </c>
      <c r="C3325" t="s">
        <v>40</v>
      </c>
      <c r="D3325">
        <v>4.7205440000000003</v>
      </c>
      <c r="E3325">
        <v>0.54407530000000004</v>
      </c>
      <c r="F3325" t="s">
        <v>42</v>
      </c>
      <c r="G3325">
        <v>-240.47829999999999</v>
      </c>
      <c r="H3325" s="1">
        <v>-4.2716309999999997E-6</v>
      </c>
      <c r="I3325">
        <v>138.46299999999999</v>
      </c>
      <c r="J3325">
        <v>-226.3109</v>
      </c>
      <c r="K3325">
        <v>1.1097129999999999</v>
      </c>
      <c r="L3325">
        <v>140.68620000000001</v>
      </c>
      <c r="M3325">
        <v>-0.99960110000000002</v>
      </c>
      <c r="N3325">
        <v>0</v>
      </c>
      <c r="O3325">
        <v>2.7321999999999999E-2</v>
      </c>
      <c r="P3325">
        <v>-0.98579779999999995</v>
      </c>
      <c r="Q3325">
        <v>0.1671087</v>
      </c>
      <c r="R3325">
        <v>1.665078E-2</v>
      </c>
      <c r="S3325">
        <v>-3.0863040000000002</v>
      </c>
      <c r="T3325">
        <v>-0.23196269999999999</v>
      </c>
      <c r="U3325">
        <v>-0.46131899999999998</v>
      </c>
      <c r="V3325">
        <v>-1.0296899999999999E-2</v>
      </c>
      <c r="W3325">
        <v>0.17414479999999999</v>
      </c>
      <c r="X3325">
        <v>0.98466620000000005</v>
      </c>
      <c r="Y3325">
        <v>-0.17424129999999999</v>
      </c>
      <c r="Z3325">
        <v>-8.5429010000000003E-3</v>
      </c>
      <c r="AA3325">
        <v>0.98466589999999998</v>
      </c>
      <c r="AB3325">
        <v>30</v>
      </c>
      <c r="AC3325">
        <v>-14.167399999999899</v>
      </c>
      <c r="AD3325">
        <v>-1.109717271631</v>
      </c>
      <c r="AE3325">
        <v>-2.2232000000000198</v>
      </c>
      <c r="AF3325">
        <v>-2.5939292416754101</v>
      </c>
      <c r="AG3325">
        <v>-1.109717271631</v>
      </c>
      <c r="AH3325">
        <v>14.017431076487799</v>
      </c>
      <c r="AI3325">
        <v>94.451231313790402</v>
      </c>
      <c r="AJ3325">
        <v>100.484002416107</v>
      </c>
      <c r="AK3325">
        <v>14.2985424193468</v>
      </c>
      <c r="AL3325">
        <v>79.971105208197898</v>
      </c>
      <c r="AM3325">
        <v>90.599134415615097</v>
      </c>
      <c r="AN3325">
        <v>0.99999998146954405</v>
      </c>
    </row>
    <row r="3326" spans="1:40" x14ac:dyDescent="0.25">
      <c r="A3326" t="str">
        <f>"20190312164333380"</f>
        <v>20190312164333380</v>
      </c>
      <c r="B3326" t="str">
        <f>"1552380213367788"</f>
        <v>1552380213367788</v>
      </c>
      <c r="C3326" t="s">
        <v>40</v>
      </c>
      <c r="D3326">
        <v>4.6392030000000002</v>
      </c>
      <c r="E3326">
        <v>0.54204869999999905</v>
      </c>
      <c r="F3326" t="s">
        <v>41</v>
      </c>
      <c r="G3326">
        <v>-227.1087</v>
      </c>
      <c r="H3326">
        <v>1.0530269999999999</v>
      </c>
      <c r="I3326">
        <v>140.7808</v>
      </c>
      <c r="J3326">
        <v>-226.6328</v>
      </c>
      <c r="K3326">
        <v>1.109766</v>
      </c>
      <c r="L3326">
        <v>140.69479999999999</v>
      </c>
      <c r="M3326">
        <v>-0.99960819999999995</v>
      </c>
      <c r="N3326">
        <v>0</v>
      </c>
      <c r="O3326">
        <v>2.707888E-2</v>
      </c>
      <c r="P3326">
        <v>-0.98571699999999995</v>
      </c>
      <c r="Q3326">
        <v>0.16722870000000001</v>
      </c>
      <c r="R3326">
        <v>1.99188E-2</v>
      </c>
      <c r="S3326">
        <v>-3.0741420000000002</v>
      </c>
      <c r="T3326">
        <v>-0.21852469999999999</v>
      </c>
      <c r="U3326">
        <v>0.36361690000000002</v>
      </c>
      <c r="V3326">
        <v>-6.8194279999999998E-3</v>
      </c>
      <c r="W3326">
        <v>0.17423169999999999</v>
      </c>
      <c r="X3326">
        <v>0.98468109999999998</v>
      </c>
      <c r="Y3326">
        <v>9.0371000000000007E-2</v>
      </c>
      <c r="Z3326">
        <v>1.2819249999999999E-3</v>
      </c>
      <c r="AA3326">
        <v>0.9959074</v>
      </c>
      <c r="AB3326">
        <v>31</v>
      </c>
      <c r="AC3326">
        <v>-0.47589999999999499</v>
      </c>
      <c r="AD3326">
        <v>-5.6739000000000102E-2</v>
      </c>
      <c r="AE3326">
        <v>8.6000000000012705E-2</v>
      </c>
      <c r="AF3326">
        <v>7.2088994905373002E-2</v>
      </c>
      <c r="AG3326">
        <v>-5.6739000000000102E-2</v>
      </c>
      <c r="AH3326">
        <v>0.47156325293620099</v>
      </c>
      <c r="AI3326">
        <v>96.782855173500906</v>
      </c>
      <c r="AJ3326">
        <v>81.308349040118102</v>
      </c>
      <c r="AK3326">
        <v>0.48040403706384299</v>
      </c>
      <c r="AL3326">
        <v>79.966049390785003</v>
      </c>
      <c r="AM3326">
        <v>90.396796685266494</v>
      </c>
      <c r="AN3326">
        <v>1.0000000292901701</v>
      </c>
    </row>
    <row r="3327" spans="1:40" x14ac:dyDescent="0.25">
      <c r="A3327" t="str">
        <f>"20190312164333400"</f>
        <v>20190312164333400</v>
      </c>
      <c r="B3327" t="str">
        <f>"1552380213388283"</f>
        <v>1552380213388283</v>
      </c>
      <c r="C3327" t="s">
        <v>40</v>
      </c>
      <c r="D3327">
        <v>4.575742</v>
      </c>
      <c r="E3327">
        <v>0.54187569999999996</v>
      </c>
      <c r="F3327" t="s">
        <v>41</v>
      </c>
      <c r="G3327">
        <v>-227.38480000000001</v>
      </c>
      <c r="H3327">
        <v>1.054449</v>
      </c>
      <c r="I3327">
        <v>140.78229999999999</v>
      </c>
      <c r="J3327">
        <v>-226.91759999999999</v>
      </c>
      <c r="K3327">
        <v>1.109809</v>
      </c>
      <c r="L3327">
        <v>140.70240000000001</v>
      </c>
      <c r="M3327">
        <v>-0.9996157</v>
      </c>
      <c r="N3327">
        <v>0</v>
      </c>
      <c r="O3327">
        <v>2.680805E-2</v>
      </c>
      <c r="P3327">
        <v>-0.98576609999999998</v>
      </c>
      <c r="Q3327">
        <v>0.16659689999999999</v>
      </c>
      <c r="R3327">
        <v>2.261028E-2</v>
      </c>
      <c r="S3327">
        <v>-3.0746310000000001</v>
      </c>
      <c r="T3327">
        <v>-0.22621669999999999</v>
      </c>
      <c r="U3327">
        <v>0.35704039999999998</v>
      </c>
      <c r="V3327">
        <v>-3.8885769999999998E-3</v>
      </c>
      <c r="W3327">
        <v>0.17356440000000001</v>
      </c>
      <c r="X3327">
        <v>0.98481479999999999</v>
      </c>
      <c r="Y3327">
        <v>8.8513830000000002E-2</v>
      </c>
      <c r="Z3327">
        <v>1.2786830000000001E-3</v>
      </c>
      <c r="AA3327">
        <v>0.99607409999999996</v>
      </c>
      <c r="AB3327">
        <v>31</v>
      </c>
      <c r="AC3327">
        <v>-0.46720000000001899</v>
      </c>
      <c r="AD3327">
        <v>-5.5359999999999999E-2</v>
      </c>
      <c r="AE3327">
        <v>7.9899999999980695E-2</v>
      </c>
      <c r="AF3327">
        <v>6.6439900325284504E-2</v>
      </c>
      <c r="AG3327">
        <v>-5.5359999999999999E-2</v>
      </c>
      <c r="AH3327">
        <v>0.462859926164638</v>
      </c>
      <c r="AI3327">
        <v>96.751862163119995</v>
      </c>
      <c r="AJ3327">
        <v>81.831439328185994</v>
      </c>
      <c r="AK3327">
        <v>0.47086972848588199</v>
      </c>
      <c r="AL3327">
        <v>80.004873676665198</v>
      </c>
      <c r="AM3327">
        <v>90.2262332903002</v>
      </c>
      <c r="AN3327">
        <v>0.99999995613874104</v>
      </c>
    </row>
    <row r="3328" spans="1:40" x14ac:dyDescent="0.25">
      <c r="A3328" t="str">
        <f>"20190312164333423"</f>
        <v>20190312164333423</v>
      </c>
      <c r="B3328" t="str">
        <f>"1552380213418539"</f>
        <v>1552380213418539</v>
      </c>
      <c r="C3328" t="s">
        <v>40</v>
      </c>
      <c r="D3328">
        <v>4.8723150000000004</v>
      </c>
      <c r="E3328">
        <v>0.54104359999999996</v>
      </c>
      <c r="F3328" t="s">
        <v>41</v>
      </c>
      <c r="G3328">
        <v>-227.67359999999999</v>
      </c>
      <c r="H3328">
        <v>1.057968</v>
      </c>
      <c r="I3328">
        <v>140.79249999999999</v>
      </c>
      <c r="J3328">
        <v>-227.22329999999999</v>
      </c>
      <c r="K3328">
        <v>1.10985</v>
      </c>
      <c r="L3328">
        <v>140.71029999999999</v>
      </c>
      <c r="M3328">
        <v>-0.99962530000000005</v>
      </c>
      <c r="N3328">
        <v>0</v>
      </c>
      <c r="O3328">
        <v>2.6460919999999999E-2</v>
      </c>
      <c r="P3328">
        <v>-0.98595840000000001</v>
      </c>
      <c r="Q3328">
        <v>0.1651541</v>
      </c>
      <c r="R3328">
        <v>2.470402E-2</v>
      </c>
      <c r="S3328">
        <v>-3.070557</v>
      </c>
      <c r="T3328">
        <v>-0.21069969999999999</v>
      </c>
      <c r="U3328">
        <v>0.36561579999999999</v>
      </c>
      <c r="V3328">
        <v>-1.4822780000000001E-3</v>
      </c>
      <c r="W3328">
        <v>0.17207700000000001</v>
      </c>
      <c r="X3328">
        <v>0.98508240000000002</v>
      </c>
      <c r="Y3328">
        <v>9.1767630000000003E-2</v>
      </c>
      <c r="Z3328">
        <v>1.3273740000000001E-3</v>
      </c>
      <c r="AA3328">
        <v>0.99577959999999999</v>
      </c>
      <c r="AB3328">
        <v>31</v>
      </c>
      <c r="AC3328">
        <v>-0.45029999999999798</v>
      </c>
      <c r="AD3328">
        <v>-5.18819999999999E-2</v>
      </c>
      <c r="AE3328">
        <v>8.2200000000000203E-2</v>
      </c>
      <c r="AF3328">
        <v>6.9364462930757403E-2</v>
      </c>
      <c r="AG3328">
        <v>-5.18819999999999E-2</v>
      </c>
      <c r="AH3328">
        <v>0.446580350040087</v>
      </c>
      <c r="AI3328">
        <v>96.548866213698105</v>
      </c>
      <c r="AJ3328">
        <v>81.171162574039201</v>
      </c>
      <c r="AK3328">
        <v>0.45490348392114899</v>
      </c>
      <c r="AL3328">
        <v>80.091397895548297</v>
      </c>
      <c r="AM3328">
        <v>90.086214320108695</v>
      </c>
      <c r="AN3328">
        <v>1.0000000129334099</v>
      </c>
    </row>
    <row r="3329" spans="1:40" x14ac:dyDescent="0.25">
      <c r="A3329" t="str">
        <f>"20190312164333444"</f>
        <v>20190312164333444</v>
      </c>
      <c r="B3329" t="str">
        <f>"1552380213438060"</f>
        <v>1552380213438060</v>
      </c>
      <c r="C3329" t="s">
        <v>40</v>
      </c>
      <c r="D3329">
        <v>4.5533890000000001</v>
      </c>
      <c r="E3329">
        <v>0.54072349999999902</v>
      </c>
      <c r="F3329" t="s">
        <v>41</v>
      </c>
      <c r="G3329">
        <v>-228.20679999999999</v>
      </c>
      <c r="H3329">
        <v>1.044889</v>
      </c>
      <c r="I3329">
        <v>140.828</v>
      </c>
      <c r="J3329">
        <v>-227.5257</v>
      </c>
      <c r="K3329">
        <v>1.1098809999999999</v>
      </c>
      <c r="L3329">
        <v>140.71789999999999</v>
      </c>
      <c r="M3329">
        <v>-0.99963590000000002</v>
      </c>
      <c r="N3329">
        <v>0</v>
      </c>
      <c r="O3329">
        <v>2.606903E-2</v>
      </c>
      <c r="P3329">
        <v>-0.98612869999999997</v>
      </c>
      <c r="Q3329">
        <v>0.16381309999999999</v>
      </c>
      <c r="R3329">
        <v>2.675102E-2</v>
      </c>
      <c r="S3329">
        <v>-3.0675050000000001</v>
      </c>
      <c r="T3329">
        <v>-0.2027024</v>
      </c>
      <c r="U3329">
        <v>0.3663788</v>
      </c>
      <c r="V3329">
        <v>9.2593999999999999E-4</v>
      </c>
      <c r="W3329">
        <v>0.1706944</v>
      </c>
      <c r="X3329">
        <v>0.98532359999999997</v>
      </c>
      <c r="Y3329">
        <v>9.252697E-2</v>
      </c>
      <c r="Z3329">
        <v>1.3290699999999999E-3</v>
      </c>
      <c r="AA3329">
        <v>0.99570930000000002</v>
      </c>
      <c r="AB3329">
        <v>31</v>
      </c>
      <c r="AC3329">
        <v>-0.68109999999998605</v>
      </c>
      <c r="AD3329">
        <v>-6.4991999999999897E-2</v>
      </c>
      <c r="AE3329">
        <v>0.110100000000016</v>
      </c>
      <c r="AF3329">
        <v>9.1494654979685494E-2</v>
      </c>
      <c r="AG3329">
        <v>-6.4991999999999897E-2</v>
      </c>
      <c r="AH3329">
        <v>0.67772498569958495</v>
      </c>
      <c r="AI3329">
        <v>95.4288098020115</v>
      </c>
      <c r="AJ3329">
        <v>82.311404281431606</v>
      </c>
      <c r="AK3329">
        <v>0.68695442948957997</v>
      </c>
      <c r="AL3329">
        <v>80.171804777055499</v>
      </c>
      <c r="AM3329">
        <v>89.946157345195402</v>
      </c>
      <c r="AN3329">
        <v>1.0000000161366001</v>
      </c>
    </row>
    <row r="3330" spans="1:40" x14ac:dyDescent="0.25">
      <c r="A3330" t="str">
        <f>"20190312164333467"</f>
        <v>20190312164333467</v>
      </c>
      <c r="B3330" t="str">
        <f>"1552380213458556"</f>
        <v>1552380213458556</v>
      </c>
      <c r="C3330" t="s">
        <v>40</v>
      </c>
      <c r="D3330">
        <v>4.6305180000000004</v>
      </c>
      <c r="E3330">
        <v>0.53960350000000001</v>
      </c>
      <c r="F3330" t="s">
        <v>41</v>
      </c>
      <c r="G3330">
        <v>-228.48740000000001</v>
      </c>
      <c r="H3330">
        <v>1.048754</v>
      </c>
      <c r="I3330">
        <v>140.83439999999999</v>
      </c>
      <c r="J3330">
        <v>-227.84630000000001</v>
      </c>
      <c r="K3330">
        <v>1.10991</v>
      </c>
      <c r="L3330">
        <v>140.7259</v>
      </c>
      <c r="M3330">
        <v>-0.99964790000000003</v>
      </c>
      <c r="N3330">
        <v>0</v>
      </c>
      <c r="O3330">
        <v>2.5614209999999998E-2</v>
      </c>
      <c r="P3330">
        <v>-0.98613609999999896</v>
      </c>
      <c r="Q3330">
        <v>0.16350000000000001</v>
      </c>
      <c r="R3330">
        <v>2.8346240000000002E-2</v>
      </c>
      <c r="S3330">
        <v>-3.0644990000000001</v>
      </c>
      <c r="T3330">
        <v>-0.19485089999999999</v>
      </c>
      <c r="U3330">
        <v>0.37074279999999998</v>
      </c>
      <c r="V3330">
        <v>2.951773E-3</v>
      </c>
      <c r="W3330">
        <v>0.17033779999999901</v>
      </c>
      <c r="X3330">
        <v>0.98538130000000002</v>
      </c>
      <c r="Y3330">
        <v>9.4498349999999995E-2</v>
      </c>
      <c r="Z3330">
        <v>1.369976E-3</v>
      </c>
      <c r="AA3330">
        <v>0.99552399999999996</v>
      </c>
      <c r="AB3330">
        <v>31</v>
      </c>
      <c r="AC3330">
        <v>-0.64109999999999401</v>
      </c>
      <c r="AD3330">
        <v>-6.1155999999999697E-2</v>
      </c>
      <c r="AE3330">
        <v>0.10849999999999201</v>
      </c>
      <c r="AF3330">
        <v>9.1235636801913905E-2</v>
      </c>
      <c r="AG3330">
        <v>-6.1155999999999697E-2</v>
      </c>
      <c r="AH3330">
        <v>0.63802469002040496</v>
      </c>
      <c r="AI3330">
        <v>95.420388463268495</v>
      </c>
      <c r="AJ3330">
        <v>81.862043062194005</v>
      </c>
      <c r="AK3330">
        <v>0.64740984147160097</v>
      </c>
      <c r="AL3330">
        <v>80.192539891417098</v>
      </c>
      <c r="AM3330">
        <v>89.828367324293396</v>
      </c>
      <c r="AN3330">
        <v>0.999999992731186</v>
      </c>
    </row>
    <row r="3331" spans="1:40" x14ac:dyDescent="0.25">
      <c r="A3331" t="str">
        <f>"20190312164333491"</f>
        <v>20190312164333491</v>
      </c>
      <c r="B3331" t="str">
        <f>"1552380213478079"</f>
        <v>1552380213478079</v>
      </c>
      <c r="C3331" t="s">
        <v>40</v>
      </c>
      <c r="D3331">
        <v>4.7888019999999996</v>
      </c>
      <c r="E3331">
        <v>0.53914240000000002</v>
      </c>
      <c r="F3331" t="s">
        <v>41</v>
      </c>
      <c r="G3331">
        <v>-228.76609999999999</v>
      </c>
      <c r="H3331">
        <v>1.0484469999999999</v>
      </c>
      <c r="I3331">
        <v>140.83580000000001</v>
      </c>
      <c r="J3331">
        <v>-228.17670000000001</v>
      </c>
      <c r="K3331">
        <v>1.109942</v>
      </c>
      <c r="L3331">
        <v>140.73390000000001</v>
      </c>
      <c r="M3331">
        <v>-0.99966120000000003</v>
      </c>
      <c r="N3331">
        <v>0</v>
      </c>
      <c r="O3331">
        <v>2.5105470000000001E-2</v>
      </c>
      <c r="P3331">
        <v>-0.98606590000000005</v>
      </c>
      <c r="Q3331">
        <v>0.1635567</v>
      </c>
      <c r="R3331">
        <v>3.0385229999999999E-2</v>
      </c>
      <c r="S3331">
        <v>-3.0656430000000001</v>
      </c>
      <c r="T3331">
        <v>-0.20495150000000001</v>
      </c>
      <c r="U3331">
        <v>0.36557010000000001</v>
      </c>
      <c r="V3331">
        <v>5.4784489999999998E-3</v>
      </c>
      <c r="W3331">
        <v>0.1703462</v>
      </c>
      <c r="X3331">
        <v>0.98536900000000005</v>
      </c>
      <c r="Y3331">
        <v>9.3291799999999994E-2</v>
      </c>
      <c r="Z3331">
        <v>1.434119E-3</v>
      </c>
      <c r="AA3331">
        <v>0.99563780000000002</v>
      </c>
      <c r="AB3331">
        <v>31</v>
      </c>
      <c r="AC3331">
        <v>-0.58939999999998305</v>
      </c>
      <c r="AD3331">
        <v>-6.1495000000000001E-2</v>
      </c>
      <c r="AE3331">
        <v>0.1019</v>
      </c>
      <c r="AF3331">
        <v>8.6159673148872795E-2</v>
      </c>
      <c r="AG3331">
        <v>-6.1495000000000001E-2</v>
      </c>
      <c r="AH3331">
        <v>0.58558300573105104</v>
      </c>
      <c r="AI3331">
        <v>95.931544461265702</v>
      </c>
      <c r="AJ3331">
        <v>81.629849615835795</v>
      </c>
      <c r="AK3331">
        <v>0.59507359284640804</v>
      </c>
      <c r="AL3331">
        <v>80.1920510820609</v>
      </c>
      <c r="AM3331">
        <v>89.681450530952006</v>
      </c>
      <c r="AN3331">
        <v>0.99999995370944095</v>
      </c>
    </row>
    <row r="3332" spans="1:40" x14ac:dyDescent="0.25">
      <c r="A3332" t="str">
        <f>"20190312164333512"</f>
        <v>20190312164333512</v>
      </c>
      <c r="B3332" t="str">
        <f>"1552380213508331"</f>
        <v>1552380213508331</v>
      </c>
      <c r="C3332" t="s">
        <v>40</v>
      </c>
      <c r="D3332">
        <v>4.538951</v>
      </c>
      <c r="E3332">
        <v>0.53837179999999996</v>
      </c>
      <c r="F3332" t="s">
        <v>41</v>
      </c>
      <c r="G3332">
        <v>-229.04900000000001</v>
      </c>
      <c r="H3332">
        <v>1.051904</v>
      </c>
      <c r="I3332">
        <v>140.83869999999999</v>
      </c>
      <c r="J3332">
        <v>-228.47020000000001</v>
      </c>
      <c r="K3332">
        <v>1.1099730000000001</v>
      </c>
      <c r="L3332">
        <v>140.74090000000001</v>
      </c>
      <c r="M3332">
        <v>-0.99967349999999999</v>
      </c>
      <c r="N3332">
        <v>0</v>
      </c>
      <c r="O3332">
        <v>2.4619780000000001E-2</v>
      </c>
      <c r="P3332">
        <v>-0.98583540000000003</v>
      </c>
      <c r="Q3332">
        <v>0.1644572</v>
      </c>
      <c r="R3332">
        <v>3.2898940000000002E-2</v>
      </c>
      <c r="S3332">
        <v>-3.0649259999999998</v>
      </c>
      <c r="T3332">
        <v>-0.2040274</v>
      </c>
      <c r="U3332">
        <v>0.36763000000000001</v>
      </c>
      <c r="V3332">
        <v>8.4628949999999998E-3</v>
      </c>
      <c r="W3332">
        <v>0.17119949999999901</v>
      </c>
      <c r="X3332">
        <v>0.98519999999999996</v>
      </c>
      <c r="Y3332">
        <v>9.4460269999999999E-2</v>
      </c>
      <c r="Z3332">
        <v>1.4988060000000001E-3</v>
      </c>
      <c r="AA3332">
        <v>0.99552750000000001</v>
      </c>
      <c r="AB3332">
        <v>31</v>
      </c>
      <c r="AC3332">
        <v>-0.57880000000000098</v>
      </c>
      <c r="AD3332">
        <v>-5.8068999999999697E-2</v>
      </c>
      <c r="AE3332">
        <v>9.7799999999978099E-2</v>
      </c>
      <c r="AF3332">
        <v>8.2710684427833595E-2</v>
      </c>
      <c r="AG3332">
        <v>-5.8068999999999697E-2</v>
      </c>
      <c r="AH3332">
        <v>0.57540153341503797</v>
      </c>
      <c r="AI3332">
        <v>95.704486766443196</v>
      </c>
      <c r="AJ3332">
        <v>81.820090697763902</v>
      </c>
      <c r="AK3332">
        <v>0.58420885883038298</v>
      </c>
      <c r="AL3332">
        <v>80.142431811182504</v>
      </c>
      <c r="AM3332">
        <v>89.507839788785205</v>
      </c>
      <c r="AN3332">
        <v>0.99999996469601404</v>
      </c>
    </row>
    <row r="3333" spans="1:40" x14ac:dyDescent="0.25">
      <c r="A3333" t="str">
        <f>"20190312164333535"</f>
        <v>20190312164333535</v>
      </c>
      <c r="B3333" t="str">
        <f>"1552380213527852"</f>
        <v>1552380213527852</v>
      </c>
      <c r="C3333" t="s">
        <v>40</v>
      </c>
      <c r="D3333">
        <v>4.8083999999999998</v>
      </c>
      <c r="E3333">
        <v>0.53785629999999995</v>
      </c>
      <c r="F3333" t="s">
        <v>41</v>
      </c>
      <c r="G3333">
        <v>-229.333</v>
      </c>
      <c r="H3333">
        <v>1.055598</v>
      </c>
      <c r="I3333">
        <v>140.8451</v>
      </c>
      <c r="J3333">
        <v>-228.79220000000001</v>
      </c>
      <c r="K3333">
        <v>1.1100030000000001</v>
      </c>
      <c r="L3333">
        <v>140.7483</v>
      </c>
      <c r="M3333">
        <v>-0.99968789999999996</v>
      </c>
      <c r="N3333">
        <v>0</v>
      </c>
      <c r="O3333">
        <v>2.4049979999999999E-2</v>
      </c>
      <c r="P3333">
        <v>-0.98560150000000002</v>
      </c>
      <c r="Q3333">
        <v>0.16527849999999999</v>
      </c>
      <c r="R3333">
        <v>3.5679870000000002E-2</v>
      </c>
      <c r="S3333">
        <v>-3.0630039999999998</v>
      </c>
      <c r="T3333">
        <v>-0.1931512</v>
      </c>
      <c r="U3333">
        <v>0.36933899999999997</v>
      </c>
      <c r="V3333">
        <v>1.1795450000000001E-2</v>
      </c>
      <c r="W3333">
        <v>0.17196610000000001</v>
      </c>
      <c r="X3333">
        <v>0.98503229999999997</v>
      </c>
      <c r="Y3333">
        <v>9.5661189999999993E-2</v>
      </c>
      <c r="Z3333">
        <v>1.4933329999999999E-3</v>
      </c>
      <c r="AA3333">
        <v>0.99541279999999999</v>
      </c>
      <c r="AB3333">
        <v>31</v>
      </c>
      <c r="AC3333">
        <v>-0.54079999999998996</v>
      </c>
      <c r="AD3333">
        <v>-5.4405000000000002E-2</v>
      </c>
      <c r="AE3333">
        <v>9.6800000000001704E-2</v>
      </c>
      <c r="AF3333">
        <v>8.2952015619634306E-2</v>
      </c>
      <c r="AG3333">
        <v>-5.4405000000000002E-2</v>
      </c>
      <c r="AH3333">
        <v>0.53769878930619597</v>
      </c>
      <c r="AI3333">
        <v>95.710491347442996</v>
      </c>
      <c r="AJ3333">
        <v>81.229988816442599</v>
      </c>
      <c r="AK3333">
        <v>0.546773196985468</v>
      </c>
      <c r="AL3333">
        <v>80.097848542064497</v>
      </c>
      <c r="AM3333">
        <v>89.313933967288904</v>
      </c>
      <c r="AN3333">
        <v>1.0000000521165999</v>
      </c>
    </row>
    <row r="3334" spans="1:40" x14ac:dyDescent="0.25">
      <c r="A3334" t="str">
        <f>"20190312164333558"</f>
        <v>20190312164333558</v>
      </c>
      <c r="B3334" t="str">
        <f>"1552380213548348"</f>
        <v>1552380213548348</v>
      </c>
      <c r="C3334" t="s">
        <v>40</v>
      </c>
      <c r="D3334">
        <v>4.7159459999999997</v>
      </c>
      <c r="E3334">
        <v>0.53738450000000004</v>
      </c>
      <c r="F3334" t="s">
        <v>42</v>
      </c>
      <c r="G3334">
        <v>-246.9555</v>
      </c>
      <c r="H3334" s="1">
        <v>-2.1804279999999998E-6</v>
      </c>
      <c r="I3334">
        <v>142.96879999999999</v>
      </c>
      <c r="J3334">
        <v>-229.1182</v>
      </c>
      <c r="K3334">
        <v>1.1100270000000001</v>
      </c>
      <c r="L3334">
        <v>140.75559999999999</v>
      </c>
      <c r="M3334">
        <v>-0.9997028</v>
      </c>
      <c r="N3334">
        <v>0</v>
      </c>
      <c r="O3334">
        <v>2.343541E-2</v>
      </c>
      <c r="P3334">
        <v>-0.98543579999999997</v>
      </c>
      <c r="Q3334">
        <v>0.16554829999999901</v>
      </c>
      <c r="R3334">
        <v>3.8858509999999999E-2</v>
      </c>
      <c r="S3334">
        <v>-3.0616460000000001</v>
      </c>
      <c r="T3334">
        <v>-0.1871053</v>
      </c>
      <c r="U3334">
        <v>0.37431340000000002</v>
      </c>
      <c r="V3334">
        <v>1.5567350000000001E-2</v>
      </c>
      <c r="W3334">
        <v>0.17218310000000001</v>
      </c>
      <c r="X3334">
        <v>0.98494199999999998</v>
      </c>
      <c r="Y3334">
        <v>9.7922430000000005E-2</v>
      </c>
      <c r="Z3334">
        <v>1.5533050000000001E-3</v>
      </c>
      <c r="AA3334">
        <v>0.99519279999999999</v>
      </c>
      <c r="AB3334">
        <v>31</v>
      </c>
      <c r="AC3334">
        <v>-17.837299999999999</v>
      </c>
      <c r="AD3334">
        <v>-1.110029180428</v>
      </c>
      <c r="AE3334">
        <v>2.2132000000000001</v>
      </c>
      <c r="AF3334">
        <v>1.7877399015350399</v>
      </c>
      <c r="AG3334">
        <v>-1.110029180428</v>
      </c>
      <c r="AH3334">
        <v>17.816318612972001</v>
      </c>
      <c r="AI3334">
        <v>93.547383832464007</v>
      </c>
      <c r="AJ3334">
        <v>84.269959065203395</v>
      </c>
      <c r="AK3334">
        <v>17.940161305179899</v>
      </c>
      <c r="AL3334">
        <v>80.0852271032918</v>
      </c>
      <c r="AM3334">
        <v>89.094495724111795</v>
      </c>
      <c r="AN3334">
        <v>1.0000000528378099</v>
      </c>
    </row>
    <row r="3335" spans="1:40" x14ac:dyDescent="0.25">
      <c r="A3335" t="str">
        <f>"20190312164333579"</f>
        <v>20190312164333579</v>
      </c>
      <c r="B3335" t="str">
        <f>"1552380213567868"</f>
        <v>1552380213567868</v>
      </c>
      <c r="C3335" t="s">
        <v>40</v>
      </c>
      <c r="D3335">
        <v>4.8683329999999998</v>
      </c>
      <c r="E3335">
        <v>0.53684869999999996</v>
      </c>
      <c r="F3335" t="s">
        <v>42</v>
      </c>
      <c r="G3335">
        <v>-247.64869999999999</v>
      </c>
      <c r="H3335" s="1">
        <v>-1.9055170000000001E-6</v>
      </c>
      <c r="I3335">
        <v>143.0532</v>
      </c>
      <c r="J3335">
        <v>-229.4212</v>
      </c>
      <c r="K3335">
        <v>1.1100490000000001</v>
      </c>
      <c r="L3335">
        <v>140.7621</v>
      </c>
      <c r="M3335">
        <v>-0.99971719999999997</v>
      </c>
      <c r="N3335">
        <v>0</v>
      </c>
      <c r="O3335">
        <v>2.283164E-2</v>
      </c>
      <c r="P3335">
        <v>-0.98545159999999998</v>
      </c>
      <c r="Q3335">
        <v>0.16460569999999999</v>
      </c>
      <c r="R3335">
        <v>4.230664E-2</v>
      </c>
      <c r="S3335">
        <v>-3.060165</v>
      </c>
      <c r="T3335">
        <v>-0.1833129</v>
      </c>
      <c r="U3335">
        <v>0.37944030000000001</v>
      </c>
      <c r="V3335">
        <v>1.959671E-2</v>
      </c>
      <c r="W3335">
        <v>0.17119379999999901</v>
      </c>
      <c r="X3335">
        <v>0.98504250000000004</v>
      </c>
      <c r="Y3335">
        <v>0.1002239</v>
      </c>
      <c r="Z3335">
        <v>1.627033E-3</v>
      </c>
      <c r="AA3335">
        <v>0.99496359999999995</v>
      </c>
      <c r="AB3335">
        <v>32</v>
      </c>
      <c r="AC3335">
        <v>-18.2274999999999</v>
      </c>
      <c r="AD3335">
        <v>-1.110050905517</v>
      </c>
      <c r="AE3335">
        <v>2.2911000000000001</v>
      </c>
      <c r="AF3335">
        <v>1.86751134523233</v>
      </c>
      <c r="AG3335">
        <v>-1.110050905517</v>
      </c>
      <c r="AH3335">
        <v>18.208577709500801</v>
      </c>
      <c r="AI3335">
        <v>93.470449196844697</v>
      </c>
      <c r="AJ3335">
        <v>84.144095669799199</v>
      </c>
      <c r="AK3335">
        <v>18.3377237911454</v>
      </c>
      <c r="AL3335">
        <v>80.142764015660305</v>
      </c>
      <c r="AM3335">
        <v>88.860292138441494</v>
      </c>
      <c r="AN3335">
        <v>1.0000000375037501</v>
      </c>
    </row>
    <row r="3336" spans="1:40" x14ac:dyDescent="0.25">
      <c r="A3336" t="str">
        <f>"20190312164333603"</f>
        <v>20190312164333603</v>
      </c>
      <c r="B3336" t="str">
        <f>"1552380213598124"</f>
        <v>1552380213598124</v>
      </c>
      <c r="C3336" t="s">
        <v>40</v>
      </c>
      <c r="D3336">
        <v>4.7357690000000003</v>
      </c>
      <c r="E3336">
        <v>0.53607700000000003</v>
      </c>
      <c r="F3336" t="s">
        <v>42</v>
      </c>
      <c r="G3336">
        <v>-247.89859999999999</v>
      </c>
      <c r="H3336" s="1">
        <v>-1.8073569999999999E-6</v>
      </c>
      <c r="I3336">
        <v>143.0872</v>
      </c>
      <c r="J3336">
        <v>-229.738</v>
      </c>
      <c r="K3336">
        <v>1.110061</v>
      </c>
      <c r="L3336">
        <v>140.7688</v>
      </c>
      <c r="M3336">
        <v>-0.99973239999999997</v>
      </c>
      <c r="N3336">
        <v>0</v>
      </c>
      <c r="O3336">
        <v>2.217353E-2</v>
      </c>
      <c r="P3336">
        <v>-0.98557130000000004</v>
      </c>
      <c r="Q3336">
        <v>0.1633318</v>
      </c>
      <c r="R3336">
        <v>4.4409110000000002E-2</v>
      </c>
      <c r="S3336">
        <v>-3.0584410000000002</v>
      </c>
      <c r="T3336">
        <v>-0.18373909999999999</v>
      </c>
      <c r="U3336">
        <v>0.3848724</v>
      </c>
      <c r="V3336">
        <v>2.233423E-2</v>
      </c>
      <c r="W3336">
        <v>0.1698712</v>
      </c>
      <c r="X3336">
        <v>0.98521320000000001</v>
      </c>
      <c r="Y3336">
        <v>0.1026807</v>
      </c>
      <c r="Z3336">
        <v>1.744305E-3</v>
      </c>
      <c r="AA3336">
        <v>0.99471279999999995</v>
      </c>
      <c r="AB3336">
        <v>32</v>
      </c>
      <c r="AC3336">
        <v>-18.160599999999899</v>
      </c>
      <c r="AD3336">
        <v>-1.110062807357</v>
      </c>
      <c r="AE3336">
        <v>2.3183999999999898</v>
      </c>
      <c r="AF3336">
        <v>1.90812173021861</v>
      </c>
      <c r="AG3336">
        <v>-1.110062807357</v>
      </c>
      <c r="AH3336">
        <v>18.140851345439401</v>
      </c>
      <c r="AI3336">
        <v>93.482475066143493</v>
      </c>
      <c r="AJ3336">
        <v>83.995497213338098</v>
      </c>
      <c r="AK3336">
        <v>18.274672514464999</v>
      </c>
      <c r="AL3336">
        <v>80.219670014047196</v>
      </c>
      <c r="AM3336">
        <v>88.701359280906004</v>
      </c>
      <c r="AN3336">
        <v>1.00000004593668</v>
      </c>
    </row>
    <row r="3337" spans="1:40" x14ac:dyDescent="0.25">
      <c r="A3337" t="str">
        <f>"20190312164333624"</f>
        <v>20190312164333624</v>
      </c>
      <c r="B3337" t="str">
        <f>"1552380213617644"</f>
        <v>1552380213617644</v>
      </c>
      <c r="C3337" t="s">
        <v>40</v>
      </c>
      <c r="D3337">
        <v>4.5822070000000004</v>
      </c>
      <c r="E3337">
        <v>0.53555050000000004</v>
      </c>
      <c r="F3337" t="s">
        <v>41</v>
      </c>
      <c r="G3337">
        <v>-230.7449</v>
      </c>
      <c r="H3337">
        <v>1.049507</v>
      </c>
      <c r="I3337">
        <v>140.89609999999999</v>
      </c>
      <c r="J3337">
        <v>-230.053</v>
      </c>
      <c r="K3337">
        <v>1.110069</v>
      </c>
      <c r="L3337">
        <v>140.77510000000001</v>
      </c>
      <c r="M3337">
        <v>-0.99974739999999995</v>
      </c>
      <c r="N3337">
        <v>0</v>
      </c>
      <c r="O3337">
        <v>2.1498030000000001E-2</v>
      </c>
      <c r="P3337">
        <v>-0.9856374</v>
      </c>
      <c r="Q3337">
        <v>0.16231489999999901</v>
      </c>
      <c r="R3337">
        <v>4.6612210000000001E-2</v>
      </c>
      <c r="S3337">
        <v>-3.0569760000000001</v>
      </c>
      <c r="T3337">
        <v>-0.1838689</v>
      </c>
      <c r="U3337">
        <v>0.38623049999999998</v>
      </c>
      <c r="V3337">
        <v>2.5193139999999999E-2</v>
      </c>
      <c r="W3337">
        <v>0.16880629999999999</v>
      </c>
      <c r="X3337">
        <v>0.98532719999999896</v>
      </c>
      <c r="Y3337">
        <v>0.1038432</v>
      </c>
      <c r="Z3337">
        <v>1.8215060000000001E-3</v>
      </c>
      <c r="AA3337">
        <v>0.99459200000000003</v>
      </c>
      <c r="AB3337">
        <v>32</v>
      </c>
      <c r="AC3337">
        <v>-0.69190000000000396</v>
      </c>
      <c r="AD3337">
        <v>-6.0561999999999998E-2</v>
      </c>
      <c r="AE3337">
        <v>0.12099999999998</v>
      </c>
      <c r="AF3337">
        <v>0.105314306842425</v>
      </c>
      <c r="AG3337">
        <v>-6.0561999999999998E-2</v>
      </c>
      <c r="AH3337">
        <v>0.68921766631242498</v>
      </c>
      <c r="AI3337">
        <v>94.964390319984901</v>
      </c>
      <c r="AJ3337">
        <v>81.312251148421396</v>
      </c>
      <c r="AK3337">
        <v>0.69984273278133402</v>
      </c>
      <c r="AL3337">
        <v>80.2815776914493</v>
      </c>
      <c r="AM3337">
        <v>88.535363512029704</v>
      </c>
      <c r="AN3337">
        <v>0.99999997614129399</v>
      </c>
    </row>
    <row r="3338" spans="1:40" x14ac:dyDescent="0.25">
      <c r="A3338" t="str">
        <f>"20190312164333645"</f>
        <v>20190312164333645</v>
      </c>
      <c r="B3338" t="str">
        <f>"1552380213638140"</f>
        <v>1552380213638140</v>
      </c>
      <c r="C3338" t="s">
        <v>40</v>
      </c>
      <c r="D3338">
        <v>4.6739319999999998</v>
      </c>
      <c r="E3338">
        <v>0.53503000000000001</v>
      </c>
      <c r="F3338" t="s">
        <v>41</v>
      </c>
      <c r="G3338">
        <v>-231.03200000000001</v>
      </c>
      <c r="H3338">
        <v>1.050907</v>
      </c>
      <c r="I3338">
        <v>140.90020000000001</v>
      </c>
      <c r="J3338">
        <v>-230.37479999999999</v>
      </c>
      <c r="K3338">
        <v>1.1100719999999999</v>
      </c>
      <c r="L3338">
        <v>140.78139999999999</v>
      </c>
      <c r="M3338">
        <v>-0.99976279999999995</v>
      </c>
      <c r="N3338">
        <v>0</v>
      </c>
      <c r="O3338">
        <v>2.0794569999999998E-2</v>
      </c>
      <c r="P3338">
        <v>-0.98549439999999999</v>
      </c>
      <c r="Q3338">
        <v>0.16256789999999999</v>
      </c>
      <c r="R3338">
        <v>4.8711329999999997E-2</v>
      </c>
      <c r="S3338">
        <v>-3.0557099999999999</v>
      </c>
      <c r="T3338">
        <v>-0.1847924</v>
      </c>
      <c r="U3338">
        <v>0.38990780000000003</v>
      </c>
      <c r="V3338">
        <v>2.7981410000000002E-2</v>
      </c>
      <c r="W3338">
        <v>0.16901169999999999</v>
      </c>
      <c r="X3338">
        <v>0.9852168</v>
      </c>
      <c r="Y3338">
        <v>0.1057657</v>
      </c>
      <c r="Z3338">
        <v>1.9313990000000001E-3</v>
      </c>
      <c r="AA3338">
        <v>0.99438919999999997</v>
      </c>
      <c r="AB3338">
        <v>32</v>
      </c>
      <c r="AC3338">
        <v>-0.65720000000001699</v>
      </c>
      <c r="AD3338">
        <v>-5.9164999999999898E-2</v>
      </c>
      <c r="AE3338">
        <v>0.118800000000021</v>
      </c>
      <c r="AF3338">
        <v>0.104289348777088</v>
      </c>
      <c r="AG3338">
        <v>-5.9164999999999898E-2</v>
      </c>
      <c r="AH3338">
        <v>0.65439252827791095</v>
      </c>
      <c r="AI3338">
        <v>95.102145156051094</v>
      </c>
      <c r="AJ3338">
        <v>80.945023353143398</v>
      </c>
      <c r="AK3338">
        <v>0.66528666494925803</v>
      </c>
      <c r="AL3338">
        <v>80.269638092945698</v>
      </c>
      <c r="AM3338">
        <v>88.373164325274999</v>
      </c>
      <c r="AN3338">
        <v>1.00000002852235</v>
      </c>
    </row>
    <row r="3339" spans="1:40" x14ac:dyDescent="0.25">
      <c r="A3339" t="str">
        <f>"20190312164333669"</f>
        <v>20190312164333669</v>
      </c>
      <c r="B3339" t="str">
        <f>"1552380213657663"</f>
        <v>1552380213657663</v>
      </c>
      <c r="C3339" t="s">
        <v>40</v>
      </c>
      <c r="D3339">
        <v>4.5575809999999999</v>
      </c>
      <c r="E3339">
        <v>0.53455929999999996</v>
      </c>
      <c r="F3339" t="s">
        <v>41</v>
      </c>
      <c r="G3339">
        <v>-231.32089999999999</v>
      </c>
      <c r="H3339">
        <v>1.053401</v>
      </c>
      <c r="I3339">
        <v>140.90299999999999</v>
      </c>
      <c r="J3339">
        <v>-230.69730000000001</v>
      </c>
      <c r="K3339">
        <v>1.1100620000000001</v>
      </c>
      <c r="L3339">
        <v>140.78739999999999</v>
      </c>
      <c r="M3339">
        <v>-0.99977760000000004</v>
      </c>
      <c r="N3339">
        <v>0</v>
      </c>
      <c r="O3339">
        <v>2.0082200000000001E-2</v>
      </c>
      <c r="P3339">
        <v>-0.98549180000000003</v>
      </c>
      <c r="Q3339">
        <v>0.16209749999999901</v>
      </c>
      <c r="R3339">
        <v>5.030308E-2</v>
      </c>
      <c r="S3339">
        <v>-3.0549620000000002</v>
      </c>
      <c r="T3339">
        <v>-0.18309829999999999</v>
      </c>
      <c r="U3339">
        <v>0.39224239999999999</v>
      </c>
      <c r="V3339">
        <v>3.027125E-2</v>
      </c>
      <c r="W3339">
        <v>0.16849700000000001</v>
      </c>
      <c r="X3339">
        <v>0.98523720000000004</v>
      </c>
      <c r="Y3339">
        <v>0.1072512</v>
      </c>
      <c r="Z3339">
        <v>2.000843E-3</v>
      </c>
      <c r="AA3339">
        <v>0.9942299</v>
      </c>
      <c r="AB3339">
        <v>32</v>
      </c>
      <c r="AC3339">
        <v>-0.62359999999998195</v>
      </c>
      <c r="AD3339">
        <v>-5.6661000000000003E-2</v>
      </c>
      <c r="AE3339">
        <v>0.11559999999999999</v>
      </c>
      <c r="AF3339">
        <v>0.102237163912257</v>
      </c>
      <c r="AG3339">
        <v>-5.6661000000000003E-2</v>
      </c>
      <c r="AH3339">
        <v>0.62084056509028096</v>
      </c>
      <c r="AI3339">
        <v>95.145727291062101</v>
      </c>
      <c r="AJ3339">
        <v>80.648721542927404</v>
      </c>
      <c r="AK3339">
        <v>0.631748299457498</v>
      </c>
      <c r="AL3339">
        <v>80.299556694946205</v>
      </c>
      <c r="AM3339">
        <v>88.240150287641896</v>
      </c>
      <c r="AN3339">
        <v>0.99999996392470003</v>
      </c>
    </row>
    <row r="3340" spans="1:40" x14ac:dyDescent="0.25">
      <c r="A3340" t="str">
        <f>"20190312164333690"</f>
        <v>20190312164333690</v>
      </c>
      <c r="B3340" t="str">
        <f>"1552380213687916"</f>
        <v>1552380213687916</v>
      </c>
      <c r="C3340" t="s">
        <v>40</v>
      </c>
      <c r="D3340">
        <v>4.3981130000000004</v>
      </c>
      <c r="E3340">
        <v>0.516069</v>
      </c>
      <c r="F3340" t="s">
        <v>41</v>
      </c>
      <c r="G3340">
        <v>-231.60990000000001</v>
      </c>
      <c r="H3340">
        <v>1.055161</v>
      </c>
      <c r="I3340">
        <v>140.905</v>
      </c>
      <c r="J3340">
        <v>-231.01150000000001</v>
      </c>
      <c r="K3340">
        <v>1.110055</v>
      </c>
      <c r="L3340">
        <v>140.79310000000001</v>
      </c>
      <c r="M3340">
        <v>-0.99979180000000001</v>
      </c>
      <c r="N3340">
        <v>0</v>
      </c>
      <c r="O3340">
        <v>1.9384930000000002E-2</v>
      </c>
      <c r="P3340">
        <v>-0.98554819999999999</v>
      </c>
      <c r="Q3340">
        <v>0.161357</v>
      </c>
      <c r="R3340">
        <v>5.1564970000000002E-2</v>
      </c>
      <c r="S3340">
        <v>-3.0543670000000001</v>
      </c>
      <c r="T3340">
        <v>-0.183863</v>
      </c>
      <c r="U3340">
        <v>0.39265440000000001</v>
      </c>
      <c r="V3340">
        <v>3.2217000000000003E-2</v>
      </c>
      <c r="W3340">
        <v>0.16771340000000001</v>
      </c>
      <c r="X3340">
        <v>0.9853092</v>
      </c>
      <c r="Y3340">
        <v>0.1080969</v>
      </c>
      <c r="Z3340">
        <v>2.076615E-3</v>
      </c>
      <c r="AA3340">
        <v>0.99413819999999997</v>
      </c>
      <c r="AB3340">
        <v>32</v>
      </c>
      <c r="AC3340">
        <v>-0.59839999999999705</v>
      </c>
      <c r="AD3340">
        <v>-5.4893999999999998E-2</v>
      </c>
      <c r="AE3340">
        <v>0.11189999999999101</v>
      </c>
      <c r="AF3340">
        <v>9.9470012761789905E-2</v>
      </c>
      <c r="AG3340">
        <v>-5.4893999999999998E-2</v>
      </c>
      <c r="AH3340">
        <v>0.59561388428391904</v>
      </c>
      <c r="AI3340">
        <v>95.194183223866403</v>
      </c>
      <c r="AJ3340">
        <v>80.518862970255796</v>
      </c>
      <c r="AK3340">
        <v>0.60635264807421096</v>
      </c>
      <c r="AL3340">
        <v>80.345101876108302</v>
      </c>
      <c r="AM3340">
        <v>88.127247037395904</v>
      </c>
      <c r="AN3340">
        <v>0.99999996961659898</v>
      </c>
    </row>
    <row r="3341" spans="1:40" x14ac:dyDescent="0.25">
      <c r="A3341" t="str">
        <f>"20190312164333713"</f>
        <v>20190312164333713</v>
      </c>
      <c r="B3341" t="str">
        <f>"1552380213708412"</f>
        <v>1552380213708412</v>
      </c>
      <c r="C3341" t="s">
        <v>40</v>
      </c>
      <c r="D3341">
        <v>4.2964849999999997</v>
      </c>
      <c r="E3341">
        <v>0.5171384</v>
      </c>
      <c r="F3341" t="s">
        <v>41</v>
      </c>
      <c r="G3341">
        <v>-231.88910000000001</v>
      </c>
      <c r="H3341">
        <v>1.040754</v>
      </c>
      <c r="I3341">
        <v>140.8631</v>
      </c>
      <c r="J3341">
        <v>-231.32980000000001</v>
      </c>
      <c r="K3341">
        <v>1.1100589999999999</v>
      </c>
      <c r="L3341">
        <v>140.79859999999999</v>
      </c>
      <c r="M3341">
        <v>-0.99980539999999996</v>
      </c>
      <c r="N3341">
        <v>0</v>
      </c>
      <c r="O3341">
        <v>1.8679390000000001E-2</v>
      </c>
      <c r="P3341">
        <v>-0.98569320000000005</v>
      </c>
      <c r="Q3341">
        <v>0.1601206</v>
      </c>
      <c r="R3341">
        <v>5.2636870000000002E-2</v>
      </c>
      <c r="S3341">
        <v>-3.0709230000000001</v>
      </c>
      <c r="T3341">
        <v>-0.24259890000000001</v>
      </c>
      <c r="U3341">
        <v>0.24453739999999999</v>
      </c>
      <c r="V3341">
        <v>3.3980759999999999E-2</v>
      </c>
      <c r="W3341">
        <v>0.16643469999999999</v>
      </c>
      <c r="X3341">
        <v>0.98546679999999998</v>
      </c>
      <c r="Y3341">
        <v>6.0614199999999903E-2</v>
      </c>
      <c r="Z3341">
        <v>9.1601010000000001E-4</v>
      </c>
      <c r="AA3341">
        <v>0.99816079999999996</v>
      </c>
      <c r="AB3341">
        <v>32</v>
      </c>
      <c r="AC3341">
        <v>-0.55930000000000701</v>
      </c>
      <c r="AD3341">
        <v>-6.93049999999997E-2</v>
      </c>
      <c r="AE3341">
        <v>6.4500000000009494E-2</v>
      </c>
      <c r="AF3341">
        <v>5.3234484918705902E-2</v>
      </c>
      <c r="AG3341">
        <v>-6.93049999999997E-2</v>
      </c>
      <c r="AH3341">
        <v>0.55204210304471102</v>
      </c>
      <c r="AI3341">
        <v>97.122944864951904</v>
      </c>
      <c r="AJ3341">
        <v>84.491888844512502</v>
      </c>
      <c r="AK3341">
        <v>0.55891643109107703</v>
      </c>
      <c r="AL3341">
        <v>80.419410820458396</v>
      </c>
      <c r="AM3341">
        <v>88.025115570336297</v>
      </c>
      <c r="AN3341">
        <v>1.00000000765825</v>
      </c>
    </row>
    <row r="3342" spans="1:40" x14ac:dyDescent="0.25">
      <c r="A3342" t="str">
        <f>"20190312164333736"</f>
        <v>20190312164333736</v>
      </c>
      <c r="B3342" t="str">
        <f>"1552380213727932"</f>
        <v>1552380213727932</v>
      </c>
      <c r="C3342" t="s">
        <v>40</v>
      </c>
      <c r="D3342">
        <v>4.7198289999999998</v>
      </c>
      <c r="E3342">
        <v>0.5186347</v>
      </c>
      <c r="F3342" t="s">
        <v>41</v>
      </c>
      <c r="G3342">
        <v>-232.18100000000001</v>
      </c>
      <c r="H3342">
        <v>1.045569</v>
      </c>
      <c r="I3342">
        <v>140.8698</v>
      </c>
      <c r="J3342">
        <v>-231.67699999999999</v>
      </c>
      <c r="K3342">
        <v>1.11005</v>
      </c>
      <c r="L3342">
        <v>140.80439999999999</v>
      </c>
      <c r="M3342">
        <v>-0.99981980000000004</v>
      </c>
      <c r="N3342">
        <v>0</v>
      </c>
      <c r="O3342">
        <v>1.7911699999999999E-2</v>
      </c>
      <c r="P3342">
        <v>-0.9855931</v>
      </c>
      <c r="Q3342">
        <v>0.16048809999999999</v>
      </c>
      <c r="R3342">
        <v>5.3386490000000002E-2</v>
      </c>
      <c r="S3342">
        <v>-3.0676730000000001</v>
      </c>
      <c r="T3342">
        <v>-0.23252819999999999</v>
      </c>
      <c r="U3342">
        <v>0.25549319999999998</v>
      </c>
      <c r="V3342">
        <v>3.5485959999999997E-2</v>
      </c>
      <c r="W3342">
        <v>0.16675580000000001</v>
      </c>
      <c r="X3342">
        <v>0.9853594</v>
      </c>
      <c r="Y3342">
        <v>6.5000639999999998E-2</v>
      </c>
      <c r="Z3342">
        <v>1.1026059999999999E-3</v>
      </c>
      <c r="AA3342">
        <v>0.99788460000000001</v>
      </c>
      <c r="AB3342">
        <v>32</v>
      </c>
      <c r="AC3342">
        <v>-0.50399999999996203</v>
      </c>
      <c r="AD3342">
        <v>-6.4480999999999997E-2</v>
      </c>
      <c r="AE3342">
        <v>6.5400000000010894E-2</v>
      </c>
      <c r="AF3342">
        <v>5.5468937205977599E-2</v>
      </c>
      <c r="AG3342">
        <v>-6.4480999999999997E-2</v>
      </c>
      <c r="AH3342">
        <v>0.49708884596986302</v>
      </c>
      <c r="AI3342">
        <v>97.345889966617193</v>
      </c>
      <c r="AJ3342">
        <v>83.632843406164596</v>
      </c>
      <c r="AK3342">
        <v>0.504313318427553</v>
      </c>
      <c r="AL3342">
        <v>80.4007518296266</v>
      </c>
      <c r="AM3342">
        <v>87.937486121502502</v>
      </c>
      <c r="AN3342">
        <v>0.99999994867955899</v>
      </c>
    </row>
    <row r="3343" spans="1:40" x14ac:dyDescent="0.25">
      <c r="A3343" t="str">
        <f>"20190312164333760"</f>
        <v>20190312164333760</v>
      </c>
      <c r="B3343" t="str">
        <f>"1552380213748428"</f>
        <v>1552380213748428</v>
      </c>
      <c r="C3343" t="s">
        <v>40</v>
      </c>
      <c r="D3343">
        <v>4.5926689999999999</v>
      </c>
      <c r="E3343">
        <v>0.51747489999999996</v>
      </c>
      <c r="F3343" t="s">
        <v>41</v>
      </c>
      <c r="G3343">
        <v>-232.476</v>
      </c>
      <c r="H3343">
        <v>1.05217</v>
      </c>
      <c r="I3343">
        <v>140.87479999999999</v>
      </c>
      <c r="J3343">
        <v>-232.00729999999999</v>
      </c>
      <c r="K3343">
        <v>1.1100490000000001</v>
      </c>
      <c r="L3343">
        <v>140.80969999999999</v>
      </c>
      <c r="M3343">
        <v>-0.99983279999999997</v>
      </c>
      <c r="N3343">
        <v>0</v>
      </c>
      <c r="O3343">
        <v>1.7184230000000002E-2</v>
      </c>
      <c r="P3343">
        <v>-0.98547669999999998</v>
      </c>
      <c r="Q3343">
        <v>0.1609843</v>
      </c>
      <c r="R3343">
        <v>5.4034649999999997E-2</v>
      </c>
      <c r="S3343">
        <v>-3.0654750000000002</v>
      </c>
      <c r="T3343">
        <v>-0.222218</v>
      </c>
      <c r="U3343">
        <v>0.26910400000000001</v>
      </c>
      <c r="V3343">
        <v>3.6850479999999998E-2</v>
      </c>
      <c r="W3343">
        <v>0.16720760000000001</v>
      </c>
      <c r="X3343">
        <v>0.98523280000000002</v>
      </c>
      <c r="Y3343">
        <v>7.0179499999999895E-2</v>
      </c>
      <c r="Z3343">
        <v>1.2940569999999999E-3</v>
      </c>
      <c r="AA3343">
        <v>0.99753360000000002</v>
      </c>
      <c r="AB3343">
        <v>32</v>
      </c>
      <c r="AC3343">
        <v>-0.468700000000012</v>
      </c>
      <c r="AD3343">
        <v>-5.7879E-2</v>
      </c>
      <c r="AE3343">
        <v>6.5100000000001004E-2</v>
      </c>
      <c r="AF3343">
        <v>5.6195257334244998E-2</v>
      </c>
      <c r="AG3343">
        <v>-5.7879E-2</v>
      </c>
      <c r="AH3343">
        <v>0.46282528702311998</v>
      </c>
      <c r="AI3343">
        <v>97.076725846498903</v>
      </c>
      <c r="AJ3343">
        <v>83.077155713414498</v>
      </c>
      <c r="AK3343">
        <v>0.46980329063970599</v>
      </c>
      <c r="AL3343">
        <v>80.374497521744203</v>
      </c>
      <c r="AM3343">
        <v>87.857975071570394</v>
      </c>
      <c r="AN3343">
        <v>1.00000000478491</v>
      </c>
    </row>
    <row r="3344" spans="1:40" x14ac:dyDescent="0.25">
      <c r="A3344" t="str">
        <f>"20190312164333783"</f>
        <v>20190312164333783</v>
      </c>
      <c r="B3344" t="str">
        <f>"1552380213777709"</f>
        <v>1552380213777709</v>
      </c>
      <c r="C3344" t="s">
        <v>40</v>
      </c>
      <c r="D3344">
        <v>4.3432719999999998</v>
      </c>
      <c r="E3344">
        <v>0.51635010000000003</v>
      </c>
      <c r="F3344" t="s">
        <v>41</v>
      </c>
      <c r="G3344">
        <v>-232.76920000000001</v>
      </c>
      <c r="H3344">
        <v>1.0537339999999999</v>
      </c>
      <c r="I3344">
        <v>140.87440000000001</v>
      </c>
      <c r="J3344">
        <v>-232.3501</v>
      </c>
      <c r="K3344">
        <v>1.1100490000000001</v>
      </c>
      <c r="L3344">
        <v>140.81489999999999</v>
      </c>
      <c r="M3344">
        <v>-0.9998456</v>
      </c>
      <c r="N3344">
        <v>0</v>
      </c>
      <c r="O3344">
        <v>1.64318E-2</v>
      </c>
      <c r="P3344">
        <v>-0.98539449999999995</v>
      </c>
      <c r="Q3344">
        <v>0.16137850000000001</v>
      </c>
      <c r="R3344">
        <v>5.4356219999999997E-2</v>
      </c>
      <c r="S3344">
        <v>-3.0670169999999999</v>
      </c>
      <c r="T3344">
        <v>-0.2268307</v>
      </c>
      <c r="U3344">
        <v>0.25978089999999998</v>
      </c>
      <c r="V3344">
        <v>3.791253E-2</v>
      </c>
      <c r="W3344">
        <v>0.16755639999999999</v>
      </c>
      <c r="X3344">
        <v>0.98513320000000004</v>
      </c>
      <c r="Y3344">
        <v>6.7874959999999998E-2</v>
      </c>
      <c r="Z3344">
        <v>1.290848E-3</v>
      </c>
      <c r="AA3344">
        <v>0.99769300000000005</v>
      </c>
      <c r="AB3344">
        <v>33</v>
      </c>
      <c r="AC3344">
        <v>-0.41910000000001402</v>
      </c>
      <c r="AD3344">
        <v>-5.6315000000000101E-2</v>
      </c>
      <c r="AE3344">
        <v>5.9500000000014097E-2</v>
      </c>
      <c r="AF3344">
        <v>5.1690402158557101E-2</v>
      </c>
      <c r="AG3344">
        <v>-5.6315000000000101E-2</v>
      </c>
      <c r="AH3344">
        <v>0.41271649593590998</v>
      </c>
      <c r="AI3344">
        <v>97.710495677796501</v>
      </c>
      <c r="AJ3344">
        <v>82.861200201949401</v>
      </c>
      <c r="AK3344">
        <v>0.41973584897877098</v>
      </c>
      <c r="AL3344">
        <v>80.3542263835282</v>
      </c>
      <c r="AM3344">
        <v>87.796078231524902</v>
      </c>
      <c r="AN3344">
        <v>0.99999996442709904</v>
      </c>
    </row>
    <row r="3345" spans="1:40" x14ac:dyDescent="0.25">
      <c r="A3345" t="str">
        <f>"20190312164333801"</f>
        <v>20190312164333801</v>
      </c>
      <c r="B3345" t="str">
        <f>"1552380213797988"</f>
        <v>1552380213797988</v>
      </c>
      <c r="C3345" t="s">
        <v>40</v>
      </c>
      <c r="D3345">
        <v>4.3741570000000003</v>
      </c>
      <c r="E3345">
        <v>0.47898770000000002</v>
      </c>
      <c r="F3345" t="s">
        <v>41</v>
      </c>
      <c r="G3345">
        <v>-233.3443</v>
      </c>
      <c r="H3345">
        <v>1.0367930000000001</v>
      </c>
      <c r="I3345">
        <v>140.89619999999999</v>
      </c>
      <c r="J3345">
        <v>-232.6337</v>
      </c>
      <c r="K3345">
        <v>1.1100449999999999</v>
      </c>
      <c r="L3345">
        <v>140.81899999999999</v>
      </c>
      <c r="M3345">
        <v>-0.99985590000000002</v>
      </c>
      <c r="N3345">
        <v>0</v>
      </c>
      <c r="O3345">
        <v>1.5809520000000001E-2</v>
      </c>
      <c r="P3345">
        <v>-0.98542339999999995</v>
      </c>
      <c r="Q3345">
        <v>0.16116559999999999</v>
      </c>
      <c r="R3345">
        <v>5.4465100000000002E-2</v>
      </c>
      <c r="S3345">
        <v>-3.067688</v>
      </c>
      <c r="T3345">
        <v>-0.2261165</v>
      </c>
      <c r="U3345">
        <v>0.25028990000000001</v>
      </c>
      <c r="V3345">
        <v>3.8633389999999997E-2</v>
      </c>
      <c r="W3345">
        <v>0.16730680000000001</v>
      </c>
      <c r="X3345">
        <v>0.98514769999999896</v>
      </c>
      <c r="Y3345">
        <v>6.5417630000000004E-2</v>
      </c>
      <c r="Z3345">
        <v>1.2420899999999999E-3</v>
      </c>
      <c r="AA3345">
        <v>0.9978572</v>
      </c>
      <c r="AB3345">
        <v>33</v>
      </c>
      <c r="AC3345">
        <v>-0.71059999999999901</v>
      </c>
      <c r="AD3345">
        <v>-7.3252000000000095E-2</v>
      </c>
      <c r="AE3345">
        <v>7.7200000000004806E-2</v>
      </c>
      <c r="AF3345">
        <v>6.52703893214331E-2</v>
      </c>
      <c r="AG3345">
        <v>-7.3252000000000095E-2</v>
      </c>
      <c r="AH3345">
        <v>0.70433443277333196</v>
      </c>
      <c r="AI3345">
        <v>95.912362399819997</v>
      </c>
      <c r="AJ3345">
        <v>84.705544199009907</v>
      </c>
      <c r="AK3345">
        <v>0.71113505919501896</v>
      </c>
      <c r="AL3345">
        <v>80.368732986443305</v>
      </c>
      <c r="AM3345">
        <v>87.754248905744404</v>
      </c>
      <c r="AN3345">
        <v>1.0000000474821999</v>
      </c>
    </row>
    <row r="3346" spans="1:40" x14ac:dyDescent="0.25">
      <c r="A3346" t="str">
        <f>"20190312164333824"</f>
        <v>20190312164333824</v>
      </c>
      <c r="B3346" t="str">
        <f>"1552380213818483"</f>
        <v>1552380213818483</v>
      </c>
      <c r="C3346" t="s">
        <v>40</v>
      </c>
      <c r="D3346">
        <v>4.3715349999999997</v>
      </c>
      <c r="E3346">
        <v>0.47947610000000002</v>
      </c>
      <c r="F3346" t="s">
        <v>42</v>
      </c>
      <c r="G3346">
        <v>-253.3657</v>
      </c>
      <c r="H3346" s="1">
        <v>-3.0682129999999998E-6</v>
      </c>
      <c r="I3346">
        <v>140.51750000000001</v>
      </c>
      <c r="J3346">
        <v>-232.96510000000001</v>
      </c>
      <c r="K3346">
        <v>1.1100369999999999</v>
      </c>
      <c r="L3346">
        <v>140.8235</v>
      </c>
      <c r="M3346">
        <v>-0.99986739999999996</v>
      </c>
      <c r="N3346">
        <v>0</v>
      </c>
      <c r="O3346">
        <v>1.508402E-2</v>
      </c>
      <c r="P3346">
        <v>-0.98553139999999995</v>
      </c>
      <c r="Q3346">
        <v>0.16048180000000001</v>
      </c>
      <c r="R3346">
        <v>5.4528519999999997E-2</v>
      </c>
      <c r="S3346">
        <v>-3.0737610000000002</v>
      </c>
      <c r="T3346">
        <v>-0.16457829999999901</v>
      </c>
      <c r="U3346">
        <v>-4.4692990000000002E-2</v>
      </c>
      <c r="V3346">
        <v>3.9409800000000002E-2</v>
      </c>
      <c r="W3346">
        <v>0.1665818</v>
      </c>
      <c r="X3346">
        <v>0.98523970000000005</v>
      </c>
      <c r="Y3346">
        <v>-2.9555749999999999E-2</v>
      </c>
      <c r="Z3346">
        <v>-1.5976810000000001E-3</v>
      </c>
      <c r="AA3346">
        <v>0.99956179999999994</v>
      </c>
      <c r="AB3346">
        <v>33</v>
      </c>
      <c r="AC3346">
        <v>-20.400600000000001</v>
      </c>
      <c r="AD3346">
        <v>-1.1100400682130001</v>
      </c>
      <c r="AE3346">
        <v>-0.30599999999998301</v>
      </c>
      <c r="AF3346">
        <v>-0.61188285549824095</v>
      </c>
      <c r="AG3346">
        <v>-1.1100400682130001</v>
      </c>
      <c r="AH3346">
        <v>20.3334757650745</v>
      </c>
      <c r="AI3346">
        <v>93.123364178058296</v>
      </c>
      <c r="AJ3346">
        <v>91.723646707346404</v>
      </c>
      <c r="AK3346">
        <v>20.372943485681201</v>
      </c>
      <c r="AL3346">
        <v>80.410862705448807</v>
      </c>
      <c r="AM3346">
        <v>87.709377648375593</v>
      </c>
      <c r="AN3346">
        <v>0.99999994744168297</v>
      </c>
    </row>
    <row r="3347" spans="1:40" x14ac:dyDescent="0.25">
      <c r="A3347" t="str">
        <f>"20190312164333847"</f>
        <v>20190312164333847</v>
      </c>
      <c r="B3347" t="str">
        <f>"1552380213838004"</f>
        <v>1552380213838004</v>
      </c>
      <c r="C3347" t="s">
        <v>40</v>
      </c>
      <c r="D3347">
        <v>4.4780259999999998</v>
      </c>
      <c r="E3347">
        <v>0.47980689999999998</v>
      </c>
      <c r="F3347" t="s">
        <v>42</v>
      </c>
      <c r="G3347">
        <v>-254.1995</v>
      </c>
      <c r="H3347" s="1">
        <v>-2.7169979999999999E-6</v>
      </c>
      <c r="I3347">
        <v>140.54179999999999</v>
      </c>
      <c r="J3347">
        <v>-233.304</v>
      </c>
      <c r="K3347">
        <v>1.1100239999999999</v>
      </c>
      <c r="L3347">
        <v>140.828</v>
      </c>
      <c r="M3347">
        <v>-0.99987859999999995</v>
      </c>
      <c r="N3347">
        <v>0</v>
      </c>
      <c r="O3347">
        <v>1.434535E-2</v>
      </c>
      <c r="P3347">
        <v>-0.98554620000000004</v>
      </c>
      <c r="Q3347">
        <v>0.1604594</v>
      </c>
      <c r="R3347">
        <v>5.4332159999999997E-2</v>
      </c>
      <c r="S3347">
        <v>-3.0724490000000002</v>
      </c>
      <c r="T3347">
        <v>-0.16061439999999999</v>
      </c>
      <c r="U3347">
        <v>-4.0756229999999997E-2</v>
      </c>
      <c r="V3347">
        <v>3.9940620000000003E-2</v>
      </c>
      <c r="W3347">
        <v>0.16652169999999999</v>
      </c>
      <c r="X3347">
        <v>0.98522849999999995</v>
      </c>
      <c r="Y3347">
        <v>-2.7549690000000002E-2</v>
      </c>
      <c r="Z3347">
        <v>-1.4689480000000001E-3</v>
      </c>
      <c r="AA3347">
        <v>0.99961940000000005</v>
      </c>
      <c r="AB3347">
        <v>33</v>
      </c>
      <c r="AC3347">
        <v>-20.895499999999998</v>
      </c>
      <c r="AD3347">
        <v>-1.11002671699799</v>
      </c>
      <c r="AE3347">
        <v>-0.286200000000008</v>
      </c>
      <c r="AF3347">
        <v>-0.58428080735606003</v>
      </c>
      <c r="AG3347">
        <v>-1.11002671699799</v>
      </c>
      <c r="AH3347">
        <v>20.830470914333201</v>
      </c>
      <c r="AI3347">
        <v>93.049130004999896</v>
      </c>
      <c r="AJ3347">
        <v>91.606687104026605</v>
      </c>
      <c r="AK3347">
        <v>20.8682069638763</v>
      </c>
      <c r="AL3347">
        <v>80.414355114231896</v>
      </c>
      <c r="AM3347">
        <v>87.678531878935999</v>
      </c>
      <c r="AN3347">
        <v>0.99999996345456099</v>
      </c>
    </row>
    <row r="3348" spans="1:40" x14ac:dyDescent="0.25">
      <c r="A3348" t="str">
        <f>"20190312164333869"</f>
        <v>20190312164333869</v>
      </c>
      <c r="B3348" t="str">
        <f>"1552380213857523"</f>
        <v>1552380213857523</v>
      </c>
      <c r="C3348" t="s">
        <v>40</v>
      </c>
      <c r="D3348">
        <v>4.5657360000000002</v>
      </c>
      <c r="E3348">
        <v>0.48019000000000001</v>
      </c>
      <c r="F3348" t="s">
        <v>42</v>
      </c>
      <c r="G3348">
        <v>-253.83080000000001</v>
      </c>
      <c r="H3348" s="1">
        <v>-2.881918E-6</v>
      </c>
      <c r="I3348">
        <v>140.56729999999999</v>
      </c>
      <c r="J3348">
        <v>-233.6309</v>
      </c>
      <c r="K3348">
        <v>1.1100110000000001</v>
      </c>
      <c r="L3348">
        <v>140.83199999999999</v>
      </c>
      <c r="M3348">
        <v>-0.99988880000000002</v>
      </c>
      <c r="N3348">
        <v>0</v>
      </c>
      <c r="O3348">
        <v>1.364054E-2</v>
      </c>
      <c r="P3348">
        <v>-0.98557030000000001</v>
      </c>
      <c r="Q3348">
        <v>0.16030829999999999</v>
      </c>
      <c r="R3348">
        <v>5.4340079999999999E-2</v>
      </c>
      <c r="S3348">
        <v>-3.0732119999999998</v>
      </c>
      <c r="T3348">
        <v>-0.1661897</v>
      </c>
      <c r="U3348">
        <v>-3.9016719999999998E-2</v>
      </c>
      <c r="V3348">
        <v>4.0643400000000003E-2</v>
      </c>
      <c r="W3348">
        <v>0.16633829999999999</v>
      </c>
      <c r="X3348">
        <v>0.98523079999999996</v>
      </c>
      <c r="Y3348">
        <v>-2.627492E-2</v>
      </c>
      <c r="Z3348">
        <v>-1.446967E-3</v>
      </c>
      <c r="AA3348">
        <v>0.99965369999999998</v>
      </c>
      <c r="AB3348">
        <v>33</v>
      </c>
      <c r="AC3348">
        <v>-20.1999</v>
      </c>
      <c r="AD3348">
        <v>-1.1100138819179901</v>
      </c>
      <c r="AE3348">
        <v>-0.26470000000000399</v>
      </c>
      <c r="AF3348">
        <v>-0.53859183439491098</v>
      </c>
      <c r="AG3348">
        <v>-1.1100138819179901</v>
      </c>
      <c r="AH3348">
        <v>20.1336235805889</v>
      </c>
      <c r="AI3348">
        <v>93.154529765075296</v>
      </c>
      <c r="AJ3348">
        <v>91.532346178376002</v>
      </c>
      <c r="AK3348">
        <v>20.171390890738699</v>
      </c>
      <c r="AL3348">
        <v>80.425012358344105</v>
      </c>
      <c r="AM3348">
        <v>87.637735590018806</v>
      </c>
      <c r="AN3348">
        <v>1.00000002263954</v>
      </c>
    </row>
    <row r="3349" spans="1:40" x14ac:dyDescent="0.25">
      <c r="A3349" t="str">
        <f>"20190312164333893"</f>
        <v>20190312164333893</v>
      </c>
      <c r="B3349" t="str">
        <f>"1552380213888450"</f>
        <v>1552380213888450</v>
      </c>
      <c r="C3349" t="s">
        <v>40</v>
      </c>
      <c r="D3349">
        <v>4.3738619999999999</v>
      </c>
      <c r="E3349">
        <v>0.48067789999999999</v>
      </c>
      <c r="F3349" t="s">
        <v>42</v>
      </c>
      <c r="G3349">
        <v>-254.16399999999999</v>
      </c>
      <c r="H3349" s="1">
        <v>-2.7468129999999998E-6</v>
      </c>
      <c r="I3349">
        <v>140.5967</v>
      </c>
      <c r="J3349">
        <v>-233.97499999999999</v>
      </c>
      <c r="K3349">
        <v>1.1099920000000001</v>
      </c>
      <c r="L3349">
        <v>140.83600000000001</v>
      </c>
      <c r="M3349">
        <v>-0.99989850000000002</v>
      </c>
      <c r="N3349">
        <v>0</v>
      </c>
      <c r="O3349">
        <v>1.2915569999999999E-2</v>
      </c>
      <c r="P3349">
        <v>-0.98565369999999997</v>
      </c>
      <c r="Q3349">
        <v>0.1597973</v>
      </c>
      <c r="R3349">
        <v>5.433255E-2</v>
      </c>
      <c r="S3349">
        <v>-3.0729060000000001</v>
      </c>
      <c r="T3349">
        <v>-0.1661204</v>
      </c>
      <c r="U3349">
        <v>-3.5202030000000002E-2</v>
      </c>
      <c r="V3349">
        <v>4.1352989999999999E-2</v>
      </c>
      <c r="W3349">
        <v>0.16579469999999999</v>
      </c>
      <c r="X3349">
        <v>0.98529290000000003</v>
      </c>
      <c r="Y3349">
        <v>-2.4314510000000001E-2</v>
      </c>
      <c r="Z3349">
        <v>-1.3544080000000001E-3</v>
      </c>
      <c r="AA3349">
        <v>0.99970349999999997</v>
      </c>
      <c r="AB3349">
        <v>33</v>
      </c>
      <c r="AC3349">
        <v>-20.189</v>
      </c>
      <c r="AD3349">
        <v>-1.109994746813</v>
      </c>
      <c r="AE3349">
        <v>-0.239300000000014</v>
      </c>
      <c r="AF3349">
        <v>-0.49853044306229999</v>
      </c>
      <c r="AG3349">
        <v>-1.109994746813</v>
      </c>
      <c r="AH3349">
        <v>20.123404357460501</v>
      </c>
      <c r="AI3349">
        <v>93.156234521724897</v>
      </c>
      <c r="AJ3349">
        <v>91.419136070789904</v>
      </c>
      <c r="AK3349">
        <v>20.160159321654</v>
      </c>
      <c r="AL3349">
        <v>80.456596937437297</v>
      </c>
      <c r="AM3349">
        <v>87.596692252795094</v>
      </c>
      <c r="AN3349">
        <v>1.0000000255602099</v>
      </c>
    </row>
    <row r="3350" spans="1:40" x14ac:dyDescent="0.25">
      <c r="A3350" t="str">
        <f>"20190312164333913"</f>
        <v>20190312164333913</v>
      </c>
      <c r="B3350" t="str">
        <f>"1552380213907969"</f>
        <v>1552380213907969</v>
      </c>
      <c r="C3350" t="s">
        <v>40</v>
      </c>
      <c r="D3350">
        <v>4.4440480000000004</v>
      </c>
      <c r="E3350">
        <v>0.48091650000000002</v>
      </c>
      <c r="F3350" t="s">
        <v>42</v>
      </c>
      <c r="G3350">
        <v>-254.58850000000001</v>
      </c>
      <c r="H3350" s="1">
        <v>-2.5723560000000002E-6</v>
      </c>
      <c r="I3350">
        <v>140.62540000000001</v>
      </c>
      <c r="J3350">
        <v>-234.29060000000001</v>
      </c>
      <c r="K3350">
        <v>1.1099779999999999</v>
      </c>
      <c r="L3350">
        <v>140.83959999999999</v>
      </c>
      <c r="M3350">
        <v>-0.99990670000000004</v>
      </c>
      <c r="N3350">
        <v>0</v>
      </c>
      <c r="O3350">
        <v>1.227571E-2</v>
      </c>
      <c r="P3350">
        <v>-0.98578719999999997</v>
      </c>
      <c r="Q3350">
        <v>0.15912660000000001</v>
      </c>
      <c r="R3350">
        <v>5.3875680000000002E-2</v>
      </c>
      <c r="S3350">
        <v>-3.072235</v>
      </c>
      <c r="T3350">
        <v>-0.1654341</v>
      </c>
      <c r="U3350">
        <v>-3.1387329999999998E-2</v>
      </c>
      <c r="V3350">
        <v>4.153159E-2</v>
      </c>
      <c r="W3350">
        <v>0.16509260000000001</v>
      </c>
      <c r="X3350">
        <v>0.98540320000000003</v>
      </c>
      <c r="Y3350">
        <v>-2.2440149999999999E-2</v>
      </c>
      <c r="Z3350">
        <v>-1.2642650000000001E-3</v>
      </c>
      <c r="AA3350">
        <v>0.99974739999999995</v>
      </c>
      <c r="AB3350">
        <v>33</v>
      </c>
      <c r="AC3350">
        <v>-20.297899999999998</v>
      </c>
      <c r="AD3350">
        <v>-1.1099805723559999</v>
      </c>
      <c r="AE3350">
        <v>-0.21419999999997599</v>
      </c>
      <c r="AF3350">
        <v>-0.46197812294167101</v>
      </c>
      <c r="AG3350">
        <v>-1.1099805723559999</v>
      </c>
      <c r="AH3350">
        <v>20.2332423601407</v>
      </c>
      <c r="AI3350">
        <v>93.139239634822303</v>
      </c>
      <c r="AJ3350">
        <v>91.307986030353604</v>
      </c>
      <c r="AK3350">
        <v>20.268931325091501</v>
      </c>
      <c r="AL3350">
        <v>80.497385718527397</v>
      </c>
      <c r="AM3350">
        <v>87.5865946757838</v>
      </c>
      <c r="AN3350">
        <v>0.99999995305646305</v>
      </c>
    </row>
    <row r="3351" spans="1:40" x14ac:dyDescent="0.25">
      <c r="A3351" t="str">
        <f>"20190312164333939"</f>
        <v>20190312164333939</v>
      </c>
      <c r="B3351" t="str">
        <f>"1552380213928464"</f>
        <v>1552380213928464</v>
      </c>
      <c r="C3351" t="s">
        <v>40</v>
      </c>
      <c r="D3351">
        <v>4.4353910000000001</v>
      </c>
      <c r="E3351">
        <v>0.48100900000000002</v>
      </c>
      <c r="F3351" t="s">
        <v>42</v>
      </c>
      <c r="G3351">
        <v>-254.8537</v>
      </c>
      <c r="H3351" s="1">
        <v>-2.460155E-6</v>
      </c>
      <c r="I3351">
        <v>140.63140000000001</v>
      </c>
      <c r="J3351">
        <v>-234.6609</v>
      </c>
      <c r="K3351">
        <v>1.109945</v>
      </c>
      <c r="L3351">
        <v>140.8434</v>
      </c>
      <c r="M3351">
        <v>-0.99991540000000001</v>
      </c>
      <c r="N3351">
        <v>0</v>
      </c>
      <c r="O3351">
        <v>1.1567239999999999E-2</v>
      </c>
      <c r="P3351">
        <v>-0.98582519999999996</v>
      </c>
      <c r="Q3351">
        <v>0.15910679999999999</v>
      </c>
      <c r="R3351">
        <v>5.3233790000000003E-2</v>
      </c>
      <c r="S3351">
        <v>-3.071701</v>
      </c>
      <c r="T3351">
        <v>-0.16580839999999999</v>
      </c>
      <c r="U3351">
        <v>-3.1082149999999999E-2</v>
      </c>
      <c r="V3351">
        <v>4.1598030000000001E-2</v>
      </c>
      <c r="W3351">
        <v>0.16503809999999999</v>
      </c>
      <c r="X3351">
        <v>0.9854096</v>
      </c>
      <c r="Y3351">
        <v>-2.1636200000000001E-2</v>
      </c>
      <c r="Z3351">
        <v>-1.207446E-3</v>
      </c>
      <c r="AA3351">
        <v>0.99976520000000002</v>
      </c>
      <c r="AB3351">
        <v>33</v>
      </c>
      <c r="AC3351">
        <v>-20.192799999999998</v>
      </c>
      <c r="AD3351">
        <v>-1.1099474601549999</v>
      </c>
      <c r="AE3351">
        <v>-0.211999999999989</v>
      </c>
      <c r="AF3351">
        <v>-0.44422287543157501</v>
      </c>
      <c r="AG3351">
        <v>-1.1099474601549999</v>
      </c>
      <c r="AH3351">
        <v>20.128187602067001</v>
      </c>
      <c r="AI3351">
        <v>93.155551164443594</v>
      </c>
      <c r="AJ3351">
        <v>91.264294893691897</v>
      </c>
      <c r="AK3351">
        <v>20.163661707918202</v>
      </c>
      <c r="AL3351">
        <v>80.500552459842098</v>
      </c>
      <c r="AM3351">
        <v>87.5827540969468</v>
      </c>
      <c r="AN3351">
        <v>1.00000002516182</v>
      </c>
    </row>
    <row r="3352" spans="1:40" x14ac:dyDescent="0.25">
      <c r="A3352" t="str">
        <f>"20190312164333981"</f>
        <v>20190312164333981</v>
      </c>
      <c r="B3352" t="str">
        <f>"1552380213978241"</f>
        <v>1552380213978241</v>
      </c>
      <c r="C3352" t="s">
        <v>40</v>
      </c>
      <c r="D3352">
        <v>4.6411490000000004</v>
      </c>
      <c r="E3352">
        <v>0.48102499999999998</v>
      </c>
      <c r="F3352" t="s">
        <v>42</v>
      </c>
      <c r="G3352">
        <v>-255.4042</v>
      </c>
      <c r="H3352" s="1">
        <v>-2.2227060000000001E-6</v>
      </c>
      <c r="I3352">
        <v>140.62639999999999</v>
      </c>
      <c r="J3352">
        <v>-235.29519999999999</v>
      </c>
      <c r="K3352">
        <v>1.1098730000000001</v>
      </c>
      <c r="L3352">
        <v>140.84960000000001</v>
      </c>
      <c r="M3352">
        <v>-0.99992760000000003</v>
      </c>
      <c r="N3352">
        <v>0</v>
      </c>
      <c r="O3352">
        <v>1.0491459999999999E-2</v>
      </c>
      <c r="P3352">
        <v>-0.98593900000000001</v>
      </c>
      <c r="Q3352">
        <v>0.15868119999999999</v>
      </c>
      <c r="R3352">
        <v>5.2389030000000003E-2</v>
      </c>
      <c r="S3352">
        <v>-3.0713810000000001</v>
      </c>
      <c r="T3352">
        <v>-0.16434589999999999</v>
      </c>
      <c r="U3352">
        <v>-3.2119750000000002E-2</v>
      </c>
      <c r="V3352">
        <v>4.1838699999999902E-2</v>
      </c>
      <c r="W3352">
        <v>0.16455790000000001</v>
      </c>
      <c r="X3352">
        <v>0.98547969999999896</v>
      </c>
      <c r="Y3352">
        <v>-2.0902770000000001E-2</v>
      </c>
      <c r="Z3352">
        <v>-1.119805E-3</v>
      </c>
      <c r="AA3352">
        <v>0.99978089999999997</v>
      </c>
      <c r="AB3352">
        <v>33</v>
      </c>
      <c r="AC3352">
        <v>-20.109000000000002</v>
      </c>
      <c r="AD3352">
        <v>-1.10987522270599</v>
      </c>
      <c r="AE3352">
        <v>-0.22320000000001899</v>
      </c>
      <c r="AF3352">
        <v>-0.43284574802320502</v>
      </c>
      <c r="AG3352">
        <v>-1.10987522270599</v>
      </c>
      <c r="AH3352">
        <v>20.044498203304901</v>
      </c>
      <c r="AI3352">
        <v>93.168526369731097</v>
      </c>
      <c r="AJ3352">
        <v>91.237066674960204</v>
      </c>
      <c r="AK3352">
        <v>20.079867695626199</v>
      </c>
      <c r="AL3352">
        <v>80.528447136639798</v>
      </c>
      <c r="AM3352">
        <v>87.568958318438504</v>
      </c>
      <c r="AN3352">
        <v>1.0000000091910899</v>
      </c>
    </row>
    <row r="3353" spans="1:40" x14ac:dyDescent="0.25">
      <c r="A3353" t="str">
        <f>"20190312164334026"</f>
        <v>20190312164334026</v>
      </c>
      <c r="B3353" t="str">
        <f>"1552380214017853"</f>
        <v>1552380214017853</v>
      </c>
      <c r="C3353" t="s">
        <v>40</v>
      </c>
      <c r="D3353">
        <v>4.4831890000000003</v>
      </c>
      <c r="E3353">
        <v>0.48105049999999999</v>
      </c>
      <c r="F3353" t="s">
        <v>42</v>
      </c>
      <c r="G3353">
        <v>-256.25279999999998</v>
      </c>
      <c r="H3353" s="1">
        <v>-1.854937E-6</v>
      </c>
      <c r="I3353">
        <v>140.61250000000001</v>
      </c>
      <c r="J3353">
        <v>-235.9828</v>
      </c>
      <c r="K3353">
        <v>1.1097900000000001</v>
      </c>
      <c r="L3353">
        <v>140.85579999999999</v>
      </c>
      <c r="M3353">
        <v>-0.99993779999999999</v>
      </c>
      <c r="N3353">
        <v>0</v>
      </c>
      <c r="O3353">
        <v>9.5095500000000003E-3</v>
      </c>
      <c r="P3353">
        <v>-0.98608289999999998</v>
      </c>
      <c r="Q3353">
        <v>0.1578582</v>
      </c>
      <c r="R3353">
        <v>5.2169199999999999E-2</v>
      </c>
      <c r="S3353">
        <v>-3.0708009999999999</v>
      </c>
      <c r="T3353">
        <v>-0.16262360000000001</v>
      </c>
      <c r="U3353">
        <v>-3.4729000000000003E-2</v>
      </c>
      <c r="V3353">
        <v>4.26126E-2</v>
      </c>
      <c r="W3353">
        <v>0.16367970000000001</v>
      </c>
      <c r="X3353">
        <v>0.98559280000000005</v>
      </c>
      <c r="Y3353">
        <v>-2.0774870000000001E-2</v>
      </c>
      <c r="Z3353">
        <v>-1.0529440000000001E-3</v>
      </c>
      <c r="AA3353">
        <v>0.99978359999999999</v>
      </c>
      <c r="AB3353">
        <v>34</v>
      </c>
      <c r="AC3353">
        <v>-20.2699999999999</v>
      </c>
      <c r="AD3353">
        <v>-1.1097918549370001</v>
      </c>
      <c r="AE3353">
        <v>-0.24329999999997601</v>
      </c>
      <c r="AF3353">
        <v>-0.43474783240430098</v>
      </c>
      <c r="AG3353">
        <v>-1.1097918549370001</v>
      </c>
      <c r="AH3353">
        <v>20.206208044205301</v>
      </c>
      <c r="AI3353">
        <v>93.142989462717395</v>
      </c>
      <c r="AJ3353">
        <v>91.232560474007997</v>
      </c>
      <c r="AK3353">
        <v>20.241331160888901</v>
      </c>
      <c r="AL3353">
        <v>80.579456069159804</v>
      </c>
      <c r="AM3353">
        <v>87.524330008713093</v>
      </c>
      <c r="AN3353">
        <v>1.0000000226413399</v>
      </c>
    </row>
    <row r="3354" spans="1:40" x14ac:dyDescent="0.25">
      <c r="A3354" t="str">
        <f>"20190312164334047"</f>
        <v>20190312164334047</v>
      </c>
      <c r="B3354" t="str">
        <f>"1552380214038349"</f>
        <v>1552380214038349</v>
      </c>
      <c r="C3354" t="s">
        <v>40</v>
      </c>
      <c r="D3354">
        <v>4.4725210000000004</v>
      </c>
      <c r="E3354">
        <v>0.4810082</v>
      </c>
      <c r="F3354" t="s">
        <v>42</v>
      </c>
      <c r="G3354">
        <v>-256.77690000000001</v>
      </c>
      <c r="H3354" s="1">
        <v>-1.6286829999999999E-6</v>
      </c>
      <c r="I3354">
        <v>140.60720000000001</v>
      </c>
      <c r="J3354">
        <v>-236.31190000000001</v>
      </c>
      <c r="K3354">
        <v>1.109761</v>
      </c>
      <c r="L3354">
        <v>140.85849999999999</v>
      </c>
      <c r="M3354">
        <v>-0.99994179999999999</v>
      </c>
      <c r="N3354">
        <v>0</v>
      </c>
      <c r="O3354">
        <v>9.0872660000000001E-3</v>
      </c>
      <c r="P3354">
        <v>-0.98609429999999998</v>
      </c>
      <c r="Q3354">
        <v>0.1577866</v>
      </c>
      <c r="R3354">
        <v>5.2171849999999999E-2</v>
      </c>
      <c r="S3354">
        <v>-3.070541</v>
      </c>
      <c r="T3354">
        <v>-0.16387679999999999</v>
      </c>
      <c r="U3354">
        <v>-3.6697390000000003E-2</v>
      </c>
      <c r="V3354">
        <v>4.3040519999999999E-2</v>
      </c>
      <c r="W3354">
        <v>0.16358699999999901</v>
      </c>
      <c r="X3354">
        <v>0.98558959999999995</v>
      </c>
      <c r="Y3354">
        <v>-2.0994059999999998E-2</v>
      </c>
      <c r="Z3354">
        <v>-1.044456E-3</v>
      </c>
      <c r="AA3354">
        <v>0.99977899999999997</v>
      </c>
      <c r="AB3354">
        <v>34</v>
      </c>
      <c r="AC3354">
        <v>-20.465</v>
      </c>
      <c r="AD3354">
        <v>-1.109762628683</v>
      </c>
      <c r="AE3354">
        <v>-0.25129999999998598</v>
      </c>
      <c r="AF3354">
        <v>-0.43598180981907497</v>
      </c>
      <c r="AG3354">
        <v>-1.109762628683</v>
      </c>
      <c r="AH3354">
        <v>20.401886457136101</v>
      </c>
      <c r="AI3354">
        <v>93.112831915749197</v>
      </c>
      <c r="AJ3354">
        <v>91.224206215968096</v>
      </c>
      <c r="AK3354">
        <v>20.436697977911901</v>
      </c>
      <c r="AL3354">
        <v>80.584839990565897</v>
      </c>
      <c r="AM3354">
        <v>87.499492372756094</v>
      </c>
      <c r="AN3354">
        <v>1.0000000262795099</v>
      </c>
    </row>
    <row r="3355" spans="1:40" x14ac:dyDescent="0.25">
      <c r="A3355" t="str">
        <f>"20190312164334072"</f>
        <v>20190312164334072</v>
      </c>
      <c r="B3355" t="str">
        <f>"1552380214067629"</f>
        <v>1552380214067629</v>
      </c>
      <c r="C3355" t="s">
        <v>40</v>
      </c>
      <c r="D3355">
        <v>4.4521189999999997</v>
      </c>
      <c r="E3355">
        <v>0.48075059999999897</v>
      </c>
      <c r="F3355" t="s">
        <v>42</v>
      </c>
      <c r="G3355">
        <v>-257.13350000000003</v>
      </c>
      <c r="H3355" s="1">
        <v>-1.473411E-6</v>
      </c>
      <c r="I3355">
        <v>140.5986</v>
      </c>
      <c r="J3355">
        <v>-236.68389999999999</v>
      </c>
      <c r="K3355">
        <v>1.109739</v>
      </c>
      <c r="L3355">
        <v>140.86150000000001</v>
      </c>
      <c r="M3355">
        <v>-0.99994590000000005</v>
      </c>
      <c r="N3355">
        <v>0</v>
      </c>
      <c r="O3355">
        <v>8.6325229999999996E-3</v>
      </c>
      <c r="P3355">
        <v>-0.98609409999999997</v>
      </c>
      <c r="Q3355">
        <v>0.1577075</v>
      </c>
      <c r="R3355">
        <v>5.240906E-2</v>
      </c>
      <c r="S3355">
        <v>-3.0705110000000002</v>
      </c>
      <c r="T3355">
        <v>-0.16365399999999999</v>
      </c>
      <c r="U3355">
        <v>-3.8314819999999999E-2</v>
      </c>
      <c r="V3355">
        <v>4.3733180000000003E-2</v>
      </c>
      <c r="W3355">
        <v>0.163486299999999</v>
      </c>
      <c r="X3355">
        <v>0.9855758</v>
      </c>
      <c r="Y3355">
        <v>-2.1066729999999999E-2</v>
      </c>
      <c r="Z3355">
        <v>-1.020761E-3</v>
      </c>
      <c r="AA3355">
        <v>0.99977760000000004</v>
      </c>
      <c r="AB3355">
        <v>34</v>
      </c>
      <c r="AC3355">
        <v>-20.4496</v>
      </c>
      <c r="AD3355">
        <v>-1.1097404734109999</v>
      </c>
      <c r="AE3355">
        <v>-0.26290000000000102</v>
      </c>
      <c r="AF3355">
        <v>-0.43813476092884102</v>
      </c>
      <c r="AG3355">
        <v>-1.1097404734109999</v>
      </c>
      <c r="AH3355">
        <v>20.3865417010032</v>
      </c>
      <c r="AI3355">
        <v>93.115100128907301</v>
      </c>
      <c r="AJ3355">
        <v>91.231175410022004</v>
      </c>
      <c r="AK3355">
        <v>20.4214242528234</v>
      </c>
      <c r="AL3355">
        <v>80.590688251226098</v>
      </c>
      <c r="AM3355">
        <v>87.459267972285204</v>
      </c>
      <c r="AN3355">
        <v>1.0000000094331201</v>
      </c>
    </row>
    <row r="3356" spans="1:40" x14ac:dyDescent="0.25">
      <c r="A3356" t="str">
        <f>"20190312164334092"</f>
        <v>20190312164334092</v>
      </c>
      <c r="B3356" t="str">
        <f>"1552380214088125"</f>
        <v>1552380214088125</v>
      </c>
      <c r="C3356" t="s">
        <v>40</v>
      </c>
      <c r="D3356">
        <v>4.4086290000000004</v>
      </c>
      <c r="E3356">
        <v>0.4807961</v>
      </c>
      <c r="F3356" t="s">
        <v>42</v>
      </c>
      <c r="G3356">
        <v>-257.37169999999998</v>
      </c>
      <c r="H3356" s="1">
        <v>-1.3674860000000001E-6</v>
      </c>
      <c r="I3356">
        <v>140.58449999999999</v>
      </c>
      <c r="J3356">
        <v>-236.98650000000001</v>
      </c>
      <c r="K3356">
        <v>1.109721</v>
      </c>
      <c r="L3356">
        <v>140.8638</v>
      </c>
      <c r="M3356">
        <v>-0.99994899999999998</v>
      </c>
      <c r="N3356">
        <v>0</v>
      </c>
      <c r="O3356">
        <v>8.2727149999999999E-3</v>
      </c>
      <c r="P3356">
        <v>-0.9862611</v>
      </c>
      <c r="Q3356">
        <v>0.156666</v>
      </c>
      <c r="R3356">
        <v>5.2391729999999997E-2</v>
      </c>
      <c r="S3356">
        <v>-3.0708310000000001</v>
      </c>
      <c r="T3356">
        <v>-0.1647267</v>
      </c>
      <c r="U3356">
        <v>-4.110718E-2</v>
      </c>
      <c r="V3356">
        <v>4.4074250000000002E-2</v>
      </c>
      <c r="W3356">
        <v>0.16242690000000001</v>
      </c>
      <c r="X3356">
        <v>0.98573580000000005</v>
      </c>
      <c r="Y3356">
        <v>-2.1613830000000001E-2</v>
      </c>
      <c r="Z3356">
        <v>-1.022706E-3</v>
      </c>
      <c r="AA3356">
        <v>0.99976589999999999</v>
      </c>
      <c r="AB3356">
        <v>34</v>
      </c>
      <c r="AC3356">
        <v>-20.385199999999902</v>
      </c>
      <c r="AD3356">
        <v>-1.1097223674859999</v>
      </c>
      <c r="AE3356">
        <v>-0.27930000000000599</v>
      </c>
      <c r="AF3356">
        <v>-0.44661095756704899</v>
      </c>
      <c r="AG3356">
        <v>-1.1097223674859999</v>
      </c>
      <c r="AH3356">
        <v>20.321979773818601</v>
      </c>
      <c r="AI3356">
        <v>93.124893296101405</v>
      </c>
      <c r="AJ3356">
        <v>91.258972049380702</v>
      </c>
      <c r="AK3356">
        <v>20.357156162092199</v>
      </c>
      <c r="AL3356">
        <v>80.652210150829106</v>
      </c>
      <c r="AM3356">
        <v>87.439894426323093</v>
      </c>
      <c r="AN3356">
        <v>1.0000000523791499</v>
      </c>
    </row>
    <row r="3357" spans="1:40" x14ac:dyDescent="0.25">
      <c r="A3357" t="str">
        <f>"20190312164334115"</f>
        <v>20190312164334115</v>
      </c>
      <c r="B3357" t="str">
        <f>"1552380214107645"</f>
        <v>1552380214107645</v>
      </c>
      <c r="C3357" t="s">
        <v>40</v>
      </c>
      <c r="D3357">
        <v>4.4352400000000003</v>
      </c>
      <c r="E3357">
        <v>0.480902</v>
      </c>
      <c r="F3357" t="s">
        <v>42</v>
      </c>
      <c r="G3357">
        <v>-257.27499999999998</v>
      </c>
      <c r="H3357" s="1">
        <v>-1.4120110000000001E-6</v>
      </c>
      <c r="I3357">
        <v>140.5959</v>
      </c>
      <c r="J3357">
        <v>-237.34700000000001</v>
      </c>
      <c r="K3357">
        <v>1.109691</v>
      </c>
      <c r="L3357">
        <v>140.8663</v>
      </c>
      <c r="M3357">
        <v>-0.99995259999999997</v>
      </c>
      <c r="N3357">
        <v>0</v>
      </c>
      <c r="O3357">
        <v>7.8497310000000004E-3</v>
      </c>
      <c r="P3357">
        <v>-0.98637589999999997</v>
      </c>
      <c r="Q3357">
        <v>0.15610639999999901</v>
      </c>
      <c r="R3357">
        <v>5.1901549999999998E-2</v>
      </c>
      <c r="S3357">
        <v>-3.0706180000000001</v>
      </c>
      <c r="T3357">
        <v>-0.1679542</v>
      </c>
      <c r="U3357">
        <v>-4.0527340000000002E-2</v>
      </c>
      <c r="V3357">
        <v>4.4004410000000001E-2</v>
      </c>
      <c r="W3357">
        <v>0.1618434</v>
      </c>
      <c r="X3357">
        <v>0.98583480000000001</v>
      </c>
      <c r="Y3357">
        <v>-2.100293E-2</v>
      </c>
      <c r="Z3357">
        <v>-1.002976E-3</v>
      </c>
      <c r="AA3357">
        <v>0.99977890000000003</v>
      </c>
      <c r="AB3357">
        <v>34</v>
      </c>
      <c r="AC3357">
        <v>-19.927999999999901</v>
      </c>
      <c r="AD3357">
        <v>-1.1096924120110001</v>
      </c>
      <c r="AE3357">
        <v>-0.27039999999999498</v>
      </c>
      <c r="AF3357">
        <v>-0.42550452949405798</v>
      </c>
      <c r="AG3357">
        <v>-1.1096924120110001</v>
      </c>
      <c r="AH3357">
        <v>19.863680865589298</v>
      </c>
      <c r="AI3357">
        <v>93.196795933770204</v>
      </c>
      <c r="AJ3357">
        <v>91.2271585451345</v>
      </c>
      <c r="AK3357">
        <v>19.899203222337199</v>
      </c>
      <c r="AL3357">
        <v>80.686089688331506</v>
      </c>
      <c r="AM3357">
        <v>87.444202126737494</v>
      </c>
      <c r="AN3357">
        <v>0.99999996355702303</v>
      </c>
    </row>
    <row r="3358" spans="1:40" x14ac:dyDescent="0.25">
      <c r="A3358" t="str">
        <f>"20190312164334139"</f>
        <v>20190312164334139</v>
      </c>
      <c r="B3358" t="str">
        <f>"1552380214128141"</f>
        <v>1552380214128141</v>
      </c>
      <c r="C3358" t="s">
        <v>40</v>
      </c>
      <c r="D3358">
        <v>3.8828019999999999</v>
      </c>
      <c r="E3358">
        <v>0.48086319999999999</v>
      </c>
      <c r="F3358" t="s">
        <v>42</v>
      </c>
      <c r="G3358">
        <v>-257.48500000000001</v>
      </c>
      <c r="H3358" s="1">
        <v>-1.3228719999999999E-6</v>
      </c>
      <c r="I3358">
        <v>140.59950000000001</v>
      </c>
      <c r="J3358">
        <v>-237.72450000000001</v>
      </c>
      <c r="K3358">
        <v>1.1096680000000001</v>
      </c>
      <c r="L3358">
        <v>140.8689</v>
      </c>
      <c r="M3358">
        <v>-0.99995610000000001</v>
      </c>
      <c r="N3358">
        <v>0</v>
      </c>
      <c r="O3358">
        <v>7.4086890000000004E-3</v>
      </c>
      <c r="P3358">
        <v>-0.98657819999999996</v>
      </c>
      <c r="Q3358">
        <v>0.15490709999999999</v>
      </c>
      <c r="R3358">
        <v>5.1646310000000001E-2</v>
      </c>
      <c r="S3358">
        <v>-3.0703580000000001</v>
      </c>
      <c r="T3358">
        <v>-0.16919039999999999</v>
      </c>
      <c r="U3358">
        <v>-4.0679930000000003E-2</v>
      </c>
      <c r="V3358">
        <v>4.4186349999999999E-2</v>
      </c>
      <c r="W3358">
        <v>0.1606156</v>
      </c>
      <c r="X3358">
        <v>0.98602749999999995</v>
      </c>
      <c r="Y3358">
        <v>-2.0613380000000001E-2</v>
      </c>
      <c r="Z3358">
        <v>-9.7542270000000001E-4</v>
      </c>
      <c r="AA3358">
        <v>0.99978699999999998</v>
      </c>
      <c r="AB3358">
        <v>34</v>
      </c>
      <c r="AC3358">
        <v>-19.7605</v>
      </c>
      <c r="AD3358">
        <v>-1.109669322872</v>
      </c>
      <c r="AE3358">
        <v>-0.26939999999998998</v>
      </c>
      <c r="AF3358">
        <v>-0.41448757509853801</v>
      </c>
      <c r="AG3358">
        <v>-1.109669322872</v>
      </c>
      <c r="AH3358">
        <v>19.695862586066099</v>
      </c>
      <c r="AI3358">
        <v>93.223935756046899</v>
      </c>
      <c r="AJ3358">
        <v>91.205577250101001</v>
      </c>
      <c r="AK3358">
        <v>19.731451263534399</v>
      </c>
      <c r="AL3358">
        <v>80.757370522813105</v>
      </c>
      <c r="AM3358">
        <v>87.434149933888804</v>
      </c>
      <c r="AN3358">
        <v>1.00000001762296</v>
      </c>
    </row>
    <row r="3359" spans="1:40" x14ac:dyDescent="0.25">
      <c r="A3359" t="str">
        <f>"20190312164334250"</f>
        <v>20190312164334250</v>
      </c>
      <c r="B3359" t="str">
        <f>"1552380214238428"</f>
        <v>1552380214238428</v>
      </c>
      <c r="C3359" t="s">
        <v>40</v>
      </c>
      <c r="D3359">
        <v>4.5269019999999998</v>
      </c>
      <c r="E3359">
        <v>0.48476449999999999</v>
      </c>
      <c r="F3359" t="s">
        <v>42</v>
      </c>
      <c r="G3359">
        <v>-257.25479999999999</v>
      </c>
      <c r="H3359" s="1">
        <v>-1.422961E-6</v>
      </c>
      <c r="I3359">
        <v>140.6044</v>
      </c>
      <c r="J3359">
        <v>-239.45179999999999</v>
      </c>
      <c r="K3359">
        <v>1.1095969999999999</v>
      </c>
      <c r="L3359">
        <v>140.8785</v>
      </c>
      <c r="M3359">
        <v>-0.99997009999999997</v>
      </c>
      <c r="N3359">
        <v>0</v>
      </c>
      <c r="O3359">
        <v>5.379745E-3</v>
      </c>
      <c r="P3359">
        <v>-0.98694470000000001</v>
      </c>
      <c r="Q3359">
        <v>0.15347450000000001</v>
      </c>
      <c r="R3359">
        <v>4.8846149999999998E-2</v>
      </c>
      <c r="S3359">
        <v>-3.0703740000000002</v>
      </c>
      <c r="T3359">
        <v>-0.17445250000000001</v>
      </c>
      <c r="U3359">
        <v>-4.1564940000000002E-2</v>
      </c>
      <c r="V3359">
        <v>4.3391800000000001E-2</v>
      </c>
      <c r="W3359">
        <v>0.1589969</v>
      </c>
      <c r="X3359">
        <v>0.98632509999999995</v>
      </c>
      <c r="Y3359">
        <v>-1.8876210000000001E-2</v>
      </c>
      <c r="Z3359">
        <v>-8.4121039999999895E-4</v>
      </c>
      <c r="AA3359">
        <v>0.99982150000000003</v>
      </c>
      <c r="AB3359">
        <v>35</v>
      </c>
      <c r="AC3359">
        <v>-17.802999999999901</v>
      </c>
      <c r="AD3359">
        <v>-1.1095984229610001</v>
      </c>
      <c r="AE3359">
        <v>-0.27410000000000401</v>
      </c>
      <c r="AF3359">
        <v>-0.36844220335408101</v>
      </c>
      <c r="AG3359">
        <v>-1.1095984229610001</v>
      </c>
      <c r="AH3359">
        <v>17.732400958009901</v>
      </c>
      <c r="AI3359">
        <v>93.579823031894705</v>
      </c>
      <c r="AJ3359">
        <v>91.190315185001495</v>
      </c>
      <c r="AK3359">
        <v>17.7709032424657</v>
      </c>
      <c r="AL3359">
        <v>80.851322784951194</v>
      </c>
      <c r="AM3359">
        <v>87.480987820429505</v>
      </c>
      <c r="AN3359">
        <v>1.00000003270342</v>
      </c>
    </row>
    <row r="3360" spans="1:40" x14ac:dyDescent="0.25">
      <c r="A3360" t="str">
        <f>"20190312164334270"</f>
        <v>20190312164334270</v>
      </c>
      <c r="B3360" t="str">
        <f>"1552380214257949"</f>
        <v>1552380214257949</v>
      </c>
      <c r="C3360" t="s">
        <v>40</v>
      </c>
      <c r="D3360">
        <v>4.3816819999999996</v>
      </c>
      <c r="E3360">
        <v>0.48975570000000002</v>
      </c>
      <c r="F3360" t="s">
        <v>41</v>
      </c>
      <c r="G3360">
        <v>-240.2997</v>
      </c>
      <c r="H3360">
        <v>0.90098040000000001</v>
      </c>
      <c r="I3360">
        <v>140.86240000000001</v>
      </c>
      <c r="J3360">
        <v>-239.77629999999999</v>
      </c>
      <c r="K3360">
        <v>1.1095950000000001</v>
      </c>
      <c r="L3360">
        <v>140.87989999999999</v>
      </c>
      <c r="M3360">
        <v>-0.99997239999999998</v>
      </c>
      <c r="N3360">
        <v>0</v>
      </c>
      <c r="O3360">
        <v>4.9981670000000004E-3</v>
      </c>
      <c r="P3360">
        <v>-0.98685990000000001</v>
      </c>
      <c r="Q3360">
        <v>0.15414140000000001</v>
      </c>
      <c r="R3360">
        <v>4.8459629999999997E-2</v>
      </c>
      <c r="S3360">
        <v>-3.1637879999999998</v>
      </c>
      <c r="T3360">
        <v>-0.77852569999999999</v>
      </c>
      <c r="U3360">
        <v>-6.0928339999999998E-2</v>
      </c>
      <c r="V3360">
        <v>4.3381500000000003E-2</v>
      </c>
      <c r="W3360">
        <v>0.15962290000000001</v>
      </c>
      <c r="X3360">
        <v>0.9862244</v>
      </c>
      <c r="Y3360">
        <v>-2.3404540000000001E-2</v>
      </c>
      <c r="Z3360">
        <v>-4.0488159999999898E-3</v>
      </c>
      <c r="AA3360">
        <v>0.99971790000000005</v>
      </c>
      <c r="AB3360">
        <v>35</v>
      </c>
      <c r="AC3360">
        <v>-0.52340000000000897</v>
      </c>
      <c r="AD3360">
        <v>-0.20861460000000001</v>
      </c>
      <c r="AE3360">
        <v>-1.7499999999984001E-2</v>
      </c>
      <c r="AF3360">
        <v>-1.7360935995823199E-2</v>
      </c>
      <c r="AG3360">
        <v>-0.20861460000000001</v>
      </c>
      <c r="AH3360">
        <v>0.45163772036777</v>
      </c>
      <c r="AI3360">
        <v>114.776444123065</v>
      </c>
      <c r="AJ3360">
        <v>92.201363643644797</v>
      </c>
      <c r="AK3360">
        <v>0.497793213986297</v>
      </c>
      <c r="AL3360">
        <v>80.814991288176103</v>
      </c>
      <c r="AM3360">
        <v>87.4813281779238</v>
      </c>
      <c r="AN3360">
        <v>0.99999999595100997</v>
      </c>
    </row>
    <row r="3361" spans="1:40" x14ac:dyDescent="0.25">
      <c r="A3361" t="str">
        <f>"20190312164334293"</f>
        <v>20190312164334293</v>
      </c>
      <c r="B3361" t="str">
        <f>"1552380214288205"</f>
        <v>1552380214288205</v>
      </c>
      <c r="C3361" t="s">
        <v>40</v>
      </c>
      <c r="D3361">
        <v>4.3504529999999999</v>
      </c>
      <c r="E3361">
        <v>0.4878053</v>
      </c>
      <c r="F3361" t="s">
        <v>42</v>
      </c>
      <c r="G3361">
        <v>-269.9855</v>
      </c>
      <c r="H3361" s="1">
        <v>-4.5457899999999999E-6</v>
      </c>
      <c r="I3361">
        <v>141.10929999999999</v>
      </c>
      <c r="J3361">
        <v>-240.143</v>
      </c>
      <c r="K3361">
        <v>1.109583</v>
      </c>
      <c r="L3361">
        <v>140.88140000000001</v>
      </c>
      <c r="M3361">
        <v>-0.99997449999999999</v>
      </c>
      <c r="N3361">
        <v>0</v>
      </c>
      <c r="O3361">
        <v>4.5679630000000004E-3</v>
      </c>
      <c r="P3361">
        <v>-0.9868188</v>
      </c>
      <c r="Q3361">
        <v>0.1546227</v>
      </c>
      <c r="R3361">
        <v>4.7753240000000002E-2</v>
      </c>
      <c r="S3361">
        <v>-3.0563349999999998</v>
      </c>
      <c r="T3361">
        <v>-0.11226079999999999</v>
      </c>
      <c r="U3361">
        <v>2.3208619999999999E-2</v>
      </c>
      <c r="V3361">
        <v>4.3098949999999997E-2</v>
      </c>
      <c r="W3361">
        <v>0.16005739999999999</v>
      </c>
      <c r="X3361">
        <v>0.9861664</v>
      </c>
      <c r="Y3361">
        <v>3.0264519999999998E-3</v>
      </c>
      <c r="Z3361">
        <v>-1.1216400000000001E-4</v>
      </c>
      <c r="AA3361">
        <v>0.99999539999999998</v>
      </c>
      <c r="AB3361">
        <v>35</v>
      </c>
      <c r="AC3361">
        <v>-29.842500000000001</v>
      </c>
      <c r="AD3361">
        <v>-1.10958754579</v>
      </c>
      <c r="AE3361">
        <v>0.22789999999997601</v>
      </c>
      <c r="AF3361">
        <v>9.1449714219607001E-2</v>
      </c>
      <c r="AG3361">
        <v>-1.10958754579</v>
      </c>
      <c r="AH3361">
        <v>29.802031962026799</v>
      </c>
      <c r="AI3361">
        <v>92.1322382598659</v>
      </c>
      <c r="AJ3361">
        <v>89.824184262892999</v>
      </c>
      <c r="AK3361">
        <v>29.822821071080298</v>
      </c>
      <c r="AL3361">
        <v>80.789772338306705</v>
      </c>
      <c r="AM3361">
        <v>87.497564751617503</v>
      </c>
      <c r="AN3361">
        <v>1.0000000296374101</v>
      </c>
    </row>
    <row r="3362" spans="1:40" x14ac:dyDescent="0.25">
      <c r="A3362" t="str">
        <f>"20190312164334317"</f>
        <v>20190312164334317</v>
      </c>
      <c r="B3362" t="str">
        <f>"1552380214307725"</f>
        <v>1552380214307725</v>
      </c>
      <c r="C3362" t="s">
        <v>40</v>
      </c>
      <c r="D3362">
        <v>4.3417279999999998</v>
      </c>
      <c r="E3362">
        <v>0.48714039999999997</v>
      </c>
      <c r="F3362" t="s">
        <v>42</v>
      </c>
      <c r="G3362">
        <v>-266.24849999999998</v>
      </c>
      <c r="H3362" s="1">
        <v>-1.9368140000000002E-6</v>
      </c>
      <c r="I3362">
        <v>140.91319999999999</v>
      </c>
      <c r="J3362">
        <v>-240.53110000000001</v>
      </c>
      <c r="K3362">
        <v>1.1095729999999999</v>
      </c>
      <c r="L3362">
        <v>140.8828</v>
      </c>
      <c r="M3362">
        <v>-0.99997689999999995</v>
      </c>
      <c r="N3362">
        <v>0</v>
      </c>
      <c r="O3362">
        <v>4.1130749999999999E-3</v>
      </c>
      <c r="P3362">
        <v>-0.98677389999999998</v>
      </c>
      <c r="Q3362">
        <v>0.15512629999999999</v>
      </c>
      <c r="R3362">
        <v>4.7046709999999999E-2</v>
      </c>
      <c r="S3362">
        <v>-3.0602719999999999</v>
      </c>
      <c r="T3362">
        <v>-0.130074</v>
      </c>
      <c r="U3362">
        <v>3.738403E-3</v>
      </c>
      <c r="V3362">
        <v>4.2840530000000002E-2</v>
      </c>
      <c r="W3362">
        <v>0.16051489999999999</v>
      </c>
      <c r="X3362">
        <v>0.98610330000000002</v>
      </c>
      <c r="Y3362">
        <v>-2.8852330000000001E-3</v>
      </c>
      <c r="Z3362">
        <v>-2.36035E-4</v>
      </c>
      <c r="AA3362">
        <v>0.99999579999999999</v>
      </c>
      <c r="AB3362">
        <v>35</v>
      </c>
      <c r="AC3362">
        <v>-25.717399999999898</v>
      </c>
      <c r="AD3362">
        <v>-1.109574936814</v>
      </c>
      <c r="AE3362">
        <v>3.03999999999859E-2</v>
      </c>
      <c r="AF3362">
        <v>-7.5239344294655397E-2</v>
      </c>
      <c r="AG3362">
        <v>-1.109574936814</v>
      </c>
      <c r="AH3362">
        <v>25.6695241712446</v>
      </c>
      <c r="AI3362">
        <v>92.475080476286195</v>
      </c>
      <c r="AJ3362">
        <v>90.167937843625197</v>
      </c>
      <c r="AK3362">
        <v>25.693604042201699</v>
      </c>
      <c r="AL3362">
        <v>80.763216178641599</v>
      </c>
      <c r="AM3362">
        <v>87.512391404353494</v>
      </c>
      <c r="AN3362">
        <v>1.00000003120179</v>
      </c>
    </row>
    <row r="3363" spans="1:40" x14ac:dyDescent="0.25">
      <c r="A3363" t="str">
        <f>"20190312164334341"</f>
        <v>20190312164334341</v>
      </c>
      <c r="B3363" t="str">
        <f>"1552380214337981"</f>
        <v>1552380214337981</v>
      </c>
      <c r="C3363" t="s">
        <v>40</v>
      </c>
      <c r="D3363">
        <v>4.3447339999999999</v>
      </c>
      <c r="E3363">
        <v>0.4864233</v>
      </c>
      <c r="F3363" t="s">
        <v>42</v>
      </c>
      <c r="G3363">
        <v>-265.43740000000003</v>
      </c>
      <c r="H3363" s="1">
        <v>-2.2668219999999998E-6</v>
      </c>
      <c r="I3363">
        <v>140.8458</v>
      </c>
      <c r="J3363">
        <v>-240.90260000000001</v>
      </c>
      <c r="K3363">
        <v>1.1095759999999999</v>
      </c>
      <c r="L3363">
        <v>140.88390000000001</v>
      </c>
      <c r="M3363">
        <v>-0.99997879999999995</v>
      </c>
      <c r="N3363">
        <v>0</v>
      </c>
      <c r="O3363">
        <v>3.677713E-3</v>
      </c>
      <c r="P3363">
        <v>-0.98674220000000001</v>
      </c>
      <c r="Q3363">
        <v>0.1553137</v>
      </c>
      <c r="R3363">
        <v>4.7091540000000001E-2</v>
      </c>
      <c r="S3363">
        <v>-3.0619049999999999</v>
      </c>
      <c r="T3363">
        <v>-0.1364081</v>
      </c>
      <c r="U3363">
        <v>-4.5318600000000004E-3</v>
      </c>
      <c r="V3363">
        <v>4.3314110000000003E-2</v>
      </c>
      <c r="W3363">
        <v>0.1606641</v>
      </c>
      <c r="X3363">
        <v>0.98605830000000005</v>
      </c>
      <c r="Y3363">
        <v>-5.1490750000000004E-3</v>
      </c>
      <c r="Z3363">
        <v>-2.7840219999999998E-4</v>
      </c>
      <c r="AA3363">
        <v>0.99998670000000001</v>
      </c>
      <c r="AB3363">
        <v>36</v>
      </c>
      <c r="AC3363">
        <v>-24.534800000000001</v>
      </c>
      <c r="AD3363">
        <v>-1.109578266822</v>
      </c>
      <c r="AE3363">
        <v>-3.8100000000014199E-2</v>
      </c>
      <c r="AF3363">
        <v>-0.12807105857036</v>
      </c>
      <c r="AG3363">
        <v>-1.109578266822</v>
      </c>
      <c r="AH3363">
        <v>24.484416803729601</v>
      </c>
      <c r="AI3363">
        <v>92.594704100934194</v>
      </c>
      <c r="AJ3363">
        <v>90.299695282548896</v>
      </c>
      <c r="AK3363">
        <v>24.509880300503301</v>
      </c>
      <c r="AL3363">
        <v>80.754555118324205</v>
      </c>
      <c r="AM3363">
        <v>87.484812660128497</v>
      </c>
      <c r="AN3363">
        <v>1.0000000180763899</v>
      </c>
    </row>
    <row r="3364" spans="1:40" x14ac:dyDescent="0.25">
      <c r="A3364" t="str">
        <f>"20190312164334364"</f>
        <v>20190312164334364</v>
      </c>
      <c r="B3364" t="str">
        <f>"1552380214358477"</f>
        <v>1552380214358477</v>
      </c>
      <c r="C3364" t="s">
        <v>40</v>
      </c>
      <c r="D3364">
        <v>4.3902449999999904</v>
      </c>
      <c r="E3364">
        <v>0.48621989999999998</v>
      </c>
      <c r="F3364" t="s">
        <v>42</v>
      </c>
      <c r="G3364">
        <v>-265.26920000000001</v>
      </c>
      <c r="H3364" s="1">
        <v>-2.3244940000000002E-6</v>
      </c>
      <c r="I3364">
        <v>140.79140000000001</v>
      </c>
      <c r="J3364">
        <v>-241.26159999999999</v>
      </c>
      <c r="K3364">
        <v>1.109575</v>
      </c>
      <c r="L3364">
        <v>140.88489999999999</v>
      </c>
      <c r="M3364">
        <v>-0.99998039999999999</v>
      </c>
      <c r="N3364">
        <v>0</v>
      </c>
      <c r="O3364">
        <v>3.2518619999999999E-3</v>
      </c>
      <c r="P3364">
        <v>-0.9866838</v>
      </c>
      <c r="Q3364">
        <v>0.15587200000000001</v>
      </c>
      <c r="R3364">
        <v>4.6464060000000001E-2</v>
      </c>
      <c r="S3364">
        <v>-3.0628359999999999</v>
      </c>
      <c r="T3364">
        <v>-0.13947190000000001</v>
      </c>
      <c r="U3364">
        <v>-1.1627200000000001E-2</v>
      </c>
      <c r="V3364">
        <v>4.3104650000000001E-2</v>
      </c>
      <c r="W3364">
        <v>0.161186</v>
      </c>
      <c r="X3364">
        <v>0.98598229999999998</v>
      </c>
      <c r="Y3364">
        <v>-7.0373969999999999E-3</v>
      </c>
      <c r="Z3364">
        <v>-3.0815140000000003E-4</v>
      </c>
      <c r="AA3364">
        <v>0.99997519999999995</v>
      </c>
      <c r="AB3364">
        <v>36</v>
      </c>
      <c r="AC3364">
        <v>-24.0076</v>
      </c>
      <c r="AD3364">
        <v>-1.1095773244939999</v>
      </c>
      <c r="AE3364">
        <v>-9.3499999999977407E-2</v>
      </c>
      <c r="AF3364">
        <v>-0.171204324462122</v>
      </c>
      <c r="AG3364">
        <v>-1.1095773244939999</v>
      </c>
      <c r="AH3364">
        <v>23.955997839054099</v>
      </c>
      <c r="AI3364">
        <v>92.651823353140202</v>
      </c>
      <c r="AJ3364">
        <v>90.409463980455698</v>
      </c>
      <c r="AK3364">
        <v>23.9822914923597</v>
      </c>
      <c r="AL3364">
        <v>80.7242575589745</v>
      </c>
      <c r="AM3364">
        <v>87.4967675004374</v>
      </c>
      <c r="AN3364">
        <v>1.0000000166804499</v>
      </c>
    </row>
    <row r="3365" spans="1:40" x14ac:dyDescent="0.25">
      <c r="A3365" t="str">
        <f>"20190312164334385"</f>
        <v>20190312164334385</v>
      </c>
      <c r="B3365" t="str">
        <f>"1552380214377998"</f>
        <v>1552380214377998</v>
      </c>
      <c r="C3365" t="s">
        <v>40</v>
      </c>
      <c r="D3365">
        <v>4.3902659999999996</v>
      </c>
      <c r="E3365">
        <v>0.48611900000000002</v>
      </c>
      <c r="F3365" t="s">
        <v>42</v>
      </c>
      <c r="G3365">
        <v>-265.82889999999998</v>
      </c>
      <c r="H3365" s="1">
        <v>-2.0765229999999999E-6</v>
      </c>
      <c r="I3365">
        <v>140.76179999999999</v>
      </c>
      <c r="J3365">
        <v>-241.62479999999999</v>
      </c>
      <c r="K3365">
        <v>1.1095660000000001</v>
      </c>
      <c r="L3365">
        <v>140.88570000000001</v>
      </c>
      <c r="M3365">
        <v>-0.99998209999999998</v>
      </c>
      <c r="N3365">
        <v>0</v>
      </c>
      <c r="O3365">
        <v>2.8108970000000001E-3</v>
      </c>
      <c r="P3365">
        <v>-0.98672179999999998</v>
      </c>
      <c r="Q3365">
        <v>0.15569669999999999</v>
      </c>
      <c r="R3365">
        <v>4.624706E-2</v>
      </c>
      <c r="S3365">
        <v>-3.0630799999999998</v>
      </c>
      <c r="T3365">
        <v>-0.13834369999999999</v>
      </c>
      <c r="U3365">
        <v>-1.5335079999999999E-2</v>
      </c>
      <c r="V3365">
        <v>4.3319440000000001E-2</v>
      </c>
      <c r="W3365">
        <v>0.16097609999999901</v>
      </c>
      <c r="X3365">
        <v>0.98600719999999997</v>
      </c>
      <c r="Y3365">
        <v>-7.80642199999999E-3</v>
      </c>
      <c r="Z3365">
        <v>-3.0308750000000001E-4</v>
      </c>
      <c r="AA3365">
        <v>0.99996949999999996</v>
      </c>
      <c r="AB3365">
        <v>36</v>
      </c>
      <c r="AC3365">
        <v>-24.204099999999901</v>
      </c>
      <c r="AD3365">
        <v>-1.109568076523</v>
      </c>
      <c r="AE3365">
        <v>-0.12390000000001999</v>
      </c>
      <c r="AF3365">
        <v>-0.19153319459915599</v>
      </c>
      <c r="AG3365">
        <v>-1.109568076523</v>
      </c>
      <c r="AH3365">
        <v>24.1529000385164</v>
      </c>
      <c r="AI3365">
        <v>92.630197919727905</v>
      </c>
      <c r="AJ3365">
        <v>90.454347661887894</v>
      </c>
      <c r="AK3365">
        <v>24.179131633531401</v>
      </c>
      <c r="AL3365">
        <v>80.736443275706193</v>
      </c>
      <c r="AM3365">
        <v>87.484373353745397</v>
      </c>
      <c r="AN3365">
        <v>1.0000000385524801</v>
      </c>
    </row>
    <row r="3366" spans="1:40" x14ac:dyDescent="0.25">
      <c r="A3366" t="str">
        <f>"20190312164334406"</f>
        <v>20190312164334406</v>
      </c>
      <c r="B3366" t="str">
        <f>"1552380214398494"</f>
        <v>1552380214398494</v>
      </c>
      <c r="C3366" t="s">
        <v>40</v>
      </c>
      <c r="D3366">
        <v>4.6466810000000001</v>
      </c>
      <c r="E3366">
        <v>0.48605789999999999</v>
      </c>
      <c r="F3366" t="s">
        <v>42</v>
      </c>
      <c r="G3366">
        <v>-266.12349999999998</v>
      </c>
      <c r="H3366" s="1">
        <v>-1.9477870000000001E-6</v>
      </c>
      <c r="I3366">
        <v>140.75299999999999</v>
      </c>
      <c r="J3366">
        <v>-241.96799999999999</v>
      </c>
      <c r="K3366">
        <v>1.109569</v>
      </c>
      <c r="L3366">
        <v>140.88630000000001</v>
      </c>
      <c r="M3366">
        <v>-0.99998319999999996</v>
      </c>
      <c r="N3366">
        <v>0</v>
      </c>
      <c r="O3366">
        <v>2.3843860000000001E-3</v>
      </c>
      <c r="P3366">
        <v>-0.98680950000000001</v>
      </c>
      <c r="Q3366">
        <v>0.15515019999999999</v>
      </c>
      <c r="R3366">
        <v>4.6210790000000002E-2</v>
      </c>
      <c r="S3366">
        <v>-3.0630190000000002</v>
      </c>
      <c r="T3366">
        <v>-0.1387273</v>
      </c>
      <c r="U3366">
        <v>-1.6586299999999998E-2</v>
      </c>
      <c r="V3366">
        <v>4.3700389999999999E-2</v>
      </c>
      <c r="W3366">
        <v>0.1604015</v>
      </c>
      <c r="X3366">
        <v>0.98608399999999996</v>
      </c>
      <c r="Y3366">
        <v>-7.7888799999999998E-3</v>
      </c>
      <c r="Z3366">
        <v>-2.842284E-4</v>
      </c>
      <c r="AA3366">
        <v>0.99996960000000001</v>
      </c>
      <c r="AB3366">
        <v>36</v>
      </c>
      <c r="AC3366">
        <v>-24.1554999999999</v>
      </c>
      <c r="AD3366">
        <v>-1.1095709477869999</v>
      </c>
      <c r="AE3366">
        <v>-0.13330000000001899</v>
      </c>
      <c r="AF3366">
        <v>-0.19049453379644901</v>
      </c>
      <c r="AG3366">
        <v>-1.1095709477869999</v>
      </c>
      <c r="AH3366">
        <v>24.104255569922898</v>
      </c>
      <c r="AI3366">
        <v>92.635505784366302</v>
      </c>
      <c r="AJ3366">
        <v>90.452795795990895</v>
      </c>
      <c r="AK3366">
        <v>24.130531955092501</v>
      </c>
      <c r="AL3366">
        <v>80.769798617622399</v>
      </c>
      <c r="AM3366">
        <v>87.462477184237301</v>
      </c>
      <c r="AN3366">
        <v>1.0000000101722</v>
      </c>
    </row>
    <row r="3367" spans="1:40" x14ac:dyDescent="0.25">
      <c r="A3367" t="str">
        <f>"20190312164334427"</f>
        <v>20190312164334427</v>
      </c>
      <c r="B3367" t="str">
        <f>"1552380214418014"</f>
        <v>1552380214418014</v>
      </c>
      <c r="C3367" t="s">
        <v>40</v>
      </c>
      <c r="D3367">
        <v>4.5562129999999996</v>
      </c>
      <c r="E3367">
        <v>0.48607329999999999</v>
      </c>
      <c r="F3367" t="s">
        <v>42</v>
      </c>
      <c r="G3367">
        <v>-266.09120000000001</v>
      </c>
      <c r="H3367" s="1">
        <v>-1.9597480000000001E-6</v>
      </c>
      <c r="I3367">
        <v>140.74590000000001</v>
      </c>
      <c r="J3367">
        <v>-242.31299999999999</v>
      </c>
      <c r="K3367">
        <v>1.109569</v>
      </c>
      <c r="L3367">
        <v>140.88679999999999</v>
      </c>
      <c r="M3367">
        <v>-0.99998450000000005</v>
      </c>
      <c r="N3367">
        <v>0</v>
      </c>
      <c r="O3367">
        <v>1.942821E-3</v>
      </c>
      <c r="P3367">
        <v>-0.98690020000000001</v>
      </c>
      <c r="Q3367">
        <v>0.15454899999999999</v>
      </c>
      <c r="R3367">
        <v>4.629229E-2</v>
      </c>
      <c r="S3367">
        <v>-3.0630799999999998</v>
      </c>
      <c r="T3367">
        <v>-0.1408896</v>
      </c>
      <c r="U3367">
        <v>-1.7822270000000001E-2</v>
      </c>
      <c r="V3367">
        <v>4.4213160000000001E-2</v>
      </c>
      <c r="W3367">
        <v>0.15977640000000001</v>
      </c>
      <c r="X3367">
        <v>0.9861626</v>
      </c>
      <c r="Y3367">
        <v>-7.7508719999999998E-3</v>
      </c>
      <c r="Z3367">
        <v>-2.6747469999999999E-4</v>
      </c>
      <c r="AA3367">
        <v>0.99996989999999997</v>
      </c>
      <c r="AB3367">
        <v>36</v>
      </c>
      <c r="AC3367">
        <v>-23.778199999999998</v>
      </c>
      <c r="AD3367">
        <v>-1.1095709597479999</v>
      </c>
      <c r="AE3367">
        <v>-0.14089999999998701</v>
      </c>
      <c r="AF3367">
        <v>-0.18669065020217199</v>
      </c>
      <c r="AG3367">
        <v>-1.1095709597479999</v>
      </c>
      <c r="AH3367">
        <v>23.7262200532919</v>
      </c>
      <c r="AI3367">
        <v>92.677438052584407</v>
      </c>
      <c r="AJ3367">
        <v>90.450824680863093</v>
      </c>
      <c r="AK3367">
        <v>23.752884438122798</v>
      </c>
      <c r="AL3367">
        <v>80.806081963928705</v>
      </c>
      <c r="AM3367">
        <v>87.432946443601494</v>
      </c>
      <c r="AN3367">
        <v>0.99999998757645203</v>
      </c>
    </row>
    <row r="3368" spans="1:40" x14ac:dyDescent="0.25">
      <c r="A3368" t="str">
        <f>"20190312164334450"</f>
        <v>20190312164334450</v>
      </c>
      <c r="B3368" t="str">
        <f>"1552380214438509"</f>
        <v>1552380214438509</v>
      </c>
      <c r="C3368" t="s">
        <v>40</v>
      </c>
      <c r="D3368">
        <v>4.4174699999999998</v>
      </c>
      <c r="E3368">
        <v>0.4861375</v>
      </c>
      <c r="F3368" t="s">
        <v>42</v>
      </c>
      <c r="G3368">
        <v>-266.01220000000001</v>
      </c>
      <c r="H3368" s="1">
        <v>-1.993698E-6</v>
      </c>
      <c r="I3368">
        <v>140.74610000000001</v>
      </c>
      <c r="J3368">
        <v>-242.67679999999999</v>
      </c>
      <c r="K3368">
        <v>1.1095759999999999</v>
      </c>
      <c r="L3368">
        <v>140.8871</v>
      </c>
      <c r="M3368">
        <v>-0.99998540000000002</v>
      </c>
      <c r="N3368">
        <v>0</v>
      </c>
      <c r="O3368">
        <v>1.459562E-3</v>
      </c>
      <c r="P3368">
        <v>-0.98706419999999995</v>
      </c>
      <c r="Q3368">
        <v>0.153504</v>
      </c>
      <c r="R3368">
        <v>4.6271189999999997E-2</v>
      </c>
      <c r="S3368">
        <v>-3.063126</v>
      </c>
      <c r="T3368">
        <v>-0.14341199999999901</v>
      </c>
      <c r="U3368">
        <v>-1.817322E-2</v>
      </c>
      <c r="V3368">
        <v>4.4663639999999998E-2</v>
      </c>
      <c r="W3368">
        <v>0.15871109999999999</v>
      </c>
      <c r="X3368">
        <v>0.98631440000000004</v>
      </c>
      <c r="Y3368">
        <v>-7.3826600000000001E-3</v>
      </c>
      <c r="Z3368">
        <v>-2.4102570000000001E-4</v>
      </c>
      <c r="AA3368">
        <v>0.99997270000000005</v>
      </c>
      <c r="AB3368">
        <v>36</v>
      </c>
      <c r="AC3368">
        <v>-23.3354</v>
      </c>
      <c r="AD3368">
        <v>-1.1095779936979999</v>
      </c>
      <c r="AE3368">
        <v>-0.14099999999999099</v>
      </c>
      <c r="AF3368">
        <v>-0.174664885006653</v>
      </c>
      <c r="AG3368">
        <v>-1.1095779936979999</v>
      </c>
      <c r="AH3368">
        <v>23.2825313264877</v>
      </c>
      <c r="AI3368">
        <v>92.728409810273305</v>
      </c>
      <c r="AJ3368">
        <v>90.429823238100795</v>
      </c>
      <c r="AK3368">
        <v>23.309610381021699</v>
      </c>
      <c r="AL3368">
        <v>80.867908910479699</v>
      </c>
      <c r="AM3368">
        <v>87.407225277454401</v>
      </c>
      <c r="AN3368">
        <v>1.0000000748243001</v>
      </c>
    </row>
    <row r="3369" spans="1:40" x14ac:dyDescent="0.25">
      <c r="A3369" t="str">
        <f>"20190312164334472"</f>
        <v>20190312164334472</v>
      </c>
      <c r="B3369" t="str">
        <f>"1552380214467789"</f>
        <v>1552380214467789</v>
      </c>
      <c r="C3369" t="s">
        <v>40</v>
      </c>
      <c r="D3369">
        <v>4.4714970000000003</v>
      </c>
      <c r="E3369">
        <v>0.49954720000000002</v>
      </c>
      <c r="F3369" t="s">
        <v>42</v>
      </c>
      <c r="G3369">
        <v>-265.78440000000001</v>
      </c>
      <c r="H3369" s="1">
        <v>-2.0921619999999999E-6</v>
      </c>
      <c r="I3369">
        <v>140.74879999999999</v>
      </c>
      <c r="J3369">
        <v>-243.03380000000001</v>
      </c>
      <c r="K3369">
        <v>1.109585</v>
      </c>
      <c r="L3369">
        <v>140.88720000000001</v>
      </c>
      <c r="M3369">
        <v>-0.99998609999999999</v>
      </c>
      <c r="N3369">
        <v>0</v>
      </c>
      <c r="O3369">
        <v>9.6632290000000002E-4</v>
      </c>
      <c r="P3369">
        <v>-0.98723139999999998</v>
      </c>
      <c r="Q3369">
        <v>0.15238019999999999</v>
      </c>
      <c r="R3369">
        <v>4.6415379999999999E-2</v>
      </c>
      <c r="S3369">
        <v>-3.0630649999999999</v>
      </c>
      <c r="T3369">
        <v>-0.1470822</v>
      </c>
      <c r="U3369">
        <v>-1.8325810000000001E-2</v>
      </c>
      <c r="V3369">
        <v>4.5288870000000002E-2</v>
      </c>
      <c r="W3369">
        <v>0.15757119999999999</v>
      </c>
      <c r="X3369">
        <v>0.98646860000000003</v>
      </c>
      <c r="Y3369">
        <v>-6.939934E-3</v>
      </c>
      <c r="Z3369">
        <v>-2.1289780000000001E-4</v>
      </c>
      <c r="AA3369">
        <v>0.99997590000000003</v>
      </c>
      <c r="AB3369">
        <v>36</v>
      </c>
      <c r="AC3369">
        <v>-22.750599999999899</v>
      </c>
      <c r="AD3369">
        <v>-1.1095870921619999</v>
      </c>
      <c r="AE3369">
        <v>-0.13840000000001801</v>
      </c>
      <c r="AF3369">
        <v>-0.16000407114282</v>
      </c>
      <c r="AG3369">
        <v>-1.1095870921619999</v>
      </c>
      <c r="AH3369">
        <v>22.6964698637914</v>
      </c>
      <c r="AI3369">
        <v>92.798783490700004</v>
      </c>
      <c r="AJ3369">
        <v>90.403913303209293</v>
      </c>
      <c r="AK3369">
        <v>22.7241397878086</v>
      </c>
      <c r="AL3369">
        <v>80.934052294242306</v>
      </c>
      <c r="AM3369">
        <v>87.371390922109995</v>
      </c>
      <c r="AN3369">
        <v>1.0000000318006299</v>
      </c>
    </row>
    <row r="3370" spans="1:40" x14ac:dyDescent="0.25">
      <c r="A3370" t="str">
        <f>"20190312164334494"</f>
        <v>20190312164334494</v>
      </c>
      <c r="B3370" t="str">
        <f>"1552380214488285"</f>
        <v>1552380214488285</v>
      </c>
      <c r="C3370" t="s">
        <v>40</v>
      </c>
      <c r="D3370">
        <v>4.4232329999999997</v>
      </c>
      <c r="E3370">
        <v>0.50030280000000005</v>
      </c>
      <c r="F3370" t="s">
        <v>41</v>
      </c>
      <c r="G3370">
        <v>-243.9051</v>
      </c>
      <c r="H3370">
        <v>1.0330299999999999</v>
      </c>
      <c r="I3370">
        <v>140.9101</v>
      </c>
      <c r="J3370">
        <v>-243.40020000000001</v>
      </c>
      <c r="K3370">
        <v>1.1095950000000001</v>
      </c>
      <c r="L3370">
        <v>140.8871</v>
      </c>
      <c r="M3370">
        <v>-0.99998659999999995</v>
      </c>
      <c r="N3370">
        <v>0</v>
      </c>
      <c r="O3370">
        <v>4.3890269999999999E-4</v>
      </c>
      <c r="P3370">
        <v>-0.98731069999999999</v>
      </c>
      <c r="Q3370">
        <v>0.15179819999999999</v>
      </c>
      <c r="R3370">
        <v>4.664041E-2</v>
      </c>
      <c r="S3370">
        <v>-3.0767669999999998</v>
      </c>
      <c r="T3370">
        <v>-0.27037159999999999</v>
      </c>
      <c r="U3370">
        <v>7.9986570000000007E-2</v>
      </c>
      <c r="V3370">
        <v>4.6027680000000001E-2</v>
      </c>
      <c r="W3370">
        <v>0.15697639999999999</v>
      </c>
      <c r="X3370">
        <v>0.9865292</v>
      </c>
      <c r="Y3370">
        <v>2.5453079999999999E-2</v>
      </c>
      <c r="Z3370">
        <v>1.0775209999999999E-3</v>
      </c>
      <c r="AA3370">
        <v>0.99967550000000005</v>
      </c>
      <c r="AB3370">
        <v>37</v>
      </c>
      <c r="AC3370">
        <v>-0.50489999999999202</v>
      </c>
      <c r="AD3370">
        <v>-7.6565000000000202E-2</v>
      </c>
      <c r="AE3370">
        <v>2.29999999999961E-2</v>
      </c>
      <c r="AF3370">
        <v>2.22673951398909E-2</v>
      </c>
      <c r="AG3370">
        <v>-7.6565000000000202E-2</v>
      </c>
      <c r="AH3370">
        <v>0.49358317673114699</v>
      </c>
      <c r="AI3370">
        <v>98.808671200061099</v>
      </c>
      <c r="AJ3370">
        <v>87.416923156541898</v>
      </c>
      <c r="AK3370">
        <v>0.49998238815314999</v>
      </c>
      <c r="AL3370">
        <v>80.968560996557798</v>
      </c>
      <c r="AM3370">
        <v>87.328735170882695</v>
      </c>
      <c r="AN3370">
        <v>0.99999999996789102</v>
      </c>
    </row>
    <row r="3371" spans="1:40" x14ac:dyDescent="0.25">
      <c r="A3371" t="str">
        <f>"20190312164334516"</f>
        <v>20190312164334516</v>
      </c>
      <c r="B3371" t="str">
        <f>"1552380214507806"</f>
        <v>1552380214507806</v>
      </c>
      <c r="C3371" t="s">
        <v>40</v>
      </c>
      <c r="D3371">
        <v>4.6360900000000003</v>
      </c>
      <c r="E3371">
        <v>0.50146999999999997</v>
      </c>
      <c r="F3371" t="s">
        <v>41</v>
      </c>
      <c r="G3371">
        <v>-244.2338</v>
      </c>
      <c r="H3371">
        <v>1.0327470000000001</v>
      </c>
      <c r="I3371">
        <v>140.91050000000001</v>
      </c>
      <c r="J3371">
        <v>-243.77119999999999</v>
      </c>
      <c r="K3371">
        <v>1.109607</v>
      </c>
      <c r="L3371">
        <v>140.8869</v>
      </c>
      <c r="M3371">
        <v>-0.99998659999999995</v>
      </c>
      <c r="N3371">
        <v>0</v>
      </c>
      <c r="O3371">
        <v>-1.176835E-4</v>
      </c>
      <c r="P3371">
        <v>-0.98735890000000004</v>
      </c>
      <c r="Q3371">
        <v>0.15145229999999901</v>
      </c>
      <c r="R3371">
        <v>4.6745710000000003E-2</v>
      </c>
      <c r="S3371">
        <v>-3.0781559999999999</v>
      </c>
      <c r="T3371">
        <v>-0.28380369999999999</v>
      </c>
      <c r="U3371">
        <v>8.5891720000000005E-2</v>
      </c>
      <c r="V3371">
        <v>4.667495E-2</v>
      </c>
      <c r="W3371">
        <v>0.15662039999999999</v>
      </c>
      <c r="X3371">
        <v>0.98655539999999997</v>
      </c>
      <c r="Y3371">
        <v>2.789171E-2</v>
      </c>
      <c r="Z3371">
        <v>1.293654E-3</v>
      </c>
      <c r="AA3371">
        <v>0.99961009999999995</v>
      </c>
      <c r="AB3371">
        <v>37</v>
      </c>
      <c r="AC3371">
        <v>-0.462600000000008</v>
      </c>
      <c r="AD3371">
        <v>-7.6860000000000095E-2</v>
      </c>
      <c r="AE3371">
        <v>2.3600000000016001E-2</v>
      </c>
      <c r="AF3371">
        <v>2.3020604252549499E-2</v>
      </c>
      <c r="AG3371">
        <v>-7.6860000000000095E-2</v>
      </c>
      <c r="AH3371">
        <v>0.45020161491191302</v>
      </c>
      <c r="AI3371">
        <v>99.675928151859196</v>
      </c>
      <c r="AJ3371">
        <v>87.072787731917103</v>
      </c>
      <c r="AK3371">
        <v>0.45729520212817398</v>
      </c>
      <c r="AL3371">
        <v>80.989214019229607</v>
      </c>
      <c r="AM3371">
        <v>87.291297568162904</v>
      </c>
      <c r="AN3371">
        <v>1.0000000289614099</v>
      </c>
    </row>
    <row r="3372" spans="1:40" x14ac:dyDescent="0.25">
      <c r="A3372" t="str">
        <f>"20190312164334540"</f>
        <v>20190312164334540</v>
      </c>
      <c r="B3372" t="str">
        <f>"1552380214538061"</f>
        <v>1552380214538061</v>
      </c>
      <c r="C3372" t="s">
        <v>40</v>
      </c>
      <c r="D3372">
        <v>4.3936669999999998</v>
      </c>
      <c r="E3372">
        <v>0.50126170000000003</v>
      </c>
      <c r="F3372" t="s">
        <v>41</v>
      </c>
      <c r="G3372">
        <v>-244.56489999999999</v>
      </c>
      <c r="H3372">
        <v>1.035453</v>
      </c>
      <c r="I3372">
        <v>140.91149999999999</v>
      </c>
      <c r="J3372">
        <v>-244.16470000000001</v>
      </c>
      <c r="K3372">
        <v>1.1096220000000001</v>
      </c>
      <c r="L3372">
        <v>140.88630000000001</v>
      </c>
      <c r="M3372">
        <v>-0.99998640000000005</v>
      </c>
      <c r="N3372">
        <v>0</v>
      </c>
      <c r="O3372">
        <v>-7.3163440000000002E-4</v>
      </c>
      <c r="P3372">
        <v>-0.98737730000000001</v>
      </c>
      <c r="Q3372">
        <v>0.15124119999999999</v>
      </c>
      <c r="R3372">
        <v>4.703309E-2</v>
      </c>
      <c r="S3372">
        <v>-3.078033</v>
      </c>
      <c r="T3372">
        <v>-0.28767670000000001</v>
      </c>
      <c r="U3372">
        <v>9.501648E-2</v>
      </c>
      <c r="V3372">
        <v>4.7559799999999999E-2</v>
      </c>
      <c r="W3372">
        <v>0.15640190000000001</v>
      </c>
      <c r="X3372">
        <v>0.98654779999999997</v>
      </c>
      <c r="Y3372">
        <v>3.1445710000000002E-2</v>
      </c>
      <c r="Z3372">
        <v>1.5341510000000001E-3</v>
      </c>
      <c r="AA3372">
        <v>0.99950430000000001</v>
      </c>
      <c r="AB3372">
        <v>37</v>
      </c>
      <c r="AC3372">
        <v>-0.40019999999998301</v>
      </c>
      <c r="AD3372">
        <v>-7.4168999999999902E-2</v>
      </c>
      <c r="AE3372">
        <v>2.5199999999983898E-2</v>
      </c>
      <c r="AF3372">
        <v>2.4649500894760701E-2</v>
      </c>
      <c r="AG3372">
        <v>-7.4168999999999902E-2</v>
      </c>
      <c r="AH3372">
        <v>0.38694353738995202</v>
      </c>
      <c r="AI3372">
        <v>100.829362944962</v>
      </c>
      <c r="AJ3372">
        <v>86.355006757572895</v>
      </c>
      <c r="AK3372">
        <v>0.39475807728684897</v>
      </c>
      <c r="AL3372">
        <v>81.001889321827093</v>
      </c>
      <c r="AM3372">
        <v>87.240004216623205</v>
      </c>
      <c r="AN3372">
        <v>1.0000000252922401</v>
      </c>
    </row>
    <row r="3373" spans="1:40" x14ac:dyDescent="0.25">
      <c r="A3373" t="str">
        <f>"20190312164334584"</f>
        <v>20190312164334584</v>
      </c>
      <c r="B3373" t="str">
        <f>"1552380214578078"</f>
        <v>1552380214578078</v>
      </c>
      <c r="C3373" t="s">
        <v>40</v>
      </c>
      <c r="D3373">
        <v>4.4552849999999999</v>
      </c>
      <c r="E3373">
        <v>0.50117889999999998</v>
      </c>
      <c r="F3373" t="s">
        <v>41</v>
      </c>
      <c r="G3373">
        <v>-244.89779999999999</v>
      </c>
      <c r="H3373">
        <v>1.0396339999999999</v>
      </c>
      <c r="I3373">
        <v>140.90889999999999</v>
      </c>
      <c r="J3373">
        <v>-244.8837</v>
      </c>
      <c r="K3373">
        <v>1.109642</v>
      </c>
      <c r="L3373">
        <v>140.88460000000001</v>
      </c>
      <c r="M3373">
        <v>-0.99998500000000001</v>
      </c>
      <c r="N3373">
        <v>0</v>
      </c>
      <c r="O3373">
        <v>-1.917834E-3</v>
      </c>
      <c r="P3373">
        <v>-0.98749989999999999</v>
      </c>
      <c r="Q3373">
        <v>0.1504712</v>
      </c>
      <c r="R3373">
        <v>4.6931800000000003E-2</v>
      </c>
      <c r="S3373">
        <v>-3.0788880000000001</v>
      </c>
      <c r="T3373">
        <v>-0.29402220000000001</v>
      </c>
      <c r="U3373">
        <v>9.4375609999999999E-2</v>
      </c>
      <c r="V3373">
        <v>4.8614640000000001E-2</v>
      </c>
      <c r="W3373">
        <v>0.1556313</v>
      </c>
      <c r="X3373">
        <v>0.9866182</v>
      </c>
      <c r="Y3373">
        <v>3.2399030000000002E-2</v>
      </c>
      <c r="Z3373">
        <v>1.7258130000000001E-3</v>
      </c>
      <c r="AA3373">
        <v>0.99947350000000001</v>
      </c>
      <c r="AB3373">
        <v>37</v>
      </c>
      <c r="AC3373">
        <v>-1.4099999999984901E-2</v>
      </c>
      <c r="AD3373">
        <v>-7.0008000000000001E-2</v>
      </c>
      <c r="AE3373">
        <v>2.4299999999982402E-2</v>
      </c>
      <c r="AF3373">
        <v>3.3743201055486602E-3</v>
      </c>
      <c r="AG3373">
        <v>-7.0008000000000001E-2</v>
      </c>
      <c r="AH3373">
        <v>1.94929809867183E-3</v>
      </c>
      <c r="AI3373">
        <v>176.81399945635499</v>
      </c>
      <c r="AJ3373">
        <v>30.014432690790599</v>
      </c>
      <c r="AK3373">
        <v>7.0116373717215297E-2</v>
      </c>
      <c r="AL3373">
        <v>81.046588399378194</v>
      </c>
      <c r="AM3373">
        <v>87.179088414384097</v>
      </c>
      <c r="AN3373">
        <v>0.99999997866662904</v>
      </c>
    </row>
    <row r="3374" spans="1:40" x14ac:dyDescent="0.25">
      <c r="A3374" t="str">
        <f>"20190312164334606"</f>
        <v>20190312164334606</v>
      </c>
      <c r="B3374" t="str">
        <f>"1552380214598574"</f>
        <v>1552380214598574</v>
      </c>
      <c r="C3374" t="s">
        <v>40</v>
      </c>
      <c r="D3374">
        <v>4.7163209999999998</v>
      </c>
      <c r="E3374">
        <v>0.50126400000000004</v>
      </c>
      <c r="F3374" t="s">
        <v>41</v>
      </c>
      <c r="G3374">
        <v>-245.88380000000001</v>
      </c>
      <c r="H3374">
        <v>1.012877</v>
      </c>
      <c r="I3374">
        <v>140.9152</v>
      </c>
      <c r="J3374">
        <v>-245.24889999999999</v>
      </c>
      <c r="K3374">
        <v>1.1096539999999999</v>
      </c>
      <c r="L3374">
        <v>140.88339999999999</v>
      </c>
      <c r="M3374">
        <v>-0.99998339999999997</v>
      </c>
      <c r="N3374">
        <v>0</v>
      </c>
      <c r="O3374">
        <v>-2.54397E-3</v>
      </c>
      <c r="P3374">
        <v>-0.98761639999999995</v>
      </c>
      <c r="Q3374">
        <v>0.14985419999999999</v>
      </c>
      <c r="R3374">
        <v>4.644831E-2</v>
      </c>
      <c r="S3374">
        <v>-3.0789339999999998</v>
      </c>
      <c r="T3374">
        <v>-0.2980063</v>
      </c>
      <c r="U3374">
        <v>9.3582150000000003E-2</v>
      </c>
      <c r="V3374">
        <v>4.8743109999999999E-2</v>
      </c>
      <c r="W3374">
        <v>0.1550213</v>
      </c>
      <c r="X3374">
        <v>0.98670789999999997</v>
      </c>
      <c r="Y3374">
        <v>3.2758229999999999E-2</v>
      </c>
      <c r="Z3374">
        <v>1.82686E-3</v>
      </c>
      <c r="AA3374">
        <v>0.99946170000000001</v>
      </c>
      <c r="AB3374">
        <v>37</v>
      </c>
      <c r="AC3374">
        <v>-0.63490000000001601</v>
      </c>
      <c r="AD3374">
        <v>-9.6777000000000099E-2</v>
      </c>
      <c r="AE3374">
        <v>3.1800000000003999E-2</v>
      </c>
      <c r="AF3374">
        <v>3.26581868323816E-2</v>
      </c>
      <c r="AG3374">
        <v>-9.6777000000000099E-2</v>
      </c>
      <c r="AH3374">
        <v>0.62043755244499499</v>
      </c>
      <c r="AI3374">
        <v>98.853598848298702</v>
      </c>
      <c r="AJ3374">
        <v>86.986882915267898</v>
      </c>
      <c r="AK3374">
        <v>0.62878859832229295</v>
      </c>
      <c r="AL3374">
        <v>81.081968298989494</v>
      </c>
      <c r="AM3374">
        <v>87.1719026102611</v>
      </c>
      <c r="AN3374">
        <v>0.99999998707428595</v>
      </c>
    </row>
    <row r="3375" spans="1:40" x14ac:dyDescent="0.25">
      <c r="A3375" t="str">
        <f>"20190312164334627"</f>
        <v>20190312164334627</v>
      </c>
      <c r="B3375" t="str">
        <f>"1552380214618097"</f>
        <v>1552380214618097</v>
      </c>
      <c r="C3375" t="s">
        <v>40</v>
      </c>
      <c r="D3375">
        <v>4.5906279999999997</v>
      </c>
      <c r="E3375">
        <v>0.50148019999999904</v>
      </c>
      <c r="F3375" t="s">
        <v>41</v>
      </c>
      <c r="G3375">
        <v>-246.2201</v>
      </c>
      <c r="H3375">
        <v>1.01535</v>
      </c>
      <c r="I3375">
        <v>140.91290000000001</v>
      </c>
      <c r="J3375">
        <v>-245.62649999999999</v>
      </c>
      <c r="K3375">
        <v>1.109667</v>
      </c>
      <c r="L3375">
        <v>140.8819</v>
      </c>
      <c r="M3375">
        <v>-0.99998140000000002</v>
      </c>
      <c r="N3375">
        <v>0</v>
      </c>
      <c r="O3375">
        <v>-3.203848E-3</v>
      </c>
      <c r="P3375">
        <v>-0.98782369999999997</v>
      </c>
      <c r="Q3375">
        <v>0.14858279999999999</v>
      </c>
      <c r="R3375">
        <v>4.6125579999999999E-2</v>
      </c>
      <c r="S3375">
        <v>-3.0786129999999998</v>
      </c>
      <c r="T3375">
        <v>-0.29896149999999999</v>
      </c>
      <c r="U3375">
        <v>9.3154909999999994E-2</v>
      </c>
      <c r="V3375">
        <v>4.9067510000000002E-2</v>
      </c>
      <c r="W3375">
        <v>0.1537625</v>
      </c>
      <c r="X3375">
        <v>0.98688880000000001</v>
      </c>
      <c r="Y3375">
        <v>3.3275699999999901E-2</v>
      </c>
      <c r="Z3375">
        <v>1.9218600000000001E-3</v>
      </c>
      <c r="AA3375">
        <v>0.99944440000000001</v>
      </c>
      <c r="AB3375">
        <v>37</v>
      </c>
      <c r="AC3375">
        <v>-0.59360000000000901</v>
      </c>
      <c r="AD3375">
        <v>-9.4316999999999901E-2</v>
      </c>
      <c r="AE3375">
        <v>3.1000000000005901E-2</v>
      </c>
      <c r="AF3375">
        <v>3.2093639179115403E-2</v>
      </c>
      <c r="AG3375">
        <v>-9.4316999999999901E-2</v>
      </c>
      <c r="AH3375">
        <v>0.57892193574222195</v>
      </c>
      <c r="AI3375">
        <v>99.2392958532579</v>
      </c>
      <c r="AJ3375">
        <v>86.826947299183303</v>
      </c>
      <c r="AK3375">
        <v>0.58743195848394303</v>
      </c>
      <c r="AL3375">
        <v>81.1549677671605</v>
      </c>
      <c r="AM3375">
        <v>87.153632622267693</v>
      </c>
      <c r="AN3375">
        <v>1.00000001525464</v>
      </c>
    </row>
    <row r="3376" spans="1:40" x14ac:dyDescent="0.25">
      <c r="A3376" t="str">
        <f>"20190312164334650"</f>
        <v>20190312164334650</v>
      </c>
      <c r="B3376" t="str">
        <f>"1552380214638593"</f>
        <v>1552380214638593</v>
      </c>
      <c r="C3376" t="s">
        <v>40</v>
      </c>
      <c r="D3376">
        <v>4.7039479999999996</v>
      </c>
      <c r="E3376">
        <v>0.5020616</v>
      </c>
      <c r="F3376" t="s">
        <v>41</v>
      </c>
      <c r="G3376">
        <v>-246.55709999999999</v>
      </c>
      <c r="H3376">
        <v>1.017301</v>
      </c>
      <c r="I3376">
        <v>140.9102</v>
      </c>
      <c r="J3376">
        <v>-245.99</v>
      </c>
      <c r="K3376">
        <v>1.1096839999999999</v>
      </c>
      <c r="L3376">
        <v>140.8802</v>
      </c>
      <c r="M3376">
        <v>-0.99997919999999996</v>
      </c>
      <c r="N3376">
        <v>0</v>
      </c>
      <c r="O3376">
        <v>-3.8506389999999999E-3</v>
      </c>
      <c r="P3376">
        <v>-0.98809139999999995</v>
      </c>
      <c r="Q3376">
        <v>0.1470062</v>
      </c>
      <c r="R3376">
        <v>4.5438359999999997E-2</v>
      </c>
      <c r="S3376">
        <v>-3.0786129999999998</v>
      </c>
      <c r="T3376">
        <v>-0.30565690000000001</v>
      </c>
      <c r="U3376">
        <v>9.3307500000000002E-2</v>
      </c>
      <c r="V3376">
        <v>4.9016039999999997E-2</v>
      </c>
      <c r="W3376">
        <v>0.15220839999999999</v>
      </c>
      <c r="X3376">
        <v>0.98713229999999996</v>
      </c>
      <c r="Y3376">
        <v>3.3957349999999997E-2</v>
      </c>
      <c r="Z3376">
        <v>2.0624860000000001E-3</v>
      </c>
      <c r="AA3376">
        <v>0.99942120000000001</v>
      </c>
      <c r="AB3376">
        <v>38</v>
      </c>
      <c r="AC3376">
        <v>-0.56709999999998195</v>
      </c>
      <c r="AD3376">
        <v>-9.2383000000000104E-2</v>
      </c>
      <c r="AE3376">
        <v>3.0000000000001099E-2</v>
      </c>
      <c r="AF3376">
        <v>3.1353766389205097E-2</v>
      </c>
      <c r="AG3376">
        <v>-9.2383000000000104E-2</v>
      </c>
      <c r="AH3376">
        <v>0.55236269423577999</v>
      </c>
      <c r="AI3376">
        <v>99.479890230117107</v>
      </c>
      <c r="AJ3376">
        <v>86.751205633671304</v>
      </c>
      <c r="AK3376">
        <v>0.56091195685169604</v>
      </c>
      <c r="AL3376">
        <v>81.245072325147206</v>
      </c>
      <c r="AM3376">
        <v>87.1573136931965</v>
      </c>
      <c r="AN3376">
        <v>1.0000000734555601</v>
      </c>
    </row>
    <row r="3377" spans="1:40" x14ac:dyDescent="0.25">
      <c r="A3377" t="str">
        <f>"20190312164334672"</f>
        <v>20190312164334672</v>
      </c>
      <c r="B3377" t="str">
        <f>"1552380214667870"</f>
        <v>1552380214667870</v>
      </c>
      <c r="C3377" t="s">
        <v>40</v>
      </c>
      <c r="D3377">
        <v>4.6438259999999998</v>
      </c>
      <c r="E3377">
        <v>0.52421289999999998</v>
      </c>
      <c r="F3377" t="s">
        <v>41</v>
      </c>
      <c r="G3377">
        <v>-246.89420000000001</v>
      </c>
      <c r="H3377">
        <v>1.0172049999999999</v>
      </c>
      <c r="I3377">
        <v>140.9084</v>
      </c>
      <c r="J3377">
        <v>-246.36590000000001</v>
      </c>
      <c r="K3377">
        <v>1.1096969999999999</v>
      </c>
      <c r="L3377">
        <v>140.87819999999999</v>
      </c>
      <c r="M3377">
        <v>-0.99997619999999998</v>
      </c>
      <c r="N3377">
        <v>0</v>
      </c>
      <c r="O3377">
        <v>-4.5294150000000002E-3</v>
      </c>
      <c r="P3377">
        <v>-0.98829900000000004</v>
      </c>
      <c r="Q3377">
        <v>0.14581749999999999</v>
      </c>
      <c r="R3377">
        <v>4.4750699999999997E-2</v>
      </c>
      <c r="S3377">
        <v>-3.0785830000000001</v>
      </c>
      <c r="T3377">
        <v>-0.314919</v>
      </c>
      <c r="U3377">
        <v>9.5916749999999995E-2</v>
      </c>
      <c r="V3377">
        <v>4.8995480000000001E-2</v>
      </c>
      <c r="W3377">
        <v>0.1510532</v>
      </c>
      <c r="X3377">
        <v>0.98731069999999999</v>
      </c>
      <c r="Y3377">
        <v>3.5459499999999998E-2</v>
      </c>
      <c r="Z3377">
        <v>2.270509E-3</v>
      </c>
      <c r="AA3377">
        <v>0.99936849999999999</v>
      </c>
      <c r="AB3377">
        <v>38</v>
      </c>
      <c r="AC3377">
        <v>-0.52830000000000099</v>
      </c>
      <c r="AD3377">
        <v>-9.2492000000000005E-2</v>
      </c>
      <c r="AE3377">
        <v>3.02000000000077E-2</v>
      </c>
      <c r="AF3377">
        <v>3.1626384157198498E-2</v>
      </c>
      <c r="AG3377">
        <v>-9.2492000000000005E-2</v>
      </c>
      <c r="AH3377">
        <v>0.51250022220716096</v>
      </c>
      <c r="AI3377">
        <v>100.21115857450999</v>
      </c>
      <c r="AJ3377">
        <v>86.468755883265203</v>
      </c>
      <c r="AK3377">
        <v>0.52173889638520099</v>
      </c>
      <c r="AL3377">
        <v>81.312034233186694</v>
      </c>
      <c r="AM3377">
        <v>87.159016713091404</v>
      </c>
      <c r="AN3377">
        <v>1.00000002231258</v>
      </c>
    </row>
    <row r="3378" spans="1:40" x14ac:dyDescent="0.25">
      <c r="A3378" t="str">
        <f>"20190312164334695"</f>
        <v>20190312164334695</v>
      </c>
      <c r="B3378" t="str">
        <f>"1552380214688365"</f>
        <v>1552380214688365</v>
      </c>
      <c r="C3378" t="s">
        <v>40</v>
      </c>
      <c r="D3378">
        <v>4.6304879999999997</v>
      </c>
      <c r="E3378">
        <v>0.52544639999999998</v>
      </c>
      <c r="F3378" t="s">
        <v>41</v>
      </c>
      <c r="G3378">
        <v>-247.1986</v>
      </c>
      <c r="H3378">
        <v>0.94789760000000001</v>
      </c>
      <c r="I3378">
        <v>140.94550000000001</v>
      </c>
      <c r="J3378">
        <v>-246.75389999999999</v>
      </c>
      <c r="K3378">
        <v>1.1097140000000001</v>
      </c>
      <c r="L3378">
        <v>140.8759</v>
      </c>
      <c r="M3378">
        <v>-0.99997250000000004</v>
      </c>
      <c r="N3378">
        <v>0</v>
      </c>
      <c r="O3378">
        <v>-5.2370669999999998E-3</v>
      </c>
      <c r="P3378">
        <v>-0.98841420000000002</v>
      </c>
      <c r="Q3378">
        <v>0.14525879999999999</v>
      </c>
      <c r="R3378">
        <v>4.4019089999999997E-2</v>
      </c>
      <c r="S3378">
        <v>-3.1134490000000001</v>
      </c>
      <c r="T3378">
        <v>-0.60500430000000005</v>
      </c>
      <c r="U3378">
        <v>0.25077820000000001</v>
      </c>
      <c r="V3378">
        <v>4.8958969999999997E-2</v>
      </c>
      <c r="W3378">
        <v>0.15053749999999999</v>
      </c>
      <c r="X3378">
        <v>0.98739120000000002</v>
      </c>
      <c r="Y3378">
        <v>8.3849939999999998E-2</v>
      </c>
      <c r="Z3378">
        <v>9.0653790000000001E-3</v>
      </c>
      <c r="AA3378">
        <v>0.99643709999999996</v>
      </c>
      <c r="AB3378">
        <v>38</v>
      </c>
      <c r="AC3378">
        <v>-0.44470000000001098</v>
      </c>
      <c r="AD3378">
        <v>-0.161816399999999</v>
      </c>
      <c r="AE3378">
        <v>6.9600000000008294E-2</v>
      </c>
      <c r="AF3378">
        <v>6.3695873519564503E-2</v>
      </c>
      <c r="AG3378">
        <v>-0.161816399999999</v>
      </c>
      <c r="AH3378">
        <v>0.39347609450541299</v>
      </c>
      <c r="AI3378">
        <v>112.09536211144</v>
      </c>
      <c r="AJ3378">
        <v>80.8047318281548</v>
      </c>
      <c r="AK3378">
        <v>0.43019199034804601</v>
      </c>
      <c r="AL3378">
        <v>81.341922825095693</v>
      </c>
      <c r="AM3378">
        <v>87.161361335148897</v>
      </c>
      <c r="AN3378">
        <v>0.99999995074357395</v>
      </c>
    </row>
    <row r="3379" spans="1:40" x14ac:dyDescent="0.25">
      <c r="A3379" t="str">
        <f>"20190312164334718"</f>
        <v>20190312164334718</v>
      </c>
      <c r="B3379" t="str">
        <f>"1552380214707885"</f>
        <v>1552380214707885</v>
      </c>
      <c r="C3379" t="s">
        <v>40</v>
      </c>
      <c r="D3379">
        <v>4.6597929999999996</v>
      </c>
      <c r="E3379">
        <v>0.52580859999999996</v>
      </c>
      <c r="F3379" t="s">
        <v>41</v>
      </c>
      <c r="G3379">
        <v>-247.53880000000001</v>
      </c>
      <c r="H3379">
        <v>0.95020789999999999</v>
      </c>
      <c r="I3379">
        <v>140.94069999999999</v>
      </c>
      <c r="J3379">
        <v>-247.1514</v>
      </c>
      <c r="K3379">
        <v>1.1097330000000001</v>
      </c>
      <c r="L3379">
        <v>140.8732</v>
      </c>
      <c r="M3379">
        <v>-0.99996819999999997</v>
      </c>
      <c r="N3379">
        <v>0</v>
      </c>
      <c r="O3379">
        <v>-5.9670340000000004E-3</v>
      </c>
      <c r="P3379">
        <v>-0.98854779999999998</v>
      </c>
      <c r="Q3379">
        <v>0.14473849999999999</v>
      </c>
      <c r="R3379">
        <v>4.2712350000000003E-2</v>
      </c>
      <c r="S3379">
        <v>-3.1167910000000001</v>
      </c>
      <c r="T3379">
        <v>-0.63334880000000005</v>
      </c>
      <c r="U3379">
        <v>0.2568665</v>
      </c>
      <c r="V3379">
        <v>4.8369769999999999E-2</v>
      </c>
      <c r="W3379">
        <v>0.15006839999999999</v>
      </c>
      <c r="X3379">
        <v>0.98749169999999997</v>
      </c>
      <c r="Y3379">
        <v>8.6209300000000003E-2</v>
      </c>
      <c r="Z3379">
        <v>9.8546459999999999E-3</v>
      </c>
      <c r="AA3379">
        <v>0.99622829999999996</v>
      </c>
      <c r="AB3379">
        <v>38</v>
      </c>
      <c r="AC3379">
        <v>-0.38740000000001301</v>
      </c>
      <c r="AD3379">
        <v>-0.1595251</v>
      </c>
      <c r="AE3379">
        <v>6.7499999999995397E-2</v>
      </c>
      <c r="AF3379">
        <v>5.9945275683137303E-2</v>
      </c>
      <c r="AG3379">
        <v>-0.1595251</v>
      </c>
      <c r="AH3379">
        <v>0.33230323513612903</v>
      </c>
      <c r="AI3379">
        <v>115.287617595399</v>
      </c>
      <c r="AJ3379">
        <v>79.774200799169705</v>
      </c>
      <c r="AK3379">
        <v>0.37345298725365</v>
      </c>
      <c r="AL3379">
        <v>81.3691096153361</v>
      </c>
      <c r="AM3379">
        <v>87.195753220571007</v>
      </c>
      <c r="AN3379">
        <v>1.00000000844865</v>
      </c>
    </row>
    <row r="3380" spans="1:40" x14ac:dyDescent="0.25">
      <c r="A3380" t="str">
        <f>"20190312164334741"</f>
        <v>20190312164334741</v>
      </c>
      <c r="B3380" t="str">
        <f>"1552380214738141"</f>
        <v>1552380214738141</v>
      </c>
      <c r="C3380" t="s">
        <v>40</v>
      </c>
      <c r="D3380">
        <v>4.6466760000000003</v>
      </c>
      <c r="E3380">
        <v>0.5253044</v>
      </c>
      <c r="F3380" t="s">
        <v>41</v>
      </c>
      <c r="G3380">
        <v>-247.88239999999999</v>
      </c>
      <c r="H3380">
        <v>0.95759340000000004</v>
      </c>
      <c r="I3380">
        <v>140.9333</v>
      </c>
      <c r="J3380">
        <v>-247.53100000000001</v>
      </c>
      <c r="K3380">
        <v>1.1097459999999999</v>
      </c>
      <c r="L3380">
        <v>140.87039999999999</v>
      </c>
      <c r="M3380">
        <v>-0.99996339999999995</v>
      </c>
      <c r="N3380">
        <v>0</v>
      </c>
      <c r="O3380">
        <v>-6.6666030000000001E-3</v>
      </c>
      <c r="P3380">
        <v>-0.98861779999999999</v>
      </c>
      <c r="Q3380">
        <v>0.14444709999999999</v>
      </c>
      <c r="R3380">
        <v>4.2071709999999998E-2</v>
      </c>
      <c r="S3380">
        <v>-3.1187589999999998</v>
      </c>
      <c r="T3380">
        <v>-0.64914099999999997</v>
      </c>
      <c r="U3380">
        <v>0.25540160000000001</v>
      </c>
      <c r="V3380">
        <v>4.8417170000000002E-2</v>
      </c>
      <c r="W3380">
        <v>0.1498341</v>
      </c>
      <c r="X3380">
        <v>0.98752490000000004</v>
      </c>
      <c r="Y3380">
        <v>8.6282299999999895E-2</v>
      </c>
      <c r="Z3380">
        <v>1.0240610000000001E-2</v>
      </c>
      <c r="AA3380">
        <v>0.9962181</v>
      </c>
      <c r="AB3380">
        <v>38</v>
      </c>
      <c r="AC3380">
        <v>-0.35140000000001198</v>
      </c>
      <c r="AD3380">
        <v>-0.152152599999999</v>
      </c>
      <c r="AE3380">
        <v>6.2900000000013195E-2</v>
      </c>
      <c r="AF3380">
        <v>5.5211564885330397E-2</v>
      </c>
      <c r="AG3380">
        <v>-0.152152599999999</v>
      </c>
      <c r="AH3380">
        <v>0.29701686630145502</v>
      </c>
      <c r="AI3380">
        <v>116.731731687603</v>
      </c>
      <c r="AJ3380">
        <v>79.469651849939893</v>
      </c>
      <c r="AK3380">
        <v>0.33825692816464697</v>
      </c>
      <c r="AL3380">
        <v>81.382687063833501</v>
      </c>
      <c r="AM3380">
        <v>87.193103807663306</v>
      </c>
      <c r="AN3380">
        <v>0.99999995399681296</v>
      </c>
    </row>
    <row r="3381" spans="1:40" x14ac:dyDescent="0.25">
      <c r="A3381" t="str">
        <f>"20190312164334764"</f>
        <v>20190312164334764</v>
      </c>
      <c r="B3381" t="str">
        <f>"1552380214757662"</f>
        <v>1552380214757662</v>
      </c>
      <c r="C3381" t="s">
        <v>40</v>
      </c>
      <c r="D3381">
        <v>4.5650110000000002</v>
      </c>
      <c r="E3381">
        <v>0.52572799999999997</v>
      </c>
      <c r="F3381" t="s">
        <v>41</v>
      </c>
      <c r="G3381">
        <v>-248.2259</v>
      </c>
      <c r="H3381">
        <v>0.96280429999999995</v>
      </c>
      <c r="I3381">
        <v>140.92599999999999</v>
      </c>
      <c r="J3381">
        <v>-247.91200000000001</v>
      </c>
      <c r="K3381">
        <v>1.1097589999999999</v>
      </c>
      <c r="L3381">
        <v>140.8673</v>
      </c>
      <c r="M3381">
        <v>-0.99995820000000002</v>
      </c>
      <c r="N3381">
        <v>0</v>
      </c>
      <c r="O3381">
        <v>-7.3705790000000004E-3</v>
      </c>
      <c r="P3381">
        <v>-0.98865409999999998</v>
      </c>
      <c r="Q3381">
        <v>0.14443</v>
      </c>
      <c r="R3381">
        <v>4.1271240000000001E-2</v>
      </c>
      <c r="S3381">
        <v>-3.1203609999999999</v>
      </c>
      <c r="T3381">
        <v>-0.65993139999999995</v>
      </c>
      <c r="U3381">
        <v>0.24917600000000001</v>
      </c>
      <c r="V3381">
        <v>4.830922E-2</v>
      </c>
      <c r="W3381">
        <v>0.14987510000000001</v>
      </c>
      <c r="X3381">
        <v>0.98752399999999996</v>
      </c>
      <c r="Y3381">
        <v>8.4917699999999999E-2</v>
      </c>
      <c r="Z3381">
        <v>1.0407339999999999E-2</v>
      </c>
      <c r="AA3381">
        <v>0.99633360000000004</v>
      </c>
      <c r="AB3381">
        <v>38</v>
      </c>
      <c r="AC3381">
        <v>-0.31389999999998902</v>
      </c>
      <c r="AD3381">
        <v>-0.14695469999999999</v>
      </c>
      <c r="AE3381">
        <v>5.8700000000015899E-2</v>
      </c>
      <c r="AF3381">
        <v>5.0349699662323603E-2</v>
      </c>
      <c r="AG3381">
        <v>-0.14695469999999999</v>
      </c>
      <c r="AH3381">
        <v>0.25867928536930102</v>
      </c>
      <c r="AI3381">
        <v>119.145406085112</v>
      </c>
      <c r="AJ3381">
        <v>78.9855856435302</v>
      </c>
      <c r="AK3381">
        <v>0.30173788092871001</v>
      </c>
      <c r="AL3381">
        <v>81.380311406865502</v>
      </c>
      <c r="AM3381">
        <v>87.199349486737205</v>
      </c>
      <c r="AN3381">
        <v>0.99999998845650895</v>
      </c>
    </row>
    <row r="3382" spans="1:40" x14ac:dyDescent="0.25">
      <c r="A3382" t="str">
        <f>"20190312164334785"</f>
        <v>20190312164334785</v>
      </c>
      <c r="B3382" t="str">
        <f>"1552380214778158"</f>
        <v>1552380214778158</v>
      </c>
      <c r="C3382" t="s">
        <v>40</v>
      </c>
      <c r="D3382">
        <v>4.965166</v>
      </c>
      <c r="E3382">
        <v>0.52561009999999997</v>
      </c>
      <c r="F3382" t="s">
        <v>41</v>
      </c>
      <c r="G3382">
        <v>-248.8828</v>
      </c>
      <c r="H3382">
        <v>0.90250520000000001</v>
      </c>
      <c r="I3382">
        <v>140.94540000000001</v>
      </c>
      <c r="J3382">
        <v>-248.31</v>
      </c>
      <c r="K3382">
        <v>1.1097729999999999</v>
      </c>
      <c r="L3382">
        <v>140.8638</v>
      </c>
      <c r="M3382">
        <v>-0.99995219999999996</v>
      </c>
      <c r="N3382">
        <v>0</v>
      </c>
      <c r="O3382">
        <v>-8.1069909999999992E-3</v>
      </c>
      <c r="P3382">
        <v>-0.98867130000000003</v>
      </c>
      <c r="Q3382">
        <v>0.14468039999999999</v>
      </c>
      <c r="R3382">
        <v>3.9959649999999999E-2</v>
      </c>
      <c r="S3382">
        <v>-3.1213380000000002</v>
      </c>
      <c r="T3382">
        <v>-0.66643390000000002</v>
      </c>
      <c r="U3382">
        <v>0.25057980000000002</v>
      </c>
      <c r="V3382">
        <v>4.7721769999999997E-2</v>
      </c>
      <c r="W3382">
        <v>0.15018809999999999</v>
      </c>
      <c r="X3382">
        <v>0.98750499999999997</v>
      </c>
      <c r="Y3382">
        <v>8.5992830000000006E-2</v>
      </c>
      <c r="Z3382">
        <v>1.0772840000000001E-2</v>
      </c>
      <c r="AA3382">
        <v>0.9962375</v>
      </c>
      <c r="AB3382">
        <v>38</v>
      </c>
      <c r="AC3382">
        <v>-0.57279999999999998</v>
      </c>
      <c r="AD3382">
        <v>-0.207267799999999</v>
      </c>
      <c r="AE3382">
        <v>8.1600000000008693E-2</v>
      </c>
      <c r="AF3382">
        <v>7.6432410630478897E-2</v>
      </c>
      <c r="AG3382">
        <v>-0.207267799999999</v>
      </c>
      <c r="AH3382">
        <v>0.50704938861647497</v>
      </c>
      <c r="AI3382">
        <v>112.008851101527</v>
      </c>
      <c r="AJ3382">
        <v>81.427796671569595</v>
      </c>
      <c r="AK3382">
        <v>0.55308311925782705</v>
      </c>
      <c r="AL3382">
        <v>81.362172433709702</v>
      </c>
      <c r="AM3382">
        <v>87.233299582730794</v>
      </c>
      <c r="AN3382">
        <v>0.99999997886927094</v>
      </c>
    </row>
    <row r="3383" spans="1:40" x14ac:dyDescent="0.25">
      <c r="A3383" t="str">
        <f>"20190312164334807"</f>
        <v>20190312164334807</v>
      </c>
      <c r="B3383" t="str">
        <f>"1552380214797678"</f>
        <v>1552380214797678</v>
      </c>
      <c r="C3383" t="s">
        <v>40</v>
      </c>
      <c r="D3383">
        <v>4.4730540000000003</v>
      </c>
      <c r="E3383">
        <v>0.54399459999999999</v>
      </c>
      <c r="F3383" t="s">
        <v>41</v>
      </c>
      <c r="G3383">
        <v>-249.23079999999999</v>
      </c>
      <c r="H3383">
        <v>0.91266420000000004</v>
      </c>
      <c r="I3383">
        <v>140.9366</v>
      </c>
      <c r="J3383">
        <v>-248.6686</v>
      </c>
      <c r="K3383">
        <v>1.1097809999999999</v>
      </c>
      <c r="L3383">
        <v>140.8603</v>
      </c>
      <c r="M3383">
        <v>-0.99994620000000001</v>
      </c>
      <c r="N3383">
        <v>0</v>
      </c>
      <c r="O3383">
        <v>-8.7705309999999998E-3</v>
      </c>
      <c r="P3383">
        <v>-0.98872139999999997</v>
      </c>
      <c r="Q3383">
        <v>0.14466770000000001</v>
      </c>
      <c r="R3383">
        <v>3.8748570000000003E-2</v>
      </c>
      <c r="S3383">
        <v>-3.1222080000000001</v>
      </c>
      <c r="T3383">
        <v>-0.66838439999999999</v>
      </c>
      <c r="U3383">
        <v>0.24662780000000001</v>
      </c>
      <c r="V3383">
        <v>4.7164459999999998E-2</v>
      </c>
      <c r="W3383">
        <v>0.15023149999999999</v>
      </c>
      <c r="X3383">
        <v>0.98752519999999999</v>
      </c>
      <c r="Y3383">
        <v>8.5366419999999998E-2</v>
      </c>
      <c r="Z3383">
        <v>1.0875330000000001E-2</v>
      </c>
      <c r="AA3383">
        <v>0.99629029999999996</v>
      </c>
      <c r="AB3383">
        <v>38</v>
      </c>
      <c r="AC3383">
        <v>-0.56219999999999004</v>
      </c>
      <c r="AD3383">
        <v>-0.19711679999999901</v>
      </c>
      <c r="AE3383">
        <v>7.6300000000003296E-2</v>
      </c>
      <c r="AF3383">
        <v>7.2479069002396895E-2</v>
      </c>
      <c r="AG3383">
        <v>-0.19711679999999901</v>
      </c>
      <c r="AH3383">
        <v>0.50103037801372297</v>
      </c>
      <c r="AI3383">
        <v>111.274439386091</v>
      </c>
      <c r="AJ3383">
        <v>81.7686914856112</v>
      </c>
      <c r="AK3383">
        <v>0.54326760254801498</v>
      </c>
      <c r="AL3383">
        <v>81.359657489770797</v>
      </c>
      <c r="AM3383">
        <v>87.265616509868394</v>
      </c>
      <c r="AN3383">
        <v>1.00000000525719</v>
      </c>
    </row>
    <row r="3384" spans="1:40" x14ac:dyDescent="0.25">
      <c r="A3384" t="str">
        <f>"20190312164334829"</f>
        <v>20190312164334829</v>
      </c>
      <c r="B3384" t="str">
        <f>"1552380214818173"</f>
        <v>1552380214818173</v>
      </c>
      <c r="C3384" t="s">
        <v>40</v>
      </c>
      <c r="D3384">
        <v>4.9500799999999998</v>
      </c>
      <c r="E3384">
        <v>0.54674299999999998</v>
      </c>
      <c r="F3384" t="s">
        <v>41</v>
      </c>
      <c r="G3384">
        <v>-249.57329999999999</v>
      </c>
      <c r="H3384">
        <v>0.90211620000000003</v>
      </c>
      <c r="I3384">
        <v>140.97290000000001</v>
      </c>
      <c r="J3384">
        <v>-249.0549</v>
      </c>
      <c r="K3384">
        <v>1.1097969999999999</v>
      </c>
      <c r="L3384">
        <v>140.85640000000001</v>
      </c>
      <c r="M3384">
        <v>-0.99993929999999998</v>
      </c>
      <c r="N3384">
        <v>0</v>
      </c>
      <c r="O3384">
        <v>-9.4847620000000007E-3</v>
      </c>
      <c r="P3384">
        <v>-0.98871569999999998</v>
      </c>
      <c r="Q3384">
        <v>0.14505409999999999</v>
      </c>
      <c r="R3384">
        <v>3.7429539999999997E-2</v>
      </c>
      <c r="S3384">
        <v>-3.1239170000000001</v>
      </c>
      <c r="T3384">
        <v>-0.71706440000000005</v>
      </c>
      <c r="U3384">
        <v>0.3885651</v>
      </c>
      <c r="V3384">
        <v>4.6548279999999997E-2</v>
      </c>
      <c r="W3384">
        <v>0.1506808</v>
      </c>
      <c r="X3384">
        <v>0.98748599999999997</v>
      </c>
      <c r="Y3384">
        <v>0.12928399999999901</v>
      </c>
      <c r="Z3384">
        <v>1.673494E-2</v>
      </c>
      <c r="AA3384">
        <v>0.99146639999999997</v>
      </c>
      <c r="AB3384">
        <v>38</v>
      </c>
      <c r="AC3384">
        <v>-0.51839999999998498</v>
      </c>
      <c r="AD3384">
        <v>-0.207680799999999</v>
      </c>
      <c r="AE3384">
        <v>0.116500000000002</v>
      </c>
      <c r="AF3384">
        <v>0.10532086454680099</v>
      </c>
      <c r="AG3384">
        <v>-0.207680799999999</v>
      </c>
      <c r="AH3384">
        <v>0.44871692498545201</v>
      </c>
      <c r="AI3384">
        <v>114.25571771996</v>
      </c>
      <c r="AJ3384">
        <v>76.790891639128205</v>
      </c>
      <c r="AK3384">
        <v>0.50553998651533505</v>
      </c>
      <c r="AL3384">
        <v>81.333618236299401</v>
      </c>
      <c r="AM3384">
        <v>87.301179724914604</v>
      </c>
      <c r="AN3384">
        <v>1.0000000230277899</v>
      </c>
    </row>
    <row r="3385" spans="1:40" x14ac:dyDescent="0.25">
      <c r="A3385" t="str">
        <f>"20190312164334850"</f>
        <v>20190312164334850</v>
      </c>
      <c r="B3385" t="str">
        <f>"1552380214848430"</f>
        <v>1552380214848430</v>
      </c>
      <c r="C3385" t="s">
        <v>40</v>
      </c>
      <c r="D3385">
        <v>4.5548799999999998</v>
      </c>
      <c r="E3385">
        <v>0.54790260000000002</v>
      </c>
      <c r="F3385" t="s">
        <v>41</v>
      </c>
      <c r="G3385">
        <v>-249.92869999999999</v>
      </c>
      <c r="H3385">
        <v>0.92444519999999997</v>
      </c>
      <c r="I3385">
        <v>140.9718</v>
      </c>
      <c r="J3385">
        <v>-249.41470000000001</v>
      </c>
      <c r="K3385">
        <v>1.109815</v>
      </c>
      <c r="L3385">
        <v>140.85239999999999</v>
      </c>
      <c r="M3385">
        <v>-0.9999325</v>
      </c>
      <c r="N3385">
        <v>0</v>
      </c>
      <c r="O3385">
        <v>-1.0149989999999999E-2</v>
      </c>
      <c r="P3385">
        <v>-0.98874770000000001</v>
      </c>
      <c r="Q3385">
        <v>0.14512149999999999</v>
      </c>
      <c r="R3385">
        <v>3.630506E-2</v>
      </c>
      <c r="S3385">
        <v>-3.1156619999999999</v>
      </c>
      <c r="T3385">
        <v>-0.66097869999999903</v>
      </c>
      <c r="U3385">
        <v>0.41081240000000002</v>
      </c>
      <c r="V3385">
        <v>4.6079259999999997E-2</v>
      </c>
      <c r="W3385">
        <v>0.15081129999999901</v>
      </c>
      <c r="X3385">
        <v>0.98748800000000003</v>
      </c>
      <c r="Y3385">
        <v>0.13754630000000001</v>
      </c>
      <c r="Z3385">
        <v>1.6490350000000001E-2</v>
      </c>
      <c r="AA3385">
        <v>0.99035810000000002</v>
      </c>
      <c r="AB3385">
        <v>39</v>
      </c>
      <c r="AC3385">
        <v>-0.51399999999998103</v>
      </c>
      <c r="AD3385">
        <v>-0.1853698</v>
      </c>
      <c r="AE3385">
        <v>0.119400000000013</v>
      </c>
      <c r="AF3385">
        <v>0.11092278121526999</v>
      </c>
      <c r="AG3385">
        <v>-0.1853698</v>
      </c>
      <c r="AH3385">
        <v>0.45643586453493601</v>
      </c>
      <c r="AI3385">
        <v>111.536091980195</v>
      </c>
      <c r="AJ3385">
        <v>76.340800980243998</v>
      </c>
      <c r="AK3385">
        <v>0.50497477618028097</v>
      </c>
      <c r="AL3385">
        <v>81.326054051762299</v>
      </c>
      <c r="AM3385">
        <v>87.328338813526301</v>
      </c>
      <c r="AN3385">
        <v>0.99999994827691696</v>
      </c>
    </row>
    <row r="3386" spans="1:40" x14ac:dyDescent="0.25">
      <c r="A3386" t="str">
        <f>"20190312164334873"</f>
        <v>20190312164334873</v>
      </c>
      <c r="B3386" t="str">
        <f>"1552380214867950"</f>
        <v>1552380214867950</v>
      </c>
      <c r="C3386" t="s">
        <v>40</v>
      </c>
      <c r="D3386">
        <v>4.7233669999999996</v>
      </c>
      <c r="E3386">
        <v>0.54799889999999996</v>
      </c>
      <c r="F3386" t="s">
        <v>41</v>
      </c>
      <c r="G3386">
        <v>-250.27869999999999</v>
      </c>
      <c r="H3386">
        <v>0.93235109999999999</v>
      </c>
      <c r="I3386">
        <v>140.9684</v>
      </c>
      <c r="J3386">
        <v>-249.81649999999999</v>
      </c>
      <c r="K3386">
        <v>1.109829</v>
      </c>
      <c r="L3386">
        <v>140.8477</v>
      </c>
      <c r="M3386">
        <v>-0.99992420000000004</v>
      </c>
      <c r="N3386">
        <v>0</v>
      </c>
      <c r="O3386">
        <v>-1.0891909999999999E-2</v>
      </c>
      <c r="P3386">
        <v>-0.98876660000000005</v>
      </c>
      <c r="Q3386">
        <v>0.14537429999999901</v>
      </c>
      <c r="R3386">
        <v>3.4740340000000001E-2</v>
      </c>
      <c r="S3386">
        <v>-3.1126399999999999</v>
      </c>
      <c r="T3386">
        <v>-0.63932840000000002</v>
      </c>
      <c r="U3386">
        <v>0.41783140000000002</v>
      </c>
      <c r="V3386">
        <v>4.5245279999999999E-2</v>
      </c>
      <c r="W3386">
        <v>0.1511352</v>
      </c>
      <c r="X3386">
        <v>0.9874771</v>
      </c>
      <c r="Y3386">
        <v>0.14072019999999999</v>
      </c>
      <c r="Z3386">
        <v>1.644545E-2</v>
      </c>
      <c r="AA3386">
        <v>0.98991280000000004</v>
      </c>
      <c r="AB3386">
        <v>39</v>
      </c>
      <c r="AC3386">
        <v>-0.462199999999995</v>
      </c>
      <c r="AD3386">
        <v>-0.17747789999999999</v>
      </c>
      <c r="AE3386">
        <v>0.120699999999999</v>
      </c>
      <c r="AF3386">
        <v>0.110477759997666</v>
      </c>
      <c r="AG3386">
        <v>-0.17747789999999999</v>
      </c>
      <c r="AH3386">
        <v>0.40496061228297697</v>
      </c>
      <c r="AI3386">
        <v>112.919033324361</v>
      </c>
      <c r="AJ3386">
        <v>74.740409650781501</v>
      </c>
      <c r="AK3386">
        <v>0.45573768545416099</v>
      </c>
      <c r="AL3386">
        <v>81.307281249497905</v>
      </c>
      <c r="AM3386">
        <v>87.376595625528793</v>
      </c>
      <c r="AN3386">
        <v>1.00000000353286</v>
      </c>
    </row>
    <row r="3387" spans="1:40" x14ac:dyDescent="0.25">
      <c r="A3387" t="str">
        <f>"20190312164334896"</f>
        <v>20190312164334896</v>
      </c>
      <c r="B3387" t="str">
        <f>"1552380214888446"</f>
        <v>1552380214888446</v>
      </c>
      <c r="C3387" t="s">
        <v>40</v>
      </c>
      <c r="D3387">
        <v>4.4695090000000004</v>
      </c>
      <c r="E3387">
        <v>0.54812459999999996</v>
      </c>
      <c r="F3387" t="s">
        <v>41</v>
      </c>
      <c r="G3387">
        <v>-250.63159999999999</v>
      </c>
      <c r="H3387">
        <v>0.94495759999999995</v>
      </c>
      <c r="I3387">
        <v>140.95699999999999</v>
      </c>
      <c r="J3387">
        <v>-250.20419999999999</v>
      </c>
      <c r="K3387">
        <v>1.109837</v>
      </c>
      <c r="L3387">
        <v>140.84289999999999</v>
      </c>
      <c r="M3387">
        <v>-0.99991569999999996</v>
      </c>
      <c r="N3387">
        <v>0</v>
      </c>
      <c r="O3387">
        <v>-1.160747E-2</v>
      </c>
      <c r="P3387">
        <v>-0.98882979999999998</v>
      </c>
      <c r="Q3387">
        <v>0.14527909999999999</v>
      </c>
      <c r="R3387">
        <v>3.331133E-2</v>
      </c>
      <c r="S3387">
        <v>-3.112015</v>
      </c>
      <c r="T3387">
        <v>-0.62956319999999999</v>
      </c>
      <c r="U3387">
        <v>0.41633609999999999</v>
      </c>
      <c r="V3387">
        <v>4.4522550000000001E-2</v>
      </c>
      <c r="W3387">
        <v>0.15110879999999999</v>
      </c>
      <c r="X3387">
        <v>0.987514</v>
      </c>
      <c r="Y3387">
        <v>0.1410583</v>
      </c>
      <c r="Z3387">
        <v>1.6379319999999999E-2</v>
      </c>
      <c r="AA3387">
        <v>0.98986580000000002</v>
      </c>
      <c r="AB3387">
        <v>39</v>
      </c>
      <c r="AC3387">
        <v>-0.427400000000005</v>
      </c>
      <c r="AD3387">
        <v>-0.16487940000000001</v>
      </c>
      <c r="AE3387">
        <v>0.114100000000007</v>
      </c>
      <c r="AF3387">
        <v>0.10453185310459601</v>
      </c>
      <c r="AG3387">
        <v>-0.16487940000000001</v>
      </c>
      <c r="AH3387">
        <v>0.37407959270671798</v>
      </c>
      <c r="AI3387">
        <v>113.001133676951</v>
      </c>
      <c r="AJ3387">
        <v>74.387645591290607</v>
      </c>
      <c r="AK3387">
        <v>0.42195694867778299</v>
      </c>
      <c r="AL3387">
        <v>81.308811519735002</v>
      </c>
      <c r="AM3387">
        <v>87.418540020079703</v>
      </c>
      <c r="AN3387">
        <v>1.0000000135459699</v>
      </c>
    </row>
    <row r="3388" spans="1:40" x14ac:dyDescent="0.25">
      <c r="A3388" t="str">
        <f>"20190312164334918"</f>
        <v>20190312164334918</v>
      </c>
      <c r="B3388" t="str">
        <f>"1552380214907965"</f>
        <v>1552380214907965</v>
      </c>
      <c r="C3388" t="s">
        <v>40</v>
      </c>
      <c r="D3388">
        <v>4.457039</v>
      </c>
      <c r="E3388">
        <v>0.54837769999999997</v>
      </c>
      <c r="F3388" t="s">
        <v>41</v>
      </c>
      <c r="G3388">
        <v>-250.98349999999999</v>
      </c>
      <c r="H3388">
        <v>0.9534473</v>
      </c>
      <c r="I3388">
        <v>140.9468</v>
      </c>
      <c r="J3388">
        <v>-250.6009</v>
      </c>
      <c r="K3388">
        <v>1.1098380000000001</v>
      </c>
      <c r="L3388">
        <v>140.83779999999999</v>
      </c>
      <c r="M3388">
        <v>-0.99990659999999998</v>
      </c>
      <c r="N3388">
        <v>0</v>
      </c>
      <c r="O3388">
        <v>-1.233925E-2</v>
      </c>
      <c r="P3388">
        <v>-0.98882539999999997</v>
      </c>
      <c r="Q3388">
        <v>0.14554410000000001</v>
      </c>
      <c r="R3388">
        <v>3.2268810000000002E-2</v>
      </c>
      <c r="S3388">
        <v>-3.111694</v>
      </c>
      <c r="T3388">
        <v>-0.62446709999999905</v>
      </c>
      <c r="U3388">
        <v>0.41375729999999999</v>
      </c>
      <c r="V3388">
        <v>4.4200900000000001E-2</v>
      </c>
      <c r="W3388">
        <v>0.15144349999999901</v>
      </c>
      <c r="X3388">
        <v>0.98747720000000005</v>
      </c>
      <c r="Y3388">
        <v>0.1410237</v>
      </c>
      <c r="Z3388">
        <v>1.6393209999999998E-2</v>
      </c>
      <c r="AA3388">
        <v>0.98987049999999999</v>
      </c>
      <c r="AB3388">
        <v>39</v>
      </c>
      <c r="AC3388">
        <v>-0.382599999999996</v>
      </c>
      <c r="AD3388">
        <v>-0.15639069999999899</v>
      </c>
      <c r="AE3388">
        <v>0.10900000000000799</v>
      </c>
      <c r="AF3388">
        <v>9.8491865929055705E-2</v>
      </c>
      <c r="AG3388">
        <v>-0.15639069999999899</v>
      </c>
      <c r="AH3388">
        <v>0.33019725007793299</v>
      </c>
      <c r="AI3388">
        <v>114.411754486771</v>
      </c>
      <c r="AJ3388">
        <v>73.391109786270206</v>
      </c>
      <c r="AK3388">
        <v>0.37840312189476699</v>
      </c>
      <c r="AL3388">
        <v>81.289411561405203</v>
      </c>
      <c r="AM3388">
        <v>87.437069257375697</v>
      </c>
      <c r="AN3388">
        <v>1.0000000368864399</v>
      </c>
    </row>
    <row r="3389" spans="1:40" x14ac:dyDescent="0.25">
      <c r="A3389" t="str">
        <f>"20190312164334941"</f>
        <v>20190312164334941</v>
      </c>
      <c r="B3389" t="str">
        <f>"1552380214938222"</f>
        <v>1552380214938222</v>
      </c>
      <c r="C3389" t="s">
        <v>40</v>
      </c>
      <c r="D3389">
        <v>4.4772730000000003</v>
      </c>
      <c r="E3389">
        <v>0.54896129999999999</v>
      </c>
      <c r="F3389" t="s">
        <v>41</v>
      </c>
      <c r="G3389">
        <v>-251.33690000000001</v>
      </c>
      <c r="H3389">
        <v>0.96291839999999995</v>
      </c>
      <c r="I3389">
        <v>140.9357</v>
      </c>
      <c r="J3389">
        <v>-250.99010000000001</v>
      </c>
      <c r="K3389">
        <v>1.1098479999999999</v>
      </c>
      <c r="L3389">
        <v>140.83240000000001</v>
      </c>
      <c r="M3389">
        <v>-0.99989700000000004</v>
      </c>
      <c r="N3389">
        <v>0</v>
      </c>
      <c r="O3389">
        <v>-1.305717E-2</v>
      </c>
      <c r="P3389">
        <v>-0.98885480000000003</v>
      </c>
      <c r="Q3389">
        <v>0.14559079999999999</v>
      </c>
      <c r="R3389">
        <v>3.1140029999999999E-2</v>
      </c>
      <c r="S3389">
        <v>-3.1118160000000001</v>
      </c>
      <c r="T3389">
        <v>-0.62118649999999997</v>
      </c>
      <c r="U3389">
        <v>0.41395569999999998</v>
      </c>
      <c r="V3389">
        <v>4.3780340000000001E-2</v>
      </c>
      <c r="W3389">
        <v>0.1515542</v>
      </c>
      <c r="X3389">
        <v>0.98747890000000005</v>
      </c>
      <c r="Y3389">
        <v>0.14179369999999999</v>
      </c>
      <c r="Z3389">
        <v>1.6525189999999999E-2</v>
      </c>
      <c r="AA3389">
        <v>0.98975829999999998</v>
      </c>
      <c r="AB3389">
        <v>39</v>
      </c>
      <c r="AC3389">
        <v>-0.346800000000001</v>
      </c>
      <c r="AD3389">
        <v>-0.14692959999999899</v>
      </c>
      <c r="AE3389">
        <v>0.10329999999999</v>
      </c>
      <c r="AF3389">
        <v>9.2559229680990895E-2</v>
      </c>
      <c r="AG3389">
        <v>-0.14692959999999899</v>
      </c>
      <c r="AH3389">
        <v>0.296532237265692</v>
      </c>
      <c r="AI3389">
        <v>115.31352187453</v>
      </c>
      <c r="AJ3389">
        <v>72.664829039250193</v>
      </c>
      <c r="AK3389">
        <v>0.34363772507263401</v>
      </c>
      <c r="AL3389">
        <v>81.282994405019593</v>
      </c>
      <c r="AM3389">
        <v>87.4614271833522</v>
      </c>
      <c r="AN3389">
        <v>0.99999998582668204</v>
      </c>
    </row>
    <row r="3390" spans="1:40" x14ac:dyDescent="0.25">
      <c r="A3390" t="str">
        <f>"20190312164334964"</f>
        <v>20190312164334964</v>
      </c>
      <c r="B3390" t="str">
        <f>"1552380214957742"</f>
        <v>1552380214957742</v>
      </c>
      <c r="C3390" t="s">
        <v>40</v>
      </c>
      <c r="D3390">
        <v>4.8500769999999997</v>
      </c>
      <c r="E3390">
        <v>0.549041</v>
      </c>
      <c r="F3390" t="s">
        <v>41</v>
      </c>
      <c r="G3390">
        <v>-251.6901</v>
      </c>
      <c r="H3390">
        <v>0.97024630000000001</v>
      </c>
      <c r="I3390">
        <v>140.92599999999999</v>
      </c>
      <c r="J3390">
        <v>-251.38740000000001</v>
      </c>
      <c r="K3390">
        <v>1.1098520000000001</v>
      </c>
      <c r="L3390">
        <v>140.82660000000001</v>
      </c>
      <c r="M3390">
        <v>-0.99988690000000002</v>
      </c>
      <c r="N3390">
        <v>0</v>
      </c>
      <c r="O3390">
        <v>-1.3787829999999999E-2</v>
      </c>
      <c r="P3390">
        <v>-0.98893220000000004</v>
      </c>
      <c r="Q3390">
        <v>0.14531759999999999</v>
      </c>
      <c r="R3390">
        <v>2.99403E-2</v>
      </c>
      <c r="S3390">
        <v>-3.1120909999999999</v>
      </c>
      <c r="T3390">
        <v>-0.62067620000000001</v>
      </c>
      <c r="U3390">
        <v>0.41555789999999998</v>
      </c>
      <c r="V3390">
        <v>4.3303309999999998E-2</v>
      </c>
      <c r="W3390">
        <v>0.15134120000000001</v>
      </c>
      <c r="X3390">
        <v>0.98753259999999998</v>
      </c>
      <c r="Y3390">
        <v>0.1429744</v>
      </c>
      <c r="Z3390">
        <v>1.676975E-2</v>
      </c>
      <c r="AA3390">
        <v>0.98958429999999997</v>
      </c>
      <c r="AB3390">
        <v>39</v>
      </c>
      <c r="AC3390">
        <v>-0.30269999999998698</v>
      </c>
      <c r="AD3390">
        <v>-0.1396057</v>
      </c>
      <c r="AE3390">
        <v>9.9400000000002806E-2</v>
      </c>
      <c r="AF3390">
        <v>8.6882517217833605E-2</v>
      </c>
      <c r="AG3390">
        <v>-0.1396057</v>
      </c>
      <c r="AH3390">
        <v>0.25276844495943301</v>
      </c>
      <c r="AI3390">
        <v>117.578661236733</v>
      </c>
      <c r="AJ3390">
        <v>71.030937391684006</v>
      </c>
      <c r="AK3390">
        <v>0.30154636465692503</v>
      </c>
      <c r="AL3390">
        <v>81.295340818271697</v>
      </c>
      <c r="AM3390">
        <v>87.489188207702995</v>
      </c>
      <c r="AN3390">
        <v>0.99999998576857796</v>
      </c>
    </row>
    <row r="3391" spans="1:40" x14ac:dyDescent="0.25">
      <c r="A3391" t="str">
        <f>"20190312164334987"</f>
        <v>20190312164334987</v>
      </c>
      <c r="B3391" t="str">
        <f>"1552380214978238"</f>
        <v>1552380214978238</v>
      </c>
      <c r="C3391" t="s">
        <v>40</v>
      </c>
      <c r="D3391">
        <v>4.4446240000000001</v>
      </c>
      <c r="E3391">
        <v>0.54905749999999998</v>
      </c>
      <c r="F3391" t="s">
        <v>41</v>
      </c>
      <c r="G3391">
        <v>-252.36940000000001</v>
      </c>
      <c r="H3391">
        <v>0.91404410000000003</v>
      </c>
      <c r="I3391">
        <v>140.9573</v>
      </c>
      <c r="J3391">
        <v>-251.79900000000001</v>
      </c>
      <c r="K3391">
        <v>1.109855</v>
      </c>
      <c r="L3391">
        <v>140.8203</v>
      </c>
      <c r="M3391">
        <v>-0.99987579999999998</v>
      </c>
      <c r="N3391">
        <v>0</v>
      </c>
      <c r="O3391">
        <v>-1.4540869999999999E-2</v>
      </c>
      <c r="P3391">
        <v>-0.98888889999999996</v>
      </c>
      <c r="Q3391">
        <v>0.14578849999999999</v>
      </c>
      <c r="R3391">
        <v>2.9062109999999999E-2</v>
      </c>
      <c r="S3391">
        <v>-3.112244</v>
      </c>
      <c r="T3391">
        <v>-0.62059779999999998</v>
      </c>
      <c r="U3391">
        <v>0.41378779999999998</v>
      </c>
      <c r="V3391">
        <v>4.3166999999999997E-2</v>
      </c>
      <c r="W3391">
        <v>0.15186810000000001</v>
      </c>
      <c r="X3391">
        <v>0.98745769999999999</v>
      </c>
      <c r="Y3391">
        <v>0.14314299999999999</v>
      </c>
      <c r="Z3391">
        <v>1.6932180000000002E-2</v>
      </c>
      <c r="AA3391">
        <v>0.98955709999999997</v>
      </c>
      <c r="AB3391">
        <v>39</v>
      </c>
      <c r="AC3391">
        <v>-0.57040000000000601</v>
      </c>
      <c r="AD3391">
        <v>-0.19581090000000001</v>
      </c>
      <c r="AE3391">
        <v>0.13700000000000001</v>
      </c>
      <c r="AF3391">
        <v>0.13071564038959199</v>
      </c>
      <c r="AG3391">
        <v>-0.19581090000000001</v>
      </c>
      <c r="AH3391">
        <v>0.51137133100624599</v>
      </c>
      <c r="AI3391">
        <v>110.354094944897</v>
      </c>
      <c r="AJ3391">
        <v>75.661214210109904</v>
      </c>
      <c r="AK3391">
        <v>0.56296458625420698</v>
      </c>
      <c r="AL3391">
        <v>81.264798849489793</v>
      </c>
      <c r="AM3391">
        <v>87.496892056661395</v>
      </c>
      <c r="AN3391">
        <v>1.00000000948795</v>
      </c>
    </row>
    <row r="3392" spans="1:40" x14ac:dyDescent="0.25">
      <c r="A3392" t="str">
        <f>"20190312164335009"</f>
        <v>20190312164335009</v>
      </c>
      <c r="B3392" t="str">
        <f>"1552380214997758"</f>
        <v>1552380214997758</v>
      </c>
      <c r="C3392" t="s">
        <v>40</v>
      </c>
      <c r="D3392">
        <v>4.3347800000000003</v>
      </c>
      <c r="E3392">
        <v>0.54861959999999999</v>
      </c>
      <c r="F3392" t="s">
        <v>41</v>
      </c>
      <c r="G3392">
        <v>-252.72649999999999</v>
      </c>
      <c r="H3392">
        <v>0.9259096</v>
      </c>
      <c r="I3392">
        <v>140.94319999999999</v>
      </c>
      <c r="J3392">
        <v>-252.1893</v>
      </c>
      <c r="K3392">
        <v>1.109858</v>
      </c>
      <c r="L3392">
        <v>140.8141</v>
      </c>
      <c r="M3392">
        <v>-0.999865</v>
      </c>
      <c r="N3392">
        <v>0</v>
      </c>
      <c r="O3392">
        <v>-1.525204E-2</v>
      </c>
      <c r="P3392">
        <v>-0.98882619999999999</v>
      </c>
      <c r="Q3392">
        <v>0.146366</v>
      </c>
      <c r="R3392">
        <v>2.828454E-2</v>
      </c>
      <c r="S3392">
        <v>-3.112625</v>
      </c>
      <c r="T3392">
        <v>-0.61739769999999905</v>
      </c>
      <c r="U3392">
        <v>0.41160580000000002</v>
      </c>
      <c r="V3392">
        <v>4.3089849999999999E-2</v>
      </c>
      <c r="W3392">
        <v>0.15249399999999999</v>
      </c>
      <c r="X3392">
        <v>0.98736460000000004</v>
      </c>
      <c r="Y3392">
        <v>0.1431664</v>
      </c>
      <c r="Z3392">
        <v>1.698672E-2</v>
      </c>
      <c r="AA3392">
        <v>0.98955289999999996</v>
      </c>
      <c r="AB3392">
        <v>39</v>
      </c>
      <c r="AC3392">
        <v>-0.53719999999998402</v>
      </c>
      <c r="AD3392">
        <v>-0.18394839999999901</v>
      </c>
      <c r="AE3392">
        <v>0.129099999999994</v>
      </c>
      <c r="AF3392">
        <v>0.12357972718975201</v>
      </c>
      <c r="AG3392">
        <v>-0.18394839999999901</v>
      </c>
      <c r="AH3392">
        <v>0.48176483642316598</v>
      </c>
      <c r="AI3392">
        <v>110.29680594979</v>
      </c>
      <c r="AJ3392">
        <v>75.612994477431698</v>
      </c>
      <c r="AK3392">
        <v>0.530288902814959</v>
      </c>
      <c r="AL3392">
        <v>81.2285147611383</v>
      </c>
      <c r="AM3392">
        <v>87.501124747000006</v>
      </c>
      <c r="AN3392">
        <v>1.0000000042710899</v>
      </c>
    </row>
    <row r="3393" spans="1:40" x14ac:dyDescent="0.25">
      <c r="A3393" t="str">
        <f>"20190312164335029"</f>
        <v>20190312164335029</v>
      </c>
      <c r="B3393" t="str">
        <f>"1552380215018254"</f>
        <v>1552380215018254</v>
      </c>
      <c r="C3393" t="s">
        <v>40</v>
      </c>
      <c r="D3393">
        <v>4.8840510000000004</v>
      </c>
      <c r="E3393">
        <v>0.54775309999999999</v>
      </c>
      <c r="F3393" t="s">
        <v>41</v>
      </c>
      <c r="G3393">
        <v>-253.08330000000001</v>
      </c>
      <c r="H3393">
        <v>0.93474400000000002</v>
      </c>
      <c r="I3393">
        <v>140.9308</v>
      </c>
      <c r="J3393">
        <v>-252.56020000000001</v>
      </c>
      <c r="K3393">
        <v>1.1098600000000001</v>
      </c>
      <c r="L3393">
        <v>140.80789999999999</v>
      </c>
      <c r="M3393">
        <v>-0.99985420000000003</v>
      </c>
      <c r="N3393">
        <v>0</v>
      </c>
      <c r="O3393">
        <v>-1.5924669999999998E-2</v>
      </c>
      <c r="P3393">
        <v>-0.98878779999999999</v>
      </c>
      <c r="Q3393">
        <v>0.146651</v>
      </c>
      <c r="R3393">
        <v>2.814645E-2</v>
      </c>
      <c r="S3393">
        <v>-3.1125340000000001</v>
      </c>
      <c r="T3393">
        <v>-0.60970590000000002</v>
      </c>
      <c r="U3393">
        <v>0.4059296</v>
      </c>
      <c r="V3393">
        <v>4.3615099999999997E-2</v>
      </c>
      <c r="W3393">
        <v>0.15282200000000001</v>
      </c>
      <c r="X3393">
        <v>0.98729080000000002</v>
      </c>
      <c r="Y3393">
        <v>0.14214160000000001</v>
      </c>
      <c r="Z3393">
        <v>1.681243E-2</v>
      </c>
      <c r="AA3393">
        <v>0.98970349999999996</v>
      </c>
      <c r="AB3393">
        <v>39</v>
      </c>
      <c r="AC3393">
        <v>-0.52309999999999901</v>
      </c>
      <c r="AD3393">
        <v>-0.17511599999999999</v>
      </c>
      <c r="AE3393">
        <v>0.122900000000015</v>
      </c>
      <c r="AF3393">
        <v>0.118616973521239</v>
      </c>
      <c r="AG3393">
        <v>-0.17511599999999999</v>
      </c>
      <c r="AH3393">
        <v>0.47104847027505897</v>
      </c>
      <c r="AI3393">
        <v>109.824420736246</v>
      </c>
      <c r="AJ3393">
        <v>75.865934832205994</v>
      </c>
      <c r="AK3393">
        <v>0.51635478230748599</v>
      </c>
      <c r="AL3393">
        <v>81.209498665995099</v>
      </c>
      <c r="AM3393">
        <v>87.470514843755396</v>
      </c>
      <c r="AN3393">
        <v>0.99999998219832398</v>
      </c>
    </row>
    <row r="3394" spans="1:40" x14ac:dyDescent="0.25">
      <c r="A3394" t="str">
        <f>"20190312164335052"</f>
        <v>20190312164335052</v>
      </c>
      <c r="B3394" t="str">
        <f>"1552380215048511"</f>
        <v>1552380215048511</v>
      </c>
      <c r="C3394" t="s">
        <v>40</v>
      </c>
      <c r="D3394">
        <v>4.6127949999999904</v>
      </c>
      <c r="E3394">
        <v>0.54671440000000004</v>
      </c>
      <c r="F3394" t="s">
        <v>41</v>
      </c>
      <c r="G3394">
        <v>-253.4402</v>
      </c>
      <c r="H3394">
        <v>0.94070989999999999</v>
      </c>
      <c r="I3394">
        <v>140.92089999999999</v>
      </c>
      <c r="J3394">
        <v>-252.9589</v>
      </c>
      <c r="K3394">
        <v>1.1098570000000001</v>
      </c>
      <c r="L3394">
        <v>140.80099999999999</v>
      </c>
      <c r="M3394">
        <v>-0.99984229999999996</v>
      </c>
      <c r="N3394">
        <v>0</v>
      </c>
      <c r="O3394">
        <v>-1.6644030000000001E-2</v>
      </c>
      <c r="P3394">
        <v>-0.98878960000000005</v>
      </c>
      <c r="Q3394">
        <v>0.14668809999999999</v>
      </c>
      <c r="R3394">
        <v>2.7897809999999999E-2</v>
      </c>
      <c r="S3394">
        <v>-3.1114039999999998</v>
      </c>
      <c r="T3394">
        <v>-0.59816709999999995</v>
      </c>
      <c r="U3394">
        <v>0.39883420000000003</v>
      </c>
      <c r="V3394">
        <v>4.4077140000000001E-2</v>
      </c>
      <c r="W3394">
        <v>0.1529016</v>
      </c>
      <c r="X3394">
        <v>0.98725799999999997</v>
      </c>
      <c r="Y3394">
        <v>0.14079749999999999</v>
      </c>
      <c r="Z3394">
        <v>1.6517150000000001E-2</v>
      </c>
      <c r="AA3394">
        <v>0.98990060000000002</v>
      </c>
      <c r="AB3394">
        <v>40</v>
      </c>
      <c r="AC3394">
        <v>-0.481300000000004</v>
      </c>
      <c r="AD3394">
        <v>-0.169147099999999</v>
      </c>
      <c r="AE3394">
        <v>0.119899999999972</v>
      </c>
      <c r="AF3394">
        <v>0.11457069728021101</v>
      </c>
      <c r="AG3394">
        <v>-0.169147099999999</v>
      </c>
      <c r="AH3394">
        <v>0.42931223005832198</v>
      </c>
      <c r="AI3394">
        <v>110.840474996937</v>
      </c>
      <c r="AJ3394">
        <v>75.057688937473699</v>
      </c>
      <c r="AK3394">
        <v>0.47544313749525602</v>
      </c>
      <c r="AL3394">
        <v>81.204884073455304</v>
      </c>
      <c r="AM3394">
        <v>87.4436690874589</v>
      </c>
      <c r="AN3394">
        <v>1.00000002605856</v>
      </c>
    </row>
    <row r="3395" spans="1:40" x14ac:dyDescent="0.25">
      <c r="A3395" t="str">
        <f>"20190312164335074"</f>
        <v>20190312164335074</v>
      </c>
      <c r="B3395" t="str">
        <f>"1552380215068030"</f>
        <v>1552380215068030</v>
      </c>
      <c r="C3395" t="s">
        <v>40</v>
      </c>
      <c r="D3395">
        <v>4.6096399999999997</v>
      </c>
      <c r="E3395">
        <v>0.54609010000000002</v>
      </c>
      <c r="F3395" t="s">
        <v>41</v>
      </c>
      <c r="G3395">
        <v>-253.80009999999999</v>
      </c>
      <c r="H3395">
        <v>0.95168240000000004</v>
      </c>
      <c r="I3395">
        <v>140.9067</v>
      </c>
      <c r="J3395">
        <v>-253.35390000000001</v>
      </c>
      <c r="K3395">
        <v>1.1098570000000001</v>
      </c>
      <c r="L3395">
        <v>140.79390000000001</v>
      </c>
      <c r="M3395">
        <v>-0.99982990000000005</v>
      </c>
      <c r="N3395">
        <v>0</v>
      </c>
      <c r="O3395">
        <v>-1.7351800000000001E-2</v>
      </c>
      <c r="P3395">
        <v>-0.98866430000000005</v>
      </c>
      <c r="Q3395">
        <v>0.1475931</v>
      </c>
      <c r="R3395">
        <v>2.755958E-2</v>
      </c>
      <c r="S3395">
        <v>-3.109756</v>
      </c>
      <c r="T3395">
        <v>-0.58482230000000002</v>
      </c>
      <c r="U3395">
        <v>0.39028930000000001</v>
      </c>
      <c r="V3395">
        <v>4.4434359999999999E-2</v>
      </c>
      <c r="W3395">
        <v>0.15384349999999999</v>
      </c>
      <c r="X3395">
        <v>0.98709559999999996</v>
      </c>
      <c r="Y3395">
        <v>0.1390256</v>
      </c>
      <c r="Z3395">
        <v>1.6133020000000001E-2</v>
      </c>
      <c r="AA3395">
        <v>0.99015739999999997</v>
      </c>
      <c r="AB3395">
        <v>40</v>
      </c>
      <c r="AC3395">
        <v>-0.446199999999976</v>
      </c>
      <c r="AD3395">
        <v>-0.158174599999999</v>
      </c>
      <c r="AE3395">
        <v>0.112799999999992</v>
      </c>
      <c r="AF3395">
        <v>0.107793379756969</v>
      </c>
      <c r="AG3395">
        <v>-0.158174599999999</v>
      </c>
      <c r="AH3395">
        <v>0.39725337639546898</v>
      </c>
      <c r="AI3395">
        <v>111.02051515002699</v>
      </c>
      <c r="AJ3395">
        <v>74.818533580907001</v>
      </c>
      <c r="AK3395">
        <v>0.44096356069656201</v>
      </c>
      <c r="AL3395">
        <v>81.150270602126497</v>
      </c>
      <c r="AM3395">
        <v>87.422555897886397</v>
      </c>
      <c r="AN3395">
        <v>0.99999997919010897</v>
      </c>
    </row>
    <row r="3396" spans="1:40" x14ac:dyDescent="0.25">
      <c r="A3396" t="str">
        <f>"20190312164335097"</f>
        <v>20190312164335097</v>
      </c>
      <c r="B3396" t="str">
        <f>"1552380215088526"</f>
        <v>1552380215088526</v>
      </c>
      <c r="C3396" t="s">
        <v>40</v>
      </c>
      <c r="D3396">
        <v>4.3381959999999999</v>
      </c>
      <c r="E3396">
        <v>0.54580329999999999</v>
      </c>
      <c r="F3396" t="s">
        <v>41</v>
      </c>
      <c r="G3396">
        <v>-254.1602</v>
      </c>
      <c r="H3396">
        <v>0.9609164</v>
      </c>
      <c r="I3396">
        <v>140.89410000000001</v>
      </c>
      <c r="J3396">
        <v>-253.76150000000001</v>
      </c>
      <c r="K3396">
        <v>1.1098619999999999</v>
      </c>
      <c r="L3396">
        <v>140.78630000000001</v>
      </c>
      <c r="M3396">
        <v>-0.99981690000000001</v>
      </c>
      <c r="N3396">
        <v>0</v>
      </c>
      <c r="O3396">
        <v>-1.807804E-2</v>
      </c>
      <c r="P3396">
        <v>-0.98848800000000003</v>
      </c>
      <c r="Q3396">
        <v>0.1487811</v>
      </c>
      <c r="R3396">
        <v>2.749826E-2</v>
      </c>
      <c r="S3396">
        <v>-3.1094360000000001</v>
      </c>
      <c r="T3396">
        <v>-0.5745401</v>
      </c>
      <c r="U3396">
        <v>0.38531490000000002</v>
      </c>
      <c r="V3396">
        <v>4.5085189999999997E-2</v>
      </c>
      <c r="W3396">
        <v>0.1550665</v>
      </c>
      <c r="X3396">
        <v>0.98687469999999999</v>
      </c>
      <c r="Y3396">
        <v>0.13828979999999999</v>
      </c>
      <c r="Z3396">
        <v>1.5922660000000002E-2</v>
      </c>
      <c r="AA3396">
        <v>0.99026380000000003</v>
      </c>
      <c r="AB3396">
        <v>40</v>
      </c>
      <c r="AC3396">
        <v>-0.39869999999999001</v>
      </c>
      <c r="AD3396">
        <v>-0.14894560000000001</v>
      </c>
      <c r="AE3396">
        <v>0.107799999999997</v>
      </c>
      <c r="AF3396">
        <v>0.101756489087466</v>
      </c>
      <c r="AG3396">
        <v>-0.14894560000000001</v>
      </c>
      <c r="AH3396">
        <v>0.35103304458865098</v>
      </c>
      <c r="AI3396">
        <v>112.172354963149</v>
      </c>
      <c r="AJ3396">
        <v>73.834329341779707</v>
      </c>
      <c r="AK3396">
        <v>0.39466868791930498</v>
      </c>
      <c r="AL3396">
        <v>81.079346798930501</v>
      </c>
      <c r="AM3396">
        <v>87.384271554972898</v>
      </c>
      <c r="AN3396">
        <v>0.999999983639838</v>
      </c>
    </row>
    <row r="3397" spans="1:40" x14ac:dyDescent="0.25">
      <c r="A3397" t="str">
        <f>"20190312164335118"</f>
        <v>20190312164335118</v>
      </c>
      <c r="B3397" t="str">
        <f>"1552380215108049"</f>
        <v>1552380215108049</v>
      </c>
      <c r="C3397" t="s">
        <v>40</v>
      </c>
      <c r="D3397">
        <v>4.3719199999999896</v>
      </c>
      <c r="E3397">
        <v>0.53820100000000004</v>
      </c>
      <c r="F3397" t="s">
        <v>41</v>
      </c>
      <c r="G3397">
        <v>-254.52170000000001</v>
      </c>
      <c r="H3397">
        <v>0.9712385</v>
      </c>
      <c r="I3397">
        <v>140.88040000000001</v>
      </c>
      <c r="J3397">
        <v>-254.14959999999999</v>
      </c>
      <c r="K3397">
        <v>1.1098619999999999</v>
      </c>
      <c r="L3397">
        <v>140.77869999999999</v>
      </c>
      <c r="M3397">
        <v>-0.99980409999999997</v>
      </c>
      <c r="N3397">
        <v>0</v>
      </c>
      <c r="O3397">
        <v>-1.8762170000000002E-2</v>
      </c>
      <c r="P3397">
        <v>-0.98829429999999996</v>
      </c>
      <c r="Q3397">
        <v>0.15004310000000001</v>
      </c>
      <c r="R3397">
        <v>2.7590859999999998E-2</v>
      </c>
      <c r="S3397">
        <v>-3.1096189999999999</v>
      </c>
      <c r="T3397">
        <v>-0.56712940000000001</v>
      </c>
      <c r="U3397">
        <v>0.38458249999999999</v>
      </c>
      <c r="V3397">
        <v>4.5848E-2</v>
      </c>
      <c r="W3397">
        <v>0.15635850000000001</v>
      </c>
      <c r="X3397">
        <v>0.9866357</v>
      </c>
      <c r="Y3397">
        <v>0.13877779999999901</v>
      </c>
      <c r="Z3397">
        <v>1.5887229999999999E-2</v>
      </c>
      <c r="AA3397">
        <v>0.99019610000000002</v>
      </c>
      <c r="AB3397">
        <v>40</v>
      </c>
      <c r="AC3397">
        <v>-0.37210000000001697</v>
      </c>
      <c r="AD3397">
        <v>-0.13862350000000001</v>
      </c>
      <c r="AE3397">
        <v>0.101700000000022</v>
      </c>
      <c r="AF3397">
        <v>9.6235596973775997E-2</v>
      </c>
      <c r="AG3397">
        <v>-0.13862350000000001</v>
      </c>
      <c r="AH3397">
        <v>0.32779437658230998</v>
      </c>
      <c r="AI3397">
        <v>112.085933269287</v>
      </c>
      <c r="AJ3397">
        <v>73.638538665348506</v>
      </c>
      <c r="AK3397">
        <v>0.36868267954452999</v>
      </c>
      <c r="AL3397">
        <v>81.004406813004195</v>
      </c>
      <c r="AM3397">
        <v>87.339434878876702</v>
      </c>
      <c r="AN3397">
        <v>1.00000001207036</v>
      </c>
    </row>
    <row r="3398" spans="1:40" x14ac:dyDescent="0.25">
      <c r="A3398" t="str">
        <f>"20190312164335143"</f>
        <v>20190312164335143</v>
      </c>
      <c r="B3398" t="str">
        <f>"1552380215138302"</f>
        <v>1552380215138302</v>
      </c>
      <c r="C3398" t="s">
        <v>40</v>
      </c>
      <c r="D3398">
        <v>4.5841919999999998</v>
      </c>
      <c r="E3398">
        <v>0.50016779999999905</v>
      </c>
      <c r="F3398" t="s">
        <v>41</v>
      </c>
      <c r="G3398">
        <v>-254.87559999999999</v>
      </c>
      <c r="H3398">
        <v>0.96484539999999996</v>
      </c>
      <c r="I3398">
        <v>140.85329999999999</v>
      </c>
      <c r="J3398">
        <v>-254.5591</v>
      </c>
      <c r="K3398">
        <v>1.1098629999999901</v>
      </c>
      <c r="L3398">
        <v>140.7705</v>
      </c>
      <c r="M3398">
        <v>-0.99979030000000002</v>
      </c>
      <c r="N3398">
        <v>0</v>
      </c>
      <c r="O3398">
        <v>-1.9473089999999998E-2</v>
      </c>
      <c r="P3398">
        <v>-0.98813059999999997</v>
      </c>
      <c r="Q3398">
        <v>0.15111659999999999</v>
      </c>
      <c r="R3398">
        <v>2.7602910000000001E-2</v>
      </c>
      <c r="S3398">
        <v>-3.1212770000000001</v>
      </c>
      <c r="T3398">
        <v>-0.6234883</v>
      </c>
      <c r="U3398">
        <v>0.32020569999999998</v>
      </c>
      <c r="V3398">
        <v>4.6558750000000003E-2</v>
      </c>
      <c r="W3398">
        <v>0.15746099999999999</v>
      </c>
      <c r="X3398">
        <v>0.9864271</v>
      </c>
      <c r="Y3398">
        <v>0.118702</v>
      </c>
      <c r="Z3398">
        <v>1.5552649999999999E-2</v>
      </c>
      <c r="AA3398">
        <v>0.99280809999999997</v>
      </c>
      <c r="AB3398">
        <v>40</v>
      </c>
      <c r="AC3398">
        <v>-0.31649999999999001</v>
      </c>
      <c r="AD3398">
        <v>-0.145017599999999</v>
      </c>
      <c r="AE3398">
        <v>8.27999999999917E-2</v>
      </c>
      <c r="AF3398">
        <v>7.4340402414259404E-2</v>
      </c>
      <c r="AG3398">
        <v>-0.145017599999999</v>
      </c>
      <c r="AH3398">
        <v>0.26312564104007602</v>
      </c>
      <c r="AI3398">
        <v>117.940272701851</v>
      </c>
      <c r="AJ3398">
        <v>74.223520013980107</v>
      </c>
      <c r="AK3398">
        <v>0.30950234686287098</v>
      </c>
      <c r="AL3398">
        <v>80.940446306396097</v>
      </c>
      <c r="AM3398">
        <v>87.297680122707007</v>
      </c>
      <c r="AN3398">
        <v>1.0000000536684801</v>
      </c>
    </row>
    <row r="3399" spans="1:40" x14ac:dyDescent="0.25">
      <c r="A3399" t="str">
        <f>"20190312164335165"</f>
        <v>20190312164335165</v>
      </c>
      <c r="B3399" t="str">
        <f>"1552380215157822"</f>
        <v>1552380215157822</v>
      </c>
      <c r="C3399" t="s">
        <v>40</v>
      </c>
      <c r="D3399">
        <v>4.5530679999999997</v>
      </c>
      <c r="E3399">
        <v>0.48990669999999997</v>
      </c>
      <c r="F3399" t="s">
        <v>41</v>
      </c>
      <c r="G3399">
        <v>-255.58410000000001</v>
      </c>
      <c r="H3399">
        <v>0.94629589999999997</v>
      </c>
      <c r="I3399">
        <v>140.77869999999999</v>
      </c>
      <c r="J3399">
        <v>-254.9717</v>
      </c>
      <c r="K3399">
        <v>1.1098520000000001</v>
      </c>
      <c r="L3399">
        <v>140.7619</v>
      </c>
      <c r="M3399">
        <v>-0.99977640000000001</v>
      </c>
      <c r="N3399">
        <v>0</v>
      </c>
      <c r="O3399">
        <v>-2.0170359999999998E-2</v>
      </c>
      <c r="P3399">
        <v>-0.98809049999999998</v>
      </c>
      <c r="Q3399">
        <v>0.1514103</v>
      </c>
      <c r="R3399">
        <v>2.7428649999999999E-2</v>
      </c>
      <c r="S3399">
        <v>-3.1112669999999998</v>
      </c>
      <c r="T3399">
        <v>-0.4965309</v>
      </c>
      <c r="U3399">
        <v>2.4383539999999999E-2</v>
      </c>
      <c r="V3399">
        <v>4.7075079999999998E-2</v>
      </c>
      <c r="W3399">
        <v>0.15778029999999901</v>
      </c>
      <c r="X3399">
        <v>0.98635150000000005</v>
      </c>
      <c r="Y3399">
        <v>2.7403489999999999E-2</v>
      </c>
      <c r="Z3399">
        <v>5.3715859999999898E-3</v>
      </c>
      <c r="AA3399">
        <v>0.99961</v>
      </c>
      <c r="AB3399">
        <v>40</v>
      </c>
      <c r="AC3399">
        <v>-0.61240000000000705</v>
      </c>
      <c r="AD3399">
        <v>-0.16355609999999901</v>
      </c>
      <c r="AE3399">
        <v>1.6799999999989199E-2</v>
      </c>
      <c r="AF3399">
        <v>2.7209785601385299E-2</v>
      </c>
      <c r="AG3399">
        <v>-0.16355609999999901</v>
      </c>
      <c r="AH3399">
        <v>0.57122271512935296</v>
      </c>
      <c r="AI3399">
        <v>105.960637251598</v>
      </c>
      <c r="AJ3399">
        <v>87.272817945259902</v>
      </c>
      <c r="AK3399">
        <v>0.59479942884928305</v>
      </c>
      <c r="AL3399">
        <v>80.921919544689999</v>
      </c>
      <c r="AM3399">
        <v>87.267547839512105</v>
      </c>
      <c r="AN3399">
        <v>0.99999998388867295</v>
      </c>
    </row>
    <row r="3400" spans="1:40" x14ac:dyDescent="0.25">
      <c r="A3400" t="str">
        <f>"20190312164335188"</f>
        <v>20190312164335188</v>
      </c>
      <c r="B3400" t="str">
        <f>"1552380215178317"</f>
        <v>1552380215178317</v>
      </c>
      <c r="C3400" t="s">
        <v>40</v>
      </c>
      <c r="D3400">
        <v>4.4839449999999896</v>
      </c>
      <c r="E3400">
        <v>0.48780659999999998</v>
      </c>
      <c r="F3400" t="s">
        <v>41</v>
      </c>
      <c r="G3400">
        <v>-255.9641</v>
      </c>
      <c r="H3400">
        <v>0.98786640000000003</v>
      </c>
      <c r="I3400">
        <v>140.7458</v>
      </c>
      <c r="J3400">
        <v>-255.3783</v>
      </c>
      <c r="K3400">
        <v>1.1098410000000001</v>
      </c>
      <c r="L3400">
        <v>140.75319999999999</v>
      </c>
      <c r="M3400">
        <v>-0.99976240000000005</v>
      </c>
      <c r="N3400">
        <v>0</v>
      </c>
      <c r="O3400">
        <v>-2.083958E-2</v>
      </c>
      <c r="P3400">
        <v>-0.98805460000000001</v>
      </c>
      <c r="Q3400">
        <v>0.15167639999999999</v>
      </c>
      <c r="R3400">
        <v>2.7245390000000001E-2</v>
      </c>
      <c r="S3400">
        <v>-3.0958709999999998</v>
      </c>
      <c r="T3400">
        <v>-0.38057849999999999</v>
      </c>
      <c r="U3400">
        <v>-5.0552369999999999E-2</v>
      </c>
      <c r="V3400">
        <v>4.7555630000000002E-2</v>
      </c>
      <c r="W3400">
        <v>0.1580694</v>
      </c>
      <c r="X3400">
        <v>0.9862822</v>
      </c>
      <c r="Y3400">
        <v>4.3246400000000003E-3</v>
      </c>
      <c r="Z3400">
        <v>2.8166630000000001E-3</v>
      </c>
      <c r="AA3400">
        <v>0.99998670000000001</v>
      </c>
      <c r="AB3400">
        <v>40</v>
      </c>
      <c r="AC3400">
        <v>-0.58580000000000598</v>
      </c>
      <c r="AD3400">
        <v>-0.1219746</v>
      </c>
      <c r="AE3400">
        <v>-7.3999999999898496E-3</v>
      </c>
      <c r="AF3400">
        <v>4.6098537301509403E-3</v>
      </c>
      <c r="AG3400">
        <v>-0.1219746</v>
      </c>
      <c r="AH3400">
        <v>0.561487536547564</v>
      </c>
      <c r="AI3400">
        <v>102.255807312942</v>
      </c>
      <c r="AJ3400">
        <v>89.529608029599999</v>
      </c>
      <c r="AK3400">
        <v>0.57460186868372198</v>
      </c>
      <c r="AL3400">
        <v>80.905145213424305</v>
      </c>
      <c r="AM3400">
        <v>87.239503800243</v>
      </c>
      <c r="AN3400">
        <v>1.0000000255989401</v>
      </c>
    </row>
    <row r="3401" spans="1:40" x14ac:dyDescent="0.25">
      <c r="A3401" t="str">
        <f>"20190312164335209"</f>
        <v>20190312164335209</v>
      </c>
      <c r="B3401" t="str">
        <f>"1552380215197838"</f>
        <v>1552380215197838</v>
      </c>
      <c r="C3401" t="s">
        <v>40</v>
      </c>
      <c r="D3401">
        <v>4.4576630000000002</v>
      </c>
      <c r="E3401">
        <v>0.48686269999999998</v>
      </c>
      <c r="F3401" t="s">
        <v>41</v>
      </c>
      <c r="G3401">
        <v>-256.33640000000003</v>
      </c>
      <c r="H3401">
        <v>1.0111239999999999</v>
      </c>
      <c r="I3401">
        <v>140.73339999999999</v>
      </c>
      <c r="J3401">
        <v>-255.77449999999999</v>
      </c>
      <c r="K3401">
        <v>1.1098220000000001</v>
      </c>
      <c r="L3401">
        <v>140.74449999999999</v>
      </c>
      <c r="M3401">
        <v>-0.99974909999999995</v>
      </c>
      <c r="N3401">
        <v>0</v>
      </c>
      <c r="O3401">
        <v>-2.146787E-2</v>
      </c>
      <c r="P3401">
        <v>-0.98805989999999999</v>
      </c>
      <c r="Q3401">
        <v>0.15163650000000001</v>
      </c>
      <c r="R3401">
        <v>2.7275310000000001E-2</v>
      </c>
      <c r="S3401">
        <v>-3.086884</v>
      </c>
      <c r="T3401">
        <v>-0.31815209999999999</v>
      </c>
      <c r="U3401">
        <v>-6.4468380000000006E-2</v>
      </c>
      <c r="V3401">
        <v>4.8211829999999997E-2</v>
      </c>
      <c r="W3401">
        <v>0.15805</v>
      </c>
      <c r="X3401">
        <v>0.98625339999999995</v>
      </c>
      <c r="Y3401">
        <v>4.7222619999999997E-4</v>
      </c>
      <c r="Z3401">
        <v>2.2305820000000001E-3</v>
      </c>
      <c r="AA3401">
        <v>0.99999740000000004</v>
      </c>
      <c r="AB3401">
        <v>40</v>
      </c>
      <c r="AC3401">
        <v>-0.56190000000003604</v>
      </c>
      <c r="AD3401">
        <v>-9.8697999999999897E-2</v>
      </c>
      <c r="AE3401">
        <v>-1.1099999999999E-2</v>
      </c>
      <c r="AF3401">
        <v>9.3671169906369995E-4</v>
      </c>
      <c r="AG3401">
        <v>-9.8697999999999897E-2</v>
      </c>
      <c r="AH3401">
        <v>0.54519442660435402</v>
      </c>
      <c r="AI3401">
        <v>100.26125904964999</v>
      </c>
      <c r="AJ3401">
        <v>89.901558835622694</v>
      </c>
      <c r="AK3401">
        <v>0.55405697850785796</v>
      </c>
      <c r="AL3401">
        <v>80.906270447346103</v>
      </c>
      <c r="AM3401">
        <v>87.201391433213701</v>
      </c>
      <c r="AN3401">
        <v>0.99999997603175395</v>
      </c>
    </row>
    <row r="3402" spans="1:40" x14ac:dyDescent="0.25">
      <c r="A3402" t="str">
        <f>"20190312164335231"</f>
        <v>20190312164335231</v>
      </c>
      <c r="B3402" t="str">
        <f>"1552380215218338"</f>
        <v>1552380215218338</v>
      </c>
      <c r="C3402" t="s">
        <v>40</v>
      </c>
      <c r="D3402">
        <v>4.4787239999999997</v>
      </c>
      <c r="E3402">
        <v>0.48632559999999903</v>
      </c>
      <c r="F3402" t="s">
        <v>41</v>
      </c>
      <c r="G3402">
        <v>-256.70460000000003</v>
      </c>
      <c r="H3402">
        <v>1.024167</v>
      </c>
      <c r="I3402">
        <v>140.7234</v>
      </c>
      <c r="J3402">
        <v>-256.14980000000003</v>
      </c>
      <c r="K3402">
        <v>1.109802</v>
      </c>
      <c r="L3402">
        <v>140.73599999999999</v>
      </c>
      <c r="M3402">
        <v>-0.99973670000000003</v>
      </c>
      <c r="N3402">
        <v>0</v>
      </c>
      <c r="O3402">
        <v>-2.2032920000000001E-2</v>
      </c>
      <c r="P3402">
        <v>-0.98821079999999994</v>
      </c>
      <c r="Q3402">
        <v>0.15076589999999901</v>
      </c>
      <c r="R3402">
        <v>2.66337E-2</v>
      </c>
      <c r="S3402">
        <v>-3.0817260000000002</v>
      </c>
      <c r="T3402">
        <v>-0.28384540000000003</v>
      </c>
      <c r="U3402">
        <v>-7.0190429999999998E-2</v>
      </c>
      <c r="V3402">
        <v>4.8140660000000002E-2</v>
      </c>
      <c r="W3402">
        <v>0.15719820000000001</v>
      </c>
      <c r="X3402">
        <v>0.98639299999999996</v>
      </c>
      <c r="Y3402">
        <v>-8.269385E-4</v>
      </c>
      <c r="Z3402">
        <v>1.9866110000000001E-3</v>
      </c>
      <c r="AA3402">
        <v>0.99999769999999999</v>
      </c>
      <c r="AB3402">
        <v>40</v>
      </c>
      <c r="AC3402">
        <v>-0.55479999999999996</v>
      </c>
      <c r="AD3402">
        <v>-8.5634999999999906E-2</v>
      </c>
      <c r="AE3402">
        <v>-1.2599999999991901E-2</v>
      </c>
      <c r="AF3402">
        <v>-3.6415461514216799E-4</v>
      </c>
      <c r="AG3402">
        <v>-8.5634999999999906E-2</v>
      </c>
      <c r="AH3402">
        <v>0.54203568745821995</v>
      </c>
      <c r="AI3402">
        <v>98.977824314006995</v>
      </c>
      <c r="AJ3402">
        <v>90.038492888718494</v>
      </c>
      <c r="AK3402">
        <v>0.54875875602298096</v>
      </c>
      <c r="AL3402">
        <v>80.955692794969195</v>
      </c>
      <c r="AM3402">
        <v>87.205911032809695</v>
      </c>
      <c r="AN3402">
        <v>0.99999997383873696</v>
      </c>
    </row>
    <row r="3403" spans="1:40" x14ac:dyDescent="0.25">
      <c r="A3403" t="str">
        <f>"20190312164335253"</f>
        <v>20190312164335253</v>
      </c>
      <c r="B3403" t="str">
        <f>"1552380215248591"</f>
        <v>1552380215248591</v>
      </c>
      <c r="C3403" t="s">
        <v>40</v>
      </c>
      <c r="D3403">
        <v>4.5679290000000004</v>
      </c>
      <c r="E3403">
        <v>0.48681079999999999</v>
      </c>
      <c r="F3403" t="s">
        <v>41</v>
      </c>
      <c r="G3403">
        <v>-257.06959999999998</v>
      </c>
      <c r="H3403">
        <v>1.0287109999999999</v>
      </c>
      <c r="I3403">
        <v>140.71350000000001</v>
      </c>
      <c r="J3403">
        <v>-256.55770000000001</v>
      </c>
      <c r="K3403">
        <v>1.109775</v>
      </c>
      <c r="L3403">
        <v>140.72659999999999</v>
      </c>
      <c r="M3403">
        <v>-0.99972369999999999</v>
      </c>
      <c r="N3403">
        <v>0</v>
      </c>
      <c r="O3403">
        <v>-2.2603999999999999E-2</v>
      </c>
      <c r="P3403">
        <v>-0.98833530000000003</v>
      </c>
      <c r="Q3403">
        <v>0.14999100000000001</v>
      </c>
      <c r="R3403">
        <v>2.6383279999999999E-2</v>
      </c>
      <c r="S3403">
        <v>-3.0792540000000002</v>
      </c>
      <c r="T3403">
        <v>-0.27150190000000002</v>
      </c>
      <c r="U3403">
        <v>-7.5454709999999994E-2</v>
      </c>
      <c r="V3403">
        <v>4.8469289999999998E-2</v>
      </c>
      <c r="W3403">
        <v>0.15645039999999999</v>
      </c>
      <c r="X3403">
        <v>0.98649589999999998</v>
      </c>
      <c r="Y3403">
        <v>-1.9728879999999999E-3</v>
      </c>
      <c r="Z3403">
        <v>1.901851E-3</v>
      </c>
      <c r="AA3403">
        <v>0.9999962</v>
      </c>
      <c r="AB3403">
        <v>41</v>
      </c>
      <c r="AC3403">
        <v>-0.51189999999996805</v>
      </c>
      <c r="AD3403">
        <v>-8.1063999999999803E-2</v>
      </c>
      <c r="AE3403">
        <v>-1.30999999999801E-2</v>
      </c>
      <c r="AF3403">
        <v>-1.48813028848742E-3</v>
      </c>
      <c r="AG3403">
        <v>-8.1063999999999803E-2</v>
      </c>
      <c r="AH3403">
        <v>0.49954610735159199</v>
      </c>
      <c r="AI3403">
        <v>99.217303079263502</v>
      </c>
      <c r="AJ3403">
        <v>90.170681607615805</v>
      </c>
      <c r="AK3403">
        <v>0.50608289834560105</v>
      </c>
      <c r="AL3403">
        <v>80.999076340242397</v>
      </c>
      <c r="AM3403">
        <v>87.187160810699893</v>
      </c>
      <c r="AN3403">
        <v>1.00000008022503</v>
      </c>
    </row>
    <row r="3404" spans="1:40" x14ac:dyDescent="0.25">
      <c r="A3404" t="str">
        <f>"20190312164335275"</f>
        <v>20190312164335275</v>
      </c>
      <c r="B3404" t="str">
        <f>"1552380215268110"</f>
        <v>1552380215268110</v>
      </c>
      <c r="C3404" t="s">
        <v>40</v>
      </c>
      <c r="D3404">
        <v>4.593852</v>
      </c>
      <c r="E3404">
        <v>0.4875138</v>
      </c>
      <c r="F3404" t="s">
        <v>41</v>
      </c>
      <c r="G3404">
        <v>-257.43540000000002</v>
      </c>
      <c r="H3404">
        <v>1.03301</v>
      </c>
      <c r="I3404">
        <v>140.70609999999999</v>
      </c>
      <c r="J3404">
        <v>-256.97739999999999</v>
      </c>
      <c r="K3404">
        <v>1.1097459999999999</v>
      </c>
      <c r="L3404">
        <v>140.7167</v>
      </c>
      <c r="M3404">
        <v>-0.99971120000000002</v>
      </c>
      <c r="N3404">
        <v>0</v>
      </c>
      <c r="O3404">
        <v>-2.3139659999999999E-2</v>
      </c>
      <c r="P3404">
        <v>-0.98853869999999999</v>
      </c>
      <c r="Q3404">
        <v>0.14875469999999999</v>
      </c>
      <c r="R3404">
        <v>2.575674E-2</v>
      </c>
      <c r="S3404">
        <v>-3.0781860000000001</v>
      </c>
      <c r="T3404">
        <v>-0.26925060000000001</v>
      </c>
      <c r="U3404">
        <v>-7.2189329999999996E-2</v>
      </c>
      <c r="V3404">
        <v>4.8392570000000003E-2</v>
      </c>
      <c r="W3404">
        <v>0.1552578</v>
      </c>
      <c r="X3404">
        <v>0.98668800000000001</v>
      </c>
      <c r="Y3404">
        <v>-3.9218249999999999E-4</v>
      </c>
      <c r="Z3404">
        <v>2.0025590000000001E-3</v>
      </c>
      <c r="AA3404">
        <v>0.9999979</v>
      </c>
      <c r="AB3404">
        <v>41</v>
      </c>
      <c r="AC3404">
        <v>-0.458000000000026</v>
      </c>
      <c r="AD3404">
        <v>-7.6735999999999902E-2</v>
      </c>
      <c r="AE3404">
        <v>-1.06000000000108E-2</v>
      </c>
      <c r="AF3404" s="1">
        <v>9.9759252616092502E-7</v>
      </c>
      <c r="AG3404">
        <v>-7.6735999999999902E-2</v>
      </c>
      <c r="AH3404">
        <v>0.44562007045313801</v>
      </c>
      <c r="AI3404">
        <v>99.770538739877694</v>
      </c>
      <c r="AJ3404">
        <v>89.999871734140299</v>
      </c>
      <c r="AK3404">
        <v>0.45217879305387099</v>
      </c>
      <c r="AL3404">
        <v>81.068252047337197</v>
      </c>
      <c r="AM3404">
        <v>87.192151898062306</v>
      </c>
      <c r="AN3404">
        <v>1.0000000173180199</v>
      </c>
    </row>
    <row r="3405" spans="1:40" x14ac:dyDescent="0.25">
      <c r="A3405" t="str">
        <f>"20190312164335299"</f>
        <v>20190312164335299</v>
      </c>
      <c r="B3405" t="str">
        <f>"1552380215288608"</f>
        <v>1552380215288608</v>
      </c>
      <c r="C3405" t="s">
        <v>40</v>
      </c>
      <c r="D3405">
        <v>4.7668599999999897</v>
      </c>
      <c r="E3405">
        <v>0.48818210000000001</v>
      </c>
      <c r="F3405" t="s">
        <v>41</v>
      </c>
      <c r="G3405">
        <v>-257.80180000000001</v>
      </c>
      <c r="H3405">
        <v>1.0365799999999901</v>
      </c>
      <c r="I3405">
        <v>140.6985</v>
      </c>
      <c r="J3405">
        <v>-257.40309999999999</v>
      </c>
      <c r="K3405">
        <v>1.10971</v>
      </c>
      <c r="L3405">
        <v>140.70650000000001</v>
      </c>
      <c r="M3405">
        <v>-0.99969920000000001</v>
      </c>
      <c r="N3405">
        <v>0</v>
      </c>
      <c r="O3405">
        <v>-2.362423E-2</v>
      </c>
      <c r="P3405">
        <v>-0.98865670000000005</v>
      </c>
      <c r="Q3405">
        <v>0.14806610000000001</v>
      </c>
      <c r="R3405">
        <v>2.5186030000000002E-2</v>
      </c>
      <c r="S3405">
        <v>-3.0776370000000002</v>
      </c>
      <c r="T3405">
        <v>-0.27315349999999999</v>
      </c>
      <c r="U3405">
        <v>-6.8603520000000001E-2</v>
      </c>
      <c r="V3405">
        <v>4.8321070000000001E-2</v>
      </c>
      <c r="W3405">
        <v>0.15463879999999999</v>
      </c>
      <c r="X3405">
        <v>0.98678869999999996</v>
      </c>
      <c r="Y3405">
        <v>1.241984E-3</v>
      </c>
      <c r="Z3405">
        <v>2.1471440000000001E-3</v>
      </c>
      <c r="AA3405">
        <v>0.99999689999999997</v>
      </c>
      <c r="AB3405">
        <v>41</v>
      </c>
      <c r="AC3405">
        <v>-0.39870000000001898</v>
      </c>
      <c r="AD3405">
        <v>-7.3130000000000098E-2</v>
      </c>
      <c r="AE3405">
        <v>-8.0000000000097701E-3</v>
      </c>
      <c r="AF3405">
        <v>1.37517106727763E-3</v>
      </c>
      <c r="AG3405">
        <v>-7.3130000000000098E-2</v>
      </c>
      <c r="AH3405">
        <v>0.38580324622814</v>
      </c>
      <c r="AI3405">
        <v>100.733156272545</v>
      </c>
      <c r="AJ3405">
        <v>89.795773712769403</v>
      </c>
      <c r="AK3405">
        <v>0.39267548025772497</v>
      </c>
      <c r="AL3405">
        <v>81.104151656714606</v>
      </c>
      <c r="AM3405">
        <v>87.196579524703907</v>
      </c>
      <c r="AN3405">
        <v>1.00000001135953</v>
      </c>
    </row>
    <row r="3406" spans="1:40" x14ac:dyDescent="0.25">
      <c r="A3406" t="str">
        <f>"20190312164335320"</f>
        <v>20190312164335320</v>
      </c>
      <c r="B3406" t="str">
        <f>"1552380215317886"</f>
        <v>1552380215317886</v>
      </c>
      <c r="C3406" t="s">
        <v>40</v>
      </c>
      <c r="D3406">
        <v>4.5184530000000001</v>
      </c>
      <c r="E3406">
        <v>0.48784159999999999</v>
      </c>
      <c r="F3406" t="s">
        <v>41</v>
      </c>
      <c r="G3406">
        <v>-258.17070000000001</v>
      </c>
      <c r="H3406">
        <v>1.040997</v>
      </c>
      <c r="I3406">
        <v>140.69030000000001</v>
      </c>
      <c r="J3406">
        <v>-257.80099999999999</v>
      </c>
      <c r="K3406">
        <v>1.109675</v>
      </c>
      <c r="L3406">
        <v>140.6968</v>
      </c>
      <c r="M3406">
        <v>-0.9996891</v>
      </c>
      <c r="N3406">
        <v>0</v>
      </c>
      <c r="O3406">
        <v>-2.4019599999999999E-2</v>
      </c>
      <c r="P3406">
        <v>-0.9888188</v>
      </c>
      <c r="Q3406">
        <v>0.1470426</v>
      </c>
      <c r="R3406">
        <v>2.4816689999999999E-2</v>
      </c>
      <c r="S3406">
        <v>-3.0773619999999999</v>
      </c>
      <c r="T3406">
        <v>-0.27556609999999998</v>
      </c>
      <c r="U3406">
        <v>-6.536865E-2</v>
      </c>
      <c r="V3406">
        <v>4.8364560000000001E-2</v>
      </c>
      <c r="W3406">
        <v>0.1537116</v>
      </c>
      <c r="X3406">
        <v>0.98693140000000001</v>
      </c>
      <c r="Y3406">
        <v>2.6771109999999998E-3</v>
      </c>
      <c r="Z3406">
        <v>2.2656949999999999E-3</v>
      </c>
      <c r="AA3406">
        <v>0.99999389999999999</v>
      </c>
      <c r="AB3406">
        <v>41</v>
      </c>
      <c r="AC3406">
        <v>-0.36970000000002201</v>
      </c>
      <c r="AD3406">
        <v>-6.8678000000000003E-2</v>
      </c>
      <c r="AE3406">
        <v>-6.4999999999883996E-3</v>
      </c>
      <c r="AF3406">
        <v>2.3026808939413802E-3</v>
      </c>
      <c r="AG3406">
        <v>-6.8678000000000003E-2</v>
      </c>
      <c r="AH3406">
        <v>0.357418989167468</v>
      </c>
      <c r="AI3406">
        <v>100.876584496604</v>
      </c>
      <c r="AJ3406">
        <v>89.630875595653805</v>
      </c>
      <c r="AK3406">
        <v>0.36396470136648401</v>
      </c>
      <c r="AL3406">
        <v>81.157918962022805</v>
      </c>
      <c r="AM3406">
        <v>87.194465478004801</v>
      </c>
      <c r="AN3406">
        <v>0.99999998747225605</v>
      </c>
    </row>
    <row r="3407" spans="1:40" x14ac:dyDescent="0.25">
      <c r="A3407" t="str">
        <f>"20190312164335344"</f>
        <v>20190312164335344</v>
      </c>
      <c r="B3407" t="str">
        <f>"1552380215338383"</f>
        <v>1552380215338383</v>
      </c>
      <c r="C3407" t="s">
        <v>40</v>
      </c>
      <c r="D3407">
        <v>4.5245350000000002</v>
      </c>
      <c r="E3407">
        <v>0.48767779999999999</v>
      </c>
      <c r="F3407" t="s">
        <v>41</v>
      </c>
      <c r="G3407">
        <v>-258.53930000000003</v>
      </c>
      <c r="H3407">
        <v>1.0440700000000001</v>
      </c>
      <c r="I3407">
        <v>140.68049999999999</v>
      </c>
      <c r="J3407">
        <v>-258.20859999999999</v>
      </c>
      <c r="K3407">
        <v>1.109658</v>
      </c>
      <c r="L3407">
        <v>140.68680000000001</v>
      </c>
      <c r="M3407">
        <v>-0.99967980000000001</v>
      </c>
      <c r="N3407">
        <v>0</v>
      </c>
      <c r="O3407">
        <v>-2.4367920000000001E-2</v>
      </c>
      <c r="P3407">
        <v>-0.98892860000000005</v>
      </c>
      <c r="Q3407">
        <v>0.14634320000000001</v>
      </c>
      <c r="R3407">
        <v>2.457964E-2</v>
      </c>
      <c r="S3407">
        <v>-3.0763240000000001</v>
      </c>
      <c r="T3407">
        <v>-0.27344410000000002</v>
      </c>
      <c r="U3407">
        <v>-6.8756100000000001E-2</v>
      </c>
      <c r="V3407">
        <v>4.8492529999999999E-2</v>
      </c>
      <c r="W3407">
        <v>0.15314759999999999</v>
      </c>
      <c r="X3407">
        <v>0.98701280000000002</v>
      </c>
      <c r="Y3407">
        <v>1.920962E-3</v>
      </c>
      <c r="Z3407">
        <v>2.2463890000000001E-3</v>
      </c>
      <c r="AA3407">
        <v>0.99999559999999998</v>
      </c>
      <c r="AB3407">
        <v>41</v>
      </c>
      <c r="AC3407">
        <v>-0.33070000000003502</v>
      </c>
      <c r="AD3407">
        <v>-6.5587999999999896E-2</v>
      </c>
      <c r="AE3407">
        <v>-6.3000000000101803E-3</v>
      </c>
      <c r="AF3407">
        <v>1.69392286649111E-3</v>
      </c>
      <c r="AG3407">
        <v>-6.5587999999999896E-2</v>
      </c>
      <c r="AH3407">
        <v>0.31824178360029898</v>
      </c>
      <c r="AI3407">
        <v>101.645154414486</v>
      </c>
      <c r="AJ3407">
        <v>89.695031515303995</v>
      </c>
      <c r="AK3407">
        <v>0.32493459026052801</v>
      </c>
      <c r="AL3407">
        <v>81.190621011641596</v>
      </c>
      <c r="AM3407">
        <v>87.187285707053107</v>
      </c>
      <c r="AN3407">
        <v>0.99999999010770002</v>
      </c>
    </row>
    <row r="3408" spans="1:40" x14ac:dyDescent="0.25">
      <c r="A3408" t="str">
        <f>"20190312164335367"</f>
        <v>20190312164335367</v>
      </c>
      <c r="B3408" t="str">
        <f>"1552380215357902"</f>
        <v>1552380215357902</v>
      </c>
      <c r="C3408" t="s">
        <v>40</v>
      </c>
      <c r="D3408">
        <v>4.5173059999999996</v>
      </c>
      <c r="E3408">
        <v>0.48767300000000002</v>
      </c>
      <c r="F3408" t="s">
        <v>41</v>
      </c>
      <c r="G3408">
        <v>-259.25650000000002</v>
      </c>
      <c r="H3408">
        <v>1.016537</v>
      </c>
      <c r="I3408">
        <v>140.6628</v>
      </c>
      <c r="J3408">
        <v>-258.64749999999998</v>
      </c>
      <c r="K3408">
        <v>1.10965</v>
      </c>
      <c r="L3408">
        <v>140.67590000000001</v>
      </c>
      <c r="M3408">
        <v>-0.99967059999999996</v>
      </c>
      <c r="N3408">
        <v>0</v>
      </c>
      <c r="O3408">
        <v>-2.4691399999999999E-2</v>
      </c>
      <c r="P3408">
        <v>-0.98898039999999998</v>
      </c>
      <c r="Q3408">
        <v>0.1459251</v>
      </c>
      <c r="R3408">
        <v>2.498274E-2</v>
      </c>
      <c r="S3408">
        <v>-3.075806</v>
      </c>
      <c r="T3408">
        <v>-0.27343620000000002</v>
      </c>
      <c r="U3408">
        <v>-7.1136469999999993E-2</v>
      </c>
      <c r="V3408">
        <v>4.9233850000000003E-2</v>
      </c>
      <c r="W3408">
        <v>0.15291669999999999</v>
      </c>
      <c r="X3408">
        <v>0.98701190000000005</v>
      </c>
      <c r="Y3408">
        <v>1.467807E-3</v>
      </c>
      <c r="Z3408">
        <v>2.2552689999999999E-3</v>
      </c>
      <c r="AA3408">
        <v>0.99999640000000001</v>
      </c>
      <c r="AB3408">
        <v>41</v>
      </c>
      <c r="AC3408">
        <v>-0.60900000000003696</v>
      </c>
      <c r="AD3408">
        <v>-9.3113000000000001E-2</v>
      </c>
      <c r="AE3408">
        <v>-1.3100000000008501E-2</v>
      </c>
      <c r="AF3408">
        <v>1.89709766772046E-3</v>
      </c>
      <c r="AG3408">
        <v>-9.3113000000000001E-2</v>
      </c>
      <c r="AH3408">
        <v>0.59522962455152895</v>
      </c>
      <c r="AI3408">
        <v>98.8907974456272</v>
      </c>
      <c r="AJ3408">
        <v>89.817389260954101</v>
      </c>
      <c r="AK3408">
        <v>0.60247152272311999</v>
      </c>
      <c r="AL3408">
        <v>81.204008291721095</v>
      </c>
      <c r="AM3408">
        <v>87.1443549297922</v>
      </c>
      <c r="AN3408">
        <v>0.99999998993316097</v>
      </c>
    </row>
    <row r="3409" spans="1:40" x14ac:dyDescent="0.25">
      <c r="A3409" t="str">
        <f>"20190312164335390"</f>
        <v>20190312164335390</v>
      </c>
      <c r="B3409" t="str">
        <f>"1552380215378399"</f>
        <v>1552380215378399</v>
      </c>
      <c r="C3409" t="s">
        <v>40</v>
      </c>
      <c r="D3409">
        <v>4.5782559999999997</v>
      </c>
      <c r="E3409">
        <v>0.48755219999999999</v>
      </c>
      <c r="F3409" t="s">
        <v>41</v>
      </c>
      <c r="G3409">
        <v>-259.62700000000001</v>
      </c>
      <c r="H3409">
        <v>1.0226170000000001</v>
      </c>
      <c r="I3409">
        <v>140.65350000000001</v>
      </c>
      <c r="J3409">
        <v>-259.06950000000001</v>
      </c>
      <c r="K3409">
        <v>1.1096429999999999</v>
      </c>
      <c r="L3409">
        <v>140.6652</v>
      </c>
      <c r="M3409">
        <v>-0.99966219999999995</v>
      </c>
      <c r="N3409">
        <v>0</v>
      </c>
      <c r="O3409">
        <v>-2.4965299999999999E-2</v>
      </c>
      <c r="P3409">
        <v>-0.98897210000000002</v>
      </c>
      <c r="Q3409">
        <v>0.14591779999999999</v>
      </c>
      <c r="R3409">
        <v>2.53408E-2</v>
      </c>
      <c r="S3409">
        <v>-3.0755309999999998</v>
      </c>
      <c r="T3409">
        <v>-0.27328970000000002</v>
      </c>
      <c r="U3409">
        <v>-7.0388790000000007E-2</v>
      </c>
      <c r="V3409">
        <v>4.9876040000000003E-2</v>
      </c>
      <c r="W3409">
        <v>0.15310799999999999</v>
      </c>
      <c r="X3409">
        <v>0.98694999999999999</v>
      </c>
      <c r="Y3409">
        <v>1.9797479999999999E-3</v>
      </c>
      <c r="Z3409">
        <v>2.3012530000000001E-3</v>
      </c>
      <c r="AA3409">
        <v>0.99999539999999998</v>
      </c>
      <c r="AB3409">
        <v>41</v>
      </c>
      <c r="AC3409">
        <v>-0.55750000000000399</v>
      </c>
      <c r="AD3409">
        <v>-8.7025999999999798E-2</v>
      </c>
      <c r="AE3409">
        <v>-1.16999999999904E-2</v>
      </c>
      <c r="AF3409">
        <v>2.1693275392241401E-3</v>
      </c>
      <c r="AG3409">
        <v>-8.7025999999999798E-2</v>
      </c>
      <c r="AH3409">
        <v>0.54435956949586195</v>
      </c>
      <c r="AI3409">
        <v>99.082864874741006</v>
      </c>
      <c r="AJ3409">
        <v>89.771671774720502</v>
      </c>
      <c r="AK3409">
        <v>0.55127631144435396</v>
      </c>
      <c r="AL3409">
        <v>81.192917008381201</v>
      </c>
      <c r="AM3409">
        <v>87.106988580426602</v>
      </c>
      <c r="AN3409">
        <v>0.99999999076503998</v>
      </c>
    </row>
    <row r="3410" spans="1:40" x14ac:dyDescent="0.25">
      <c r="A3410" t="str">
        <f>"20190312164335411"</f>
        <v>20190312164335411</v>
      </c>
      <c r="B3410" t="str">
        <f>"1552380215407678"</f>
        <v>1552380215407678</v>
      </c>
      <c r="C3410" t="s">
        <v>40</v>
      </c>
      <c r="D3410">
        <v>4.5428569999999997</v>
      </c>
      <c r="E3410">
        <v>0.48750779999999999</v>
      </c>
      <c r="F3410" t="s">
        <v>41</v>
      </c>
      <c r="G3410">
        <v>-259.99740000000003</v>
      </c>
      <c r="H3410">
        <v>1.0277369999999999</v>
      </c>
      <c r="I3410">
        <v>140.64400000000001</v>
      </c>
      <c r="J3410">
        <v>-259.46280000000002</v>
      </c>
      <c r="K3410">
        <v>1.1096459999999999</v>
      </c>
      <c r="L3410">
        <v>140.65520000000001</v>
      </c>
      <c r="M3410">
        <v>-0.99965490000000001</v>
      </c>
      <c r="N3410">
        <v>0</v>
      </c>
      <c r="O3410">
        <v>-2.5193190000000001E-2</v>
      </c>
      <c r="P3410">
        <v>-0.98892919999999995</v>
      </c>
      <c r="Q3410">
        <v>0.14611849999999901</v>
      </c>
      <c r="R3410">
        <v>2.5851019999999999E-2</v>
      </c>
      <c r="S3410">
        <v>-3.0753170000000001</v>
      </c>
      <c r="T3410">
        <v>-0.2715207</v>
      </c>
      <c r="U3410">
        <v>-7.0922849999999996E-2</v>
      </c>
      <c r="V3410">
        <v>5.062142E-2</v>
      </c>
      <c r="W3410">
        <v>0.15351789999999901</v>
      </c>
      <c r="X3410">
        <v>0.98684839999999996</v>
      </c>
      <c r="Y3410">
        <v>2.032856E-3</v>
      </c>
      <c r="Z3410">
        <v>2.3089819999999998E-3</v>
      </c>
      <c r="AA3410">
        <v>0.99999530000000003</v>
      </c>
      <c r="AB3410">
        <v>41</v>
      </c>
      <c r="AC3410">
        <v>-0.53460000000001096</v>
      </c>
      <c r="AD3410">
        <v>-8.1908999999999704E-2</v>
      </c>
      <c r="AE3410">
        <v>-1.12000000000023E-2</v>
      </c>
      <c r="AF3410">
        <v>2.2201131568672901E-3</v>
      </c>
      <c r="AG3410">
        <v>-8.1908999999999704E-2</v>
      </c>
      <c r="AH3410">
        <v>0.52245327817153198</v>
      </c>
      <c r="AI3410">
        <v>98.910089538231801</v>
      </c>
      <c r="AJ3410">
        <v>89.756528758455104</v>
      </c>
      <c r="AK3410">
        <v>0.52883971206369296</v>
      </c>
      <c r="AL3410">
        <v>81.169150745708706</v>
      </c>
      <c r="AM3410">
        <v>87.063526872416702</v>
      </c>
      <c r="AN3410">
        <v>1.0000000191828899</v>
      </c>
    </row>
    <row r="3411" spans="1:40" x14ac:dyDescent="0.25">
      <c r="A3411" t="str">
        <f>"20190312164335431"</f>
        <v>20190312164335431</v>
      </c>
      <c r="B3411" t="str">
        <f>"1552380215428174"</f>
        <v>1552380215428174</v>
      </c>
      <c r="C3411" t="s">
        <v>40</v>
      </c>
      <c r="D3411">
        <v>4.671227</v>
      </c>
      <c r="E3411">
        <v>0.48778939999999998</v>
      </c>
      <c r="F3411" t="s">
        <v>41</v>
      </c>
      <c r="G3411">
        <v>-260.36739999999998</v>
      </c>
      <c r="H3411">
        <v>1.0311570000000001</v>
      </c>
      <c r="I3411">
        <v>140.63489999999999</v>
      </c>
      <c r="J3411">
        <v>-259.82830000000001</v>
      </c>
      <c r="K3411">
        <v>1.1096549999999901</v>
      </c>
      <c r="L3411">
        <v>140.64580000000001</v>
      </c>
      <c r="M3411">
        <v>-0.99964830000000005</v>
      </c>
      <c r="N3411">
        <v>0</v>
      </c>
      <c r="O3411">
        <v>-2.53846E-2</v>
      </c>
      <c r="P3411">
        <v>-0.98895169999999999</v>
      </c>
      <c r="Q3411">
        <v>0.1458323</v>
      </c>
      <c r="R3411">
        <v>2.6598130000000001E-2</v>
      </c>
      <c r="S3411">
        <v>-3.0748289999999998</v>
      </c>
      <c r="T3411">
        <v>-0.26686199999999999</v>
      </c>
      <c r="U3411">
        <v>-6.9244379999999994E-2</v>
      </c>
      <c r="V3411">
        <v>5.1568170000000003E-2</v>
      </c>
      <c r="W3411">
        <v>0.1534557</v>
      </c>
      <c r="X3411">
        <v>0.98680900000000005</v>
      </c>
      <c r="Y3411">
        <v>2.7663800000000001E-3</v>
      </c>
      <c r="Z3411">
        <v>2.3182350000000001E-3</v>
      </c>
      <c r="AA3411">
        <v>0.99999349999999998</v>
      </c>
      <c r="AB3411">
        <v>41</v>
      </c>
      <c r="AC3411">
        <v>-0.53909999999996205</v>
      </c>
      <c r="AD3411">
        <v>-7.8497999999999901E-2</v>
      </c>
      <c r="AE3411">
        <v>-1.09000000000207E-2</v>
      </c>
      <c r="AF3411">
        <v>2.7308769005628202E-3</v>
      </c>
      <c r="AG3411">
        <v>-7.8497999999999901E-2</v>
      </c>
      <c r="AH3411">
        <v>0.52801257842134997</v>
      </c>
      <c r="AI3411">
        <v>98.455940054858999</v>
      </c>
      <c r="AJ3411">
        <v>89.703669321443698</v>
      </c>
      <c r="AK3411">
        <v>0.53382270152533595</v>
      </c>
      <c r="AL3411">
        <v>81.172756798136305</v>
      </c>
      <c r="AM3411">
        <v>87.008586928083005</v>
      </c>
      <c r="AN3411">
        <v>0.99999996525031798</v>
      </c>
    </row>
    <row r="3412" spans="1:40" x14ac:dyDescent="0.25">
      <c r="A3412" t="str">
        <f>"20190312164335455"</f>
        <v>20190312164335455</v>
      </c>
      <c r="B3412" t="str">
        <f>"1552380215448671"</f>
        <v>1552380215448671</v>
      </c>
      <c r="C3412" t="s">
        <v>40</v>
      </c>
      <c r="D3412">
        <v>4.4810689999999997</v>
      </c>
      <c r="E3412">
        <v>0.487952</v>
      </c>
      <c r="F3412" t="s">
        <v>41</v>
      </c>
      <c r="G3412">
        <v>-260.73590000000002</v>
      </c>
      <c r="H3412">
        <v>1.0306869999999999</v>
      </c>
      <c r="I3412">
        <v>140.62700000000001</v>
      </c>
      <c r="J3412">
        <v>-260.27100000000002</v>
      </c>
      <c r="K3412">
        <v>1.109677</v>
      </c>
      <c r="L3412">
        <v>140.6344</v>
      </c>
      <c r="M3412">
        <v>-0.99964059999999999</v>
      </c>
      <c r="N3412">
        <v>0</v>
      </c>
      <c r="O3412">
        <v>-2.5592409999999999E-2</v>
      </c>
      <c r="P3412">
        <v>-0.98901490000000003</v>
      </c>
      <c r="Q3412">
        <v>0.145283299999999</v>
      </c>
      <c r="R3412">
        <v>2.724936E-2</v>
      </c>
      <c r="S3412">
        <v>-3.074738</v>
      </c>
      <c r="T3412">
        <v>-0.26761279999999998</v>
      </c>
      <c r="U3412">
        <v>-6.4376829999999996E-2</v>
      </c>
      <c r="V3412">
        <v>5.243826E-2</v>
      </c>
      <c r="W3412">
        <v>0.1532126</v>
      </c>
      <c r="X3412">
        <v>0.98680100000000004</v>
      </c>
      <c r="Y3412">
        <v>4.5478510000000003E-3</v>
      </c>
      <c r="Z3412">
        <v>2.420274E-3</v>
      </c>
      <c r="AA3412">
        <v>0.99998670000000001</v>
      </c>
      <c r="AB3412">
        <v>41</v>
      </c>
      <c r="AC3412">
        <v>-0.46490000000005599</v>
      </c>
      <c r="AD3412">
        <v>-7.8989999999999894E-2</v>
      </c>
      <c r="AE3412">
        <v>-7.3999999999898496E-3</v>
      </c>
      <c r="AF3412">
        <v>4.3744618859366596E-3</v>
      </c>
      <c r="AG3412">
        <v>-7.8989999999999894E-2</v>
      </c>
      <c r="AH3412">
        <v>0.45189485732203</v>
      </c>
      <c r="AI3412">
        <v>99.914520950116696</v>
      </c>
      <c r="AJ3412">
        <v>89.445379005339802</v>
      </c>
      <c r="AK3412">
        <v>0.458767389960195</v>
      </c>
      <c r="AL3412">
        <v>81.186852776479995</v>
      </c>
      <c r="AM3412">
        <v>86.958183346755703</v>
      </c>
      <c r="AN3412">
        <v>1.00000004275579</v>
      </c>
    </row>
    <row r="3413" spans="1:40" x14ac:dyDescent="0.25">
      <c r="A3413" t="str">
        <f>"20190312164335477"</f>
        <v>20190312164335477</v>
      </c>
      <c r="B3413" t="str">
        <f>"1552380215468191"</f>
        <v>1552380215468191</v>
      </c>
      <c r="C3413" t="s">
        <v>40</v>
      </c>
      <c r="D3413">
        <v>4.5121310000000001</v>
      </c>
      <c r="E3413">
        <v>0.48808030000000002</v>
      </c>
      <c r="F3413" t="s">
        <v>41</v>
      </c>
      <c r="G3413">
        <v>-261.10840000000002</v>
      </c>
      <c r="H3413">
        <v>1.0372709999999901</v>
      </c>
      <c r="I3413">
        <v>140.61779999999999</v>
      </c>
      <c r="J3413">
        <v>-260.6848</v>
      </c>
      <c r="K3413">
        <v>1.109694</v>
      </c>
      <c r="L3413">
        <v>140.62370000000001</v>
      </c>
      <c r="M3413">
        <v>-0.99963369999999996</v>
      </c>
      <c r="N3413">
        <v>0</v>
      </c>
      <c r="O3413">
        <v>-2.5762E-2</v>
      </c>
      <c r="P3413">
        <v>-0.98906669999999997</v>
      </c>
      <c r="Q3413">
        <v>0.14493200000000001</v>
      </c>
      <c r="R3413">
        <v>2.7240759999999999E-2</v>
      </c>
      <c r="S3413">
        <v>-3.0740660000000002</v>
      </c>
      <c r="T3413">
        <v>-0.26581630000000001</v>
      </c>
      <c r="U3413">
        <v>-6.1599729999999998E-2</v>
      </c>
      <c r="V3413">
        <v>5.2610360000000002E-2</v>
      </c>
      <c r="W3413">
        <v>0.15317159999999999</v>
      </c>
      <c r="X3413">
        <v>0.98679819999999996</v>
      </c>
      <c r="Y3413">
        <v>5.6128699999999998E-3</v>
      </c>
      <c r="Z3413">
        <v>2.4652319999999999E-3</v>
      </c>
      <c r="AA3413">
        <v>0.99998120000000001</v>
      </c>
      <c r="AB3413">
        <v>41</v>
      </c>
      <c r="AC3413">
        <v>-0.42360000000002102</v>
      </c>
      <c r="AD3413">
        <v>-7.2423000000000098E-2</v>
      </c>
      <c r="AE3413">
        <v>-5.9000000000253199E-3</v>
      </c>
      <c r="AF3413">
        <v>4.8727111014149702E-3</v>
      </c>
      <c r="AG3413">
        <v>-7.2423000000000098E-2</v>
      </c>
      <c r="AH3413">
        <v>0.41158282709583199</v>
      </c>
      <c r="AI3413">
        <v>99.979040646923593</v>
      </c>
      <c r="AJ3413">
        <v>89.321709459254706</v>
      </c>
      <c r="AK3413">
        <v>0.417934513773002</v>
      </c>
      <c r="AL3413">
        <v>81.189229922827707</v>
      </c>
      <c r="AM3413">
        <v>86.948210438989506</v>
      </c>
      <c r="AN3413">
        <v>1.00000003827456</v>
      </c>
    </row>
    <row r="3414" spans="1:40" x14ac:dyDescent="0.25">
      <c r="A3414" t="str">
        <f>"20190312164335499"</f>
        <v>20190312164335499</v>
      </c>
      <c r="B3414" t="str">
        <f>"1552380215488703"</f>
        <v>1552380215488703</v>
      </c>
      <c r="C3414" t="s">
        <v>40</v>
      </c>
      <c r="D3414">
        <v>4.4484779999999997</v>
      </c>
      <c r="E3414">
        <v>0.48818250000000002</v>
      </c>
      <c r="F3414" t="s">
        <v>41</v>
      </c>
      <c r="G3414">
        <v>-261.48090000000002</v>
      </c>
      <c r="H3414">
        <v>1.041299</v>
      </c>
      <c r="I3414">
        <v>140.60830000000001</v>
      </c>
      <c r="J3414">
        <v>-261.08390000000003</v>
      </c>
      <c r="K3414">
        <v>1.1096950000000001</v>
      </c>
      <c r="L3414">
        <v>140.61330000000001</v>
      </c>
      <c r="M3414">
        <v>-0.9996275</v>
      </c>
      <c r="N3414">
        <v>0</v>
      </c>
      <c r="O3414">
        <v>-2.589346E-2</v>
      </c>
      <c r="P3414">
        <v>-0.98905240000000005</v>
      </c>
      <c r="Q3414">
        <v>0.14499189999999901</v>
      </c>
      <c r="R3414">
        <v>2.7438239999999999E-2</v>
      </c>
      <c r="S3414">
        <v>-3.073547</v>
      </c>
      <c r="T3414">
        <v>-0.26409690000000002</v>
      </c>
      <c r="U3414">
        <v>-5.9997559999999998E-2</v>
      </c>
      <c r="V3414">
        <v>5.2950450000000003E-2</v>
      </c>
      <c r="W3414">
        <v>0.15354670000000001</v>
      </c>
      <c r="X3414">
        <v>0.98672170000000003</v>
      </c>
      <c r="Y3414">
        <v>6.2607260000000003E-3</v>
      </c>
      <c r="Z3414">
        <v>2.4888279999999998E-3</v>
      </c>
      <c r="AA3414">
        <v>0.99997729999999996</v>
      </c>
      <c r="AB3414">
        <v>41</v>
      </c>
      <c r="AC3414">
        <v>-0.39699999999999103</v>
      </c>
      <c r="AD3414">
        <v>-6.8396000000000096E-2</v>
      </c>
      <c r="AE3414">
        <v>-4.9999999999954499E-3</v>
      </c>
      <c r="AF3414">
        <v>5.1295363041418598E-3</v>
      </c>
      <c r="AG3414">
        <v>-6.8396000000000096E-2</v>
      </c>
      <c r="AH3414">
        <v>0.385554474759782</v>
      </c>
      <c r="AI3414">
        <v>100.058546208274</v>
      </c>
      <c r="AJ3414">
        <v>89.237764151207003</v>
      </c>
      <c r="AK3414">
        <v>0.39160768374227101</v>
      </c>
      <c r="AL3414">
        <v>81.167480890991399</v>
      </c>
      <c r="AM3414">
        <v>86.928282684770096</v>
      </c>
      <c r="AN3414">
        <v>1.00000002624349</v>
      </c>
    </row>
    <row r="3415" spans="1:40" x14ac:dyDescent="0.25">
      <c r="A3415" t="str">
        <f>"20190312164335521"</f>
        <v>20190312164335521</v>
      </c>
      <c r="B3415" t="str">
        <f>"1552380215517966"</f>
        <v>1552380215517966</v>
      </c>
      <c r="C3415" t="s">
        <v>40</v>
      </c>
      <c r="D3415">
        <v>4.4751070000000004</v>
      </c>
      <c r="E3415">
        <v>0.48831599999999997</v>
      </c>
      <c r="F3415" t="s">
        <v>41</v>
      </c>
      <c r="G3415">
        <v>-261.8528</v>
      </c>
      <c r="H3415">
        <v>1.044365</v>
      </c>
      <c r="I3415">
        <v>140.59880000000001</v>
      </c>
      <c r="J3415">
        <v>-261.483</v>
      </c>
      <c r="K3415">
        <v>1.109699</v>
      </c>
      <c r="L3415">
        <v>140.6028</v>
      </c>
      <c r="M3415">
        <v>-0.99962200000000001</v>
      </c>
      <c r="N3415">
        <v>0</v>
      </c>
      <c r="O3415">
        <v>-2.598932E-2</v>
      </c>
      <c r="P3415">
        <v>-0.98899749999999997</v>
      </c>
      <c r="Q3415">
        <v>0.14528239999999901</v>
      </c>
      <c r="R3415">
        <v>2.7880769999999999E-2</v>
      </c>
      <c r="S3415">
        <v>-3.0731199999999999</v>
      </c>
      <c r="T3415">
        <v>-0.26111390000000001</v>
      </c>
      <c r="U3415">
        <v>-5.8456420000000002E-2</v>
      </c>
      <c r="V3415">
        <v>5.3501390000000003E-2</v>
      </c>
      <c r="W3415">
        <v>0.15417</v>
      </c>
      <c r="X3415">
        <v>0.98659470000000005</v>
      </c>
      <c r="Y3415">
        <v>6.8554080000000003E-3</v>
      </c>
      <c r="Z3415">
        <v>2.4945240000000001E-3</v>
      </c>
      <c r="AA3415">
        <v>0.99997340000000001</v>
      </c>
      <c r="AB3415">
        <v>41</v>
      </c>
      <c r="AC3415">
        <v>-0.36979999999999702</v>
      </c>
      <c r="AD3415">
        <v>-6.5334000000000003E-2</v>
      </c>
      <c r="AE3415">
        <v>-3.9999999999906699E-3</v>
      </c>
      <c r="AF3415">
        <v>5.4427208428828502E-3</v>
      </c>
      <c r="AG3415">
        <v>-6.5334000000000003E-2</v>
      </c>
      <c r="AH3415">
        <v>0.35858752134646099</v>
      </c>
      <c r="AI3415">
        <v>100.324757952352</v>
      </c>
      <c r="AJ3415">
        <v>89.1304187383395</v>
      </c>
      <c r="AK3415">
        <v>0.36453143243288599</v>
      </c>
      <c r="AL3415">
        <v>81.131337348697997</v>
      </c>
      <c r="AM3415">
        <v>86.895985441725898</v>
      </c>
      <c r="AN3415">
        <v>0.99999994485000898</v>
      </c>
    </row>
    <row r="3416" spans="1:40" x14ac:dyDescent="0.25">
      <c r="A3416" t="str">
        <f>"20190312164335543"</f>
        <v>20190312164335543</v>
      </c>
      <c r="B3416" t="str">
        <f>"1552380215538463"</f>
        <v>1552380215538463</v>
      </c>
      <c r="C3416" t="s">
        <v>40</v>
      </c>
      <c r="D3416">
        <v>4.6255949999999997</v>
      </c>
      <c r="E3416">
        <v>0.48848190000000002</v>
      </c>
      <c r="F3416" t="s">
        <v>42</v>
      </c>
      <c r="G3416">
        <v>-274.76</v>
      </c>
      <c r="H3416" s="1">
        <v>-2.4279929999999999E-6</v>
      </c>
      <c r="I3416">
        <v>140.35939999999999</v>
      </c>
      <c r="J3416">
        <v>-261.89330000000001</v>
      </c>
      <c r="K3416">
        <v>1.109701</v>
      </c>
      <c r="L3416">
        <v>140.59209999999999</v>
      </c>
      <c r="M3416">
        <v>-0.99961750000000005</v>
      </c>
      <c r="N3416">
        <v>0</v>
      </c>
      <c r="O3416">
        <v>-2.603743E-2</v>
      </c>
      <c r="P3416">
        <v>-0.98904000000000003</v>
      </c>
      <c r="Q3416">
        <v>0.1450388</v>
      </c>
      <c r="R3416">
        <v>2.7642050000000001E-2</v>
      </c>
      <c r="S3416">
        <v>-3.0726930000000001</v>
      </c>
      <c r="T3416">
        <v>-0.25681720000000002</v>
      </c>
      <c r="U3416">
        <v>-5.6320189999999999E-2</v>
      </c>
      <c r="V3416">
        <v>5.3329210000000002E-2</v>
      </c>
      <c r="W3416">
        <v>0.15427739999999901</v>
      </c>
      <c r="X3416">
        <v>0.98658729999999994</v>
      </c>
      <c r="Y3416">
        <v>7.5970059999999999E-3</v>
      </c>
      <c r="Z3416">
        <v>2.4889349999999998E-3</v>
      </c>
      <c r="AA3416">
        <v>0.99996810000000003</v>
      </c>
      <c r="AB3416">
        <v>41</v>
      </c>
      <c r="AC3416">
        <v>-12.8666999999999</v>
      </c>
      <c r="AD3416">
        <v>-1.109703427993</v>
      </c>
      <c r="AE3416">
        <v>-0.23269999999999399</v>
      </c>
      <c r="AF3416">
        <v>0.10165336728723399</v>
      </c>
      <c r="AG3416">
        <v>-1.109703427993</v>
      </c>
      <c r="AH3416">
        <v>12.773413889932</v>
      </c>
      <c r="AI3416">
        <v>94.965006765501897</v>
      </c>
      <c r="AJ3416">
        <v>89.544038420984094</v>
      </c>
      <c r="AK3416">
        <v>12.821929554816901</v>
      </c>
      <c r="AL3416">
        <v>81.125109857336795</v>
      </c>
      <c r="AM3416">
        <v>86.905932284944996</v>
      </c>
      <c r="AN3416">
        <v>1.0000000106556299</v>
      </c>
    </row>
    <row r="3417" spans="1:40" x14ac:dyDescent="0.25">
      <c r="A3417" t="str">
        <f>"20190312164335567"</f>
        <v>20190312164335567</v>
      </c>
      <c r="B3417" t="str">
        <f>"1552380215557982"</f>
        <v>1552380215557982</v>
      </c>
      <c r="C3417" t="s">
        <v>40</v>
      </c>
      <c r="D3417">
        <v>4.4671209999999997</v>
      </c>
      <c r="E3417">
        <v>0.48852859999999998</v>
      </c>
      <c r="F3417" t="s">
        <v>41</v>
      </c>
      <c r="G3417">
        <v>-262.94659999999999</v>
      </c>
      <c r="H3417">
        <v>1.022259</v>
      </c>
      <c r="I3417">
        <v>140.57329999999999</v>
      </c>
      <c r="J3417">
        <v>-262.35050000000001</v>
      </c>
      <c r="K3417">
        <v>1.10968</v>
      </c>
      <c r="L3417">
        <v>140.58009999999999</v>
      </c>
      <c r="M3417">
        <v>-0.99961449999999996</v>
      </c>
      <c r="N3417">
        <v>0</v>
      </c>
      <c r="O3417">
        <v>-2.6005739999999999E-2</v>
      </c>
      <c r="P3417">
        <v>-0.98934350000000004</v>
      </c>
      <c r="Q3417">
        <v>0.1431191</v>
      </c>
      <c r="R3417">
        <v>2.676825E-2</v>
      </c>
      <c r="S3417">
        <v>-3.0722659999999999</v>
      </c>
      <c r="T3417">
        <v>-0.25515579999999999</v>
      </c>
      <c r="U3417">
        <v>-5.5786130000000003E-2</v>
      </c>
      <c r="V3417">
        <v>5.2456959999999997E-2</v>
      </c>
      <c r="W3417">
        <v>0.15273709999999999</v>
      </c>
      <c r="X3417">
        <v>0.98687369999999996</v>
      </c>
      <c r="Y3417">
        <v>7.7377309999999899E-3</v>
      </c>
      <c r="Z3417">
        <v>2.4764520000000001E-3</v>
      </c>
      <c r="AA3417">
        <v>0.99996700000000005</v>
      </c>
      <c r="AB3417">
        <v>41</v>
      </c>
      <c r="AC3417">
        <v>-0.59609999999997798</v>
      </c>
      <c r="AD3417">
        <v>-8.7420999999999902E-2</v>
      </c>
      <c r="AE3417">
        <v>-6.7999999999983603E-3</v>
      </c>
      <c r="AF3417">
        <v>8.5217945001988295E-3</v>
      </c>
      <c r="AG3417">
        <v>-8.7420999999999902E-2</v>
      </c>
      <c r="AH3417">
        <v>0.58352656166516004</v>
      </c>
      <c r="AI3417">
        <v>98.519500679551797</v>
      </c>
      <c r="AJ3417">
        <v>89.163314605089298</v>
      </c>
      <c r="AK3417">
        <v>0.59010024605253897</v>
      </c>
      <c r="AL3417">
        <v>81.214421260166205</v>
      </c>
      <c r="AM3417">
        <v>86.957324383131606</v>
      </c>
      <c r="AN3417">
        <v>1.00000002706027</v>
      </c>
    </row>
    <row r="3418" spans="1:40" x14ac:dyDescent="0.25">
      <c r="A3418" t="str">
        <f>"20190312164335590"</f>
        <v>20190312164335590</v>
      </c>
      <c r="B3418" t="str">
        <f>"1552380215578478"</f>
        <v>1552380215578478</v>
      </c>
      <c r="C3418" t="s">
        <v>40</v>
      </c>
      <c r="D3418">
        <v>4.4209670000000001</v>
      </c>
      <c r="E3418">
        <v>0.4885331</v>
      </c>
      <c r="F3418" t="s">
        <v>41</v>
      </c>
      <c r="G3418">
        <v>-263.31830000000002</v>
      </c>
      <c r="H3418">
        <v>1.02745</v>
      </c>
      <c r="I3418">
        <v>140.56219999999999</v>
      </c>
      <c r="J3418">
        <v>-262.75720000000001</v>
      </c>
      <c r="K3418">
        <v>1.1096440000000001</v>
      </c>
      <c r="L3418">
        <v>140.56960000000001</v>
      </c>
      <c r="M3418">
        <v>-0.99961369999999905</v>
      </c>
      <c r="N3418">
        <v>0</v>
      </c>
      <c r="O3418">
        <v>-2.591019E-2</v>
      </c>
      <c r="P3418">
        <v>-0.98955349999999997</v>
      </c>
      <c r="Q3418">
        <v>0.14189570000000001</v>
      </c>
      <c r="R3418">
        <v>2.548512E-2</v>
      </c>
      <c r="S3418">
        <v>-3.071625</v>
      </c>
      <c r="T3418">
        <v>-0.26099299999999998</v>
      </c>
      <c r="U3418">
        <v>-5.7174679999999999E-2</v>
      </c>
      <c r="V3418">
        <v>5.1109889999999998E-2</v>
      </c>
      <c r="W3418">
        <v>0.15182760000000001</v>
      </c>
      <c r="X3418">
        <v>0.98708470000000004</v>
      </c>
      <c r="Y3418">
        <v>7.1834809999999898E-3</v>
      </c>
      <c r="Z3418">
        <v>2.501821E-3</v>
      </c>
      <c r="AA3418">
        <v>0.9999711</v>
      </c>
      <c r="AB3418">
        <v>41</v>
      </c>
      <c r="AC3418">
        <v>-0.56110000000001004</v>
      </c>
      <c r="AD3418">
        <v>-8.21940000000001E-2</v>
      </c>
      <c r="AE3418">
        <v>-7.40000000001828E-3</v>
      </c>
      <c r="AF3418">
        <v>6.9914277061000896E-3</v>
      </c>
      <c r="AG3418">
        <v>-8.21940000000001E-2</v>
      </c>
      <c r="AH3418">
        <v>0.54931785421091295</v>
      </c>
      <c r="AI3418">
        <v>98.509308529649701</v>
      </c>
      <c r="AJ3418">
        <v>89.270808932189695</v>
      </c>
      <c r="AK3418">
        <v>0.55547712702887397</v>
      </c>
      <c r="AL3418">
        <v>81.2671466714947</v>
      </c>
      <c r="AM3418">
        <v>87.035950240033301</v>
      </c>
      <c r="AN3418">
        <v>1.0000000229758299</v>
      </c>
    </row>
    <row r="3419" spans="1:40" x14ac:dyDescent="0.25">
      <c r="A3419" t="str">
        <f>"20190312164335610"</f>
        <v>20190312164335610</v>
      </c>
      <c r="B3419" t="str">
        <f>"1552380215607760"</f>
        <v>1552380215607760</v>
      </c>
      <c r="C3419" t="s">
        <v>40</v>
      </c>
      <c r="D3419">
        <v>4.4398540000000004</v>
      </c>
      <c r="E3419">
        <v>0.48869649999999998</v>
      </c>
      <c r="F3419" t="s">
        <v>41</v>
      </c>
      <c r="G3419">
        <v>-263.68830000000003</v>
      </c>
      <c r="H3419">
        <v>1.029202</v>
      </c>
      <c r="I3419">
        <v>140.55170000000001</v>
      </c>
      <c r="J3419">
        <v>-263.14530000000002</v>
      </c>
      <c r="K3419">
        <v>1.109588</v>
      </c>
      <c r="L3419">
        <v>140.55959999999999</v>
      </c>
      <c r="M3419">
        <v>-0.99961529999999998</v>
      </c>
      <c r="N3419">
        <v>0</v>
      </c>
      <c r="O3419">
        <v>-2.573922E-2</v>
      </c>
      <c r="P3419">
        <v>-0.98969759999999996</v>
      </c>
      <c r="Q3419">
        <v>0.14102909999999999</v>
      </c>
      <c r="R3419">
        <v>2.4690859999999999E-2</v>
      </c>
      <c r="S3419">
        <v>-3.0713200000000001</v>
      </c>
      <c r="T3419">
        <v>-0.26544980000000001</v>
      </c>
      <c r="U3419">
        <v>-5.9783940000000001E-2</v>
      </c>
      <c r="V3419">
        <v>5.0179710000000002E-2</v>
      </c>
      <c r="W3419">
        <v>0.15123510000000001</v>
      </c>
      <c r="X3419">
        <v>0.98722330000000003</v>
      </c>
      <c r="Y3419">
        <v>6.1617699999999996E-3</v>
      </c>
      <c r="Z3419">
        <v>2.4858079999999999E-3</v>
      </c>
      <c r="AA3419">
        <v>0.99997789999999998</v>
      </c>
      <c r="AB3419">
        <v>41</v>
      </c>
      <c r="AC3419">
        <v>-0.54300000000000603</v>
      </c>
      <c r="AD3419">
        <v>-8.0385999999999999E-2</v>
      </c>
      <c r="AE3419">
        <v>-7.8999999999780305E-3</v>
      </c>
      <c r="AF3419">
        <v>5.9494006515966903E-3</v>
      </c>
      <c r="AG3419">
        <v>-8.0385999999999999E-2</v>
      </c>
      <c r="AH3419">
        <v>0.53138017063424803</v>
      </c>
      <c r="AI3419">
        <v>98.601820171943203</v>
      </c>
      <c r="AJ3419">
        <v>89.358535894663802</v>
      </c>
      <c r="AK3419">
        <v>0.537459012490624</v>
      </c>
      <c r="AL3419">
        <v>81.301490386241596</v>
      </c>
      <c r="AM3419">
        <v>87.090209067838401</v>
      </c>
      <c r="AN3419">
        <v>0.99999995141528997</v>
      </c>
    </row>
    <row r="3420" spans="1:40" x14ac:dyDescent="0.25">
      <c r="A3420" t="str">
        <f>"20190312164335633"</f>
        <v>20190312164335633</v>
      </c>
      <c r="B3420" t="str">
        <f>"1552380215628254"</f>
        <v>1552380215628254</v>
      </c>
      <c r="C3420" t="s">
        <v>40</v>
      </c>
      <c r="D3420">
        <v>4.6102069999999999</v>
      </c>
      <c r="E3420">
        <v>0.48882340000000002</v>
      </c>
      <c r="F3420" t="s">
        <v>41</v>
      </c>
      <c r="G3420">
        <v>-264.05799999999999</v>
      </c>
      <c r="H3420">
        <v>1.030368</v>
      </c>
      <c r="I3420">
        <v>140.54159999999999</v>
      </c>
      <c r="J3420">
        <v>-263.54129999999998</v>
      </c>
      <c r="K3420">
        <v>1.1095120000000001</v>
      </c>
      <c r="L3420">
        <v>140.5496</v>
      </c>
      <c r="M3420">
        <v>-0.99961960000000005</v>
      </c>
      <c r="N3420">
        <v>0</v>
      </c>
      <c r="O3420">
        <v>-2.5458330000000001E-2</v>
      </c>
      <c r="P3420">
        <v>-0.98969750000000001</v>
      </c>
      <c r="Q3420">
        <v>0.14102979999999901</v>
      </c>
      <c r="R3420">
        <v>2.4690750000000001E-2</v>
      </c>
      <c r="S3420">
        <v>-3.0707089999999999</v>
      </c>
      <c r="T3420">
        <v>-0.26651279999999999</v>
      </c>
      <c r="U3420">
        <v>-6.0684200000000001E-2</v>
      </c>
      <c r="V3420">
        <v>4.993881E-2</v>
      </c>
      <c r="W3420">
        <v>0.1514868</v>
      </c>
      <c r="X3420">
        <v>0.98719699999999999</v>
      </c>
      <c r="Y3420">
        <v>5.5861419999999997E-3</v>
      </c>
      <c r="Z3420">
        <v>2.446962E-3</v>
      </c>
      <c r="AA3420">
        <v>0.99998140000000002</v>
      </c>
      <c r="AB3420">
        <v>41</v>
      </c>
      <c r="AC3420">
        <v>-0.51670000000001404</v>
      </c>
      <c r="AD3420">
        <v>-7.9144000000000103E-2</v>
      </c>
      <c r="AE3420">
        <v>-8.0000000000097701E-3</v>
      </c>
      <c r="AF3420">
        <v>5.0394469656093498E-3</v>
      </c>
      <c r="AG3420">
        <v>-7.9144000000000103E-2</v>
      </c>
      <c r="AH3420">
        <v>0.50489338164306996</v>
      </c>
      <c r="AI3420">
        <v>98.908402900657293</v>
      </c>
      <c r="AJ3420">
        <v>89.428137771695006</v>
      </c>
      <c r="AK3420">
        <v>0.51108364832842601</v>
      </c>
      <c r="AL3420">
        <v>81.286901601897995</v>
      </c>
      <c r="AM3420">
        <v>87.104077380918994</v>
      </c>
      <c r="AN3420">
        <v>1.0000000260637201</v>
      </c>
    </row>
    <row r="3421" spans="1:40" x14ac:dyDescent="0.25">
      <c r="A3421" t="str">
        <f>"20190312164335656"</f>
        <v>20190312164335656</v>
      </c>
      <c r="B3421" t="str">
        <f>"1552380215647774"</f>
        <v>1552380215647774</v>
      </c>
      <c r="C3421" t="s">
        <v>40</v>
      </c>
      <c r="D3421">
        <v>4.4249970000000003</v>
      </c>
      <c r="E3421">
        <v>0.4889192</v>
      </c>
      <c r="F3421" t="s">
        <v>41</v>
      </c>
      <c r="G3421">
        <v>-264.42860000000002</v>
      </c>
      <c r="H3421">
        <v>1.0330710000000001</v>
      </c>
      <c r="I3421">
        <v>140.53219999999999</v>
      </c>
      <c r="J3421">
        <v>-263.98099999999999</v>
      </c>
      <c r="K3421">
        <v>1.1094059999999999</v>
      </c>
      <c r="L3421">
        <v>140.53880000000001</v>
      </c>
      <c r="M3421">
        <v>-0.99962850000000003</v>
      </c>
      <c r="N3421">
        <v>0</v>
      </c>
      <c r="O3421">
        <v>-2.499869E-2</v>
      </c>
      <c r="P3421">
        <v>-0.98966430000000005</v>
      </c>
      <c r="Q3421">
        <v>0.1411934</v>
      </c>
      <c r="R3421">
        <v>2.508668E-2</v>
      </c>
      <c r="S3421">
        <v>-3.0704349999999998</v>
      </c>
      <c r="T3421">
        <v>-0.26450810000000002</v>
      </c>
      <c r="U3421">
        <v>-6.1065670000000002E-2</v>
      </c>
      <c r="V3421">
        <v>4.9928800000000002E-2</v>
      </c>
      <c r="W3421">
        <v>0.15189639999999999</v>
      </c>
      <c r="X3421">
        <v>0.98713450000000003</v>
      </c>
      <c r="Y3421">
        <v>5.0060199999999999E-3</v>
      </c>
      <c r="Z3421">
        <v>2.3643969999999999E-3</v>
      </c>
      <c r="AA3421">
        <v>0.99998469999999995</v>
      </c>
      <c r="AB3421">
        <v>41</v>
      </c>
      <c r="AC3421">
        <v>-0.44760000000002198</v>
      </c>
      <c r="AD3421">
        <v>-7.6335E-2</v>
      </c>
      <c r="AE3421">
        <v>-6.6000000000201401E-3</v>
      </c>
      <c r="AF3421">
        <v>4.4623768429895797E-3</v>
      </c>
      <c r="AG3421">
        <v>-7.6335E-2</v>
      </c>
      <c r="AH3421">
        <v>0.43497661031134999</v>
      </c>
      <c r="AI3421">
        <v>99.953092648097197</v>
      </c>
      <c r="AJ3421">
        <v>89.412229566591506</v>
      </c>
      <c r="AK3421">
        <v>0.44164646104100103</v>
      </c>
      <c r="AL3421">
        <v>81.263157922031994</v>
      </c>
      <c r="AM3421">
        <v>87.104473861749</v>
      </c>
      <c r="AN3421">
        <v>0.99999996124632395</v>
      </c>
    </row>
    <row r="3422" spans="1:40" x14ac:dyDescent="0.25">
      <c r="A3422" t="str">
        <f>"20190312164335678"</f>
        <v>20190312164335678</v>
      </c>
      <c r="B3422" t="str">
        <f>"1552380215668274"</f>
        <v>1552380215668274</v>
      </c>
      <c r="C3422" t="s">
        <v>40</v>
      </c>
      <c r="D3422">
        <v>4.3177599999999998</v>
      </c>
      <c r="E3422">
        <v>0.48911019999999999</v>
      </c>
      <c r="F3422" t="s">
        <v>41</v>
      </c>
      <c r="G3422">
        <v>-264.80239999999998</v>
      </c>
      <c r="H3422">
        <v>1.038767</v>
      </c>
      <c r="I3422">
        <v>140.52269999999999</v>
      </c>
      <c r="J3422">
        <v>-264.37990000000002</v>
      </c>
      <c r="K3422">
        <v>1.109286</v>
      </c>
      <c r="L3422">
        <v>140.52930000000001</v>
      </c>
      <c r="M3422">
        <v>-0.99964030000000004</v>
      </c>
      <c r="N3422">
        <v>0</v>
      </c>
      <c r="O3422">
        <v>-2.4429220000000001E-2</v>
      </c>
      <c r="P3422">
        <v>-0.9896239</v>
      </c>
      <c r="Q3422">
        <v>0.14134179999999999</v>
      </c>
      <c r="R3422">
        <v>2.583469E-2</v>
      </c>
      <c r="S3422">
        <v>-3.0705260000000001</v>
      </c>
      <c r="T3422">
        <v>-0.26405859999999998</v>
      </c>
      <c r="U3422">
        <v>-6.0699459999999997E-2</v>
      </c>
      <c r="V3422">
        <v>5.0163340000000001E-2</v>
      </c>
      <c r="W3422">
        <v>0.15223989999999901</v>
      </c>
      <c r="X3422">
        <v>0.98706970000000005</v>
      </c>
      <c r="Y3422">
        <v>4.5603479999999997E-3</v>
      </c>
      <c r="Z3422">
        <v>2.2923420000000002E-3</v>
      </c>
      <c r="AA3422">
        <v>0.99998690000000001</v>
      </c>
      <c r="AB3422">
        <v>41</v>
      </c>
      <c r="AC3422">
        <v>-0.42249999999995602</v>
      </c>
      <c r="AD3422">
        <v>-7.0518999999999998E-2</v>
      </c>
      <c r="AE3422">
        <v>-6.6000000000201401E-3</v>
      </c>
      <c r="AF3422">
        <v>3.6230394543379099E-3</v>
      </c>
      <c r="AG3422">
        <v>-7.0518999999999998E-2</v>
      </c>
      <c r="AH3422">
        <v>0.411085671115204</v>
      </c>
      <c r="AI3422">
        <v>99.733594439592807</v>
      </c>
      <c r="AJ3422">
        <v>89.495045656274698</v>
      </c>
      <c r="AK3422">
        <v>0.41710608335545202</v>
      </c>
      <c r="AL3422">
        <v>81.243245315979195</v>
      </c>
      <c r="AM3422">
        <v>87.0907048173665</v>
      </c>
      <c r="AN3422">
        <v>0.99999997024502696</v>
      </c>
    </row>
    <row r="3423" spans="1:40" x14ac:dyDescent="0.25">
      <c r="A3423" t="str">
        <f>"20190312164335701"</f>
        <v>20190312164335701</v>
      </c>
      <c r="B3423" t="str">
        <f>"1552380215687790"</f>
        <v>1552380215687790</v>
      </c>
      <c r="C3423" t="s">
        <v>40</v>
      </c>
      <c r="D3423">
        <v>4.3097810000000001</v>
      </c>
      <c r="E3423">
        <v>0.4891411</v>
      </c>
      <c r="F3423" t="s">
        <v>41</v>
      </c>
      <c r="G3423">
        <v>-265.17349999999999</v>
      </c>
      <c r="H3423">
        <v>1.040943</v>
      </c>
      <c r="I3423">
        <v>140.51499999999999</v>
      </c>
      <c r="J3423">
        <v>-264.80070000000001</v>
      </c>
      <c r="K3423">
        <v>1.1091420000000001</v>
      </c>
      <c r="L3423">
        <v>140.5196</v>
      </c>
      <c r="M3423">
        <v>-0.99965630000000005</v>
      </c>
      <c r="N3423">
        <v>0</v>
      </c>
      <c r="O3423">
        <v>-2.3664589999999999E-2</v>
      </c>
      <c r="P3423">
        <v>-0.98956480000000002</v>
      </c>
      <c r="Q3423">
        <v>0.14158999999999999</v>
      </c>
      <c r="R3423">
        <v>2.6713110000000002E-2</v>
      </c>
      <c r="S3423">
        <v>-3.0707399999999998</v>
      </c>
      <c r="T3423">
        <v>-0.26446940000000002</v>
      </c>
      <c r="U3423">
        <v>-5.654907E-2</v>
      </c>
      <c r="V3423">
        <v>5.0341200000000003E-2</v>
      </c>
      <c r="W3423">
        <v>0.15266689999999999</v>
      </c>
      <c r="X3423">
        <v>0.9869947</v>
      </c>
      <c r="Y3423">
        <v>5.1483040000000002E-3</v>
      </c>
      <c r="Z3423">
        <v>2.2553389999999999E-3</v>
      </c>
      <c r="AA3423">
        <v>0.99998419999999999</v>
      </c>
      <c r="AB3423">
        <v>41</v>
      </c>
      <c r="AC3423">
        <v>-0.37279999999998298</v>
      </c>
      <c r="AD3423">
        <v>-6.8199000000000107E-2</v>
      </c>
      <c r="AE3423">
        <v>-4.6000000000105904E-3</v>
      </c>
      <c r="AF3423">
        <v>4.08724589884925E-3</v>
      </c>
      <c r="AG3423">
        <v>-6.8199000000000107E-2</v>
      </c>
      <c r="AH3423">
        <v>0.36073395390477098</v>
      </c>
      <c r="AI3423">
        <v>100.705096639834</v>
      </c>
      <c r="AJ3423">
        <v>89.350845916012403</v>
      </c>
      <c r="AK3423">
        <v>0.36714682986484698</v>
      </c>
      <c r="AL3423">
        <v>81.218490722789198</v>
      </c>
      <c r="AM3423">
        <v>87.0801859149732</v>
      </c>
      <c r="AN3423">
        <v>0.99999997830056897</v>
      </c>
    </row>
    <row r="3424" spans="1:40" x14ac:dyDescent="0.25">
      <c r="A3424" t="str">
        <f>"20190312164335721"</f>
        <v>20190312164335721</v>
      </c>
      <c r="B3424" t="str">
        <f>"1552380215718618"</f>
        <v>1552380215718618</v>
      </c>
      <c r="C3424" t="s">
        <v>40</v>
      </c>
      <c r="D3424">
        <v>4.2564479999999998</v>
      </c>
      <c r="E3424">
        <v>0.48916080000000001</v>
      </c>
      <c r="F3424" t="s">
        <v>41</v>
      </c>
      <c r="G3424">
        <v>-265.55419999999998</v>
      </c>
      <c r="H3424">
        <v>1.0443009999999999</v>
      </c>
      <c r="I3424">
        <v>140.50649999999999</v>
      </c>
      <c r="J3424">
        <v>-265.18049999999999</v>
      </c>
      <c r="K3424">
        <v>1.1090059999999999</v>
      </c>
      <c r="L3424">
        <v>140.51130000000001</v>
      </c>
      <c r="M3424">
        <v>-0.99967430000000002</v>
      </c>
      <c r="N3424">
        <v>0</v>
      </c>
      <c r="O3424">
        <v>-2.2816679999999999E-2</v>
      </c>
      <c r="P3424">
        <v>-0.98956140000000004</v>
      </c>
      <c r="Q3424">
        <v>0.14136279999999901</v>
      </c>
      <c r="R3424">
        <v>2.8016030000000001E-2</v>
      </c>
      <c r="S3424">
        <v>-3.0708920000000002</v>
      </c>
      <c r="T3424">
        <v>-0.26425959999999898</v>
      </c>
      <c r="U3424">
        <v>-5.3695680000000003E-2</v>
      </c>
      <c r="V3424">
        <v>5.0858390000000003E-2</v>
      </c>
      <c r="W3424">
        <v>0.15257499999999999</v>
      </c>
      <c r="X3424">
        <v>0.98698240000000004</v>
      </c>
      <c r="Y3424">
        <v>5.2329220000000001E-3</v>
      </c>
      <c r="Z3424">
        <v>2.1842989999999998E-3</v>
      </c>
      <c r="AA3424">
        <v>0.99998390000000004</v>
      </c>
      <c r="AB3424">
        <v>41</v>
      </c>
      <c r="AC3424">
        <v>-0.37369999999998499</v>
      </c>
      <c r="AD3424">
        <v>-6.4704999999999999E-2</v>
      </c>
      <c r="AE3424">
        <v>-4.8000000000172297E-3</v>
      </c>
      <c r="AF3424">
        <v>3.6198943265689301E-3</v>
      </c>
      <c r="AG3424">
        <v>-6.4704999999999999E-2</v>
      </c>
      <c r="AH3424">
        <v>0.362836244910968</v>
      </c>
      <c r="AI3424">
        <v>100.110836056374</v>
      </c>
      <c r="AJ3424">
        <v>89.428398377341395</v>
      </c>
      <c r="AK3424">
        <v>0.36857832448616301</v>
      </c>
      <c r="AL3424">
        <v>81.223818656807794</v>
      </c>
      <c r="AM3424">
        <v>87.050204656238805</v>
      </c>
      <c r="AN3424">
        <v>0.99999998218407504</v>
      </c>
    </row>
    <row r="3425" spans="1:40" x14ac:dyDescent="0.25">
      <c r="A3425" t="str">
        <f>"20190312164335744"</f>
        <v>20190312164335744</v>
      </c>
      <c r="B3425" t="str">
        <f>"1552380215738137"</f>
        <v>1552380215738137</v>
      </c>
      <c r="C3425" t="s">
        <v>40</v>
      </c>
      <c r="D3425">
        <v>4.2660989999999996</v>
      </c>
      <c r="E3425">
        <v>0.48922349999999998</v>
      </c>
      <c r="F3425" t="s">
        <v>41</v>
      </c>
      <c r="G3425">
        <v>-266.26659999999998</v>
      </c>
      <c r="H3425">
        <v>1.015406</v>
      </c>
      <c r="I3425">
        <v>140.49369999999999</v>
      </c>
      <c r="J3425">
        <v>-265.61430000000001</v>
      </c>
      <c r="K3425">
        <v>1.10884</v>
      </c>
      <c r="L3425">
        <v>140.50239999999999</v>
      </c>
      <c r="M3425">
        <v>-0.99969810000000003</v>
      </c>
      <c r="N3425">
        <v>0</v>
      </c>
      <c r="O3425">
        <v>-2.1665360000000002E-2</v>
      </c>
      <c r="P3425">
        <v>-0.98952099999999998</v>
      </c>
      <c r="Q3425">
        <v>0.14142869999999999</v>
      </c>
      <c r="R3425">
        <v>2.909192E-2</v>
      </c>
      <c r="S3425">
        <v>-3.0708920000000002</v>
      </c>
      <c r="T3425">
        <v>-0.26465689999999997</v>
      </c>
      <c r="U3425">
        <v>-4.9835209999999998E-2</v>
      </c>
      <c r="V3425">
        <v>5.0856119999999998E-2</v>
      </c>
      <c r="W3425">
        <v>0.1527645</v>
      </c>
      <c r="X3425">
        <v>0.98695319999999997</v>
      </c>
      <c r="Y3425">
        <v>5.3415880000000004E-3</v>
      </c>
      <c r="Z3425">
        <v>2.0932659999999999E-3</v>
      </c>
      <c r="AA3425">
        <v>0.99998350000000003</v>
      </c>
      <c r="AB3425">
        <v>41</v>
      </c>
      <c r="AC3425">
        <v>-0.65229999999996802</v>
      </c>
      <c r="AD3425">
        <v>-9.3434000000000003E-2</v>
      </c>
      <c r="AE3425">
        <v>-8.7000000000045895E-3</v>
      </c>
      <c r="AF3425">
        <v>5.3260504472051702E-3</v>
      </c>
      <c r="AG3425">
        <v>-9.3434000000000003E-2</v>
      </c>
      <c r="AH3425">
        <v>0.63922273336331803</v>
      </c>
      <c r="AI3425">
        <v>98.315643172405501</v>
      </c>
      <c r="AJ3425">
        <v>89.522618432185595</v>
      </c>
      <c r="AK3425">
        <v>0.64603713671726204</v>
      </c>
      <c r="AL3425">
        <v>81.212832281067094</v>
      </c>
      <c r="AM3425">
        <v>87.050248969471994</v>
      </c>
      <c r="AN3425">
        <v>0.99999997819597097</v>
      </c>
    </row>
    <row r="3426" spans="1:40" x14ac:dyDescent="0.25">
      <c r="A3426" t="str">
        <f>"20190312164335767"</f>
        <v>20190312164335767</v>
      </c>
      <c r="B3426" t="str">
        <f>"1552380215758633"</f>
        <v>1552380215758633</v>
      </c>
      <c r="C3426" t="s">
        <v>40</v>
      </c>
      <c r="D3426">
        <v>4.37913</v>
      </c>
      <c r="E3426">
        <v>0.48926120000000001</v>
      </c>
      <c r="F3426" t="s">
        <v>41</v>
      </c>
      <c r="G3426">
        <v>-266.63869999999997</v>
      </c>
      <c r="H3426">
        <v>1.0208379999999999</v>
      </c>
      <c r="I3426">
        <v>140.4873</v>
      </c>
      <c r="J3426">
        <v>-266.03949999999998</v>
      </c>
      <c r="K3426">
        <v>1.108695</v>
      </c>
      <c r="L3426">
        <v>140.49430000000001</v>
      </c>
      <c r="M3426">
        <v>-0.99972349999999999</v>
      </c>
      <c r="N3426">
        <v>0</v>
      </c>
      <c r="O3426">
        <v>-2.039504E-2</v>
      </c>
      <c r="P3426">
        <v>-0.98948080000000005</v>
      </c>
      <c r="Q3426">
        <v>0.14140739999999999</v>
      </c>
      <c r="R3426">
        <v>3.0527780000000001E-2</v>
      </c>
      <c r="S3426">
        <v>-3.0708009999999999</v>
      </c>
      <c r="T3426">
        <v>-0.26378760000000001</v>
      </c>
      <c r="U3426">
        <v>-4.5913700000000002E-2</v>
      </c>
      <c r="V3426">
        <v>5.1090330000000003E-2</v>
      </c>
      <c r="W3426">
        <v>0.15284130000000001</v>
      </c>
      <c r="X3426">
        <v>0.98692919999999995</v>
      </c>
      <c r="Y3426">
        <v>5.3524469999999998E-3</v>
      </c>
      <c r="Z3426">
        <v>1.9780750000000001E-3</v>
      </c>
      <c r="AA3426">
        <v>0.99998370000000003</v>
      </c>
      <c r="AB3426">
        <v>41</v>
      </c>
      <c r="AC3426">
        <v>-0.59919999999999596</v>
      </c>
      <c r="AD3426">
        <v>-8.7857000000000005E-2</v>
      </c>
      <c r="AE3426">
        <v>-7.0000000000049996E-3</v>
      </c>
      <c r="AF3426">
        <v>5.1130921101776904E-3</v>
      </c>
      <c r="AG3426">
        <v>-8.7857000000000005E-2</v>
      </c>
      <c r="AH3426">
        <v>0.58660861156894595</v>
      </c>
      <c r="AI3426">
        <v>98.517618333083405</v>
      </c>
      <c r="AJ3426">
        <v>89.500601979642099</v>
      </c>
      <c r="AK3426">
        <v>0.59317338049407997</v>
      </c>
      <c r="AL3426">
        <v>81.208379562566606</v>
      </c>
      <c r="AM3426">
        <v>87.036616570907697</v>
      </c>
      <c r="AN3426">
        <v>0.99999996530891799</v>
      </c>
    </row>
    <row r="3427" spans="1:40" x14ac:dyDescent="0.25">
      <c r="A3427" t="str">
        <f>"20190312164335790"</f>
        <v>20190312164335790</v>
      </c>
      <c r="B3427" t="str">
        <f>"1552380215778153"</f>
        <v>1552380215778153</v>
      </c>
      <c r="C3427" t="s">
        <v>40</v>
      </c>
      <c r="D3427">
        <v>4.2109489999999896</v>
      </c>
      <c r="E3427">
        <v>0.49768980000000002</v>
      </c>
      <c r="F3427" t="s">
        <v>41</v>
      </c>
      <c r="G3427">
        <v>-267.0104</v>
      </c>
      <c r="H3427">
        <v>1.025582</v>
      </c>
      <c r="I3427">
        <v>140.48140000000001</v>
      </c>
      <c r="J3427">
        <v>-266.46469999999999</v>
      </c>
      <c r="K3427">
        <v>1.108555</v>
      </c>
      <c r="L3427">
        <v>140.48679999999999</v>
      </c>
      <c r="M3427">
        <v>-0.99975000000000003</v>
      </c>
      <c r="N3427">
        <v>0</v>
      </c>
      <c r="O3427">
        <v>-1.899255E-2</v>
      </c>
      <c r="P3427">
        <v>-0.98952560000000001</v>
      </c>
      <c r="Q3427">
        <v>0.14088000000000001</v>
      </c>
      <c r="R3427">
        <v>3.1495679999999998E-2</v>
      </c>
      <c r="S3427">
        <v>-3.07077</v>
      </c>
      <c r="T3427">
        <v>-0.26286659999999901</v>
      </c>
      <c r="U3427">
        <v>-4.0985109999999998E-2</v>
      </c>
      <c r="V3427">
        <v>5.0722629999999998E-2</v>
      </c>
      <c r="W3427">
        <v>0.15239269999999999</v>
      </c>
      <c r="X3427">
        <v>0.98701760000000005</v>
      </c>
      <c r="Y3427">
        <v>5.5591590000000001E-3</v>
      </c>
      <c r="Z3427">
        <v>1.8602600000000001E-3</v>
      </c>
      <c r="AA3427">
        <v>0.99998279999999995</v>
      </c>
      <c r="AB3427">
        <v>41</v>
      </c>
      <c r="AC3427">
        <v>-0.54570000000000995</v>
      </c>
      <c r="AD3427">
        <v>-8.2972999999999894E-2</v>
      </c>
      <c r="AE3427">
        <v>-5.3999999999802999E-3</v>
      </c>
      <c r="AF3427">
        <v>4.8537287292072196E-3</v>
      </c>
      <c r="AG3427">
        <v>-8.2972999999999894E-2</v>
      </c>
      <c r="AH3427">
        <v>0.53337434419048702</v>
      </c>
      <c r="AI3427">
        <v>98.841837871077004</v>
      </c>
      <c r="AJ3427">
        <v>89.478620413620106</v>
      </c>
      <c r="AK3427">
        <v>0.53981132671722298</v>
      </c>
      <c r="AL3427">
        <v>81.234387702670404</v>
      </c>
      <c r="AM3427">
        <v>87.058169642436297</v>
      </c>
      <c r="AN3427">
        <v>1.00000003145858</v>
      </c>
    </row>
    <row r="3428" spans="1:40" x14ac:dyDescent="0.25">
      <c r="A3428" t="str">
        <f>"20190312164335811"</f>
        <v>20190312164335811</v>
      </c>
      <c r="B3428" t="str">
        <f>"1552380215798649"</f>
        <v>1552380215798649</v>
      </c>
      <c r="C3428" t="s">
        <v>40</v>
      </c>
      <c r="D3428">
        <v>4.201066</v>
      </c>
      <c r="E3428">
        <v>0.49741210000000002</v>
      </c>
      <c r="F3428" t="s">
        <v>49</v>
      </c>
      <c r="G3428">
        <v>-293.5933</v>
      </c>
      <c r="H3428" s="1">
        <v>-8.9299829999999994E-6</v>
      </c>
      <c r="I3428">
        <v>140.83179999999999</v>
      </c>
      <c r="J3428">
        <v>-266.83850000000001</v>
      </c>
      <c r="K3428">
        <v>1.108436</v>
      </c>
      <c r="L3428">
        <v>140.48079999999999</v>
      </c>
      <c r="M3428">
        <v>-0.99977389999999999</v>
      </c>
      <c r="N3428">
        <v>0</v>
      </c>
      <c r="O3428">
        <v>-1.7655150000000001E-2</v>
      </c>
      <c r="P3428">
        <v>-0.9895524</v>
      </c>
      <c r="Q3428">
        <v>0.14043900000000001</v>
      </c>
      <c r="R3428">
        <v>3.2607909999999997E-2</v>
      </c>
      <c r="S3428">
        <v>-3.0482480000000001</v>
      </c>
      <c r="T3428">
        <v>-0.12456150000000001</v>
      </c>
      <c r="U3428">
        <v>3.8757319999999998E-2</v>
      </c>
      <c r="V3428">
        <v>5.0555170000000003E-2</v>
      </c>
      <c r="W3428">
        <v>0.15200150000000001</v>
      </c>
      <c r="X3428">
        <v>0.98708649999999998</v>
      </c>
      <c r="Y3428">
        <v>3.0326539999999999E-2</v>
      </c>
      <c r="Z3428">
        <v>1.340499E-3</v>
      </c>
      <c r="AA3428">
        <v>0.99953910000000001</v>
      </c>
      <c r="AB3428">
        <v>41</v>
      </c>
      <c r="AC3428">
        <v>-26.7547999999999</v>
      </c>
      <c r="AD3428">
        <v>-1.1084449299829999</v>
      </c>
      <c r="AE3428">
        <v>0.35099999999999898</v>
      </c>
      <c r="AF3428">
        <v>0.82192792999730402</v>
      </c>
      <c r="AG3428">
        <v>-1.1084449299829999</v>
      </c>
      <c r="AH3428">
        <v>26.698613621647699</v>
      </c>
      <c r="AI3428">
        <v>92.376256065631793</v>
      </c>
      <c r="AJ3428">
        <v>88.236682502016905</v>
      </c>
      <c r="AK3428">
        <v>26.7342511584474</v>
      </c>
      <c r="AL3428">
        <v>81.257065907356903</v>
      </c>
      <c r="AM3428">
        <v>87.068069384587801</v>
      </c>
      <c r="AN3428">
        <v>1.0000000198491099</v>
      </c>
    </row>
    <row r="3429" spans="1:40" x14ac:dyDescent="0.25">
      <c r="A3429" t="str">
        <f>"20190312164335833"</f>
        <v>20190312164335833</v>
      </c>
      <c r="B3429" t="str">
        <f>"1552380215827929"</f>
        <v>1552380215827929</v>
      </c>
      <c r="C3429" t="s">
        <v>40</v>
      </c>
      <c r="D3429">
        <v>4.1634339999999996</v>
      </c>
      <c r="E3429">
        <v>0.49739410000000001</v>
      </c>
      <c r="F3429" t="s">
        <v>49</v>
      </c>
      <c r="G3429">
        <v>-293.70729999999998</v>
      </c>
      <c r="H3429" s="1">
        <v>-8.9198849999999997E-6</v>
      </c>
      <c r="I3429">
        <v>140.83150000000001</v>
      </c>
      <c r="J3429">
        <v>-267.25389999999999</v>
      </c>
      <c r="K3429">
        <v>1.108304</v>
      </c>
      <c r="L3429">
        <v>140.47479999999999</v>
      </c>
      <c r="M3429">
        <v>-0.99980000000000002</v>
      </c>
      <c r="N3429">
        <v>0</v>
      </c>
      <c r="O3429">
        <v>-1.6061579999999999E-2</v>
      </c>
      <c r="P3429">
        <v>-0.98956</v>
      </c>
      <c r="Q3429">
        <v>0.140071</v>
      </c>
      <c r="R3429">
        <v>3.3930670000000003E-2</v>
      </c>
      <c r="S3429">
        <v>-3.048187</v>
      </c>
      <c r="T3429">
        <v>-0.1257499</v>
      </c>
      <c r="U3429">
        <v>3.9779660000000001E-2</v>
      </c>
      <c r="V3429">
        <v>5.0347889999999999E-2</v>
      </c>
      <c r="W3429">
        <v>0.15167249999999999</v>
      </c>
      <c r="X3429">
        <v>0.98714769999999996</v>
      </c>
      <c r="Y3429">
        <v>2.9070450000000001E-2</v>
      </c>
      <c r="Z3429">
        <v>1.2616939999999901E-3</v>
      </c>
      <c r="AA3429">
        <v>0.99957660000000004</v>
      </c>
      <c r="AB3429">
        <v>41</v>
      </c>
      <c r="AC3429">
        <v>-26.453399999999899</v>
      </c>
      <c r="AD3429">
        <v>-1.1083129198849999</v>
      </c>
      <c r="AE3429">
        <v>0.356700000000017</v>
      </c>
      <c r="AF3429">
        <v>0.780198282020233</v>
      </c>
      <c r="AG3429">
        <v>-1.1083129198849999</v>
      </c>
      <c r="AH3429">
        <v>26.3979285990535</v>
      </c>
      <c r="AI3429">
        <v>92.403094315686204</v>
      </c>
      <c r="AJ3429">
        <v>88.307099762781604</v>
      </c>
      <c r="AK3429">
        <v>26.4327013604054</v>
      </c>
      <c r="AL3429">
        <v>81.276137337858003</v>
      </c>
      <c r="AM3429">
        <v>87.080250387941206</v>
      </c>
      <c r="AN3429">
        <v>1.00000001944949</v>
      </c>
    </row>
    <row r="3430" spans="1:40" x14ac:dyDescent="0.25">
      <c r="A3430" t="str">
        <f>"20190312164335857"</f>
        <v>20190312164335857</v>
      </c>
      <c r="B3430" t="str">
        <f>"1552380215848427"</f>
        <v>1552380215848427</v>
      </c>
      <c r="C3430" t="s">
        <v>40</v>
      </c>
      <c r="D3430">
        <v>4.1912029999999998</v>
      </c>
      <c r="E3430">
        <v>0.4971083</v>
      </c>
      <c r="F3430" t="s">
        <v>49</v>
      </c>
      <c r="G3430">
        <v>-294.23</v>
      </c>
      <c r="H3430" s="1">
        <v>-8.8822939999999999E-6</v>
      </c>
      <c r="I3430">
        <v>140.863</v>
      </c>
      <c r="J3430">
        <v>-267.69110000000001</v>
      </c>
      <c r="K3430">
        <v>1.108174</v>
      </c>
      <c r="L3430">
        <v>140.4692</v>
      </c>
      <c r="M3430">
        <v>-0.99982660000000001</v>
      </c>
      <c r="N3430">
        <v>0</v>
      </c>
      <c r="O3430">
        <v>-1.427894E-2</v>
      </c>
      <c r="P3430">
        <v>-0.98962779999999995</v>
      </c>
      <c r="Q3430">
        <v>0.13914079999999901</v>
      </c>
      <c r="R3430">
        <v>3.573076E-2</v>
      </c>
      <c r="S3430">
        <v>-3.047882</v>
      </c>
      <c r="T3430">
        <v>-0.12522220000000001</v>
      </c>
      <c r="U3430">
        <v>4.3869020000000002E-2</v>
      </c>
      <c r="V3430">
        <v>5.0429960000000003E-2</v>
      </c>
      <c r="W3430">
        <v>0.15077170000000001</v>
      </c>
      <c r="X3430">
        <v>0.98728150000000003</v>
      </c>
      <c r="Y3430">
        <v>2.8632600000000001E-2</v>
      </c>
      <c r="Z3430">
        <v>1.1743210000000001E-3</v>
      </c>
      <c r="AA3430">
        <v>0.99958930000000001</v>
      </c>
      <c r="AB3430">
        <v>41</v>
      </c>
      <c r="AC3430">
        <v>-26.538900000000002</v>
      </c>
      <c r="AD3430">
        <v>-1.1081828822939901</v>
      </c>
      <c r="AE3430">
        <v>0.39379999999999798</v>
      </c>
      <c r="AF3430">
        <v>0.77138955239385198</v>
      </c>
      <c r="AG3430">
        <v>-1.1081828822939901</v>
      </c>
      <c r="AH3430">
        <v>26.484401424855299</v>
      </c>
      <c r="AI3430">
        <v>92.395006637899996</v>
      </c>
      <c r="AJ3430">
        <v>88.331664238508907</v>
      </c>
      <c r="AK3430">
        <v>26.518797672123601</v>
      </c>
      <c r="AL3430">
        <v>81.328349864230105</v>
      </c>
      <c r="AM3430">
        <v>87.075894932138894</v>
      </c>
      <c r="AN3430">
        <v>1.00000002331437</v>
      </c>
    </row>
    <row r="3431" spans="1:40" x14ac:dyDescent="0.25">
      <c r="A3431" t="str">
        <f>"20190312164335878"</f>
        <v>20190312164335878</v>
      </c>
      <c r="B3431" t="str">
        <f>"1552380215867945"</f>
        <v>1552380215867945</v>
      </c>
      <c r="C3431" t="s">
        <v>40</v>
      </c>
      <c r="D3431">
        <v>4.1975049999999996</v>
      </c>
      <c r="E3431">
        <v>0.49698910000000002</v>
      </c>
      <c r="F3431" t="s">
        <v>49</v>
      </c>
      <c r="G3431">
        <v>-294.16910000000001</v>
      </c>
      <c r="H3431" s="1">
        <v>-8.8911110000000004E-6</v>
      </c>
      <c r="I3431">
        <v>140.87620000000001</v>
      </c>
      <c r="J3431">
        <v>-268.08769999999998</v>
      </c>
      <c r="K3431">
        <v>1.108066</v>
      </c>
      <c r="L3431">
        <v>140.4649</v>
      </c>
      <c r="M3431">
        <v>-0.99984899999999999</v>
      </c>
      <c r="N3431">
        <v>0</v>
      </c>
      <c r="O3431">
        <v>-1.25798E-2</v>
      </c>
      <c r="P3431">
        <v>-0.9894655</v>
      </c>
      <c r="Q3431">
        <v>0.13952010000000001</v>
      </c>
      <c r="R3431">
        <v>3.8632380000000001E-2</v>
      </c>
      <c r="S3431">
        <v>-3.0476990000000002</v>
      </c>
      <c r="T3431">
        <v>-0.127555</v>
      </c>
      <c r="U3431">
        <v>4.6844480000000001E-2</v>
      </c>
      <c r="V3431">
        <v>5.1690470000000002E-2</v>
      </c>
      <c r="W3431">
        <v>0.1511644</v>
      </c>
      <c r="X3431">
        <v>0.98715620000000004</v>
      </c>
      <c r="Y3431">
        <v>2.7911189999999999E-2</v>
      </c>
      <c r="Z3431">
        <v>1.1100719999999999E-3</v>
      </c>
      <c r="AA3431">
        <v>0.99960979999999999</v>
      </c>
      <c r="AB3431">
        <v>41</v>
      </c>
      <c r="AC3431">
        <v>-26.081399999999999</v>
      </c>
      <c r="AD3431">
        <v>-1.1080748911110001</v>
      </c>
      <c r="AE3431">
        <v>0.41130000000001099</v>
      </c>
      <c r="AF3431">
        <v>0.73805796501603604</v>
      </c>
      <c r="AG3431">
        <v>-1.1080748911110001</v>
      </c>
      <c r="AH3431">
        <v>26.027194148404998</v>
      </c>
      <c r="AI3431">
        <v>92.436844837357398</v>
      </c>
      <c r="AJ3431">
        <v>88.375688261064298</v>
      </c>
      <c r="AK3431">
        <v>26.0612239690081</v>
      </c>
      <c r="AL3431">
        <v>81.305588490061893</v>
      </c>
      <c r="AM3431">
        <v>87.002558069424097</v>
      </c>
      <c r="AN3431">
        <v>0.99999997185731004</v>
      </c>
    </row>
    <row r="3432" spans="1:40" x14ac:dyDescent="0.25">
      <c r="A3432" t="str">
        <f>"20190312164335899"</f>
        <v>20190312164335899</v>
      </c>
      <c r="B3432" t="str">
        <f>"1552380215888441"</f>
        <v>1552380215888441</v>
      </c>
      <c r="C3432" t="s">
        <v>40</v>
      </c>
      <c r="D3432">
        <v>4.1946209999999997</v>
      </c>
      <c r="E3432">
        <v>0.49692959999999903</v>
      </c>
      <c r="F3432" t="s">
        <v>49</v>
      </c>
      <c r="G3432">
        <v>-294.5471</v>
      </c>
      <c r="H3432" s="1">
        <v>-8.8737419999999993E-6</v>
      </c>
      <c r="I3432">
        <v>140.93620000000001</v>
      </c>
      <c r="J3432">
        <v>-268.47660000000002</v>
      </c>
      <c r="K3432">
        <v>1.1079730000000001</v>
      </c>
      <c r="L3432">
        <v>140.4614</v>
      </c>
      <c r="M3432">
        <v>-0.9998688</v>
      </c>
      <c r="N3432">
        <v>0</v>
      </c>
      <c r="O3432">
        <v>-1.085349E-2</v>
      </c>
      <c r="P3432">
        <v>-0.98921899999999996</v>
      </c>
      <c r="Q3432">
        <v>0.14061870000000001</v>
      </c>
      <c r="R3432">
        <v>4.0894529999999998E-2</v>
      </c>
      <c r="S3432">
        <v>-3.0478209999999999</v>
      </c>
      <c r="T3432">
        <v>-0.1276379</v>
      </c>
      <c r="U3432">
        <v>5.4290770000000002E-2</v>
      </c>
      <c r="V3432">
        <v>5.2282679999999998E-2</v>
      </c>
      <c r="W3432">
        <v>0.15227249999999901</v>
      </c>
      <c r="X3432">
        <v>0.98695469999999996</v>
      </c>
      <c r="Y3432">
        <v>2.8627059999999999E-2</v>
      </c>
      <c r="Z3432">
        <v>1.053446E-3</v>
      </c>
      <c r="AA3432">
        <v>0.99958959999999997</v>
      </c>
      <c r="AB3432">
        <v>41</v>
      </c>
      <c r="AC3432">
        <v>-26.0704999999999</v>
      </c>
      <c r="AD3432">
        <v>-1.107981873742</v>
      </c>
      <c r="AE3432">
        <v>0.47480000000001599</v>
      </c>
      <c r="AF3432">
        <v>0.75638267085956901</v>
      </c>
      <c r="AG3432">
        <v>-1.107981873742</v>
      </c>
      <c r="AH3432">
        <v>26.016834486834799</v>
      </c>
      <c r="AI3432">
        <v>92.437559611225794</v>
      </c>
      <c r="AJ3432">
        <v>88.334719356238296</v>
      </c>
      <c r="AK3432">
        <v>26.0513994881786</v>
      </c>
      <c r="AL3432">
        <v>81.2413555818802</v>
      </c>
      <c r="AM3432">
        <v>86.967662715847197</v>
      </c>
      <c r="AN3432">
        <v>0.99999998636816101</v>
      </c>
    </row>
    <row r="3433" spans="1:40" x14ac:dyDescent="0.25">
      <c r="A3433" t="str">
        <f>"20190312164335923"</f>
        <v>20190312164335923</v>
      </c>
      <c r="B3433" t="str">
        <f>"1552380215918282"</f>
        <v>1552380215918282</v>
      </c>
      <c r="C3433" t="s">
        <v>40</v>
      </c>
      <c r="D3433">
        <v>4.2088619999999999</v>
      </c>
      <c r="E3433">
        <v>0.49520110000000001</v>
      </c>
      <c r="F3433" t="s">
        <v>49</v>
      </c>
      <c r="G3433">
        <v>-295.40980000000002</v>
      </c>
      <c r="H3433" s="1">
        <v>-8.8119430000000004E-6</v>
      </c>
      <c r="I3433">
        <v>140.98920000000001</v>
      </c>
      <c r="J3433">
        <v>-268.9008</v>
      </c>
      <c r="K3433">
        <v>1.1078920000000001</v>
      </c>
      <c r="L3433">
        <v>140.45840000000001</v>
      </c>
      <c r="M3433">
        <v>-0.99988779999999999</v>
      </c>
      <c r="N3433">
        <v>0</v>
      </c>
      <c r="O3433">
        <v>-8.9189979999999992E-3</v>
      </c>
      <c r="P3433">
        <v>-0.9890236</v>
      </c>
      <c r="Q3433">
        <v>0.14095369999999999</v>
      </c>
      <c r="R3433">
        <v>4.4326099999999903E-2</v>
      </c>
      <c r="S3433">
        <v>-3.0480649999999998</v>
      </c>
      <c r="T3433">
        <v>-0.1253918</v>
      </c>
      <c r="U3433">
        <v>5.9738159999999998E-2</v>
      </c>
      <c r="V3433">
        <v>5.3834159999999999E-2</v>
      </c>
      <c r="W3433">
        <v>0.15261129999999901</v>
      </c>
      <c r="X3433">
        <v>0.986819</v>
      </c>
      <c r="Y3433">
        <v>2.8480479999999999E-2</v>
      </c>
      <c r="Z3433">
        <v>9.5226570000000001E-4</v>
      </c>
      <c r="AA3433">
        <v>0.99959390000000004</v>
      </c>
      <c r="AB3433">
        <v>41</v>
      </c>
      <c r="AC3433">
        <v>-26.509</v>
      </c>
      <c r="AD3433">
        <v>-1.1079008119430001</v>
      </c>
      <c r="AE3433">
        <v>0.53079999999999905</v>
      </c>
      <c r="AF3433">
        <v>0.76589248832985501</v>
      </c>
      <c r="AG3433">
        <v>-1.1079008119430001</v>
      </c>
      <c r="AH3433">
        <v>26.457017297646001</v>
      </c>
      <c r="AI3433">
        <v>92.396885488030406</v>
      </c>
      <c r="AJ3433">
        <v>88.341832916704703</v>
      </c>
      <c r="AK3433">
        <v>26.491277806114301</v>
      </c>
      <c r="AL3433">
        <v>81.221714617238703</v>
      </c>
      <c r="AM3433">
        <v>86.877425583208293</v>
      </c>
      <c r="AN3433">
        <v>1.00000003221579</v>
      </c>
    </row>
    <row r="3434" spans="1:40" x14ac:dyDescent="0.25">
      <c r="A3434" t="str">
        <f>"20190312164335945"</f>
        <v>20190312164335945</v>
      </c>
      <c r="B3434" t="str">
        <f>"1552380215937803"</f>
        <v>1552380215937803</v>
      </c>
      <c r="C3434" t="s">
        <v>40</v>
      </c>
      <c r="D3434">
        <v>4.2191099999999997</v>
      </c>
      <c r="E3434">
        <v>0.49478260000000002</v>
      </c>
      <c r="F3434" t="s">
        <v>49</v>
      </c>
      <c r="G3434">
        <v>-291.16000000000003</v>
      </c>
      <c r="H3434" s="1">
        <v>-9.1478260000000002E-6</v>
      </c>
      <c r="I3434">
        <v>140.84620000000001</v>
      </c>
      <c r="J3434">
        <v>-269.32729999999998</v>
      </c>
      <c r="K3434">
        <v>1.1078269999999999</v>
      </c>
      <c r="L3434">
        <v>140.4562</v>
      </c>
      <c r="M3434">
        <v>-0.9999034</v>
      </c>
      <c r="N3434">
        <v>0</v>
      </c>
      <c r="O3434">
        <v>-6.934834E-3</v>
      </c>
      <c r="P3434">
        <v>-0.98906110000000003</v>
      </c>
      <c r="Q3434">
        <v>0.14010649999999999</v>
      </c>
      <c r="R3434">
        <v>4.6138680000000001E-2</v>
      </c>
      <c r="S3434">
        <v>-3.0525509999999998</v>
      </c>
      <c r="T3434">
        <v>-0.15193409999999999</v>
      </c>
      <c r="U3434">
        <v>5.3192139999999999E-2</v>
      </c>
      <c r="V3434">
        <v>5.3707949999999997E-2</v>
      </c>
      <c r="W3434">
        <v>0.1517762</v>
      </c>
      <c r="X3434">
        <v>0.98695460000000002</v>
      </c>
      <c r="Y3434">
        <v>2.4318010000000001E-2</v>
      </c>
      <c r="Z3434">
        <v>9.4972299999999997E-4</v>
      </c>
      <c r="AA3434">
        <v>0.99970380000000003</v>
      </c>
      <c r="AB3434">
        <v>41</v>
      </c>
      <c r="AC3434">
        <v>-21.832699999999999</v>
      </c>
      <c r="AD3434">
        <v>-1.1078361478259999</v>
      </c>
      <c r="AE3434">
        <v>0.390000000000014</v>
      </c>
      <c r="AF3434">
        <v>0.54001778569451997</v>
      </c>
      <c r="AG3434">
        <v>-1.1078361478259999</v>
      </c>
      <c r="AH3434">
        <v>21.773426757854999</v>
      </c>
      <c r="AI3434">
        <v>92.911814680338395</v>
      </c>
      <c r="AJ3434">
        <v>88.579259087793702</v>
      </c>
      <c r="AK3434">
        <v>21.8082789994757</v>
      </c>
      <c r="AL3434">
        <v>81.270125743857804</v>
      </c>
      <c r="AM3434">
        <v>86.8851589508497</v>
      </c>
      <c r="AN3434">
        <v>0.99999997062040002</v>
      </c>
    </row>
    <row r="3435" spans="1:40" x14ac:dyDescent="0.25">
      <c r="A3435" t="str">
        <f>"20190312164335969"</f>
        <v>20190312164335969</v>
      </c>
      <c r="B3435" t="str">
        <f>"1552380215958298"</f>
        <v>1552380215958298</v>
      </c>
      <c r="C3435" t="s">
        <v>40</v>
      </c>
      <c r="D3435">
        <v>4.2515510000000001</v>
      </c>
      <c r="E3435">
        <v>0.48984349999999999</v>
      </c>
      <c r="F3435" t="s">
        <v>49</v>
      </c>
      <c r="G3435">
        <v>-291.42509999999999</v>
      </c>
      <c r="H3435" s="1">
        <v>-9.1273839999999996E-6</v>
      </c>
      <c r="I3435">
        <v>140.85810000000001</v>
      </c>
      <c r="J3435">
        <v>-269.75639999999999</v>
      </c>
      <c r="K3435">
        <v>1.1077629999999901</v>
      </c>
      <c r="L3435">
        <v>140.45490000000001</v>
      </c>
      <c r="M3435">
        <v>-0.99991509999999995</v>
      </c>
      <c r="N3435">
        <v>0</v>
      </c>
      <c r="O3435">
        <v>-4.9145539999999998E-3</v>
      </c>
      <c r="P3435">
        <v>-0.9889848</v>
      </c>
      <c r="Q3435">
        <v>0.1401066</v>
      </c>
      <c r="R3435">
        <v>4.7741440000000003E-2</v>
      </c>
      <c r="S3435">
        <v>-3.0522459999999998</v>
      </c>
      <c r="T3435">
        <v>-0.15301919999999999</v>
      </c>
      <c r="U3435">
        <v>5.551147E-2</v>
      </c>
      <c r="V3435">
        <v>5.3334140000000002E-2</v>
      </c>
      <c r="W3435">
        <v>0.15178659999999999</v>
      </c>
      <c r="X3435">
        <v>0.98697330000000005</v>
      </c>
      <c r="Y3435">
        <v>2.3062840000000001E-2</v>
      </c>
      <c r="Z3435">
        <v>8.239257E-4</v>
      </c>
      <c r="AA3435">
        <v>0.99973369999999995</v>
      </c>
      <c r="AB3435">
        <v>41</v>
      </c>
      <c r="AC3435">
        <v>-21.668700000000001</v>
      </c>
      <c r="AD3435">
        <v>-1.10777212738399</v>
      </c>
      <c r="AE3435">
        <v>0.403199999999998</v>
      </c>
      <c r="AF3435">
        <v>0.50836668673900998</v>
      </c>
      <c r="AG3435">
        <v>-1.10777212738399</v>
      </c>
      <c r="AH3435">
        <v>21.6099967645216</v>
      </c>
      <c r="AI3435">
        <v>92.933718616581999</v>
      </c>
      <c r="AJ3435">
        <v>88.652387845452097</v>
      </c>
      <c r="AK3435">
        <v>21.644342353997001</v>
      </c>
      <c r="AL3435">
        <v>81.269523129847897</v>
      </c>
      <c r="AM3435">
        <v>86.906854645394105</v>
      </c>
      <c r="AN3435">
        <v>0.99999999867099398</v>
      </c>
    </row>
    <row r="3436" spans="1:40" x14ac:dyDescent="0.25">
      <c r="A3436" t="str">
        <f>"20190312164335992"</f>
        <v>20190312164335992</v>
      </c>
      <c r="B3436" t="str">
        <f>"1552380215988554"</f>
        <v>1552380215988554</v>
      </c>
      <c r="C3436" t="s">
        <v>40</v>
      </c>
      <c r="D3436">
        <v>4.2709109999999999</v>
      </c>
      <c r="E3436">
        <v>0.48972280000000001</v>
      </c>
      <c r="F3436" t="s">
        <v>49</v>
      </c>
      <c r="G3436">
        <v>-287.77319999999997</v>
      </c>
      <c r="H3436" s="1">
        <v>-7.8784790000000001E-6</v>
      </c>
      <c r="I3436">
        <v>140.57329999999999</v>
      </c>
      <c r="J3436">
        <v>-270.19229999999999</v>
      </c>
      <c r="K3436">
        <v>1.1077220000000001</v>
      </c>
      <c r="L3436">
        <v>140.4545</v>
      </c>
      <c r="M3436">
        <v>-0.99992289999999995</v>
      </c>
      <c r="N3436">
        <v>0</v>
      </c>
      <c r="O3436">
        <v>-2.8509999999999998E-3</v>
      </c>
      <c r="P3436">
        <v>-0.98885900000000004</v>
      </c>
      <c r="Q3436">
        <v>0.1403112</v>
      </c>
      <c r="R3436">
        <v>4.9708950000000002E-2</v>
      </c>
      <c r="S3436">
        <v>-3.0590820000000001</v>
      </c>
      <c r="T3436">
        <v>-0.18808910000000001</v>
      </c>
      <c r="U3436">
        <v>2.0095829999999999E-2</v>
      </c>
      <c r="V3436">
        <v>5.3279140000000003E-2</v>
      </c>
      <c r="W3436">
        <v>0.15200339999999901</v>
      </c>
      <c r="X3436">
        <v>0.98694289999999996</v>
      </c>
      <c r="Y3436">
        <v>9.397084E-3</v>
      </c>
      <c r="Z3436">
        <v>4.6375730000000002E-4</v>
      </c>
      <c r="AA3436">
        <v>0.9999557</v>
      </c>
      <c r="AB3436">
        <v>41</v>
      </c>
      <c r="AC3436">
        <v>-17.5808999999999</v>
      </c>
      <c r="AD3436">
        <v>-1.107729878479</v>
      </c>
      <c r="AE3436">
        <v>0.11879999999999299</v>
      </c>
      <c r="AF3436">
        <v>0.16825837645019701</v>
      </c>
      <c r="AG3436">
        <v>-1.107729878479</v>
      </c>
      <c r="AH3436">
        <v>17.5109752141013</v>
      </c>
      <c r="AI3436">
        <v>93.619494056845099</v>
      </c>
      <c r="AJ3436">
        <v>89.449476797179997</v>
      </c>
      <c r="AK3436">
        <v>17.5467840162746</v>
      </c>
      <c r="AL3436">
        <v>81.256955538790706</v>
      </c>
      <c r="AM3436">
        <v>86.909943225752798</v>
      </c>
      <c r="AN3436">
        <v>0.99999999411555396</v>
      </c>
    </row>
    <row r="3437" spans="1:40" x14ac:dyDescent="0.25">
      <c r="A3437" t="str">
        <f>"20190312164336012"</f>
        <v>20190312164336012</v>
      </c>
      <c r="B3437" t="str">
        <f>"1552380216008101"</f>
        <v>1552380216008101</v>
      </c>
      <c r="C3437" t="s">
        <v>40</v>
      </c>
      <c r="D3437">
        <v>4.3132270000000004</v>
      </c>
      <c r="E3437">
        <v>0.4894039</v>
      </c>
      <c r="F3437" t="s">
        <v>49</v>
      </c>
      <c r="G3437">
        <v>-287.75029999999998</v>
      </c>
      <c r="H3437" s="1">
        <v>-7.8724040000000003E-6</v>
      </c>
      <c r="I3437">
        <v>140.5986</v>
      </c>
      <c r="J3437">
        <v>-270.57220000000001</v>
      </c>
      <c r="K3437">
        <v>1.1077060000000001</v>
      </c>
      <c r="L3437">
        <v>140.45480000000001</v>
      </c>
      <c r="M3437">
        <v>-0.99992599999999998</v>
      </c>
      <c r="N3437">
        <v>0</v>
      </c>
      <c r="O3437">
        <v>-1.056787E-3</v>
      </c>
      <c r="P3437">
        <v>-0.98861520000000003</v>
      </c>
      <c r="Q3437">
        <v>0.14155179999999901</v>
      </c>
      <c r="R3437">
        <v>5.1025000000000001E-2</v>
      </c>
      <c r="S3437">
        <v>-3.0599059999999998</v>
      </c>
      <c r="T3437">
        <v>-0.19304879999999999</v>
      </c>
      <c r="U3437">
        <v>2.5115970000000001E-2</v>
      </c>
      <c r="V3437">
        <v>5.2837929999999998E-2</v>
      </c>
      <c r="W3437">
        <v>0.1532644</v>
      </c>
      <c r="X3437">
        <v>0.98677159999999997</v>
      </c>
      <c r="Y3437">
        <v>9.2441550000000004E-3</v>
      </c>
      <c r="Z3437">
        <v>3.5792149999999998E-4</v>
      </c>
      <c r="AA3437">
        <v>0.99995719999999999</v>
      </c>
      <c r="AB3437">
        <v>41</v>
      </c>
      <c r="AC3437">
        <v>-17.178099999999901</v>
      </c>
      <c r="AD3437">
        <v>-1.1077138724040001</v>
      </c>
      <c r="AE3437">
        <v>0.14379999999999801</v>
      </c>
      <c r="AF3437">
        <v>0.16128424131842201</v>
      </c>
      <c r="AG3437">
        <v>-1.1077138724040001</v>
      </c>
      <c r="AH3437">
        <v>17.106809948216899</v>
      </c>
      <c r="AI3437">
        <v>93.704725725906002</v>
      </c>
      <c r="AJ3437">
        <v>89.459827251924295</v>
      </c>
      <c r="AK3437">
        <v>17.143394915652699</v>
      </c>
      <c r="AL3437">
        <v>81.1838490638699</v>
      </c>
      <c r="AM3437">
        <v>86.934952349106695</v>
      </c>
      <c r="AN3437">
        <v>1.0000000068603001</v>
      </c>
    </row>
    <row r="3438" spans="1:40" x14ac:dyDescent="0.25">
      <c r="A3438" t="str">
        <f>"20190312164336035"</f>
        <v>20190312164336035</v>
      </c>
      <c r="B3438" t="str">
        <f>"1552380216028597"</f>
        <v>1552380216028597</v>
      </c>
      <c r="C3438" t="s">
        <v>40</v>
      </c>
      <c r="D3438">
        <v>4.329205</v>
      </c>
      <c r="E3438">
        <v>0.48988530000000002</v>
      </c>
      <c r="F3438" t="s">
        <v>49</v>
      </c>
      <c r="G3438">
        <v>-288.87580000000003</v>
      </c>
      <c r="H3438" s="1">
        <v>-8.5771089999999992E-6</v>
      </c>
      <c r="I3438">
        <v>140.61109999999999</v>
      </c>
      <c r="J3438">
        <v>-270.9812</v>
      </c>
      <c r="K3438">
        <v>1.1076999999999999</v>
      </c>
      <c r="L3438">
        <v>140.45590000000001</v>
      </c>
      <c r="M3438">
        <v>-0.99992590000000003</v>
      </c>
      <c r="N3438">
        <v>0</v>
      </c>
      <c r="O3438">
        <v>8.5525789999999998E-4</v>
      </c>
      <c r="P3438">
        <v>-0.98835459999999997</v>
      </c>
      <c r="Q3438">
        <v>0.1429415</v>
      </c>
      <c r="R3438">
        <v>5.2183430000000003E-2</v>
      </c>
      <c r="S3438">
        <v>-3.0596619999999999</v>
      </c>
      <c r="T3438">
        <v>-0.18516830000000001</v>
      </c>
      <c r="U3438">
        <v>2.6123049999999998E-2</v>
      </c>
      <c r="V3438">
        <v>5.2120130000000001E-2</v>
      </c>
      <c r="W3438">
        <v>0.1546845</v>
      </c>
      <c r="X3438">
        <v>0.98658820000000003</v>
      </c>
      <c r="Y3438">
        <v>7.669815E-3</v>
      </c>
      <c r="Z3438">
        <v>1.8015420000000001E-4</v>
      </c>
      <c r="AA3438">
        <v>0.99997060000000004</v>
      </c>
      <c r="AB3438">
        <v>41</v>
      </c>
      <c r="AC3438">
        <v>-17.894600000000001</v>
      </c>
      <c r="AD3438">
        <v>-1.1077085771089901</v>
      </c>
      <c r="AE3438">
        <v>0.15519999999997899</v>
      </c>
      <c r="AF3438">
        <v>0.13936035065618099</v>
      </c>
      <c r="AG3438">
        <v>-1.1077085771089901</v>
      </c>
      <c r="AH3438">
        <v>17.826423386094699</v>
      </c>
      <c r="AI3438">
        <v>93.555598088466795</v>
      </c>
      <c r="AJ3438">
        <v>89.552092021299103</v>
      </c>
      <c r="AK3438">
        <v>17.861349622563299</v>
      </c>
      <c r="AL3438">
        <v>81.101501601654505</v>
      </c>
      <c r="AM3438">
        <v>86.975952042321396</v>
      </c>
      <c r="AN3438">
        <v>1.0000000394353501</v>
      </c>
    </row>
    <row r="3439" spans="1:40" x14ac:dyDescent="0.25">
      <c r="A3439" t="str">
        <f>"20190312164336056"</f>
        <v>20190312164336056</v>
      </c>
      <c r="B3439" t="str">
        <f>"1552380216048117"</f>
        <v>1552380216048117</v>
      </c>
      <c r="C3439" t="s">
        <v>40</v>
      </c>
      <c r="D3439">
        <v>4.5917019999999997</v>
      </c>
      <c r="E3439">
        <v>0.4899753</v>
      </c>
      <c r="F3439" t="s">
        <v>49</v>
      </c>
      <c r="G3439">
        <v>-290.38490000000002</v>
      </c>
      <c r="H3439" s="1">
        <v>-9.1743329999999998E-6</v>
      </c>
      <c r="I3439">
        <v>140.66589999999999</v>
      </c>
      <c r="J3439">
        <v>-271.39159999999998</v>
      </c>
      <c r="K3439">
        <v>1.1077060000000001</v>
      </c>
      <c r="L3439">
        <v>140.45779999999999</v>
      </c>
      <c r="M3439">
        <v>-0.99992199999999998</v>
      </c>
      <c r="N3439">
        <v>0</v>
      </c>
      <c r="O3439">
        <v>2.7371679999999999E-3</v>
      </c>
      <c r="P3439">
        <v>-0.98814369999999996</v>
      </c>
      <c r="Q3439">
        <v>0.1440254</v>
      </c>
      <c r="R3439">
        <v>5.3185780000000002E-2</v>
      </c>
      <c r="S3439">
        <v>-3.058929</v>
      </c>
      <c r="T3439">
        <v>-0.1746267</v>
      </c>
      <c r="U3439">
        <v>3.3096309999999997E-2</v>
      </c>
      <c r="V3439">
        <v>5.1268769999999998E-2</v>
      </c>
      <c r="W3439">
        <v>0.1558042</v>
      </c>
      <c r="X3439">
        <v>0.98645660000000002</v>
      </c>
      <c r="Y3439">
        <v>8.0730030000000005E-3</v>
      </c>
      <c r="Z3439" s="1">
        <v>7.4102400000000004E-5</v>
      </c>
      <c r="AA3439">
        <v>0.99996739999999995</v>
      </c>
      <c r="AB3439">
        <v>41</v>
      </c>
      <c r="AC3439">
        <v>-18.993300000000001</v>
      </c>
      <c r="AD3439">
        <v>-1.10771517433299</v>
      </c>
      <c r="AE3439">
        <v>0.20810000000000101</v>
      </c>
      <c r="AF3439">
        <v>0.15557838883446101</v>
      </c>
      <c r="AG3439">
        <v>-1.10771517433299</v>
      </c>
      <c r="AH3439">
        <v>18.929420034390201</v>
      </c>
      <c r="AI3439">
        <v>93.348912493733494</v>
      </c>
      <c r="AJ3439">
        <v>89.529104201658996</v>
      </c>
      <c r="AK3439">
        <v>18.962441308568199</v>
      </c>
      <c r="AL3439">
        <v>81.036560084051899</v>
      </c>
      <c r="AM3439">
        <v>87.024862977794299</v>
      </c>
      <c r="AN3439">
        <v>1.0000000295992499</v>
      </c>
    </row>
    <row r="3440" spans="1:40" x14ac:dyDescent="0.25">
      <c r="A3440" t="str">
        <f>"20190312164336079"</f>
        <v>20190312164336079</v>
      </c>
      <c r="B3440" t="str">
        <f>"1552380216067641"</f>
        <v>1552380216067641</v>
      </c>
      <c r="C3440" t="s">
        <v>40</v>
      </c>
      <c r="D3440">
        <v>4.4537990000000001</v>
      </c>
      <c r="E3440">
        <v>0.48961739999999998</v>
      </c>
      <c r="F3440" t="s">
        <v>49</v>
      </c>
      <c r="G3440">
        <v>-291.77839999999998</v>
      </c>
      <c r="H3440" s="1">
        <v>-9.0552740000000001E-6</v>
      </c>
      <c r="I3440">
        <v>140.70230000000001</v>
      </c>
      <c r="J3440">
        <v>-271.79509999999999</v>
      </c>
      <c r="K3440">
        <v>1.107734</v>
      </c>
      <c r="L3440">
        <v>140.46039999999999</v>
      </c>
      <c r="M3440">
        <v>-0.9999152</v>
      </c>
      <c r="N3440">
        <v>0</v>
      </c>
      <c r="O3440">
        <v>4.529674E-3</v>
      </c>
      <c r="P3440">
        <v>-0.98807959999999995</v>
      </c>
      <c r="Q3440">
        <v>0.144256299999999</v>
      </c>
      <c r="R3440">
        <v>5.3750520000000003E-2</v>
      </c>
      <c r="S3440">
        <v>-3.0581670000000001</v>
      </c>
      <c r="T3440">
        <v>-0.16616510000000001</v>
      </c>
      <c r="U3440">
        <v>3.668213E-2</v>
      </c>
      <c r="V3440">
        <v>5.0056419999999997E-2</v>
      </c>
      <c r="W3440">
        <v>0.15607739999999901</v>
      </c>
      <c r="X3440">
        <v>0.98647560000000001</v>
      </c>
      <c r="Y3440">
        <v>7.4598190000000003E-3</v>
      </c>
      <c r="Z3440" s="1">
        <v>-4.3437599999999999E-5</v>
      </c>
      <c r="AA3440">
        <v>0.99997219999999998</v>
      </c>
      <c r="AB3440">
        <v>41</v>
      </c>
      <c r="AC3440">
        <v>-19.9832999999999</v>
      </c>
      <c r="AD3440">
        <v>-1.107743055274</v>
      </c>
      <c r="AE3440">
        <v>0.24190000000001499</v>
      </c>
      <c r="AF3440">
        <v>0.150909279717096</v>
      </c>
      <c r="AG3440">
        <v>-1.107743055274</v>
      </c>
      <c r="AH3440">
        <v>19.922979089879799</v>
      </c>
      <c r="AI3440">
        <v>93.182350525602402</v>
      </c>
      <c r="AJ3440">
        <v>89.566013726162495</v>
      </c>
      <c r="AK3440">
        <v>19.954321940446899</v>
      </c>
      <c r="AL3440">
        <v>81.020712332561004</v>
      </c>
      <c r="AM3440">
        <v>87.095149790931899</v>
      </c>
      <c r="AN3440">
        <v>0.99999995468466696</v>
      </c>
    </row>
    <row r="3441" spans="1:40" x14ac:dyDescent="0.25">
      <c r="A3441" t="str">
        <f>"20190312164336100"</f>
        <v>20190312164336100</v>
      </c>
      <c r="B3441" t="str">
        <f>"1552380216097893"</f>
        <v>1552380216097893</v>
      </c>
      <c r="C3441" t="s">
        <v>40</v>
      </c>
      <c r="D3441">
        <v>4.5139370000000003</v>
      </c>
      <c r="E3441">
        <v>0.46423019999999998</v>
      </c>
      <c r="F3441" t="s">
        <v>49</v>
      </c>
      <c r="G3441">
        <v>-292.54300000000001</v>
      </c>
      <c r="H3441" s="1">
        <v>-8.9874210000000005E-6</v>
      </c>
      <c r="I3441">
        <v>140.69970000000001</v>
      </c>
      <c r="J3441">
        <v>-272.20240000000001</v>
      </c>
      <c r="K3441">
        <v>1.107785</v>
      </c>
      <c r="L3441">
        <v>140.46360000000001</v>
      </c>
      <c r="M3441">
        <v>-0.9999053</v>
      </c>
      <c r="N3441">
        <v>0</v>
      </c>
      <c r="O3441">
        <v>6.2604059999999996E-3</v>
      </c>
      <c r="P3441">
        <v>-0.98814740000000001</v>
      </c>
      <c r="Q3441">
        <v>0.1435651</v>
      </c>
      <c r="R3441">
        <v>5.4351089999999998E-2</v>
      </c>
      <c r="S3441">
        <v>-3.0581360000000002</v>
      </c>
      <c r="T3441">
        <v>-0.1632757</v>
      </c>
      <c r="U3441">
        <v>3.5278320000000002E-2</v>
      </c>
      <c r="V3441">
        <v>4.8926810000000001E-2</v>
      </c>
      <c r="W3441">
        <v>0.1554306</v>
      </c>
      <c r="X3441">
        <v>0.98663440000000002</v>
      </c>
      <c r="Y3441">
        <v>5.275839E-3</v>
      </c>
      <c r="Z3441">
        <v>-1.9328309999999999E-4</v>
      </c>
      <c r="AA3441">
        <v>0.99998609999999999</v>
      </c>
      <c r="AB3441">
        <v>41</v>
      </c>
      <c r="AC3441">
        <v>-20.340599999999899</v>
      </c>
      <c r="AD3441">
        <v>-1.1077939874210001</v>
      </c>
      <c r="AE3441">
        <v>0.23609999999999301</v>
      </c>
      <c r="AF3441">
        <v>0.108423837939861</v>
      </c>
      <c r="AG3441">
        <v>-1.1077939874210001</v>
      </c>
      <c r="AH3441">
        <v>20.281529934783599</v>
      </c>
      <c r="AI3441">
        <v>93.1263917114523</v>
      </c>
      <c r="AJ3441">
        <v>89.693703130205293</v>
      </c>
      <c r="AK3441">
        <v>20.312051096398999</v>
      </c>
      <c r="AL3441">
        <v>81.058229258010797</v>
      </c>
      <c r="AM3441">
        <v>87.161050526120206</v>
      </c>
      <c r="AN3441">
        <v>0.99999997170824695</v>
      </c>
    </row>
    <row r="3442" spans="1:40" x14ac:dyDescent="0.25">
      <c r="A3442" t="str">
        <f>"20190312164336124"</f>
        <v>20190312164336124</v>
      </c>
      <c r="B3442" t="str">
        <f>"1552380216118389"</f>
        <v>1552380216118389</v>
      </c>
      <c r="C3442" t="s">
        <v>40</v>
      </c>
      <c r="D3442">
        <v>4.6279339999999998</v>
      </c>
      <c r="E3442">
        <v>0.463918</v>
      </c>
      <c r="F3442" t="s">
        <v>49</v>
      </c>
      <c r="G3442">
        <v>-290.65910000000002</v>
      </c>
      <c r="H3442" s="1">
        <v>-8.8114539999999994E-6</v>
      </c>
      <c r="I3442">
        <v>139.45689999999999</v>
      </c>
      <c r="J3442">
        <v>-272.62060000000002</v>
      </c>
      <c r="K3442">
        <v>1.1078600000000001</v>
      </c>
      <c r="L3442">
        <v>140.46770000000001</v>
      </c>
      <c r="M3442">
        <v>-0.99989309999999998</v>
      </c>
      <c r="N3442">
        <v>0</v>
      </c>
      <c r="O3442">
        <v>7.9216649999999996E-3</v>
      </c>
      <c r="P3442">
        <v>-0.98826429999999998</v>
      </c>
      <c r="Q3442">
        <v>0.14273250000000001</v>
      </c>
      <c r="R3442">
        <v>5.441696E-2</v>
      </c>
      <c r="S3442">
        <v>-3.0720209999999999</v>
      </c>
      <c r="T3442">
        <v>-0.1843861</v>
      </c>
      <c r="U3442">
        <v>-0.16755680000000001</v>
      </c>
      <c r="V3442">
        <v>4.7319359999999998E-2</v>
      </c>
      <c r="W3442">
        <v>0.15465100000000001</v>
      </c>
      <c r="X3442">
        <v>0.98683529999999997</v>
      </c>
      <c r="Y3442">
        <v>-6.2244769999999998E-2</v>
      </c>
      <c r="Z3442">
        <v>-2.3396839999999999E-3</v>
      </c>
      <c r="AA3442">
        <v>0.99805820000000001</v>
      </c>
      <c r="AB3442">
        <v>41</v>
      </c>
      <c r="AC3442">
        <v>-18.038499999999999</v>
      </c>
      <c r="AD3442">
        <v>-1.1078688114540001</v>
      </c>
      <c r="AE3442">
        <v>-1.0108000000000099</v>
      </c>
      <c r="AF3442">
        <v>-1.1493521985548101</v>
      </c>
      <c r="AG3442">
        <v>-1.1078688114540001</v>
      </c>
      <c r="AH3442">
        <v>17.9623834256066</v>
      </c>
      <c r="AI3442">
        <v>93.522185346830298</v>
      </c>
      <c r="AJ3442">
        <v>93.6611720719077</v>
      </c>
      <c r="AK3442">
        <v>18.0331805876895</v>
      </c>
      <c r="AL3442">
        <v>81.103443868840799</v>
      </c>
      <c r="AM3442">
        <v>87.254734847668601</v>
      </c>
      <c r="AN3442">
        <v>0.99999998147894897</v>
      </c>
    </row>
    <row r="3443" spans="1:40" x14ac:dyDescent="0.25">
      <c r="A3443" t="str">
        <f>"20190312164336146"</f>
        <v>20190312164336146</v>
      </c>
      <c r="B3443" t="str">
        <f>"1552380216137909"</f>
        <v>1552380216137909</v>
      </c>
      <c r="C3443" t="s">
        <v>40</v>
      </c>
      <c r="D3443">
        <v>4.4355180000000001</v>
      </c>
      <c r="E3443">
        <v>0.46399279999999998</v>
      </c>
      <c r="F3443" t="s">
        <v>49</v>
      </c>
      <c r="G3443">
        <v>-290.70179999999999</v>
      </c>
      <c r="H3443" s="1">
        <v>-8.8104650000000007E-6</v>
      </c>
      <c r="I3443">
        <v>139.4648</v>
      </c>
      <c r="J3443">
        <v>-273.04250000000002</v>
      </c>
      <c r="K3443">
        <v>1.1079650000000001</v>
      </c>
      <c r="L3443">
        <v>140.47229999999999</v>
      </c>
      <c r="M3443">
        <v>-0.99987919999999997</v>
      </c>
      <c r="N3443">
        <v>0</v>
      </c>
      <c r="O3443">
        <v>9.4695040000000001E-3</v>
      </c>
      <c r="P3443">
        <v>-0.98825580000000002</v>
      </c>
      <c r="Q3443">
        <v>0.1425911</v>
      </c>
      <c r="R3443">
        <v>5.4940259999999998E-2</v>
      </c>
      <c r="S3443">
        <v>-3.0722049999999999</v>
      </c>
      <c r="T3443">
        <v>-0.18823989999999999</v>
      </c>
      <c r="U3443">
        <v>-0.17039489999999999</v>
      </c>
      <c r="V3443">
        <v>4.6277279999999997E-2</v>
      </c>
      <c r="W3443">
        <v>0.15455959999999999</v>
      </c>
      <c r="X3443">
        <v>0.98689910000000003</v>
      </c>
      <c r="Y3443">
        <v>-6.4692830000000007E-2</v>
      </c>
      <c r="Z3443">
        <v>-2.5578580000000001E-3</v>
      </c>
      <c r="AA3443">
        <v>0.99790199999999996</v>
      </c>
      <c r="AB3443">
        <v>41</v>
      </c>
      <c r="AC3443">
        <v>-17.659299999999899</v>
      </c>
      <c r="AD3443">
        <v>-1.1079738104650001</v>
      </c>
      <c r="AE3443">
        <v>-1.0074999999999901</v>
      </c>
      <c r="AF3443">
        <v>-1.17010115751055</v>
      </c>
      <c r="AG3443">
        <v>-1.1079738104650001</v>
      </c>
      <c r="AH3443">
        <v>17.579987465791199</v>
      </c>
      <c r="AI3443">
        <v>93.598340090664706</v>
      </c>
      <c r="AJ3443">
        <v>93.8079162762035</v>
      </c>
      <c r="AK3443">
        <v>17.653688056065199</v>
      </c>
      <c r="AL3443">
        <v>81.108745005681399</v>
      </c>
      <c r="AM3443">
        <v>87.3152756913193</v>
      </c>
      <c r="AN3443">
        <v>1.00000004508858</v>
      </c>
    </row>
    <row r="3444" spans="1:40" x14ac:dyDescent="0.25">
      <c r="A3444" t="str">
        <f>"20190312164336170"</f>
        <v>20190312164336170</v>
      </c>
      <c r="B3444" t="str">
        <f>"1552380216158405"</f>
        <v>1552380216158405</v>
      </c>
      <c r="C3444" t="s">
        <v>40</v>
      </c>
      <c r="D3444">
        <v>4.6059950000000001</v>
      </c>
      <c r="E3444">
        <v>0.46391100000000002</v>
      </c>
      <c r="F3444" t="s">
        <v>49</v>
      </c>
      <c r="G3444">
        <v>-290.78120000000001</v>
      </c>
      <c r="H3444" s="1">
        <v>-8.8150609999999997E-6</v>
      </c>
      <c r="I3444">
        <v>139.49789999999999</v>
      </c>
      <c r="J3444">
        <v>-273.47489999999999</v>
      </c>
      <c r="K3444">
        <v>1.108074</v>
      </c>
      <c r="L3444">
        <v>140.4777</v>
      </c>
      <c r="M3444">
        <v>-0.99986399999999998</v>
      </c>
      <c r="N3444">
        <v>0</v>
      </c>
      <c r="O3444">
        <v>1.093126E-2</v>
      </c>
      <c r="P3444">
        <v>-0.98816780000000004</v>
      </c>
      <c r="Q3444">
        <v>0.1430823</v>
      </c>
      <c r="R3444">
        <v>5.5246259999999998E-2</v>
      </c>
      <c r="S3444">
        <v>-3.0727229999999999</v>
      </c>
      <c r="T3444">
        <v>-0.1919246</v>
      </c>
      <c r="U3444">
        <v>-0.16879269999999999</v>
      </c>
      <c r="V3444">
        <v>4.5102490000000002E-2</v>
      </c>
      <c r="W3444">
        <v>0.1550995</v>
      </c>
      <c r="X3444">
        <v>0.98686870000000004</v>
      </c>
      <c r="Y3444">
        <v>-6.5613539999999998E-2</v>
      </c>
      <c r="Z3444">
        <v>-2.727293E-3</v>
      </c>
      <c r="AA3444">
        <v>0.99784139999999999</v>
      </c>
      <c r="AB3444">
        <v>41</v>
      </c>
      <c r="AC3444">
        <v>-17.3063</v>
      </c>
      <c r="AD3444">
        <v>-1.108082815061</v>
      </c>
      <c r="AE3444">
        <v>-0.979800000000011</v>
      </c>
      <c r="AF3444">
        <v>-1.16417818471483</v>
      </c>
      <c r="AG3444">
        <v>-1.108082815061</v>
      </c>
      <c r="AH3444">
        <v>17.224168857956101</v>
      </c>
      <c r="AI3444">
        <v>93.672581720634</v>
      </c>
      <c r="AJ3444">
        <v>93.866729390333305</v>
      </c>
      <c r="AK3444">
        <v>17.298992780453599</v>
      </c>
      <c r="AL3444">
        <v>81.077432672347896</v>
      </c>
      <c r="AM3444">
        <v>87.383253360475607</v>
      </c>
      <c r="AN3444">
        <v>0.99999996027206906</v>
      </c>
    </row>
    <row r="3445" spans="1:40" x14ac:dyDescent="0.25">
      <c r="A3445" t="str">
        <f>"20190312164336192"</f>
        <v>20190312164336192</v>
      </c>
      <c r="B3445" t="str">
        <f>"1552380216187686"</f>
        <v>1552380216187686</v>
      </c>
      <c r="C3445" t="s">
        <v>40</v>
      </c>
      <c r="D3445">
        <v>4.6703330000000003</v>
      </c>
      <c r="E3445">
        <v>0.46365909999999999</v>
      </c>
      <c r="F3445" t="s">
        <v>49</v>
      </c>
      <c r="G3445">
        <v>-291.64789999999999</v>
      </c>
      <c r="H3445" s="1">
        <v>-8.733902E-6</v>
      </c>
      <c r="I3445">
        <v>139.48349999999999</v>
      </c>
      <c r="J3445">
        <v>-273.88319999999999</v>
      </c>
      <c r="K3445">
        <v>1.108188</v>
      </c>
      <c r="L3445">
        <v>140.48320000000001</v>
      </c>
      <c r="M3445">
        <v>-0.99984910000000005</v>
      </c>
      <c r="N3445">
        <v>0</v>
      </c>
      <c r="O3445">
        <v>1.218258E-2</v>
      </c>
      <c r="P3445">
        <v>-0.98810600000000004</v>
      </c>
      <c r="Q3445">
        <v>0.14319200000000001</v>
      </c>
      <c r="R3445">
        <v>5.6062760000000003E-2</v>
      </c>
      <c r="S3445">
        <v>-3.0724490000000002</v>
      </c>
      <c r="T3445">
        <v>-0.1873397</v>
      </c>
      <c r="U3445">
        <v>-0.16807559999999999</v>
      </c>
      <c r="V3445">
        <v>4.46434E-2</v>
      </c>
      <c r="W3445">
        <v>0.15525069999999999</v>
      </c>
      <c r="X3445">
        <v>0.98686580000000002</v>
      </c>
      <c r="Y3445">
        <v>-6.6637730000000006E-2</v>
      </c>
      <c r="Z3445">
        <v>-2.769873E-3</v>
      </c>
      <c r="AA3445">
        <v>0.99777340000000003</v>
      </c>
      <c r="AB3445">
        <v>41</v>
      </c>
      <c r="AC3445">
        <v>-17.764700000000001</v>
      </c>
      <c r="AD3445">
        <v>-1.108196733902</v>
      </c>
      <c r="AE3445">
        <v>-0.99970000000001802</v>
      </c>
      <c r="AF3445">
        <v>-1.21136312816125</v>
      </c>
      <c r="AG3445">
        <v>-1.108196733902</v>
      </c>
      <c r="AH3445">
        <v>17.682606827231002</v>
      </c>
      <c r="AI3445">
        <v>93.577762621494699</v>
      </c>
      <c r="AJ3445">
        <v>93.918976686284495</v>
      </c>
      <c r="AK3445">
        <v>17.758662247921102</v>
      </c>
      <c r="AL3445">
        <v>81.068663325437697</v>
      </c>
      <c r="AM3445">
        <v>87.409844685107998</v>
      </c>
      <c r="AN3445">
        <v>0.999999960111844</v>
      </c>
    </row>
    <row r="3446" spans="1:40" x14ac:dyDescent="0.25">
      <c r="A3446" t="str">
        <f>"20190312164336213"</f>
        <v>20190312164336213</v>
      </c>
      <c r="B3446" t="str">
        <f>"1552380216208181"</f>
        <v>1552380216208181</v>
      </c>
      <c r="C3446" t="s">
        <v>40</v>
      </c>
      <c r="D3446">
        <v>4.4734619999999996</v>
      </c>
      <c r="E3446">
        <v>0.46057819999999999</v>
      </c>
      <c r="F3446" t="s">
        <v>49</v>
      </c>
      <c r="G3446">
        <v>-292.0847</v>
      </c>
      <c r="H3446" s="1">
        <v>-8.6977930000000008E-6</v>
      </c>
      <c r="I3446">
        <v>139.49</v>
      </c>
      <c r="J3446">
        <v>-274.26690000000002</v>
      </c>
      <c r="K3446">
        <v>1.108298</v>
      </c>
      <c r="L3446">
        <v>140.48869999999999</v>
      </c>
      <c r="M3446">
        <v>-0.99983560000000005</v>
      </c>
      <c r="N3446">
        <v>0</v>
      </c>
      <c r="O3446">
        <v>1.322622E-2</v>
      </c>
      <c r="P3446">
        <v>-0.98807469999999997</v>
      </c>
      <c r="Q3446">
        <v>0.14319599999999999</v>
      </c>
      <c r="R3446">
        <v>5.6601310000000002E-2</v>
      </c>
      <c r="S3446">
        <v>-3.0727229999999999</v>
      </c>
      <c r="T3446">
        <v>-0.18708230000000001</v>
      </c>
      <c r="U3446">
        <v>-0.1676636</v>
      </c>
      <c r="V3446">
        <v>4.4108799999999997E-2</v>
      </c>
      <c r="W3446">
        <v>0.1552917</v>
      </c>
      <c r="X3446">
        <v>0.98688339999999997</v>
      </c>
      <c r="Y3446">
        <v>-6.7537780000000006E-2</v>
      </c>
      <c r="Z3446">
        <v>-2.856641E-3</v>
      </c>
      <c r="AA3446">
        <v>0.99771259999999995</v>
      </c>
      <c r="AB3446">
        <v>41</v>
      </c>
      <c r="AC3446">
        <v>-17.817799999999899</v>
      </c>
      <c r="AD3446">
        <v>-1.1083066977930001</v>
      </c>
      <c r="AE3446">
        <v>-0.99869999999998504</v>
      </c>
      <c r="AF3446">
        <v>-1.2295505272903</v>
      </c>
      <c r="AG3446">
        <v>-1.1083066977930001</v>
      </c>
      <c r="AH3446">
        <v>17.734628752120599</v>
      </c>
      <c r="AI3446">
        <v>93.567446723382403</v>
      </c>
      <c r="AJ3446">
        <v>93.965998199988903</v>
      </c>
      <c r="AK3446">
        <v>17.811715111439302</v>
      </c>
      <c r="AL3446">
        <v>81.066285463033594</v>
      </c>
      <c r="AM3446">
        <v>87.440865614403194</v>
      </c>
      <c r="AN3446">
        <v>0.99999997176094402</v>
      </c>
    </row>
    <row r="3447" spans="1:40" x14ac:dyDescent="0.25">
      <c r="A3447" t="str">
        <f>"20190312164336236"</f>
        <v>20190312164336236</v>
      </c>
      <c r="B3447" t="str">
        <f>"1552380216228677"</f>
        <v>1552380216228677</v>
      </c>
      <c r="C3447" t="s">
        <v>40</v>
      </c>
      <c r="D3447">
        <v>4.5012549999999996</v>
      </c>
      <c r="E3447">
        <v>0.46148549999999999</v>
      </c>
      <c r="F3447" t="s">
        <v>49</v>
      </c>
      <c r="G3447">
        <v>-289.22719999999998</v>
      </c>
      <c r="H3447" s="1">
        <v>-8.4510619999999903E-6</v>
      </c>
      <c r="I3447">
        <v>139.55080000000001</v>
      </c>
      <c r="J3447">
        <v>-274.70960000000002</v>
      </c>
      <c r="K3447">
        <v>1.1084480000000001</v>
      </c>
      <c r="L3447">
        <v>140.49549999999999</v>
      </c>
      <c r="M3447">
        <v>-0.99982110000000002</v>
      </c>
      <c r="N3447">
        <v>0</v>
      </c>
      <c r="O3447">
        <v>1.425714E-2</v>
      </c>
      <c r="P3447">
        <v>-0.98798520000000001</v>
      </c>
      <c r="Q3447">
        <v>0.14352039999999999</v>
      </c>
      <c r="R3447">
        <v>5.7334799999999998E-2</v>
      </c>
      <c r="S3447">
        <v>-3.0803530000000001</v>
      </c>
      <c r="T3447">
        <v>-0.22820319999999999</v>
      </c>
      <c r="U3447">
        <v>-0.19313050000000001</v>
      </c>
      <c r="V3447">
        <v>4.3769820000000001E-2</v>
      </c>
      <c r="W3447">
        <v>0.1556563</v>
      </c>
      <c r="X3447">
        <v>0.98684110000000003</v>
      </c>
      <c r="Y3447">
        <v>-7.6550670000000001E-2</v>
      </c>
      <c r="Z3447">
        <v>-3.882838E-3</v>
      </c>
      <c r="AA3447">
        <v>0.99705820000000001</v>
      </c>
      <c r="AB3447">
        <v>41</v>
      </c>
      <c r="AC3447">
        <v>-14.5175999999999</v>
      </c>
      <c r="AD3447">
        <v>-1.1084564510620001</v>
      </c>
      <c r="AE3447">
        <v>-0.944699999999983</v>
      </c>
      <c r="AF3447">
        <v>-1.14495280618368</v>
      </c>
      <c r="AG3447">
        <v>-1.1084564510620001</v>
      </c>
      <c r="AH3447">
        <v>14.418950481129601</v>
      </c>
      <c r="AI3447">
        <v>94.382225497396306</v>
      </c>
      <c r="AJ3447">
        <v>94.540108818291301</v>
      </c>
      <c r="AK3447">
        <v>14.506747588951701</v>
      </c>
      <c r="AL3447">
        <v>81.045138695249506</v>
      </c>
      <c r="AM3447">
        <v>87.460398229756194</v>
      </c>
      <c r="AN3447">
        <v>1.00000001876086</v>
      </c>
    </row>
    <row r="3448" spans="1:40" x14ac:dyDescent="0.25">
      <c r="A3448" t="str">
        <f>"20190312164336258"</f>
        <v>20190312164336258</v>
      </c>
      <c r="B3448" t="str">
        <f>"1552380216248197"</f>
        <v>1552380216248197</v>
      </c>
      <c r="C3448" t="s">
        <v>40</v>
      </c>
      <c r="D3448">
        <v>4.6180099999999999</v>
      </c>
      <c r="E3448">
        <v>0.46197169999999999</v>
      </c>
      <c r="F3448" t="s">
        <v>49</v>
      </c>
      <c r="G3448">
        <v>-290.4282</v>
      </c>
      <c r="H3448" s="1">
        <v>-8.8683639999999995E-6</v>
      </c>
      <c r="I3448">
        <v>139.5616</v>
      </c>
      <c r="J3448">
        <v>-275.11840000000001</v>
      </c>
      <c r="K3448">
        <v>1.108609</v>
      </c>
      <c r="L3448">
        <v>140.50200000000001</v>
      </c>
      <c r="M3448">
        <v>-0.99980959999999997</v>
      </c>
      <c r="N3448">
        <v>0</v>
      </c>
      <c r="O3448">
        <v>1.503061E-2</v>
      </c>
      <c r="P3448">
        <v>-0.98787460000000005</v>
      </c>
      <c r="Q3448">
        <v>0.1439589</v>
      </c>
      <c r="R3448">
        <v>5.8133730000000002E-2</v>
      </c>
      <c r="S3448">
        <v>-3.0786129999999998</v>
      </c>
      <c r="T3448">
        <v>-0.21710119999999999</v>
      </c>
      <c r="U3448">
        <v>-0.18290709999999999</v>
      </c>
      <c r="V3448">
        <v>4.3748040000000002E-2</v>
      </c>
      <c r="W3448">
        <v>0.15613009999999999</v>
      </c>
      <c r="X3448">
        <v>0.98676719999999896</v>
      </c>
      <c r="Y3448">
        <v>-7.4085620000000005E-2</v>
      </c>
      <c r="Z3448">
        <v>-3.6645699999999998E-3</v>
      </c>
      <c r="AA3448">
        <v>0.9972451</v>
      </c>
      <c r="AB3448">
        <v>41</v>
      </c>
      <c r="AC3448">
        <v>-15.3097999999999</v>
      </c>
      <c r="AD3448">
        <v>-1.108617868364</v>
      </c>
      <c r="AE3448">
        <v>-0.940400000000011</v>
      </c>
      <c r="AF3448">
        <v>-1.1643448594367301</v>
      </c>
      <c r="AG3448">
        <v>-1.108617868364</v>
      </c>
      <c r="AH3448">
        <v>15.2144565990441</v>
      </c>
      <c r="AI3448">
        <v>94.155445641861903</v>
      </c>
      <c r="AJ3448">
        <v>94.376249980260795</v>
      </c>
      <c r="AK3448">
        <v>15.2991640991902</v>
      </c>
      <c r="AL3448">
        <v>81.017655806635005</v>
      </c>
      <c r="AM3448">
        <v>87.461470440112706</v>
      </c>
      <c r="AN3448">
        <v>1.00000000306284</v>
      </c>
    </row>
    <row r="3449" spans="1:40" x14ac:dyDescent="0.25">
      <c r="A3449" t="str">
        <f>"20190312164336280"</f>
        <v>20190312164336280</v>
      </c>
      <c r="B3449" t="str">
        <f>"1552380216268697"</f>
        <v>1552380216268697</v>
      </c>
      <c r="C3449" t="s">
        <v>40</v>
      </c>
      <c r="D3449">
        <v>4.6844510000000001</v>
      </c>
      <c r="E3449">
        <v>0.46193709999999999</v>
      </c>
      <c r="F3449" t="s">
        <v>49</v>
      </c>
      <c r="G3449">
        <v>-290.97899999999998</v>
      </c>
      <c r="H3449" s="1">
        <v>-8.8314509999999993E-6</v>
      </c>
      <c r="I3449">
        <v>139.59450000000001</v>
      </c>
      <c r="J3449">
        <v>-275.5093</v>
      </c>
      <c r="K3449">
        <v>1.108771</v>
      </c>
      <c r="L3449">
        <v>140.5085</v>
      </c>
      <c r="M3449">
        <v>-0.99980040000000003</v>
      </c>
      <c r="N3449">
        <v>0</v>
      </c>
      <c r="O3449">
        <v>1.561515E-2</v>
      </c>
      <c r="P3449">
        <v>-0.98781260000000004</v>
      </c>
      <c r="Q3449">
        <v>0.14415249999999999</v>
      </c>
      <c r="R3449">
        <v>5.870877E-2</v>
      </c>
      <c r="S3449">
        <v>-3.0785520000000002</v>
      </c>
      <c r="T3449">
        <v>-0.21518309999999999</v>
      </c>
      <c r="U3449">
        <v>-0.17616270000000001</v>
      </c>
      <c r="V3449">
        <v>4.3686549999999998E-2</v>
      </c>
      <c r="W3449">
        <v>0.1563562</v>
      </c>
      <c r="X3449">
        <v>0.98673420000000001</v>
      </c>
      <c r="Y3449">
        <v>-7.2498699999999999E-2</v>
      </c>
      <c r="Z3449">
        <v>-3.6180069999999999E-3</v>
      </c>
      <c r="AA3449">
        <v>0.99736199999999997</v>
      </c>
      <c r="AB3449">
        <v>41</v>
      </c>
      <c r="AC3449">
        <v>-15.4697</v>
      </c>
      <c r="AD3449">
        <v>-1.108779831451</v>
      </c>
      <c r="AE3449">
        <v>-0.91399999999998705</v>
      </c>
      <c r="AF3449">
        <v>-1.1495838893454</v>
      </c>
      <c r="AG3449">
        <v>-1.108779831451</v>
      </c>
      <c r="AH3449">
        <v>15.374831332375599</v>
      </c>
      <c r="AI3449">
        <v>94.113390561200603</v>
      </c>
      <c r="AJ3449">
        <v>94.276077509619199</v>
      </c>
      <c r="AK3449">
        <v>15.457566895610499</v>
      </c>
      <c r="AL3449">
        <v>81.004540838546305</v>
      </c>
      <c r="AM3449">
        <v>87.464949141357707</v>
      </c>
      <c r="AN3449">
        <v>1.00000007868948</v>
      </c>
    </row>
    <row r="3450" spans="1:40" x14ac:dyDescent="0.25">
      <c r="A3450" t="str">
        <f>"20190312164336302"</f>
        <v>20190312164336302</v>
      </c>
      <c r="B3450" t="str">
        <f>"1552380216297974"</f>
        <v>1552380216297974</v>
      </c>
      <c r="C3450" t="s">
        <v>40</v>
      </c>
      <c r="D3450">
        <v>4.6782640000000004</v>
      </c>
      <c r="E3450">
        <v>0.46163140000000003</v>
      </c>
      <c r="F3450" t="s">
        <v>49</v>
      </c>
      <c r="G3450">
        <v>-291.52690000000001</v>
      </c>
      <c r="H3450" s="1">
        <v>-8.7854700000000004E-6</v>
      </c>
      <c r="I3450">
        <v>139.60059999999999</v>
      </c>
      <c r="J3450">
        <v>-275.91890000000001</v>
      </c>
      <c r="K3450">
        <v>1.10894</v>
      </c>
      <c r="L3450">
        <v>140.5153</v>
      </c>
      <c r="M3450">
        <v>-0.99979289999999998</v>
      </c>
      <c r="N3450">
        <v>0</v>
      </c>
      <c r="O3450">
        <v>1.607256E-2</v>
      </c>
      <c r="P3450">
        <v>-0.98776750000000002</v>
      </c>
      <c r="Q3450">
        <v>0.14434920000000001</v>
      </c>
      <c r="R3450">
        <v>5.898171E-2</v>
      </c>
      <c r="S3450">
        <v>-3.0784910000000001</v>
      </c>
      <c r="T3450">
        <v>-0.21310100000000001</v>
      </c>
      <c r="U3450">
        <v>-0.17448429999999901</v>
      </c>
      <c r="V3450">
        <v>4.3444879999999998E-2</v>
      </c>
      <c r="W3450">
        <v>0.15658549999999999</v>
      </c>
      <c r="X3450">
        <v>0.98670840000000004</v>
      </c>
      <c r="Y3450">
        <v>-7.2417309999999999E-2</v>
      </c>
      <c r="Z3450">
        <v>-3.6120039999999998E-3</v>
      </c>
      <c r="AA3450">
        <v>0.99736789999999997</v>
      </c>
      <c r="AB3450">
        <v>41</v>
      </c>
      <c r="AC3450">
        <v>-15.608000000000001</v>
      </c>
      <c r="AD3450">
        <v>-1.10894878547</v>
      </c>
      <c r="AE3450">
        <v>-0.91470000000000995</v>
      </c>
      <c r="AF3450">
        <v>-1.15962800393134</v>
      </c>
      <c r="AG3450">
        <v>-1.10894878547</v>
      </c>
      <c r="AH3450">
        <v>15.5132364350237</v>
      </c>
      <c r="AI3450">
        <v>94.077441298292996</v>
      </c>
      <c r="AJ3450">
        <v>94.274959118646706</v>
      </c>
      <c r="AK3450">
        <v>15.5959933702617</v>
      </c>
      <c r="AL3450">
        <v>80.9912381003668</v>
      </c>
      <c r="AM3450">
        <v>87.478888833279697</v>
      </c>
      <c r="AN3450">
        <v>0.99999997151951103</v>
      </c>
    </row>
    <row r="3451" spans="1:40" x14ac:dyDescent="0.25">
      <c r="A3451" t="str">
        <f>"20190312164336326"</f>
        <v>20190312164336326</v>
      </c>
      <c r="B3451" t="str">
        <f>"1552380216318470"</f>
        <v>1552380216318470</v>
      </c>
      <c r="C3451" t="s">
        <v>40</v>
      </c>
      <c r="D3451">
        <v>4.7178060000000004</v>
      </c>
      <c r="E3451">
        <v>0.46194940000000001</v>
      </c>
      <c r="F3451" t="s">
        <v>49</v>
      </c>
      <c r="G3451">
        <v>-292.13920000000002</v>
      </c>
      <c r="H3451" s="1">
        <v>-8.7271970000000002E-6</v>
      </c>
      <c r="I3451">
        <v>139.58779999999999</v>
      </c>
      <c r="J3451">
        <v>-276.35770000000002</v>
      </c>
      <c r="K3451">
        <v>1.109111</v>
      </c>
      <c r="L3451">
        <v>140.52269999999999</v>
      </c>
      <c r="M3451">
        <v>-0.9997876</v>
      </c>
      <c r="N3451">
        <v>0</v>
      </c>
      <c r="O3451">
        <v>1.639241E-2</v>
      </c>
      <c r="P3451">
        <v>-0.98771240000000005</v>
      </c>
      <c r="Q3451">
        <v>0.1446818</v>
      </c>
      <c r="R3451">
        <v>5.9088769999999999E-2</v>
      </c>
      <c r="S3451">
        <v>-3.07843</v>
      </c>
      <c r="T3451">
        <v>-0.2104665</v>
      </c>
      <c r="U3451">
        <v>-0.17604059999999999</v>
      </c>
      <c r="V3451">
        <v>4.3172450000000001E-2</v>
      </c>
      <c r="W3451">
        <v>0.15695010000000001</v>
      </c>
      <c r="X3451">
        <v>0.98666240000000005</v>
      </c>
      <c r="Y3451">
        <v>-7.3242600000000005E-2</v>
      </c>
      <c r="Z3451">
        <v>-3.617459E-3</v>
      </c>
      <c r="AA3451">
        <v>0.99730759999999996</v>
      </c>
      <c r="AB3451">
        <v>41</v>
      </c>
      <c r="AC3451">
        <v>-15.7814999999999</v>
      </c>
      <c r="AD3451">
        <v>-1.1091197271969999</v>
      </c>
      <c r="AE3451">
        <v>-0.93489999999999895</v>
      </c>
      <c r="AF3451">
        <v>-1.18764581216164</v>
      </c>
      <c r="AG3451">
        <v>-1.1091197271969999</v>
      </c>
      <c r="AH3451">
        <v>15.6868425854072</v>
      </c>
      <c r="AI3451">
        <v>94.032797219268204</v>
      </c>
      <c r="AJ3451">
        <v>94.329585335066</v>
      </c>
      <c r="AK3451">
        <v>15.770785631786</v>
      </c>
      <c r="AL3451">
        <v>80.970086269439904</v>
      </c>
      <c r="AM3451">
        <v>87.494561115470304</v>
      </c>
      <c r="AN3451">
        <v>0.99999994295138395</v>
      </c>
    </row>
    <row r="3452" spans="1:40" x14ac:dyDescent="0.25">
      <c r="A3452" t="str">
        <f>"20190312164336348"</f>
        <v>20190312164336348</v>
      </c>
      <c r="B3452" t="str">
        <f>"1552380216337989"</f>
        <v>1552380216337989</v>
      </c>
      <c r="C3452" t="s">
        <v>40</v>
      </c>
      <c r="D3452">
        <v>4.6241009999999996</v>
      </c>
      <c r="E3452">
        <v>0.46226390000000001</v>
      </c>
      <c r="F3452" t="s">
        <v>49</v>
      </c>
      <c r="G3452">
        <v>-292.65480000000002</v>
      </c>
      <c r="H3452" s="1">
        <v>-8.6881010000000001E-6</v>
      </c>
      <c r="I3452">
        <v>139.60550000000001</v>
      </c>
      <c r="J3452">
        <v>-276.7731</v>
      </c>
      <c r="K3452">
        <v>1.1092610000000001</v>
      </c>
      <c r="L3452">
        <v>140.52979999999999</v>
      </c>
      <c r="M3452">
        <v>-0.99978440000000002</v>
      </c>
      <c r="N3452">
        <v>0</v>
      </c>
      <c r="O3452">
        <v>1.6576839999999999E-2</v>
      </c>
      <c r="P3452">
        <v>-0.98766730000000003</v>
      </c>
      <c r="Q3452">
        <v>0.14506810000000001</v>
      </c>
      <c r="R3452">
        <v>5.8895080000000002E-2</v>
      </c>
      <c r="S3452">
        <v>-3.0783999999999998</v>
      </c>
      <c r="T3452">
        <v>-0.20950540000000001</v>
      </c>
      <c r="U3452">
        <v>-0.17326349999999999</v>
      </c>
      <c r="V3452">
        <v>4.2743549999999998E-2</v>
      </c>
      <c r="W3452">
        <v>0.157363</v>
      </c>
      <c r="X3452">
        <v>0.98661540000000003</v>
      </c>
      <c r="Y3452">
        <v>-7.2533390000000003E-2</v>
      </c>
      <c r="Z3452">
        <v>-3.5895469999999998E-3</v>
      </c>
      <c r="AA3452">
        <v>0.99735949999999995</v>
      </c>
      <c r="AB3452">
        <v>41</v>
      </c>
      <c r="AC3452">
        <v>-15.8817</v>
      </c>
      <c r="AD3452">
        <v>-1.109269688101</v>
      </c>
      <c r="AE3452">
        <v>-0.92429999999998802</v>
      </c>
      <c r="AF3452">
        <v>-1.18171649754871</v>
      </c>
      <c r="AG3452">
        <v>-1.109269688101</v>
      </c>
      <c r="AH3452">
        <v>15.787436302712299</v>
      </c>
      <c r="AI3452">
        <v>94.007981791201999</v>
      </c>
      <c r="AJ3452">
        <v>94.280703985802006</v>
      </c>
      <c r="AK3452">
        <v>15.8704151846672</v>
      </c>
      <c r="AL3452">
        <v>80.946132018438107</v>
      </c>
      <c r="AM3452">
        <v>87.519302320978994</v>
      </c>
      <c r="AN3452">
        <v>1.0000000361763799</v>
      </c>
    </row>
    <row r="3453" spans="1:40" x14ac:dyDescent="0.25">
      <c r="A3453" t="str">
        <f>"20190312164336371"</f>
        <v>20190312164336371</v>
      </c>
      <c r="B3453" t="str">
        <f>"1552380216368245"</f>
        <v>1552380216368245</v>
      </c>
      <c r="C3453" t="s">
        <v>40</v>
      </c>
      <c r="D3453">
        <v>4.6988219999999998</v>
      </c>
      <c r="E3453">
        <v>0.46194489999999999</v>
      </c>
      <c r="F3453" t="s">
        <v>49</v>
      </c>
      <c r="G3453">
        <v>-292.88810000000001</v>
      </c>
      <c r="H3453" s="1">
        <v>-8.6760309999999994E-6</v>
      </c>
      <c r="I3453">
        <v>139.63390000000001</v>
      </c>
      <c r="J3453">
        <v>-277.17829999999998</v>
      </c>
      <c r="K3453">
        <v>1.1093759999999999</v>
      </c>
      <c r="L3453">
        <v>140.5367</v>
      </c>
      <c r="M3453">
        <v>-0.99978259999999997</v>
      </c>
      <c r="N3453">
        <v>0</v>
      </c>
      <c r="O3453">
        <v>1.6671499999999999E-2</v>
      </c>
      <c r="P3453">
        <v>-0.98766799999999999</v>
      </c>
      <c r="Q3453">
        <v>0.14501069999999999</v>
      </c>
      <c r="R3453">
        <v>5.9024779999999999E-2</v>
      </c>
      <c r="S3453">
        <v>-3.0787960000000001</v>
      </c>
      <c r="T3453">
        <v>-0.21192730000000001</v>
      </c>
      <c r="U3453">
        <v>-0.1711578</v>
      </c>
      <c r="V3453">
        <v>4.2734710000000002E-2</v>
      </c>
      <c r="W3453">
        <v>0.1573272</v>
      </c>
      <c r="X3453">
        <v>0.98662139999999998</v>
      </c>
      <c r="Y3453">
        <v>-7.1937050000000002E-2</v>
      </c>
      <c r="Z3453">
        <v>-3.6165659999999999E-3</v>
      </c>
      <c r="AA3453">
        <v>0.99740260000000003</v>
      </c>
      <c r="AB3453">
        <v>41</v>
      </c>
      <c r="AC3453">
        <v>-15.7098</v>
      </c>
      <c r="AD3453">
        <v>-1.109384676031</v>
      </c>
      <c r="AE3453">
        <v>-0.90279999999998495</v>
      </c>
      <c r="AF3453">
        <v>-1.1588410775332301</v>
      </c>
      <c r="AG3453">
        <v>-1.109384676031</v>
      </c>
      <c r="AH3453">
        <v>15.6149515966541</v>
      </c>
      <c r="AI3453">
        <v>94.052717478758396</v>
      </c>
      <c r="AJ3453">
        <v>94.244342805600994</v>
      </c>
      <c r="AK3453">
        <v>15.697144975066101</v>
      </c>
      <c r="AL3453">
        <v>80.948208248644903</v>
      </c>
      <c r="AM3453">
        <v>87.519829789390101</v>
      </c>
      <c r="AN3453">
        <v>0.99999994511829005</v>
      </c>
    </row>
    <row r="3454" spans="1:40" x14ac:dyDescent="0.25">
      <c r="A3454" t="str">
        <f>"20190312164336394"</f>
        <v>20190312164336394</v>
      </c>
      <c r="B3454" t="str">
        <f>"1552380216387765"</f>
        <v>1552380216387765</v>
      </c>
      <c r="C3454" t="s">
        <v>40</v>
      </c>
      <c r="D3454">
        <v>4.8026900000000001</v>
      </c>
      <c r="E3454">
        <v>0.46179930000000002</v>
      </c>
      <c r="F3454" t="s">
        <v>49</v>
      </c>
      <c r="G3454">
        <v>-293.19</v>
      </c>
      <c r="H3454" s="1">
        <v>-8.6497910000000001E-6</v>
      </c>
      <c r="I3454">
        <v>139.63499999999999</v>
      </c>
      <c r="J3454">
        <v>-277.6103</v>
      </c>
      <c r="K3454">
        <v>1.1094790000000001</v>
      </c>
      <c r="L3454">
        <v>140.54399999999899</v>
      </c>
      <c r="M3454">
        <v>-0.99978210000000001</v>
      </c>
      <c r="N3454">
        <v>0</v>
      </c>
      <c r="O3454">
        <v>1.670307E-2</v>
      </c>
      <c r="P3454">
        <v>-0.98764350000000001</v>
      </c>
      <c r="Q3454">
        <v>0.14496589999999901</v>
      </c>
      <c r="R3454">
        <v>5.9544890000000003E-2</v>
      </c>
      <c r="S3454">
        <v>-3.0791629999999999</v>
      </c>
      <c r="T3454">
        <v>-0.21334310000000001</v>
      </c>
      <c r="U3454">
        <v>-0.1734009</v>
      </c>
      <c r="V3454">
        <v>4.3184130000000001E-2</v>
      </c>
      <c r="W3454">
        <v>0.15730089999999999</v>
      </c>
      <c r="X3454">
        <v>0.98660610000000004</v>
      </c>
      <c r="Y3454">
        <v>-7.2681670000000004E-2</v>
      </c>
      <c r="Z3454">
        <v>-3.6680950000000001E-3</v>
      </c>
      <c r="AA3454">
        <v>0.99734840000000002</v>
      </c>
      <c r="AB3454">
        <v>41</v>
      </c>
      <c r="AC3454">
        <v>-15.579700000000001</v>
      </c>
      <c r="AD3454">
        <v>-1.109487649791</v>
      </c>
      <c r="AE3454">
        <v>-0.90899999999999104</v>
      </c>
      <c r="AF3454">
        <v>-1.16324314552867</v>
      </c>
      <c r="AG3454">
        <v>-1.109487649791</v>
      </c>
      <c r="AH3454">
        <v>15.4840825471166</v>
      </c>
      <c r="AI3454">
        <v>94.086957189287205</v>
      </c>
      <c r="AJ3454">
        <v>94.296280487972993</v>
      </c>
      <c r="AK3454">
        <v>15.567302585437799</v>
      </c>
      <c r="AL3454">
        <v>80.9497348048464</v>
      </c>
      <c r="AM3454">
        <v>87.493741323419897</v>
      </c>
      <c r="AN3454">
        <v>1.00000001939093</v>
      </c>
    </row>
    <row r="3455" spans="1:40" x14ac:dyDescent="0.25">
      <c r="A3455" t="str">
        <f>"20190312164336416"</f>
        <v>20190312164336416</v>
      </c>
      <c r="B3455" t="str">
        <f>"1552380216408262"</f>
        <v>1552380216408262</v>
      </c>
      <c r="C3455" t="s">
        <v>40</v>
      </c>
      <c r="D3455">
        <v>4.7749139999999999</v>
      </c>
      <c r="E3455">
        <v>0.46172239999999998</v>
      </c>
      <c r="F3455" t="s">
        <v>49</v>
      </c>
      <c r="G3455">
        <v>-293.62200000000001</v>
      </c>
      <c r="H3455" s="1">
        <v>-8.6148549999999997E-6</v>
      </c>
      <c r="I3455">
        <v>139.6464</v>
      </c>
      <c r="J3455">
        <v>-278.00920000000002</v>
      </c>
      <c r="K3455">
        <v>1.1095630000000001</v>
      </c>
      <c r="L3455">
        <v>140.55080000000001</v>
      </c>
      <c r="M3455">
        <v>-0.99978230000000001</v>
      </c>
      <c r="N3455">
        <v>0</v>
      </c>
      <c r="O3455">
        <v>1.6681930000000001E-2</v>
      </c>
      <c r="P3455">
        <v>-0.98761699999999997</v>
      </c>
      <c r="Q3455">
        <v>0.14498900000000001</v>
      </c>
      <c r="R3455">
        <v>5.9924930000000001E-2</v>
      </c>
      <c r="S3455">
        <v>-3.0792540000000002</v>
      </c>
      <c r="T3455">
        <v>-0.21336939999999999</v>
      </c>
      <c r="U3455">
        <v>-0.17262269999999999</v>
      </c>
      <c r="V3455">
        <v>4.3553429999999997E-2</v>
      </c>
      <c r="W3455">
        <v>0.15733949999999999</v>
      </c>
      <c r="X3455">
        <v>0.98658369999999995</v>
      </c>
      <c r="Y3455">
        <v>-7.2408319999999998E-2</v>
      </c>
      <c r="Z3455">
        <v>-3.657548E-3</v>
      </c>
      <c r="AA3455">
        <v>0.99736840000000004</v>
      </c>
      <c r="AB3455">
        <v>41</v>
      </c>
      <c r="AC3455">
        <v>-15.612799999999901</v>
      </c>
      <c r="AD3455">
        <v>-1.1095716148550001</v>
      </c>
      <c r="AE3455">
        <v>-0.90440000000000897</v>
      </c>
      <c r="AF3455">
        <v>-1.1589125125755599</v>
      </c>
      <c r="AG3455">
        <v>-1.1095716148550001</v>
      </c>
      <c r="AH3455">
        <v>15.5174274494894</v>
      </c>
      <c r="AI3455">
        <v>94.078645493308599</v>
      </c>
      <c r="AJ3455">
        <v>94.271181615743004</v>
      </c>
      <c r="AK3455">
        <v>15.6001532694542</v>
      </c>
      <c r="AL3455">
        <v>80.947495199599999</v>
      </c>
      <c r="AM3455">
        <v>87.472278784267104</v>
      </c>
      <c r="AN3455">
        <v>1.00000000831535</v>
      </c>
    </row>
    <row r="3456" spans="1:40" x14ac:dyDescent="0.25">
      <c r="A3456" t="str">
        <f>"20190312164336436"</f>
        <v>20190312164336436</v>
      </c>
      <c r="B3456" t="str">
        <f>"1552380216427786"</f>
        <v>1552380216427786</v>
      </c>
      <c r="C3456" t="s">
        <v>40</v>
      </c>
      <c r="D3456">
        <v>4.5324350000000004</v>
      </c>
      <c r="E3456">
        <v>0.46163870000000001</v>
      </c>
      <c r="F3456" t="s">
        <v>49</v>
      </c>
      <c r="G3456">
        <v>-294.09780000000001</v>
      </c>
      <c r="H3456" s="1">
        <v>-8.5751429999999996E-6</v>
      </c>
      <c r="I3456">
        <v>139.65430000000001</v>
      </c>
      <c r="J3456">
        <v>-278.40480000000002</v>
      </c>
      <c r="K3456">
        <v>1.1096469999999901</v>
      </c>
      <c r="L3456">
        <v>140.5574</v>
      </c>
      <c r="M3456">
        <v>-0.99978319999999998</v>
      </c>
      <c r="N3456">
        <v>0</v>
      </c>
      <c r="O3456">
        <v>1.6623809999999999E-2</v>
      </c>
      <c r="P3456">
        <v>-0.98748460000000005</v>
      </c>
      <c r="Q3456">
        <v>0.145860299999999</v>
      </c>
      <c r="R3456">
        <v>5.9991719999999998E-2</v>
      </c>
      <c r="S3456">
        <v>-3.0791930000000001</v>
      </c>
      <c r="T3456">
        <v>-0.21235950000000001</v>
      </c>
      <c r="U3456">
        <v>-0.17156979999999999</v>
      </c>
      <c r="V3456">
        <v>4.3651080000000002E-2</v>
      </c>
      <c r="W3456">
        <v>0.15822240000000001</v>
      </c>
      <c r="X3456">
        <v>0.98643820000000004</v>
      </c>
      <c r="Y3456">
        <v>-7.2014519999999999E-2</v>
      </c>
      <c r="Z3456">
        <v>-3.6228300000000001E-3</v>
      </c>
      <c r="AA3456">
        <v>0.99739699999999998</v>
      </c>
      <c r="AB3456">
        <v>41</v>
      </c>
      <c r="AC3456">
        <v>-15.6929999999999</v>
      </c>
      <c r="AD3456">
        <v>-1.10965557514299</v>
      </c>
      <c r="AE3456">
        <v>-0.90309999999999402</v>
      </c>
      <c r="AF3456">
        <v>-1.15810182162932</v>
      </c>
      <c r="AG3456">
        <v>-1.10965557514299</v>
      </c>
      <c r="AH3456">
        <v>15.598084980498101</v>
      </c>
      <c r="AI3456">
        <v>94.058062736642498</v>
      </c>
      <c r="AJ3456">
        <v>94.246214944869706</v>
      </c>
      <c r="AK3456">
        <v>15.6803313225055</v>
      </c>
      <c r="AL3456">
        <v>80.896267309595203</v>
      </c>
      <c r="AM3456">
        <v>87.466245634747096</v>
      </c>
      <c r="AN3456">
        <v>1.0000000335330801</v>
      </c>
    </row>
    <row r="3457" spans="1:40" x14ac:dyDescent="0.25">
      <c r="A3457" t="str">
        <f>"20190312164336459"</f>
        <v>20190312164336459</v>
      </c>
      <c r="B3457" t="str">
        <f>"1552380216448277"</f>
        <v>1552380216448277</v>
      </c>
      <c r="C3457" t="s">
        <v>40</v>
      </c>
      <c r="D3457">
        <v>4.6389680000000002</v>
      </c>
      <c r="E3457">
        <v>0.46278380000000002</v>
      </c>
      <c r="F3457" t="s">
        <v>49</v>
      </c>
      <c r="G3457">
        <v>-294.5557</v>
      </c>
      <c r="H3457" s="1">
        <v>-8.53664E-6</v>
      </c>
      <c r="I3457">
        <v>139.66079999999999</v>
      </c>
      <c r="J3457">
        <v>-278.80990000000003</v>
      </c>
      <c r="K3457">
        <v>1.1097250000000001</v>
      </c>
      <c r="L3457">
        <v>140.5642</v>
      </c>
      <c r="M3457">
        <v>-0.99978449999999996</v>
      </c>
      <c r="N3457">
        <v>0</v>
      </c>
      <c r="O3457">
        <v>1.654247E-2</v>
      </c>
      <c r="P3457">
        <v>-0.98738840000000005</v>
      </c>
      <c r="Q3457">
        <v>0.14655319999999999</v>
      </c>
      <c r="R3457">
        <v>5.9887639999999999E-2</v>
      </c>
      <c r="S3457">
        <v>-3.0796510000000001</v>
      </c>
      <c r="T3457">
        <v>-0.21158920000000001</v>
      </c>
      <c r="U3457">
        <v>-0.17095949999999999</v>
      </c>
      <c r="V3457">
        <v>4.3601069999999999E-2</v>
      </c>
      <c r="W3457">
        <v>0.15892719999999999</v>
      </c>
      <c r="X3457">
        <v>0.98632710000000001</v>
      </c>
      <c r="Y3457">
        <v>-7.1730539999999995E-2</v>
      </c>
      <c r="Z3457">
        <v>-3.5938889999999999E-3</v>
      </c>
      <c r="AA3457">
        <v>0.99741760000000002</v>
      </c>
      <c r="AB3457">
        <v>41</v>
      </c>
      <c r="AC3457">
        <v>-15.7457999999999</v>
      </c>
      <c r="AD3457">
        <v>-1.1097335366399901</v>
      </c>
      <c r="AE3457">
        <v>-0.90340000000000398</v>
      </c>
      <c r="AF3457">
        <v>-1.1580379910110901</v>
      </c>
      <c r="AG3457">
        <v>-1.1097335366399901</v>
      </c>
      <c r="AH3457">
        <v>15.6512124529944</v>
      </c>
      <c r="AI3457">
        <v>94.0446928821829</v>
      </c>
      <c r="AJ3457">
        <v>94.231621375939497</v>
      </c>
      <c r="AK3457">
        <v>15.733181870166501</v>
      </c>
      <c r="AL3457">
        <v>80.855367691870001</v>
      </c>
      <c r="AM3457">
        <v>87.468860014896507</v>
      </c>
      <c r="AN3457">
        <v>1.0000000281996899</v>
      </c>
    </row>
    <row r="3458" spans="1:40" x14ac:dyDescent="0.25">
      <c r="A3458" t="str">
        <f>"20190312164336480"</f>
        <v>20190312164336480</v>
      </c>
      <c r="B3458" t="str">
        <f>"1552380216467797"</f>
        <v>1552380216467797</v>
      </c>
      <c r="C3458" t="s">
        <v>40</v>
      </c>
      <c r="D3458">
        <v>4.623221</v>
      </c>
      <c r="E3458">
        <v>0.49130069999999998</v>
      </c>
      <c r="F3458" t="s">
        <v>49</v>
      </c>
      <c r="G3458">
        <v>-294.97050000000002</v>
      </c>
      <c r="H3458" s="1">
        <v>-8.5161699999999995E-6</v>
      </c>
      <c r="I3458">
        <v>139.72139999999999</v>
      </c>
      <c r="J3458">
        <v>-279.21249999999998</v>
      </c>
      <c r="K3458">
        <v>1.1098030000000001</v>
      </c>
      <c r="L3458">
        <v>140.57079999999999</v>
      </c>
      <c r="M3458">
        <v>-0.99978579999999995</v>
      </c>
      <c r="N3458">
        <v>0</v>
      </c>
      <c r="O3458">
        <v>1.6457630000000001E-2</v>
      </c>
      <c r="P3458">
        <v>-0.98717319999999997</v>
      </c>
      <c r="Q3458">
        <v>0.14805450000000001</v>
      </c>
      <c r="R3458">
        <v>5.9741780000000001E-2</v>
      </c>
      <c r="S3458">
        <v>-3.079437</v>
      </c>
      <c r="T3458">
        <v>-0.21146209999999999</v>
      </c>
      <c r="U3458">
        <v>-0.16059880000000001</v>
      </c>
      <c r="V3458">
        <v>4.3516489999999998E-2</v>
      </c>
      <c r="W3458">
        <v>0.16043679999999999</v>
      </c>
      <c r="X3458">
        <v>0.98608640000000003</v>
      </c>
      <c r="Y3458">
        <v>-6.8311609999999995E-2</v>
      </c>
      <c r="Z3458">
        <v>-3.4693129999999999E-3</v>
      </c>
      <c r="AA3458">
        <v>0.99765800000000004</v>
      </c>
      <c r="AB3458">
        <v>41</v>
      </c>
      <c r="AC3458">
        <v>-15.757999999999999</v>
      </c>
      <c r="AD3458">
        <v>-1.10981151617</v>
      </c>
      <c r="AE3458">
        <v>-0.84940000000000204</v>
      </c>
      <c r="AF3458">
        <v>-1.10318855544587</v>
      </c>
      <c r="AG3458">
        <v>-1.10981151617</v>
      </c>
      <c r="AH3458">
        <v>15.664412256337</v>
      </c>
      <c r="AI3458">
        <v>94.042610278781297</v>
      </c>
      <c r="AJ3458">
        <v>94.0284854369187</v>
      </c>
      <c r="AK3458">
        <v>15.7423796780147</v>
      </c>
      <c r="AL3458">
        <v>80.767749630320907</v>
      </c>
      <c r="AM3458">
        <v>87.473147860867897</v>
      </c>
      <c r="AN3458">
        <v>1.0000000199805501</v>
      </c>
    </row>
    <row r="3459" spans="1:40" x14ac:dyDescent="0.25">
      <c r="A3459" t="str">
        <f>"20190312164336503"</f>
        <v>20190312164336503</v>
      </c>
      <c r="B3459" t="str">
        <f>"1552380216498053"</f>
        <v>1552380216498053</v>
      </c>
      <c r="C3459" t="s">
        <v>40</v>
      </c>
      <c r="D3459">
        <v>4.5912089999999903</v>
      </c>
      <c r="E3459">
        <v>0.49294300000000002</v>
      </c>
      <c r="F3459" t="s">
        <v>49</v>
      </c>
      <c r="G3459">
        <v>-293.67329999999998</v>
      </c>
      <c r="H3459" s="1">
        <v>-8.935198E-6</v>
      </c>
      <c r="I3459">
        <v>140.87819999999999</v>
      </c>
      <c r="J3459">
        <v>-279.63819999999998</v>
      </c>
      <c r="K3459">
        <v>1.109869</v>
      </c>
      <c r="L3459">
        <v>140.5778</v>
      </c>
      <c r="M3459">
        <v>-0.99978739999999999</v>
      </c>
      <c r="N3459">
        <v>0</v>
      </c>
      <c r="O3459">
        <v>1.6362459999999999E-2</v>
      </c>
      <c r="P3459">
        <v>-0.98710330000000002</v>
      </c>
      <c r="Q3459">
        <v>0.14853479999999999</v>
      </c>
      <c r="R3459">
        <v>5.9704849999999997E-2</v>
      </c>
      <c r="S3459">
        <v>-3.0703740000000002</v>
      </c>
      <c r="T3459">
        <v>-0.23563999999999999</v>
      </c>
      <c r="U3459">
        <v>6.5261840000000002E-2</v>
      </c>
      <c r="V3459">
        <v>4.355258E-2</v>
      </c>
      <c r="W3459">
        <v>0.16092579999999901</v>
      </c>
      <c r="X3459">
        <v>0.98600509999999997</v>
      </c>
      <c r="Y3459">
        <v>4.9212739999999998E-3</v>
      </c>
      <c r="Z3459">
        <v>-1.065231E-3</v>
      </c>
      <c r="AA3459">
        <v>0.99998730000000002</v>
      </c>
      <c r="AB3459">
        <v>41</v>
      </c>
      <c r="AC3459">
        <v>-14.0351</v>
      </c>
      <c r="AD3459">
        <v>-1.1098779351979999</v>
      </c>
      <c r="AE3459">
        <v>0.300399999999996</v>
      </c>
      <c r="AF3459">
        <v>7.0253809992870495E-2</v>
      </c>
      <c r="AG3459">
        <v>-1.1098779351979999</v>
      </c>
      <c r="AH3459">
        <v>13.950934966568999</v>
      </c>
      <c r="AI3459">
        <v>94.548574585443006</v>
      </c>
      <c r="AJ3459">
        <v>89.711473618651397</v>
      </c>
      <c r="AK3459">
        <v>13.995190283461501</v>
      </c>
      <c r="AL3459">
        <v>80.739362952123997</v>
      </c>
      <c r="AM3459">
        <v>87.4708467082244</v>
      </c>
      <c r="AN3459">
        <v>0.99999999877815304</v>
      </c>
    </row>
    <row r="3460" spans="1:40" x14ac:dyDescent="0.25">
      <c r="A3460" t="str">
        <f>"20190312164336526"</f>
        <v>20190312164336526</v>
      </c>
      <c r="B3460" t="str">
        <f>"1552380216518549"</f>
        <v>1552380216518549</v>
      </c>
      <c r="C3460" t="s">
        <v>40</v>
      </c>
      <c r="D3460">
        <v>4.6829939999999999</v>
      </c>
      <c r="E3460">
        <v>0.49394320000000003</v>
      </c>
      <c r="F3460" t="s">
        <v>41</v>
      </c>
      <c r="G3460">
        <v>-280.6832</v>
      </c>
      <c r="H3460">
        <v>1.0337339999999999</v>
      </c>
      <c r="I3460">
        <v>140.60470000000001</v>
      </c>
      <c r="J3460">
        <v>-280.05529999999999</v>
      </c>
      <c r="K3460">
        <v>1.109912</v>
      </c>
      <c r="L3460">
        <v>140.58449999999999</v>
      </c>
      <c r="M3460">
        <v>-0.99978909999999999</v>
      </c>
      <c r="N3460">
        <v>0</v>
      </c>
      <c r="O3460">
        <v>1.625861E-2</v>
      </c>
      <c r="P3460">
        <v>-0.98709499999999994</v>
      </c>
      <c r="Q3460">
        <v>0.14874229999999899</v>
      </c>
      <c r="R3460">
        <v>5.9325290000000003E-2</v>
      </c>
      <c r="S3460">
        <v>-3.068085</v>
      </c>
      <c r="T3460">
        <v>-0.22362650000000001</v>
      </c>
      <c r="U3460">
        <v>7.846069E-2</v>
      </c>
      <c r="V3460">
        <v>4.3261250000000001E-2</v>
      </c>
      <c r="W3460">
        <v>0.16113469999999999</v>
      </c>
      <c r="X3460">
        <v>0.98598379999999997</v>
      </c>
      <c r="Y3460">
        <v>9.3252509999999997E-3</v>
      </c>
      <c r="Z3460">
        <v>-8.4394319999999995E-4</v>
      </c>
      <c r="AA3460">
        <v>0.99995619999999996</v>
      </c>
      <c r="AB3460">
        <v>41</v>
      </c>
      <c r="AC3460">
        <v>-0.627900000000011</v>
      </c>
      <c r="AD3460">
        <v>-7.6177999999999996E-2</v>
      </c>
      <c r="AE3460">
        <v>2.0200000000016798E-2</v>
      </c>
      <c r="AF3460">
        <v>9.8430152267606E-3</v>
      </c>
      <c r="AG3460">
        <v>-7.6177999999999996E-2</v>
      </c>
      <c r="AH3460">
        <v>0.61904316789574798</v>
      </c>
      <c r="AI3460">
        <v>97.014536359958001</v>
      </c>
      <c r="AJ3460">
        <v>89.089052687698498</v>
      </c>
      <c r="AK3460">
        <v>0.62379036250262598</v>
      </c>
      <c r="AL3460">
        <v>80.727235518625506</v>
      </c>
      <c r="AM3460">
        <v>87.487688658376996</v>
      </c>
      <c r="AN3460">
        <v>0.99999999057904598</v>
      </c>
    </row>
    <row r="3461" spans="1:40" x14ac:dyDescent="0.25">
      <c r="A3461" t="str">
        <f>"20190312164336558"</f>
        <v>20190312164336558</v>
      </c>
      <c r="B3461" t="str">
        <f>"1552380216547830"</f>
        <v>1552380216547830</v>
      </c>
      <c r="C3461" t="s">
        <v>40</v>
      </c>
      <c r="D3461">
        <v>4.6027490000000002</v>
      </c>
      <c r="E3461">
        <v>0.49451349999999999</v>
      </c>
      <c r="F3461" t="s">
        <v>41</v>
      </c>
      <c r="G3461">
        <v>-281.0575</v>
      </c>
      <c r="H3461">
        <v>1.040956</v>
      </c>
      <c r="I3461">
        <v>140.613</v>
      </c>
      <c r="J3461">
        <v>-280.64400000000001</v>
      </c>
      <c r="K3461">
        <v>1.1099399999999999</v>
      </c>
      <c r="L3461">
        <v>140.59399999999999</v>
      </c>
      <c r="M3461">
        <v>-0.99979169999999995</v>
      </c>
      <c r="N3461">
        <v>0</v>
      </c>
      <c r="O3461">
        <v>1.6093420000000001E-2</v>
      </c>
      <c r="P3461">
        <v>-0.98700509999999997</v>
      </c>
      <c r="Q3461">
        <v>0.149581399999999</v>
      </c>
      <c r="R3461">
        <v>5.8704310000000003E-2</v>
      </c>
      <c r="S3461">
        <v>-3.0657960000000002</v>
      </c>
      <c r="T3461">
        <v>-0.2109269</v>
      </c>
      <c r="U3461">
        <v>8.6959839999999997E-2</v>
      </c>
      <c r="V3461">
        <v>4.279235E-2</v>
      </c>
      <c r="W3461">
        <v>0.16196859999999999</v>
      </c>
      <c r="X3461">
        <v>0.98586759999999996</v>
      </c>
      <c r="Y3461">
        <v>1.227026E-2</v>
      </c>
      <c r="Z3461">
        <v>-6.8417339999999997E-4</v>
      </c>
      <c r="AA3461">
        <v>0.99992449999999999</v>
      </c>
      <c r="AB3461">
        <v>41</v>
      </c>
      <c r="AC3461">
        <v>-0.41349999999999898</v>
      </c>
      <c r="AD3461">
        <v>-6.8983999999999907E-2</v>
      </c>
      <c r="AE3461">
        <v>1.9000000000005401E-2</v>
      </c>
      <c r="AF3461">
        <v>1.20088581360647E-2</v>
      </c>
      <c r="AG3461">
        <v>-6.8983999999999907E-2</v>
      </c>
      <c r="AH3461">
        <v>0.402571443619402</v>
      </c>
      <c r="AI3461">
        <v>99.719432029093397</v>
      </c>
      <c r="AJ3461">
        <v>88.291351961745704</v>
      </c>
      <c r="AK3461">
        <v>0.40861567780439001</v>
      </c>
      <c r="AL3461">
        <v>80.678820394164703</v>
      </c>
      <c r="AM3461">
        <v>87.514592228381801</v>
      </c>
      <c r="AN3461">
        <v>0.99999996866712004</v>
      </c>
    </row>
    <row r="3462" spans="1:40" x14ac:dyDescent="0.25">
      <c r="A3462" t="str">
        <f>"20190312164336581"</f>
        <v>20190312164336581</v>
      </c>
      <c r="B3462" t="str">
        <f>"1552380216578085"</f>
        <v>1552380216578085</v>
      </c>
      <c r="C3462" t="s">
        <v>40</v>
      </c>
      <c r="D3462">
        <v>4.6238979999999996</v>
      </c>
      <c r="E3462">
        <v>0.49485259999999998</v>
      </c>
      <c r="F3462" t="s">
        <v>49</v>
      </c>
      <c r="G3462">
        <v>-297.82560000000001</v>
      </c>
      <c r="H3462" s="1">
        <v>-8.6294969999999994E-6</v>
      </c>
      <c r="I3462">
        <v>141.10210000000001</v>
      </c>
      <c r="J3462">
        <v>-281.07299999999998</v>
      </c>
      <c r="K3462">
        <v>1.109952</v>
      </c>
      <c r="L3462">
        <v>140.60079999999999</v>
      </c>
      <c r="M3462">
        <v>-0.99979390000000001</v>
      </c>
      <c r="N3462">
        <v>0</v>
      </c>
      <c r="O3462">
        <v>1.5965320000000002E-2</v>
      </c>
      <c r="P3462">
        <v>-0.98699550000000003</v>
      </c>
      <c r="Q3462">
        <v>0.14971139999999999</v>
      </c>
      <c r="R3462">
        <v>5.8536199999999997E-2</v>
      </c>
      <c r="S3462">
        <v>-3.064117</v>
      </c>
      <c r="T3462">
        <v>-0.1979445</v>
      </c>
      <c r="U3462">
        <v>9.0621950000000007E-2</v>
      </c>
      <c r="V3462">
        <v>4.2745249999999999E-2</v>
      </c>
      <c r="W3462">
        <v>0.16209470000000001</v>
      </c>
      <c r="X3462">
        <v>0.98584899999999998</v>
      </c>
      <c r="Y3462">
        <v>1.3603850000000001E-2</v>
      </c>
      <c r="Z3462">
        <v>-5.9120530000000002E-4</v>
      </c>
      <c r="AA3462">
        <v>0.99990730000000005</v>
      </c>
      <c r="AB3462">
        <v>41</v>
      </c>
      <c r="AC3462">
        <v>-16.752600000000001</v>
      </c>
      <c r="AD3462">
        <v>-1.1099606294969999</v>
      </c>
      <c r="AE3462">
        <v>0.50130000000001396</v>
      </c>
      <c r="AF3462">
        <v>0.23273368938584699</v>
      </c>
      <c r="AG3462">
        <v>-1.1099606294969999</v>
      </c>
      <c r="AH3462">
        <v>16.685287968008399</v>
      </c>
      <c r="AI3462">
        <v>93.805528430482696</v>
      </c>
      <c r="AJ3462">
        <v>89.200865248073995</v>
      </c>
      <c r="AK3462">
        <v>16.723785819741099</v>
      </c>
      <c r="AL3462">
        <v>80.671499403930795</v>
      </c>
      <c r="AM3462">
        <v>87.517277620524695</v>
      </c>
      <c r="AN3462">
        <v>1.0000000494833201</v>
      </c>
    </row>
    <row r="3463" spans="1:40" x14ac:dyDescent="0.25">
      <c r="A3463" t="str">
        <f>"20190312164336605"</f>
        <v>20190312164336605</v>
      </c>
      <c r="B3463" t="str">
        <f>"1552380216598581"</f>
        <v>1552380216598581</v>
      </c>
      <c r="C3463" t="s">
        <v>40</v>
      </c>
      <c r="D3463">
        <v>4.8900980000000001</v>
      </c>
      <c r="E3463">
        <v>0.49486790000000003</v>
      </c>
      <c r="F3463" t="s">
        <v>41</v>
      </c>
      <c r="G3463">
        <v>-282.16149999999999</v>
      </c>
      <c r="H3463">
        <v>1.0395319999999999</v>
      </c>
      <c r="I3463">
        <v>140.63380000000001</v>
      </c>
      <c r="J3463">
        <v>-281.49869999999999</v>
      </c>
      <c r="K3463">
        <v>1.1099540000000001</v>
      </c>
      <c r="L3463">
        <v>140.60740000000001</v>
      </c>
      <c r="M3463">
        <v>-0.99979620000000002</v>
      </c>
      <c r="N3463">
        <v>0</v>
      </c>
      <c r="O3463">
        <v>1.5840110000000001E-2</v>
      </c>
      <c r="P3463">
        <v>-0.98696719999999905</v>
      </c>
      <c r="Q3463">
        <v>0.15003620000000001</v>
      </c>
      <c r="R3463">
        <v>5.8183699999999998E-2</v>
      </c>
      <c r="S3463">
        <v>-3.0640869999999998</v>
      </c>
      <c r="T3463">
        <v>-0.19826099999999999</v>
      </c>
      <c r="U3463">
        <v>9.2727660000000003E-2</v>
      </c>
      <c r="V3463">
        <v>4.2512370000000001E-2</v>
      </c>
      <c r="W3463">
        <v>0.1624099</v>
      </c>
      <c r="X3463">
        <v>0.98580710000000005</v>
      </c>
      <c r="Y3463">
        <v>1.441398E-2</v>
      </c>
      <c r="Z3463">
        <v>-5.5787999999999996E-4</v>
      </c>
      <c r="AA3463">
        <v>0.99989589999999995</v>
      </c>
      <c r="AB3463">
        <v>41</v>
      </c>
      <c r="AC3463">
        <v>-0.66280000000000405</v>
      </c>
      <c r="AD3463">
        <v>-7.0422000000000207E-2</v>
      </c>
      <c r="AE3463">
        <v>2.6399999999995299E-2</v>
      </c>
      <c r="AF3463">
        <v>1.57198610733922E-2</v>
      </c>
      <c r="AG3463">
        <v>-7.0422000000000207E-2</v>
      </c>
      <c r="AH3463">
        <v>0.65574413646987595</v>
      </c>
      <c r="AI3463">
        <v>96.127897005135793</v>
      </c>
      <c r="AJ3463">
        <v>88.626736911781904</v>
      </c>
      <c r="AK3463">
        <v>0.65970201199540801</v>
      </c>
      <c r="AL3463">
        <v>80.653196394442503</v>
      </c>
      <c r="AM3463">
        <v>87.530682110465506</v>
      </c>
      <c r="AN3463">
        <v>0.99999995781571704</v>
      </c>
    </row>
    <row r="3464" spans="1:40" x14ac:dyDescent="0.25">
      <c r="A3464" t="str">
        <f>"20190312164336627"</f>
        <v>20190312164336627</v>
      </c>
      <c r="B3464" t="str">
        <f>"1552380216618102"</f>
        <v>1552380216618102</v>
      </c>
      <c r="C3464" t="s">
        <v>40</v>
      </c>
      <c r="D3464">
        <v>4.6769109999999996</v>
      </c>
      <c r="E3464">
        <v>0.49495</v>
      </c>
      <c r="F3464" t="s">
        <v>41</v>
      </c>
      <c r="G3464">
        <v>-282.53410000000002</v>
      </c>
      <c r="H3464">
        <v>1.043847</v>
      </c>
      <c r="I3464">
        <v>140.63890000000001</v>
      </c>
      <c r="J3464">
        <v>-281.91849999999999</v>
      </c>
      <c r="K3464">
        <v>1.109961</v>
      </c>
      <c r="L3464">
        <v>140.614</v>
      </c>
      <c r="M3464">
        <v>-0.99979810000000002</v>
      </c>
      <c r="N3464">
        <v>0</v>
      </c>
      <c r="O3464">
        <v>1.5721780000000001E-2</v>
      </c>
      <c r="P3464">
        <v>-0.98698649999999999</v>
      </c>
      <c r="Q3464">
        <v>0.15000339999999901</v>
      </c>
      <c r="R3464">
        <v>5.7935769999999998E-2</v>
      </c>
      <c r="S3464">
        <v>-3.063904</v>
      </c>
      <c r="T3464">
        <v>-0.19566639999999999</v>
      </c>
      <c r="U3464">
        <v>9.2834470000000002E-2</v>
      </c>
      <c r="V3464">
        <v>4.2376770000000001E-2</v>
      </c>
      <c r="W3464">
        <v>0.16236519999999999</v>
      </c>
      <c r="X3464">
        <v>0.98582040000000004</v>
      </c>
      <c r="Y3464">
        <v>1.4568309999999999E-2</v>
      </c>
      <c r="Z3464">
        <v>-5.3815869999999997E-4</v>
      </c>
      <c r="AA3464">
        <v>0.9998937</v>
      </c>
      <c r="AB3464">
        <v>41</v>
      </c>
      <c r="AC3464">
        <v>-0.61560000000002801</v>
      </c>
      <c r="AD3464">
        <v>-6.6113999999999895E-2</v>
      </c>
      <c r="AE3464">
        <v>2.4900000000002299E-2</v>
      </c>
      <c r="AF3464">
        <v>1.50445916555134E-2</v>
      </c>
      <c r="AG3464">
        <v>-6.6113999999999895E-2</v>
      </c>
      <c r="AH3464">
        <v>0.60890362658627595</v>
      </c>
      <c r="AI3464">
        <v>96.194952608528396</v>
      </c>
      <c r="AJ3464">
        <v>88.584642582938002</v>
      </c>
      <c r="AK3464">
        <v>0.61266714225915597</v>
      </c>
      <c r="AL3464">
        <v>80.655792882384802</v>
      </c>
      <c r="AM3464">
        <v>87.538581859084402</v>
      </c>
      <c r="AN3464">
        <v>1.0000000549314101</v>
      </c>
    </row>
    <row r="3465" spans="1:40" x14ac:dyDescent="0.25">
      <c r="A3465" t="str">
        <f>"20190312164336649"</f>
        <v>20190312164336649</v>
      </c>
      <c r="B3465" t="str">
        <f>"1552380216637625"</f>
        <v>1552380216637625</v>
      </c>
      <c r="C3465" t="s">
        <v>40</v>
      </c>
      <c r="D3465">
        <v>4.8968339999999904</v>
      </c>
      <c r="E3465">
        <v>0.49494939999999998</v>
      </c>
      <c r="F3465" t="s">
        <v>49</v>
      </c>
      <c r="G3465">
        <v>-299.38729999999998</v>
      </c>
      <c r="H3465" s="1">
        <v>-8.5046709999999906E-6</v>
      </c>
      <c r="I3465">
        <v>141.149</v>
      </c>
      <c r="J3465">
        <v>-282.3116</v>
      </c>
      <c r="K3465">
        <v>1.109974</v>
      </c>
      <c r="L3465">
        <v>140.62010000000001</v>
      </c>
      <c r="M3465">
        <v>-0.99979989999999996</v>
      </c>
      <c r="N3465">
        <v>0</v>
      </c>
      <c r="O3465">
        <v>1.561339E-2</v>
      </c>
      <c r="P3465">
        <v>-0.98705080000000001</v>
      </c>
      <c r="Q3465">
        <v>0.149815</v>
      </c>
      <c r="R3465">
        <v>5.7324800000000002E-2</v>
      </c>
      <c r="S3465">
        <v>-3.0636290000000002</v>
      </c>
      <c r="T3465">
        <v>-0.19466359999999999</v>
      </c>
      <c r="U3465">
        <v>9.3826290000000007E-2</v>
      </c>
      <c r="V3465">
        <v>4.1869160000000002E-2</v>
      </c>
      <c r="W3465">
        <v>0.1621667</v>
      </c>
      <c r="X3465">
        <v>0.98587469999999999</v>
      </c>
      <c r="Y3465">
        <v>1.500173E-2</v>
      </c>
      <c r="Z3465">
        <v>-5.148199E-4</v>
      </c>
      <c r="AA3465">
        <v>0.99988730000000003</v>
      </c>
      <c r="AB3465">
        <v>41</v>
      </c>
      <c r="AC3465">
        <v>-17.075699999999902</v>
      </c>
      <c r="AD3465">
        <v>-1.1099825046709999</v>
      </c>
      <c r="AE3465">
        <v>0.52889999999999304</v>
      </c>
      <c r="AF3465">
        <v>0.26110288089227002</v>
      </c>
      <c r="AG3465">
        <v>-1.1099825046709999</v>
      </c>
      <c r="AH3465">
        <v>17.010070089588901</v>
      </c>
      <c r="AI3465">
        <v>93.733071901821603</v>
      </c>
      <c r="AJ3465">
        <v>89.120584558546597</v>
      </c>
      <c r="AK3465">
        <v>17.048246840300401</v>
      </c>
      <c r="AL3465">
        <v>80.667318279046796</v>
      </c>
      <c r="AM3465">
        <v>87.568164120572703</v>
      </c>
      <c r="AN3465">
        <v>0.99999999462404199</v>
      </c>
    </row>
    <row r="3466" spans="1:40" x14ac:dyDescent="0.25">
      <c r="A3466" t="str">
        <f>"20190312164336670"</f>
        <v>20190312164336670</v>
      </c>
      <c r="B3466" t="str">
        <f>"1552380216658121"</f>
        <v>1552380216658121</v>
      </c>
      <c r="C3466" t="s">
        <v>40</v>
      </c>
      <c r="D3466">
        <v>4.6376600000000003</v>
      </c>
      <c r="E3466">
        <v>0.49496699999999999</v>
      </c>
      <c r="F3466" t="s">
        <v>49</v>
      </c>
      <c r="G3466">
        <v>-299.77850000000001</v>
      </c>
      <c r="H3466" s="1">
        <v>-8.4698180000000007E-6</v>
      </c>
      <c r="I3466">
        <v>141.14709999999999</v>
      </c>
      <c r="J3466">
        <v>-282.71550000000002</v>
      </c>
      <c r="K3466">
        <v>1.109982</v>
      </c>
      <c r="L3466">
        <v>140.62629999999999</v>
      </c>
      <c r="M3466">
        <v>-0.99980179999999996</v>
      </c>
      <c r="N3466">
        <v>0</v>
      </c>
      <c r="O3466">
        <v>1.550233E-2</v>
      </c>
      <c r="P3466">
        <v>-0.98705500000000002</v>
      </c>
      <c r="Q3466">
        <v>0.15000439999999901</v>
      </c>
      <c r="R3466">
        <v>5.6753869999999998E-2</v>
      </c>
      <c r="S3466">
        <v>-3.063507</v>
      </c>
      <c r="T3466">
        <v>-0.1946793</v>
      </c>
      <c r="U3466">
        <v>9.2437740000000004E-2</v>
      </c>
      <c r="V3466">
        <v>4.1405480000000001E-2</v>
      </c>
      <c r="W3466">
        <v>0.1623455</v>
      </c>
      <c r="X3466">
        <v>0.98586490000000004</v>
      </c>
      <c r="Y3466">
        <v>1.466169E-2</v>
      </c>
      <c r="Z3466">
        <v>-5.1862860000000002E-4</v>
      </c>
      <c r="AA3466">
        <v>0.99989240000000001</v>
      </c>
      <c r="AB3466">
        <v>41</v>
      </c>
      <c r="AC3466">
        <v>-17.062999999999899</v>
      </c>
      <c r="AD3466">
        <v>-1.1099904698180001</v>
      </c>
      <c r="AE3466">
        <v>0.52080000000000803</v>
      </c>
      <c r="AF3466">
        <v>0.25512188363976801</v>
      </c>
      <c r="AG3466">
        <v>-1.1099904698180001</v>
      </c>
      <c r="AH3466">
        <v>16.997161422313201</v>
      </c>
      <c r="AI3466">
        <v>93.735944963310402</v>
      </c>
      <c r="AJ3466">
        <v>89.140073494695301</v>
      </c>
      <c r="AK3466">
        <v>17.035276999061999</v>
      </c>
      <c r="AL3466">
        <v>80.656936627402501</v>
      </c>
      <c r="AM3466">
        <v>87.595039810328004</v>
      </c>
      <c r="AN3466">
        <v>1.00000003809814</v>
      </c>
    </row>
    <row r="3467" spans="1:40" x14ac:dyDescent="0.25">
      <c r="A3467" t="str">
        <f>"20190312164336693"</f>
        <v>20190312164336693</v>
      </c>
      <c r="B3467" t="str">
        <f>"1552380216688374"</f>
        <v>1552380216688374</v>
      </c>
      <c r="C3467" t="s">
        <v>40</v>
      </c>
      <c r="D3467">
        <v>4.9106290000000001</v>
      </c>
      <c r="E3467">
        <v>0.49486930000000001</v>
      </c>
      <c r="F3467" t="s">
        <v>49</v>
      </c>
      <c r="G3467">
        <v>-300.26339999999999</v>
      </c>
      <c r="H3467" s="1">
        <v>-8.508695E-6</v>
      </c>
      <c r="I3467">
        <v>141.14869999999999</v>
      </c>
      <c r="J3467">
        <v>-283.12729999999999</v>
      </c>
      <c r="K3467">
        <v>1.1099889999999999</v>
      </c>
      <c r="L3467">
        <v>140.63249999999999</v>
      </c>
      <c r="M3467">
        <v>-0.99980380000000002</v>
      </c>
      <c r="N3467">
        <v>0</v>
      </c>
      <c r="O3467">
        <v>1.5390239999999999E-2</v>
      </c>
      <c r="P3467">
        <v>-0.98693609999999998</v>
      </c>
      <c r="Q3467">
        <v>0.15108079999999999</v>
      </c>
      <c r="R3467">
        <v>5.5964119999999999E-2</v>
      </c>
      <c r="S3467">
        <v>-3.0635379999999999</v>
      </c>
      <c r="T3467">
        <v>-0.1937836</v>
      </c>
      <c r="U3467">
        <v>9.1201779999999996E-2</v>
      </c>
      <c r="V3467">
        <v>4.0726760000000001E-2</v>
      </c>
      <c r="W3467">
        <v>0.16340679999999999</v>
      </c>
      <c r="X3467">
        <v>0.98571779999999998</v>
      </c>
      <c r="Y3467">
        <v>1.437079E-2</v>
      </c>
      <c r="Z3467">
        <v>-5.1835480000000001E-4</v>
      </c>
      <c r="AA3467">
        <v>0.99989660000000002</v>
      </c>
      <c r="AB3467">
        <v>41</v>
      </c>
      <c r="AC3467">
        <v>-17.136099999999999</v>
      </c>
      <c r="AD3467">
        <v>-1.10999750869499</v>
      </c>
      <c r="AE3467">
        <v>0.51619999999999699</v>
      </c>
      <c r="AF3467">
        <v>0.25133604176514301</v>
      </c>
      <c r="AG3467">
        <v>-1.10999750869499</v>
      </c>
      <c r="AH3467">
        <v>17.070455053757399</v>
      </c>
      <c r="AI3467">
        <v>93.719988766950607</v>
      </c>
      <c r="AJ3467">
        <v>89.156469236315104</v>
      </c>
      <c r="AK3467">
        <v>17.108351762152601</v>
      </c>
      <c r="AL3467">
        <v>80.595305420300704</v>
      </c>
      <c r="AM3467">
        <v>87.634064221911501</v>
      </c>
      <c r="AN3467">
        <v>1.0000000162515801</v>
      </c>
    </row>
    <row r="3468" spans="1:40" x14ac:dyDescent="0.25">
      <c r="A3468" t="str">
        <f>"20190312164336715"</f>
        <v>20190312164336715</v>
      </c>
      <c r="B3468" t="str">
        <f>"1552380216707894"</f>
        <v>1552380216707894</v>
      </c>
      <c r="C3468" t="s">
        <v>40</v>
      </c>
      <c r="D3468">
        <v>4.8690419999999897</v>
      </c>
      <c r="E3468">
        <v>0.49482110000000001</v>
      </c>
      <c r="F3468" t="s">
        <v>49</v>
      </c>
      <c r="G3468">
        <v>-301.06670000000003</v>
      </c>
      <c r="H3468" s="1">
        <v>-8.6519469999999995E-6</v>
      </c>
      <c r="I3468">
        <v>141.1516</v>
      </c>
      <c r="J3468">
        <v>-283.5412</v>
      </c>
      <c r="K3468">
        <v>1.1099859999999999</v>
      </c>
      <c r="L3468">
        <v>140.6388</v>
      </c>
      <c r="M3468">
        <v>-0.99980559999999996</v>
      </c>
      <c r="N3468">
        <v>0</v>
      </c>
      <c r="O3468">
        <v>1.5281629999999999E-2</v>
      </c>
      <c r="P3468">
        <v>-0.98679910000000004</v>
      </c>
      <c r="Q3468">
        <v>0.15205109999999999</v>
      </c>
      <c r="R3468">
        <v>5.5746770000000001E-2</v>
      </c>
      <c r="S3468">
        <v>-3.0637210000000001</v>
      </c>
      <c r="T3468">
        <v>-0.18956729999999999</v>
      </c>
      <c r="U3468">
        <v>8.8638309999999998E-2</v>
      </c>
      <c r="V3468">
        <v>4.0618399999999999E-2</v>
      </c>
      <c r="W3468">
        <v>0.1643589</v>
      </c>
      <c r="X3468">
        <v>0.98556390000000005</v>
      </c>
      <c r="Y3468">
        <v>1.364282E-2</v>
      </c>
      <c r="Z3468">
        <v>-5.228594E-4</v>
      </c>
      <c r="AA3468">
        <v>0.99990679999999998</v>
      </c>
      <c r="AB3468">
        <v>41</v>
      </c>
      <c r="AC3468">
        <v>-17.525500000000001</v>
      </c>
      <c r="AD3468">
        <v>-1.1099946519470001</v>
      </c>
      <c r="AE3468">
        <v>0.51279999999999804</v>
      </c>
      <c r="AF3468">
        <v>0.243923465582776</v>
      </c>
      <c r="AG3468">
        <v>-1.1099946519470001</v>
      </c>
      <c r="AH3468">
        <v>17.461305079628399</v>
      </c>
      <c r="AI3468">
        <v>93.636977290471194</v>
      </c>
      <c r="AJ3468">
        <v>89.199666001427701</v>
      </c>
      <c r="AK3468">
        <v>17.498250251618501</v>
      </c>
      <c r="AL3468">
        <v>80.540005838392503</v>
      </c>
      <c r="AM3468">
        <v>87.639983991628498</v>
      </c>
      <c r="AN3468">
        <v>0.99999995170548805</v>
      </c>
    </row>
    <row r="3469" spans="1:40" x14ac:dyDescent="0.25">
      <c r="A3469" t="str">
        <f>"20190312164336739"</f>
        <v>20190312164336739</v>
      </c>
      <c r="B3469" t="str">
        <f>"1552380216728389"</f>
        <v>1552380216728389</v>
      </c>
      <c r="C3469" t="s">
        <v>40</v>
      </c>
      <c r="D3469">
        <v>4.9257799999999996</v>
      </c>
      <c r="E3469">
        <v>0.49480390000000002</v>
      </c>
      <c r="F3469" t="s">
        <v>49</v>
      </c>
      <c r="G3469">
        <v>-301.74029999999999</v>
      </c>
      <c r="H3469" s="1">
        <v>-8.7664279999999995E-6</v>
      </c>
      <c r="I3469">
        <v>141.1628</v>
      </c>
      <c r="J3469">
        <v>-283.9692</v>
      </c>
      <c r="K3469">
        <v>1.109982</v>
      </c>
      <c r="L3469">
        <v>140.64519999999999</v>
      </c>
      <c r="M3469">
        <v>-0.99980740000000001</v>
      </c>
      <c r="N3469">
        <v>0</v>
      </c>
      <c r="O3469">
        <v>1.517894E-2</v>
      </c>
      <c r="P3469">
        <v>-0.98669359999999995</v>
      </c>
      <c r="Q3469">
        <v>0.15296289999999901</v>
      </c>
      <c r="R3469">
        <v>5.5121379999999998E-2</v>
      </c>
      <c r="S3469">
        <v>-3.063965</v>
      </c>
      <c r="T3469">
        <v>-0.18687680000000001</v>
      </c>
      <c r="U3469">
        <v>8.8226319999999997E-2</v>
      </c>
      <c r="V3469">
        <v>4.0097849999999997E-2</v>
      </c>
      <c r="W3469">
        <v>0.1652516</v>
      </c>
      <c r="X3469">
        <v>0.98543599999999998</v>
      </c>
      <c r="Y3469">
        <v>1.360867E-2</v>
      </c>
      <c r="Z3469">
        <v>-5.1019719999999995E-4</v>
      </c>
      <c r="AA3469">
        <v>0.99990730000000005</v>
      </c>
      <c r="AB3469">
        <v>41</v>
      </c>
      <c r="AC3469">
        <v>-17.771099999999901</v>
      </c>
      <c r="AD3469">
        <v>-1.109990766428</v>
      </c>
      <c r="AE3469">
        <v>0.51760000000001505</v>
      </c>
      <c r="AF3469">
        <v>0.246810954232589</v>
      </c>
      <c r="AG3469">
        <v>-1.109990766428</v>
      </c>
      <c r="AH3469">
        <v>17.7078842253425</v>
      </c>
      <c r="AI3469">
        <v>93.586455191172206</v>
      </c>
      <c r="AJ3469">
        <v>89.201468101733496</v>
      </c>
      <c r="AK3469">
        <v>17.7443556909463</v>
      </c>
      <c r="AL3469">
        <v>80.488149455835895</v>
      </c>
      <c r="AM3469">
        <v>87.669893464250606</v>
      </c>
      <c r="AN3469">
        <v>1.0000000194865899</v>
      </c>
    </row>
    <row r="3470" spans="1:40" x14ac:dyDescent="0.25">
      <c r="A3470" t="str">
        <f>"20190312164336759"</f>
        <v>20190312164336759</v>
      </c>
      <c r="B3470" t="str">
        <f>"1552380216747909"</f>
        <v>1552380216747909</v>
      </c>
      <c r="C3470" t="s">
        <v>40</v>
      </c>
      <c r="D3470">
        <v>4.8843550000000002</v>
      </c>
      <c r="E3470">
        <v>0.49479820000000002</v>
      </c>
      <c r="F3470" t="s">
        <v>49</v>
      </c>
      <c r="G3470">
        <v>-302.36349999999999</v>
      </c>
      <c r="H3470" s="1">
        <v>-8.858026E-6</v>
      </c>
      <c r="I3470">
        <v>141.16990000000001</v>
      </c>
      <c r="J3470">
        <v>-284.35300000000001</v>
      </c>
      <c r="K3470">
        <v>1.109972</v>
      </c>
      <c r="L3470">
        <v>140.65100000000001</v>
      </c>
      <c r="M3470">
        <v>-0.99980869999999999</v>
      </c>
      <c r="N3470">
        <v>0</v>
      </c>
      <c r="O3470">
        <v>1.5102050000000001E-2</v>
      </c>
      <c r="P3470">
        <v>-0.98666140000000002</v>
      </c>
      <c r="Q3470">
        <v>0.15341270000000001</v>
      </c>
      <c r="R3470">
        <v>5.4446149999999999E-2</v>
      </c>
      <c r="S3470">
        <v>-3.064209</v>
      </c>
      <c r="T3470">
        <v>-0.18490799999999999</v>
      </c>
      <c r="U3470">
        <v>8.7402339999999995E-2</v>
      </c>
      <c r="V3470">
        <v>3.9502969999999998E-2</v>
      </c>
      <c r="W3470">
        <v>0.1656851</v>
      </c>
      <c r="X3470">
        <v>0.98538720000000002</v>
      </c>
      <c r="Y3470">
        <v>1.341476E-2</v>
      </c>
      <c r="Z3470">
        <v>-5.0600419999999996E-4</v>
      </c>
      <c r="AA3470">
        <v>0.99990990000000002</v>
      </c>
      <c r="AB3470">
        <v>41</v>
      </c>
      <c r="AC3470">
        <v>-18.010499999999901</v>
      </c>
      <c r="AD3470">
        <v>-1.109980858026</v>
      </c>
      <c r="AE3470">
        <v>0.51890000000000203</v>
      </c>
      <c r="AF3470">
        <v>0.24589115711646101</v>
      </c>
      <c r="AG3470">
        <v>-1.109980858026</v>
      </c>
      <c r="AH3470">
        <v>17.948168334280599</v>
      </c>
      <c r="AI3470">
        <v>93.538543836750705</v>
      </c>
      <c r="AJ3470">
        <v>89.215092931760793</v>
      </c>
      <c r="AK3470">
        <v>17.984139304454001</v>
      </c>
      <c r="AL3470">
        <v>80.462964236989805</v>
      </c>
      <c r="AM3470">
        <v>87.704311421046398</v>
      </c>
      <c r="AN3470">
        <v>0.99999998546233504</v>
      </c>
    </row>
    <row r="3471" spans="1:40" x14ac:dyDescent="0.25">
      <c r="A3471" t="str">
        <f>"20190312164336783"</f>
        <v>20190312164336783</v>
      </c>
      <c r="B3471" t="str">
        <f>"1552380216778165"</f>
        <v>1552380216778165</v>
      </c>
      <c r="C3471" t="s">
        <v>40</v>
      </c>
      <c r="D3471">
        <v>4.8381589999999903</v>
      </c>
      <c r="E3471">
        <v>0.49487629999999999</v>
      </c>
      <c r="F3471" t="s">
        <v>49</v>
      </c>
      <c r="G3471">
        <v>-302.91800000000001</v>
      </c>
      <c r="H3471" s="1">
        <v>-8.9371520000000001E-6</v>
      </c>
      <c r="I3471">
        <v>141.16820000000001</v>
      </c>
      <c r="J3471">
        <v>-284.77960000000002</v>
      </c>
      <c r="K3471">
        <v>1.109964</v>
      </c>
      <c r="L3471">
        <v>140.65729999999999</v>
      </c>
      <c r="M3471">
        <v>-0.99980990000000003</v>
      </c>
      <c r="N3471">
        <v>0</v>
      </c>
      <c r="O3471">
        <v>1.503766E-2</v>
      </c>
      <c r="P3471">
        <v>-0.98662810000000001</v>
      </c>
      <c r="Q3471">
        <v>0.15384719999999999</v>
      </c>
      <c r="R3471">
        <v>5.3819230000000003E-2</v>
      </c>
      <c r="S3471">
        <v>-3.0643310000000001</v>
      </c>
      <c r="T3471">
        <v>-0.18321290000000001</v>
      </c>
      <c r="U3471">
        <v>8.5372920000000005E-2</v>
      </c>
      <c r="V3471">
        <v>3.8946439999999999E-2</v>
      </c>
      <c r="W3471">
        <v>0.16610320000000001</v>
      </c>
      <c r="X3471">
        <v>0.98533899999999996</v>
      </c>
      <c r="Y3471">
        <v>1.2817230000000001E-2</v>
      </c>
      <c r="Z3471">
        <v>-5.1535760000000002E-4</v>
      </c>
      <c r="AA3471">
        <v>0.99991770000000002</v>
      </c>
      <c r="AB3471">
        <v>41</v>
      </c>
      <c r="AC3471">
        <v>-18.138399999999901</v>
      </c>
      <c r="AD3471">
        <v>-1.109972937152</v>
      </c>
      <c r="AE3471">
        <v>0.51090000000002</v>
      </c>
      <c r="AF3471">
        <v>0.237174657245491</v>
      </c>
      <c r="AG3471">
        <v>-1.109972937152</v>
      </c>
      <c r="AH3471">
        <v>18.076393534948298</v>
      </c>
      <c r="AI3471">
        <v>93.513508435284706</v>
      </c>
      <c r="AJ3471">
        <v>89.248283285991604</v>
      </c>
      <c r="AK3471">
        <v>18.111993125262899</v>
      </c>
      <c r="AL3471">
        <v>80.438672619551198</v>
      </c>
      <c r="AM3471">
        <v>87.736509308610096</v>
      </c>
      <c r="AN3471">
        <v>1.00000002157995</v>
      </c>
    </row>
    <row r="3472" spans="1:40" x14ac:dyDescent="0.25">
      <c r="A3472" t="str">
        <f>"20190312164336806"</f>
        <v>20190312164336806</v>
      </c>
      <c r="B3472" t="str">
        <f>"1552380216798664"</f>
        <v>1552380216798664</v>
      </c>
      <c r="C3472" t="s">
        <v>40</v>
      </c>
      <c r="D3472">
        <v>4.8716860000000004</v>
      </c>
      <c r="E3472">
        <v>0.4949112</v>
      </c>
      <c r="F3472" t="s">
        <v>41</v>
      </c>
      <c r="G3472">
        <v>-285.85919999999999</v>
      </c>
      <c r="H3472">
        <v>1.0459160000000001</v>
      </c>
      <c r="I3472">
        <v>140.6875</v>
      </c>
      <c r="J3472">
        <v>-285.20800000000003</v>
      </c>
      <c r="K3472">
        <v>1.1099429999999999</v>
      </c>
      <c r="L3472">
        <v>140.66370000000001</v>
      </c>
      <c r="M3472">
        <v>-0.9998108</v>
      </c>
      <c r="N3472">
        <v>0</v>
      </c>
      <c r="O3472">
        <v>1.4995369999999999E-2</v>
      </c>
      <c r="P3472">
        <v>-0.98666010000000004</v>
      </c>
      <c r="Q3472">
        <v>0.15402389999999999</v>
      </c>
      <c r="R3472">
        <v>5.2712080000000001E-2</v>
      </c>
      <c r="S3472">
        <v>-3.0643919999999998</v>
      </c>
      <c r="T3472">
        <v>-0.1818717</v>
      </c>
      <c r="U3472">
        <v>8.4625240000000004E-2</v>
      </c>
      <c r="V3472">
        <v>3.788764E-2</v>
      </c>
      <c r="W3472">
        <v>0.16625879999999901</v>
      </c>
      <c r="X3472">
        <v>0.98535399999999995</v>
      </c>
      <c r="Y3472">
        <v>1.261542E-2</v>
      </c>
      <c r="Z3472">
        <v>-5.15059E-4</v>
      </c>
      <c r="AA3472">
        <v>0.99992029999999998</v>
      </c>
      <c r="AB3472">
        <v>41</v>
      </c>
      <c r="AC3472">
        <v>-0.65120000000001699</v>
      </c>
      <c r="AD3472">
        <v>-6.4027000000000001E-2</v>
      </c>
      <c r="AE3472">
        <v>2.3799999999994201E-2</v>
      </c>
      <c r="AF3472">
        <v>1.3897420143483301E-2</v>
      </c>
      <c r="AG3472">
        <v>-6.4027000000000001E-2</v>
      </c>
      <c r="AH3472">
        <v>0.64525425181030105</v>
      </c>
      <c r="AI3472">
        <v>95.665464649827996</v>
      </c>
      <c r="AJ3472">
        <v>88.766160116705905</v>
      </c>
      <c r="AK3472">
        <v>0.64857200409431504</v>
      </c>
      <c r="AL3472">
        <v>80.429631317556797</v>
      </c>
      <c r="AM3472">
        <v>87.798016754611595</v>
      </c>
      <c r="AN3472">
        <v>0.99999998357910402</v>
      </c>
    </row>
    <row r="3473" spans="1:40" x14ac:dyDescent="0.25">
      <c r="A3473" t="str">
        <f>"20190312164336828"</f>
        <v>20190312164336828</v>
      </c>
      <c r="B3473" t="str">
        <f>"1552380216818181"</f>
        <v>1552380216818181</v>
      </c>
      <c r="C3473" t="s">
        <v>40</v>
      </c>
      <c r="D3473">
        <v>4.6247280000000002</v>
      </c>
      <c r="E3473">
        <v>0.494896</v>
      </c>
      <c r="F3473" t="s">
        <v>49</v>
      </c>
      <c r="G3473">
        <v>-303.9341</v>
      </c>
      <c r="H3473" s="1">
        <v>-9.082274E-6</v>
      </c>
      <c r="I3473">
        <v>141.16550000000001</v>
      </c>
      <c r="J3473">
        <v>-285.6284</v>
      </c>
      <c r="K3473">
        <v>1.1099220000000001</v>
      </c>
      <c r="L3473">
        <v>140.66999999999999</v>
      </c>
      <c r="M3473">
        <v>-0.99981149999999996</v>
      </c>
      <c r="N3473">
        <v>0</v>
      </c>
      <c r="O3473">
        <v>1.496916E-2</v>
      </c>
      <c r="P3473">
        <v>-0.98663869999999998</v>
      </c>
      <c r="Q3473">
        <v>0.15429219999999999</v>
      </c>
      <c r="R3473">
        <v>5.2331250000000003E-2</v>
      </c>
      <c r="S3473">
        <v>-3.064514</v>
      </c>
      <c r="T3473">
        <v>-0.18164350000000001</v>
      </c>
      <c r="U3473">
        <v>8.2122799999999996E-2</v>
      </c>
      <c r="V3473">
        <v>3.7539719999999999E-2</v>
      </c>
      <c r="W3473">
        <v>0.16650609999999999</v>
      </c>
      <c r="X3473">
        <v>0.98532560000000002</v>
      </c>
      <c r="Y3473">
        <v>1.182595E-2</v>
      </c>
      <c r="Z3473">
        <v>-5.3622070000000003E-4</v>
      </c>
      <c r="AA3473">
        <v>0.99992990000000004</v>
      </c>
      <c r="AB3473">
        <v>41</v>
      </c>
      <c r="AC3473">
        <v>-18.305700000000002</v>
      </c>
      <c r="AD3473">
        <v>-1.1099310822739901</v>
      </c>
      <c r="AE3473">
        <v>0.49550000000002098</v>
      </c>
      <c r="AF3473">
        <v>0.220592186672044</v>
      </c>
      <c r="AG3473">
        <v>-1.1099310822739901</v>
      </c>
      <c r="AH3473">
        <v>18.2440436566771</v>
      </c>
      <c r="AI3473">
        <v>93.4812156086914</v>
      </c>
      <c r="AJ3473">
        <v>89.307259637485402</v>
      </c>
      <c r="AK3473">
        <v>18.279106566431501</v>
      </c>
      <c r="AL3473">
        <v>80.415262178671199</v>
      </c>
      <c r="AM3473">
        <v>87.818154982521193</v>
      </c>
      <c r="AN3473">
        <v>1.00000002496512</v>
      </c>
    </row>
    <row r="3474" spans="1:40" x14ac:dyDescent="0.25">
      <c r="A3474" t="str">
        <f>"20190312164336849"</f>
        <v>20190312164336849</v>
      </c>
      <c r="B3474" t="str">
        <f>"1552380216838695"</f>
        <v>1552380216838695</v>
      </c>
      <c r="C3474" t="s">
        <v>40</v>
      </c>
      <c r="D3474">
        <v>4.5930289999999996</v>
      </c>
      <c r="E3474">
        <v>0.4916818</v>
      </c>
      <c r="F3474" t="s">
        <v>49</v>
      </c>
      <c r="G3474">
        <v>-304.3818</v>
      </c>
      <c r="H3474" s="1">
        <v>-9.146017E-6</v>
      </c>
      <c r="I3474">
        <v>141.16370000000001</v>
      </c>
      <c r="J3474">
        <v>-286.00479999999999</v>
      </c>
      <c r="K3474">
        <v>1.10991</v>
      </c>
      <c r="L3474">
        <v>140.6756</v>
      </c>
      <c r="M3474">
        <v>-0.99981160000000002</v>
      </c>
      <c r="N3474">
        <v>0</v>
      </c>
      <c r="O3474">
        <v>1.495668E-2</v>
      </c>
      <c r="P3474">
        <v>-0.98664719999999995</v>
      </c>
      <c r="Q3474">
        <v>0.15434389999999901</v>
      </c>
      <c r="R3474">
        <v>5.2011929999999998E-2</v>
      </c>
      <c r="S3474">
        <v>-3.0646969999999998</v>
      </c>
      <c r="T3474">
        <v>-0.1813862</v>
      </c>
      <c r="U3474">
        <v>8.0673220000000004E-2</v>
      </c>
      <c r="V3474">
        <v>3.723696E-2</v>
      </c>
      <c r="W3474">
        <v>0.16654050000000001</v>
      </c>
      <c r="X3474">
        <v>0.98533119999999996</v>
      </c>
      <c r="Y3474">
        <v>1.136497E-2</v>
      </c>
      <c r="Z3474">
        <v>-5.4832449999999897E-4</v>
      </c>
      <c r="AA3474">
        <v>0.99993529999999997</v>
      </c>
      <c r="AB3474">
        <v>41</v>
      </c>
      <c r="AC3474">
        <v>-18.376999999999999</v>
      </c>
      <c r="AD3474">
        <v>-1.1099191460169999</v>
      </c>
      <c r="AE3474">
        <v>0.48810000000000198</v>
      </c>
      <c r="AF3474">
        <v>0.21239122911710301</v>
      </c>
      <c r="AG3474">
        <v>-1.1099191460169999</v>
      </c>
      <c r="AH3474">
        <v>18.3154805108659</v>
      </c>
      <c r="AI3474">
        <v>93.467653906734199</v>
      </c>
      <c r="AJ3474">
        <v>89.335612538460893</v>
      </c>
      <c r="AK3474">
        <v>18.350309449401902</v>
      </c>
      <c r="AL3474">
        <v>80.4132625837033</v>
      </c>
      <c r="AM3474">
        <v>87.835747175024906</v>
      </c>
      <c r="AN3474">
        <v>0.99999995151186405</v>
      </c>
    </row>
    <row r="3475" spans="1:40" x14ac:dyDescent="0.25">
      <c r="A3475" t="str">
        <f>"20190312164336870"</f>
        <v>20190312164336870</v>
      </c>
      <c r="B3475" t="str">
        <f>"1552380216858201"</f>
        <v>1552380216858201</v>
      </c>
      <c r="C3475" t="s">
        <v>40</v>
      </c>
      <c r="D3475">
        <v>4.590859</v>
      </c>
      <c r="E3475">
        <v>0.49209429999999998</v>
      </c>
      <c r="F3475" t="s">
        <v>41</v>
      </c>
      <c r="G3475">
        <v>-286.95830000000001</v>
      </c>
      <c r="H3475">
        <v>1.0412629999999901</v>
      </c>
      <c r="I3475">
        <v>140.69159999999999</v>
      </c>
      <c r="J3475">
        <v>-286.40719999999999</v>
      </c>
      <c r="K3475">
        <v>1.1098950000000001</v>
      </c>
      <c r="L3475">
        <v>140.6816</v>
      </c>
      <c r="M3475">
        <v>-0.99981220000000004</v>
      </c>
      <c r="N3475">
        <v>0</v>
      </c>
      <c r="O3475">
        <v>1.4951259999999999E-2</v>
      </c>
      <c r="P3475">
        <v>-0.98670579999999997</v>
      </c>
      <c r="Q3475">
        <v>0.1540205</v>
      </c>
      <c r="R3475">
        <v>5.186354E-2</v>
      </c>
      <c r="S3475">
        <v>-3.07254</v>
      </c>
      <c r="T3475">
        <v>-0.22124530000000001</v>
      </c>
      <c r="U3475">
        <v>5.130005E-2</v>
      </c>
      <c r="V3475">
        <v>3.7096829999999997E-2</v>
      </c>
      <c r="W3475">
        <v>0.16620099999999999</v>
      </c>
      <c r="X3475">
        <v>0.98539390000000004</v>
      </c>
      <c r="Y3475">
        <v>1.7758989999999901E-3</v>
      </c>
      <c r="Z3475">
        <v>-1.011299E-3</v>
      </c>
      <c r="AA3475">
        <v>0.9999979</v>
      </c>
      <c r="AB3475">
        <v>41</v>
      </c>
      <c r="AC3475">
        <v>-0.55110000000001902</v>
      </c>
      <c r="AD3475">
        <v>-6.8632000000000207E-2</v>
      </c>
      <c r="AE3475">
        <v>9.9999999999908998E-3</v>
      </c>
      <c r="AF3475">
        <v>1.73176662984627E-3</v>
      </c>
      <c r="AG3475">
        <v>-6.8632000000000207E-2</v>
      </c>
      <c r="AH3475">
        <v>0.54277265588096502</v>
      </c>
      <c r="AI3475">
        <v>97.206599663184207</v>
      </c>
      <c r="AJ3475">
        <v>89.817193107968507</v>
      </c>
      <c r="AK3475">
        <v>0.54709734637606899</v>
      </c>
      <c r="AL3475">
        <v>80.432990310012997</v>
      </c>
      <c r="AM3475">
        <v>87.844021045303904</v>
      </c>
      <c r="AN3475">
        <v>1.0000000426771201</v>
      </c>
    </row>
    <row r="3476" spans="1:40" x14ac:dyDescent="0.25">
      <c r="A3476" t="str">
        <f>"20190312164336893"</f>
        <v>20190312164336893</v>
      </c>
      <c r="B3476" t="str">
        <f>"1552380216888454"</f>
        <v>1552380216888454</v>
      </c>
      <c r="C3476" t="s">
        <v>40</v>
      </c>
      <c r="D3476">
        <v>4.7417860000000003</v>
      </c>
      <c r="E3476">
        <v>0.48613479999999998</v>
      </c>
      <c r="F3476" t="s">
        <v>41</v>
      </c>
      <c r="G3476">
        <v>-287.32940000000002</v>
      </c>
      <c r="H3476">
        <v>1.0423230000000001</v>
      </c>
      <c r="I3476">
        <v>140.69799999999901</v>
      </c>
      <c r="J3476">
        <v>-286.82119999999998</v>
      </c>
      <c r="K3476">
        <v>1.1098809999999999</v>
      </c>
      <c r="L3476">
        <v>140.68780000000001</v>
      </c>
      <c r="M3476">
        <v>-0.99981229999999999</v>
      </c>
      <c r="N3476">
        <v>0</v>
      </c>
      <c r="O3476">
        <v>1.49507999999999E-2</v>
      </c>
      <c r="P3476">
        <v>-0.98680659999999998</v>
      </c>
      <c r="Q3476">
        <v>0.1533832</v>
      </c>
      <c r="R3476">
        <v>5.1831040000000002E-2</v>
      </c>
      <c r="S3476">
        <v>-3.072784</v>
      </c>
      <c r="T3476">
        <v>-0.22529969999999999</v>
      </c>
      <c r="U3476">
        <v>5.3771970000000002E-2</v>
      </c>
      <c r="V3476">
        <v>3.706624E-2</v>
      </c>
      <c r="W3476">
        <v>0.16555020000000001</v>
      </c>
      <c r="X3476">
        <v>0.98550459999999995</v>
      </c>
      <c r="Y3476">
        <v>2.5783479999999998E-3</v>
      </c>
      <c r="Z3476">
        <v>-1.0002819999999999E-3</v>
      </c>
      <c r="AA3476">
        <v>0.9999962</v>
      </c>
      <c r="AB3476">
        <v>41</v>
      </c>
      <c r="AC3476">
        <v>-0.50820000000004395</v>
      </c>
      <c r="AD3476">
        <v>-6.7558000000000007E-2</v>
      </c>
      <c r="AE3476">
        <v>1.01999999999691E-2</v>
      </c>
      <c r="AF3476">
        <v>2.55515004153304E-3</v>
      </c>
      <c r="AG3476">
        <v>-6.7558000000000007E-2</v>
      </c>
      <c r="AH3476">
        <v>0.49947260389357501</v>
      </c>
      <c r="AI3476">
        <v>97.702903102329103</v>
      </c>
      <c r="AJ3476">
        <v>89.706894762246307</v>
      </c>
      <c r="AK3476">
        <v>0.504027275250024</v>
      </c>
      <c r="AL3476">
        <v>80.4708022522384</v>
      </c>
      <c r="AM3476">
        <v>87.846038937117299</v>
      </c>
      <c r="AN3476">
        <v>1.00000004574446</v>
      </c>
    </row>
    <row r="3477" spans="1:40" x14ac:dyDescent="0.25">
      <c r="A3477" t="str">
        <f>"20190312164336915"</f>
        <v>20190312164336915</v>
      </c>
      <c r="B3477" t="str">
        <f>"1552380216907973"</f>
        <v>1552380216907973</v>
      </c>
      <c r="C3477" t="s">
        <v>40</v>
      </c>
      <c r="D3477">
        <v>4.5934150000000002</v>
      </c>
      <c r="E3477">
        <v>0.48620259999999998</v>
      </c>
      <c r="F3477" t="s">
        <v>49</v>
      </c>
      <c r="G3477">
        <v>-301.56360000000001</v>
      </c>
      <c r="H3477" s="1">
        <v>-8.6088160000000001E-6</v>
      </c>
      <c r="I3477">
        <v>140.7183</v>
      </c>
      <c r="J3477">
        <v>-287.24279999999999</v>
      </c>
      <c r="K3477">
        <v>1.1098730000000001</v>
      </c>
      <c r="L3477">
        <v>140.69409999999999</v>
      </c>
      <c r="M3477">
        <v>-0.99981229999999999</v>
      </c>
      <c r="N3477">
        <v>0</v>
      </c>
      <c r="O3477">
        <v>1.495294E-2</v>
      </c>
      <c r="P3477">
        <v>-0.98690120000000003</v>
      </c>
      <c r="Q3477">
        <v>0.1526865</v>
      </c>
      <c r="R3477">
        <v>5.2086939999999998E-2</v>
      </c>
      <c r="S3477">
        <v>-3.075806</v>
      </c>
      <c r="T3477">
        <v>-0.23156379999999999</v>
      </c>
      <c r="U3477">
        <v>6.3629150000000002E-3</v>
      </c>
      <c r="V3477">
        <v>3.7320909999999999E-2</v>
      </c>
      <c r="W3477">
        <v>0.16484099999999999</v>
      </c>
      <c r="X3477">
        <v>0.98561379999999998</v>
      </c>
      <c r="Y3477">
        <v>-1.2807020000000001E-2</v>
      </c>
      <c r="Z3477">
        <v>-1.6056079999999999E-3</v>
      </c>
      <c r="AA3477">
        <v>0.99991669999999999</v>
      </c>
      <c r="AB3477">
        <v>41</v>
      </c>
      <c r="AC3477">
        <v>-14.3208</v>
      </c>
      <c r="AD3477">
        <v>-1.109881608816</v>
      </c>
      <c r="AE3477">
        <v>2.42000000000075E-2</v>
      </c>
      <c r="AF3477">
        <v>-0.18882286715885499</v>
      </c>
      <c r="AG3477">
        <v>-1.109881608816</v>
      </c>
      <c r="AH3477">
        <v>14.2340644329075</v>
      </c>
      <c r="AI3477">
        <v>94.4581477901895</v>
      </c>
      <c r="AJ3477">
        <v>90.760016147966795</v>
      </c>
      <c r="AK3477">
        <v>14.2785181843535</v>
      </c>
      <c r="AL3477">
        <v>80.512001885657895</v>
      </c>
      <c r="AM3477">
        <v>87.831493913806995</v>
      </c>
      <c r="AN3477">
        <v>0.99999998417733305</v>
      </c>
    </row>
    <row r="3478" spans="1:40" x14ac:dyDescent="0.25">
      <c r="A3478" t="str">
        <f>"20190312164336938"</f>
        <v>20190312164336938</v>
      </c>
      <c r="B3478" t="str">
        <f>"1552380216928469"</f>
        <v>1552380216928469</v>
      </c>
      <c r="C3478" t="s">
        <v>40</v>
      </c>
      <c r="D3478">
        <v>4.5686119999999999</v>
      </c>
      <c r="E3478">
        <v>0.48546080000000003</v>
      </c>
      <c r="F3478" t="s">
        <v>49</v>
      </c>
      <c r="G3478">
        <v>-302.07639999999998</v>
      </c>
      <c r="H3478" s="1">
        <v>-8.6865909999999995E-6</v>
      </c>
      <c r="I3478">
        <v>140.73220000000001</v>
      </c>
      <c r="J3478">
        <v>-287.65440000000001</v>
      </c>
      <c r="K3478">
        <v>1.109861</v>
      </c>
      <c r="L3478">
        <v>140.7003</v>
      </c>
      <c r="M3478">
        <v>-0.99981249999999999</v>
      </c>
      <c r="N3478">
        <v>0</v>
      </c>
      <c r="O3478">
        <v>1.4954749999999999E-2</v>
      </c>
      <c r="P3478">
        <v>-0.98691390000000001</v>
      </c>
      <c r="Q3478">
        <v>0.1525639</v>
      </c>
      <c r="R3478">
        <v>5.2203329999999999E-2</v>
      </c>
      <c r="S3478">
        <v>-3.0750120000000001</v>
      </c>
      <c r="T3478">
        <v>-0.23007830000000001</v>
      </c>
      <c r="U3478">
        <v>7.8887939999999993E-3</v>
      </c>
      <c r="V3478">
        <v>3.743701E-2</v>
      </c>
      <c r="W3478">
        <v>0.16470650000000001</v>
      </c>
      <c r="X3478">
        <v>0.98563190000000001</v>
      </c>
      <c r="Y3478">
        <v>-1.2314449999999999E-2</v>
      </c>
      <c r="Z3478">
        <v>-1.5774789999999999E-3</v>
      </c>
      <c r="AA3478">
        <v>0.99992289999999995</v>
      </c>
      <c r="AB3478">
        <v>41</v>
      </c>
      <c r="AC3478">
        <v>-14.421999999999899</v>
      </c>
      <c r="AD3478">
        <v>-1.109869686591</v>
      </c>
      <c r="AE3478">
        <v>3.1900000000007298E-2</v>
      </c>
      <c r="AF3478">
        <v>-0.182715197025933</v>
      </c>
      <c r="AG3478">
        <v>-1.109869686591</v>
      </c>
      <c r="AH3478">
        <v>14.3359620974494</v>
      </c>
      <c r="AI3478">
        <v>94.426568868655806</v>
      </c>
      <c r="AJ3478">
        <v>90.730208602111006</v>
      </c>
      <c r="AK3478">
        <v>14.3800210300244</v>
      </c>
      <c r="AL3478">
        <v>80.519815128517607</v>
      </c>
      <c r="AM3478">
        <v>87.824794380080803</v>
      </c>
      <c r="AN3478">
        <v>1.0000000015788</v>
      </c>
    </row>
    <row r="3479" spans="1:40" x14ac:dyDescent="0.25">
      <c r="A3479" t="str">
        <f>"20190312164336960"</f>
        <v>20190312164336960</v>
      </c>
      <c r="B3479" t="str">
        <f>"1552380216947989"</f>
        <v>1552380216947989</v>
      </c>
      <c r="C3479" t="s">
        <v>40</v>
      </c>
      <c r="D3479">
        <v>4.5982120000000002</v>
      </c>
      <c r="E3479">
        <v>0.48488399999999998</v>
      </c>
      <c r="F3479" t="s">
        <v>49</v>
      </c>
      <c r="G3479">
        <v>-302.76229999999998</v>
      </c>
      <c r="H3479" s="1">
        <v>-8.7787449999999992E-6</v>
      </c>
      <c r="I3479">
        <v>140.71090000000001</v>
      </c>
      <c r="J3479">
        <v>-288.04930000000002</v>
      </c>
      <c r="K3479">
        <v>1.109853</v>
      </c>
      <c r="L3479">
        <v>140.7062</v>
      </c>
      <c r="M3479">
        <v>-0.99981260000000005</v>
      </c>
      <c r="N3479">
        <v>0</v>
      </c>
      <c r="O3479">
        <v>1.495552E-2</v>
      </c>
      <c r="P3479">
        <v>-0.98695809999999995</v>
      </c>
      <c r="Q3479">
        <v>0.152107399999999</v>
      </c>
      <c r="R3479">
        <v>5.270064E-2</v>
      </c>
      <c r="S3479">
        <v>-3.0745849999999999</v>
      </c>
      <c r="T3479">
        <v>-0.22586790000000001</v>
      </c>
      <c r="U3479">
        <v>2.1514889999999999E-3</v>
      </c>
      <c r="V3479">
        <v>3.7934469999999998E-2</v>
      </c>
      <c r="W3479">
        <v>0.16424079999999999</v>
      </c>
      <c r="X3479">
        <v>0.98569059999999997</v>
      </c>
      <c r="Y3479">
        <v>-1.417845E-2</v>
      </c>
      <c r="Z3479">
        <v>-1.6173419999999999E-3</v>
      </c>
      <c r="AA3479">
        <v>0.99989819999999996</v>
      </c>
      <c r="AB3479">
        <v>41</v>
      </c>
      <c r="AC3479">
        <v>-14.7129999999999</v>
      </c>
      <c r="AD3479">
        <v>-1.109861778745</v>
      </c>
      <c r="AE3479">
        <v>4.7000000000139101E-3</v>
      </c>
      <c r="AF3479">
        <v>-0.2141392005295</v>
      </c>
      <c r="AG3479">
        <v>-1.109861778745</v>
      </c>
      <c r="AH3479">
        <v>14.6281857579117</v>
      </c>
      <c r="AI3479">
        <v>94.338338613018195</v>
      </c>
      <c r="AJ3479">
        <v>90.8386820020622</v>
      </c>
      <c r="AK3479">
        <v>14.6717915515827</v>
      </c>
      <c r="AL3479">
        <v>80.546866264675302</v>
      </c>
      <c r="AM3479">
        <v>87.796049869925696</v>
      </c>
      <c r="AN3479">
        <v>1.0000000116635901</v>
      </c>
    </row>
    <row r="3480" spans="1:40" x14ac:dyDescent="0.25">
      <c r="A3480" t="str">
        <f>"20190312164336984"</f>
        <v>20190312164336984</v>
      </c>
      <c r="B3480" t="str">
        <f>"1552380216978246"</f>
        <v>1552380216978246</v>
      </c>
      <c r="C3480" t="s">
        <v>40</v>
      </c>
      <c r="D3480">
        <v>4.7308770000000004</v>
      </c>
      <c r="E3480">
        <v>0.48517460000000001</v>
      </c>
      <c r="F3480" t="s">
        <v>49</v>
      </c>
      <c r="G3480">
        <v>-303.2604</v>
      </c>
      <c r="H3480" s="1">
        <v>-8.8469720000000002E-6</v>
      </c>
      <c r="I3480">
        <v>140.69980000000001</v>
      </c>
      <c r="J3480">
        <v>-288.47579999999999</v>
      </c>
      <c r="K3480">
        <v>1.109855</v>
      </c>
      <c r="L3480">
        <v>140.71260000000001</v>
      </c>
      <c r="M3480">
        <v>-0.9998127</v>
      </c>
      <c r="N3480">
        <v>0</v>
      </c>
      <c r="O3480">
        <v>1.495551E-2</v>
      </c>
      <c r="P3480">
        <v>-0.98692869999999999</v>
      </c>
      <c r="Q3480">
        <v>0.152058</v>
      </c>
      <c r="R3480">
        <v>5.3387160000000003E-2</v>
      </c>
      <c r="S3480">
        <v>-3.0742799999999999</v>
      </c>
      <c r="T3480">
        <v>-0.22431280000000001</v>
      </c>
      <c r="U3480">
        <v>-1.296997E-3</v>
      </c>
      <c r="V3480">
        <v>3.862268E-2</v>
      </c>
      <c r="W3480">
        <v>0.1641821</v>
      </c>
      <c r="X3480">
        <v>0.98567369999999999</v>
      </c>
      <c r="Y3480">
        <v>-1.5298050000000001E-2</v>
      </c>
      <c r="Z3480">
        <v>-1.647188E-3</v>
      </c>
      <c r="AA3480">
        <v>0.99988160000000004</v>
      </c>
      <c r="AB3480">
        <v>41</v>
      </c>
      <c r="AC3480">
        <v>-14.784599999999999</v>
      </c>
      <c r="AD3480">
        <v>-1.1098638469719999</v>
      </c>
      <c r="AE3480">
        <v>-1.27999999999985E-2</v>
      </c>
      <c r="AF3480">
        <v>-0.232615618347606</v>
      </c>
      <c r="AG3480">
        <v>-1.1098638469719999</v>
      </c>
      <c r="AH3480">
        <v>14.699915811541301</v>
      </c>
      <c r="AI3480">
        <v>94.317179760180295</v>
      </c>
      <c r="AJ3480">
        <v>90.906588925279806</v>
      </c>
      <c r="AK3480">
        <v>14.743589544311</v>
      </c>
      <c r="AL3480">
        <v>80.550276253968207</v>
      </c>
      <c r="AM3480">
        <v>87.756067715931394</v>
      </c>
      <c r="AN3480">
        <v>1.0000000581212301</v>
      </c>
    </row>
    <row r="3481" spans="1:40" x14ac:dyDescent="0.25">
      <c r="A3481" t="str">
        <f>"20190312164337007"</f>
        <v>20190312164337007</v>
      </c>
      <c r="B3481" t="str">
        <f>"1552380216998742"</f>
        <v>1552380216998742</v>
      </c>
      <c r="C3481" t="s">
        <v>40</v>
      </c>
      <c r="D3481">
        <v>4.6702110000000001</v>
      </c>
      <c r="E3481">
        <v>0.4850545</v>
      </c>
      <c r="F3481" t="s">
        <v>41</v>
      </c>
      <c r="G3481">
        <v>-289.54969999999997</v>
      </c>
      <c r="H3481">
        <v>1.0358099999999999</v>
      </c>
      <c r="I3481">
        <v>140.71420000000001</v>
      </c>
      <c r="J3481">
        <v>-288.91719999999998</v>
      </c>
      <c r="K3481">
        <v>1.1098570000000001</v>
      </c>
      <c r="L3481">
        <v>140.7192</v>
      </c>
      <c r="M3481">
        <v>-0.9998129</v>
      </c>
      <c r="N3481">
        <v>0</v>
      </c>
      <c r="O3481">
        <v>1.495459E-2</v>
      </c>
      <c r="P3481">
        <v>-0.98683489999999996</v>
      </c>
      <c r="Q3481">
        <v>0.1524558</v>
      </c>
      <c r="R3481">
        <v>5.3984820000000003E-2</v>
      </c>
      <c r="S3481">
        <v>-3.072174</v>
      </c>
      <c r="T3481">
        <v>-0.21195269999999999</v>
      </c>
      <c r="U3481">
        <v>3.7231450000000002E-3</v>
      </c>
      <c r="V3481">
        <v>3.9223750000000002E-2</v>
      </c>
      <c r="W3481">
        <v>0.1645701</v>
      </c>
      <c r="X3481">
        <v>0.98558520000000005</v>
      </c>
      <c r="Y3481">
        <v>-1.3675899999999901E-2</v>
      </c>
      <c r="Z3481">
        <v>-1.501753E-3</v>
      </c>
      <c r="AA3481">
        <v>0.9999053</v>
      </c>
      <c r="AB3481">
        <v>41</v>
      </c>
      <c r="AC3481">
        <v>-0.63249999999999296</v>
      </c>
      <c r="AD3481">
        <v>-7.4046999999999696E-2</v>
      </c>
      <c r="AE3481">
        <v>-4.9999999999954499E-3</v>
      </c>
      <c r="AF3481">
        <v>-1.4263455808512199E-2</v>
      </c>
      <c r="AG3481">
        <v>-7.4046999999999696E-2</v>
      </c>
      <c r="AH3481">
        <v>0.623805468969168</v>
      </c>
      <c r="AI3481">
        <v>96.767699415811904</v>
      </c>
      <c r="AJ3481">
        <v>91.309852962712299</v>
      </c>
      <c r="AK3481">
        <v>0.628346773284024</v>
      </c>
      <c r="AL3481">
        <v>80.527738411232704</v>
      </c>
      <c r="AM3481">
        <v>87.720978381104601</v>
      </c>
      <c r="AN3481">
        <v>1.0000000034185501</v>
      </c>
    </row>
    <row r="3482" spans="1:40" x14ac:dyDescent="0.25">
      <c r="A3482" t="str">
        <f>"20190312164337028"</f>
        <v>20190312164337028</v>
      </c>
      <c r="B3482" t="str">
        <f>"1552380217018262"</f>
        <v>1552380217018262</v>
      </c>
      <c r="C3482" t="s">
        <v>40</v>
      </c>
      <c r="D3482">
        <v>4.5874439999999996</v>
      </c>
      <c r="E3482">
        <v>0.48499429999999999</v>
      </c>
      <c r="F3482" t="s">
        <v>49</v>
      </c>
      <c r="G3482">
        <v>-305.55720000000002</v>
      </c>
      <c r="H3482" s="1">
        <v>-9.1890350000000004E-6</v>
      </c>
      <c r="I3482">
        <v>140.74090000000001</v>
      </c>
      <c r="J3482">
        <v>-289.32209999999998</v>
      </c>
      <c r="K3482">
        <v>1.1098589999999999</v>
      </c>
      <c r="L3482">
        <v>140.7253</v>
      </c>
      <c r="M3482">
        <v>-0.9998129</v>
      </c>
      <c r="N3482">
        <v>0</v>
      </c>
      <c r="O3482">
        <v>1.4953289999999999E-2</v>
      </c>
      <c r="P3482">
        <v>-0.98669479999999998</v>
      </c>
      <c r="Q3482">
        <v>0.1531247</v>
      </c>
      <c r="R3482">
        <v>5.4648099999999998E-2</v>
      </c>
      <c r="S3482">
        <v>-3.0714419999999998</v>
      </c>
      <c r="T3482">
        <v>-0.2048616</v>
      </c>
      <c r="U3482">
        <v>3.9978030000000003E-3</v>
      </c>
      <c r="V3482">
        <v>3.989094E-2</v>
      </c>
      <c r="W3482">
        <v>0.1652304</v>
      </c>
      <c r="X3482">
        <v>0.98544790000000004</v>
      </c>
      <c r="Y3482">
        <v>-1.3589520000000001E-2</v>
      </c>
      <c r="Z3482">
        <v>-1.449004E-3</v>
      </c>
      <c r="AA3482">
        <v>0.99990659999999998</v>
      </c>
      <c r="AB3482">
        <v>41</v>
      </c>
      <c r="AC3482">
        <v>-16.235099999999999</v>
      </c>
      <c r="AD3482">
        <v>-1.109868189035</v>
      </c>
      <c r="AE3482">
        <v>1.5600000000006199E-2</v>
      </c>
      <c r="AF3482">
        <v>-0.226131379862063</v>
      </c>
      <c r="AG3482">
        <v>-1.109868189035</v>
      </c>
      <c r="AH3482">
        <v>16.158005085814899</v>
      </c>
      <c r="AI3482">
        <v>93.929002270881398</v>
      </c>
      <c r="AJ3482">
        <v>90.801802439896093</v>
      </c>
      <c r="AK3482">
        <v>16.197656347484699</v>
      </c>
      <c r="AL3482">
        <v>80.489380561675304</v>
      </c>
      <c r="AM3482">
        <v>87.681931921620205</v>
      </c>
      <c r="AN3482">
        <v>0.99999996789632595</v>
      </c>
    </row>
    <row r="3483" spans="1:40" x14ac:dyDescent="0.25">
      <c r="A3483" t="str">
        <f>"20190312164337050"</f>
        <v>20190312164337050</v>
      </c>
      <c r="B3483" t="str">
        <f>"1552380217037782"</f>
        <v>1552380217037782</v>
      </c>
      <c r="C3483" t="s">
        <v>40</v>
      </c>
      <c r="D3483">
        <v>4.5927100000000003</v>
      </c>
      <c r="E3483">
        <v>0.4849366</v>
      </c>
      <c r="F3483" t="s">
        <v>49</v>
      </c>
      <c r="G3483">
        <v>-306.65910000000002</v>
      </c>
      <c r="H3483" s="1">
        <v>-9.3513540000000008E-6</v>
      </c>
      <c r="I3483">
        <v>140.75450000000001</v>
      </c>
      <c r="J3483">
        <v>-289.70679999999999</v>
      </c>
      <c r="K3483">
        <v>1.1098539999999999</v>
      </c>
      <c r="L3483">
        <v>140.73099999999999</v>
      </c>
      <c r="M3483">
        <v>-0.99981299999999995</v>
      </c>
      <c r="N3483">
        <v>0</v>
      </c>
      <c r="O3483">
        <v>1.4949499999999999E-2</v>
      </c>
      <c r="P3483">
        <v>-0.98661540000000003</v>
      </c>
      <c r="Q3483">
        <v>0.153504</v>
      </c>
      <c r="R3483">
        <v>5.5014489999999999E-2</v>
      </c>
      <c r="S3483">
        <v>-3.0706790000000002</v>
      </c>
      <c r="T3483">
        <v>-0.19657620000000001</v>
      </c>
      <c r="U3483">
        <v>5.1879880000000001E-3</v>
      </c>
      <c r="V3483">
        <v>4.0261970000000001E-2</v>
      </c>
      <c r="W3483">
        <v>0.1656029</v>
      </c>
      <c r="X3483">
        <v>0.98537030000000003</v>
      </c>
      <c r="Y3483">
        <v>-1.3203640000000001E-2</v>
      </c>
      <c r="Z3483">
        <v>-1.3782849999999999E-3</v>
      </c>
      <c r="AA3483">
        <v>0.99991189999999996</v>
      </c>
      <c r="AB3483">
        <v>41</v>
      </c>
      <c r="AC3483">
        <v>-16.952300000000001</v>
      </c>
      <c r="AD3483">
        <v>-1.1098633513539999</v>
      </c>
      <c r="AE3483">
        <v>2.3500000000012702E-2</v>
      </c>
      <c r="AF3483">
        <v>-0.22896868039898099</v>
      </c>
      <c r="AG3483">
        <v>-1.1098633513539999</v>
      </c>
      <c r="AH3483">
        <v>16.8784109742463</v>
      </c>
      <c r="AI3483">
        <v>93.761802263176307</v>
      </c>
      <c r="AJ3483">
        <v>90.7772138251743</v>
      </c>
      <c r="AK3483">
        <v>16.9164115677894</v>
      </c>
      <c r="AL3483">
        <v>80.467739942141193</v>
      </c>
      <c r="AM3483">
        <v>87.660211121153793</v>
      </c>
      <c r="AN3483">
        <v>0.99999998741939</v>
      </c>
    </row>
    <row r="3484" spans="1:40" x14ac:dyDescent="0.25">
      <c r="A3484" t="str">
        <f>"20190312164337071"</f>
        <v>20190312164337071</v>
      </c>
      <c r="B3484" t="str">
        <f>"1552380217068039"</f>
        <v>1552380217068039</v>
      </c>
      <c r="C3484" t="s">
        <v>40</v>
      </c>
      <c r="D3484">
        <v>4.5750679999999999</v>
      </c>
      <c r="E3484">
        <v>0.48469119999999999</v>
      </c>
      <c r="F3484" t="s">
        <v>49</v>
      </c>
      <c r="G3484">
        <v>-307.4316</v>
      </c>
      <c r="H3484" s="1">
        <v>-9.4648570000000005E-6</v>
      </c>
      <c r="I3484">
        <v>140.76320000000001</v>
      </c>
      <c r="J3484">
        <v>-290.11320000000001</v>
      </c>
      <c r="K3484">
        <v>1.1098520000000001</v>
      </c>
      <c r="L3484">
        <v>140.7371</v>
      </c>
      <c r="M3484">
        <v>-0.99981330000000002</v>
      </c>
      <c r="N3484">
        <v>0</v>
      </c>
      <c r="O3484">
        <v>1.493791E-2</v>
      </c>
      <c r="P3484">
        <v>-0.98659660000000005</v>
      </c>
      <c r="Q3484">
        <v>0.15340699999999999</v>
      </c>
      <c r="R3484">
        <v>5.5621579999999997E-2</v>
      </c>
      <c r="S3484">
        <v>-3.0703130000000001</v>
      </c>
      <c r="T3484">
        <v>-0.19225120000000001</v>
      </c>
      <c r="U3484">
        <v>5.5694580000000002E-3</v>
      </c>
      <c r="V3484">
        <v>4.0879329999999998E-2</v>
      </c>
      <c r="W3484">
        <v>0.165500799999999</v>
      </c>
      <c r="X3484">
        <v>0.98536210000000002</v>
      </c>
      <c r="Y3484">
        <v>-1.3070389999999999E-2</v>
      </c>
      <c r="Z3484">
        <v>-1.343288E-3</v>
      </c>
      <c r="AA3484">
        <v>0.99991370000000002</v>
      </c>
      <c r="AB3484">
        <v>41</v>
      </c>
      <c r="AC3484">
        <v>-17.318399999999901</v>
      </c>
      <c r="AD3484">
        <v>-1.109861464857</v>
      </c>
      <c r="AE3484">
        <v>2.6100000000013699E-2</v>
      </c>
      <c r="AF3484">
        <v>-0.23167157972765501</v>
      </c>
      <c r="AG3484">
        <v>-1.109861464857</v>
      </c>
      <c r="AH3484">
        <v>17.246028447458102</v>
      </c>
      <c r="AI3484">
        <v>93.681838718517994</v>
      </c>
      <c r="AJ3484">
        <v>90.769626783343995</v>
      </c>
      <c r="AK3484">
        <v>17.2832566781426</v>
      </c>
      <c r="AL3484">
        <v>80.473672306940699</v>
      </c>
      <c r="AM3484">
        <v>87.624354837111099</v>
      </c>
      <c r="AN3484">
        <v>1.00000005126914</v>
      </c>
    </row>
    <row r="3485" spans="1:40" x14ac:dyDescent="0.25">
      <c r="A3485" t="str">
        <f>"20190312164337095"</f>
        <v>20190312164337095</v>
      </c>
      <c r="B3485" t="str">
        <f>"1552380217088534"</f>
        <v>1552380217088534</v>
      </c>
      <c r="C3485" t="s">
        <v>40</v>
      </c>
      <c r="D3485">
        <v>4.5160980000000004</v>
      </c>
      <c r="E3485">
        <v>0.48446669999999997</v>
      </c>
      <c r="F3485" t="s">
        <v>49</v>
      </c>
      <c r="G3485">
        <v>-308.1918</v>
      </c>
      <c r="H3485" s="1">
        <v>-9.5762059999999996E-6</v>
      </c>
      <c r="I3485">
        <v>140.7705</v>
      </c>
      <c r="J3485">
        <v>-290.53750000000002</v>
      </c>
      <c r="K3485">
        <v>1.109855</v>
      </c>
      <c r="L3485">
        <v>140.74340000000001</v>
      </c>
      <c r="M3485">
        <v>-0.99981359999999997</v>
      </c>
      <c r="N3485">
        <v>0</v>
      </c>
      <c r="O3485">
        <v>1.491578E-2</v>
      </c>
      <c r="P3485">
        <v>-0.9865448</v>
      </c>
      <c r="Q3485">
        <v>0.1535107</v>
      </c>
      <c r="R3485">
        <v>5.624697E-2</v>
      </c>
      <c r="S3485">
        <v>-3.0697329999999998</v>
      </c>
      <c r="T3485">
        <v>-0.18845319999999999</v>
      </c>
      <c r="U3485">
        <v>5.6762699999999998E-3</v>
      </c>
      <c r="V3485">
        <v>4.1524350000000002E-2</v>
      </c>
      <c r="W3485">
        <v>0.16560050000000001</v>
      </c>
      <c r="X3485">
        <v>0.98531829999999998</v>
      </c>
      <c r="Y3485">
        <v>-1.301539E-2</v>
      </c>
      <c r="Z3485">
        <v>-1.314005E-3</v>
      </c>
      <c r="AA3485">
        <v>0.99991439999999998</v>
      </c>
      <c r="AB3485">
        <v>41</v>
      </c>
      <c r="AC3485">
        <v>-17.6542999999999</v>
      </c>
      <c r="AD3485">
        <v>-1.109864576206</v>
      </c>
      <c r="AE3485">
        <v>2.7099999999990101E-2</v>
      </c>
      <c r="AF3485">
        <v>-0.23532042804630801</v>
      </c>
      <c r="AG3485">
        <v>-1.109864576206</v>
      </c>
      <c r="AH3485">
        <v>17.5832476174844</v>
      </c>
      <c r="AI3485">
        <v>93.611428025473899</v>
      </c>
      <c r="AJ3485">
        <v>90.766756105904506</v>
      </c>
      <c r="AK3485">
        <v>17.6198119132738</v>
      </c>
      <c r="AL3485">
        <v>80.467879255619906</v>
      </c>
      <c r="AM3485">
        <v>87.586807226465595</v>
      </c>
      <c r="AN3485">
        <v>0.99999997477903002</v>
      </c>
    </row>
    <row r="3486" spans="1:40" x14ac:dyDescent="0.25">
      <c r="A3486" t="str">
        <f>"20190312164337117"</f>
        <v>20190312164337117</v>
      </c>
      <c r="B3486" t="str">
        <f>"1552380217108054"</f>
        <v>1552380217108054</v>
      </c>
      <c r="C3486" t="s">
        <v>40</v>
      </c>
      <c r="D3486">
        <v>4.5407469999999996</v>
      </c>
      <c r="E3486">
        <v>0.48413040000000002</v>
      </c>
      <c r="F3486" t="s">
        <v>49</v>
      </c>
      <c r="G3486">
        <v>-308.54059999999998</v>
      </c>
      <c r="H3486" s="1">
        <v>-9.6280759999999995E-6</v>
      </c>
      <c r="I3486">
        <v>140.7765</v>
      </c>
      <c r="J3486">
        <v>-290.96940000000001</v>
      </c>
      <c r="K3486">
        <v>1.109869</v>
      </c>
      <c r="L3486">
        <v>140.74979999999999</v>
      </c>
      <c r="M3486">
        <v>-0.99981419999999999</v>
      </c>
      <c r="N3486">
        <v>0</v>
      </c>
      <c r="O3486">
        <v>1.488253E-2</v>
      </c>
      <c r="P3486">
        <v>-0.98654649999999999</v>
      </c>
      <c r="Q3486">
        <v>0.15332270000000001</v>
      </c>
      <c r="R3486">
        <v>5.6729889999999998E-2</v>
      </c>
      <c r="S3486">
        <v>-3.0700069999999999</v>
      </c>
      <c r="T3486">
        <v>-0.18926200000000001</v>
      </c>
      <c r="U3486">
        <v>5.6457520000000004E-3</v>
      </c>
      <c r="V3486">
        <v>4.2036240000000002E-2</v>
      </c>
      <c r="W3486">
        <v>0.16540959999999999</v>
      </c>
      <c r="X3486">
        <v>0.98532869999999995</v>
      </c>
      <c r="Y3486">
        <v>-1.2991910000000001E-2</v>
      </c>
      <c r="Z3486">
        <v>-1.3167459999999999E-3</v>
      </c>
      <c r="AA3486">
        <v>0.99991470000000005</v>
      </c>
      <c r="AB3486">
        <v>41</v>
      </c>
      <c r="AC3486">
        <v>-17.571199999999902</v>
      </c>
      <c r="AD3486">
        <v>-1.109878628076</v>
      </c>
      <c r="AE3486">
        <v>2.6700000000005199E-2</v>
      </c>
      <c r="AF3486">
        <v>-0.23389331458041601</v>
      </c>
      <c r="AG3486">
        <v>-1.109878628076</v>
      </c>
      <c r="AH3486">
        <v>17.499830890656799</v>
      </c>
      <c r="AI3486">
        <v>93.628643471335195</v>
      </c>
      <c r="AJ3486">
        <v>90.765738936567203</v>
      </c>
      <c r="AK3486">
        <v>17.536550910975901</v>
      </c>
      <c r="AL3486">
        <v>80.478970351239695</v>
      </c>
      <c r="AM3486">
        <v>87.557120249594405</v>
      </c>
      <c r="AN3486">
        <v>1.0000000141445899</v>
      </c>
    </row>
    <row r="3487" spans="1:40" x14ac:dyDescent="0.25">
      <c r="A3487" t="str">
        <f>"20190312164337139"</f>
        <v>20190312164337139</v>
      </c>
      <c r="B3487" t="str">
        <f>"1552380217128549"</f>
        <v>1552380217128549</v>
      </c>
      <c r="C3487" t="s">
        <v>40</v>
      </c>
      <c r="D3487">
        <v>4.6919709999999997</v>
      </c>
      <c r="E3487">
        <v>0.48402469999999997</v>
      </c>
      <c r="F3487" t="s">
        <v>49</v>
      </c>
      <c r="G3487">
        <v>-308.82310000000001</v>
      </c>
      <c r="H3487" s="1">
        <v>-9.6679400000000005E-6</v>
      </c>
      <c r="I3487">
        <v>140.7741</v>
      </c>
      <c r="J3487">
        <v>-291.35219999999998</v>
      </c>
      <c r="K3487">
        <v>1.1098680000000001</v>
      </c>
      <c r="L3487">
        <v>140.75550000000001</v>
      </c>
      <c r="M3487">
        <v>-0.9998148</v>
      </c>
      <c r="N3487">
        <v>0</v>
      </c>
      <c r="O3487">
        <v>1.484393E-2</v>
      </c>
      <c r="P3487">
        <v>-0.98647720000000005</v>
      </c>
      <c r="Q3487">
        <v>0.15346089999999901</v>
      </c>
      <c r="R3487">
        <v>5.7554349999999997E-2</v>
      </c>
      <c r="S3487">
        <v>-3.0703740000000002</v>
      </c>
      <c r="T3487">
        <v>-0.19087080000000001</v>
      </c>
      <c r="U3487">
        <v>4.1809079999999997E-3</v>
      </c>
      <c r="V3487">
        <v>4.2896490000000002E-2</v>
      </c>
      <c r="W3487">
        <v>0.16554449999999901</v>
      </c>
      <c r="X3487">
        <v>0.98526899999999995</v>
      </c>
      <c r="Y3487">
        <v>-1.342891E-2</v>
      </c>
      <c r="Z3487">
        <v>-1.3389319999999999E-3</v>
      </c>
      <c r="AA3487">
        <v>0.99990889999999999</v>
      </c>
      <c r="AB3487">
        <v>41</v>
      </c>
      <c r="AC3487">
        <v>-17.4709</v>
      </c>
      <c r="AD3487">
        <v>-1.10987766794</v>
      </c>
      <c r="AE3487">
        <v>1.8599999999992099E-2</v>
      </c>
      <c r="AF3487">
        <v>-0.239790598138403</v>
      </c>
      <c r="AG3487">
        <v>-1.10987766794</v>
      </c>
      <c r="AH3487">
        <v>17.3990336052373</v>
      </c>
      <c r="AI3487">
        <v>93.649584811025306</v>
      </c>
      <c r="AJ3487">
        <v>90.789590950545801</v>
      </c>
      <c r="AK3487">
        <v>17.436045949839801</v>
      </c>
      <c r="AL3487">
        <v>80.471133413301104</v>
      </c>
      <c r="AM3487">
        <v>87.507039551238194</v>
      </c>
      <c r="AN3487">
        <v>1.0000000463477801</v>
      </c>
    </row>
    <row r="3488" spans="1:40" x14ac:dyDescent="0.25">
      <c r="A3488" t="str">
        <f>"20190312164337160"</f>
        <v>20190312164337160</v>
      </c>
      <c r="B3488" t="str">
        <f>"1552380217148070"</f>
        <v>1552380217148070</v>
      </c>
      <c r="C3488" t="s">
        <v>40</v>
      </c>
      <c r="D3488">
        <v>4.5295199999999998</v>
      </c>
      <c r="E3488">
        <v>0.48401759999999999</v>
      </c>
      <c r="F3488" t="s">
        <v>49</v>
      </c>
      <c r="G3488">
        <v>-309.18360000000001</v>
      </c>
      <c r="H3488" s="1">
        <v>-9.7238949999999998E-6</v>
      </c>
      <c r="I3488">
        <v>140.78819999999999</v>
      </c>
      <c r="J3488">
        <v>-291.7527</v>
      </c>
      <c r="K3488">
        <v>1.1098760000000001</v>
      </c>
      <c r="L3488">
        <v>140.76140000000001</v>
      </c>
      <c r="M3488">
        <v>-0.99981549999999997</v>
      </c>
      <c r="N3488">
        <v>0</v>
      </c>
      <c r="O3488">
        <v>1.479631E-2</v>
      </c>
      <c r="P3488">
        <v>-0.98643150000000002</v>
      </c>
      <c r="Q3488">
        <v>0.1535041</v>
      </c>
      <c r="R3488">
        <v>5.8219949999999999E-2</v>
      </c>
      <c r="S3488">
        <v>-3.0705260000000001</v>
      </c>
      <c r="T3488">
        <v>-0.19111839999999999</v>
      </c>
      <c r="U3488">
        <v>5.6304930000000003E-3</v>
      </c>
      <c r="V3488">
        <v>4.3606869999999999E-2</v>
      </c>
      <c r="W3488">
        <v>0.16558919999999999</v>
      </c>
      <c r="X3488">
        <v>0.9852303</v>
      </c>
      <c r="Y3488">
        <v>-1.291025E-2</v>
      </c>
      <c r="Z3488">
        <v>-1.321511E-3</v>
      </c>
      <c r="AA3488">
        <v>0.99991580000000002</v>
      </c>
      <c r="AB3488">
        <v>41</v>
      </c>
      <c r="AC3488">
        <v>-17.430900000000001</v>
      </c>
      <c r="AD3488">
        <v>-1.109885723895</v>
      </c>
      <c r="AE3488">
        <v>2.67999999999801E-2</v>
      </c>
      <c r="AF3488">
        <v>-0.230201976567325</v>
      </c>
      <c r="AG3488">
        <v>-1.109885723895</v>
      </c>
      <c r="AH3488">
        <v>17.3590094676711</v>
      </c>
      <c r="AI3488">
        <v>93.658028880297493</v>
      </c>
      <c r="AJ3488">
        <v>90.759768500761396</v>
      </c>
      <c r="AK3488">
        <v>17.395977953791999</v>
      </c>
      <c r="AL3488">
        <v>80.468536419538196</v>
      </c>
      <c r="AM3488">
        <v>87.465709275757703</v>
      </c>
      <c r="AN3488">
        <v>1.0000000431529601</v>
      </c>
    </row>
    <row r="3489" spans="1:40" x14ac:dyDescent="0.25">
      <c r="A3489" t="str">
        <f>"20190312164337185"</f>
        <v>20190312164337185</v>
      </c>
      <c r="B3489" t="str">
        <f>"1552380217178326"</f>
        <v>1552380217178326</v>
      </c>
      <c r="C3489" t="s">
        <v>40</v>
      </c>
      <c r="D3489">
        <v>4.5088369999999998</v>
      </c>
      <c r="E3489">
        <v>0.48396499999999998</v>
      </c>
      <c r="F3489" t="s">
        <v>49</v>
      </c>
      <c r="G3489">
        <v>-309.63560000000001</v>
      </c>
      <c r="H3489" s="1">
        <v>-9.7929519999999996E-6</v>
      </c>
      <c r="I3489">
        <v>140.8022</v>
      </c>
      <c r="J3489">
        <v>-292.19040000000001</v>
      </c>
      <c r="K3489">
        <v>1.10989</v>
      </c>
      <c r="L3489">
        <v>140.7679</v>
      </c>
      <c r="M3489">
        <v>-0.99981629999999999</v>
      </c>
      <c r="N3489">
        <v>0</v>
      </c>
      <c r="O3489">
        <v>1.473728E-2</v>
      </c>
      <c r="P3489">
        <v>-0.98631599999999997</v>
      </c>
      <c r="Q3489">
        <v>0.1539005</v>
      </c>
      <c r="R3489">
        <v>5.9121649999999998E-2</v>
      </c>
      <c r="S3489">
        <v>-3.0705260000000001</v>
      </c>
      <c r="T3489">
        <v>-0.1905694</v>
      </c>
      <c r="U3489">
        <v>6.9885249999999998E-3</v>
      </c>
      <c r="V3489">
        <v>4.4565630000000002E-2</v>
      </c>
      <c r="W3489">
        <v>0.16599129999999901</v>
      </c>
      <c r="X3489">
        <v>0.98511970000000004</v>
      </c>
      <c r="Y3489">
        <v>-1.241037E-2</v>
      </c>
      <c r="Z3489">
        <v>-1.2985640000000001E-3</v>
      </c>
      <c r="AA3489">
        <v>0.99992219999999998</v>
      </c>
      <c r="AB3489">
        <v>41</v>
      </c>
      <c r="AC3489">
        <v>-17.4452</v>
      </c>
      <c r="AD3489">
        <v>-1.109899792952</v>
      </c>
      <c r="AE3489">
        <v>3.4300000000001697E-2</v>
      </c>
      <c r="AF3489">
        <v>-0.22191955441007399</v>
      </c>
      <c r="AG3489">
        <v>-1.109899792952</v>
      </c>
      <c r="AH3489">
        <v>17.373487123194799</v>
      </c>
      <c r="AI3489">
        <v>93.655058188820107</v>
      </c>
      <c r="AJ3489">
        <v>90.731825585834301</v>
      </c>
      <c r="AK3489">
        <v>17.410318223939498</v>
      </c>
      <c r="AL3489">
        <v>80.445174212807004</v>
      </c>
      <c r="AM3489">
        <v>87.409773913827493</v>
      </c>
      <c r="AN3489">
        <v>1.0000000151905299</v>
      </c>
    </row>
    <row r="3490" spans="1:40" x14ac:dyDescent="0.25">
      <c r="A3490" t="str">
        <f>"20190312164337207"</f>
        <v>20190312164337207</v>
      </c>
      <c r="B3490" t="str">
        <f>"1552380217197846"</f>
        <v>1552380217197846</v>
      </c>
      <c r="C3490" t="s">
        <v>40</v>
      </c>
      <c r="D3490">
        <v>4.4921810000000004</v>
      </c>
      <c r="E3490">
        <v>0.48385889999999998</v>
      </c>
      <c r="F3490" t="s">
        <v>49</v>
      </c>
      <c r="G3490">
        <v>-310.42200000000003</v>
      </c>
      <c r="H3490" s="1">
        <v>-9.6386419999999994E-6</v>
      </c>
      <c r="I3490">
        <v>140.82</v>
      </c>
      <c r="J3490">
        <v>-292.62360000000001</v>
      </c>
      <c r="K3490">
        <v>1.1098969999999999</v>
      </c>
      <c r="L3490">
        <v>140.77420000000001</v>
      </c>
      <c r="M3490">
        <v>-0.99981710000000001</v>
      </c>
      <c r="N3490">
        <v>0</v>
      </c>
      <c r="O3490">
        <v>1.467542E-2</v>
      </c>
      <c r="P3490">
        <v>-0.98621639999999999</v>
      </c>
      <c r="Q3490">
        <v>0.15419649999999999</v>
      </c>
      <c r="R3490">
        <v>6.0006410000000003E-2</v>
      </c>
      <c r="S3490">
        <v>-3.0702820000000002</v>
      </c>
      <c r="T3490">
        <v>-0.18691150000000001</v>
      </c>
      <c r="U3490">
        <v>8.7738039999999996E-3</v>
      </c>
      <c r="V3490">
        <v>4.5510849999999999E-2</v>
      </c>
      <c r="W3490">
        <v>0.1662931</v>
      </c>
      <c r="X3490">
        <v>0.98502559999999995</v>
      </c>
      <c r="Y3490">
        <v>-1.177017E-2</v>
      </c>
      <c r="Z3490">
        <v>-1.250553E-3</v>
      </c>
      <c r="AA3490">
        <v>0.99992999999999999</v>
      </c>
      <c r="AB3490">
        <v>41</v>
      </c>
      <c r="AC3490">
        <v>-17.798400000000001</v>
      </c>
      <c r="AD3490">
        <v>-1.109906638642</v>
      </c>
      <c r="AE3490">
        <v>4.5799999999985602E-2</v>
      </c>
      <c r="AF3490">
        <v>-0.21458909282742</v>
      </c>
      <c r="AG3490">
        <v>-1.109906638642</v>
      </c>
      <c r="AH3490">
        <v>17.728214901050102</v>
      </c>
      <c r="AI3490">
        <v>93.582167449557005</v>
      </c>
      <c r="AJ3490">
        <v>90.693496158289804</v>
      </c>
      <c r="AK3490">
        <v>17.7642209174249</v>
      </c>
      <c r="AL3490">
        <v>80.427638802212996</v>
      </c>
      <c r="AM3490">
        <v>87.354661095409099</v>
      </c>
      <c r="AN3490">
        <v>1.00000003261534</v>
      </c>
    </row>
    <row r="3491" spans="1:40" x14ac:dyDescent="0.25">
      <c r="A3491" t="str">
        <f>"20190312164337230"</f>
        <v>20190312164337230</v>
      </c>
      <c r="B3491" t="str">
        <f>"1552380217218342"</f>
        <v>1552380217218342</v>
      </c>
      <c r="C3491" t="s">
        <v>40</v>
      </c>
      <c r="D3491">
        <v>4.5595049999999997</v>
      </c>
      <c r="E3491">
        <v>0.48384179999999999</v>
      </c>
      <c r="F3491" t="s">
        <v>49</v>
      </c>
      <c r="G3491">
        <v>-310.99740000000003</v>
      </c>
      <c r="H3491" s="1">
        <v>-9.4175269999999997E-6</v>
      </c>
      <c r="I3491">
        <v>140.83779999999999</v>
      </c>
      <c r="J3491">
        <v>-293.02170000000001</v>
      </c>
      <c r="K3491">
        <v>1.1099030000000001</v>
      </c>
      <c r="L3491">
        <v>140.78</v>
      </c>
      <c r="M3491">
        <v>-0.99981799999999998</v>
      </c>
      <c r="N3491">
        <v>0</v>
      </c>
      <c r="O3491">
        <v>1.4617099999999999E-2</v>
      </c>
      <c r="P3491">
        <v>-0.98610989999999998</v>
      </c>
      <c r="Q3491">
        <v>0.1547277</v>
      </c>
      <c r="R3491">
        <v>6.0389369999999998E-2</v>
      </c>
      <c r="S3491">
        <v>-3.0703130000000001</v>
      </c>
      <c r="T3491">
        <v>-0.18546869999999999</v>
      </c>
      <c r="U3491">
        <v>1.062012E-2</v>
      </c>
      <c r="V3491">
        <v>4.595146E-2</v>
      </c>
      <c r="W3491">
        <v>0.16682820000000001</v>
      </c>
      <c r="X3491">
        <v>0.98491459999999997</v>
      </c>
      <c r="Y3491">
        <v>-1.111263E-2</v>
      </c>
      <c r="Z3491">
        <v>-1.2175420000000001E-3</v>
      </c>
      <c r="AA3491">
        <v>0.99993750000000003</v>
      </c>
      <c r="AB3491">
        <v>41</v>
      </c>
      <c r="AC3491">
        <v>-17.9757</v>
      </c>
      <c r="AD3491">
        <v>-1.1099124175270001</v>
      </c>
      <c r="AE3491">
        <v>5.7799999999986001E-2</v>
      </c>
      <c r="AF3491">
        <v>-0.20420003222448799</v>
      </c>
      <c r="AG3491">
        <v>-1.1099124175270001</v>
      </c>
      <c r="AH3491">
        <v>17.9063575550495</v>
      </c>
      <c r="AI3491">
        <v>93.546668971072293</v>
      </c>
      <c r="AJ3491">
        <v>90.653359727439906</v>
      </c>
      <c r="AK3491">
        <v>17.941885188491799</v>
      </c>
      <c r="AL3491">
        <v>80.396544957607205</v>
      </c>
      <c r="AM3491">
        <v>87.328786771072899</v>
      </c>
      <c r="AN3491">
        <v>0.99999997714226496</v>
      </c>
    </row>
    <row r="3492" spans="1:40" x14ac:dyDescent="0.25">
      <c r="A3492" t="str">
        <f>"20190312164337250"</f>
        <v>20190312164337250</v>
      </c>
      <c r="B3492" t="str">
        <f>"1552380217237863"</f>
        <v>1552380217237863</v>
      </c>
      <c r="C3492" t="s">
        <v>40</v>
      </c>
      <c r="D3492">
        <v>4.5742760000000002</v>
      </c>
      <c r="E3492">
        <v>0.4837071</v>
      </c>
      <c r="F3492" t="s">
        <v>49</v>
      </c>
      <c r="G3492">
        <v>-311.64179999999999</v>
      </c>
      <c r="H3492" s="1">
        <v>-9.1779689999999994E-6</v>
      </c>
      <c r="I3492">
        <v>140.8492</v>
      </c>
      <c r="J3492">
        <v>-293.41219999999998</v>
      </c>
      <c r="K3492">
        <v>1.1099060000000001</v>
      </c>
      <c r="L3492">
        <v>140.78569999999999</v>
      </c>
      <c r="M3492">
        <v>-0.99981869999999995</v>
      </c>
      <c r="N3492">
        <v>0</v>
      </c>
      <c r="O3492">
        <v>1.455945E-2</v>
      </c>
      <c r="P3492">
        <v>-0.9859696</v>
      </c>
      <c r="Q3492">
        <v>0.1554556</v>
      </c>
      <c r="R3492">
        <v>6.0807779999999999E-2</v>
      </c>
      <c r="S3492">
        <v>-3.0702820000000002</v>
      </c>
      <c r="T3492">
        <v>-0.1830137</v>
      </c>
      <c r="U3492">
        <v>1.141357E-2</v>
      </c>
      <c r="V3492">
        <v>4.642752E-2</v>
      </c>
      <c r="W3492">
        <v>0.16755970000000001</v>
      </c>
      <c r="X3492">
        <v>0.98476810000000004</v>
      </c>
      <c r="Y3492">
        <v>-1.079842E-2</v>
      </c>
      <c r="Z3492">
        <v>-1.1886749999999999E-3</v>
      </c>
      <c r="AA3492">
        <v>0.99994099999999997</v>
      </c>
      <c r="AB3492">
        <v>41</v>
      </c>
      <c r="AC3492">
        <v>-18.229600000000001</v>
      </c>
      <c r="AD3492">
        <v>-1.109915177969</v>
      </c>
      <c r="AE3492">
        <v>6.3500000000004705E-2</v>
      </c>
      <c r="AF3492">
        <v>-0.201193846639628</v>
      </c>
      <c r="AG3492">
        <v>-1.109915177969</v>
      </c>
      <c r="AH3492">
        <v>18.1612686409619</v>
      </c>
      <c r="AI3492">
        <v>93.497033873527201</v>
      </c>
      <c r="AJ3492">
        <v>90.634707132058793</v>
      </c>
      <c r="AK3492">
        <v>18.196265257337799</v>
      </c>
      <c r="AL3492">
        <v>80.354034837507399</v>
      </c>
      <c r="AM3492">
        <v>87.300752639295098</v>
      </c>
      <c r="AN3492">
        <v>0.99999998922752498</v>
      </c>
    </row>
    <row r="3493" spans="1:40" x14ac:dyDescent="0.25">
      <c r="A3493" t="str">
        <f>"20190312164337273"</f>
        <v>20190312164337273</v>
      </c>
      <c r="B3493" t="str">
        <f>"1552380217268118"</f>
        <v>1552380217268118</v>
      </c>
      <c r="C3493" t="s">
        <v>40</v>
      </c>
      <c r="D3493">
        <v>4.7441800000000001</v>
      </c>
      <c r="E3493">
        <v>0.48363630000000002</v>
      </c>
      <c r="F3493" t="s">
        <v>49</v>
      </c>
      <c r="G3493">
        <v>-312.17989999999998</v>
      </c>
      <c r="H3493" s="1">
        <v>-8.9778250000000007E-6</v>
      </c>
      <c r="I3493">
        <v>140.85830000000001</v>
      </c>
      <c r="J3493">
        <v>-293.83409999999998</v>
      </c>
      <c r="K3493">
        <v>1.109912</v>
      </c>
      <c r="L3493">
        <v>140.79179999999999</v>
      </c>
      <c r="M3493">
        <v>-0.99981949999999997</v>
      </c>
      <c r="N3493">
        <v>0</v>
      </c>
      <c r="O3493">
        <v>1.449728E-2</v>
      </c>
      <c r="P3493">
        <v>-0.9858633</v>
      </c>
      <c r="Q3493">
        <v>0.15592349999999999</v>
      </c>
      <c r="R3493">
        <v>6.1330969999999999E-2</v>
      </c>
      <c r="S3493">
        <v>-3.070557</v>
      </c>
      <c r="T3493">
        <v>-0.18159159999999999</v>
      </c>
      <c r="U3493">
        <v>1.1886600000000001E-2</v>
      </c>
      <c r="V3493">
        <v>4.7012489999999997E-2</v>
      </c>
      <c r="W3493">
        <v>0.1680316</v>
      </c>
      <c r="X3493">
        <v>0.98465990000000003</v>
      </c>
      <c r="Y3493">
        <v>-1.058372E-2</v>
      </c>
      <c r="Z3493">
        <v>-1.169333E-3</v>
      </c>
      <c r="AA3493">
        <v>0.99994329999999998</v>
      </c>
      <c r="AB3493">
        <v>41</v>
      </c>
      <c r="AC3493">
        <v>-18.345800000000001</v>
      </c>
      <c r="AD3493">
        <v>-1.1099209778250001</v>
      </c>
      <c r="AE3493">
        <v>6.6500000000019099E-2</v>
      </c>
      <c r="AF3493">
        <v>-0.19876372902887199</v>
      </c>
      <c r="AG3493">
        <v>-1.1099209778250001</v>
      </c>
      <c r="AH3493">
        <v>18.2779349293046</v>
      </c>
      <c r="AI3493">
        <v>93.474793371499601</v>
      </c>
      <c r="AJ3493">
        <v>90.623039416668405</v>
      </c>
      <c r="AK3493">
        <v>18.312682405286399</v>
      </c>
      <c r="AL3493">
        <v>80.326607769699095</v>
      </c>
      <c r="AM3493">
        <v>87.266494463495505</v>
      </c>
      <c r="AN3493">
        <v>0.99999995574128397</v>
      </c>
    </row>
    <row r="3494" spans="1:40" x14ac:dyDescent="0.25">
      <c r="A3494" t="str">
        <f>"20190312164337296"</f>
        <v>20190312164337296</v>
      </c>
      <c r="B3494" t="str">
        <f>"1552380217288614"</f>
        <v>1552380217288614</v>
      </c>
      <c r="C3494" t="s">
        <v>40</v>
      </c>
      <c r="D3494">
        <v>4.4866859999999997</v>
      </c>
      <c r="E3494">
        <v>0.48345709999999997</v>
      </c>
      <c r="F3494" t="s">
        <v>49</v>
      </c>
      <c r="G3494">
        <v>-312.86559999999997</v>
      </c>
      <c r="H3494" s="1">
        <v>-8.7233209999999906E-6</v>
      </c>
      <c r="I3494">
        <v>140.87209999999999</v>
      </c>
      <c r="J3494">
        <v>-294.25170000000003</v>
      </c>
      <c r="K3494">
        <v>1.1099190000000001</v>
      </c>
      <c r="L3494">
        <v>140.7978</v>
      </c>
      <c r="M3494">
        <v>-0.99982040000000005</v>
      </c>
      <c r="N3494">
        <v>0</v>
      </c>
      <c r="O3494">
        <v>1.443648E-2</v>
      </c>
      <c r="P3494">
        <v>-0.98573219999999995</v>
      </c>
      <c r="Q3494">
        <v>0.15657960000000001</v>
      </c>
      <c r="R3494">
        <v>6.1765309999999997E-2</v>
      </c>
      <c r="S3494">
        <v>-3.0704959999999999</v>
      </c>
      <c r="T3494">
        <v>-0.17907210000000001</v>
      </c>
      <c r="U3494">
        <v>1.2954709999999999E-2</v>
      </c>
      <c r="V3494">
        <v>4.7507689999999998E-2</v>
      </c>
      <c r="W3494">
        <v>0.1686916</v>
      </c>
      <c r="X3494">
        <v>0.98452329999999999</v>
      </c>
      <c r="Y3494">
        <v>-1.0177E-2</v>
      </c>
      <c r="Z3494">
        <v>-1.137765E-3</v>
      </c>
      <c r="AA3494">
        <v>0.99994749999999999</v>
      </c>
      <c r="AB3494">
        <v>41</v>
      </c>
      <c r="AC3494">
        <v>-18.613899999999902</v>
      </c>
      <c r="AD3494">
        <v>-1.1099277233210001</v>
      </c>
      <c r="AE3494">
        <v>7.4299999999993802E-2</v>
      </c>
      <c r="AF3494">
        <v>-0.193758278194644</v>
      </c>
      <c r="AG3494">
        <v>-1.1099277233210001</v>
      </c>
      <c r="AH3494">
        <v>18.547087399453901</v>
      </c>
      <c r="AI3494">
        <v>93.424524928209294</v>
      </c>
      <c r="AJ3494">
        <v>90.5985375231012</v>
      </c>
      <c r="AK3494">
        <v>18.581279095486</v>
      </c>
      <c r="AL3494">
        <v>80.288245196088297</v>
      </c>
      <c r="AM3494">
        <v>87.237363135859894</v>
      </c>
      <c r="AN3494">
        <v>0.99999998238129195</v>
      </c>
    </row>
    <row r="3495" spans="1:40" x14ac:dyDescent="0.25">
      <c r="A3495" t="str">
        <f>"20190312164337318"</f>
        <v>20190312164337318</v>
      </c>
      <c r="B3495" t="str">
        <f>"1552380217308137"</f>
        <v>1552380217308137</v>
      </c>
      <c r="C3495" t="s">
        <v>40</v>
      </c>
      <c r="D3495">
        <v>4.6164379999999996</v>
      </c>
      <c r="E3495">
        <v>0.48345900000000003</v>
      </c>
      <c r="F3495" t="s">
        <v>49</v>
      </c>
      <c r="G3495">
        <v>-313.39749999999998</v>
      </c>
      <c r="H3495" s="1">
        <v>-8.5231499999999999E-6</v>
      </c>
      <c r="I3495">
        <v>140.8723</v>
      </c>
      <c r="J3495">
        <v>-294.67160000000001</v>
      </c>
      <c r="K3495">
        <v>1.1099220000000001</v>
      </c>
      <c r="L3495">
        <v>140.8038</v>
      </c>
      <c r="M3495">
        <v>-0.99982130000000002</v>
      </c>
      <c r="N3495">
        <v>0</v>
      </c>
      <c r="O3495">
        <v>1.437533E-2</v>
      </c>
      <c r="P3495">
        <v>-0.98573200000000005</v>
      </c>
      <c r="Q3495">
        <v>0.15648190000000001</v>
      </c>
      <c r="R3495">
        <v>6.2016950000000001E-2</v>
      </c>
      <c r="S3495">
        <v>-3.0709230000000001</v>
      </c>
      <c r="T3495">
        <v>-0.17802889999999999</v>
      </c>
      <c r="U3495">
        <v>1.1947630000000001E-2</v>
      </c>
      <c r="V3495">
        <v>4.7819050000000002E-2</v>
      </c>
      <c r="W3495">
        <v>0.16859849999999901</v>
      </c>
      <c r="X3495">
        <v>0.98452419999999996</v>
      </c>
      <c r="Y3495">
        <v>-1.0444500000000001E-2</v>
      </c>
      <c r="Z3495">
        <v>-1.1351989999999999E-3</v>
      </c>
      <c r="AA3495">
        <v>0.99994479999999997</v>
      </c>
      <c r="AB3495">
        <v>41</v>
      </c>
      <c r="AC3495">
        <v>-18.7258999999999</v>
      </c>
      <c r="AD3495">
        <v>-1.1099305231499901</v>
      </c>
      <c r="AE3495">
        <v>6.85000000000002E-2</v>
      </c>
      <c r="AF3495">
        <v>-0.20001566848878899</v>
      </c>
      <c r="AG3495">
        <v>-1.1099305231499901</v>
      </c>
      <c r="AH3495">
        <v>18.659395725640199</v>
      </c>
      <c r="AI3495">
        <v>93.403960573196301</v>
      </c>
      <c r="AJ3495">
        <v>90.614147151740696</v>
      </c>
      <c r="AK3495">
        <v>18.693448073587199</v>
      </c>
      <c r="AL3495">
        <v>80.293657198300494</v>
      </c>
      <c r="AM3495">
        <v>87.219287991648898</v>
      </c>
      <c r="AN3495">
        <v>1.0000000080653899</v>
      </c>
    </row>
    <row r="3496" spans="1:40" x14ac:dyDescent="0.25">
      <c r="A3496" t="str">
        <f>"20190312164337341"</f>
        <v>20190312164337341</v>
      </c>
      <c r="B3496" t="str">
        <f>"1552380217328630"</f>
        <v>1552380217328630</v>
      </c>
      <c r="C3496" t="s">
        <v>40</v>
      </c>
      <c r="D3496">
        <v>4.6716899999999999</v>
      </c>
      <c r="E3496">
        <v>0.48342200000000002</v>
      </c>
      <c r="F3496" t="s">
        <v>49</v>
      </c>
      <c r="G3496">
        <v>-313.86520000000002</v>
      </c>
      <c r="H3496" s="1">
        <v>-8.3487810000000001E-6</v>
      </c>
      <c r="I3496">
        <v>140.87870000000001</v>
      </c>
      <c r="J3496">
        <v>-295.07010000000002</v>
      </c>
      <c r="K3496">
        <v>1.1099330000000001</v>
      </c>
      <c r="L3496">
        <v>140.80950000000001</v>
      </c>
      <c r="M3496">
        <v>-0.99982199999999999</v>
      </c>
      <c r="N3496">
        <v>0</v>
      </c>
      <c r="O3496">
        <v>1.4317720000000001E-2</v>
      </c>
      <c r="P3496">
        <v>-0.98572190000000004</v>
      </c>
      <c r="Q3496">
        <v>0.15659690000000001</v>
      </c>
      <c r="R3496">
        <v>6.1886730000000001E-2</v>
      </c>
      <c r="S3496">
        <v>-3.070862</v>
      </c>
      <c r="T3496">
        <v>-0.1775825</v>
      </c>
      <c r="U3496">
        <v>1.197815E-2</v>
      </c>
      <c r="V3496">
        <v>4.7745389999999999E-2</v>
      </c>
      <c r="W3496">
        <v>0.16871700000000001</v>
      </c>
      <c r="X3496">
        <v>0.98450740000000003</v>
      </c>
      <c r="Y3496">
        <v>-1.0377279999999999E-2</v>
      </c>
      <c r="Z3496">
        <v>-1.1271079999999999E-3</v>
      </c>
      <c r="AA3496">
        <v>0.99994550000000004</v>
      </c>
      <c r="AB3496">
        <v>41</v>
      </c>
      <c r="AC3496">
        <v>-18.795099999999898</v>
      </c>
      <c r="AD3496">
        <v>-1.1099413487809999</v>
      </c>
      <c r="AE3496">
        <v>6.9199999999995002E-2</v>
      </c>
      <c r="AF3496">
        <v>-0.19923557007460699</v>
      </c>
      <c r="AG3496">
        <v>-1.1099413487809999</v>
      </c>
      <c r="AH3496">
        <v>18.728848543786299</v>
      </c>
      <c r="AI3496">
        <v>93.391403010246904</v>
      </c>
      <c r="AJ3496">
        <v>90.609483636483503</v>
      </c>
      <c r="AK3496">
        <v>18.762767183606002</v>
      </c>
      <c r="AL3496">
        <v>80.286768250966205</v>
      </c>
      <c r="AM3496">
        <v>87.223517362000393</v>
      </c>
      <c r="AN3496">
        <v>0.99999993450500402</v>
      </c>
    </row>
    <row r="3497" spans="1:40" x14ac:dyDescent="0.25">
      <c r="A3497" t="str">
        <f>"20190312164337364"</f>
        <v>20190312164337364</v>
      </c>
      <c r="B3497" t="str">
        <f>"1552380217357911"</f>
        <v>1552380217357911</v>
      </c>
      <c r="C3497" t="s">
        <v>40</v>
      </c>
      <c r="D3497">
        <v>4.4949309999999896</v>
      </c>
      <c r="E3497">
        <v>0.51471440000000002</v>
      </c>
      <c r="F3497" t="s">
        <v>49</v>
      </c>
      <c r="G3497">
        <v>-314.23849999999999</v>
      </c>
      <c r="H3497" s="1">
        <v>-8.209288E-6</v>
      </c>
      <c r="I3497">
        <v>140.88249999999999</v>
      </c>
      <c r="J3497">
        <v>-295.49720000000002</v>
      </c>
      <c r="K3497">
        <v>1.1099330000000001</v>
      </c>
      <c r="L3497">
        <v>140.81549999999999</v>
      </c>
      <c r="M3497">
        <v>-0.99982269999999895</v>
      </c>
      <c r="N3497">
        <v>0</v>
      </c>
      <c r="O3497">
        <v>1.42559E-2</v>
      </c>
      <c r="P3497">
        <v>-0.9856606</v>
      </c>
      <c r="Q3497">
        <v>0.1569246</v>
      </c>
      <c r="R3497">
        <v>6.2031299999999998E-2</v>
      </c>
      <c r="S3497">
        <v>-3.0710449999999998</v>
      </c>
      <c r="T3497">
        <v>-0.17782879999999901</v>
      </c>
      <c r="U3497">
        <v>1.170349E-2</v>
      </c>
      <c r="V3497">
        <v>4.7951250000000001E-2</v>
      </c>
      <c r="W3497">
        <v>0.16905300000000001</v>
      </c>
      <c r="X3497">
        <v>0.98443979999999998</v>
      </c>
      <c r="Y3497">
        <v>-1.0405060000000001E-2</v>
      </c>
      <c r="Z3497">
        <v>-1.1258289999999901E-3</v>
      </c>
      <c r="AA3497">
        <v>0.99994519999999998</v>
      </c>
      <c r="AB3497">
        <v>41</v>
      </c>
      <c r="AC3497">
        <v>-18.741299999999899</v>
      </c>
      <c r="AD3497">
        <v>-1.1099412092880001</v>
      </c>
      <c r="AE3497">
        <v>6.7000000000007207E-2</v>
      </c>
      <c r="AF3497">
        <v>-0.19950138061394301</v>
      </c>
      <c r="AG3497">
        <v>-1.1099412092880001</v>
      </c>
      <c r="AH3497">
        <v>18.674848804505999</v>
      </c>
      <c r="AI3497">
        <v>93.401184466648999</v>
      </c>
      <c r="AJ3497">
        <v>90.612061303961596</v>
      </c>
      <c r="AK3497">
        <v>18.708868168868602</v>
      </c>
      <c r="AL3497">
        <v>80.267236748395206</v>
      </c>
      <c r="AM3497">
        <v>87.211373900401995</v>
      </c>
      <c r="AN3497">
        <v>0.99999997950480102</v>
      </c>
    </row>
    <row r="3498" spans="1:40" x14ac:dyDescent="0.25">
      <c r="A3498" t="str">
        <f>"20190312164337386"</f>
        <v>20190312164337386</v>
      </c>
      <c r="B3498" t="str">
        <f>"1552380217378407"</f>
        <v>1552380217378407</v>
      </c>
      <c r="C3498" t="s">
        <v>40</v>
      </c>
      <c r="D3498">
        <v>4.5934710000000001</v>
      </c>
      <c r="E3498">
        <v>0.51530880000000001</v>
      </c>
      <c r="F3498" t="s">
        <v>41</v>
      </c>
      <c r="G3498">
        <v>-296.54739999999998</v>
      </c>
      <c r="H3498">
        <v>1.032089</v>
      </c>
      <c r="I3498">
        <v>140.90440000000001</v>
      </c>
      <c r="J3498">
        <v>-295.91210000000001</v>
      </c>
      <c r="K3498">
        <v>1.109931</v>
      </c>
      <c r="L3498">
        <v>140.82140000000001</v>
      </c>
      <c r="M3498">
        <v>-0.99982360000000003</v>
      </c>
      <c r="N3498">
        <v>0</v>
      </c>
      <c r="O3498">
        <v>1.419538E-2</v>
      </c>
      <c r="P3498">
        <v>-0.9856279</v>
      </c>
      <c r="Q3498">
        <v>0.15704689999999999</v>
      </c>
      <c r="R3498">
        <v>6.2242350000000002E-2</v>
      </c>
      <c r="S3498">
        <v>-3.0635379999999999</v>
      </c>
      <c r="T3498">
        <v>-0.22709489999999999</v>
      </c>
      <c r="U3498">
        <v>0.25883479999999998</v>
      </c>
      <c r="V3498">
        <v>4.8222109999999999E-2</v>
      </c>
      <c r="W3498">
        <v>0.16918559999999999</v>
      </c>
      <c r="X3498">
        <v>0.98440380000000005</v>
      </c>
      <c r="Y3498">
        <v>6.9882749999999993E-2</v>
      </c>
      <c r="Z3498">
        <v>1.5331429999999901E-3</v>
      </c>
      <c r="AA3498">
        <v>0.9975541</v>
      </c>
      <c r="AB3498">
        <v>41</v>
      </c>
      <c r="AC3498">
        <v>-0.635299999999972</v>
      </c>
      <c r="AD3498">
        <v>-7.7841999999999897E-2</v>
      </c>
      <c r="AE3498">
        <v>8.2999999999998395E-2</v>
      </c>
      <c r="AF3498">
        <v>7.2896591594744195E-2</v>
      </c>
      <c r="AG3498">
        <v>-7.7841999999999897E-2</v>
      </c>
      <c r="AH3498">
        <v>0.62715673289081197</v>
      </c>
      <c r="AI3498">
        <v>97.028463245654706</v>
      </c>
      <c r="AJ3498">
        <v>83.370064273233993</v>
      </c>
      <c r="AK3498">
        <v>0.63615945928706297</v>
      </c>
      <c r="AL3498">
        <v>80.2595283982307</v>
      </c>
      <c r="AM3498">
        <v>87.195544599937804</v>
      </c>
      <c r="AN3498">
        <v>0.999999990297326</v>
      </c>
    </row>
    <row r="3499" spans="1:40" x14ac:dyDescent="0.25">
      <c r="A3499" t="str">
        <f>"20190312164337408"</f>
        <v>20190312164337408</v>
      </c>
      <c r="B3499" t="str">
        <f>"1552380217397927"</f>
        <v>1552380217397927</v>
      </c>
      <c r="C3499" t="s">
        <v>40</v>
      </c>
      <c r="D3499">
        <v>4.76844</v>
      </c>
      <c r="E3499">
        <v>0.51934460000000005</v>
      </c>
      <c r="F3499" t="s">
        <v>41</v>
      </c>
      <c r="G3499">
        <v>-296.91879999999998</v>
      </c>
      <c r="H3499">
        <v>1.0361279999999999</v>
      </c>
      <c r="I3499">
        <v>140.9085</v>
      </c>
      <c r="J3499">
        <v>-296.33449999999999</v>
      </c>
      <c r="K3499">
        <v>1.109934</v>
      </c>
      <c r="L3499">
        <v>140.82730000000001</v>
      </c>
      <c r="M3499">
        <v>-0.99982420000000005</v>
      </c>
      <c r="N3499">
        <v>0</v>
      </c>
      <c r="O3499">
        <v>1.413385E-2</v>
      </c>
      <c r="P3499">
        <v>-0.9856473</v>
      </c>
      <c r="Q3499">
        <v>0.1570204</v>
      </c>
      <c r="R3499">
        <v>6.2001630000000002E-2</v>
      </c>
      <c r="S3499">
        <v>-3.0628359999999999</v>
      </c>
      <c r="T3499">
        <v>-0.2246261</v>
      </c>
      <c r="U3499">
        <v>0.26394649999999997</v>
      </c>
      <c r="V3499">
        <v>4.8041470000000003E-2</v>
      </c>
      <c r="W3499">
        <v>0.16917009999999999</v>
      </c>
      <c r="X3499">
        <v>0.98441529999999999</v>
      </c>
      <c r="Y3499">
        <v>7.1614449999999996E-2</v>
      </c>
      <c r="Z3499">
        <v>1.5845569999999999E-3</v>
      </c>
      <c r="AA3499">
        <v>0.99743119999999996</v>
      </c>
      <c r="AB3499">
        <v>41</v>
      </c>
      <c r="AC3499">
        <v>-0.58429999999998405</v>
      </c>
      <c r="AD3499">
        <v>-7.3805999999999802E-2</v>
      </c>
      <c r="AE3499">
        <v>8.1199999999995498E-2</v>
      </c>
      <c r="AF3499">
        <v>7.1808812015857995E-2</v>
      </c>
      <c r="AG3499">
        <v>-7.3805999999999802E-2</v>
      </c>
      <c r="AH3499">
        <v>0.57636736699122904</v>
      </c>
      <c r="AI3499">
        <v>97.241838593862198</v>
      </c>
      <c r="AJ3499">
        <v>82.898192821165594</v>
      </c>
      <c r="AK3499">
        <v>0.58549395628949996</v>
      </c>
      <c r="AL3499">
        <v>80.260429509920698</v>
      </c>
      <c r="AM3499">
        <v>87.2060659986047</v>
      </c>
      <c r="AN3499">
        <v>0.99999999422393004</v>
      </c>
    </row>
    <row r="3500" spans="1:40" x14ac:dyDescent="0.25">
      <c r="A3500" t="str">
        <f>"20190312164337432"</f>
        <v>20190312164337432</v>
      </c>
      <c r="B3500" t="str">
        <f>"1552380217428182"</f>
        <v>1552380217428182</v>
      </c>
      <c r="C3500" t="s">
        <v>40</v>
      </c>
      <c r="D3500">
        <v>4.4933690000000004</v>
      </c>
      <c r="E3500">
        <v>0.51930050000000005</v>
      </c>
      <c r="F3500" t="s">
        <v>42</v>
      </c>
      <c r="G3500">
        <v>-320.89830000000001</v>
      </c>
      <c r="H3500" s="1">
        <v>-4.6155759999999997E-6</v>
      </c>
      <c r="I3500">
        <v>143.25389999999999</v>
      </c>
      <c r="J3500">
        <v>-296.75290000000001</v>
      </c>
      <c r="K3500">
        <v>1.1099380000000001</v>
      </c>
      <c r="L3500">
        <v>140.83320000000001</v>
      </c>
      <c r="M3500">
        <v>-0.99982490000000002</v>
      </c>
      <c r="N3500">
        <v>0</v>
      </c>
      <c r="O3500">
        <v>1.4073220000000001E-2</v>
      </c>
      <c r="P3500">
        <v>-0.9856741</v>
      </c>
      <c r="Q3500">
        <v>0.15680269999999999</v>
      </c>
      <c r="R3500">
        <v>6.2124310000000002E-2</v>
      </c>
      <c r="S3500">
        <v>-3.0467219999999999</v>
      </c>
      <c r="T3500">
        <v>-0.13766989999999901</v>
      </c>
      <c r="U3500">
        <v>0.30097960000000001</v>
      </c>
      <c r="V3500">
        <v>4.8223439999999999E-2</v>
      </c>
      <c r="W3500">
        <v>0.1689628</v>
      </c>
      <c r="X3500">
        <v>0.98444200000000004</v>
      </c>
      <c r="Y3500">
        <v>8.4222740000000004E-2</v>
      </c>
      <c r="Z3500">
        <v>1.2633E-3</v>
      </c>
      <c r="AA3500">
        <v>0.9964461</v>
      </c>
      <c r="AB3500">
        <v>41</v>
      </c>
      <c r="AC3500">
        <v>-24.145399999999899</v>
      </c>
      <c r="AD3500">
        <v>-1.1099426155759999</v>
      </c>
      <c r="AE3500">
        <v>2.4206999999999801</v>
      </c>
      <c r="AF3500">
        <v>2.07628699694714</v>
      </c>
      <c r="AG3500">
        <v>-1.1099426155759999</v>
      </c>
      <c r="AH3500">
        <v>24.126602072570101</v>
      </c>
      <c r="AI3500">
        <v>92.624344691007394</v>
      </c>
      <c r="AJ3500">
        <v>85.081358664393093</v>
      </c>
      <c r="AK3500">
        <v>24.241201865248101</v>
      </c>
      <c r="AL3500">
        <v>80.272480356997804</v>
      </c>
      <c r="AM3500">
        <v>87.195576027087697</v>
      </c>
      <c r="AN3500">
        <v>0.99999998965663595</v>
      </c>
    </row>
    <row r="3501" spans="1:40" x14ac:dyDescent="0.25">
      <c r="A3501" t="str">
        <f>"20190312164337452"</f>
        <v>20190312164337452</v>
      </c>
      <c r="B3501" t="str">
        <f>"1552380217448678"</f>
        <v>1552380217448678</v>
      </c>
      <c r="C3501" t="s">
        <v>40</v>
      </c>
      <c r="D3501">
        <v>4.7576109999999998</v>
      </c>
      <c r="E3501">
        <v>0.519011</v>
      </c>
      <c r="F3501" t="s">
        <v>42</v>
      </c>
      <c r="G3501">
        <v>-320.82049999999998</v>
      </c>
      <c r="H3501" s="1">
        <v>-4.634014E-6</v>
      </c>
      <c r="I3501">
        <v>143.20869999999999</v>
      </c>
      <c r="J3501">
        <v>-297.13220000000001</v>
      </c>
      <c r="K3501">
        <v>1.109939</v>
      </c>
      <c r="L3501">
        <v>140.83850000000001</v>
      </c>
      <c r="M3501">
        <v>-0.99982570000000004</v>
      </c>
      <c r="N3501">
        <v>0</v>
      </c>
      <c r="O3501">
        <v>1.4017740000000001E-2</v>
      </c>
      <c r="P3501">
        <v>-0.9855872</v>
      </c>
      <c r="Q3501">
        <v>0.15708849999999999</v>
      </c>
      <c r="R3501">
        <v>6.2780669999999997E-2</v>
      </c>
      <c r="S3501">
        <v>-3.0469970000000002</v>
      </c>
      <c r="T3501">
        <v>-0.140520899999999</v>
      </c>
      <c r="U3501">
        <v>0.30075069999999998</v>
      </c>
      <c r="V3501">
        <v>4.8935609999999997E-2</v>
      </c>
      <c r="W3501">
        <v>0.16925509999999999</v>
      </c>
      <c r="X3501">
        <v>0.98435660000000003</v>
      </c>
      <c r="Y3501">
        <v>8.4192169999999997E-2</v>
      </c>
      <c r="Z3501">
        <v>1.291171E-3</v>
      </c>
      <c r="AA3501">
        <v>0.99644869999999997</v>
      </c>
      <c r="AB3501">
        <v>41</v>
      </c>
      <c r="AC3501">
        <v>-23.688299999999899</v>
      </c>
      <c r="AD3501">
        <v>-1.1099436340140001</v>
      </c>
      <c r="AE3501">
        <v>2.3701999999999801</v>
      </c>
      <c r="AF3501">
        <v>2.0334651770823999</v>
      </c>
      <c r="AG3501">
        <v>-1.1099436340140001</v>
      </c>
      <c r="AH3501">
        <v>23.667752012422799</v>
      </c>
      <c r="AI3501">
        <v>92.675184595347403</v>
      </c>
      <c r="AJ3501">
        <v>85.089370747251905</v>
      </c>
      <c r="AK3501">
        <v>23.7808629115648</v>
      </c>
      <c r="AL3501">
        <v>80.2554876703433</v>
      </c>
      <c r="AM3501">
        <v>87.153981031548895</v>
      </c>
      <c r="AN3501">
        <v>0.999999949382819</v>
      </c>
    </row>
    <row r="3502" spans="1:40" x14ac:dyDescent="0.25">
      <c r="A3502" t="str">
        <f>"20190312164337475"</f>
        <v>20190312164337475</v>
      </c>
      <c r="B3502" t="str">
        <f>"1552380217468199"</f>
        <v>1552380217468199</v>
      </c>
      <c r="C3502" t="s">
        <v>40</v>
      </c>
      <c r="D3502">
        <v>4.65069</v>
      </c>
      <c r="E3502">
        <v>0.51891869999999995</v>
      </c>
      <c r="F3502" t="s">
        <v>42</v>
      </c>
      <c r="G3502">
        <v>-321.00290000000001</v>
      </c>
      <c r="H3502" s="1">
        <v>-4.5688339999999999E-6</v>
      </c>
      <c r="I3502">
        <v>143.191</v>
      </c>
      <c r="J3502">
        <v>-297.55650000000003</v>
      </c>
      <c r="K3502">
        <v>1.109939</v>
      </c>
      <c r="L3502">
        <v>140.84440000000001</v>
      </c>
      <c r="M3502">
        <v>-0.9998264</v>
      </c>
      <c r="N3502">
        <v>0</v>
      </c>
      <c r="O3502">
        <v>1.395538E-2</v>
      </c>
      <c r="P3502">
        <v>-0.98550899999999997</v>
      </c>
      <c r="Q3502">
        <v>0.15742970000000001</v>
      </c>
      <c r="R3502">
        <v>6.3152399999999997E-2</v>
      </c>
      <c r="S3502">
        <v>-3.0473330000000001</v>
      </c>
      <c r="T3502">
        <v>-0.14169619999999999</v>
      </c>
      <c r="U3502">
        <v>0.30033870000000001</v>
      </c>
      <c r="V3502">
        <v>4.936989E-2</v>
      </c>
      <c r="W3502">
        <v>0.1696066</v>
      </c>
      <c r="X3502">
        <v>0.98427439999999999</v>
      </c>
      <c r="Y3502">
        <v>8.4108959999999997E-2</v>
      </c>
      <c r="Z3502">
        <v>1.3027850000000001E-3</v>
      </c>
      <c r="AA3502">
        <v>0.99645569999999895</v>
      </c>
      <c r="AB3502">
        <v>41</v>
      </c>
      <c r="AC3502">
        <v>-23.446399999999901</v>
      </c>
      <c r="AD3502">
        <v>-1.109943568834</v>
      </c>
      <c r="AE3502">
        <v>2.3465999999999898</v>
      </c>
      <c r="AF3502">
        <v>2.0146729061704201</v>
      </c>
      <c r="AG3502">
        <v>-1.109943568834</v>
      </c>
      <c r="AH3502">
        <v>23.424891131524301</v>
      </c>
      <c r="AI3502">
        <v>92.702858486763603</v>
      </c>
      <c r="AJ3502">
        <v>85.084335967055694</v>
      </c>
      <c r="AK3502">
        <v>23.537553104955901</v>
      </c>
      <c r="AL3502">
        <v>80.235052660296901</v>
      </c>
      <c r="AM3502">
        <v>87.128526675337199</v>
      </c>
      <c r="AN3502">
        <v>0.99999993964876399</v>
      </c>
    </row>
    <row r="3503" spans="1:40" x14ac:dyDescent="0.25">
      <c r="A3503" t="str">
        <f>"20190312164337497"</f>
        <v>20190312164337497</v>
      </c>
      <c r="B3503" t="str">
        <f>"1552380217488694"</f>
        <v>1552380217488694</v>
      </c>
      <c r="C3503" t="s">
        <v>40</v>
      </c>
      <c r="D3503">
        <v>4.5884929999999997</v>
      </c>
      <c r="E3503">
        <v>0.51865830000000002</v>
      </c>
      <c r="F3503" t="s">
        <v>42</v>
      </c>
      <c r="G3503">
        <v>-321.4615</v>
      </c>
      <c r="H3503" s="1">
        <v>-4.415049E-6</v>
      </c>
      <c r="I3503">
        <v>143.2039</v>
      </c>
      <c r="J3503">
        <v>-297.96949999999998</v>
      </c>
      <c r="K3503">
        <v>1.1099429999999999</v>
      </c>
      <c r="L3503">
        <v>140.8501</v>
      </c>
      <c r="M3503">
        <v>-0.99982700000000002</v>
      </c>
      <c r="N3503">
        <v>0</v>
      </c>
      <c r="O3503">
        <v>1.3894190000000001E-2</v>
      </c>
      <c r="P3503">
        <v>-0.985344</v>
      </c>
      <c r="Q3503">
        <v>0.1582865</v>
      </c>
      <c r="R3503">
        <v>6.3582600000000003E-2</v>
      </c>
      <c r="S3503">
        <v>-3.0474549999999998</v>
      </c>
      <c r="T3503">
        <v>-0.14149829999999999</v>
      </c>
      <c r="U3503">
        <v>0.30081180000000002</v>
      </c>
      <c r="V3503">
        <v>4.9862379999999998E-2</v>
      </c>
      <c r="W3503">
        <v>0.17047590000000001</v>
      </c>
      <c r="X3503">
        <v>0.98409939999999996</v>
      </c>
      <c r="Y3503">
        <v>8.4319140000000001E-2</v>
      </c>
      <c r="Z3503">
        <v>1.308603E-3</v>
      </c>
      <c r="AA3503">
        <v>0.99643800000000005</v>
      </c>
      <c r="AB3503">
        <v>41</v>
      </c>
      <c r="AC3503">
        <v>-23.492000000000001</v>
      </c>
      <c r="AD3503">
        <v>-1.1099474150489901</v>
      </c>
      <c r="AE3503">
        <v>2.3538000000000001</v>
      </c>
      <c r="AF3503">
        <v>2.0226750191035898</v>
      </c>
      <c r="AG3503">
        <v>-1.1099474150489901</v>
      </c>
      <c r="AH3503">
        <v>23.470564594131702</v>
      </c>
      <c r="AI3503">
        <v>92.697575908558804</v>
      </c>
      <c r="AJ3503">
        <v>85.074463939693103</v>
      </c>
      <c r="AK3503">
        <v>23.583693516164701</v>
      </c>
      <c r="AL3503">
        <v>80.184509563910396</v>
      </c>
      <c r="AM3503">
        <v>87.099416080953304</v>
      </c>
      <c r="AN3503">
        <v>0.99999995925021601</v>
      </c>
    </row>
    <row r="3504" spans="1:40" x14ac:dyDescent="0.25">
      <c r="A3504" t="str">
        <f>"20190312164337519"</f>
        <v>20190312164337519</v>
      </c>
      <c r="B3504" t="str">
        <f>"1552380217507759"</f>
        <v>1552380217507759</v>
      </c>
      <c r="C3504" t="s">
        <v>40</v>
      </c>
      <c r="D3504">
        <v>4.6070520000000004</v>
      </c>
      <c r="E3504">
        <v>0.51867039999999998</v>
      </c>
      <c r="F3504" t="s">
        <v>42</v>
      </c>
      <c r="G3504">
        <v>-321.92680000000001</v>
      </c>
      <c r="H3504" s="1">
        <v>-4.257389E-6</v>
      </c>
      <c r="I3504">
        <v>143.20779999999999</v>
      </c>
      <c r="J3504">
        <v>-298.37079999999997</v>
      </c>
      <c r="K3504">
        <v>1.109952</v>
      </c>
      <c r="L3504">
        <v>140.85560000000001</v>
      </c>
      <c r="M3504">
        <v>-0.99982760000000004</v>
      </c>
      <c r="N3504">
        <v>0</v>
      </c>
      <c r="O3504">
        <v>1.3834849999999999E-2</v>
      </c>
      <c r="P3504">
        <v>-0.98519250000000003</v>
      </c>
      <c r="Q3504">
        <v>0.15901889999999999</v>
      </c>
      <c r="R3504">
        <v>6.4099870000000003E-2</v>
      </c>
      <c r="S3504">
        <v>-3.0479430000000001</v>
      </c>
      <c r="T3504">
        <v>-0.14121220000000001</v>
      </c>
      <c r="U3504">
        <v>0.29997249999999998</v>
      </c>
      <c r="V3504">
        <v>5.0439900000000003E-2</v>
      </c>
      <c r="W3504">
        <v>0.1712206</v>
      </c>
      <c r="X3504">
        <v>0.9839407</v>
      </c>
      <c r="Y3504">
        <v>8.4091449999999998E-2</v>
      </c>
      <c r="Z3504">
        <v>1.3032499999999999E-3</v>
      </c>
      <c r="AA3504">
        <v>0.99645720000000004</v>
      </c>
      <c r="AB3504">
        <v>41</v>
      </c>
      <c r="AC3504">
        <v>-23.556000000000001</v>
      </c>
      <c r="AD3504">
        <v>-1.1099562573890001</v>
      </c>
      <c r="AE3504">
        <v>2.3521999999999799</v>
      </c>
      <c r="AF3504">
        <v>2.0216118859199601</v>
      </c>
      <c r="AG3504">
        <v>-1.1099562573890001</v>
      </c>
      <c r="AH3504">
        <v>23.534552510273699</v>
      </c>
      <c r="AI3504">
        <v>92.690337803416398</v>
      </c>
      <c r="AJ3504">
        <v>85.090359596948701</v>
      </c>
      <c r="AK3504">
        <v>23.647284820237601</v>
      </c>
      <c r="AL3504">
        <v>80.141204996566401</v>
      </c>
      <c r="AM3504">
        <v>87.065406660049305</v>
      </c>
      <c r="AN3504">
        <v>0.99999998924642997</v>
      </c>
    </row>
    <row r="3505" spans="1:40" x14ac:dyDescent="0.25">
      <c r="A3505" t="str">
        <f>"20190312164337540"</f>
        <v>20190312164337540</v>
      </c>
      <c r="B3505" t="str">
        <f>"1552380217528255"</f>
        <v>1552380217528255</v>
      </c>
      <c r="C3505" t="s">
        <v>40</v>
      </c>
      <c r="D3505">
        <v>4.8060580000000002</v>
      </c>
      <c r="E3505">
        <v>0.51636720000000003</v>
      </c>
      <c r="F3505" t="s">
        <v>42</v>
      </c>
      <c r="G3505">
        <v>-322.41640000000001</v>
      </c>
      <c r="H3505" s="1">
        <v>-4.0949810000000003E-6</v>
      </c>
      <c r="I3505">
        <v>143.23159999999999</v>
      </c>
      <c r="J3505">
        <v>-298.77319999999997</v>
      </c>
      <c r="K3505">
        <v>1.1099540000000001</v>
      </c>
      <c r="L3505">
        <v>140.86109999999999</v>
      </c>
      <c r="M3505">
        <v>-0.9998283</v>
      </c>
      <c r="N3505">
        <v>0</v>
      </c>
      <c r="O3505">
        <v>1.3776170000000001E-2</v>
      </c>
      <c r="P3505">
        <v>-0.98508850000000003</v>
      </c>
      <c r="Q3505">
        <v>0.15956589999999901</v>
      </c>
      <c r="R3505">
        <v>6.4341690000000007E-2</v>
      </c>
      <c r="S3505">
        <v>-3.0482179999999999</v>
      </c>
      <c r="T3505">
        <v>-0.14070750000000001</v>
      </c>
      <c r="U3505">
        <v>0.30120849999999999</v>
      </c>
      <c r="V3505">
        <v>5.0740859999999999E-2</v>
      </c>
      <c r="W3505">
        <v>0.17177919999999999</v>
      </c>
      <c r="X3505">
        <v>0.98382789999999998</v>
      </c>
      <c r="Y3505">
        <v>8.4541309999999995E-2</v>
      </c>
      <c r="Z3505">
        <v>1.311507E-3</v>
      </c>
      <c r="AA3505">
        <v>0.9964191</v>
      </c>
      <c r="AB3505">
        <v>41</v>
      </c>
      <c r="AC3505">
        <v>-23.6432</v>
      </c>
      <c r="AD3505">
        <v>-1.109958094981</v>
      </c>
      <c r="AE3505">
        <v>2.3704999999999901</v>
      </c>
      <c r="AF3505">
        <v>2.0400857685668701</v>
      </c>
      <c r="AG3505">
        <v>-1.109958094981</v>
      </c>
      <c r="AH3505">
        <v>23.622071330803902</v>
      </c>
      <c r="AI3505">
        <v>92.680283073562904</v>
      </c>
      <c r="AJ3505">
        <v>85.063981210633401</v>
      </c>
      <c r="AK3505">
        <v>23.735968715713099</v>
      </c>
      <c r="AL3505">
        <v>80.108718687548702</v>
      </c>
      <c r="AM3505">
        <v>87.047589819222694</v>
      </c>
      <c r="AN3505">
        <v>1.00000003262229</v>
      </c>
    </row>
    <row r="3506" spans="1:40" x14ac:dyDescent="0.25">
      <c r="A3506" t="str">
        <f>"20190312164337564"</f>
        <v>20190312164337564</v>
      </c>
      <c r="B3506" t="str">
        <f>"1552380217558511"</f>
        <v>1552380217558511</v>
      </c>
      <c r="C3506" t="s">
        <v>40</v>
      </c>
      <c r="D3506">
        <v>4.8172079999999999</v>
      </c>
      <c r="E3506">
        <v>0.51558720000000002</v>
      </c>
      <c r="F3506" t="s">
        <v>49</v>
      </c>
      <c r="G3506">
        <v>-314.81549999999999</v>
      </c>
      <c r="H3506" s="1">
        <v>-8.3724130000000002E-6</v>
      </c>
      <c r="I3506">
        <v>142.32339999999999</v>
      </c>
      <c r="J3506">
        <v>-299.20339999999999</v>
      </c>
      <c r="K3506">
        <v>1.1099559999999999</v>
      </c>
      <c r="L3506">
        <v>140.86699999999999</v>
      </c>
      <c r="M3506">
        <v>-0.99982910000000003</v>
      </c>
      <c r="N3506">
        <v>0</v>
      </c>
      <c r="O3506">
        <v>1.371297E-2</v>
      </c>
      <c r="P3506">
        <v>-0.98489689999999996</v>
      </c>
      <c r="Q3506">
        <v>0.16044369999999999</v>
      </c>
      <c r="R3506">
        <v>6.5086370000000004E-2</v>
      </c>
      <c r="S3506">
        <v>-3.0614620000000001</v>
      </c>
      <c r="T3506">
        <v>-0.2118218</v>
      </c>
      <c r="U3506">
        <v>0.27905269999999999</v>
      </c>
      <c r="V3506">
        <v>5.1550140000000001E-2</v>
      </c>
      <c r="W3506">
        <v>0.172667299999999</v>
      </c>
      <c r="X3506">
        <v>0.98363029999999996</v>
      </c>
      <c r="Y3506">
        <v>7.6957990000000004E-2</v>
      </c>
      <c r="Z3506">
        <v>1.7080779999999901E-3</v>
      </c>
      <c r="AA3506">
        <v>0.9970329</v>
      </c>
      <c r="AB3506">
        <v>41</v>
      </c>
      <c r="AC3506">
        <v>-15.6120999999999</v>
      </c>
      <c r="AD3506">
        <v>-1.1099643724129999</v>
      </c>
      <c r="AE3506">
        <v>1.4563999999999699</v>
      </c>
      <c r="AF3506">
        <v>1.2359647882285001</v>
      </c>
      <c r="AG3506">
        <v>-1.1099643724129999</v>
      </c>
      <c r="AH3506">
        <v>15.552669061220101</v>
      </c>
      <c r="AI3506">
        <v>94.069382940089994</v>
      </c>
      <c r="AJ3506">
        <v>85.456274974153004</v>
      </c>
      <c r="AK3506">
        <v>15.641136301228199</v>
      </c>
      <c r="AL3506">
        <v>80.057062029674896</v>
      </c>
      <c r="AM3506">
        <v>86.999984876826801</v>
      </c>
      <c r="AN3506">
        <v>0.99999999025069897</v>
      </c>
    </row>
    <row r="3507" spans="1:40" x14ac:dyDescent="0.25">
      <c r="A3507" t="str">
        <f>"20190312164337586"</f>
        <v>20190312164337586</v>
      </c>
      <c r="B3507" t="str">
        <f>"1552380217578034"</f>
        <v>1552380217578034</v>
      </c>
      <c r="C3507" t="s">
        <v>40</v>
      </c>
      <c r="D3507">
        <v>4.6218849999999998</v>
      </c>
      <c r="E3507">
        <v>0.51570169999999904</v>
      </c>
      <c r="F3507" t="s">
        <v>41</v>
      </c>
      <c r="G3507">
        <v>-300.24369999999999</v>
      </c>
      <c r="H3507">
        <v>1.037925</v>
      </c>
      <c r="I3507">
        <v>140.9605</v>
      </c>
      <c r="J3507">
        <v>-299.61950000000002</v>
      </c>
      <c r="K3507">
        <v>1.1099619999999999</v>
      </c>
      <c r="L3507">
        <v>140.87270000000001</v>
      </c>
      <c r="M3507">
        <v>-0.99982979999999999</v>
      </c>
      <c r="N3507">
        <v>0</v>
      </c>
      <c r="O3507">
        <v>1.3651450000000001E-2</v>
      </c>
      <c r="P3507">
        <v>-0.98475919999999895</v>
      </c>
      <c r="Q3507">
        <v>0.16108710000000001</v>
      </c>
      <c r="R3507">
        <v>6.5578839999999999E-2</v>
      </c>
      <c r="S3507">
        <v>-3.0623779999999998</v>
      </c>
      <c r="T3507">
        <v>-0.21205089999999999</v>
      </c>
      <c r="U3507">
        <v>0.27513120000000002</v>
      </c>
      <c r="V3507">
        <v>5.2105119999999998E-2</v>
      </c>
      <c r="W3507">
        <v>0.17331920000000001</v>
      </c>
      <c r="X3507">
        <v>0.98348639999999998</v>
      </c>
      <c r="Y3507">
        <v>7.5728450000000003E-2</v>
      </c>
      <c r="Z3507">
        <v>1.6713209999999999E-3</v>
      </c>
      <c r="AA3507">
        <v>0.99712710000000004</v>
      </c>
      <c r="AB3507">
        <v>41</v>
      </c>
      <c r="AC3507">
        <v>-0.624199999999973</v>
      </c>
      <c r="AD3507">
        <v>-7.2037000000000101E-2</v>
      </c>
      <c r="AE3507">
        <v>8.7799999999987194E-2</v>
      </c>
      <c r="AF3507">
        <v>7.8247979334425996E-2</v>
      </c>
      <c r="AG3507">
        <v>-7.2037000000000101E-2</v>
      </c>
      <c r="AH3507">
        <v>0.61727863620772305</v>
      </c>
      <c r="AI3507">
        <v>96.603987367271202</v>
      </c>
      <c r="AJ3507">
        <v>82.775557176202199</v>
      </c>
      <c r="AK3507">
        <v>0.62637448092765302</v>
      </c>
      <c r="AL3507">
        <v>80.019139182770303</v>
      </c>
      <c r="AM3507">
        <v>86.967304339804897</v>
      </c>
      <c r="AN3507">
        <v>0.99999999380190696</v>
      </c>
    </row>
    <row r="3508" spans="1:40" x14ac:dyDescent="0.25">
      <c r="A3508" t="str">
        <f>"20190312164337609"</f>
        <v>20190312164337609</v>
      </c>
      <c r="B3508" t="str">
        <f>"1552380217598527"</f>
        <v>1552380217598527</v>
      </c>
      <c r="C3508" t="s">
        <v>40</v>
      </c>
      <c r="D3508">
        <v>4.6289889999999998</v>
      </c>
      <c r="E3508">
        <v>0.51528459999999998</v>
      </c>
      <c r="F3508" t="s">
        <v>41</v>
      </c>
      <c r="G3508">
        <v>-300.6155</v>
      </c>
      <c r="H3508">
        <v>1.0428120000000001</v>
      </c>
      <c r="I3508">
        <v>140.96299999999999</v>
      </c>
      <c r="J3508">
        <v>-300.04090000000002</v>
      </c>
      <c r="K3508">
        <v>1.109958</v>
      </c>
      <c r="L3508">
        <v>140.8783</v>
      </c>
      <c r="M3508">
        <v>-0.99983040000000001</v>
      </c>
      <c r="N3508">
        <v>0</v>
      </c>
      <c r="O3508">
        <v>1.35888E-2</v>
      </c>
      <c r="P3508">
        <v>-0.98463420000000001</v>
      </c>
      <c r="Q3508">
        <v>0.16169140000000001</v>
      </c>
      <c r="R3508">
        <v>6.5965199999999904E-2</v>
      </c>
      <c r="S3508">
        <v>-3.0617070000000002</v>
      </c>
      <c r="T3508">
        <v>-0.20640500000000001</v>
      </c>
      <c r="U3508">
        <v>0.27731319999999998</v>
      </c>
      <c r="V3508">
        <v>5.2554589999999998E-2</v>
      </c>
      <c r="W3508">
        <v>0.1739339</v>
      </c>
      <c r="X3508">
        <v>0.98335399999999995</v>
      </c>
      <c r="Y3508">
        <v>7.6521069999999997E-2</v>
      </c>
      <c r="Z3508">
        <v>1.6580690000000001E-3</v>
      </c>
      <c r="AA3508">
        <v>0.99706660000000003</v>
      </c>
      <c r="AB3508">
        <v>41</v>
      </c>
      <c r="AC3508">
        <v>-0.57459999999997502</v>
      </c>
      <c r="AD3508">
        <v>-6.71459999999999E-2</v>
      </c>
      <c r="AE3508">
        <v>8.4699999999997999E-2</v>
      </c>
      <c r="AF3508">
        <v>7.5869444950156503E-2</v>
      </c>
      <c r="AG3508">
        <v>-6.71459999999999E-2</v>
      </c>
      <c r="AH3508">
        <v>0.56810519432881201</v>
      </c>
      <c r="AI3508">
        <v>96.681902791588101</v>
      </c>
      <c r="AJ3508">
        <v>82.393259190894995</v>
      </c>
      <c r="AK3508">
        <v>0.57706868726038396</v>
      </c>
      <c r="AL3508">
        <v>79.983376730181405</v>
      </c>
      <c r="AM3508">
        <v>86.940782060605301</v>
      </c>
      <c r="AN3508">
        <v>1.0000000379076299</v>
      </c>
    </row>
    <row r="3509" spans="1:40" x14ac:dyDescent="0.25">
      <c r="A3509" t="str">
        <f>"20190312164337631"</f>
        <v>20190312164337631</v>
      </c>
      <c r="B3509" t="str">
        <f>"1552380217627917"</f>
        <v>1552380217627917</v>
      </c>
      <c r="C3509" t="s">
        <v>40</v>
      </c>
      <c r="D3509">
        <v>4.6204210000000003</v>
      </c>
      <c r="E3509">
        <v>0.51481719999999997</v>
      </c>
      <c r="F3509" t="s">
        <v>41</v>
      </c>
      <c r="G3509">
        <v>-300.9862</v>
      </c>
      <c r="H3509">
        <v>1.0453809999999999</v>
      </c>
      <c r="I3509">
        <v>140.9633</v>
      </c>
      <c r="J3509">
        <v>-300.44349999999997</v>
      </c>
      <c r="K3509">
        <v>1.1099619999999999</v>
      </c>
      <c r="L3509">
        <v>140.8837</v>
      </c>
      <c r="M3509">
        <v>-0.99983120000000003</v>
      </c>
      <c r="N3509">
        <v>0</v>
      </c>
      <c r="O3509">
        <v>1.352772E-2</v>
      </c>
      <c r="P3509">
        <v>-0.98454200000000003</v>
      </c>
      <c r="Q3509">
        <v>0.1619497</v>
      </c>
      <c r="R3509">
        <v>6.6705609999999999E-2</v>
      </c>
      <c r="S3509">
        <v>-3.0627439999999999</v>
      </c>
      <c r="T3509">
        <v>-0.2092261</v>
      </c>
      <c r="U3509">
        <v>0.27513120000000002</v>
      </c>
      <c r="V3509">
        <v>5.3356220000000003E-2</v>
      </c>
      <c r="W3509">
        <v>0.17420579999999999</v>
      </c>
      <c r="X3509">
        <v>0.98326270000000005</v>
      </c>
      <c r="Y3509">
        <v>7.5844599999999998E-2</v>
      </c>
      <c r="Z3509">
        <v>1.6612899999999999E-3</v>
      </c>
      <c r="AA3509">
        <v>0.99711830000000001</v>
      </c>
      <c r="AB3509">
        <v>41</v>
      </c>
      <c r="AC3509">
        <v>-0.54270000000002405</v>
      </c>
      <c r="AD3509">
        <v>-6.4581000000000194E-2</v>
      </c>
      <c r="AE3509">
        <v>7.9599999999999199E-2</v>
      </c>
      <c r="AF3509">
        <v>7.1262764183576605E-2</v>
      </c>
      <c r="AG3509">
        <v>-6.4581000000000194E-2</v>
      </c>
      <c r="AH3509">
        <v>0.53629279029375199</v>
      </c>
      <c r="AI3509">
        <v>96.807293380497995</v>
      </c>
      <c r="AJ3509">
        <v>82.430859827346296</v>
      </c>
      <c r="AK3509">
        <v>0.54484772555379402</v>
      </c>
      <c r="AL3509">
        <v>79.967556527860296</v>
      </c>
      <c r="AM3509">
        <v>86.893921794399205</v>
      </c>
      <c r="AN3509">
        <v>1.0000000420888</v>
      </c>
    </row>
    <row r="3510" spans="1:40" x14ac:dyDescent="0.25">
      <c r="A3510" t="str">
        <f>"20190312164337652"</f>
        <v>20190312164337652</v>
      </c>
      <c r="B3510" t="str">
        <f>"1552380217648413"</f>
        <v>1552380217648413</v>
      </c>
      <c r="C3510" t="s">
        <v>40</v>
      </c>
      <c r="D3510">
        <v>4.7226999999999997</v>
      </c>
      <c r="E3510">
        <v>0.51446000000000003</v>
      </c>
      <c r="F3510" t="s">
        <v>41</v>
      </c>
      <c r="G3510">
        <v>-301.35669999999999</v>
      </c>
      <c r="H3510">
        <v>1.046891</v>
      </c>
      <c r="I3510">
        <v>140.96539999999999</v>
      </c>
      <c r="J3510">
        <v>-300.834</v>
      </c>
      <c r="K3510">
        <v>1.1099680000000001</v>
      </c>
      <c r="L3510">
        <v>140.88900000000001</v>
      </c>
      <c r="M3510">
        <v>-0.99983169999999999</v>
      </c>
      <c r="N3510">
        <v>0</v>
      </c>
      <c r="O3510">
        <v>1.3467150000000001E-2</v>
      </c>
      <c r="P3510">
        <v>-0.98448690000000005</v>
      </c>
      <c r="Q3510">
        <v>0.16212779999999999</v>
      </c>
      <c r="R3510">
        <v>6.7084889999999994E-2</v>
      </c>
      <c r="S3510">
        <v>-3.0633539999999999</v>
      </c>
      <c r="T3510">
        <v>-0.21153569999999999</v>
      </c>
      <c r="U3510">
        <v>0.27389530000000001</v>
      </c>
      <c r="V3510">
        <v>5.379544E-2</v>
      </c>
      <c r="W3510">
        <v>0.17440020000000001</v>
      </c>
      <c r="X3510">
        <v>0.98320419999999997</v>
      </c>
      <c r="Y3510">
        <v>7.5485750000000004E-2</v>
      </c>
      <c r="Z3510">
        <v>1.67109999999999E-3</v>
      </c>
      <c r="AA3510">
        <v>0.99714550000000002</v>
      </c>
      <c r="AB3510">
        <v>41</v>
      </c>
      <c r="AC3510">
        <v>-0.52269999999998595</v>
      </c>
      <c r="AD3510">
        <v>-6.3076999999999994E-2</v>
      </c>
      <c r="AE3510">
        <v>7.6399999999978194E-2</v>
      </c>
      <c r="AF3510">
        <v>6.8378311559420299E-2</v>
      </c>
      <c r="AG3510">
        <v>-6.3076999999999994E-2</v>
      </c>
      <c r="AH3510">
        <v>0.51631990710673903</v>
      </c>
      <c r="AI3510">
        <v>96.905408281586702</v>
      </c>
      <c r="AJ3510">
        <v>82.455990428584897</v>
      </c>
      <c r="AK3510">
        <v>0.52463372737122804</v>
      </c>
      <c r="AL3510">
        <v>79.956244027768193</v>
      </c>
      <c r="AM3510">
        <v>86.868217775140707</v>
      </c>
      <c r="AN3510">
        <v>0.99999993901123496</v>
      </c>
    </row>
    <row r="3511" spans="1:40" x14ac:dyDescent="0.25">
      <c r="A3511" t="str">
        <f>"20190312164337675"</f>
        <v>20190312164337675</v>
      </c>
      <c r="B3511" t="str">
        <f>"1552380217667932"</f>
        <v>1552380217667932</v>
      </c>
      <c r="C3511" t="s">
        <v>40</v>
      </c>
      <c r="D3511">
        <v>4.6051960000000003</v>
      </c>
      <c r="E3511">
        <v>0.51432820000000001</v>
      </c>
      <c r="F3511" t="s">
        <v>41</v>
      </c>
      <c r="G3511">
        <v>-301.7269</v>
      </c>
      <c r="H3511">
        <v>1.0480100000000001</v>
      </c>
      <c r="I3511">
        <v>140.96809999999999</v>
      </c>
      <c r="J3511">
        <v>-301.26569999999998</v>
      </c>
      <c r="K3511">
        <v>1.109979</v>
      </c>
      <c r="L3511">
        <v>140.8947</v>
      </c>
      <c r="M3511">
        <v>-0.99983250000000001</v>
      </c>
      <c r="N3511">
        <v>0</v>
      </c>
      <c r="O3511">
        <v>1.339795E-2</v>
      </c>
      <c r="P3511">
        <v>-0.98436210000000002</v>
      </c>
      <c r="Q3511">
        <v>0.162642799999999</v>
      </c>
      <c r="R3511">
        <v>6.766875E-2</v>
      </c>
      <c r="S3511">
        <v>-3.0637509999999999</v>
      </c>
      <c r="T3511">
        <v>-0.2125889</v>
      </c>
      <c r="U3511">
        <v>0.27159119999999998</v>
      </c>
      <c r="V3511">
        <v>5.4448089999999998E-2</v>
      </c>
      <c r="W3511">
        <v>0.17493639999999999</v>
      </c>
      <c r="X3511">
        <v>0.98307310000000003</v>
      </c>
      <c r="Y3511">
        <v>7.4799340000000006E-2</v>
      </c>
      <c r="Z3511">
        <v>1.6602839999999999E-3</v>
      </c>
      <c r="AA3511">
        <v>0.99719720000000001</v>
      </c>
      <c r="AB3511">
        <v>41</v>
      </c>
      <c r="AC3511">
        <v>-0.46120000000001898</v>
      </c>
      <c r="AD3511">
        <v>-6.1968999999999899E-2</v>
      </c>
      <c r="AE3511">
        <v>7.3399999999992305E-2</v>
      </c>
      <c r="AF3511">
        <v>6.6050781212160695E-2</v>
      </c>
      <c r="AG3511">
        <v>-6.1968999999999899E-2</v>
      </c>
      <c r="AH3511">
        <v>0.45414554033633198</v>
      </c>
      <c r="AI3511">
        <v>97.6902027291639</v>
      </c>
      <c r="AJ3511">
        <v>81.724941360563804</v>
      </c>
      <c r="AK3511">
        <v>0.46308858166350397</v>
      </c>
      <c r="AL3511">
        <v>79.925043294446496</v>
      </c>
      <c r="AM3511">
        <v>86.829877947825494</v>
      </c>
      <c r="AN3511">
        <v>1.0000000292466</v>
      </c>
    </row>
    <row r="3512" spans="1:40" x14ac:dyDescent="0.25">
      <c r="A3512" t="str">
        <f>"20190312164337700"</f>
        <v>20190312164337700</v>
      </c>
      <c r="B3512" t="str">
        <f>"1552380217688432"</f>
        <v>1552380217688432</v>
      </c>
      <c r="C3512" t="s">
        <v>40</v>
      </c>
      <c r="D3512">
        <v>4.5419499999999999</v>
      </c>
      <c r="E3512">
        <v>0.51434440000000003</v>
      </c>
      <c r="F3512" t="s">
        <v>41</v>
      </c>
      <c r="G3512">
        <v>-302.10000000000002</v>
      </c>
      <c r="H3512">
        <v>1.0520119999999999</v>
      </c>
      <c r="I3512">
        <v>140.96889999999999</v>
      </c>
      <c r="J3512">
        <v>-301.70089999999999</v>
      </c>
      <c r="K3512">
        <v>1.109993</v>
      </c>
      <c r="L3512">
        <v>140.90049999999999</v>
      </c>
      <c r="M3512">
        <v>-0.99983290000000002</v>
      </c>
      <c r="N3512">
        <v>0</v>
      </c>
      <c r="O3512">
        <v>1.332442E-2</v>
      </c>
      <c r="P3512">
        <v>-0.98418019999999995</v>
      </c>
      <c r="Q3512">
        <v>0.16356950000000001</v>
      </c>
      <c r="R3512">
        <v>6.8075430000000006E-2</v>
      </c>
      <c r="S3512">
        <v>-3.064117</v>
      </c>
      <c r="T3512">
        <v>-0.2129297</v>
      </c>
      <c r="U3512">
        <v>0.27212520000000001</v>
      </c>
      <c r="V3512">
        <v>5.4927650000000001E-2</v>
      </c>
      <c r="W3512">
        <v>0.17588699999999999</v>
      </c>
      <c r="X3512">
        <v>0.98287679999999999</v>
      </c>
      <c r="Y3512">
        <v>7.5033459999999996E-2</v>
      </c>
      <c r="Z3512">
        <v>1.67593E-3</v>
      </c>
      <c r="AA3512">
        <v>0.99717960000000005</v>
      </c>
      <c r="AB3512">
        <v>41</v>
      </c>
      <c r="AC3512">
        <v>-0.39910000000003198</v>
      </c>
      <c r="AD3512">
        <v>-5.7980999999999797E-2</v>
      </c>
      <c r="AE3512">
        <v>6.8399999999996894E-2</v>
      </c>
      <c r="AF3512">
        <v>6.1808424445945101E-2</v>
      </c>
      <c r="AG3512">
        <v>-5.7980999999999797E-2</v>
      </c>
      <c r="AH3512">
        <v>0.39193975716259999</v>
      </c>
      <c r="AI3512">
        <v>98.313652875973006</v>
      </c>
      <c r="AJ3512">
        <v>81.038327699560597</v>
      </c>
      <c r="AK3512">
        <v>0.40099732036282698</v>
      </c>
      <c r="AL3512">
        <v>79.8697202980741</v>
      </c>
      <c r="AM3512">
        <v>86.801376932593996</v>
      </c>
      <c r="AN3512">
        <v>1.00000004374088</v>
      </c>
    </row>
    <row r="3513" spans="1:40" x14ac:dyDescent="0.25">
      <c r="A3513" t="str">
        <f>"20190312164337722"</f>
        <v>20190312164337722</v>
      </c>
      <c r="B3513" t="str">
        <f>"1552380217718217"</f>
        <v>1552380217718217</v>
      </c>
      <c r="C3513" t="s">
        <v>40</v>
      </c>
      <c r="D3513">
        <v>4.5714860000000002</v>
      </c>
      <c r="E3513">
        <v>0.51467109999999905</v>
      </c>
      <c r="F3513" t="s">
        <v>49</v>
      </c>
      <c r="G3513">
        <v>-317.834</v>
      </c>
      <c r="H3513" s="1">
        <v>-7.0476909999999998E-6</v>
      </c>
      <c r="I3513">
        <v>142.3398</v>
      </c>
      <c r="J3513">
        <v>-302.10969999999998</v>
      </c>
      <c r="K3513">
        <v>1.1100049999999999</v>
      </c>
      <c r="L3513">
        <v>140.9059</v>
      </c>
      <c r="M3513">
        <v>-0.99983359999999999</v>
      </c>
      <c r="N3513">
        <v>0</v>
      </c>
      <c r="O3513">
        <v>1.325924E-2</v>
      </c>
      <c r="P3513">
        <v>-0.98389669999999896</v>
      </c>
      <c r="Q3513">
        <v>0.16494919999999999</v>
      </c>
      <c r="R3513">
        <v>6.8843260000000003E-2</v>
      </c>
      <c r="S3513">
        <v>-3.0643310000000001</v>
      </c>
      <c r="T3513">
        <v>-0.21083370000000001</v>
      </c>
      <c r="U3513">
        <v>0.27337650000000002</v>
      </c>
      <c r="V3513">
        <v>5.5762920000000001E-2</v>
      </c>
      <c r="W3513">
        <v>0.17729410000000001</v>
      </c>
      <c r="X3513">
        <v>0.98257680000000003</v>
      </c>
      <c r="Y3513">
        <v>7.5497969999999998E-2</v>
      </c>
      <c r="Z3513">
        <v>1.6797260000000001E-3</v>
      </c>
      <c r="AA3513">
        <v>0.99714449999999999</v>
      </c>
      <c r="AB3513">
        <v>41</v>
      </c>
      <c r="AC3513">
        <v>-15.724299999999999</v>
      </c>
      <c r="AD3513">
        <v>-1.11001204769099</v>
      </c>
      <c r="AE3513">
        <v>1.43389999999999</v>
      </c>
      <c r="AF3513">
        <v>1.2192396274956501</v>
      </c>
      <c r="AG3513">
        <v>-1.11001204769099</v>
      </c>
      <c r="AH3513">
        <v>15.6645149742626</v>
      </c>
      <c r="AI3513">
        <v>94.0411115328683</v>
      </c>
      <c r="AJ3513">
        <v>85.549384992101594</v>
      </c>
      <c r="AK3513">
        <v>15.7510539772477</v>
      </c>
      <c r="AL3513">
        <v>79.787811039964495</v>
      </c>
      <c r="AM3513">
        <v>86.751850341317294</v>
      </c>
      <c r="AN3513">
        <v>0.99999993451998603</v>
      </c>
    </row>
    <row r="3514" spans="1:40" x14ac:dyDescent="0.25">
      <c r="A3514" t="str">
        <f>"20190312164337743"</f>
        <v>20190312164337743</v>
      </c>
      <c r="B3514" t="str">
        <f>"1552380217738712"</f>
        <v>1552380217738712</v>
      </c>
      <c r="C3514" t="s">
        <v>40</v>
      </c>
      <c r="D3514">
        <v>4.7348229999999996</v>
      </c>
      <c r="E3514">
        <v>0.51521909999999904</v>
      </c>
      <c r="F3514" t="s">
        <v>41</v>
      </c>
      <c r="G3514">
        <v>-303.1968</v>
      </c>
      <c r="H3514">
        <v>1.037836</v>
      </c>
      <c r="I3514">
        <v>141.00489999999999</v>
      </c>
      <c r="J3514">
        <v>-302.50560000000002</v>
      </c>
      <c r="K3514">
        <v>1.110023</v>
      </c>
      <c r="L3514">
        <v>140.911</v>
      </c>
      <c r="M3514">
        <v>-0.99983379999999999</v>
      </c>
      <c r="N3514">
        <v>0</v>
      </c>
      <c r="O3514">
        <v>1.320239E-2</v>
      </c>
      <c r="P3514">
        <v>-0.98360639999999999</v>
      </c>
      <c r="Q3514">
        <v>0.1663415</v>
      </c>
      <c r="R3514">
        <v>6.9633420000000001E-2</v>
      </c>
      <c r="S3514">
        <v>-3.06366</v>
      </c>
      <c r="T3514">
        <v>-0.2033384</v>
      </c>
      <c r="U3514">
        <v>0.27893069999999998</v>
      </c>
      <c r="V3514">
        <v>5.661281E-2</v>
      </c>
      <c r="W3514">
        <v>0.17871909999999999</v>
      </c>
      <c r="X3514">
        <v>0.98227010000000003</v>
      </c>
      <c r="Y3514">
        <v>7.7372979999999994E-2</v>
      </c>
      <c r="Z3514">
        <v>1.686154E-3</v>
      </c>
      <c r="AA3514">
        <v>0.99700080000000002</v>
      </c>
      <c r="AB3514">
        <v>41</v>
      </c>
      <c r="AC3514">
        <v>-0.69119999999998005</v>
      </c>
      <c r="AD3514">
        <v>-7.2187000000000001E-2</v>
      </c>
      <c r="AE3514">
        <v>9.3899999999990699E-2</v>
      </c>
      <c r="AF3514">
        <v>8.3867424770958501E-2</v>
      </c>
      <c r="AG3514">
        <v>-7.2187000000000001E-2</v>
      </c>
      <c r="AH3514">
        <v>0.68504309370698002</v>
      </c>
      <c r="AI3514">
        <v>95.971135736354995</v>
      </c>
      <c r="AJ3514">
        <v>83.020211847656896</v>
      </c>
      <c r="AK3514">
        <v>0.69392272490699103</v>
      </c>
      <c r="AL3514">
        <v>79.704840504093099</v>
      </c>
      <c r="AM3514">
        <v>86.701425955891807</v>
      </c>
      <c r="AN3514">
        <v>1.0000000381574501</v>
      </c>
    </row>
    <row r="3515" spans="1:40" x14ac:dyDescent="0.25">
      <c r="A3515" t="str">
        <f>"20190312164337765"</f>
        <v>20190312164337765</v>
      </c>
      <c r="B3515" t="str">
        <f>"1552380217758232"</f>
        <v>1552380217758232</v>
      </c>
      <c r="C3515" t="s">
        <v>40</v>
      </c>
      <c r="D3515">
        <v>4.7029310000000004</v>
      </c>
      <c r="E3515">
        <v>0.51547540000000003</v>
      </c>
      <c r="F3515" t="s">
        <v>41</v>
      </c>
      <c r="G3515">
        <v>-303.56729999999999</v>
      </c>
      <c r="H3515">
        <v>1.0411319999999999</v>
      </c>
      <c r="I3515">
        <v>141.01050000000001</v>
      </c>
      <c r="J3515">
        <v>-302.91469999999998</v>
      </c>
      <c r="K3515">
        <v>1.110031</v>
      </c>
      <c r="L3515">
        <v>140.91640000000001</v>
      </c>
      <c r="M3515">
        <v>-0.99983379999999999</v>
      </c>
      <c r="N3515">
        <v>0</v>
      </c>
      <c r="O3515">
        <v>1.315206E-2</v>
      </c>
      <c r="P3515">
        <v>-0.98339189999999999</v>
      </c>
      <c r="Q3515">
        <v>0.16738599999999901</v>
      </c>
      <c r="R3515">
        <v>7.0159639999999995E-2</v>
      </c>
      <c r="S3515">
        <v>-3.0633849999999998</v>
      </c>
      <c r="T3515">
        <v>-0.1988472</v>
      </c>
      <c r="U3515">
        <v>0.28627010000000003</v>
      </c>
      <c r="V3515">
        <v>5.7191260000000001E-2</v>
      </c>
      <c r="W3515">
        <v>0.1798014</v>
      </c>
      <c r="X3515">
        <v>0.982039</v>
      </c>
      <c r="Y3515">
        <v>7.9800490000000002E-2</v>
      </c>
      <c r="Z3515">
        <v>1.7307479999999901E-3</v>
      </c>
      <c r="AA3515">
        <v>0.99680939999999996</v>
      </c>
      <c r="AB3515">
        <v>41</v>
      </c>
      <c r="AC3515">
        <v>-0.65260000000000595</v>
      </c>
      <c r="AD3515">
        <v>-6.8899000000000002E-2</v>
      </c>
      <c r="AE3515">
        <v>9.4099999999997394E-2</v>
      </c>
      <c r="AF3515">
        <v>8.4584537645604002E-2</v>
      </c>
      <c r="AG3515">
        <v>-6.8899000000000002E-2</v>
      </c>
      <c r="AH3515">
        <v>0.64671953130190096</v>
      </c>
      <c r="AI3515">
        <v>96.030159116991001</v>
      </c>
      <c r="AJ3515">
        <v>82.548573100409996</v>
      </c>
      <c r="AK3515">
        <v>0.65585651508319398</v>
      </c>
      <c r="AL3515">
        <v>79.641807766971596</v>
      </c>
      <c r="AM3515">
        <v>86.667015449311506</v>
      </c>
      <c r="AN3515">
        <v>0.99999999059167299</v>
      </c>
    </row>
    <row r="3516" spans="1:40" x14ac:dyDescent="0.25">
      <c r="A3516" t="str">
        <f>"20190312164337787"</f>
        <v>20190312164337787</v>
      </c>
      <c r="B3516" t="str">
        <f>"1552380217777752"</f>
        <v>1552380217777752</v>
      </c>
      <c r="C3516" t="s">
        <v>40</v>
      </c>
      <c r="D3516">
        <v>4.4988149999999996</v>
      </c>
      <c r="E3516">
        <v>0.51519320000000002</v>
      </c>
      <c r="F3516" t="s">
        <v>41</v>
      </c>
      <c r="G3516">
        <v>-303.93900000000002</v>
      </c>
      <c r="H3516">
        <v>1.045561</v>
      </c>
      <c r="I3516">
        <v>141.0137</v>
      </c>
      <c r="J3516">
        <v>-303.3306</v>
      </c>
      <c r="K3516">
        <v>1.1100449999999999</v>
      </c>
      <c r="L3516">
        <v>140.92179999999999</v>
      </c>
      <c r="M3516">
        <v>-0.999834</v>
      </c>
      <c r="N3516">
        <v>0</v>
      </c>
      <c r="O3516">
        <v>1.310236E-2</v>
      </c>
      <c r="P3516">
        <v>-0.98306930000000003</v>
      </c>
      <c r="Q3516">
        <v>0.1691462</v>
      </c>
      <c r="R3516">
        <v>7.0459629999999995E-2</v>
      </c>
      <c r="S3516">
        <v>-3.062805</v>
      </c>
      <c r="T3516">
        <v>-0.19283520000000001</v>
      </c>
      <c r="U3516">
        <v>0.29037479999999999</v>
      </c>
      <c r="V3516">
        <v>5.7545029999999997E-2</v>
      </c>
      <c r="W3516">
        <v>0.18160560000000001</v>
      </c>
      <c r="X3516">
        <v>0.98168630000000001</v>
      </c>
      <c r="Y3516">
        <v>8.1196969999999993E-2</v>
      </c>
      <c r="Z3516">
        <v>1.725674E-3</v>
      </c>
      <c r="AA3516">
        <v>0.99669660000000004</v>
      </c>
      <c r="AB3516">
        <v>41</v>
      </c>
      <c r="AC3516">
        <v>-0.60840000000001704</v>
      </c>
      <c r="AD3516">
        <v>-6.4484000000000194E-2</v>
      </c>
      <c r="AE3516">
        <v>9.1900000000009599E-2</v>
      </c>
      <c r="AF3516">
        <v>8.3008300943002794E-2</v>
      </c>
      <c r="AG3516">
        <v>-6.4484000000000194E-2</v>
      </c>
      <c r="AH3516">
        <v>0.60292988849976603</v>
      </c>
      <c r="AI3516">
        <v>96.048019412188694</v>
      </c>
      <c r="AJ3516">
        <v>82.161089676040007</v>
      </c>
      <c r="AK3516">
        <v>0.61202370438389397</v>
      </c>
      <c r="AL3516">
        <v>79.536704638059206</v>
      </c>
      <c r="AM3516">
        <v>86.645243286415806</v>
      </c>
      <c r="AN3516">
        <v>1.00000000801837</v>
      </c>
    </row>
    <row r="3517" spans="1:40" x14ac:dyDescent="0.25">
      <c r="A3517" t="str">
        <f>"20190312164337810"</f>
        <v>20190312164337810</v>
      </c>
      <c r="B3517" t="str">
        <f>"1552380217798248"</f>
        <v>1552380217798248</v>
      </c>
      <c r="C3517" t="s">
        <v>40</v>
      </c>
      <c r="D3517">
        <v>4.4886730000000004</v>
      </c>
      <c r="E3517">
        <v>0.50390630000000003</v>
      </c>
      <c r="F3517" t="s">
        <v>41</v>
      </c>
      <c r="G3517">
        <v>-304.31130000000002</v>
      </c>
      <c r="H3517">
        <v>1.0496939999999999</v>
      </c>
      <c r="I3517">
        <v>141.0145</v>
      </c>
      <c r="J3517">
        <v>-303.7407</v>
      </c>
      <c r="K3517">
        <v>1.110066</v>
      </c>
      <c r="L3517">
        <v>140.9271</v>
      </c>
      <c r="M3517">
        <v>-0.99983409999999995</v>
      </c>
      <c r="N3517">
        <v>0</v>
      </c>
      <c r="O3517">
        <v>1.304398E-2</v>
      </c>
      <c r="P3517">
        <v>-0.98263219999999996</v>
      </c>
      <c r="Q3517">
        <v>0.17154320000000001</v>
      </c>
      <c r="R3517">
        <v>7.0762850000000002E-2</v>
      </c>
      <c r="S3517">
        <v>-3.0633539999999999</v>
      </c>
      <c r="T3517">
        <v>-0.1885029</v>
      </c>
      <c r="U3517">
        <v>0.2895508</v>
      </c>
      <c r="V3517">
        <v>5.7914390000000003E-2</v>
      </c>
      <c r="W3517">
        <v>0.18405360000000001</v>
      </c>
      <c r="X3517">
        <v>0.98120850000000004</v>
      </c>
      <c r="Y3517">
        <v>8.0978919999999996E-2</v>
      </c>
      <c r="Z3517">
        <v>1.68359E-3</v>
      </c>
      <c r="AA3517">
        <v>0.9967144</v>
      </c>
      <c r="AB3517">
        <v>41</v>
      </c>
      <c r="AC3517">
        <v>-0.57060000000001299</v>
      </c>
      <c r="AD3517">
        <v>-6.0371999999999801E-2</v>
      </c>
      <c r="AE3517">
        <v>8.7400000000002295E-2</v>
      </c>
      <c r="AF3517">
        <v>7.9084049072375304E-2</v>
      </c>
      <c r="AG3517">
        <v>-6.0371999999999801E-2</v>
      </c>
      <c r="AH3517">
        <v>0.565506105144016</v>
      </c>
      <c r="AI3517">
        <v>96.0353805619676</v>
      </c>
      <c r="AJ3517">
        <v>82.039015668973605</v>
      </c>
      <c r="AK3517">
        <v>0.574191797361158</v>
      </c>
      <c r="AL3517">
        <v>79.394039371601295</v>
      </c>
      <c r="AM3517">
        <v>86.6221197568088</v>
      </c>
      <c r="AN3517">
        <v>0.99999996235713995</v>
      </c>
    </row>
    <row r="3518" spans="1:40" x14ac:dyDescent="0.25">
      <c r="A3518" t="str">
        <f>"20190312164337832"</f>
        <v>20190312164337832</v>
      </c>
      <c r="B3518" t="str">
        <f>"1552380217828504"</f>
        <v>1552380217828504</v>
      </c>
      <c r="C3518" t="s">
        <v>40</v>
      </c>
      <c r="D3518">
        <v>4.4691390000000002</v>
      </c>
      <c r="E3518">
        <v>0.50324609999999903</v>
      </c>
      <c r="F3518" t="s">
        <v>41</v>
      </c>
      <c r="G3518">
        <v>-304.67829999999998</v>
      </c>
      <c r="H3518">
        <v>1.0470919999999999</v>
      </c>
      <c r="I3518">
        <v>140.9881</v>
      </c>
      <c r="J3518">
        <v>-304.14510000000001</v>
      </c>
      <c r="K3518">
        <v>1.1100749999999999</v>
      </c>
      <c r="L3518">
        <v>140.9323</v>
      </c>
      <c r="M3518">
        <v>-0.999834</v>
      </c>
      <c r="N3518">
        <v>0</v>
      </c>
      <c r="O3518">
        <v>1.2981360000000001E-2</v>
      </c>
      <c r="P3518">
        <v>-0.98231489999999999</v>
      </c>
      <c r="Q3518">
        <v>0.1732571</v>
      </c>
      <c r="R3518">
        <v>7.0990670000000006E-2</v>
      </c>
      <c r="S3518">
        <v>-3.074738</v>
      </c>
      <c r="T3518">
        <v>-0.2065418</v>
      </c>
      <c r="U3518">
        <v>0.199707</v>
      </c>
      <c r="V3518">
        <v>5.8210810000000002E-2</v>
      </c>
      <c r="W3518">
        <v>0.1858292</v>
      </c>
      <c r="X3518">
        <v>0.98085619999999996</v>
      </c>
      <c r="Y3518">
        <v>5.176675E-2</v>
      </c>
      <c r="Z3518">
        <v>8.6483220000000002E-4</v>
      </c>
      <c r="AA3518">
        <v>0.99865879999999996</v>
      </c>
      <c r="AB3518">
        <v>41</v>
      </c>
      <c r="AC3518">
        <v>-0.53319999999996504</v>
      </c>
      <c r="AD3518">
        <v>-6.2982999999999997E-2</v>
      </c>
      <c r="AE3518">
        <v>5.5800000000004901E-2</v>
      </c>
      <c r="AF3518">
        <v>4.8207716958325098E-2</v>
      </c>
      <c r="AG3518">
        <v>-6.2982999999999997E-2</v>
      </c>
      <c r="AH3518">
        <v>0.52661129648689298</v>
      </c>
      <c r="AI3518">
        <v>96.792077327226906</v>
      </c>
      <c r="AJ3518">
        <v>84.769535545399805</v>
      </c>
      <c r="AK3518">
        <v>0.53255074861550999</v>
      </c>
      <c r="AL3518">
        <v>79.290518927581601</v>
      </c>
      <c r="AM3518">
        <v>86.603654685414298</v>
      </c>
      <c r="AN3518">
        <v>0.99999993752596605</v>
      </c>
    </row>
    <row r="3519" spans="1:40" x14ac:dyDescent="0.25">
      <c r="A3519" t="str">
        <f>"20190312164337855"</f>
        <v>20190312164337855</v>
      </c>
      <c r="B3519" t="str">
        <f>"1552380217848024"</f>
        <v>1552380217848024</v>
      </c>
      <c r="C3519" t="s">
        <v>40</v>
      </c>
      <c r="D3519">
        <v>4.4859200000000001</v>
      </c>
      <c r="E3519">
        <v>0.50405100000000003</v>
      </c>
      <c r="F3519" t="s">
        <v>41</v>
      </c>
      <c r="G3519">
        <v>-305.04790000000003</v>
      </c>
      <c r="H3519">
        <v>1.0483709999999999</v>
      </c>
      <c r="I3519">
        <v>140.9897</v>
      </c>
      <c r="J3519">
        <v>-304.57010000000002</v>
      </c>
      <c r="K3519">
        <v>1.110093</v>
      </c>
      <c r="L3519">
        <v>140.93770000000001</v>
      </c>
      <c r="M3519">
        <v>-0.99983379999999999</v>
      </c>
      <c r="N3519">
        <v>0</v>
      </c>
      <c r="O3519">
        <v>1.291575E-2</v>
      </c>
      <c r="P3519">
        <v>-0.98199780000000003</v>
      </c>
      <c r="Q3519">
        <v>0.17508550000000001</v>
      </c>
      <c r="R3519">
        <v>7.0889859999999999E-2</v>
      </c>
      <c r="S3519">
        <v>-3.076965</v>
      </c>
      <c r="T3519">
        <v>-0.2102984</v>
      </c>
      <c r="U3519">
        <v>0.19503780000000001</v>
      </c>
      <c r="V3519">
        <v>5.8179880000000003E-2</v>
      </c>
      <c r="W3519">
        <v>0.1877316</v>
      </c>
      <c r="X3519">
        <v>0.98049580000000003</v>
      </c>
      <c r="Y3519">
        <v>5.0276469999999997E-2</v>
      </c>
      <c r="Z3519">
        <v>8.3358749999999995E-4</v>
      </c>
      <c r="AA3519">
        <v>0.99873500000000004</v>
      </c>
      <c r="AB3519">
        <v>41</v>
      </c>
      <c r="AC3519">
        <v>-0.477800000000002</v>
      </c>
      <c r="AD3519">
        <v>-6.1721999999999999E-2</v>
      </c>
      <c r="AE3519">
        <v>5.1999999999992497E-2</v>
      </c>
      <c r="AF3519">
        <v>4.5080536362206901E-2</v>
      </c>
      <c r="AG3519">
        <v>-6.1721999999999999E-2</v>
      </c>
      <c r="AH3519">
        <v>0.470669521112828</v>
      </c>
      <c r="AI3519">
        <v>97.437290468521297</v>
      </c>
      <c r="AJ3519">
        <v>84.528922744259205</v>
      </c>
      <c r="AK3519">
        <v>0.47683504291031598</v>
      </c>
      <c r="AL3519">
        <v>79.179567886535494</v>
      </c>
      <c r="AM3519">
        <v>86.604210283447799</v>
      </c>
      <c r="AN3519">
        <v>1.0000000329465</v>
      </c>
    </row>
    <row r="3520" spans="1:40" x14ac:dyDescent="0.25">
      <c r="A3520" t="str">
        <f>"20190312164337877"</f>
        <v>20190312164337877</v>
      </c>
      <c r="B3520" t="str">
        <f>"1552380217868529"</f>
        <v>1552380217868529</v>
      </c>
      <c r="C3520" t="s">
        <v>40</v>
      </c>
      <c r="D3520">
        <v>4.4662889999999997</v>
      </c>
      <c r="E3520">
        <v>0.504575</v>
      </c>
      <c r="F3520" t="s">
        <v>42</v>
      </c>
      <c r="G3520">
        <v>-322.54169999999999</v>
      </c>
      <c r="H3520" s="1">
        <v>-3.8483269999999998E-6</v>
      </c>
      <c r="I3520">
        <v>142.12100000000001</v>
      </c>
      <c r="J3520">
        <v>-304.97890000000001</v>
      </c>
      <c r="K3520">
        <v>1.1101219999999901</v>
      </c>
      <c r="L3520">
        <v>140.94290000000001</v>
      </c>
      <c r="M3520">
        <v>-0.99983339999999998</v>
      </c>
      <c r="N3520">
        <v>0</v>
      </c>
      <c r="O3520">
        <v>1.285624E-2</v>
      </c>
      <c r="P3520">
        <v>-0.98156120000000002</v>
      </c>
      <c r="Q3520">
        <v>0.17753089999999999</v>
      </c>
      <c r="R3520">
        <v>7.0855169999999995E-2</v>
      </c>
      <c r="S3520">
        <v>-3.074249</v>
      </c>
      <c r="T3520">
        <v>-0.18989610000000001</v>
      </c>
      <c r="U3520">
        <v>0.20242309999999999</v>
      </c>
      <c r="V3520">
        <v>5.8209120000000003E-2</v>
      </c>
      <c r="W3520">
        <v>0.1902549</v>
      </c>
      <c r="X3520">
        <v>0.98000750000000003</v>
      </c>
      <c r="Y3520">
        <v>5.279172E-2</v>
      </c>
      <c r="Z3520">
        <v>8.3467759999999904E-4</v>
      </c>
      <c r="AA3520">
        <v>0.99860519999999997</v>
      </c>
      <c r="AB3520">
        <v>41</v>
      </c>
      <c r="AC3520">
        <v>-17.5627999999999</v>
      </c>
      <c r="AD3520">
        <v>-1.11012584832699</v>
      </c>
      <c r="AE3520">
        <v>1.1780999999999999</v>
      </c>
      <c r="AF3520">
        <v>0.94841977830605295</v>
      </c>
      <c r="AG3520">
        <v>-1.11012584832699</v>
      </c>
      <c r="AH3520">
        <v>17.5068624327509</v>
      </c>
      <c r="AI3520">
        <v>93.623020465166803</v>
      </c>
      <c r="AJ3520">
        <v>86.899079778925895</v>
      </c>
      <c r="AK3520">
        <v>17.567643886254999</v>
      </c>
      <c r="AL3520">
        <v>79.032339363240197</v>
      </c>
      <c r="AM3520">
        <v>86.600818755587895</v>
      </c>
      <c r="AN3520">
        <v>0.99999996434071603</v>
      </c>
    </row>
    <row r="3521" spans="1:40" x14ac:dyDescent="0.25">
      <c r="A3521" t="str">
        <f>"20190312164337898"</f>
        <v>20190312164337898</v>
      </c>
      <c r="B3521" t="str">
        <f>"1552380217888040"</f>
        <v>1552380217888040</v>
      </c>
      <c r="C3521" t="s">
        <v>40</v>
      </c>
      <c r="D3521">
        <v>4.4558410000000004</v>
      </c>
      <c r="E3521">
        <v>0.50453249999999905</v>
      </c>
      <c r="F3521" t="s">
        <v>42</v>
      </c>
      <c r="G3521">
        <v>-324.78359999999998</v>
      </c>
      <c r="H3521" s="1">
        <v>-2.9282120000000001E-6</v>
      </c>
      <c r="I3521">
        <v>142.27760000000001</v>
      </c>
      <c r="J3521">
        <v>-305.37400000000002</v>
      </c>
      <c r="K3521">
        <v>1.1101449999999999</v>
      </c>
      <c r="L3521">
        <v>140.94799999999901</v>
      </c>
      <c r="M3521">
        <v>-0.99983310000000003</v>
      </c>
      <c r="N3521">
        <v>0</v>
      </c>
      <c r="O3521">
        <v>1.280155E-2</v>
      </c>
      <c r="P3521">
        <v>-0.98112869999999996</v>
      </c>
      <c r="Q3521">
        <v>0.17998410000000001</v>
      </c>
      <c r="R3521">
        <v>7.0656049999999998E-2</v>
      </c>
      <c r="S3521">
        <v>-3.0726010000000001</v>
      </c>
      <c r="T3521">
        <v>-0.1722311</v>
      </c>
      <c r="U3521">
        <v>0.20707700000000001</v>
      </c>
      <c r="V3521">
        <v>5.8068410000000001E-2</v>
      </c>
      <c r="W3521">
        <v>0.1927836</v>
      </c>
      <c r="X3521">
        <v>0.97952159999999999</v>
      </c>
      <c r="Y3521">
        <v>5.4398009999999997E-2</v>
      </c>
      <c r="Z3521">
        <v>8.0551919999999897E-4</v>
      </c>
      <c r="AA3521">
        <v>0.99851900000000005</v>
      </c>
      <c r="AB3521">
        <v>41</v>
      </c>
      <c r="AC3521">
        <v>-19.409599999999902</v>
      </c>
      <c r="AD3521">
        <v>-1.1101479282119999</v>
      </c>
      <c r="AE3521">
        <v>1.3296000000000201</v>
      </c>
      <c r="AF3521">
        <v>1.0774885641193701</v>
      </c>
      <c r="AG3521">
        <v>-1.1101479282119999</v>
      </c>
      <c r="AH3521">
        <v>19.361987410398701</v>
      </c>
      <c r="AI3521">
        <v>93.276486191161098</v>
      </c>
      <c r="AJ3521">
        <v>86.814793094723896</v>
      </c>
      <c r="AK3521">
        <v>19.423696005363201</v>
      </c>
      <c r="AL3521">
        <v>78.884723449263504</v>
      </c>
      <c r="AM3521">
        <v>86.6073382649205</v>
      </c>
      <c r="AN3521">
        <v>1.00000001076772</v>
      </c>
    </row>
    <row r="3522" spans="1:40" x14ac:dyDescent="0.25">
      <c r="A3522" t="str">
        <f>"20190312164337920"</f>
        <v>20190312164337920</v>
      </c>
      <c r="B3522" t="str">
        <f>"1552380217908536"</f>
        <v>1552380217908536</v>
      </c>
      <c r="C3522" t="s">
        <v>40</v>
      </c>
      <c r="D3522">
        <v>4.4930469999999998</v>
      </c>
      <c r="E3522">
        <v>0.50492720000000002</v>
      </c>
      <c r="F3522" t="s">
        <v>42</v>
      </c>
      <c r="G3522">
        <v>-325.83069999999998</v>
      </c>
      <c r="H3522" s="1">
        <v>-2.4908509999999999E-6</v>
      </c>
      <c r="I3522">
        <v>142.32210000000001</v>
      </c>
      <c r="J3522">
        <v>-305.76960000000003</v>
      </c>
      <c r="K3522">
        <v>1.110171</v>
      </c>
      <c r="L3522">
        <v>140.953</v>
      </c>
      <c r="M3522">
        <v>-0.99983259999999996</v>
      </c>
      <c r="N3522">
        <v>0</v>
      </c>
      <c r="O3522">
        <v>1.2748850000000001E-2</v>
      </c>
      <c r="P3522">
        <v>-0.9807534</v>
      </c>
      <c r="Q3522">
        <v>0.1821864</v>
      </c>
      <c r="R3522">
        <v>7.0222039999999999E-2</v>
      </c>
      <c r="S3522">
        <v>-3.0734249999999999</v>
      </c>
      <c r="T3522">
        <v>-0.16678970000000001</v>
      </c>
      <c r="U3522">
        <v>0.20645140000000001</v>
      </c>
      <c r="V3522">
        <v>5.7689879999999999E-2</v>
      </c>
      <c r="W3522">
        <v>0.19506409999999999</v>
      </c>
      <c r="X3522">
        <v>0.97909239999999997</v>
      </c>
      <c r="Y3522">
        <v>5.4234539999999998E-2</v>
      </c>
      <c r="Z3522">
        <v>7.7833000000000004E-4</v>
      </c>
      <c r="AA3522">
        <v>0.99852790000000002</v>
      </c>
      <c r="AB3522">
        <v>41</v>
      </c>
      <c r="AC3522">
        <v>-20.0610999999999</v>
      </c>
      <c r="AD3522">
        <v>-1.1101734908509999</v>
      </c>
      <c r="AE3522">
        <v>1.3691</v>
      </c>
      <c r="AF3522">
        <v>1.10982767108679</v>
      </c>
      <c r="AG3522">
        <v>-1.1101734908509999</v>
      </c>
      <c r="AH3522">
        <v>20.015911306443201</v>
      </c>
      <c r="AI3522">
        <v>93.169772954398198</v>
      </c>
      <c r="AJ3522">
        <v>86.826355039370597</v>
      </c>
      <c r="AK3522">
        <v>20.0773730369961</v>
      </c>
      <c r="AL3522">
        <v>78.751532143299499</v>
      </c>
      <c r="AM3522">
        <v>86.627928677831406</v>
      </c>
      <c r="AN3522">
        <v>1.00000002655049</v>
      </c>
    </row>
    <row r="3523" spans="1:40" x14ac:dyDescent="0.25">
      <c r="A3523" t="str">
        <f>"20190312164337943"</f>
        <v>20190312164337943</v>
      </c>
      <c r="B3523" t="str">
        <f>"1552380217937817"</f>
        <v>1552380217937817</v>
      </c>
      <c r="C3523" t="s">
        <v>40</v>
      </c>
      <c r="D3523">
        <v>4.6117790000000003</v>
      </c>
      <c r="E3523">
        <v>0.50503980000000004</v>
      </c>
      <c r="F3523" t="s">
        <v>42</v>
      </c>
      <c r="G3523">
        <v>-327.78300000000002</v>
      </c>
      <c r="H3523" s="1">
        <v>-1.687533E-6</v>
      </c>
      <c r="I3523">
        <v>142.45060000000001</v>
      </c>
      <c r="J3523">
        <v>-306.18419999999998</v>
      </c>
      <c r="K3523">
        <v>1.1101829999999999</v>
      </c>
      <c r="L3523">
        <v>140.95820000000001</v>
      </c>
      <c r="M3523">
        <v>-0.9998321</v>
      </c>
      <c r="N3523">
        <v>0</v>
      </c>
      <c r="O3523">
        <v>1.269295E-2</v>
      </c>
      <c r="P3523">
        <v>-0.9805123</v>
      </c>
      <c r="Q3523">
        <v>0.18386359999999999</v>
      </c>
      <c r="R3523">
        <v>6.9210830000000001E-2</v>
      </c>
      <c r="S3523">
        <v>-3.0726619999999998</v>
      </c>
      <c r="T3523">
        <v>-0.15495989999999901</v>
      </c>
      <c r="U3523">
        <v>0.20904539999999999</v>
      </c>
      <c r="V3523">
        <v>5.6735800000000003E-2</v>
      </c>
      <c r="W3523">
        <v>0.19683020000000001</v>
      </c>
      <c r="X3523">
        <v>0.97879459999999996</v>
      </c>
      <c r="Y3523">
        <v>5.5153109999999998E-2</v>
      </c>
      <c r="Z3523">
        <v>7.492919E-4</v>
      </c>
      <c r="AA3523">
        <v>0.99847759999999997</v>
      </c>
      <c r="AB3523">
        <v>41</v>
      </c>
      <c r="AC3523">
        <v>-21.598800000000001</v>
      </c>
      <c r="AD3523">
        <v>-1.1101846875329999</v>
      </c>
      <c r="AE3523">
        <v>1.4923999999999999</v>
      </c>
      <c r="AF3523">
        <v>1.2149087941136001</v>
      </c>
      <c r="AG3523">
        <v>-1.1101846875329999</v>
      </c>
      <c r="AH3523">
        <v>21.559315485136299</v>
      </c>
      <c r="AI3523">
        <v>92.943148760368004</v>
      </c>
      <c r="AJ3523">
        <v>86.774684041603905</v>
      </c>
      <c r="AK3523">
        <v>21.622039626410899</v>
      </c>
      <c r="AL3523">
        <v>78.648341044278993</v>
      </c>
      <c r="AM3523">
        <v>86.682563973870003</v>
      </c>
      <c r="AN3523">
        <v>0.99999997381141903</v>
      </c>
    </row>
    <row r="3524" spans="1:40" x14ac:dyDescent="0.25">
      <c r="A3524" t="str">
        <f>"20190312164337966"</f>
        <v>20190312164337966</v>
      </c>
      <c r="B3524" t="str">
        <f>"1552380217958312"</f>
        <v>1552380217958312</v>
      </c>
      <c r="C3524" t="s">
        <v>40</v>
      </c>
      <c r="D3524">
        <v>4.4302789999999996</v>
      </c>
      <c r="E3524">
        <v>0.45455400000000001</v>
      </c>
      <c r="F3524" t="s">
        <v>42</v>
      </c>
      <c r="G3524">
        <v>-329.54140000000001</v>
      </c>
      <c r="H3524" s="1">
        <v>-9.5484109999999996E-7</v>
      </c>
      <c r="I3524">
        <v>142.53210000000001</v>
      </c>
      <c r="J3524">
        <v>-306.60770000000002</v>
      </c>
      <c r="K3524">
        <v>1.1102019999999999</v>
      </c>
      <c r="L3524">
        <v>140.96350000000001</v>
      </c>
      <c r="M3524">
        <v>-0.99983169999999999</v>
      </c>
      <c r="N3524">
        <v>0</v>
      </c>
      <c r="O3524">
        <v>1.263414E-2</v>
      </c>
      <c r="P3524">
        <v>-0.98034600000000005</v>
      </c>
      <c r="Q3524">
        <v>0.18528130000000001</v>
      </c>
      <c r="R3524">
        <v>6.7770769999999994E-2</v>
      </c>
      <c r="S3524">
        <v>-3.0723880000000001</v>
      </c>
      <c r="T3524">
        <v>-0.14603289999999999</v>
      </c>
      <c r="U3524">
        <v>0.2070313</v>
      </c>
      <c r="V3524">
        <v>5.5355130000000002E-2</v>
      </c>
      <c r="W3524">
        <v>0.19833529999999999</v>
      </c>
      <c r="X3524">
        <v>0.97856980000000005</v>
      </c>
      <c r="Y3524">
        <v>5.4572870000000002E-2</v>
      </c>
      <c r="Z3524">
        <v>6.9527710000000004E-4</v>
      </c>
      <c r="AA3524">
        <v>0.99850950000000005</v>
      </c>
      <c r="AB3524">
        <v>41</v>
      </c>
      <c r="AC3524">
        <v>-22.933699999999899</v>
      </c>
      <c r="AD3524">
        <v>-1.1102029548411001</v>
      </c>
      <c r="AE3524">
        <v>1.5686</v>
      </c>
      <c r="AF3524">
        <v>1.27572588170321</v>
      </c>
      <c r="AG3524">
        <v>-1.1102029548411001</v>
      </c>
      <c r="AH3524">
        <v>22.898277710479899</v>
      </c>
      <c r="AI3524">
        <v>92.771470934485194</v>
      </c>
      <c r="AJ3524">
        <v>86.811191441450404</v>
      </c>
      <c r="AK3524">
        <v>22.960643484720698</v>
      </c>
      <c r="AL3524">
        <v>78.560370857977404</v>
      </c>
      <c r="AM3524">
        <v>86.762378231792695</v>
      </c>
      <c r="AN3524">
        <v>0.99999996755772302</v>
      </c>
    </row>
    <row r="3525" spans="1:40" x14ac:dyDescent="0.25">
      <c r="A3525" t="str">
        <f>"20190312164337989"</f>
        <v>20190312164337989</v>
      </c>
      <c r="B3525" t="str">
        <f>"1552380217977832"</f>
        <v>1552380217977832</v>
      </c>
      <c r="C3525" t="s">
        <v>40</v>
      </c>
      <c r="D3525">
        <v>4.5099939999999998</v>
      </c>
      <c r="E3525">
        <v>0.44520549999999998</v>
      </c>
      <c r="F3525" t="s">
        <v>42</v>
      </c>
      <c r="G3525">
        <v>-328.17910000000001</v>
      </c>
      <c r="H3525" s="1">
        <v>-7.7235690000000005E-7</v>
      </c>
      <c r="I3525">
        <v>139.56630000000001</v>
      </c>
      <c r="J3525">
        <v>-307.02999999999997</v>
      </c>
      <c r="K3525">
        <v>1.110215</v>
      </c>
      <c r="L3525">
        <v>140.96879999999999</v>
      </c>
      <c r="M3525">
        <v>-0.99983109999999997</v>
      </c>
      <c r="N3525">
        <v>0</v>
      </c>
      <c r="O3525">
        <v>1.2574429999999999E-2</v>
      </c>
      <c r="P3525">
        <v>-0.98022520000000002</v>
      </c>
      <c r="Q3525">
        <v>0.18661449999999999</v>
      </c>
      <c r="R3525">
        <v>6.5832089999999996E-2</v>
      </c>
      <c r="S3525">
        <v>-3.1042179999999999</v>
      </c>
      <c r="T3525">
        <v>-0.15976309999999999</v>
      </c>
      <c r="U3525">
        <v>-0.2010651</v>
      </c>
      <c r="V3525">
        <v>5.3476679999999999E-2</v>
      </c>
      <c r="W3525">
        <v>0.19974929999999999</v>
      </c>
      <c r="X3525">
        <v>0.9783866</v>
      </c>
      <c r="Y3525">
        <v>-7.7062119999999998E-2</v>
      </c>
      <c r="Z3525">
        <v>-2.6258449999999999E-3</v>
      </c>
      <c r="AA3525">
        <v>0.99702279999999999</v>
      </c>
      <c r="AB3525">
        <v>41</v>
      </c>
      <c r="AC3525">
        <v>-21.149100000000001</v>
      </c>
      <c r="AD3525">
        <v>-1.1102157723568999</v>
      </c>
      <c r="AE3525">
        <v>-1.4024999999999701</v>
      </c>
      <c r="AF3525">
        <v>-1.66378605504122</v>
      </c>
      <c r="AG3525">
        <v>-1.1102157723568999</v>
      </c>
      <c r="AH3525">
        <v>21.071976725780399</v>
      </c>
      <c r="AI3525">
        <v>93.006604562731198</v>
      </c>
      <c r="AJ3525">
        <v>94.514553070918396</v>
      </c>
      <c r="AK3525">
        <v>21.166694740321901</v>
      </c>
      <c r="AL3525">
        <v>78.477700116541101</v>
      </c>
      <c r="AM3525">
        <v>86.871438853705698</v>
      </c>
      <c r="AN3525">
        <v>0.99999993860693404</v>
      </c>
    </row>
    <row r="3526" spans="1:40" x14ac:dyDescent="0.25">
      <c r="A3526" t="str">
        <f>"20190312164338010"</f>
        <v>20190312164338010</v>
      </c>
      <c r="B3526" t="str">
        <f>"1552380217998329"</f>
        <v>1552380217998329</v>
      </c>
      <c r="C3526" t="s">
        <v>40</v>
      </c>
      <c r="D3526">
        <v>4.5542530000000001</v>
      </c>
      <c r="E3526">
        <v>0.441494</v>
      </c>
      <c r="F3526" t="s">
        <v>42</v>
      </c>
      <c r="G3526">
        <v>-332.00810000000001</v>
      </c>
      <c r="H3526" s="1">
        <v>-3.9188090000000001E-6</v>
      </c>
      <c r="I3526">
        <v>138.7116</v>
      </c>
      <c r="J3526">
        <v>-307.41449999999998</v>
      </c>
      <c r="K3526">
        <v>1.1102339999999999</v>
      </c>
      <c r="L3526">
        <v>140.9736</v>
      </c>
      <c r="M3526">
        <v>-0.99983080000000002</v>
      </c>
      <c r="N3526">
        <v>0</v>
      </c>
      <c r="O3526">
        <v>1.2519489999999999E-2</v>
      </c>
      <c r="P3526">
        <v>-0.98016210000000004</v>
      </c>
      <c r="Q3526">
        <v>0.1876488</v>
      </c>
      <c r="R3526">
        <v>6.3798320000000006E-2</v>
      </c>
      <c r="S3526">
        <v>-3.1056520000000001</v>
      </c>
      <c r="T3526">
        <v>-0.1380392</v>
      </c>
      <c r="U3526">
        <v>-0.28065489999999998</v>
      </c>
      <c r="V3526">
        <v>5.1497220000000003E-2</v>
      </c>
      <c r="W3526">
        <v>0.20085749999999999</v>
      </c>
      <c r="X3526">
        <v>0.97826599999999997</v>
      </c>
      <c r="Y3526">
        <v>-0.1023526</v>
      </c>
      <c r="Z3526">
        <v>-2.824109E-3</v>
      </c>
      <c r="AA3526">
        <v>0.99474419999999997</v>
      </c>
      <c r="AB3526">
        <v>41</v>
      </c>
      <c r="AC3526">
        <v>-24.593599999999999</v>
      </c>
      <c r="AD3526">
        <v>-1.1102379188089999</v>
      </c>
      <c r="AE3526">
        <v>-2.262</v>
      </c>
      <c r="AF3526">
        <v>-2.56456743499625</v>
      </c>
      <c r="AG3526">
        <v>-1.1102379188089999</v>
      </c>
      <c r="AH3526">
        <v>24.5138123323451</v>
      </c>
      <c r="AI3526">
        <v>92.579114639500403</v>
      </c>
      <c r="AJ3526">
        <v>95.972400811249599</v>
      </c>
      <c r="AK3526">
        <v>24.6725886244317</v>
      </c>
      <c r="AL3526">
        <v>78.412892616508202</v>
      </c>
      <c r="AM3526">
        <v>86.986655540009806</v>
      </c>
      <c r="AN3526">
        <v>1.0000000328649801</v>
      </c>
    </row>
    <row r="3527" spans="1:40" x14ac:dyDescent="0.25">
      <c r="A3527" t="str">
        <f>"20190312164338033"</f>
        <v>20190312164338033</v>
      </c>
      <c r="B3527" t="str">
        <f>"1552380218028585"</f>
        <v>1552380218028585</v>
      </c>
      <c r="C3527" t="s">
        <v>40</v>
      </c>
      <c r="D3527">
        <v>4.4798099999999996</v>
      </c>
      <c r="E3527">
        <v>0.43843660000000001</v>
      </c>
      <c r="F3527" t="s">
        <v>42</v>
      </c>
      <c r="G3527">
        <v>-333.61099999999999</v>
      </c>
      <c r="H3527" s="1">
        <v>-3.2334330000000001E-6</v>
      </c>
      <c r="I3527">
        <v>138.3038</v>
      </c>
      <c r="J3527">
        <v>-307.8399</v>
      </c>
      <c r="K3527">
        <v>1.1102449999999999</v>
      </c>
      <c r="L3527">
        <v>140.97890000000001</v>
      </c>
      <c r="M3527">
        <v>-0.99983049999999996</v>
      </c>
      <c r="N3527">
        <v>0</v>
      </c>
      <c r="O3527">
        <v>1.245895E-2</v>
      </c>
      <c r="P3527">
        <v>-0.98013059999999996</v>
      </c>
      <c r="Q3527">
        <v>0.1886497</v>
      </c>
      <c r="R3527">
        <v>6.1282839999999998E-2</v>
      </c>
      <c r="S3527">
        <v>-3.1065670000000001</v>
      </c>
      <c r="T3527">
        <v>-0.13166</v>
      </c>
      <c r="U3527">
        <v>-0.31660460000000001</v>
      </c>
      <c r="V3527">
        <v>4.9041510000000003E-2</v>
      </c>
      <c r="W3527">
        <v>0.20193829999999999</v>
      </c>
      <c r="X3527">
        <v>0.97816970000000003</v>
      </c>
      <c r="Y3527">
        <v>-0.1136654</v>
      </c>
      <c r="Z3527">
        <v>-2.9278920000000001E-3</v>
      </c>
      <c r="AA3527">
        <v>0.99351480000000003</v>
      </c>
      <c r="AB3527">
        <v>41</v>
      </c>
      <c r="AC3527">
        <v>-25.771099999999901</v>
      </c>
      <c r="AD3527">
        <v>-1.1102482334329999</v>
      </c>
      <c r="AE3527">
        <v>-2.6751000000000098</v>
      </c>
      <c r="AF3527">
        <v>-2.9905115059930201</v>
      </c>
      <c r="AG3527">
        <v>-1.1102482334329999</v>
      </c>
      <c r="AH3527">
        <v>25.688598005070801</v>
      </c>
      <c r="AI3527">
        <v>92.458174315722502</v>
      </c>
      <c r="AJ3527">
        <v>96.640140222445794</v>
      </c>
      <c r="AK3527">
        <v>25.885901136978902</v>
      </c>
      <c r="AL3527">
        <v>78.349672167457499</v>
      </c>
      <c r="AM3527">
        <v>87.129822387823197</v>
      </c>
      <c r="AN3527">
        <v>1.00000005435402</v>
      </c>
    </row>
    <row r="3528" spans="1:40" x14ac:dyDescent="0.25">
      <c r="A3528" t="str">
        <f>"20190312164338056"</f>
        <v>20190312164338056</v>
      </c>
      <c r="B3528" t="str">
        <f>"1552380218049081"</f>
        <v>1552380218049081</v>
      </c>
      <c r="C3528" t="s">
        <v>40</v>
      </c>
      <c r="D3528">
        <v>4.4825299999999997</v>
      </c>
      <c r="E3528">
        <v>0.43723790000000001</v>
      </c>
      <c r="F3528" t="s">
        <v>42</v>
      </c>
      <c r="G3528">
        <v>-332.62799999999999</v>
      </c>
      <c r="H3528" s="1">
        <v>-3.7171170000000002E-6</v>
      </c>
      <c r="I3528">
        <v>138.19659999999999</v>
      </c>
      <c r="J3528">
        <v>-308.26549999999997</v>
      </c>
      <c r="K3528">
        <v>1.110257</v>
      </c>
      <c r="L3528">
        <v>140.98410000000001</v>
      </c>
      <c r="M3528">
        <v>-0.9998302</v>
      </c>
      <c r="N3528">
        <v>0</v>
      </c>
      <c r="O3528">
        <v>1.239874E-2</v>
      </c>
      <c r="P3528">
        <v>-0.98009849999999998</v>
      </c>
      <c r="Q3528">
        <v>0.1895838</v>
      </c>
      <c r="R3528">
        <v>5.8864979999999997E-2</v>
      </c>
      <c r="S3528">
        <v>-3.1094360000000001</v>
      </c>
      <c r="T3528">
        <v>-0.13927039999999999</v>
      </c>
      <c r="U3528">
        <v>-0.3490143</v>
      </c>
      <c r="V3528">
        <v>4.6682800000000003E-2</v>
      </c>
      <c r="W3528">
        <v>0.2029464</v>
      </c>
      <c r="X3528">
        <v>0.97807639999999996</v>
      </c>
      <c r="Y3528">
        <v>-0.12372229999999999</v>
      </c>
      <c r="Z3528">
        <v>-3.3141519999999999E-3</v>
      </c>
      <c r="AA3528">
        <v>0.99231139999999995</v>
      </c>
      <c r="AB3528">
        <v>41</v>
      </c>
      <c r="AC3528">
        <v>-24.362500000000001</v>
      </c>
      <c r="AD3528">
        <v>-1.110260717117</v>
      </c>
      <c r="AE3528">
        <v>-2.7875000000000201</v>
      </c>
      <c r="AF3528">
        <v>-3.08305774481037</v>
      </c>
      <c r="AG3528">
        <v>-1.110260717117</v>
      </c>
      <c r="AH3528">
        <v>24.2762954359603</v>
      </c>
      <c r="AI3528">
        <v>92.597724661064902</v>
      </c>
      <c r="AJ3528">
        <v>97.237743243966705</v>
      </c>
      <c r="AK3528">
        <v>24.496457784990799</v>
      </c>
      <c r="AL3528">
        <v>78.290690212448794</v>
      </c>
      <c r="AM3528">
        <v>87.267392291693994</v>
      </c>
      <c r="AN3528">
        <v>0.99999998466287898</v>
      </c>
    </row>
    <row r="3529" spans="1:40" x14ac:dyDescent="0.25">
      <c r="A3529" t="str">
        <f>"20190312164338077"</f>
        <v>20190312164338077</v>
      </c>
      <c r="B3529" t="str">
        <f>"1552380218068600"</f>
        <v>1552380218068600</v>
      </c>
      <c r="C3529" t="s">
        <v>40</v>
      </c>
      <c r="D3529">
        <v>4.5106449999999896</v>
      </c>
      <c r="E3529">
        <v>0.43645070000000002</v>
      </c>
      <c r="F3529" t="s">
        <v>42</v>
      </c>
      <c r="G3529">
        <v>-332.10919999999999</v>
      </c>
      <c r="H3529" s="1">
        <v>-3.9657190000000003E-6</v>
      </c>
      <c r="I3529">
        <v>138.17769999999999</v>
      </c>
      <c r="J3529">
        <v>-308.65190000000001</v>
      </c>
      <c r="K3529">
        <v>1.1102719999999999</v>
      </c>
      <c r="L3529">
        <v>140.9888</v>
      </c>
      <c r="M3529">
        <v>-0.99983010000000005</v>
      </c>
      <c r="N3529">
        <v>0</v>
      </c>
      <c r="O3529">
        <v>1.2343979999999999E-2</v>
      </c>
      <c r="P3529">
        <v>-0.97995220000000005</v>
      </c>
      <c r="Q3529">
        <v>0.1910094</v>
      </c>
      <c r="R3529">
        <v>5.6653370000000002E-2</v>
      </c>
      <c r="S3529">
        <v>-3.1109619999999998</v>
      </c>
      <c r="T3529">
        <v>-0.1448594</v>
      </c>
      <c r="U3529">
        <v>-0.36616520000000002</v>
      </c>
      <c r="V3529">
        <v>4.4526610000000001E-2</v>
      </c>
      <c r="W3529">
        <v>0.2044338</v>
      </c>
      <c r="X3529">
        <v>0.97786719999999905</v>
      </c>
      <c r="Y3529">
        <v>-0.1289952</v>
      </c>
      <c r="Z3529">
        <v>-3.5639930000000001E-3</v>
      </c>
      <c r="AA3529">
        <v>0.99163880000000004</v>
      </c>
      <c r="AB3529">
        <v>41</v>
      </c>
      <c r="AC3529">
        <v>-23.457299999999901</v>
      </c>
      <c r="AD3529">
        <v>-1.110275965719</v>
      </c>
      <c r="AE3529">
        <v>-2.8111000000000099</v>
      </c>
      <c r="AF3529">
        <v>-3.09363681536498</v>
      </c>
      <c r="AG3529">
        <v>-1.110275965719</v>
      </c>
      <c r="AH3529">
        <v>23.369196305449499</v>
      </c>
      <c r="AI3529">
        <v>92.696599685646703</v>
      </c>
      <c r="AJ3529">
        <v>97.541023275957798</v>
      </c>
      <c r="AK3529">
        <v>23.599208406810401</v>
      </c>
      <c r="AL3529">
        <v>78.203644095480101</v>
      </c>
      <c r="AM3529">
        <v>87.3928711142336</v>
      </c>
      <c r="AN3529">
        <v>1.0000000292081801</v>
      </c>
    </row>
    <row r="3530" spans="1:40" x14ac:dyDescent="0.25">
      <c r="A3530" t="str">
        <f>"20190312164338098"</f>
        <v>20190312164338098</v>
      </c>
      <c r="B3530" t="str">
        <f>"1552380218088121"</f>
        <v>1552380218088121</v>
      </c>
      <c r="C3530" t="s">
        <v>40</v>
      </c>
      <c r="D3530">
        <v>4.5275650000000001</v>
      </c>
      <c r="E3530">
        <v>0.43615910000000002</v>
      </c>
      <c r="F3530" t="s">
        <v>42</v>
      </c>
      <c r="G3530">
        <v>-331.666</v>
      </c>
      <c r="H3530" s="1">
        <v>-4.174484E-6</v>
      </c>
      <c r="I3530">
        <v>138.18170000000001</v>
      </c>
      <c r="J3530">
        <v>-309.03899999999999</v>
      </c>
      <c r="K3530">
        <v>1.110285</v>
      </c>
      <c r="L3530">
        <v>140.99359999999999</v>
      </c>
      <c r="M3530">
        <v>-0.99982979999999999</v>
      </c>
      <c r="N3530">
        <v>0</v>
      </c>
      <c r="O3530">
        <v>1.2289410000000001E-2</v>
      </c>
      <c r="P3530">
        <v>-0.97991430000000002</v>
      </c>
      <c r="Q3530">
        <v>0.19212170000000001</v>
      </c>
      <c r="R3530">
        <v>5.3455879999999997E-2</v>
      </c>
      <c r="S3530">
        <v>-3.1125790000000002</v>
      </c>
      <c r="T3530">
        <v>-0.15016109999999999</v>
      </c>
      <c r="U3530">
        <v>-0.37965389999999999</v>
      </c>
      <c r="V3530">
        <v>4.1383040000000003E-2</v>
      </c>
      <c r="W3530">
        <v>0.2056076</v>
      </c>
      <c r="X3530">
        <v>0.97775919999999905</v>
      </c>
      <c r="Y3530">
        <v>-0.1331011</v>
      </c>
      <c r="Z3530">
        <v>-3.7874340000000001E-3</v>
      </c>
      <c r="AA3530">
        <v>0.99109519999999995</v>
      </c>
      <c r="AB3530">
        <v>41</v>
      </c>
      <c r="AC3530">
        <v>-22.626999999999999</v>
      </c>
      <c r="AD3530">
        <v>-1.110289174484</v>
      </c>
      <c r="AE3530">
        <v>-2.8118999999999699</v>
      </c>
      <c r="AF3530">
        <v>-3.08247734637962</v>
      </c>
      <c r="AG3530">
        <v>-1.110289174484</v>
      </c>
      <c r="AH3530">
        <v>22.537291349979</v>
      </c>
      <c r="AI3530">
        <v>92.794395730117401</v>
      </c>
      <c r="AJ3530">
        <v>97.788152443248705</v>
      </c>
      <c r="AK3530">
        <v>22.774193949199599</v>
      </c>
      <c r="AL3530">
        <v>78.134930887853201</v>
      </c>
      <c r="AM3530">
        <v>87.5764388143715</v>
      </c>
      <c r="AN3530">
        <v>1.00000004718101</v>
      </c>
    </row>
    <row r="3531" spans="1:40" x14ac:dyDescent="0.25">
      <c r="A3531" t="str">
        <f>"20190312164338122"</f>
        <v>20190312164338122</v>
      </c>
      <c r="B3531" t="str">
        <f>"1552380218118376"</f>
        <v>1552380218118376</v>
      </c>
      <c r="C3531" t="s">
        <v>40</v>
      </c>
      <c r="D3531">
        <v>5.5699740000000002</v>
      </c>
      <c r="E3531">
        <v>0.43631989999999998</v>
      </c>
      <c r="F3531" t="s">
        <v>42</v>
      </c>
      <c r="G3531">
        <v>-331.92579999999998</v>
      </c>
      <c r="H3531" s="1">
        <v>-4.0634269999999996E-6</v>
      </c>
      <c r="I3531">
        <v>138.1155</v>
      </c>
      <c r="J3531">
        <v>-309.45519999999999</v>
      </c>
      <c r="K3531">
        <v>1.110301</v>
      </c>
      <c r="L3531">
        <v>140.99860000000001</v>
      </c>
      <c r="M3531">
        <v>-0.99982950000000004</v>
      </c>
      <c r="N3531">
        <v>0</v>
      </c>
      <c r="O3531">
        <v>1.2230660000000001E-2</v>
      </c>
      <c r="P3531">
        <v>-0.97980210000000001</v>
      </c>
      <c r="Q3531">
        <v>0.1933433</v>
      </c>
      <c r="R3531">
        <v>5.1051880000000001E-2</v>
      </c>
      <c r="S3531">
        <v>-3.112457</v>
      </c>
      <c r="T3531">
        <v>-0.15099189999999901</v>
      </c>
      <c r="U3531">
        <v>-0.39140320000000001</v>
      </c>
      <c r="V3531">
        <v>3.9038009999999998E-2</v>
      </c>
      <c r="W3531">
        <v>0.20688970000000001</v>
      </c>
      <c r="X3531">
        <v>0.97758509999999998</v>
      </c>
      <c r="Y3531">
        <v>-0.1367255</v>
      </c>
      <c r="Z3531">
        <v>-3.8923180000000001E-3</v>
      </c>
      <c r="AA3531">
        <v>0.99060130000000002</v>
      </c>
      <c r="AB3531">
        <v>41</v>
      </c>
      <c r="AC3531">
        <v>-22.470599999999902</v>
      </c>
      <c r="AD3531">
        <v>-1.110305063427</v>
      </c>
      <c r="AE3531">
        <v>-2.88310000000001</v>
      </c>
      <c r="AF3531">
        <v>-3.1501743192506599</v>
      </c>
      <c r="AG3531">
        <v>-1.110305063427</v>
      </c>
      <c r="AH3531">
        <v>22.3798979422697</v>
      </c>
      <c r="AI3531">
        <v>92.812532354725406</v>
      </c>
      <c r="AJ3531">
        <v>98.012263154160493</v>
      </c>
      <c r="AK3531">
        <v>22.6277751332725</v>
      </c>
      <c r="AL3531">
        <v>78.059856944264197</v>
      </c>
      <c r="AM3531">
        <v>87.713216555055595</v>
      </c>
      <c r="AN3531">
        <v>0.99999997096642901</v>
      </c>
    </row>
    <row r="3532" spans="1:40" x14ac:dyDescent="0.25">
      <c r="A3532" t="str">
        <f>"20190312164338144"</f>
        <v>20190312164338144</v>
      </c>
      <c r="B3532" t="str">
        <f>"1552380218137897"</f>
        <v>1552380218137897</v>
      </c>
      <c r="C3532" t="s">
        <v>40</v>
      </c>
      <c r="D3532">
        <v>4.6773379999999998</v>
      </c>
      <c r="E3532">
        <v>0.4365502</v>
      </c>
      <c r="F3532" t="s">
        <v>42</v>
      </c>
      <c r="G3532">
        <v>-332.9717</v>
      </c>
      <c r="H3532" s="1">
        <v>-3.5911560000000001E-6</v>
      </c>
      <c r="I3532">
        <v>137.9907</v>
      </c>
      <c r="J3532">
        <v>-309.86610000000002</v>
      </c>
      <c r="K3532">
        <v>1.1103160000000001</v>
      </c>
      <c r="L3532">
        <v>141.00360000000001</v>
      </c>
      <c r="M3532">
        <v>-0.99982950000000004</v>
      </c>
      <c r="N3532">
        <v>0</v>
      </c>
      <c r="O3532">
        <v>1.217233E-2</v>
      </c>
      <c r="P3532">
        <v>-0.97975420000000002</v>
      </c>
      <c r="Q3532">
        <v>0.194269</v>
      </c>
      <c r="R3532">
        <v>4.8389439999999999E-2</v>
      </c>
      <c r="S3532">
        <v>-3.1115719999999998</v>
      </c>
      <c r="T3532">
        <v>-0.1469094</v>
      </c>
      <c r="U3532">
        <v>-0.39799499999999999</v>
      </c>
      <c r="V3532">
        <v>3.6433420000000001E-2</v>
      </c>
      <c r="W3532">
        <v>0.2078689</v>
      </c>
      <c r="X3532">
        <v>0.97747799999999996</v>
      </c>
      <c r="Y3532">
        <v>-0.1387746</v>
      </c>
      <c r="Z3532">
        <v>-3.833169E-3</v>
      </c>
      <c r="AA3532">
        <v>0.99031659999999999</v>
      </c>
      <c r="AB3532">
        <v>41</v>
      </c>
      <c r="AC3532">
        <v>-23.1055999999999</v>
      </c>
      <c r="AD3532">
        <v>-1.110319591156</v>
      </c>
      <c r="AE3532">
        <v>-3.0129000000000001</v>
      </c>
      <c r="AF3532">
        <v>-3.2864905703369498</v>
      </c>
      <c r="AG3532">
        <v>-1.110319591156</v>
      </c>
      <c r="AH3532">
        <v>23.014952760838</v>
      </c>
      <c r="AI3532">
        <v>92.734307203537995</v>
      </c>
      <c r="AJ3532">
        <v>98.126784747176501</v>
      </c>
      <c r="AK3532">
        <v>23.2749195583363</v>
      </c>
      <c r="AL3532">
        <v>78.002507189815802</v>
      </c>
      <c r="AM3532">
        <v>87.865409437095494</v>
      </c>
      <c r="AN3532">
        <v>1.00000005708205</v>
      </c>
    </row>
    <row r="3533" spans="1:40" x14ac:dyDescent="0.25">
      <c r="A3533" t="str">
        <f>"20190312164338167"</f>
        <v>20190312164338167</v>
      </c>
      <c r="B3533" t="str">
        <f>"1552380218158396"</f>
        <v>1552380218158396</v>
      </c>
      <c r="C3533" t="s">
        <v>40</v>
      </c>
      <c r="D3533">
        <v>4.5365909999999996</v>
      </c>
      <c r="E3533">
        <v>0.43673149999999999</v>
      </c>
      <c r="F3533" t="s">
        <v>42</v>
      </c>
      <c r="G3533">
        <v>-334.524</v>
      </c>
      <c r="H3533" s="1">
        <v>-2.891577E-6</v>
      </c>
      <c r="I3533">
        <v>137.798</v>
      </c>
      <c r="J3533">
        <v>-310.28379999999999</v>
      </c>
      <c r="K3533">
        <v>1.110325</v>
      </c>
      <c r="L3533">
        <v>141.0086</v>
      </c>
      <c r="M3533">
        <v>-0.99982950000000004</v>
      </c>
      <c r="N3533">
        <v>0</v>
      </c>
      <c r="O3533">
        <v>1.2112960000000001E-2</v>
      </c>
      <c r="P3533">
        <v>-0.97975860000000004</v>
      </c>
      <c r="Q3533">
        <v>0.19491829999999999</v>
      </c>
      <c r="R3533">
        <v>4.5611350000000002E-2</v>
      </c>
      <c r="S3533">
        <v>-3.10968</v>
      </c>
      <c r="T3533">
        <v>-0.1400256</v>
      </c>
      <c r="U3533">
        <v>-0.40426640000000003</v>
      </c>
      <c r="V3533">
        <v>3.371362E-2</v>
      </c>
      <c r="W3533">
        <v>0.208567</v>
      </c>
      <c r="X3533">
        <v>0.97742680000000004</v>
      </c>
      <c r="Y3533">
        <v>-0.140768899999999</v>
      </c>
      <c r="Z3533">
        <v>-3.6975070000000001E-3</v>
      </c>
      <c r="AA3533">
        <v>0.99003560000000002</v>
      </c>
      <c r="AB3533">
        <v>41</v>
      </c>
      <c r="AC3533">
        <v>-24.240200000000002</v>
      </c>
      <c r="AD3533">
        <v>-1.1103278915770001</v>
      </c>
      <c r="AE3533">
        <v>-3.2105999999999901</v>
      </c>
      <c r="AF3533">
        <v>-3.4968032831421501</v>
      </c>
      <c r="AG3533">
        <v>-1.1103278915770001</v>
      </c>
      <c r="AH3533">
        <v>24.1497321788375</v>
      </c>
      <c r="AI3533">
        <v>92.605292204136205</v>
      </c>
      <c r="AJ3533">
        <v>98.238982613386199</v>
      </c>
      <c r="AK3533">
        <v>24.426830034562101</v>
      </c>
      <c r="AL3533">
        <v>77.961611703979699</v>
      </c>
      <c r="AM3533">
        <v>88.024524548863695</v>
      </c>
      <c r="AN3533">
        <v>0.99999997551037101</v>
      </c>
    </row>
    <row r="3534" spans="1:40" x14ac:dyDescent="0.25">
      <c r="A3534" t="str">
        <f>"20190312164338188"</f>
        <v>20190312164338188</v>
      </c>
      <c r="B3534" t="str">
        <f>"1552380218177912"</f>
        <v>1552380218177912</v>
      </c>
      <c r="C3534" t="s">
        <v>40</v>
      </c>
      <c r="D3534">
        <v>4.5400130000000001</v>
      </c>
      <c r="E3534">
        <v>0.43679299999999999</v>
      </c>
      <c r="F3534" t="s">
        <v>42</v>
      </c>
      <c r="G3534">
        <v>-335.07350000000002</v>
      </c>
      <c r="H3534" s="1">
        <v>-2.642719E-6</v>
      </c>
      <c r="I3534">
        <v>137.73650000000001</v>
      </c>
      <c r="J3534">
        <v>-310.6728</v>
      </c>
      <c r="K3534">
        <v>1.110325</v>
      </c>
      <c r="L3534">
        <v>141.01329999999999</v>
      </c>
      <c r="M3534">
        <v>-0.99982959999999999</v>
      </c>
      <c r="N3534">
        <v>0</v>
      </c>
      <c r="O3534">
        <v>1.2058070000000001E-2</v>
      </c>
      <c r="P3534">
        <v>-0.97982020000000003</v>
      </c>
      <c r="Q3534">
        <v>0.19531009999999999</v>
      </c>
      <c r="R3534">
        <v>4.2501949999999997E-2</v>
      </c>
      <c r="S3534">
        <v>-3.1087950000000002</v>
      </c>
      <c r="T3534">
        <v>-0.13924259999999999</v>
      </c>
      <c r="U3534">
        <v>-0.41033940000000002</v>
      </c>
      <c r="V3534">
        <v>3.065735E-2</v>
      </c>
      <c r="W3534">
        <v>0.2089993</v>
      </c>
      <c r="X3534">
        <v>0.9774351</v>
      </c>
      <c r="Y3534">
        <v>-0.14265159999999999</v>
      </c>
      <c r="Z3534">
        <v>-3.7169389999999998E-3</v>
      </c>
      <c r="AA3534">
        <v>0.98976600000000003</v>
      </c>
      <c r="AB3534">
        <v>41</v>
      </c>
      <c r="AC3534">
        <v>-24.400700000000001</v>
      </c>
      <c r="AD3534">
        <v>-1.1103276427190001</v>
      </c>
      <c r="AE3534">
        <v>-3.27679999999997</v>
      </c>
      <c r="AF3534">
        <v>-3.5635677838309801</v>
      </c>
      <c r="AG3534">
        <v>-1.1103276427190001</v>
      </c>
      <c r="AH3534">
        <v>24.309965251457701</v>
      </c>
      <c r="AI3534">
        <v>92.587482234395694</v>
      </c>
      <c r="AJ3534">
        <v>98.339522091055699</v>
      </c>
      <c r="AK3534">
        <v>24.594842007039301</v>
      </c>
      <c r="AL3534">
        <v>77.936284603138006</v>
      </c>
      <c r="AM3534">
        <v>88.203501084929002</v>
      </c>
      <c r="AN3534">
        <v>0.99999997761076098</v>
      </c>
    </row>
    <row r="3535" spans="1:40" x14ac:dyDescent="0.25">
      <c r="A3535" t="str">
        <f>"20190312164338211"</f>
        <v>20190312164338211</v>
      </c>
      <c r="B3535" t="str">
        <f>"1552380218198408"</f>
        <v>1552380218198408</v>
      </c>
      <c r="C3535" t="s">
        <v>40</v>
      </c>
      <c r="D3535">
        <v>4.5415539999999996</v>
      </c>
      <c r="E3535">
        <v>0.4369304</v>
      </c>
      <c r="F3535" t="s">
        <v>42</v>
      </c>
      <c r="G3535">
        <v>-334.8793</v>
      </c>
      <c r="H3535" s="1">
        <v>-2.7331449999999999E-6</v>
      </c>
      <c r="I3535">
        <v>137.7441</v>
      </c>
      <c r="J3535">
        <v>-311.0779</v>
      </c>
      <c r="K3535">
        <v>1.110328</v>
      </c>
      <c r="L3535">
        <v>141.0181</v>
      </c>
      <c r="M3535">
        <v>-0.99982990000000005</v>
      </c>
      <c r="N3535">
        <v>0</v>
      </c>
      <c r="O3535">
        <v>1.200029E-2</v>
      </c>
      <c r="P3535">
        <v>-0.98003059999999997</v>
      </c>
      <c r="Q3535">
        <v>0.19476930000000001</v>
      </c>
      <c r="R3535">
        <v>4.0064570000000001E-2</v>
      </c>
      <c r="S3535">
        <v>-3.1084290000000001</v>
      </c>
      <c r="T3535">
        <v>-0.14257999999999901</v>
      </c>
      <c r="U3535">
        <v>-0.4197998</v>
      </c>
      <c r="V3535">
        <v>2.8274460000000001E-2</v>
      </c>
      <c r="W3535">
        <v>0.20849799999999999</v>
      </c>
      <c r="X3535">
        <v>0.97761399999999998</v>
      </c>
      <c r="Y3535">
        <v>-0.1455582</v>
      </c>
      <c r="Z3535">
        <v>-3.8693070000000002E-3</v>
      </c>
      <c r="AA3535">
        <v>0.98934219999999895</v>
      </c>
      <c r="AB3535">
        <v>41</v>
      </c>
      <c r="AC3535">
        <v>-23.801400000000001</v>
      </c>
      <c r="AD3535">
        <v>-1.1103307331450001</v>
      </c>
      <c r="AE3535">
        <v>-3.274</v>
      </c>
      <c r="AF3535">
        <v>-3.5518299553072001</v>
      </c>
      <c r="AG3535">
        <v>-1.1103307331450001</v>
      </c>
      <c r="AH3535">
        <v>23.7097539011809</v>
      </c>
      <c r="AI3535">
        <v>92.651664102305801</v>
      </c>
      <c r="AJ3535">
        <v>98.519815482142505</v>
      </c>
      <c r="AK3535">
        <v>24.000015842139501</v>
      </c>
      <c r="AL3535">
        <v>77.965654243573397</v>
      </c>
      <c r="AM3535">
        <v>88.3433586740978</v>
      </c>
      <c r="AN3535">
        <v>0.99999999704414499</v>
      </c>
    </row>
    <row r="3536" spans="1:40" x14ac:dyDescent="0.25">
      <c r="A3536" t="str">
        <f>"20190312164338234"</f>
        <v>20190312164338234</v>
      </c>
      <c r="B3536" t="str">
        <f>"1552380218228666"</f>
        <v>1552380218228666</v>
      </c>
      <c r="C3536" t="s">
        <v>40</v>
      </c>
      <c r="D3536">
        <v>4.5778230000000004</v>
      </c>
      <c r="E3536">
        <v>0.43697979999999997</v>
      </c>
      <c r="F3536" t="s">
        <v>42</v>
      </c>
      <c r="G3536">
        <v>-334.30759999999998</v>
      </c>
      <c r="H3536" s="1">
        <v>-2.988184E-6</v>
      </c>
      <c r="I3536">
        <v>137.83000000000001</v>
      </c>
      <c r="J3536">
        <v>-311.50490000000002</v>
      </c>
      <c r="K3536">
        <v>1.110328</v>
      </c>
      <c r="L3536">
        <v>141.0231</v>
      </c>
      <c r="M3536">
        <v>-0.99983</v>
      </c>
      <c r="N3536">
        <v>0</v>
      </c>
      <c r="O3536">
        <v>1.1939719999999999E-2</v>
      </c>
      <c r="P3536">
        <v>-0.9800702</v>
      </c>
      <c r="Q3536">
        <v>0.1950344</v>
      </c>
      <c r="R3536">
        <v>3.7737050000000001E-2</v>
      </c>
      <c r="S3536">
        <v>-3.1080930000000002</v>
      </c>
      <c r="T3536">
        <v>-0.1485602</v>
      </c>
      <c r="U3536">
        <v>-0.42655939999999998</v>
      </c>
      <c r="V3536">
        <v>2.6005879999999999E-2</v>
      </c>
      <c r="W3536">
        <v>0.20879739999999999</v>
      </c>
      <c r="X3536">
        <v>0.97761310000000001</v>
      </c>
      <c r="Y3536">
        <v>-0.1476085</v>
      </c>
      <c r="Z3536">
        <v>-4.0771239999999997E-3</v>
      </c>
      <c r="AA3536">
        <v>0.98903750000000001</v>
      </c>
      <c r="AB3536">
        <v>41</v>
      </c>
      <c r="AC3536">
        <v>-22.802699999999898</v>
      </c>
      <c r="AD3536">
        <v>-1.110330988184</v>
      </c>
      <c r="AE3536">
        <v>-3.1930999999999798</v>
      </c>
      <c r="AF3536">
        <v>-3.4571178763882302</v>
      </c>
      <c r="AG3536">
        <v>-1.110330988184</v>
      </c>
      <c r="AH3536">
        <v>22.7101355129778</v>
      </c>
      <c r="AI3536">
        <v>92.767214940368504</v>
      </c>
      <c r="AJ3536">
        <v>98.655569023528599</v>
      </c>
      <c r="AK3536">
        <v>22.998581563487299</v>
      </c>
      <c r="AL3536">
        <v>77.948114077986503</v>
      </c>
      <c r="AM3536">
        <v>88.476211242741797</v>
      </c>
      <c r="AN3536">
        <v>1.00000001666647</v>
      </c>
    </row>
    <row r="3537" spans="1:40" x14ac:dyDescent="0.25">
      <c r="A3537" t="str">
        <f>"20190312164338256"</f>
        <v>20190312164338256</v>
      </c>
      <c r="B3537" t="str">
        <f>"1552380218248185"</f>
        <v>1552380218248185</v>
      </c>
      <c r="C3537" t="s">
        <v>40</v>
      </c>
      <c r="D3537">
        <v>4.5693970000000004</v>
      </c>
      <c r="E3537">
        <v>0.43730469999999999</v>
      </c>
      <c r="F3537" t="s">
        <v>42</v>
      </c>
      <c r="G3537">
        <v>-333.87259999999998</v>
      </c>
      <c r="H3537" s="1">
        <v>-3.1800660000000002E-6</v>
      </c>
      <c r="I3537">
        <v>137.9074</v>
      </c>
      <c r="J3537">
        <v>-311.91649999999998</v>
      </c>
      <c r="K3537">
        <v>1.110333</v>
      </c>
      <c r="L3537">
        <v>141.02799999999999</v>
      </c>
      <c r="M3537">
        <v>-0.99983040000000001</v>
      </c>
      <c r="N3537">
        <v>0</v>
      </c>
      <c r="O3537">
        <v>1.1881040000000001E-2</v>
      </c>
      <c r="P3537">
        <v>-0.98006470000000001</v>
      </c>
      <c r="Q3537">
        <v>0.1953771</v>
      </c>
      <c r="R3537">
        <v>3.6075650000000001E-2</v>
      </c>
      <c r="S3537">
        <v>-3.1083980000000002</v>
      </c>
      <c r="T3537">
        <v>-0.15430060000000001</v>
      </c>
      <c r="U3537">
        <v>-0.43298340000000002</v>
      </c>
      <c r="V3537">
        <v>2.4402429999999999E-2</v>
      </c>
      <c r="W3537">
        <v>0.20916770000000001</v>
      </c>
      <c r="X3537">
        <v>0.97757530000000004</v>
      </c>
      <c r="Y3537">
        <v>-0.14952650000000001</v>
      </c>
      <c r="Z3537">
        <v>-4.2779230000000003E-3</v>
      </c>
      <c r="AA3537">
        <v>0.98874850000000003</v>
      </c>
      <c r="AB3537">
        <v>41</v>
      </c>
      <c r="AC3537">
        <v>-21.9560999999999</v>
      </c>
      <c r="AD3537">
        <v>-1.1103361800660001</v>
      </c>
      <c r="AE3537">
        <v>-3.1205999999999898</v>
      </c>
      <c r="AF3537">
        <v>-3.3728119965604599</v>
      </c>
      <c r="AG3537">
        <v>-1.1103361800660001</v>
      </c>
      <c r="AH3537">
        <v>21.862665857670201</v>
      </c>
      <c r="AI3537">
        <v>92.873439890562693</v>
      </c>
      <c r="AJ3537">
        <v>98.770033688985805</v>
      </c>
      <c r="AK3537">
        <v>22.149150448742802</v>
      </c>
      <c r="AL3537">
        <v>77.926418636647497</v>
      </c>
      <c r="AM3537">
        <v>88.570068254577095</v>
      </c>
      <c r="AN3537">
        <v>1.0000000362416399</v>
      </c>
    </row>
    <row r="3538" spans="1:40" x14ac:dyDescent="0.25">
      <c r="A3538" t="str">
        <f>"20190312164338279"</f>
        <v>20190312164338279</v>
      </c>
      <c r="B3538" t="str">
        <f>"1552380218268680"</f>
        <v>1552380218268680</v>
      </c>
      <c r="C3538" t="s">
        <v>40</v>
      </c>
      <c r="D3538">
        <v>4.8968280000000002</v>
      </c>
      <c r="E3538">
        <v>0.43734689999999998</v>
      </c>
      <c r="F3538" t="s">
        <v>42</v>
      </c>
      <c r="G3538">
        <v>-333.94510000000002</v>
      </c>
      <c r="H3538" s="1">
        <v>-3.1387160000000001E-6</v>
      </c>
      <c r="I3538">
        <v>137.94730000000001</v>
      </c>
      <c r="J3538">
        <v>-312.31470000000002</v>
      </c>
      <c r="K3538">
        <v>1.1103379999999901</v>
      </c>
      <c r="L3538">
        <v>141.03270000000001</v>
      </c>
      <c r="M3538">
        <v>-0.99983069999999996</v>
      </c>
      <c r="N3538">
        <v>0</v>
      </c>
      <c r="O3538">
        <v>1.182454E-2</v>
      </c>
      <c r="P3538">
        <v>-0.98013689999999998</v>
      </c>
      <c r="Q3538">
        <v>0.1951918</v>
      </c>
      <c r="R3538">
        <v>3.5101E-2</v>
      </c>
      <c r="S3538">
        <v>-3.1082459999999998</v>
      </c>
      <c r="T3538">
        <v>-0.1566688</v>
      </c>
      <c r="U3538">
        <v>-0.43469239999999998</v>
      </c>
      <c r="V3538">
        <v>2.3482349999999999E-2</v>
      </c>
      <c r="W3538">
        <v>0.20900730000000001</v>
      </c>
      <c r="X3538">
        <v>0.9776321</v>
      </c>
      <c r="Y3538">
        <v>-0.1500039</v>
      </c>
      <c r="Z3538">
        <v>-4.3526800000000003E-3</v>
      </c>
      <c r="AA3538">
        <v>0.98867579999999999</v>
      </c>
      <c r="AB3538">
        <v>41</v>
      </c>
      <c r="AC3538">
        <v>-21.630400000000002</v>
      </c>
      <c r="AD3538">
        <v>-1.1103411387159901</v>
      </c>
      <c r="AE3538">
        <v>-3.0853999999999902</v>
      </c>
      <c r="AF3538">
        <v>-3.3323734321991401</v>
      </c>
      <c r="AG3538">
        <v>-1.1103411387159901</v>
      </c>
      <c r="AH3538">
        <v>21.536782220768099</v>
      </c>
      <c r="AI3538">
        <v>92.916657125808499</v>
      </c>
      <c r="AJ3538">
        <v>98.795591985626302</v>
      </c>
      <c r="AK3538">
        <v>21.821332648597402</v>
      </c>
      <c r="AL3538">
        <v>77.935816129794901</v>
      </c>
      <c r="AM3538">
        <v>88.624041814206905</v>
      </c>
      <c r="AN3538">
        <v>0.99999999758261104</v>
      </c>
    </row>
    <row r="3539" spans="1:40" x14ac:dyDescent="0.25">
      <c r="A3539" t="str">
        <f>"20190312164338300"</f>
        <v>20190312164338300</v>
      </c>
      <c r="B3539" t="str">
        <f>"1552380218288201"</f>
        <v>1552380218288201</v>
      </c>
      <c r="C3539" t="s">
        <v>40</v>
      </c>
      <c r="D3539">
        <v>4.7300300000000002</v>
      </c>
      <c r="E3539">
        <v>0.43927709999999998</v>
      </c>
      <c r="F3539" t="s">
        <v>42</v>
      </c>
      <c r="G3539">
        <v>-333.7919</v>
      </c>
      <c r="H3539" s="1">
        <v>-3.1997239999999999E-6</v>
      </c>
      <c r="I3539">
        <v>138.01179999999999</v>
      </c>
      <c r="J3539">
        <v>-312.69929999999999</v>
      </c>
      <c r="K3539">
        <v>1.1103400000000001</v>
      </c>
      <c r="L3539">
        <v>141.03720000000001</v>
      </c>
      <c r="M3539">
        <v>-0.99983109999999997</v>
      </c>
      <c r="N3539">
        <v>0</v>
      </c>
      <c r="O3539">
        <v>1.17698E-2</v>
      </c>
      <c r="P3539">
        <v>-0.9800662</v>
      </c>
      <c r="Q3539">
        <v>0.1954418</v>
      </c>
      <c r="R3539">
        <v>3.5680740000000002E-2</v>
      </c>
      <c r="S3539">
        <v>-3.1084589999999999</v>
      </c>
      <c r="T3539">
        <v>-0.16070329999999999</v>
      </c>
      <c r="U3539">
        <v>-0.43722529999999998</v>
      </c>
      <c r="V3539">
        <v>2.411655E-2</v>
      </c>
      <c r="W3539">
        <v>0.20927580000000001</v>
      </c>
      <c r="X3539">
        <v>0.97755919999999996</v>
      </c>
      <c r="Y3539">
        <v>-0.1507192</v>
      </c>
      <c r="Z3539">
        <v>-4.4796419999999998E-3</v>
      </c>
      <c r="AA3539">
        <v>0.98856650000000001</v>
      </c>
      <c r="AB3539">
        <v>41</v>
      </c>
      <c r="AC3539">
        <v>-21.092600000000001</v>
      </c>
      <c r="AD3539">
        <v>-1.1103431997240001</v>
      </c>
      <c r="AE3539">
        <v>-3.0254000000000101</v>
      </c>
      <c r="AF3539">
        <v>-3.2646065913230702</v>
      </c>
      <c r="AG3539">
        <v>-1.1103431997240001</v>
      </c>
      <c r="AH3539">
        <v>20.998510567112799</v>
      </c>
      <c r="AI3539">
        <v>92.990959375710602</v>
      </c>
      <c r="AJ3539">
        <v>98.836943494406498</v>
      </c>
      <c r="AK3539">
        <v>21.2797547977985</v>
      </c>
      <c r="AL3539">
        <v>77.920084081498601</v>
      </c>
      <c r="AM3539">
        <v>88.586790130547001</v>
      </c>
      <c r="AN3539">
        <v>0.99999997897709103</v>
      </c>
    </row>
    <row r="3540" spans="1:40" x14ac:dyDescent="0.25">
      <c r="A3540" t="str">
        <f>"20190312164338322"</f>
        <v>20190312164338322</v>
      </c>
      <c r="B3540" t="str">
        <f>"1552380218318456"</f>
        <v>1552380218318456</v>
      </c>
      <c r="C3540" t="s">
        <v>40</v>
      </c>
      <c r="D3540">
        <v>4.5572710000000001</v>
      </c>
      <c r="E3540">
        <v>0.53021909999999906</v>
      </c>
      <c r="F3540" t="s">
        <v>42</v>
      </c>
      <c r="G3540">
        <v>-334.584</v>
      </c>
      <c r="H3540" s="1">
        <v>-2.8129000000000002E-6</v>
      </c>
      <c r="I3540">
        <v>138.08150000000001</v>
      </c>
      <c r="J3540">
        <v>-313.09809999999999</v>
      </c>
      <c r="K3540">
        <v>1.110347</v>
      </c>
      <c r="L3540">
        <v>141.04179999999999</v>
      </c>
      <c r="M3540">
        <v>-0.99983140000000004</v>
      </c>
      <c r="N3540">
        <v>0</v>
      </c>
      <c r="O3540">
        <v>1.171371E-2</v>
      </c>
      <c r="P3540">
        <v>-0.98003110000000004</v>
      </c>
      <c r="Q3540">
        <v>0.19538990000000001</v>
      </c>
      <c r="R3540">
        <v>3.6906849999999998E-2</v>
      </c>
      <c r="S3540">
        <v>-3.107758</v>
      </c>
      <c r="T3540">
        <v>-0.15767500000000001</v>
      </c>
      <c r="U3540">
        <v>-0.41972350000000003</v>
      </c>
      <c r="V3540">
        <v>2.539804E-2</v>
      </c>
      <c r="W3540">
        <v>0.20924180000000001</v>
      </c>
      <c r="X3540">
        <v>0.97753409999999996</v>
      </c>
      <c r="Y3540">
        <v>-0.1452435</v>
      </c>
      <c r="Z3540">
        <v>-4.2569679999999999E-3</v>
      </c>
      <c r="AA3540">
        <v>0.98938680000000001</v>
      </c>
      <c r="AB3540">
        <v>41</v>
      </c>
      <c r="AC3540">
        <v>-21.485900000000001</v>
      </c>
      <c r="AD3540">
        <v>-1.1103498129</v>
      </c>
      <c r="AE3540">
        <v>-2.9602999999999802</v>
      </c>
      <c r="AF3540">
        <v>-3.20340591487615</v>
      </c>
      <c r="AG3540">
        <v>-1.1103498129</v>
      </c>
      <c r="AH3540">
        <v>21.393675979097601</v>
      </c>
      <c r="AI3540">
        <v>92.938334372959702</v>
      </c>
      <c r="AJ3540">
        <v>98.515978213001503</v>
      </c>
      <c r="AK3540">
        <v>21.660656916656201</v>
      </c>
      <c r="AL3540">
        <v>77.922077163511901</v>
      </c>
      <c r="AM3540">
        <v>88.511690602278193</v>
      </c>
      <c r="AN3540">
        <v>1.0000000539829399</v>
      </c>
    </row>
    <row r="3541" spans="1:40" x14ac:dyDescent="0.25">
      <c r="A3541" t="str">
        <f>"20190312164338347"</f>
        <v>20190312164338347</v>
      </c>
      <c r="B3541" t="str">
        <f>"1552380218337977"</f>
        <v>1552380218337977</v>
      </c>
      <c r="C3541" t="s">
        <v>40</v>
      </c>
      <c r="D3541">
        <v>4.6185280000000004</v>
      </c>
      <c r="E3541">
        <v>0.53566009999999997</v>
      </c>
      <c r="F3541" t="s">
        <v>42</v>
      </c>
      <c r="G3541">
        <v>-340.20260000000002</v>
      </c>
      <c r="H3541" s="1">
        <v>-4.9478280000000002E-6</v>
      </c>
      <c r="I3541">
        <v>143.79230000000001</v>
      </c>
      <c r="J3541">
        <v>-313.553</v>
      </c>
      <c r="K3541">
        <v>1.1103430000000001</v>
      </c>
      <c r="L3541">
        <v>141.0471</v>
      </c>
      <c r="M3541">
        <v>-0.99983200000000005</v>
      </c>
      <c r="N3541">
        <v>0</v>
      </c>
      <c r="O3541">
        <v>1.164886E-2</v>
      </c>
      <c r="P3541">
        <v>-0.97990379999999999</v>
      </c>
      <c r="Q3541">
        <v>0.1956492</v>
      </c>
      <c r="R3541">
        <v>3.8863870000000002E-2</v>
      </c>
      <c r="S3541">
        <v>-3.0744630000000002</v>
      </c>
      <c r="T3541">
        <v>-0.12594739999999999</v>
      </c>
      <c r="U3541">
        <v>0.31199650000000001</v>
      </c>
      <c r="V3541">
        <v>2.742E-2</v>
      </c>
      <c r="W3541">
        <v>0.20951639999999999</v>
      </c>
      <c r="X3541">
        <v>0.97742059999999997</v>
      </c>
      <c r="Y3541">
        <v>8.9299680000000006E-2</v>
      </c>
      <c r="Z3541">
        <v>1.3479129999999901E-3</v>
      </c>
      <c r="AA3541">
        <v>0.99600390000000005</v>
      </c>
      <c r="AB3541">
        <v>40</v>
      </c>
      <c r="AC3541">
        <v>-26.6496</v>
      </c>
      <c r="AD3541">
        <v>-1.1103479478280001</v>
      </c>
      <c r="AE3541">
        <v>2.7452000000000099</v>
      </c>
      <c r="AF3541">
        <v>2.4303704506438701</v>
      </c>
      <c r="AG3541">
        <v>-1.1103479478280001</v>
      </c>
      <c r="AH3541">
        <v>26.6340232825718</v>
      </c>
      <c r="AI3541">
        <v>92.377360210811702</v>
      </c>
      <c r="AJ3541">
        <v>84.786165375671402</v>
      </c>
      <c r="AK3541">
        <v>26.7677187916562</v>
      </c>
      <c r="AL3541">
        <v>77.905986483406295</v>
      </c>
      <c r="AM3541">
        <v>88.393078340524397</v>
      </c>
      <c r="AN3541">
        <v>1.0000000037866601</v>
      </c>
    </row>
    <row r="3542" spans="1:40" x14ac:dyDescent="0.25">
      <c r="A3542" t="str">
        <f>"20190312164338368"</f>
        <v>20190312164338368</v>
      </c>
      <c r="B3542" t="str">
        <f>"1552380218358473"</f>
        <v>1552380218358473</v>
      </c>
      <c r="C3542" t="s">
        <v>40</v>
      </c>
      <c r="D3542">
        <v>4.6875140000000002</v>
      </c>
      <c r="E3542">
        <v>0.53806860000000001</v>
      </c>
      <c r="F3542" t="s">
        <v>42</v>
      </c>
      <c r="G3542">
        <v>-344.27710000000002</v>
      </c>
      <c r="H3542" s="1">
        <v>-3.717723E-6</v>
      </c>
      <c r="I3542">
        <v>144.67439999999999</v>
      </c>
      <c r="J3542">
        <v>-313.9366</v>
      </c>
      <c r="K3542">
        <v>1.1103449999999999</v>
      </c>
      <c r="L3542">
        <v>141.0515</v>
      </c>
      <c r="M3542">
        <v>-0.99983219999999995</v>
      </c>
      <c r="N3542">
        <v>0</v>
      </c>
      <c r="O3542">
        <v>1.1594470000000001E-2</v>
      </c>
      <c r="P3542">
        <v>-0.97973650000000001</v>
      </c>
      <c r="Q3542">
        <v>0.1961183</v>
      </c>
      <c r="R3542">
        <v>4.0665649999999998E-2</v>
      </c>
      <c r="S3542">
        <v>-3.0693359999999998</v>
      </c>
      <c r="T3542">
        <v>-0.1109238</v>
      </c>
      <c r="U3542">
        <v>0.36238100000000001</v>
      </c>
      <c r="V3542">
        <v>2.9276690000000001E-2</v>
      </c>
      <c r="W3542">
        <v>0.20999570000000001</v>
      </c>
      <c r="X3542">
        <v>0.97726389999999996</v>
      </c>
      <c r="Y3542">
        <v>0.1056665</v>
      </c>
      <c r="Z3542">
        <v>1.4847409999999999E-3</v>
      </c>
      <c r="AA3542">
        <v>0.99440050000000002</v>
      </c>
      <c r="AB3542">
        <v>40</v>
      </c>
      <c r="AC3542">
        <v>-30.340499999999999</v>
      </c>
      <c r="AD3542">
        <v>-1.110348717723</v>
      </c>
      <c r="AE3542">
        <v>3.62289999999998</v>
      </c>
      <c r="AF3542">
        <v>3.26652571366122</v>
      </c>
      <c r="AG3542">
        <v>-1.110348717723</v>
      </c>
      <c r="AH3542">
        <v>30.340406740280201</v>
      </c>
      <c r="AI3542">
        <v>92.083850464252706</v>
      </c>
      <c r="AJ3542">
        <v>83.855059497564298</v>
      </c>
      <c r="AK3542">
        <v>30.535935316911502</v>
      </c>
      <c r="AL3542">
        <v>77.877900046504806</v>
      </c>
      <c r="AM3542">
        <v>88.284056916235699</v>
      </c>
      <c r="AN3542">
        <v>1.00000002441952</v>
      </c>
    </row>
    <row r="3543" spans="1:40" x14ac:dyDescent="0.25">
      <c r="A3543" t="str">
        <f>"20190312164338390"</f>
        <v>20190312164338390</v>
      </c>
      <c r="B3543" t="str">
        <f>"1552380218377994"</f>
        <v>1552380218377994</v>
      </c>
      <c r="C3543" t="s">
        <v>40</v>
      </c>
      <c r="D3543">
        <v>4.6976820000000004</v>
      </c>
      <c r="E3543">
        <v>0.539385</v>
      </c>
      <c r="F3543" t="s">
        <v>42</v>
      </c>
      <c r="G3543">
        <v>-346.8784</v>
      </c>
      <c r="H3543" s="1">
        <v>-2.8129819999999999E-6</v>
      </c>
      <c r="I3543">
        <v>145.2218</v>
      </c>
      <c r="J3543">
        <v>-314.32240000000002</v>
      </c>
      <c r="K3543">
        <v>1.1103459999999901</v>
      </c>
      <c r="L3543">
        <v>141.05590000000001</v>
      </c>
      <c r="M3543">
        <v>-0.99983279999999997</v>
      </c>
      <c r="N3543">
        <v>0</v>
      </c>
      <c r="O3543">
        <v>1.1539270000000001E-2</v>
      </c>
      <c r="P3543">
        <v>-0.97954110000000005</v>
      </c>
      <c r="Q3543">
        <v>0.1966511</v>
      </c>
      <c r="R3543">
        <v>4.2751230000000001E-2</v>
      </c>
      <c r="S3543">
        <v>-3.066589</v>
      </c>
      <c r="T3543">
        <v>-0.103364</v>
      </c>
      <c r="U3543">
        <v>0.3882294</v>
      </c>
      <c r="V3543">
        <v>3.1418679999999997E-2</v>
      </c>
      <c r="W3543">
        <v>0.210537</v>
      </c>
      <c r="X3543">
        <v>0.97708090000000003</v>
      </c>
      <c r="Y3543">
        <v>0.1140825</v>
      </c>
      <c r="Z3543">
        <v>1.5272249999999999E-3</v>
      </c>
      <c r="AA3543">
        <v>0.99347010000000002</v>
      </c>
      <c r="AB3543">
        <v>40</v>
      </c>
      <c r="AC3543">
        <v>-32.555999999999898</v>
      </c>
      <c r="AD3543">
        <v>-1.1103488129819901</v>
      </c>
      <c r="AE3543">
        <v>4.1658999999999899</v>
      </c>
      <c r="AF3543">
        <v>3.78557983382019</v>
      </c>
      <c r="AG3543">
        <v>-1.1103488129819901</v>
      </c>
      <c r="AH3543">
        <v>32.564639129901899</v>
      </c>
      <c r="AI3543">
        <v>91.939791362602705</v>
      </c>
      <c r="AJ3543">
        <v>83.369231976380405</v>
      </c>
      <c r="AK3543">
        <v>32.802731758581501</v>
      </c>
      <c r="AL3543">
        <v>77.846176625709006</v>
      </c>
      <c r="AM3543">
        <v>88.158251071841505</v>
      </c>
      <c r="AN3543">
        <v>1.0000000234833699</v>
      </c>
    </row>
    <row r="3544" spans="1:40" x14ac:dyDescent="0.25">
      <c r="A3544" t="str">
        <f>"20190312164338412"</f>
        <v>20190312164338412</v>
      </c>
      <c r="B3544" t="str">
        <f>"1552380218408249"</f>
        <v>1552380218408249</v>
      </c>
      <c r="C3544" t="s">
        <v>40</v>
      </c>
      <c r="D3544">
        <v>4.935073</v>
      </c>
      <c r="E3544">
        <v>0.54071559999999996</v>
      </c>
      <c r="F3544" t="s">
        <v>42</v>
      </c>
      <c r="G3544">
        <v>-348.9366</v>
      </c>
      <c r="H3544" s="1">
        <v>-2.0390100000000002E-6</v>
      </c>
      <c r="I3544">
        <v>145.63140000000001</v>
      </c>
      <c r="J3544">
        <v>-314.71570000000003</v>
      </c>
      <c r="K3544">
        <v>1.1103510000000001</v>
      </c>
      <c r="L3544">
        <v>141.06039999999999</v>
      </c>
      <c r="M3544">
        <v>-0.99983339999999998</v>
      </c>
      <c r="N3544">
        <v>0</v>
      </c>
      <c r="O3544">
        <v>1.148324E-2</v>
      </c>
      <c r="P3544">
        <v>-0.97938179999999997</v>
      </c>
      <c r="Q3544">
        <v>0.19707379999999999</v>
      </c>
      <c r="R3544">
        <v>4.4421860000000001E-2</v>
      </c>
      <c r="S3544">
        <v>-3.0647280000000001</v>
      </c>
      <c r="T3544">
        <v>-9.830999E-2</v>
      </c>
      <c r="U3544">
        <v>0.4051208</v>
      </c>
      <c r="V3544">
        <v>3.3145920000000002E-2</v>
      </c>
      <c r="W3544">
        <v>0.2109663</v>
      </c>
      <c r="X3544">
        <v>0.9769312</v>
      </c>
      <c r="Y3544">
        <v>0.1195996</v>
      </c>
      <c r="Z3544">
        <v>1.5428289999999999E-3</v>
      </c>
      <c r="AA3544">
        <v>0.99282099999999995</v>
      </c>
      <c r="AB3544">
        <v>40</v>
      </c>
      <c r="AC3544">
        <v>-34.220899999999901</v>
      </c>
      <c r="AD3544">
        <v>-1.11035303901</v>
      </c>
      <c r="AE3544">
        <v>4.5710000000000202</v>
      </c>
      <c r="AF3544">
        <v>4.1733755386169298</v>
      </c>
      <c r="AG3544">
        <v>-1.11035303901</v>
      </c>
      <c r="AH3544">
        <v>34.235727347866799</v>
      </c>
      <c r="AI3544">
        <v>91.843958472020404</v>
      </c>
      <c r="AJ3544">
        <v>83.0498676257466</v>
      </c>
      <c r="AK3544">
        <v>34.507027897155098</v>
      </c>
      <c r="AL3544">
        <v>77.821014112646296</v>
      </c>
      <c r="AM3544">
        <v>88.056779124244201</v>
      </c>
      <c r="AN3544">
        <v>1.00000000064088</v>
      </c>
    </row>
    <row r="3545" spans="1:40" x14ac:dyDescent="0.25">
      <c r="A3545" t="str">
        <f>"20190312164338435"</f>
        <v>20190312164338435</v>
      </c>
      <c r="B3545" t="str">
        <f>"1552380218428745"</f>
        <v>1552380218428745</v>
      </c>
      <c r="C3545" t="s">
        <v>40</v>
      </c>
      <c r="D3545">
        <v>4.9486239999999997</v>
      </c>
      <c r="E3545">
        <v>0.541278699999999</v>
      </c>
      <c r="F3545" t="s">
        <v>42</v>
      </c>
      <c r="G3545">
        <v>-350.09289999999999</v>
      </c>
      <c r="H3545" s="1">
        <v>-5.3612019999999899E-6</v>
      </c>
      <c r="I3545">
        <v>145.91220000000001</v>
      </c>
      <c r="J3545">
        <v>-315.13639999999998</v>
      </c>
      <c r="K3545">
        <v>1.1103639999999999</v>
      </c>
      <c r="L3545">
        <v>141.0652</v>
      </c>
      <c r="M3545">
        <v>-0.99983390000000005</v>
      </c>
      <c r="N3545">
        <v>0</v>
      </c>
      <c r="O3545">
        <v>1.142352E-2</v>
      </c>
      <c r="P3545">
        <v>-0.97921780000000003</v>
      </c>
      <c r="Q3545">
        <v>0.19746330000000001</v>
      </c>
      <c r="R3545">
        <v>4.6272519999999998E-2</v>
      </c>
      <c r="S3545">
        <v>-3.0634459999999999</v>
      </c>
      <c r="T3545">
        <v>-9.6150159999999998E-2</v>
      </c>
      <c r="U3545">
        <v>0.4201355</v>
      </c>
      <c r="V3545">
        <v>3.5057060000000001E-2</v>
      </c>
      <c r="W3545">
        <v>0.21136150000000001</v>
      </c>
      <c r="X3545">
        <v>0.97677899999999995</v>
      </c>
      <c r="Y3545">
        <v>0.1244907</v>
      </c>
      <c r="Z3545">
        <v>1.587331E-3</v>
      </c>
      <c r="AA3545">
        <v>0.99221950000000003</v>
      </c>
      <c r="AB3545">
        <v>40</v>
      </c>
      <c r="AC3545">
        <v>-34.956499999999998</v>
      </c>
      <c r="AD3545">
        <v>-1.11036936120199</v>
      </c>
      <c r="AE3545">
        <v>4.8470000000000004</v>
      </c>
      <c r="AF3545">
        <v>4.4429188969770399</v>
      </c>
      <c r="AG3545">
        <v>-1.11036936120199</v>
      </c>
      <c r="AH3545">
        <v>34.9749708993347</v>
      </c>
      <c r="AI3545">
        <v>91.803902593470596</v>
      </c>
      <c r="AJ3545">
        <v>82.760413429279097</v>
      </c>
      <c r="AK3545">
        <v>35.273517514599</v>
      </c>
      <c r="AL3545">
        <v>77.797847797844</v>
      </c>
      <c r="AM3545">
        <v>87.944509665427404</v>
      </c>
      <c r="AN3545">
        <v>0.99999994798954495</v>
      </c>
    </row>
    <row r="3546" spans="1:40" x14ac:dyDescent="0.25">
      <c r="A3546" t="str">
        <f>"20190312164338458"</f>
        <v>20190312164338458</v>
      </c>
      <c r="B3546" t="str">
        <f>"1552380218448265"</f>
        <v>1552380218448265</v>
      </c>
      <c r="C3546" t="s">
        <v>40</v>
      </c>
      <c r="D3546">
        <v>6.4815569999999996</v>
      </c>
      <c r="E3546">
        <v>0.54167480000000001</v>
      </c>
      <c r="F3546" t="s">
        <v>42</v>
      </c>
      <c r="G3546">
        <v>-350.68079999999998</v>
      </c>
      <c r="H3546" s="1">
        <v>-5.1867620000000003E-6</v>
      </c>
      <c r="I3546">
        <v>146.05670000000001</v>
      </c>
      <c r="J3546">
        <v>-315.55290000000002</v>
      </c>
      <c r="K3546">
        <v>1.1103670000000001</v>
      </c>
      <c r="L3546">
        <v>141.06989999999999</v>
      </c>
      <c r="M3546">
        <v>-0.99983460000000002</v>
      </c>
      <c r="N3546">
        <v>0</v>
      </c>
      <c r="O3546">
        <v>1.136411E-2</v>
      </c>
      <c r="P3546">
        <v>-0.97906939999999998</v>
      </c>
      <c r="Q3546">
        <v>0.19780500000000001</v>
      </c>
      <c r="R3546">
        <v>4.7923720000000003E-2</v>
      </c>
      <c r="S3546">
        <v>-3.0626829999999998</v>
      </c>
      <c r="T3546">
        <v>-9.5674990000000001E-2</v>
      </c>
      <c r="U3546">
        <v>0.43009950000000002</v>
      </c>
      <c r="V3546">
        <v>3.6767899999999999E-2</v>
      </c>
      <c r="W3546">
        <v>0.2117078</v>
      </c>
      <c r="X3546">
        <v>0.97664119999999999</v>
      </c>
      <c r="Y3546">
        <v>0.12774820000000001</v>
      </c>
      <c r="Z3546">
        <v>1.6319959999999999E-3</v>
      </c>
      <c r="AA3546">
        <v>0.9918053</v>
      </c>
      <c r="AB3546">
        <v>40</v>
      </c>
      <c r="AC3546">
        <v>-35.127899999999897</v>
      </c>
      <c r="AD3546">
        <v>-1.110372186762</v>
      </c>
      <c r="AE3546">
        <v>4.9868000000000103</v>
      </c>
      <c r="AF3546">
        <v>4.5827519253792799</v>
      </c>
      <c r="AG3546">
        <v>-1.110372186762</v>
      </c>
      <c r="AH3546">
        <v>35.147883045425999</v>
      </c>
      <c r="AI3546">
        <v>91.794277082685298</v>
      </c>
      <c r="AJ3546">
        <v>82.571404367151899</v>
      </c>
      <c r="AK3546">
        <v>35.462772370158099</v>
      </c>
      <c r="AL3546">
        <v>77.7775481628465</v>
      </c>
      <c r="AM3546">
        <v>87.843987050450295</v>
      </c>
      <c r="AN3546">
        <v>1.00000005229434</v>
      </c>
    </row>
    <row r="3547" spans="1:40" x14ac:dyDescent="0.25">
      <c r="A3547" t="str">
        <f>"20190312164338482"</f>
        <v>20190312164338482</v>
      </c>
      <c r="B3547" t="str">
        <f>"1552380218478521"</f>
        <v>1552380218478521</v>
      </c>
      <c r="C3547" t="s">
        <v>40</v>
      </c>
      <c r="D3547">
        <v>4.5728359999999997</v>
      </c>
      <c r="E3547">
        <v>0.54184409999999905</v>
      </c>
      <c r="F3547" t="s">
        <v>42</v>
      </c>
      <c r="G3547">
        <v>-350.71559999999999</v>
      </c>
      <c r="H3547" s="1">
        <v>-5.1837609999999901E-6</v>
      </c>
      <c r="I3547">
        <v>146.10659999999999</v>
      </c>
      <c r="J3547">
        <v>-315.97590000000002</v>
      </c>
      <c r="K3547">
        <v>1.1103719999999999</v>
      </c>
      <c r="L3547">
        <v>141.07470000000001</v>
      </c>
      <c r="M3547">
        <v>-0.99983509999999998</v>
      </c>
      <c r="N3547">
        <v>0</v>
      </c>
      <c r="O3547">
        <v>1.130424E-2</v>
      </c>
      <c r="P3547">
        <v>-0.97888980000000003</v>
      </c>
      <c r="Q3547">
        <v>0.19821820000000001</v>
      </c>
      <c r="R3547">
        <v>4.9844050000000001E-2</v>
      </c>
      <c r="S3547">
        <v>-3.062195</v>
      </c>
      <c r="T3547">
        <v>-9.6698400000000004E-2</v>
      </c>
      <c r="U3547">
        <v>0.4386292</v>
      </c>
      <c r="V3547">
        <v>3.8748690000000002E-2</v>
      </c>
      <c r="W3547">
        <v>0.2121239</v>
      </c>
      <c r="X3547">
        <v>0.97647430000000002</v>
      </c>
      <c r="Y3547">
        <v>0.1305345</v>
      </c>
      <c r="Z3547">
        <v>1.6950239999999901E-3</v>
      </c>
      <c r="AA3547">
        <v>0.9914423</v>
      </c>
      <c r="AB3547">
        <v>40</v>
      </c>
      <c r="AC3547">
        <v>-34.7396999999999</v>
      </c>
      <c r="AD3547">
        <v>-1.1103771837609999</v>
      </c>
      <c r="AE3547">
        <v>5.0318999999999701</v>
      </c>
      <c r="AF3547">
        <v>4.6341957544785402</v>
      </c>
      <c r="AG3547">
        <v>-1.1103771837609999</v>
      </c>
      <c r="AH3547">
        <v>34.759586082447001</v>
      </c>
      <c r="AI3547">
        <v>91.813625783552794</v>
      </c>
      <c r="AJ3547">
        <v>82.406029918044396</v>
      </c>
      <c r="AK3547">
        <v>35.084719357636203</v>
      </c>
      <c r="AL3547">
        <v>77.753153108194596</v>
      </c>
      <c r="AM3547">
        <v>87.727567265854603</v>
      </c>
      <c r="AN3547">
        <v>1.0000000342441999</v>
      </c>
    </row>
    <row r="3548" spans="1:40" x14ac:dyDescent="0.25">
      <c r="A3548" t="str">
        <f>"20190312164338501"</f>
        <v>20190312164338501</v>
      </c>
      <c r="B3548" t="str">
        <f>"1552380218498044"</f>
        <v>1552380218498044</v>
      </c>
      <c r="C3548" t="s">
        <v>40</v>
      </c>
      <c r="D3548">
        <v>4.558268</v>
      </c>
      <c r="E3548">
        <v>0.54186250000000002</v>
      </c>
      <c r="F3548" t="s">
        <v>42</v>
      </c>
      <c r="G3548">
        <v>-351.13780000000003</v>
      </c>
      <c r="H3548" s="1">
        <v>-5.0556349999999901E-6</v>
      </c>
      <c r="I3548">
        <v>146.1942</v>
      </c>
      <c r="J3548">
        <v>-316.32920000000001</v>
      </c>
      <c r="K3548">
        <v>1.1103749999999999</v>
      </c>
      <c r="L3548">
        <v>141.07859999999999</v>
      </c>
      <c r="M3548">
        <v>-0.99983569999999999</v>
      </c>
      <c r="N3548">
        <v>0</v>
      </c>
      <c r="O3548">
        <v>1.125397E-2</v>
      </c>
      <c r="P3548">
        <v>-0.97876669999999999</v>
      </c>
      <c r="Q3548">
        <v>0.19842670000000001</v>
      </c>
      <c r="R3548">
        <v>5.1404890000000002E-2</v>
      </c>
      <c r="S3548">
        <v>-3.0615839999999999</v>
      </c>
      <c r="T3548">
        <v>-9.6681829999999996E-2</v>
      </c>
      <c r="U3548">
        <v>0.44577030000000001</v>
      </c>
      <c r="V3548">
        <v>4.036E-2</v>
      </c>
      <c r="W3548">
        <v>0.21233450000000001</v>
      </c>
      <c r="X3548">
        <v>0.97636319999999999</v>
      </c>
      <c r="Y3548">
        <v>0.13287579999999999</v>
      </c>
      <c r="Z3548">
        <v>1.733131E-3</v>
      </c>
      <c r="AA3548">
        <v>0.99113119999999999</v>
      </c>
      <c r="AB3548">
        <v>40</v>
      </c>
      <c r="AC3548">
        <v>-34.808599999999998</v>
      </c>
      <c r="AD3548">
        <v>-1.1103800556350001</v>
      </c>
      <c r="AE3548">
        <v>5.1155999999999997</v>
      </c>
      <c r="AF3548">
        <v>4.7188012202438898</v>
      </c>
      <c r="AG3548">
        <v>-1.1103800556350001</v>
      </c>
      <c r="AH3548">
        <v>34.829279407381797</v>
      </c>
      <c r="AI3548">
        <v>91.809487529506001</v>
      </c>
      <c r="AJ3548">
        <v>82.284333506847503</v>
      </c>
      <c r="AK3548">
        <v>35.1650214398001</v>
      </c>
      <c r="AL3548">
        <v>77.740804707374494</v>
      </c>
      <c r="AM3548">
        <v>87.632907641768895</v>
      </c>
      <c r="AN3548">
        <v>0.99999998390224398</v>
      </c>
    </row>
    <row r="3549" spans="1:40" x14ac:dyDescent="0.25">
      <c r="A3549" t="str">
        <f>"20190312164338524"</f>
        <v>20190312164338524</v>
      </c>
      <c r="B3549" t="str">
        <f>"1552380218518542"</f>
        <v>1552380218518542</v>
      </c>
      <c r="C3549" t="s">
        <v>40</v>
      </c>
      <c r="D3549">
        <v>4.5530059999999999</v>
      </c>
      <c r="E3549">
        <v>0.54166110000000001</v>
      </c>
      <c r="F3549" t="s">
        <v>42</v>
      </c>
      <c r="G3549">
        <v>-350.11489999999998</v>
      </c>
      <c r="H3549" s="1">
        <v>-5.3768739999999998E-6</v>
      </c>
      <c r="I3549">
        <v>146.0428</v>
      </c>
      <c r="J3549">
        <v>-316.74029999999999</v>
      </c>
      <c r="K3549">
        <v>1.110379</v>
      </c>
      <c r="L3549">
        <v>141.08320000000001</v>
      </c>
      <c r="M3549">
        <v>-0.99983619999999995</v>
      </c>
      <c r="N3549">
        <v>0</v>
      </c>
      <c r="O3549">
        <v>1.119524E-2</v>
      </c>
      <c r="P3549">
        <v>-0.97844710000000001</v>
      </c>
      <c r="Q3549">
        <v>0.1993983</v>
      </c>
      <c r="R3549">
        <v>5.3679320000000003E-2</v>
      </c>
      <c r="S3549">
        <v>-3.0618590000000001</v>
      </c>
      <c r="T3549">
        <v>-0.1006292</v>
      </c>
      <c r="U3549">
        <v>0.44989010000000001</v>
      </c>
      <c r="V3549">
        <v>4.2695419999999998E-2</v>
      </c>
      <c r="W3549">
        <v>0.21330499999999999</v>
      </c>
      <c r="X3549">
        <v>0.97605229999999998</v>
      </c>
      <c r="Y3549">
        <v>0.13422129999999999</v>
      </c>
      <c r="Z3549">
        <v>1.8274260000000001E-3</v>
      </c>
      <c r="AA3549">
        <v>0.99094970000000004</v>
      </c>
      <c r="AB3549">
        <v>40</v>
      </c>
      <c r="AC3549">
        <v>-33.374599999999901</v>
      </c>
      <c r="AD3549">
        <v>-1.110384376874</v>
      </c>
      <c r="AE3549">
        <v>4.9595999999999902</v>
      </c>
      <c r="AF3549">
        <v>4.5806538344095902</v>
      </c>
      <c r="AG3549">
        <v>-1.110384376874</v>
      </c>
      <c r="AH3549">
        <v>33.391874175139499</v>
      </c>
      <c r="AI3549">
        <v>91.886904107952901</v>
      </c>
      <c r="AJ3549">
        <v>82.188991910681906</v>
      </c>
      <c r="AK3549">
        <v>33.722879532202498</v>
      </c>
      <c r="AL3549">
        <v>77.683895733092697</v>
      </c>
      <c r="AM3549">
        <v>87.495309532223999</v>
      </c>
      <c r="AN3549">
        <v>1.00000000712463</v>
      </c>
    </row>
    <row r="3550" spans="1:40" x14ac:dyDescent="0.25">
      <c r="A3550" t="str">
        <f>"20190312164338546"</f>
        <v>20190312164338546</v>
      </c>
      <c r="B3550" t="str">
        <f>"1552380218538065"</f>
        <v>1552380218538065</v>
      </c>
      <c r="C3550" t="s">
        <v>40</v>
      </c>
      <c r="D3550">
        <v>4.8259030000000003</v>
      </c>
      <c r="E3550">
        <v>0.54166499999999995</v>
      </c>
      <c r="F3550" t="s">
        <v>42</v>
      </c>
      <c r="G3550">
        <v>-349.13339999999999</v>
      </c>
      <c r="H3550" s="1">
        <v>-2.02245E-6</v>
      </c>
      <c r="I3550">
        <v>145.88650000000001</v>
      </c>
      <c r="J3550">
        <v>-317.14510000000001</v>
      </c>
      <c r="K3550">
        <v>1.1103829999999999</v>
      </c>
      <c r="L3550">
        <v>141.08770000000001</v>
      </c>
      <c r="M3550">
        <v>-0.99983699999999998</v>
      </c>
      <c r="N3550">
        <v>0</v>
      </c>
      <c r="O3550">
        <v>1.1137589999999999E-2</v>
      </c>
      <c r="P3550">
        <v>-0.97810699999999995</v>
      </c>
      <c r="Q3550">
        <v>0.2005759</v>
      </c>
      <c r="R3550">
        <v>5.5466179999999997E-2</v>
      </c>
      <c r="S3550">
        <v>-3.0625610000000001</v>
      </c>
      <c r="T3550">
        <v>-0.1049798</v>
      </c>
      <c r="U3550">
        <v>0.45413209999999998</v>
      </c>
      <c r="V3550">
        <v>4.4542430000000001E-2</v>
      </c>
      <c r="W3550">
        <v>0.21448020000000001</v>
      </c>
      <c r="X3550">
        <v>0.97571220000000003</v>
      </c>
      <c r="Y3550">
        <v>0.13558239999999999</v>
      </c>
      <c r="Z3550">
        <v>1.9309240000000001E-3</v>
      </c>
      <c r="AA3550">
        <v>0.99076419999999998</v>
      </c>
      <c r="AB3550">
        <v>40</v>
      </c>
      <c r="AC3550">
        <v>-31.988299999999899</v>
      </c>
      <c r="AD3550">
        <v>-1.11038502244999</v>
      </c>
      <c r="AE3550">
        <v>4.7988</v>
      </c>
      <c r="AF3550">
        <v>4.43696514934161</v>
      </c>
      <c r="AG3550">
        <v>-1.11038502244999</v>
      </c>
      <c r="AH3550">
        <v>32.002056195926698</v>
      </c>
      <c r="AI3550">
        <v>91.968397814511405</v>
      </c>
      <c r="AJ3550">
        <v>82.106476717352095</v>
      </c>
      <c r="AK3550">
        <v>32.327251899934197</v>
      </c>
      <c r="AL3550">
        <v>77.614966935523896</v>
      </c>
      <c r="AM3550">
        <v>87.386193817558095</v>
      </c>
      <c r="AN3550">
        <v>1.00000004074559</v>
      </c>
    </row>
    <row r="3551" spans="1:40" x14ac:dyDescent="0.25">
      <c r="A3551" t="str">
        <f>"20190312164338568"</f>
        <v>20190312164338568</v>
      </c>
      <c r="B3551" t="str">
        <f>"1552380218558561"</f>
        <v>1552380218558561</v>
      </c>
      <c r="C3551" t="s">
        <v>40</v>
      </c>
      <c r="D3551">
        <v>4.5883390000000004</v>
      </c>
      <c r="E3551">
        <v>0.52567200000000003</v>
      </c>
      <c r="F3551" t="s">
        <v>42</v>
      </c>
      <c r="G3551">
        <v>-350.66230000000002</v>
      </c>
      <c r="H3551" s="1">
        <v>-5.2030879999999999E-6</v>
      </c>
      <c r="I3551">
        <v>146.11320000000001</v>
      </c>
      <c r="J3551">
        <v>-317.5258</v>
      </c>
      <c r="K3551">
        <v>1.1103879999999999</v>
      </c>
      <c r="L3551">
        <v>141.09190000000001</v>
      </c>
      <c r="M3551">
        <v>-0.99983750000000005</v>
      </c>
      <c r="N3551">
        <v>0</v>
      </c>
      <c r="O3551">
        <v>1.10834E-2</v>
      </c>
      <c r="P3551">
        <v>-0.97778620000000005</v>
      </c>
      <c r="Q3551">
        <v>0.20158719999999999</v>
      </c>
      <c r="R3551">
        <v>5.7420359999999997E-2</v>
      </c>
      <c r="S3551">
        <v>-3.0619200000000002</v>
      </c>
      <c r="T3551">
        <v>-0.101438</v>
      </c>
      <c r="U3551">
        <v>0.45910640000000003</v>
      </c>
      <c r="V3551">
        <v>4.6553020000000001E-2</v>
      </c>
      <c r="W3551">
        <v>0.21548890000000001</v>
      </c>
      <c r="X3551">
        <v>0.97539600000000004</v>
      </c>
      <c r="Y3551">
        <v>0.13724439999999999</v>
      </c>
      <c r="Z3551">
        <v>1.8951339999999999E-3</v>
      </c>
      <c r="AA3551">
        <v>0.99053539999999995</v>
      </c>
      <c r="AB3551">
        <v>40</v>
      </c>
      <c r="AC3551">
        <v>-33.136499999999998</v>
      </c>
      <c r="AD3551">
        <v>-1.1103932030879999</v>
      </c>
      <c r="AE3551">
        <v>5.0212999999999903</v>
      </c>
      <c r="AF3551">
        <v>4.6485865902066701</v>
      </c>
      <c r="AG3551">
        <v>-1.1103932030879999</v>
      </c>
      <c r="AH3551">
        <v>33.153730361198001</v>
      </c>
      <c r="AI3551">
        <v>91.899678977080498</v>
      </c>
      <c r="AJ3551">
        <v>82.018416156832302</v>
      </c>
      <c r="AK3551">
        <v>33.496450068852603</v>
      </c>
      <c r="AL3551">
        <v>77.555788476023693</v>
      </c>
      <c r="AM3551">
        <v>87.267500520098494</v>
      </c>
      <c r="AN3551">
        <v>1.0000000032551599</v>
      </c>
    </row>
    <row r="3552" spans="1:40" x14ac:dyDescent="0.25">
      <c r="A3552" t="str">
        <f>"20190312164338590"</f>
        <v>20190312164338590</v>
      </c>
      <c r="B3552" t="str">
        <f>"1552380218578077"</f>
        <v>1552380218578077</v>
      </c>
      <c r="C3552" t="s">
        <v>40</v>
      </c>
      <c r="D3552">
        <v>4.5969410000000002</v>
      </c>
      <c r="E3552">
        <v>0.5230051</v>
      </c>
      <c r="F3552" t="s">
        <v>42</v>
      </c>
      <c r="G3552">
        <v>-365.40539999999999</v>
      </c>
      <c r="H3552" s="1">
        <v>-3.6388889999999999E-6</v>
      </c>
      <c r="I3552">
        <v>146.39439999999999</v>
      </c>
      <c r="J3552">
        <v>-317.92320000000001</v>
      </c>
      <c r="K3552">
        <v>1.1103970000000001</v>
      </c>
      <c r="L3552">
        <v>141.09630000000001</v>
      </c>
      <c r="M3552">
        <v>-0.99983809999999995</v>
      </c>
      <c r="N3552">
        <v>0</v>
      </c>
      <c r="O3552">
        <v>1.102677E-2</v>
      </c>
      <c r="P3552">
        <v>-0.97733380000000003</v>
      </c>
      <c r="Q3552">
        <v>0.20319000000000001</v>
      </c>
      <c r="R3552">
        <v>5.9435229999999999E-2</v>
      </c>
      <c r="S3552">
        <v>-3.0628359999999999</v>
      </c>
      <c r="T3552">
        <v>-7.1031330000000004E-2</v>
      </c>
      <c r="U3552">
        <v>0.33920289999999997</v>
      </c>
      <c r="V3552">
        <v>4.8627950000000003E-2</v>
      </c>
      <c r="W3552">
        <v>0.21708669999999999</v>
      </c>
      <c r="X3552">
        <v>0.97494040000000004</v>
      </c>
      <c r="Y3552">
        <v>9.9084050000000007E-2</v>
      </c>
      <c r="Z3552">
        <v>8.9039719999999998E-4</v>
      </c>
      <c r="AA3552">
        <v>0.99507869999999998</v>
      </c>
      <c r="AB3552">
        <v>40</v>
      </c>
      <c r="AC3552">
        <v>-47.482199999999899</v>
      </c>
      <c r="AD3552">
        <v>-1.11040063888899</v>
      </c>
      <c r="AE3552">
        <v>5.2980999999999696</v>
      </c>
      <c r="AF3552">
        <v>4.7715721701177802</v>
      </c>
      <c r="AG3552">
        <v>-1.11040063888899</v>
      </c>
      <c r="AH3552">
        <v>47.512075274839503</v>
      </c>
      <c r="AI3552">
        <v>91.332112539357894</v>
      </c>
      <c r="AJ3552">
        <v>84.265092908232205</v>
      </c>
      <c r="AK3552">
        <v>47.7639842085593</v>
      </c>
      <c r="AL3552">
        <v>77.462022350267802</v>
      </c>
      <c r="AM3552">
        <v>87.144574930723394</v>
      </c>
      <c r="AN3552">
        <v>1.0000000481951199</v>
      </c>
    </row>
    <row r="3553" spans="1:40" x14ac:dyDescent="0.25">
      <c r="A3553" t="str">
        <f>"20190312164338612"</f>
        <v>20190312164338612</v>
      </c>
      <c r="B3553" t="str">
        <f>"1552380218608334"</f>
        <v>1552380218608334</v>
      </c>
      <c r="C3553" t="s">
        <v>40</v>
      </c>
      <c r="D3553">
        <v>4.5669420000000001</v>
      </c>
      <c r="E3553">
        <v>0.5143025</v>
      </c>
      <c r="F3553" t="s">
        <v>42</v>
      </c>
      <c r="G3553">
        <v>-371.27969999999999</v>
      </c>
      <c r="H3553" s="1">
        <v>-5.1051539999999998E-6</v>
      </c>
      <c r="I3553">
        <v>146.7456</v>
      </c>
      <c r="J3553">
        <v>-318.32150000000001</v>
      </c>
      <c r="K3553">
        <v>1.1104099999999999</v>
      </c>
      <c r="L3553">
        <v>141.10059999999999</v>
      </c>
      <c r="M3553">
        <v>-0.99983860000000002</v>
      </c>
      <c r="N3553">
        <v>0</v>
      </c>
      <c r="O3553">
        <v>1.097009E-2</v>
      </c>
      <c r="P3553">
        <v>-0.97665789999999997</v>
      </c>
      <c r="Q3553">
        <v>0.2058991</v>
      </c>
      <c r="R3553">
        <v>6.1194760000000001E-2</v>
      </c>
      <c r="S3553">
        <v>-3.0631409999999999</v>
      </c>
      <c r="T3553">
        <v>-6.374705E-2</v>
      </c>
      <c r="U3553">
        <v>0.32432559999999999</v>
      </c>
      <c r="V3553">
        <v>5.0449870000000001E-2</v>
      </c>
      <c r="W3553">
        <v>0.21978739999999999</v>
      </c>
      <c r="X3553">
        <v>0.97424239999999995</v>
      </c>
      <c r="Y3553">
        <v>9.4357129999999997E-2</v>
      </c>
      <c r="Z3553">
        <v>7.5136720000000003E-4</v>
      </c>
      <c r="AA3553">
        <v>0.99553809999999998</v>
      </c>
      <c r="AB3553">
        <v>40</v>
      </c>
      <c r="AC3553">
        <v>-52.958199999999898</v>
      </c>
      <c r="AD3553">
        <v>-1.1104151051540001</v>
      </c>
      <c r="AE3553">
        <v>5.6449999999999996</v>
      </c>
      <c r="AF3553">
        <v>5.0614449719007304</v>
      </c>
      <c r="AG3553">
        <v>-1.1104151051540001</v>
      </c>
      <c r="AH3553">
        <v>52.993908241480099</v>
      </c>
      <c r="AI3553">
        <v>91.194943032982707</v>
      </c>
      <c r="AJ3553">
        <v>84.544232839228997</v>
      </c>
      <c r="AK3553">
        <v>53.246648322835703</v>
      </c>
      <c r="AL3553">
        <v>77.303453357109802</v>
      </c>
      <c r="AM3553">
        <v>87.035660688762107</v>
      </c>
      <c r="AN3553">
        <v>0.999999972269768</v>
      </c>
    </row>
    <row r="3554" spans="1:40" x14ac:dyDescent="0.25">
      <c r="A3554" t="str">
        <f>"20190312164338636"</f>
        <v>20190312164338636</v>
      </c>
      <c r="B3554" t="str">
        <f>"1552380218627854"</f>
        <v>1552380218627854</v>
      </c>
      <c r="C3554" t="s">
        <v>40</v>
      </c>
      <c r="D3554">
        <v>4.5364769999999996</v>
      </c>
      <c r="E3554">
        <v>0.51606739999999995</v>
      </c>
      <c r="F3554" t="s">
        <v>42</v>
      </c>
      <c r="G3554">
        <v>-343.22239999999999</v>
      </c>
      <c r="H3554" s="1">
        <v>-3.8091629999999999E-6</v>
      </c>
      <c r="I3554">
        <v>143.16650000000001</v>
      </c>
      <c r="J3554">
        <v>-318.75009999999997</v>
      </c>
      <c r="K3554">
        <v>1.110422</v>
      </c>
      <c r="L3554">
        <v>141.1053</v>
      </c>
      <c r="M3554">
        <v>-0.99983940000000004</v>
      </c>
      <c r="N3554">
        <v>0</v>
      </c>
      <c r="O3554">
        <v>1.09087E-2</v>
      </c>
      <c r="P3554">
        <v>-0.97601249999999995</v>
      </c>
      <c r="Q3554">
        <v>0.20835419999999999</v>
      </c>
      <c r="R3554">
        <v>6.3152040000000007E-2</v>
      </c>
      <c r="S3554">
        <v>-3.084625</v>
      </c>
      <c r="T3554">
        <v>-0.13755400000000001</v>
      </c>
      <c r="U3554">
        <v>0.25592039999999999</v>
      </c>
      <c r="V3554">
        <v>5.2473779999999998E-2</v>
      </c>
      <c r="W3554">
        <v>0.2222335</v>
      </c>
      <c r="X3554">
        <v>0.97358040000000001</v>
      </c>
      <c r="Y3554">
        <v>7.174498E-2</v>
      </c>
      <c r="Z3554">
        <v>1.110776E-3</v>
      </c>
      <c r="AA3554">
        <v>0.99742240000000004</v>
      </c>
      <c r="AB3554">
        <v>40</v>
      </c>
      <c r="AC3554">
        <v>-24.472300000000001</v>
      </c>
      <c r="AD3554">
        <v>-1.1104258091629999</v>
      </c>
      <c r="AE3554">
        <v>2.0612000000000101</v>
      </c>
      <c r="AF3554">
        <v>1.7904290613898799</v>
      </c>
      <c r="AG3554">
        <v>-1.1104258091629999</v>
      </c>
      <c r="AH3554">
        <v>24.4433595766492</v>
      </c>
      <c r="AI3554">
        <v>92.594134212725294</v>
      </c>
      <c r="AJ3554">
        <v>85.810675994554799</v>
      </c>
      <c r="AK3554">
        <v>24.533986816147301</v>
      </c>
      <c r="AL3554">
        <v>77.159748991593403</v>
      </c>
      <c r="AM3554">
        <v>86.914872251440002</v>
      </c>
      <c r="AN3554">
        <v>1.00000001068694</v>
      </c>
    </row>
    <row r="3555" spans="1:40" x14ac:dyDescent="0.25">
      <c r="A3555" t="str">
        <f>"20190312164338670"</f>
        <v>20190312164338670</v>
      </c>
      <c r="B3555" t="str">
        <f>"1552380218658109"</f>
        <v>1552380218658109</v>
      </c>
      <c r="C3555" t="s">
        <v>40</v>
      </c>
      <c r="D3555">
        <v>4.731725</v>
      </c>
      <c r="E3555">
        <v>0.515764</v>
      </c>
      <c r="F3555" t="s">
        <v>42</v>
      </c>
      <c r="G3555">
        <v>-345.39690000000002</v>
      </c>
      <c r="H3555" s="1">
        <v>-2.989796E-6</v>
      </c>
      <c r="I3555">
        <v>143.49789999999999</v>
      </c>
      <c r="J3555">
        <v>-319.346</v>
      </c>
      <c r="K3555">
        <v>1.110433</v>
      </c>
      <c r="L3555">
        <v>141.11170000000001</v>
      </c>
      <c r="M3555">
        <v>-0.99984030000000002</v>
      </c>
      <c r="N3555">
        <v>0</v>
      </c>
      <c r="O3555">
        <v>1.082372E-2</v>
      </c>
      <c r="P3555">
        <v>-0.97502049999999996</v>
      </c>
      <c r="Q3555">
        <v>0.21182390000000001</v>
      </c>
      <c r="R3555">
        <v>6.6825960000000004E-2</v>
      </c>
      <c r="S3555">
        <v>-3.0832820000000001</v>
      </c>
      <c r="T3555">
        <v>-0.12848660000000001</v>
      </c>
      <c r="U3555">
        <v>0.27685549999999998</v>
      </c>
      <c r="V3555">
        <v>5.6240909999999998E-2</v>
      </c>
      <c r="W3555">
        <v>0.22568920000000001</v>
      </c>
      <c r="X3555">
        <v>0.97257459999999996</v>
      </c>
      <c r="Y3555">
        <v>7.858764E-2</v>
      </c>
      <c r="Z3555">
        <v>1.1835299999999999E-3</v>
      </c>
      <c r="AA3555">
        <v>0.99690650000000003</v>
      </c>
      <c r="AB3555">
        <v>40</v>
      </c>
      <c r="AC3555">
        <v>-26.050899999999999</v>
      </c>
      <c r="AD3555">
        <v>-1.1104359897959999</v>
      </c>
      <c r="AE3555">
        <v>2.3861999999999699</v>
      </c>
      <c r="AF3555">
        <v>2.1002796908731698</v>
      </c>
      <c r="AG3555">
        <v>-1.1104359897959999</v>
      </c>
      <c r="AH3555">
        <v>26.028305354808001</v>
      </c>
      <c r="AI3555">
        <v>92.435002327728895</v>
      </c>
      <c r="AJ3555">
        <v>85.386676333955407</v>
      </c>
      <c r="AK3555">
        <v>26.136505552779099</v>
      </c>
      <c r="AL3555">
        <v>76.956591148696404</v>
      </c>
      <c r="AM3555">
        <v>86.690452161768306</v>
      </c>
      <c r="AN3555">
        <v>1.0000000037597101</v>
      </c>
    </row>
    <row r="3556" spans="1:40" x14ac:dyDescent="0.25">
      <c r="A3556" t="str">
        <f>"20190312164338692"</f>
        <v>20190312164338692</v>
      </c>
      <c r="B3556" t="str">
        <f>"1552380218688366"</f>
        <v>1552380218688366</v>
      </c>
      <c r="C3556" t="s">
        <v>40</v>
      </c>
      <c r="D3556">
        <v>4.532667</v>
      </c>
      <c r="E3556">
        <v>0.51855680000000004</v>
      </c>
      <c r="F3556" t="s">
        <v>42</v>
      </c>
      <c r="G3556">
        <v>-348.03149999999999</v>
      </c>
      <c r="H3556" s="1">
        <v>-1.9332259999999998E-6</v>
      </c>
      <c r="I3556">
        <v>143.77459999999999</v>
      </c>
      <c r="J3556">
        <v>-319.73349999999999</v>
      </c>
      <c r="K3556">
        <v>1.1104419999999999</v>
      </c>
      <c r="L3556">
        <v>141.11580000000001</v>
      </c>
      <c r="M3556">
        <v>-0.99984079999999997</v>
      </c>
      <c r="N3556">
        <v>0</v>
      </c>
      <c r="O3556">
        <v>1.076859E-2</v>
      </c>
      <c r="P3556">
        <v>-0.97424339999999998</v>
      </c>
      <c r="Q3556">
        <v>0.214614</v>
      </c>
      <c r="R3556">
        <v>6.9214699999999907E-2</v>
      </c>
      <c r="S3556">
        <v>-3.0831300000000001</v>
      </c>
      <c r="T3556">
        <v>-0.1193504</v>
      </c>
      <c r="U3556">
        <v>0.28622439999999999</v>
      </c>
      <c r="V3556">
        <v>5.8691489999999999E-2</v>
      </c>
      <c r="W3556">
        <v>0.22846759999999999</v>
      </c>
      <c r="X3556">
        <v>0.9717808</v>
      </c>
      <c r="Y3556">
        <v>8.1656619999999999E-2</v>
      </c>
      <c r="Z3556">
        <v>1.1607239999999999E-3</v>
      </c>
      <c r="AA3556">
        <v>0.99665990000000004</v>
      </c>
      <c r="AB3556">
        <v>40</v>
      </c>
      <c r="AC3556">
        <v>-28.297999999999998</v>
      </c>
      <c r="AD3556">
        <v>-1.1104439332260001</v>
      </c>
      <c r="AE3556">
        <v>2.6587999999999798</v>
      </c>
      <c r="AF3556">
        <v>2.3502979343502699</v>
      </c>
      <c r="AG3556">
        <v>-1.1104439332260001</v>
      </c>
      <c r="AH3556">
        <v>28.2818242804581</v>
      </c>
      <c r="AI3556">
        <v>92.240762736626706</v>
      </c>
      <c r="AJ3556">
        <v>85.249477767796705</v>
      </c>
      <c r="AK3556">
        <v>28.401031156276002</v>
      </c>
      <c r="AL3556">
        <v>76.793130663407695</v>
      </c>
      <c r="AM3556">
        <v>86.543773195071694</v>
      </c>
      <c r="AN3556">
        <v>1.0000000292483999</v>
      </c>
    </row>
    <row r="3557" spans="1:40" x14ac:dyDescent="0.25">
      <c r="A3557" t="str">
        <f>"20190312164338713"</f>
        <v>20190312164338713</v>
      </c>
      <c r="B3557" t="str">
        <f>"1552380218707886"</f>
        <v>1552380218707886</v>
      </c>
      <c r="C3557" t="s">
        <v>40</v>
      </c>
      <c r="D3557">
        <v>4.5465030000000004</v>
      </c>
      <c r="E3557">
        <v>0.51818339999999996</v>
      </c>
      <c r="F3557" t="s">
        <v>42</v>
      </c>
      <c r="G3557">
        <v>-384.52859999999998</v>
      </c>
      <c r="H3557" s="1">
        <v>-4.1962910000000003E-6</v>
      </c>
      <c r="I3557">
        <v>147.85470000000001</v>
      </c>
      <c r="J3557">
        <v>-320.12869999999998</v>
      </c>
      <c r="K3557">
        <v>1.110455</v>
      </c>
      <c r="L3557">
        <v>141.12010000000001</v>
      </c>
      <c r="M3557">
        <v>-0.99984150000000005</v>
      </c>
      <c r="N3557">
        <v>0</v>
      </c>
      <c r="O3557">
        <v>1.0712269999999999E-2</v>
      </c>
      <c r="P3557">
        <v>-0.97352030000000001</v>
      </c>
      <c r="Q3557">
        <v>0.217138</v>
      </c>
      <c r="R3557">
        <v>7.1479210000000001E-2</v>
      </c>
      <c r="S3557">
        <v>-3.0682070000000001</v>
      </c>
      <c r="T3557">
        <v>-5.2582379999999998E-2</v>
      </c>
      <c r="U3557">
        <v>0.31910709999999998</v>
      </c>
      <c r="V3557">
        <v>6.1018290000000003E-2</v>
      </c>
      <c r="W3557">
        <v>0.23098109999999999</v>
      </c>
      <c r="X3557">
        <v>0.97104299999999999</v>
      </c>
      <c r="Y3557">
        <v>9.2772709999999994E-2</v>
      </c>
      <c r="Z3557">
        <v>6.0969669999999998E-4</v>
      </c>
      <c r="AA3557">
        <v>0.99568710000000005</v>
      </c>
      <c r="AB3557">
        <v>40</v>
      </c>
      <c r="AC3557">
        <v>-64.399900000000002</v>
      </c>
      <c r="AD3557">
        <v>-1.110459196291</v>
      </c>
      <c r="AE3557">
        <v>6.7346000000000004</v>
      </c>
      <c r="AF3557">
        <v>6.0424974583590201</v>
      </c>
      <c r="AG3557">
        <v>-1.110459196291</v>
      </c>
      <c r="AH3557">
        <v>64.449398988493101</v>
      </c>
      <c r="AI3557">
        <v>90.982795948193498</v>
      </c>
      <c r="AJ3557">
        <v>84.643852149460301</v>
      </c>
      <c r="AK3557">
        <v>64.741562578755193</v>
      </c>
      <c r="AL3557">
        <v>76.645159978476201</v>
      </c>
      <c r="AM3557">
        <v>86.404381879109906</v>
      </c>
      <c r="AN3557">
        <v>1.00000000406036</v>
      </c>
    </row>
    <row r="3558" spans="1:40" x14ac:dyDescent="0.25">
      <c r="A3558" t="str">
        <f>"20190312164338736"</f>
        <v>20190312164338736</v>
      </c>
      <c r="B3558" t="str">
        <f>"1552380218728385"</f>
        <v>1552380218728385</v>
      </c>
      <c r="C3558" t="s">
        <v>40</v>
      </c>
      <c r="D3558">
        <v>4.7689949999999897</v>
      </c>
      <c r="E3558">
        <v>0.5129167</v>
      </c>
      <c r="F3558" t="s">
        <v>42</v>
      </c>
      <c r="G3558">
        <v>-393.1748</v>
      </c>
      <c r="H3558" s="1">
        <v>-4.8242380000000001E-6</v>
      </c>
      <c r="I3558">
        <v>148.79740000000001</v>
      </c>
      <c r="J3558">
        <v>-320.53719999999998</v>
      </c>
      <c r="K3558">
        <v>1.1104590000000001</v>
      </c>
      <c r="L3558">
        <v>141.12440000000001</v>
      </c>
      <c r="M3558">
        <v>-0.99984200000000001</v>
      </c>
      <c r="N3558">
        <v>0</v>
      </c>
      <c r="O3558">
        <v>1.0653930000000001E-2</v>
      </c>
      <c r="P3558">
        <v>-0.97276600000000002</v>
      </c>
      <c r="Q3558">
        <v>0.21962680000000001</v>
      </c>
      <c r="R3558">
        <v>7.4096430000000005E-2</v>
      </c>
      <c r="S3558">
        <v>-3.0683289999999999</v>
      </c>
      <c r="T3558">
        <v>-4.6645279999999997E-2</v>
      </c>
      <c r="U3558">
        <v>0.32249450000000002</v>
      </c>
      <c r="V3558">
        <v>6.3700060000000003E-2</v>
      </c>
      <c r="W3558">
        <v>0.23345830000000001</v>
      </c>
      <c r="X3558">
        <v>0.97027810000000003</v>
      </c>
      <c r="Y3558">
        <v>9.391642E-2</v>
      </c>
      <c r="Z3558">
        <v>5.5036530000000003E-4</v>
      </c>
      <c r="AA3558">
        <v>0.99558000000000002</v>
      </c>
      <c r="AB3558">
        <v>40</v>
      </c>
      <c r="AC3558">
        <v>-72.637600000000006</v>
      </c>
      <c r="AD3558">
        <v>-1.1104638242380001</v>
      </c>
      <c r="AE3558">
        <v>7.673</v>
      </c>
      <c r="AF3558">
        <v>6.8970160272262202</v>
      </c>
      <c r="AG3558">
        <v>-1.1104638242380001</v>
      </c>
      <c r="AH3558">
        <v>72.698429334250704</v>
      </c>
      <c r="AI3558">
        <v>90.871209957629304</v>
      </c>
      <c r="AJ3558">
        <v>84.580478786196494</v>
      </c>
      <c r="AK3558">
        <v>73.033304646933502</v>
      </c>
      <c r="AL3558">
        <v>76.499238210981403</v>
      </c>
      <c r="AM3558">
        <v>86.243845424561002</v>
      </c>
      <c r="AN3558">
        <v>1.00000003341125</v>
      </c>
    </row>
    <row r="3559" spans="1:40" x14ac:dyDescent="0.25">
      <c r="A3559" t="str">
        <f>"20190312164338757"</f>
        <v>20190312164338757</v>
      </c>
      <c r="B3559" t="str">
        <f>"1552380218747902"</f>
        <v>1552380218747902</v>
      </c>
      <c r="C3559" t="s">
        <v>40</v>
      </c>
      <c r="D3559">
        <v>4.8102400000000003</v>
      </c>
      <c r="E3559">
        <v>0.51213770000000003</v>
      </c>
      <c r="F3559" t="s">
        <v>42</v>
      </c>
      <c r="G3559">
        <v>-346.21280000000002</v>
      </c>
      <c r="H3559" s="1">
        <v>-2.635615E-6</v>
      </c>
      <c r="I3559">
        <v>143.48220000000001</v>
      </c>
      <c r="J3559">
        <v>-320.9117</v>
      </c>
      <c r="K3559">
        <v>1.1104700000000001</v>
      </c>
      <c r="L3559">
        <v>141.1284</v>
      </c>
      <c r="M3559">
        <v>-0.99984269999999997</v>
      </c>
      <c r="N3559">
        <v>0</v>
      </c>
      <c r="O3559">
        <v>1.06006E-2</v>
      </c>
      <c r="P3559">
        <v>-0.97218400000000005</v>
      </c>
      <c r="Q3559">
        <v>0.22152740000000001</v>
      </c>
      <c r="R3559">
        <v>7.6053109999999993E-2</v>
      </c>
      <c r="S3559">
        <v>-3.0925600000000002</v>
      </c>
      <c r="T3559">
        <v>-0.1337525</v>
      </c>
      <c r="U3559">
        <v>0.28399659999999999</v>
      </c>
      <c r="V3559">
        <v>6.5714629999999996E-2</v>
      </c>
      <c r="W3559">
        <v>0.23535</v>
      </c>
      <c r="X3559">
        <v>0.96968650000000001</v>
      </c>
      <c r="Y3559">
        <v>8.0819940000000007E-2</v>
      </c>
      <c r="Z3559">
        <v>1.2859600000000001E-3</v>
      </c>
      <c r="AA3559">
        <v>0.9967279</v>
      </c>
      <c r="AB3559">
        <v>40</v>
      </c>
      <c r="AC3559">
        <v>-25.301100000000002</v>
      </c>
      <c r="AD3559">
        <v>-1.1104726356149901</v>
      </c>
      <c r="AE3559">
        <v>2.3538000000000001</v>
      </c>
      <c r="AF3559">
        <v>2.0814585288187799</v>
      </c>
      <c r="AG3559">
        <v>-1.1104726356149901</v>
      </c>
      <c r="AH3559">
        <v>25.276358805348899</v>
      </c>
      <c r="AI3559">
        <v>92.507096962221098</v>
      </c>
      <c r="AJ3559">
        <v>85.292426854471898</v>
      </c>
      <c r="AK3559">
        <v>25.3862154236976</v>
      </c>
      <c r="AL3559">
        <v>76.387744640084307</v>
      </c>
      <c r="AM3559">
        <v>86.123053409032906</v>
      </c>
      <c r="AN3559">
        <v>0.99999997168914301</v>
      </c>
    </row>
    <row r="3560" spans="1:40" x14ac:dyDescent="0.25">
      <c r="A3560" t="str">
        <f>"20190312164338791"</f>
        <v>20190312164338791</v>
      </c>
      <c r="B3560" t="str">
        <f>"1552380218787918"</f>
        <v>1552380218787918</v>
      </c>
      <c r="C3560" t="s">
        <v>40</v>
      </c>
      <c r="D3560">
        <v>4.7037209999999998</v>
      </c>
      <c r="E3560">
        <v>0.51219759999999903</v>
      </c>
      <c r="F3560" t="s">
        <v>42</v>
      </c>
      <c r="G3560">
        <v>-346.4425</v>
      </c>
      <c r="H3560" s="1">
        <v>-2.5336580000000001E-6</v>
      </c>
      <c r="I3560">
        <v>143.46940000000001</v>
      </c>
      <c r="J3560">
        <v>-321.51589999999999</v>
      </c>
      <c r="K3560">
        <v>1.1104909999999999</v>
      </c>
      <c r="L3560">
        <v>141.13470000000001</v>
      </c>
      <c r="M3560">
        <v>-0.9998437</v>
      </c>
      <c r="N3560">
        <v>0</v>
      </c>
      <c r="O3560">
        <v>1.051378E-2</v>
      </c>
      <c r="P3560">
        <v>-0.97137620000000002</v>
      </c>
      <c r="Q3560">
        <v>0.22389870000000001</v>
      </c>
      <c r="R3560">
        <v>7.9359730000000003E-2</v>
      </c>
      <c r="S3560">
        <v>-3.0942989999999999</v>
      </c>
      <c r="T3560">
        <v>-0.13458800000000001</v>
      </c>
      <c r="U3560">
        <v>0.28373720000000002</v>
      </c>
      <c r="V3560">
        <v>6.9113800000000003E-2</v>
      </c>
      <c r="W3560">
        <v>0.23770830000000001</v>
      </c>
      <c r="X3560">
        <v>0.96887460000000003</v>
      </c>
      <c r="Y3560">
        <v>8.0771850000000006E-2</v>
      </c>
      <c r="Z3560">
        <v>1.295989E-3</v>
      </c>
      <c r="AA3560">
        <v>0.99673179999999995</v>
      </c>
      <c r="AB3560">
        <v>40</v>
      </c>
      <c r="AC3560">
        <v>-24.926600000000001</v>
      </c>
      <c r="AD3560">
        <v>-1.110493533658</v>
      </c>
      <c r="AE3560">
        <v>2.33469999999999</v>
      </c>
      <c r="AF3560">
        <v>2.0684021039654299</v>
      </c>
      <c r="AG3560">
        <v>-1.110493533658</v>
      </c>
      <c r="AH3560">
        <v>24.9007789529783</v>
      </c>
      <c r="AI3560">
        <v>92.544760290959999</v>
      </c>
      <c r="AJ3560">
        <v>85.251583794623301</v>
      </c>
      <c r="AK3560">
        <v>25.011203002196201</v>
      </c>
      <c r="AL3560">
        <v>76.248677858439606</v>
      </c>
      <c r="AM3560">
        <v>85.919768453111104</v>
      </c>
      <c r="AN3560">
        <v>0.99999997188224399</v>
      </c>
    </row>
    <row r="3561" spans="1:40" x14ac:dyDescent="0.25">
      <c r="A3561" t="str">
        <f>"20190312164338814"</f>
        <v>20190312164338814</v>
      </c>
      <c r="B3561" t="str">
        <f>"1552380218808414"</f>
        <v>1552380218808414</v>
      </c>
      <c r="C3561" t="s">
        <v>40</v>
      </c>
      <c r="D3561">
        <v>4.5276620000000003</v>
      </c>
      <c r="E3561">
        <v>0.51166750000000005</v>
      </c>
      <c r="F3561" t="s">
        <v>42</v>
      </c>
      <c r="G3561">
        <v>-379.54390000000001</v>
      </c>
      <c r="H3561" s="1">
        <v>-2.078551E-6</v>
      </c>
      <c r="I3561">
        <v>146.75919999999999</v>
      </c>
      <c r="J3561">
        <v>-321.90980000000002</v>
      </c>
      <c r="K3561">
        <v>1.1104909999999999</v>
      </c>
      <c r="L3561">
        <v>141.1388</v>
      </c>
      <c r="M3561">
        <v>-0.99984439999999997</v>
      </c>
      <c r="N3561">
        <v>0</v>
      </c>
      <c r="O3561">
        <v>1.045777E-2</v>
      </c>
      <c r="P3561">
        <v>-0.97091590000000005</v>
      </c>
      <c r="Q3561">
        <v>0.2251638</v>
      </c>
      <c r="R3561">
        <v>8.1385529999999998E-2</v>
      </c>
      <c r="S3561">
        <v>-3.0776059999999998</v>
      </c>
      <c r="T3561">
        <v>-5.8896780000000003E-2</v>
      </c>
      <c r="U3561">
        <v>0.2983093</v>
      </c>
      <c r="V3561">
        <v>7.1198620000000004E-2</v>
      </c>
      <c r="W3561">
        <v>0.2389656</v>
      </c>
      <c r="X3561">
        <v>0.96841429999999995</v>
      </c>
      <c r="Y3561">
        <v>8.604784E-2</v>
      </c>
      <c r="Z3561">
        <v>6.2171939999999999E-4</v>
      </c>
      <c r="AA3561">
        <v>0.99629080000000003</v>
      </c>
      <c r="AB3561">
        <v>40</v>
      </c>
      <c r="AC3561">
        <v>-57.634099999999897</v>
      </c>
      <c r="AD3561">
        <v>-1.1104930785510001</v>
      </c>
      <c r="AE3561">
        <v>5.6203999999999796</v>
      </c>
      <c r="AF3561">
        <v>5.0154631262876599</v>
      </c>
      <c r="AG3561">
        <v>-1.1104930785510001</v>
      </c>
      <c r="AH3561">
        <v>57.668522425399097</v>
      </c>
      <c r="AI3561">
        <v>91.099031400574901</v>
      </c>
      <c r="AJ3561">
        <v>85.029461531606103</v>
      </c>
      <c r="AK3561">
        <v>57.896861261880296</v>
      </c>
      <c r="AL3561">
        <v>76.174503119747797</v>
      </c>
      <c r="AM3561">
        <v>85.795132236978802</v>
      </c>
      <c r="AN3561">
        <v>1.00000002895887</v>
      </c>
    </row>
    <row r="3562" spans="1:40" x14ac:dyDescent="0.25">
      <c r="A3562" t="str">
        <f>"20190312164338836"</f>
        <v>20190312164338836</v>
      </c>
      <c r="B3562" t="str">
        <f>"1552380218827933"</f>
        <v>1552380218827933</v>
      </c>
      <c r="C3562" t="s">
        <v>40</v>
      </c>
      <c r="D3562">
        <v>4.6565430000000001</v>
      </c>
      <c r="E3562">
        <v>0.51126470000000002</v>
      </c>
      <c r="F3562" t="s">
        <v>42</v>
      </c>
      <c r="G3562">
        <v>-380.11509999999998</v>
      </c>
      <c r="H3562" s="1">
        <v>-5.5132E-6</v>
      </c>
      <c r="I3562">
        <v>146.8115</v>
      </c>
      <c r="J3562">
        <v>-322.31580000000002</v>
      </c>
      <c r="K3562">
        <v>1.110498</v>
      </c>
      <c r="L3562">
        <v>141.143</v>
      </c>
      <c r="M3562">
        <v>-0.99984499999999998</v>
      </c>
      <c r="N3562">
        <v>0</v>
      </c>
      <c r="O3562">
        <v>1.039961E-2</v>
      </c>
      <c r="P3562">
        <v>-0.97046920000000003</v>
      </c>
      <c r="Q3562">
        <v>0.22656979999999999</v>
      </c>
      <c r="R3562">
        <v>8.2801470000000002E-2</v>
      </c>
      <c r="S3562">
        <v>-3.0783079999999998</v>
      </c>
      <c r="T3562">
        <v>-5.8730959999999999E-2</v>
      </c>
      <c r="U3562">
        <v>0.30001830000000002</v>
      </c>
      <c r="V3562">
        <v>7.2675660000000003E-2</v>
      </c>
      <c r="W3562">
        <v>0.24036370000000001</v>
      </c>
      <c r="X3562">
        <v>0.96795850000000005</v>
      </c>
      <c r="Y3562">
        <v>8.6631860000000005E-2</v>
      </c>
      <c r="Z3562">
        <v>6.264765E-4</v>
      </c>
      <c r="AA3562">
        <v>0.99624020000000002</v>
      </c>
      <c r="AB3562">
        <v>40</v>
      </c>
      <c r="AC3562">
        <v>-57.799299999999903</v>
      </c>
      <c r="AD3562">
        <v>-1.1105035131999901</v>
      </c>
      <c r="AE3562">
        <v>5.6684999999999901</v>
      </c>
      <c r="AF3562">
        <v>5.0651905881439703</v>
      </c>
      <c r="AG3562">
        <v>-1.1105035131999901</v>
      </c>
      <c r="AH3562">
        <v>57.833984239132903</v>
      </c>
      <c r="AI3562">
        <v>91.095840174624797</v>
      </c>
      <c r="AJ3562">
        <v>84.994717870663493</v>
      </c>
      <c r="AK3562">
        <v>58.065989242579199</v>
      </c>
      <c r="AL3562">
        <v>76.091993616483506</v>
      </c>
      <c r="AM3562">
        <v>85.706210047754695</v>
      </c>
      <c r="AN3562">
        <v>1.0000000587781801</v>
      </c>
    </row>
    <row r="3563" spans="1:40" x14ac:dyDescent="0.25">
      <c r="A3563" t="str">
        <f>"20190312164338860"</f>
        <v>20190312164338860</v>
      </c>
      <c r="B3563" t="str">
        <f>"1552380218848430"</f>
        <v>1552380218848430</v>
      </c>
      <c r="C3563" t="s">
        <v>40</v>
      </c>
      <c r="D3563">
        <v>4.4806809999999997</v>
      </c>
      <c r="E3563">
        <v>0.48147659999999998</v>
      </c>
      <c r="F3563" t="s">
        <v>42</v>
      </c>
      <c r="G3563">
        <v>-386.86340000000001</v>
      </c>
      <c r="H3563" s="1">
        <v>-3.3310369999999999E-6</v>
      </c>
      <c r="I3563">
        <v>147.45599999999999</v>
      </c>
      <c r="J3563">
        <v>-322.72359999999998</v>
      </c>
      <c r="K3563">
        <v>1.1105020000000001</v>
      </c>
      <c r="L3563">
        <v>141.1472</v>
      </c>
      <c r="M3563">
        <v>-0.9998456</v>
      </c>
      <c r="N3563">
        <v>0</v>
      </c>
      <c r="O3563">
        <v>1.034122E-2</v>
      </c>
      <c r="P3563">
        <v>-0.97017319999999996</v>
      </c>
      <c r="Q3563">
        <v>0.22745509999999999</v>
      </c>
      <c r="R3563">
        <v>8.3834389999999995E-2</v>
      </c>
      <c r="S3563">
        <v>-3.0779719999999999</v>
      </c>
      <c r="T3563">
        <v>-5.2954670000000002E-2</v>
      </c>
      <c r="U3563">
        <v>0.30104059999999999</v>
      </c>
      <c r="V3563">
        <v>7.3768180000000003E-2</v>
      </c>
      <c r="W3563">
        <v>0.2412434</v>
      </c>
      <c r="X3563">
        <v>0.96765690000000004</v>
      </c>
      <c r="Y3563">
        <v>8.7030819999999995E-2</v>
      </c>
      <c r="Z3563">
        <v>5.6934879999999996E-4</v>
      </c>
      <c r="AA3563">
        <v>0.99620540000000002</v>
      </c>
      <c r="AB3563">
        <v>40</v>
      </c>
      <c r="AC3563">
        <v>-64.139799999999994</v>
      </c>
      <c r="AD3563">
        <v>-1.1105053310369899</v>
      </c>
      <c r="AE3563">
        <v>6.3088000000000104</v>
      </c>
      <c r="AF3563">
        <v>5.6434363442820503</v>
      </c>
      <c r="AG3563">
        <v>-1.1105053310369899</v>
      </c>
      <c r="AH3563">
        <v>64.182561350491795</v>
      </c>
      <c r="AI3563">
        <v>90.987440325162694</v>
      </c>
      <c r="AJ3563">
        <v>84.975027046479596</v>
      </c>
      <c r="AK3563">
        <v>64.439760841982206</v>
      </c>
      <c r="AL3563">
        <v>76.040061537989999</v>
      </c>
      <c r="AM3563">
        <v>85.640556031905803</v>
      </c>
      <c r="AN3563">
        <v>0.99999999927084104</v>
      </c>
    </row>
    <row r="3564" spans="1:40" x14ac:dyDescent="0.25">
      <c r="A3564" t="str">
        <f>"20190312164338881"</f>
        <v>20190312164338881</v>
      </c>
      <c r="B3564" t="str">
        <f>"1552380218878686"</f>
        <v>1552380218878686</v>
      </c>
      <c r="C3564" t="s">
        <v>40</v>
      </c>
      <c r="D3564">
        <v>4.8241759999999996</v>
      </c>
      <c r="E3564">
        <v>0.4763579</v>
      </c>
      <c r="F3564" t="s">
        <v>42</v>
      </c>
      <c r="G3564">
        <v>-387.05650000000003</v>
      </c>
      <c r="H3564" s="1">
        <v>-2.0220459999999999E-6</v>
      </c>
      <c r="I3564">
        <v>142.53639999999999</v>
      </c>
      <c r="J3564">
        <v>-323.10640000000001</v>
      </c>
      <c r="K3564">
        <v>1.1105</v>
      </c>
      <c r="L3564">
        <v>141.15110000000001</v>
      </c>
      <c r="M3564">
        <v>-0.99984600000000001</v>
      </c>
      <c r="N3564">
        <v>0</v>
      </c>
      <c r="O3564">
        <v>1.0286760000000001E-2</v>
      </c>
      <c r="P3564">
        <v>-0.96996530000000003</v>
      </c>
      <c r="Q3564">
        <v>0.22812180000000001</v>
      </c>
      <c r="R3564">
        <v>8.4426810000000005E-2</v>
      </c>
      <c r="S3564">
        <v>-3.0989990000000001</v>
      </c>
      <c r="T3564">
        <v>-5.3494449999999999E-2</v>
      </c>
      <c r="U3564">
        <v>6.692505E-2</v>
      </c>
      <c r="V3564">
        <v>7.4415709999999996E-2</v>
      </c>
      <c r="W3564">
        <v>0.24190510000000001</v>
      </c>
      <c r="X3564">
        <v>0.96744209999999997</v>
      </c>
      <c r="Y3564">
        <v>1.130398E-2</v>
      </c>
      <c r="Z3564" s="1">
        <v>-8.0000079999999999E-5</v>
      </c>
      <c r="AA3564">
        <v>0.99993609999999999</v>
      </c>
      <c r="AB3564">
        <v>40</v>
      </c>
      <c r="AC3564">
        <v>-63.950099999999999</v>
      </c>
      <c r="AD3564">
        <v>-1.110502022046</v>
      </c>
      <c r="AE3564">
        <v>1.38529999999997</v>
      </c>
      <c r="AF3564">
        <v>0.72710170089013604</v>
      </c>
      <c r="AG3564">
        <v>-1.110502022046</v>
      </c>
      <c r="AH3564">
        <v>63.941694960199499</v>
      </c>
      <c r="AI3564">
        <v>90.994915303838894</v>
      </c>
      <c r="AJ3564">
        <v>89.3484992340926</v>
      </c>
      <c r="AK3564">
        <v>63.9554708059256</v>
      </c>
      <c r="AL3564">
        <v>76.0009917188072</v>
      </c>
      <c r="AM3564">
        <v>85.601466154229996</v>
      </c>
      <c r="AN3564">
        <v>0.99999999607661105</v>
      </c>
    </row>
    <row r="3565" spans="1:40" x14ac:dyDescent="0.25">
      <c r="A3565" t="str">
        <f>"20190312164338904"</f>
        <v>20190312164338904</v>
      </c>
      <c r="B3565" t="str">
        <f>"1552380218898206"</f>
        <v>1552380218898206</v>
      </c>
      <c r="C3565" t="s">
        <v>40</v>
      </c>
      <c r="D3565">
        <v>4.7207129999999999</v>
      </c>
      <c r="E3565">
        <v>0.47580899999999998</v>
      </c>
      <c r="F3565" t="s">
        <v>42</v>
      </c>
      <c r="G3565">
        <v>-380.05349999999999</v>
      </c>
      <c r="H3565" s="1">
        <v>-4.6181379999999997E-6</v>
      </c>
      <c r="I3565">
        <v>141.64750000000001</v>
      </c>
      <c r="J3565">
        <v>-323.49610000000001</v>
      </c>
      <c r="K3565">
        <v>1.1105050000000001</v>
      </c>
      <c r="L3565">
        <v>141.1551</v>
      </c>
      <c r="M3565">
        <v>-0.99984680000000004</v>
      </c>
      <c r="N3565">
        <v>0</v>
      </c>
      <c r="O3565">
        <v>1.023057E-2</v>
      </c>
      <c r="P3565">
        <v>-0.96989970000000003</v>
      </c>
      <c r="Q3565">
        <v>0.22830600000000001</v>
      </c>
      <c r="R3565">
        <v>8.4682149999999998E-2</v>
      </c>
      <c r="S3565">
        <v>-3.1047669999999998</v>
      </c>
      <c r="T3565">
        <v>-6.0544969999999997E-2</v>
      </c>
      <c r="U3565">
        <v>2.7069090000000001E-2</v>
      </c>
      <c r="V3565">
        <v>7.4726280000000006E-2</v>
      </c>
      <c r="W3565">
        <v>0.24208650000000001</v>
      </c>
      <c r="X3565">
        <v>0.96737280000000003</v>
      </c>
      <c r="Y3565">
        <v>-1.5112120000000001E-3</v>
      </c>
      <c r="Z3565">
        <v>-2.1422840000000001E-4</v>
      </c>
      <c r="AA3565">
        <v>0.99999879999999997</v>
      </c>
      <c r="AB3565">
        <v>40</v>
      </c>
      <c r="AC3565">
        <v>-56.557399999999902</v>
      </c>
      <c r="AD3565">
        <v>-1.1105096181380001</v>
      </c>
      <c r="AE3565">
        <v>0.492400000000003</v>
      </c>
      <c r="AF3565">
        <v>-8.6265323633753804E-2</v>
      </c>
      <c r="AG3565">
        <v>-1.1105096181380001</v>
      </c>
      <c r="AH3565">
        <v>56.537681886662199</v>
      </c>
      <c r="AI3565">
        <v>91.125254119785694</v>
      </c>
      <c r="AJ3565">
        <v>90.087421962875098</v>
      </c>
      <c r="AK3565">
        <v>56.5486529144192</v>
      </c>
      <c r="AL3565">
        <v>75.990280111339601</v>
      </c>
      <c r="AM3565">
        <v>85.582866439628106</v>
      </c>
      <c r="AN3565">
        <v>1.00000001229236</v>
      </c>
    </row>
    <row r="3566" spans="1:40" x14ac:dyDescent="0.25">
      <c r="A3566" t="str">
        <f>"20190312164338926"</f>
        <v>20190312164338926</v>
      </c>
      <c r="B3566" t="str">
        <f>"1552380218918702"</f>
        <v>1552380218918702</v>
      </c>
      <c r="C3566" t="s">
        <v>40</v>
      </c>
      <c r="D3566">
        <v>4.7229169999999998</v>
      </c>
      <c r="E3566">
        <v>0.47484789999999999</v>
      </c>
      <c r="F3566" t="s">
        <v>42</v>
      </c>
      <c r="G3566">
        <v>-374.79640000000001</v>
      </c>
      <c r="H3566" s="1">
        <v>-2.7247299999999999E-6</v>
      </c>
      <c r="I3566">
        <v>141.5334</v>
      </c>
      <c r="J3566">
        <v>-323.9042</v>
      </c>
      <c r="K3566">
        <v>1.110501</v>
      </c>
      <c r="L3566">
        <v>141.1592</v>
      </c>
      <c r="M3566">
        <v>-0.99984740000000005</v>
      </c>
      <c r="N3566">
        <v>0</v>
      </c>
      <c r="O3566">
        <v>1.017241E-2</v>
      </c>
      <c r="P3566">
        <v>-0.97010269999999998</v>
      </c>
      <c r="Q3566">
        <v>0.2276638</v>
      </c>
      <c r="R3566">
        <v>8.4085610000000005E-2</v>
      </c>
      <c r="S3566">
        <v>-3.1069339999999999</v>
      </c>
      <c r="T3566">
        <v>-6.7256330000000003E-2</v>
      </c>
      <c r="U3566">
        <v>2.29187E-2</v>
      </c>
      <c r="V3566">
        <v>7.4184139999999996E-2</v>
      </c>
      <c r="W3566">
        <v>0.24144470000000001</v>
      </c>
      <c r="X3566">
        <v>0.96757490000000002</v>
      </c>
      <c r="Y3566">
        <v>-2.7940769999999998E-3</v>
      </c>
      <c r="Z3566">
        <v>-2.5043050000000001E-4</v>
      </c>
      <c r="AA3566">
        <v>0.99999610000000005</v>
      </c>
      <c r="AB3566">
        <v>40</v>
      </c>
      <c r="AC3566">
        <v>-50.892200000000003</v>
      </c>
      <c r="AD3566">
        <v>-1.11050372472999</v>
      </c>
      <c r="AE3566">
        <v>0.37420000000000098</v>
      </c>
      <c r="AF3566">
        <v>-0.14349958393085999</v>
      </c>
      <c r="AG3566">
        <v>-1.11050372472999</v>
      </c>
      <c r="AH3566">
        <v>50.869153498531801</v>
      </c>
      <c r="AI3566">
        <v>91.250597156219499</v>
      </c>
      <c r="AJ3566">
        <v>90.161628376851795</v>
      </c>
      <c r="AK3566">
        <v>50.881475885732897</v>
      </c>
      <c r="AL3566">
        <v>76.028176704254506</v>
      </c>
      <c r="AM3566">
        <v>85.615699717579503</v>
      </c>
      <c r="AN3566">
        <v>1.00000000844781</v>
      </c>
    </row>
    <row r="3567" spans="1:40" x14ac:dyDescent="0.25">
      <c r="A3567" t="str">
        <f>"20190312164338947"</f>
        <v>20190312164338947</v>
      </c>
      <c r="B3567" t="str">
        <f>"1552380218938222"</f>
        <v>1552380218938222</v>
      </c>
      <c r="C3567" t="s">
        <v>40</v>
      </c>
      <c r="D3567">
        <v>4.5315659999999998</v>
      </c>
      <c r="E3567">
        <v>0.47447929999999999</v>
      </c>
      <c r="F3567" t="s">
        <v>42</v>
      </c>
      <c r="G3567">
        <v>-368.33069999999998</v>
      </c>
      <c r="H3567" s="1">
        <v>-1.1605139999999999E-6</v>
      </c>
      <c r="I3567">
        <v>141.35290000000001</v>
      </c>
      <c r="J3567">
        <v>-324.27510000000001</v>
      </c>
      <c r="K3567">
        <v>1.110495</v>
      </c>
      <c r="L3567">
        <v>141.16290000000001</v>
      </c>
      <c r="M3567">
        <v>-0.99984810000000002</v>
      </c>
      <c r="N3567">
        <v>0</v>
      </c>
      <c r="O3567">
        <v>1.0119090000000001E-2</v>
      </c>
      <c r="P3567">
        <v>-0.97023289999999995</v>
      </c>
      <c r="Q3567">
        <v>0.2273136</v>
      </c>
      <c r="R3567">
        <v>8.3528850000000002E-2</v>
      </c>
      <c r="S3567">
        <v>-3.1095579999999998</v>
      </c>
      <c r="T3567">
        <v>-7.7727790000000005E-2</v>
      </c>
      <c r="U3567">
        <v>1.356506E-2</v>
      </c>
      <c r="V3567">
        <v>7.3678110000000005E-2</v>
      </c>
      <c r="W3567">
        <v>0.24109439999999999</v>
      </c>
      <c r="X3567">
        <v>0.96770089999999997</v>
      </c>
      <c r="Y3567">
        <v>-5.7529399999999998E-3</v>
      </c>
      <c r="Z3567">
        <v>-3.2481090000000001E-4</v>
      </c>
      <c r="AA3567">
        <v>0.99998339999999997</v>
      </c>
      <c r="AB3567">
        <v>40</v>
      </c>
      <c r="AC3567">
        <v>-44.055599999999899</v>
      </c>
      <c r="AD3567">
        <v>-1.110496160514</v>
      </c>
      <c r="AE3567">
        <v>0.189999999999997</v>
      </c>
      <c r="AF3567">
        <v>-0.25569474639807199</v>
      </c>
      <c r="AG3567">
        <v>-1.110496160514</v>
      </c>
      <c r="AH3567">
        <v>44.027293315900302</v>
      </c>
      <c r="AI3567">
        <v>91.444835196616907</v>
      </c>
      <c r="AJ3567">
        <v>90.332749619637298</v>
      </c>
      <c r="AK3567">
        <v>44.0420383071693</v>
      </c>
      <c r="AL3567">
        <v>76.048858309892296</v>
      </c>
      <c r="AM3567">
        <v>85.646055590364</v>
      </c>
      <c r="AN3567">
        <v>1.0000000027326701</v>
      </c>
    </row>
    <row r="3568" spans="1:40" x14ac:dyDescent="0.25">
      <c r="A3568" t="str">
        <f>"20190312164338970"</f>
        <v>20190312164338970</v>
      </c>
      <c r="B3568" t="str">
        <f>"1552380218958718"</f>
        <v>1552380218958718</v>
      </c>
      <c r="C3568" t="s">
        <v>40</v>
      </c>
      <c r="D3568">
        <v>4.528251</v>
      </c>
      <c r="E3568">
        <v>0.47410980000000003</v>
      </c>
      <c r="F3568" t="s">
        <v>42</v>
      </c>
      <c r="G3568">
        <v>-364.10570000000001</v>
      </c>
      <c r="H3568" s="1">
        <v>-2.950649E-6</v>
      </c>
      <c r="I3568">
        <v>141.2689</v>
      </c>
      <c r="J3568">
        <v>-324.67099999999999</v>
      </c>
      <c r="K3568">
        <v>1.110498</v>
      </c>
      <c r="L3568">
        <v>141.1669</v>
      </c>
      <c r="M3568">
        <v>-0.99984850000000003</v>
      </c>
      <c r="N3568">
        <v>0</v>
      </c>
      <c r="O3568">
        <v>1.0062420000000001E-2</v>
      </c>
      <c r="P3568">
        <v>-0.97065349999999995</v>
      </c>
      <c r="Q3568">
        <v>0.22577900000000001</v>
      </c>
      <c r="R3568">
        <v>8.2799979999999995E-2</v>
      </c>
      <c r="S3568">
        <v>-3.1116640000000002</v>
      </c>
      <c r="T3568">
        <v>-8.6754919999999999E-2</v>
      </c>
      <c r="U3568">
        <v>8.285522E-3</v>
      </c>
      <c r="V3568">
        <v>7.3000300000000004E-2</v>
      </c>
      <c r="W3568">
        <v>0.2395642</v>
      </c>
      <c r="X3568">
        <v>0.9681322</v>
      </c>
      <c r="Y3568">
        <v>-7.3940300000000002E-3</v>
      </c>
      <c r="Z3568">
        <v>-3.8356929999999999E-4</v>
      </c>
      <c r="AA3568">
        <v>0.99997259999999999</v>
      </c>
      <c r="AB3568">
        <v>40</v>
      </c>
      <c r="AC3568">
        <v>-39.434699999999999</v>
      </c>
      <c r="AD3568">
        <v>-1.110500950649</v>
      </c>
      <c r="AE3568">
        <v>0.102000000000003</v>
      </c>
      <c r="AF3568">
        <v>-0.294620071877286</v>
      </c>
      <c r="AG3568">
        <v>-1.110500950649</v>
      </c>
      <c r="AH3568">
        <v>39.402483083244398</v>
      </c>
      <c r="AI3568">
        <v>91.614324706351795</v>
      </c>
      <c r="AJ3568">
        <v>90.428403764960606</v>
      </c>
      <c r="AK3568">
        <v>39.419229907159597</v>
      </c>
      <c r="AL3568">
        <v>76.139179515115501</v>
      </c>
      <c r="AM3568">
        <v>85.687872918347594</v>
      </c>
      <c r="AN3568">
        <v>1.00000000319928</v>
      </c>
    </row>
    <row r="3569" spans="1:40" x14ac:dyDescent="0.25">
      <c r="A3569" t="str">
        <f>"20190312164338993"</f>
        <v>20190312164338993</v>
      </c>
      <c r="B3569" t="str">
        <f>"1552380218987998"</f>
        <v>1552380218987998</v>
      </c>
      <c r="C3569" t="s">
        <v>40</v>
      </c>
      <c r="D3569">
        <v>4.6917099999999996</v>
      </c>
      <c r="E3569">
        <v>0.47373500000000002</v>
      </c>
      <c r="F3569" t="s">
        <v>42</v>
      </c>
      <c r="G3569">
        <v>-362.65809999999999</v>
      </c>
      <c r="H3569" s="1">
        <v>-3.5527330000000002E-6</v>
      </c>
      <c r="I3569">
        <v>141.1977</v>
      </c>
      <c r="J3569">
        <v>-325.08710000000002</v>
      </c>
      <c r="K3569">
        <v>1.1104969999999901</v>
      </c>
      <c r="L3569">
        <v>141.17099999999999</v>
      </c>
      <c r="M3569">
        <v>-0.99984910000000005</v>
      </c>
      <c r="N3569">
        <v>0</v>
      </c>
      <c r="O3569">
        <v>1.00029E-2</v>
      </c>
      <c r="P3569">
        <v>-0.97095390000000004</v>
      </c>
      <c r="Q3569">
        <v>0.22500020000000001</v>
      </c>
      <c r="R3569">
        <v>8.1384929999999994E-2</v>
      </c>
      <c r="S3569">
        <v>-3.1116329999999999</v>
      </c>
      <c r="T3569">
        <v>-9.0964439999999994E-2</v>
      </c>
      <c r="U3569">
        <v>2.532959E-3</v>
      </c>
      <c r="V3569">
        <v>7.1640250000000003E-2</v>
      </c>
      <c r="W3569">
        <v>0.23878679999999999</v>
      </c>
      <c r="X3569">
        <v>0.9684258</v>
      </c>
      <c r="Y3569">
        <v>-9.1817159999999995E-3</v>
      </c>
      <c r="Z3569">
        <v>-4.2656319999999999E-4</v>
      </c>
      <c r="AA3569">
        <v>0.99995769999999995</v>
      </c>
      <c r="AB3569">
        <v>40</v>
      </c>
      <c r="AC3569">
        <v>-37.570999999999898</v>
      </c>
      <c r="AD3569">
        <v>-1.1105005527330001</v>
      </c>
      <c r="AE3569">
        <v>2.6700000000005199E-2</v>
      </c>
      <c r="AF3569">
        <v>-0.34885343083260001</v>
      </c>
      <c r="AG3569">
        <v>-1.1105005527330001</v>
      </c>
      <c r="AH3569">
        <v>37.536593620109599</v>
      </c>
      <c r="AI3569">
        <v>91.694498360077802</v>
      </c>
      <c r="AJ3569">
        <v>90.532473831274103</v>
      </c>
      <c r="AK3569">
        <v>37.554637141038597</v>
      </c>
      <c r="AL3569">
        <v>76.185052555517203</v>
      </c>
      <c r="AM3569">
        <v>85.769194806720293</v>
      </c>
      <c r="AN3569">
        <v>0.999999995689971</v>
      </c>
    </row>
    <row r="3570" spans="1:40" x14ac:dyDescent="0.25">
      <c r="A3570" t="str">
        <f>"20190312164339015"</f>
        <v>20190312164339015</v>
      </c>
      <c r="B3570" t="str">
        <f>"1552380219008494"</f>
        <v>1552380219008494</v>
      </c>
      <c r="C3570" t="s">
        <v>40</v>
      </c>
      <c r="D3570">
        <v>4.6866059999999896</v>
      </c>
      <c r="E3570">
        <v>0.47358729999999899</v>
      </c>
      <c r="F3570" t="s">
        <v>42</v>
      </c>
      <c r="G3570">
        <v>-360.79509999999999</v>
      </c>
      <c r="H3570" s="1">
        <v>-4.2733149999999996E-6</v>
      </c>
      <c r="I3570">
        <v>141.12639999999999</v>
      </c>
      <c r="J3570">
        <v>-325.47789999999998</v>
      </c>
      <c r="K3570">
        <v>1.110498</v>
      </c>
      <c r="L3570">
        <v>141.1748</v>
      </c>
      <c r="M3570">
        <v>-0.99984969999999995</v>
      </c>
      <c r="N3570">
        <v>0</v>
      </c>
      <c r="O3570">
        <v>9.9467089999999998E-3</v>
      </c>
      <c r="P3570">
        <v>-0.97137169999999895</v>
      </c>
      <c r="Q3570">
        <v>0.22373090000000001</v>
      </c>
      <c r="R3570">
        <v>7.9885949999999997E-2</v>
      </c>
      <c r="S3570">
        <v>-3.1124879999999999</v>
      </c>
      <c r="T3570">
        <v>-9.6796869999999993E-2</v>
      </c>
      <c r="U3570">
        <v>-3.8757319999999998E-3</v>
      </c>
      <c r="V3570">
        <v>7.0192089999999999E-2</v>
      </c>
      <c r="W3570">
        <v>0.2375216</v>
      </c>
      <c r="X3570">
        <v>0.96884289999999995</v>
      </c>
      <c r="Y3570">
        <v>-1.1182650000000001E-2</v>
      </c>
      <c r="Z3570">
        <v>-4.8313620000000002E-4</v>
      </c>
      <c r="AA3570">
        <v>0.99993739999999998</v>
      </c>
      <c r="AB3570">
        <v>39</v>
      </c>
      <c r="AC3570">
        <v>-35.3172</v>
      </c>
      <c r="AD3570">
        <v>-1.1105022733149901</v>
      </c>
      <c r="AE3570">
        <v>-4.8400000000015098E-2</v>
      </c>
      <c r="AF3570">
        <v>-0.39932812210544599</v>
      </c>
      <c r="AG3570">
        <v>-1.1105022733149901</v>
      </c>
      <c r="AH3570">
        <v>35.280089539076698</v>
      </c>
      <c r="AI3570">
        <v>91.802773795282803</v>
      </c>
      <c r="AJ3570">
        <v>90.648491523915297</v>
      </c>
      <c r="AK3570">
        <v>35.299821474525999</v>
      </c>
      <c r="AL3570">
        <v>76.259690813785198</v>
      </c>
      <c r="AM3570">
        <v>85.856195003637595</v>
      </c>
      <c r="AN3570">
        <v>1.00000000242276</v>
      </c>
    </row>
    <row r="3571" spans="1:40" x14ac:dyDescent="0.25">
      <c r="A3571" t="str">
        <f>"20190312164339037"</f>
        <v>20190312164339037</v>
      </c>
      <c r="B3571" t="str">
        <f>"1552380219028014"</f>
        <v>1552380219028014</v>
      </c>
      <c r="C3571" t="s">
        <v>40</v>
      </c>
      <c r="D3571">
        <v>4.5708739999999999</v>
      </c>
      <c r="E3571">
        <v>0.47355059999999899</v>
      </c>
      <c r="F3571" t="s">
        <v>42</v>
      </c>
      <c r="G3571">
        <v>-359.95609999999999</v>
      </c>
      <c r="H3571" s="1">
        <v>-3.8653099999999998E-7</v>
      </c>
      <c r="I3571">
        <v>141.06469999999999</v>
      </c>
      <c r="J3571">
        <v>-325.86470000000003</v>
      </c>
      <c r="K3571">
        <v>1.110492</v>
      </c>
      <c r="L3571">
        <v>141.17859999999999</v>
      </c>
      <c r="M3571">
        <v>-0.99985049999999998</v>
      </c>
      <c r="N3571">
        <v>0</v>
      </c>
      <c r="O3571">
        <v>9.891235E-3</v>
      </c>
      <c r="P3571">
        <v>-0.97178200000000003</v>
      </c>
      <c r="Q3571">
        <v>0.22231770000000001</v>
      </c>
      <c r="R3571">
        <v>7.8836180000000006E-2</v>
      </c>
      <c r="S3571">
        <v>-3.1123349999999999</v>
      </c>
      <c r="T3571">
        <v>-0.1002444</v>
      </c>
      <c r="U3571">
        <v>-9.9334720000000005E-3</v>
      </c>
      <c r="V3571">
        <v>6.9192379999999998E-2</v>
      </c>
      <c r="W3571">
        <v>0.23611180000000001</v>
      </c>
      <c r="X3571">
        <v>0.96925930000000005</v>
      </c>
      <c r="Y3571">
        <v>-1.307175E-2</v>
      </c>
      <c r="Z3571">
        <v>-5.289874E-4</v>
      </c>
      <c r="AA3571">
        <v>0.99991439999999998</v>
      </c>
      <c r="AB3571">
        <v>39</v>
      </c>
      <c r="AC3571">
        <v>-34.091399999999901</v>
      </c>
      <c r="AD3571">
        <v>-1.1104923865309999</v>
      </c>
      <c r="AE3571">
        <v>-0.1139</v>
      </c>
      <c r="AF3571">
        <v>-0.45065622428105501</v>
      </c>
      <c r="AG3571">
        <v>-1.1104923865309999</v>
      </c>
      <c r="AH3571">
        <v>34.0524737626641</v>
      </c>
      <c r="AI3571">
        <v>91.867659339876298</v>
      </c>
      <c r="AJ3571">
        <v>90.758217818784502</v>
      </c>
      <c r="AK3571">
        <v>34.073556517187299</v>
      </c>
      <c r="AL3571">
        <v>76.342831075297994</v>
      </c>
      <c r="AM3571">
        <v>85.916760864068806</v>
      </c>
      <c r="AN3571">
        <v>0.99999997909289695</v>
      </c>
    </row>
    <row r="3572" spans="1:40" x14ac:dyDescent="0.25">
      <c r="A3572" t="str">
        <f>"20190312164339060"</f>
        <v>20190312164339060</v>
      </c>
      <c r="B3572" t="str">
        <f>"1552380219048511"</f>
        <v>1552380219048511</v>
      </c>
      <c r="C3572" t="s">
        <v>40</v>
      </c>
      <c r="D3572">
        <v>4.5241100000000003</v>
      </c>
      <c r="E3572">
        <v>0.47357460000000001</v>
      </c>
      <c r="F3572" t="s">
        <v>42</v>
      </c>
      <c r="G3572">
        <v>-358.96929999999998</v>
      </c>
      <c r="H3572" s="1">
        <v>-8.0100280000000003E-7</v>
      </c>
      <c r="I3572">
        <v>141.03139999999999</v>
      </c>
      <c r="J3572">
        <v>-326.25889999999998</v>
      </c>
      <c r="K3572">
        <v>1.1104889999999901</v>
      </c>
      <c r="L3572">
        <v>141.1825</v>
      </c>
      <c r="M3572">
        <v>-0.99985080000000004</v>
      </c>
      <c r="N3572">
        <v>0</v>
      </c>
      <c r="O3572">
        <v>9.8348689999999996E-3</v>
      </c>
      <c r="P3572">
        <v>-0.97207410000000005</v>
      </c>
      <c r="Q3572">
        <v>0.22138360000000001</v>
      </c>
      <c r="R3572">
        <v>7.7854519999999997E-2</v>
      </c>
      <c r="S3572">
        <v>-3.1121219999999998</v>
      </c>
      <c r="T3572">
        <v>-0.10439619999999999</v>
      </c>
      <c r="U3572">
        <v>-1.383972E-2</v>
      </c>
      <c r="V3572">
        <v>6.8262929999999999E-2</v>
      </c>
      <c r="W3572">
        <v>0.23517950000000001</v>
      </c>
      <c r="X3572">
        <v>0.96955190000000002</v>
      </c>
      <c r="Y3572">
        <v>-1.426899E-2</v>
      </c>
      <c r="Z3572">
        <v>-5.6910610000000003E-4</v>
      </c>
      <c r="AA3572">
        <v>0.99989799999999995</v>
      </c>
      <c r="AB3572">
        <v>39</v>
      </c>
      <c r="AC3572">
        <v>-32.7103999999999</v>
      </c>
      <c r="AD3572">
        <v>-1.1104898010027999</v>
      </c>
      <c r="AE3572">
        <v>-0.151100000000013</v>
      </c>
      <c r="AF3572">
        <v>-0.47228331520608302</v>
      </c>
      <c r="AG3572">
        <v>-1.1104898010027999</v>
      </c>
      <c r="AH3572">
        <v>32.669679060534698</v>
      </c>
      <c r="AI3572">
        <v>91.946613887359803</v>
      </c>
      <c r="AJ3572">
        <v>90.828228396330701</v>
      </c>
      <c r="AK3572">
        <v>32.691958782647099</v>
      </c>
      <c r="AL3572">
        <v>76.397796856745103</v>
      </c>
      <c r="AM3572">
        <v>85.972640309763094</v>
      </c>
      <c r="AN3572">
        <v>1.00000005581302</v>
      </c>
    </row>
    <row r="3573" spans="1:40" x14ac:dyDescent="0.25">
      <c r="A3573" t="str">
        <f>"20190312164339082"</f>
        <v>20190312164339082</v>
      </c>
      <c r="B3573" t="str">
        <f>"1552380219078767"</f>
        <v>1552380219078767</v>
      </c>
      <c r="C3573" t="s">
        <v>40</v>
      </c>
      <c r="D3573">
        <v>4.7618220000000004</v>
      </c>
      <c r="E3573">
        <v>0.47359980000000002</v>
      </c>
      <c r="F3573" t="s">
        <v>42</v>
      </c>
      <c r="G3573">
        <v>-358.63780000000003</v>
      </c>
      <c r="H3573" s="1">
        <v>-9.3783459999999998E-7</v>
      </c>
      <c r="I3573">
        <v>141.0111</v>
      </c>
      <c r="J3573">
        <v>-326.6465</v>
      </c>
      <c r="K3573">
        <v>1.1104769999999999</v>
      </c>
      <c r="L3573">
        <v>141.18620000000001</v>
      </c>
      <c r="M3573">
        <v>-0.9998515</v>
      </c>
      <c r="N3573">
        <v>0</v>
      </c>
      <c r="O3573">
        <v>9.7790419999999999E-3</v>
      </c>
      <c r="P3573">
        <v>-0.97230810000000001</v>
      </c>
      <c r="Q3573">
        <v>0.22079560000000001</v>
      </c>
      <c r="R3573">
        <v>7.6594750000000003E-2</v>
      </c>
      <c r="S3573">
        <v>-3.1117859999999999</v>
      </c>
      <c r="T3573">
        <v>-0.1067241</v>
      </c>
      <c r="U3573">
        <v>-1.646423E-2</v>
      </c>
      <c r="V3573">
        <v>6.7055429999999999E-2</v>
      </c>
      <c r="W3573">
        <v>0.23459179999999999</v>
      </c>
      <c r="X3573">
        <v>0.96977849999999999</v>
      </c>
      <c r="Y3573">
        <v>-1.5055890000000001E-2</v>
      </c>
      <c r="Z3573">
        <v>-5.9342680000000004E-4</v>
      </c>
      <c r="AA3573">
        <v>0.99988650000000001</v>
      </c>
      <c r="AB3573">
        <v>39</v>
      </c>
      <c r="AC3573">
        <v>-31.991299999999999</v>
      </c>
      <c r="AD3573">
        <v>-1.1104779378345999</v>
      </c>
      <c r="AE3573">
        <v>-0.17510000000001399</v>
      </c>
      <c r="AF3573">
        <v>-0.48738015851558197</v>
      </c>
      <c r="AG3573">
        <v>-1.1104779378345999</v>
      </c>
      <c r="AH3573">
        <v>31.9495621888126</v>
      </c>
      <c r="AI3573">
        <v>91.990409231842094</v>
      </c>
      <c r="AJ3573">
        <v>90.873960655728197</v>
      </c>
      <c r="AK3573">
        <v>31.972569879916399</v>
      </c>
      <c r="AL3573">
        <v>76.432438559024305</v>
      </c>
      <c r="AM3573">
        <v>86.044573350053597</v>
      </c>
      <c r="AN3573">
        <v>1.00000004119098</v>
      </c>
    </row>
    <row r="3574" spans="1:40" x14ac:dyDescent="0.25">
      <c r="A3574" t="str">
        <f>"20190312164339105"</f>
        <v>20190312164339105</v>
      </c>
      <c r="B3574" t="str">
        <f>"1552380219098286"</f>
        <v>1552380219098286</v>
      </c>
      <c r="C3574" t="s">
        <v>40</v>
      </c>
      <c r="D3574">
        <v>4.7154619999999996</v>
      </c>
      <c r="E3574">
        <v>0.47361589999999998</v>
      </c>
      <c r="F3574" t="s">
        <v>42</v>
      </c>
      <c r="G3574">
        <v>-358.22399999999999</v>
      </c>
      <c r="H3574" s="1">
        <v>-1.108561E-6</v>
      </c>
      <c r="I3574">
        <v>140.98560000000001</v>
      </c>
      <c r="J3574">
        <v>-327.04700000000003</v>
      </c>
      <c r="K3574">
        <v>1.1104719999999999</v>
      </c>
      <c r="L3574">
        <v>141.1901</v>
      </c>
      <c r="M3574">
        <v>-0.99985210000000002</v>
      </c>
      <c r="N3574">
        <v>0</v>
      </c>
      <c r="O3574">
        <v>9.7216609999999995E-3</v>
      </c>
      <c r="P3574">
        <v>-0.9724796</v>
      </c>
      <c r="Q3574">
        <v>0.22023380000000001</v>
      </c>
      <c r="R3574">
        <v>7.6029650000000004E-2</v>
      </c>
      <c r="S3574">
        <v>-3.111847</v>
      </c>
      <c r="T3574">
        <v>-0.10943369999999999</v>
      </c>
      <c r="U3574">
        <v>-1.9760130000000001E-2</v>
      </c>
      <c r="V3574">
        <v>6.6544469999999994E-2</v>
      </c>
      <c r="W3574">
        <v>0.2340304</v>
      </c>
      <c r="X3574">
        <v>0.96994930000000001</v>
      </c>
      <c r="Y3574">
        <v>-1.6056049999999999E-2</v>
      </c>
      <c r="Z3574">
        <v>-6.2403329999999996E-4</v>
      </c>
      <c r="AA3574">
        <v>0.99987090000000001</v>
      </c>
      <c r="AB3574">
        <v>39</v>
      </c>
      <c r="AC3574">
        <v>-31.1769999999999</v>
      </c>
      <c r="AD3574">
        <v>-1.110473108561</v>
      </c>
      <c r="AE3574">
        <v>-0.20449999999999499</v>
      </c>
      <c r="AF3574">
        <v>-0.50696991696649596</v>
      </c>
      <c r="AG3574">
        <v>-1.110473108561</v>
      </c>
      <c r="AH3574">
        <v>31.1340410956536</v>
      </c>
      <c r="AI3574">
        <v>92.042460186855394</v>
      </c>
      <c r="AJ3574">
        <v>90.932891094972405</v>
      </c>
      <c r="AK3574">
        <v>31.157963411741001</v>
      </c>
      <c r="AL3574">
        <v>76.465525195943002</v>
      </c>
      <c r="AM3574">
        <v>86.075308042677705</v>
      </c>
      <c r="AN3574">
        <v>1.0000000195911101</v>
      </c>
    </row>
    <row r="3575" spans="1:40" x14ac:dyDescent="0.25">
      <c r="A3575" t="str">
        <f>"20190312164339127"</f>
        <v>20190312164339127</v>
      </c>
      <c r="B3575" t="str">
        <f>"1552380219118257"</f>
        <v>1552380219118257</v>
      </c>
      <c r="C3575" t="s">
        <v>40</v>
      </c>
      <c r="D3575">
        <v>4.5237109999999996</v>
      </c>
      <c r="E3575">
        <v>0.47370640000000003</v>
      </c>
      <c r="F3575" t="s">
        <v>42</v>
      </c>
      <c r="G3575">
        <v>-357.9402</v>
      </c>
      <c r="H3575" s="1">
        <v>-1.228733E-6</v>
      </c>
      <c r="I3575">
        <v>140.97970000000001</v>
      </c>
      <c r="J3575">
        <v>-327.43560000000002</v>
      </c>
      <c r="K3575">
        <v>1.110471</v>
      </c>
      <c r="L3575">
        <v>141.19380000000001</v>
      </c>
      <c r="M3575">
        <v>-0.99985279999999999</v>
      </c>
      <c r="N3575">
        <v>0</v>
      </c>
      <c r="O3575">
        <v>9.6654740000000003E-3</v>
      </c>
      <c r="P3575">
        <v>-0.97258489999999997</v>
      </c>
      <c r="Q3575">
        <v>0.21988659999999999</v>
      </c>
      <c r="R3575">
        <v>7.5687219999999999E-2</v>
      </c>
      <c r="S3575">
        <v>-3.1118769999999998</v>
      </c>
      <c r="T3575">
        <v>-0.1118581</v>
      </c>
      <c r="U3575">
        <v>-2.1179199999999999E-2</v>
      </c>
      <c r="V3575">
        <v>6.6255720000000004E-2</v>
      </c>
      <c r="W3575">
        <v>0.23368269999999999</v>
      </c>
      <c r="X3575">
        <v>0.9700529</v>
      </c>
      <c r="Y3575">
        <v>-1.6454799999999999E-2</v>
      </c>
      <c r="Z3575">
        <v>-6.4298790000000001E-4</v>
      </c>
      <c r="AA3575">
        <v>0.99986439999999999</v>
      </c>
      <c r="AB3575">
        <v>39</v>
      </c>
      <c r="AC3575">
        <v>-30.5045999999999</v>
      </c>
      <c r="AD3575">
        <v>-1.110472228733</v>
      </c>
      <c r="AE3575">
        <v>-0.21410000000000201</v>
      </c>
      <c r="AF3575">
        <v>-0.50828749032582299</v>
      </c>
      <c r="AG3575">
        <v>-1.110472228733</v>
      </c>
      <c r="AH3575">
        <v>30.460740311252302</v>
      </c>
      <c r="AI3575">
        <v>92.087551473483501</v>
      </c>
      <c r="AJ3575">
        <v>90.955985478756602</v>
      </c>
      <c r="AK3575">
        <v>30.4852128917145</v>
      </c>
      <c r="AL3575">
        <v>76.486015199123599</v>
      </c>
      <c r="AM3575">
        <v>86.092701248105001</v>
      </c>
      <c r="AN3575">
        <v>1.0000000267552001</v>
      </c>
    </row>
    <row r="3576" spans="1:40" x14ac:dyDescent="0.25">
      <c r="A3576" t="str">
        <f>"20190312164339159"</f>
        <v>20190312164339159</v>
      </c>
      <c r="B3576" t="str">
        <f>"1552380219148510"</f>
        <v>1552380219148510</v>
      </c>
      <c r="C3576" t="s">
        <v>40</v>
      </c>
      <c r="D3576">
        <v>4.531161</v>
      </c>
      <c r="E3576">
        <v>0.4738772</v>
      </c>
      <c r="F3576" t="s">
        <v>42</v>
      </c>
      <c r="G3576">
        <v>-357.94130000000001</v>
      </c>
      <c r="H3576" s="1">
        <v>-1.230919E-6</v>
      </c>
      <c r="I3576">
        <v>140.9897</v>
      </c>
      <c r="J3576">
        <v>-328.00529999999998</v>
      </c>
      <c r="K3576">
        <v>1.110468</v>
      </c>
      <c r="L3576">
        <v>141.19919999999999</v>
      </c>
      <c r="M3576">
        <v>-0.9998534</v>
      </c>
      <c r="N3576">
        <v>0</v>
      </c>
      <c r="O3576">
        <v>9.5838429999999999E-3</v>
      </c>
      <c r="P3576">
        <v>-0.97301859999999996</v>
      </c>
      <c r="Q3576">
        <v>0.21812529999999999</v>
      </c>
      <c r="R3576">
        <v>7.5207380000000004E-2</v>
      </c>
      <c r="S3576">
        <v>-3.1118160000000001</v>
      </c>
      <c r="T3576">
        <v>-0.1132768</v>
      </c>
      <c r="U3576">
        <v>-2.081299E-2</v>
      </c>
      <c r="V3576">
        <v>6.5851569999999998E-2</v>
      </c>
      <c r="W3576">
        <v>0.23192470000000001</v>
      </c>
      <c r="X3576">
        <v>0.97050219999999998</v>
      </c>
      <c r="Y3576">
        <v>-1.62554E-2</v>
      </c>
      <c r="Z3576">
        <v>-6.4455160000000003E-4</v>
      </c>
      <c r="AA3576">
        <v>0.99986770000000003</v>
      </c>
      <c r="AB3576">
        <v>39</v>
      </c>
      <c r="AC3576">
        <v>-29.936</v>
      </c>
      <c r="AD3576">
        <v>-1.1104692309190001</v>
      </c>
      <c r="AE3576">
        <v>-0.209499999999991</v>
      </c>
      <c r="AF3576">
        <v>-0.49573907103743398</v>
      </c>
      <c r="AG3576">
        <v>-1.1104692309190001</v>
      </c>
      <c r="AH3576">
        <v>29.891487519339201</v>
      </c>
      <c r="AI3576">
        <v>92.127268439931001</v>
      </c>
      <c r="AJ3576">
        <v>90.950141834622698</v>
      </c>
      <c r="AK3576">
        <v>29.9162150891148</v>
      </c>
      <c r="AL3576">
        <v>76.589586700029798</v>
      </c>
      <c r="AM3576">
        <v>86.118254443065197</v>
      </c>
      <c r="AN3576">
        <v>1.0000000079731901</v>
      </c>
    </row>
    <row r="3577" spans="1:40" x14ac:dyDescent="0.25">
      <c r="A3577" t="str">
        <f>"20190312164339182"</f>
        <v>20190312164339182</v>
      </c>
      <c r="B3577" t="str">
        <f>"1552380219178766"</f>
        <v>1552380219178766</v>
      </c>
      <c r="C3577" t="s">
        <v>40</v>
      </c>
      <c r="D3577">
        <v>4.5688490000000002</v>
      </c>
      <c r="E3577">
        <v>0.47403380000000001</v>
      </c>
      <c r="F3577" t="s">
        <v>42</v>
      </c>
      <c r="G3577">
        <v>-357.13119999999998</v>
      </c>
      <c r="H3577" s="1">
        <v>-1.582058E-6</v>
      </c>
      <c r="I3577">
        <v>141.00319999999999</v>
      </c>
      <c r="J3577">
        <v>-328.40300000000002</v>
      </c>
      <c r="K3577">
        <v>1.1104750000000001</v>
      </c>
      <c r="L3577">
        <v>141.203</v>
      </c>
      <c r="M3577">
        <v>-0.99985400000000002</v>
      </c>
      <c r="N3577">
        <v>0</v>
      </c>
      <c r="O3577">
        <v>9.5266410000000006E-3</v>
      </c>
      <c r="P3577">
        <v>-0.97315879999999999</v>
      </c>
      <c r="Q3577">
        <v>0.21757199999999999</v>
      </c>
      <c r="R3577">
        <v>7.4996289999999993E-2</v>
      </c>
      <c r="S3577">
        <v>-3.1114199999999999</v>
      </c>
      <c r="T3577">
        <v>-0.11862789999999999</v>
      </c>
      <c r="U3577">
        <v>-2.0935059999999998E-2</v>
      </c>
      <c r="V3577">
        <v>6.5695009999999998E-2</v>
      </c>
      <c r="W3577">
        <v>0.2313713</v>
      </c>
      <c r="X3577">
        <v>0.97064490000000003</v>
      </c>
      <c r="Y3577">
        <v>-1.623666E-2</v>
      </c>
      <c r="Z3577">
        <v>-6.7252649999999996E-4</v>
      </c>
      <c r="AA3577">
        <v>0.99986799999999998</v>
      </c>
      <c r="AB3577">
        <v>39</v>
      </c>
      <c r="AC3577">
        <v>-28.728199999999902</v>
      </c>
      <c r="AD3577">
        <v>-1.110476582058</v>
      </c>
      <c r="AE3577">
        <v>-0.19980000000001</v>
      </c>
      <c r="AF3577">
        <v>-0.472795313404202</v>
      </c>
      <c r="AG3577">
        <v>-1.110476582058</v>
      </c>
      <c r="AH3577">
        <v>28.682138340855801</v>
      </c>
      <c r="AI3577">
        <v>92.216892914998496</v>
      </c>
      <c r="AJ3577">
        <v>90.944375992587098</v>
      </c>
      <c r="AK3577">
        <v>28.707520851715199</v>
      </c>
      <c r="AL3577">
        <v>76.622180881316396</v>
      </c>
      <c r="AM3577">
        <v>86.128022648157497</v>
      </c>
      <c r="AN3577">
        <v>1.0000000173493</v>
      </c>
    </row>
    <row r="3578" spans="1:40" x14ac:dyDescent="0.25">
      <c r="A3578" t="str">
        <f>"20190312164339205"</f>
        <v>20190312164339205</v>
      </c>
      <c r="B3578" t="str">
        <f>"1552380219198285"</f>
        <v>1552380219198285</v>
      </c>
      <c r="C3578" t="s">
        <v>40</v>
      </c>
      <c r="D3578">
        <v>4.6214629999999897</v>
      </c>
      <c r="E3578">
        <v>0.474103</v>
      </c>
      <c r="F3578" t="s">
        <v>42</v>
      </c>
      <c r="G3578">
        <v>-357.17700000000002</v>
      </c>
      <c r="H3578" s="1">
        <v>-1.566279E-6</v>
      </c>
      <c r="I3578">
        <v>141.01769999999999</v>
      </c>
      <c r="J3578">
        <v>-328.81479999999999</v>
      </c>
      <c r="K3578">
        <v>1.1104769999999999</v>
      </c>
      <c r="L3578">
        <v>141.20679999999999</v>
      </c>
      <c r="M3578">
        <v>-0.99985460000000004</v>
      </c>
      <c r="N3578">
        <v>0</v>
      </c>
      <c r="O3578">
        <v>9.4670589999999999E-3</v>
      </c>
      <c r="P3578">
        <v>-0.97328389999999998</v>
      </c>
      <c r="Q3578">
        <v>0.2172782</v>
      </c>
      <c r="R3578">
        <v>7.4221540000000003E-2</v>
      </c>
      <c r="S3578">
        <v>-3.1111149999999999</v>
      </c>
      <c r="T3578">
        <v>-0.1200678</v>
      </c>
      <c r="U3578">
        <v>-2.0019530000000001E-2</v>
      </c>
      <c r="V3578">
        <v>6.4977320000000005E-2</v>
      </c>
      <c r="W3578">
        <v>0.2310767</v>
      </c>
      <c r="X3578">
        <v>0.97076340000000005</v>
      </c>
      <c r="Y3578">
        <v>-1.5883359999999999E-2</v>
      </c>
      <c r="Z3578">
        <v>-6.7163719999999995E-4</v>
      </c>
      <c r="AA3578">
        <v>0.99987360000000003</v>
      </c>
      <c r="AB3578">
        <v>39</v>
      </c>
      <c r="AC3578">
        <v>-28.362199999999898</v>
      </c>
      <c r="AD3578">
        <v>-1.110478566279</v>
      </c>
      <c r="AE3578">
        <v>-0.18909999999999599</v>
      </c>
      <c r="AF3578">
        <v>-0.45692472258672401</v>
      </c>
      <c r="AG3578">
        <v>-1.110478566279</v>
      </c>
      <c r="AH3578">
        <v>28.315732404943699</v>
      </c>
      <c r="AI3578">
        <v>92.245567065795697</v>
      </c>
      <c r="AJ3578">
        <v>90.924489106138196</v>
      </c>
      <c r="AK3578">
        <v>28.3411828348192</v>
      </c>
      <c r="AL3578">
        <v>76.639530634758302</v>
      </c>
      <c r="AM3578">
        <v>86.170661885766705</v>
      </c>
      <c r="AN3578">
        <v>1.00000003608841</v>
      </c>
    </row>
    <row r="3579" spans="1:40" x14ac:dyDescent="0.25">
      <c r="A3579" t="str">
        <f>"20190312164339226"</f>
        <v>20190312164339226</v>
      </c>
      <c r="B3579" t="str">
        <f>"1552380219218781"</f>
        <v>1552380219218781</v>
      </c>
      <c r="C3579" t="s">
        <v>40</v>
      </c>
      <c r="D3579">
        <v>4.4934500000000002</v>
      </c>
      <c r="E3579">
        <v>0.47413689999999997</v>
      </c>
      <c r="F3579" t="s">
        <v>42</v>
      </c>
      <c r="G3579">
        <v>-357.33539999999999</v>
      </c>
      <c r="H3579" s="1">
        <v>-1.4973400000000001E-6</v>
      </c>
      <c r="I3579">
        <v>141.01410000000001</v>
      </c>
      <c r="J3579">
        <v>-329.18720000000002</v>
      </c>
      <c r="K3579">
        <v>1.1104780000000001</v>
      </c>
      <c r="L3579">
        <v>141.21029999999999</v>
      </c>
      <c r="M3579">
        <v>-0.99985520000000006</v>
      </c>
      <c r="N3579">
        <v>0</v>
      </c>
      <c r="O3579">
        <v>9.4139080000000003E-3</v>
      </c>
      <c r="P3579">
        <v>-0.97338460000000004</v>
      </c>
      <c r="Q3579">
        <v>0.2169856</v>
      </c>
      <c r="R3579">
        <v>7.3755440000000005E-2</v>
      </c>
      <c r="S3579">
        <v>-3.110992</v>
      </c>
      <c r="T3579">
        <v>-0.121129399999999</v>
      </c>
      <c r="U3579">
        <v>-2.1011350000000002E-2</v>
      </c>
      <c r="V3579">
        <v>6.4561969999999996E-2</v>
      </c>
      <c r="W3579">
        <v>0.2307835</v>
      </c>
      <c r="X3579">
        <v>0.97086079999999997</v>
      </c>
      <c r="Y3579">
        <v>-1.6148719999999998E-2</v>
      </c>
      <c r="Z3579">
        <v>-6.8069210000000003E-4</v>
      </c>
      <c r="AA3579">
        <v>0.99986929999999996</v>
      </c>
      <c r="AB3579">
        <v>39</v>
      </c>
      <c r="AC3579">
        <v>-28.1481999999999</v>
      </c>
      <c r="AD3579">
        <v>-1.1104794973400001</v>
      </c>
      <c r="AE3579">
        <v>-0.196199999999976</v>
      </c>
      <c r="AF3579">
        <v>-0.46048583571074098</v>
      </c>
      <c r="AG3579">
        <v>-1.1104794973400001</v>
      </c>
      <c r="AH3579">
        <v>28.101370548734302</v>
      </c>
      <c r="AI3579">
        <v>92.262671597359002</v>
      </c>
      <c r="AJ3579">
        <v>90.938798828583501</v>
      </c>
      <c r="AK3579">
        <v>28.127073054908799</v>
      </c>
      <c r="AL3579">
        <v>76.656795716204599</v>
      </c>
      <c r="AM3579">
        <v>86.195448365883706</v>
      </c>
      <c r="AN3579">
        <v>0.99999998240958499</v>
      </c>
    </row>
    <row r="3580" spans="1:40" x14ac:dyDescent="0.25">
      <c r="A3580" t="str">
        <f>"20190312164339250"</f>
        <v>20190312164339250</v>
      </c>
      <c r="B3580" t="str">
        <f>"1552380219238302"</f>
        <v>1552380219238302</v>
      </c>
      <c r="C3580" t="s">
        <v>40</v>
      </c>
      <c r="D3580">
        <v>4.4844819999999999</v>
      </c>
      <c r="E3580">
        <v>0.47410020000000003</v>
      </c>
      <c r="F3580" t="s">
        <v>42</v>
      </c>
      <c r="G3580">
        <v>-357.35169999999999</v>
      </c>
      <c r="H3580" s="1">
        <v>-1.4868709999999999E-6</v>
      </c>
      <c r="I3580">
        <v>141.00110000000001</v>
      </c>
      <c r="J3580">
        <v>-329.57839999999999</v>
      </c>
      <c r="K3580">
        <v>1.1104670000000001</v>
      </c>
      <c r="L3580">
        <v>141.2139</v>
      </c>
      <c r="M3580">
        <v>-0.99985579999999996</v>
      </c>
      <c r="N3580">
        <v>0</v>
      </c>
      <c r="O3580">
        <v>9.3552010000000005E-3</v>
      </c>
      <c r="P3580">
        <v>-0.97359079999999998</v>
      </c>
      <c r="Q3580">
        <v>0.21617259999999999</v>
      </c>
      <c r="R3580">
        <v>7.3423050000000004E-2</v>
      </c>
      <c r="S3580">
        <v>-3.111084</v>
      </c>
      <c r="T3580">
        <v>-0.1226646</v>
      </c>
      <c r="U3580">
        <v>-2.310181E-2</v>
      </c>
      <c r="V3580">
        <v>6.4284640000000004E-2</v>
      </c>
      <c r="W3580">
        <v>0.22997139999999999</v>
      </c>
      <c r="X3580">
        <v>0.97107189999999999</v>
      </c>
      <c r="Y3580">
        <v>-1.6760710000000002E-2</v>
      </c>
      <c r="Z3580">
        <v>-6.9903670000000002E-4</v>
      </c>
      <c r="AA3580">
        <v>0.99985930000000001</v>
      </c>
      <c r="AB3580">
        <v>39</v>
      </c>
      <c r="AC3580">
        <v>-27.773299999999999</v>
      </c>
      <c r="AD3580">
        <v>-1.110468486871</v>
      </c>
      <c r="AE3580">
        <v>-0.212799999999987</v>
      </c>
      <c r="AF3580">
        <v>-0.47188724241297297</v>
      </c>
      <c r="AG3580">
        <v>-1.110468486871</v>
      </c>
      <c r="AH3580">
        <v>27.725771762892101</v>
      </c>
      <c r="AI3580">
        <v>92.293244381725003</v>
      </c>
      <c r="AJ3580">
        <v>90.975068879246706</v>
      </c>
      <c r="AK3580">
        <v>27.752013218465201</v>
      </c>
      <c r="AL3580">
        <v>76.704612012189401</v>
      </c>
      <c r="AM3580">
        <v>86.212564494424001</v>
      </c>
      <c r="AN3580">
        <v>0.999999997363749</v>
      </c>
    </row>
    <row r="3581" spans="1:40" x14ac:dyDescent="0.25">
      <c r="A3581" t="str">
        <f>"20190312164339272"</f>
        <v>20190312164339272</v>
      </c>
      <c r="B3581" t="str">
        <f>"1552380219268557"</f>
        <v>1552380219268557</v>
      </c>
      <c r="C3581" t="s">
        <v>40</v>
      </c>
      <c r="D3581">
        <v>4.4581580000000001</v>
      </c>
      <c r="E3581">
        <v>0.47428530000000002</v>
      </c>
      <c r="F3581" t="s">
        <v>42</v>
      </c>
      <c r="G3581">
        <v>-356.51010000000002</v>
      </c>
      <c r="H3581" s="1">
        <v>-1.847656E-6</v>
      </c>
      <c r="I3581">
        <v>141</v>
      </c>
      <c r="J3581">
        <v>-329.98110000000003</v>
      </c>
      <c r="K3581">
        <v>1.1104689999999999</v>
      </c>
      <c r="L3581">
        <v>141.2176</v>
      </c>
      <c r="M3581">
        <v>-0.99985650000000004</v>
      </c>
      <c r="N3581">
        <v>0</v>
      </c>
      <c r="O3581">
        <v>9.2845069999999991E-3</v>
      </c>
      <c r="P3581">
        <v>-0.97397999999999996</v>
      </c>
      <c r="Q3581">
        <v>0.21471580000000001</v>
      </c>
      <c r="R3581">
        <v>7.2529490000000002E-2</v>
      </c>
      <c r="S3581">
        <v>-3.1117249999999999</v>
      </c>
      <c r="T3581">
        <v>-0.12830510000000001</v>
      </c>
      <c r="U3581">
        <v>-2.470398E-2</v>
      </c>
      <c r="V3581">
        <v>6.3453899999999994E-2</v>
      </c>
      <c r="W3581">
        <v>0.22851869999999999</v>
      </c>
      <c r="X3581">
        <v>0.97146940000000004</v>
      </c>
      <c r="Y3581">
        <v>-1.7201049999999999E-2</v>
      </c>
      <c r="Z3581">
        <v>-7.371627E-4</v>
      </c>
      <c r="AA3581">
        <v>0.99985179999999996</v>
      </c>
      <c r="AB3581">
        <v>39</v>
      </c>
      <c r="AC3581">
        <v>-26.529</v>
      </c>
      <c r="AD3581">
        <v>-1.1104708476559999</v>
      </c>
      <c r="AE3581">
        <v>-0.21760000000000401</v>
      </c>
      <c r="AF3581">
        <v>-0.46311264503155403</v>
      </c>
      <c r="AG3581">
        <v>-1.1104708476559999</v>
      </c>
      <c r="AH3581">
        <v>26.479442835407699</v>
      </c>
      <c r="AI3581">
        <v>92.401044509069493</v>
      </c>
      <c r="AJ3581">
        <v>91.001973311344301</v>
      </c>
      <c r="AK3581">
        <v>26.506763508567101</v>
      </c>
      <c r="AL3581">
        <v>76.790122822083006</v>
      </c>
      <c r="AM3581">
        <v>86.262894610302396</v>
      </c>
      <c r="AN3581">
        <v>0.99999999440563003</v>
      </c>
    </row>
    <row r="3582" spans="1:40" x14ac:dyDescent="0.25">
      <c r="A3582" t="str">
        <f>"20190312164339296"</f>
        <v>20190312164339296</v>
      </c>
      <c r="B3582" t="str">
        <f>"1552380219288078"</f>
        <v>1552380219288078</v>
      </c>
      <c r="C3582" t="s">
        <v>40</v>
      </c>
      <c r="D3582">
        <v>4.5065660000000003</v>
      </c>
      <c r="E3582">
        <v>0.47435680000000002</v>
      </c>
      <c r="F3582" t="s">
        <v>42</v>
      </c>
      <c r="G3582">
        <v>-355.3997</v>
      </c>
      <c r="H3582" s="1">
        <v>-2.3241139999999999E-6</v>
      </c>
      <c r="I3582">
        <v>141.00049999999999</v>
      </c>
      <c r="J3582">
        <v>-330.40710000000001</v>
      </c>
      <c r="K3582">
        <v>1.1104780000000001</v>
      </c>
      <c r="L3582">
        <v>141.22149999999999</v>
      </c>
      <c r="M3582">
        <v>-0.99985740000000001</v>
      </c>
      <c r="N3582">
        <v>0</v>
      </c>
      <c r="O3582">
        <v>9.1876230000000007E-3</v>
      </c>
      <c r="P3582">
        <v>-0.97426210000000002</v>
      </c>
      <c r="Q3582">
        <v>0.21363109999999999</v>
      </c>
      <c r="R3582">
        <v>7.1939649999999994E-2</v>
      </c>
      <c r="S3582">
        <v>-3.1121219999999998</v>
      </c>
      <c r="T3582">
        <v>-0.13596029999999901</v>
      </c>
      <c r="U3582">
        <v>-2.658081E-2</v>
      </c>
      <c r="V3582">
        <v>6.2948900000000002E-2</v>
      </c>
      <c r="W3582">
        <v>0.2274378</v>
      </c>
      <c r="X3582">
        <v>0.97175590000000001</v>
      </c>
      <c r="Y3582">
        <v>-1.7702949999999999E-2</v>
      </c>
      <c r="Z3582">
        <v>-7.877305E-4</v>
      </c>
      <c r="AA3582">
        <v>0.99984300000000004</v>
      </c>
      <c r="AB3582">
        <v>39</v>
      </c>
      <c r="AC3582">
        <v>-24.9925999999999</v>
      </c>
      <c r="AD3582">
        <v>-1.110480324114</v>
      </c>
      <c r="AE3582">
        <v>-0.221000000000003</v>
      </c>
      <c r="AF3582">
        <v>-0.44974847099139897</v>
      </c>
      <c r="AG3582">
        <v>-1.110480324114</v>
      </c>
      <c r="AH3582">
        <v>24.940280128898898</v>
      </c>
      <c r="AI3582">
        <v>92.549029783467901</v>
      </c>
      <c r="AJ3582">
        <v>91.033103734393507</v>
      </c>
      <c r="AK3582">
        <v>24.969041093829599</v>
      </c>
      <c r="AL3582">
        <v>76.853729203360103</v>
      </c>
      <c r="AM3582">
        <v>86.293643216533795</v>
      </c>
      <c r="AN3582">
        <v>1.00000002303242</v>
      </c>
    </row>
    <row r="3583" spans="1:40" x14ac:dyDescent="0.25">
      <c r="A3583" t="str">
        <f>"20190312164339317"</f>
        <v>20190312164339317</v>
      </c>
      <c r="B3583" t="str">
        <f>"1552380219308574"</f>
        <v>1552380219308574</v>
      </c>
      <c r="C3583" t="s">
        <v>40</v>
      </c>
      <c r="D3583">
        <v>4.6895040000000003</v>
      </c>
      <c r="E3583">
        <v>0.47442659999999998</v>
      </c>
      <c r="F3583" t="s">
        <v>42</v>
      </c>
      <c r="G3583">
        <v>-354.91910000000001</v>
      </c>
      <c r="H3583" s="1">
        <v>-2.5295749999999998E-6</v>
      </c>
      <c r="I3583">
        <v>140.99780000000001</v>
      </c>
      <c r="J3583">
        <v>-330.75880000000001</v>
      </c>
      <c r="K3583">
        <v>1.1104989999999999</v>
      </c>
      <c r="L3583">
        <v>141.22460000000001</v>
      </c>
      <c r="M3583">
        <v>-0.99985840000000004</v>
      </c>
      <c r="N3583">
        <v>0</v>
      </c>
      <c r="O3583">
        <v>9.0797199999999995E-3</v>
      </c>
      <c r="P3583">
        <v>-0.97439880000000001</v>
      </c>
      <c r="Q3583">
        <v>0.21304529999999999</v>
      </c>
      <c r="R3583">
        <v>7.1823570000000003E-2</v>
      </c>
      <c r="S3583">
        <v>-3.1122740000000002</v>
      </c>
      <c r="T3583">
        <v>-0.14099719999999999</v>
      </c>
      <c r="U3583">
        <v>-2.8396609999999999E-2</v>
      </c>
      <c r="V3583">
        <v>6.2926159999999995E-2</v>
      </c>
      <c r="W3583">
        <v>0.22685549999999999</v>
      </c>
      <c r="X3583">
        <v>0.97189340000000002</v>
      </c>
      <c r="Y3583">
        <v>-1.8175609999999998E-2</v>
      </c>
      <c r="Z3583">
        <v>-8.2265639999999998E-4</v>
      </c>
      <c r="AA3583">
        <v>0.99983449999999996</v>
      </c>
      <c r="AB3583">
        <v>39</v>
      </c>
      <c r="AC3583">
        <v>-24.160299999999999</v>
      </c>
      <c r="AD3583">
        <v>-1.11050152957499</v>
      </c>
      <c r="AE3583">
        <v>-0.226799999999997</v>
      </c>
      <c r="AF3583">
        <v>-0.44524086092682802</v>
      </c>
      <c r="AG3583">
        <v>-1.11050152957499</v>
      </c>
      <c r="AH3583">
        <v>24.106319941537802</v>
      </c>
      <c r="AI3583">
        <v>92.637120572527195</v>
      </c>
      <c r="AJ3583">
        <v>91.058125919174898</v>
      </c>
      <c r="AK3583">
        <v>24.135992090552399</v>
      </c>
      <c r="AL3583">
        <v>76.887987070609398</v>
      </c>
      <c r="AM3583">
        <v>86.295501104328594</v>
      </c>
      <c r="AN3583">
        <v>0.99999995022807597</v>
      </c>
    </row>
    <row r="3584" spans="1:40" x14ac:dyDescent="0.25">
      <c r="A3584" t="str">
        <f>"20190312164339339"</f>
        <v>20190312164339339</v>
      </c>
      <c r="B3584" t="str">
        <f>"1552380219328094"</f>
        <v>1552380219328094</v>
      </c>
      <c r="C3584" t="s">
        <v>40</v>
      </c>
      <c r="D3584">
        <v>4.5010729999999999</v>
      </c>
      <c r="E3584">
        <v>0.47450829999999999</v>
      </c>
      <c r="F3584" t="s">
        <v>42</v>
      </c>
      <c r="G3584">
        <v>-355.017</v>
      </c>
      <c r="H3584" s="1">
        <v>-2.4885910000000002E-6</v>
      </c>
      <c r="I3584">
        <v>141.00149999999999</v>
      </c>
      <c r="J3584">
        <v>-331.14510000000001</v>
      </c>
      <c r="K3584">
        <v>1.110525</v>
      </c>
      <c r="L3584">
        <v>141.22799999999901</v>
      </c>
      <c r="M3584">
        <v>-0.99985979999999997</v>
      </c>
      <c r="N3584">
        <v>0</v>
      </c>
      <c r="O3584">
        <v>8.9223299999999992E-3</v>
      </c>
      <c r="P3584">
        <v>-0.97471839999999998</v>
      </c>
      <c r="Q3584">
        <v>0.21175550000000001</v>
      </c>
      <c r="R3584">
        <v>7.1300890000000006E-2</v>
      </c>
      <c r="S3584">
        <v>-3.1121219999999998</v>
      </c>
      <c r="T3584">
        <v>-0.14246800000000001</v>
      </c>
      <c r="U3584">
        <v>-2.861023E-2</v>
      </c>
      <c r="V3584">
        <v>6.2537949999999995E-2</v>
      </c>
      <c r="W3584">
        <v>0.2255722</v>
      </c>
      <c r="X3584">
        <v>0.97221709999999995</v>
      </c>
      <c r="Y3584">
        <v>-1.8086970000000001E-2</v>
      </c>
      <c r="Z3584">
        <v>-8.2203979999999897E-4</v>
      </c>
      <c r="AA3584">
        <v>0.99983610000000001</v>
      </c>
      <c r="AB3584">
        <v>39</v>
      </c>
      <c r="AC3584">
        <v>-23.871899999999901</v>
      </c>
      <c r="AD3584">
        <v>-1.1105274885909999</v>
      </c>
      <c r="AE3584">
        <v>-0.22649999999998699</v>
      </c>
      <c r="AF3584">
        <v>-0.43855632638059999</v>
      </c>
      <c r="AG3584">
        <v>-1.1105274885909999</v>
      </c>
      <c r="AH3584">
        <v>23.817389041345901</v>
      </c>
      <c r="AI3584">
        <v>92.669130818012704</v>
      </c>
      <c r="AJ3584">
        <v>91.054884198463199</v>
      </c>
      <c r="AK3584">
        <v>23.847298037747301</v>
      </c>
      <c r="AL3584">
        <v>76.963471498091195</v>
      </c>
      <c r="AM3584">
        <v>86.319514650782196</v>
      </c>
      <c r="AN3584">
        <v>0.99999995106772499</v>
      </c>
    </row>
    <row r="3585" spans="1:40" x14ac:dyDescent="0.25">
      <c r="A3585" t="str">
        <f>"20190312164339362"</f>
        <v>20190312164339362</v>
      </c>
      <c r="B3585" t="str">
        <f>"1552380219358350"</f>
        <v>1552380219358350</v>
      </c>
      <c r="C3585" t="s">
        <v>40</v>
      </c>
      <c r="D3585">
        <v>4.7084140000000003</v>
      </c>
      <c r="E3585">
        <v>0.47451280000000001</v>
      </c>
      <c r="F3585" t="s">
        <v>42</v>
      </c>
      <c r="G3585">
        <v>-354.81229999999999</v>
      </c>
      <c r="H3585" s="1">
        <v>-2.5756949999999998E-6</v>
      </c>
      <c r="I3585">
        <v>140.99889999999999</v>
      </c>
      <c r="J3585">
        <v>-331.5351</v>
      </c>
      <c r="K3585">
        <v>1.110563</v>
      </c>
      <c r="L3585">
        <v>141.2313</v>
      </c>
      <c r="M3585">
        <v>-0.99986169999999996</v>
      </c>
      <c r="N3585">
        <v>0</v>
      </c>
      <c r="O3585">
        <v>8.7111810000000001E-3</v>
      </c>
      <c r="P3585">
        <v>-0.97503229999999996</v>
      </c>
      <c r="Q3585">
        <v>0.21052509999999999</v>
      </c>
      <c r="R3585">
        <v>7.0651930000000002E-2</v>
      </c>
      <c r="S3585">
        <v>-3.1117249999999999</v>
      </c>
      <c r="T3585">
        <v>-0.14601040000000001</v>
      </c>
      <c r="U3585">
        <v>-3.0105590000000002E-2</v>
      </c>
      <c r="V3585">
        <v>6.2070590000000002E-2</v>
      </c>
      <c r="W3585">
        <v>0.2243502</v>
      </c>
      <c r="X3585">
        <v>0.9725298</v>
      </c>
      <c r="Y3585">
        <v>-1.8355940000000001E-2</v>
      </c>
      <c r="Z3585">
        <v>-8.3896679999999996E-4</v>
      </c>
      <c r="AA3585">
        <v>0.99983109999999997</v>
      </c>
      <c r="AB3585">
        <v>39</v>
      </c>
      <c r="AC3585">
        <v>-23.277200000000001</v>
      </c>
      <c r="AD3585">
        <v>-1.1105655756949999</v>
      </c>
      <c r="AE3585">
        <v>-0.23240000000001201</v>
      </c>
      <c r="AF3585">
        <v>-0.434195179323209</v>
      </c>
      <c r="AG3585">
        <v>-1.1105655756949999</v>
      </c>
      <c r="AH3585">
        <v>23.221438552350001</v>
      </c>
      <c r="AI3585">
        <v>92.737607278990694</v>
      </c>
      <c r="AJ3585">
        <v>91.071193441026296</v>
      </c>
      <c r="AK3585">
        <v>23.252034100100399</v>
      </c>
      <c r="AL3585">
        <v>77.035329344830799</v>
      </c>
      <c r="AM3585">
        <v>86.3481163744231</v>
      </c>
      <c r="AN3585">
        <v>0.99999999113551397</v>
      </c>
    </row>
    <row r="3586" spans="1:40" x14ac:dyDescent="0.25">
      <c r="A3586" t="str">
        <f>"20190312164339384"</f>
        <v>20190312164339384</v>
      </c>
      <c r="B3586" t="str">
        <f>"1552380219378847"</f>
        <v>1552380219378847</v>
      </c>
      <c r="C3586" t="s">
        <v>40</v>
      </c>
      <c r="D3586">
        <v>4.5454999999999997</v>
      </c>
      <c r="E3586">
        <v>0.4744874</v>
      </c>
      <c r="F3586" t="s">
        <v>42</v>
      </c>
      <c r="G3586">
        <v>-354.59429999999998</v>
      </c>
      <c r="H3586" s="1">
        <v>-2.6677080000000001E-6</v>
      </c>
      <c r="I3586">
        <v>140.9933</v>
      </c>
      <c r="J3586">
        <v>-331.92899999999997</v>
      </c>
      <c r="K3586">
        <v>1.1106130000000001</v>
      </c>
      <c r="L3586">
        <v>141.2345</v>
      </c>
      <c r="M3586">
        <v>-0.99986419999999998</v>
      </c>
      <c r="N3586">
        <v>0</v>
      </c>
      <c r="O3586">
        <v>8.4348659999999992E-3</v>
      </c>
      <c r="P3586">
        <v>-0.97532739999999996</v>
      </c>
      <c r="Q3586">
        <v>0.2093537</v>
      </c>
      <c r="R3586">
        <v>7.0055469999999995E-2</v>
      </c>
      <c r="S3586">
        <v>-3.1115110000000001</v>
      </c>
      <c r="T3586">
        <v>-0.1498553</v>
      </c>
      <c r="U3586">
        <v>-3.2104489999999999E-2</v>
      </c>
      <c r="V3586">
        <v>6.1715590000000001E-2</v>
      </c>
      <c r="W3586">
        <v>0.22318789999999999</v>
      </c>
      <c r="X3586">
        <v>0.97281980000000001</v>
      </c>
      <c r="Y3586">
        <v>-1.8720839999999999E-2</v>
      </c>
      <c r="Z3586">
        <v>-8.5657119999999897E-4</v>
      </c>
      <c r="AA3586">
        <v>0.99982439999999995</v>
      </c>
      <c r="AB3586">
        <v>39</v>
      </c>
      <c r="AC3586">
        <v>-22.665299999999899</v>
      </c>
      <c r="AD3586">
        <v>-1.1106156677079999</v>
      </c>
      <c r="AE3586">
        <v>-0.241199999999992</v>
      </c>
      <c r="AF3586">
        <v>-0.431353755583749</v>
      </c>
      <c r="AG3586">
        <v>-1.1106156677079999</v>
      </c>
      <c r="AH3586">
        <v>22.608181189678</v>
      </c>
      <c r="AI3586">
        <v>92.811854941186994</v>
      </c>
      <c r="AJ3586">
        <v>91.093044644245296</v>
      </c>
      <c r="AK3586">
        <v>22.639553660112799</v>
      </c>
      <c r="AL3586">
        <v>77.103657091901795</v>
      </c>
      <c r="AM3586">
        <v>86.370026066966005</v>
      </c>
      <c r="AN3586">
        <v>1.0000000080137399</v>
      </c>
    </row>
    <row r="3587" spans="1:40" x14ac:dyDescent="0.25">
      <c r="A3587" t="str">
        <f>"20190312164339406"</f>
        <v>20190312164339406</v>
      </c>
      <c r="B3587" t="str">
        <f>"1552380219398366"</f>
        <v>1552380219398366</v>
      </c>
      <c r="C3587" t="s">
        <v>40</v>
      </c>
      <c r="D3587">
        <v>4.6107279999999999</v>
      </c>
      <c r="E3587">
        <v>0.47459430000000002</v>
      </c>
      <c r="F3587" t="s">
        <v>42</v>
      </c>
      <c r="G3587">
        <v>-354.35590000000002</v>
      </c>
      <c r="H3587" s="1">
        <v>-2.7688410000000001E-6</v>
      </c>
      <c r="I3587">
        <v>140.9889</v>
      </c>
      <c r="J3587">
        <v>-332.31909999999999</v>
      </c>
      <c r="K3587">
        <v>1.1106549999999999</v>
      </c>
      <c r="L3587">
        <v>141.23740000000001</v>
      </c>
      <c r="M3587">
        <v>-0.9998669</v>
      </c>
      <c r="N3587">
        <v>0</v>
      </c>
      <c r="O3587">
        <v>8.1107030000000004E-3</v>
      </c>
      <c r="P3587">
        <v>-0.97563270000000002</v>
      </c>
      <c r="Q3587">
        <v>0.20807139999999999</v>
      </c>
      <c r="R3587">
        <v>6.9620940000000006E-2</v>
      </c>
      <c r="S3587">
        <v>-3.1114199999999999</v>
      </c>
      <c r="T3587">
        <v>-0.15408250000000001</v>
      </c>
      <c r="U3587">
        <v>-3.4057619999999997E-2</v>
      </c>
      <c r="V3587">
        <v>6.156996E-2</v>
      </c>
      <c r="W3587">
        <v>0.2219151</v>
      </c>
      <c r="X3587">
        <v>0.97312019999999999</v>
      </c>
      <c r="Y3587">
        <v>-1.9022770000000001E-2</v>
      </c>
      <c r="Z3587">
        <v>-8.7215549999999995E-4</v>
      </c>
      <c r="AA3587">
        <v>0.99981869999999995</v>
      </c>
      <c r="AB3587">
        <v>39</v>
      </c>
      <c r="AC3587">
        <v>-22.036799999999999</v>
      </c>
      <c r="AD3587">
        <v>-1.110657768841</v>
      </c>
      <c r="AE3587">
        <v>-0.24850000000000699</v>
      </c>
      <c r="AF3587">
        <v>-0.42616129005348902</v>
      </c>
      <c r="AG3587">
        <v>-1.110657768841</v>
      </c>
      <c r="AH3587">
        <v>21.9782378533287</v>
      </c>
      <c r="AI3587">
        <v>92.8924059872393</v>
      </c>
      <c r="AJ3587">
        <v>91.110834455918294</v>
      </c>
      <c r="AK3587">
        <v>22.010409202514101</v>
      </c>
      <c r="AL3587">
        <v>77.1784596470184</v>
      </c>
      <c r="AM3587">
        <v>86.379683832372294</v>
      </c>
      <c r="AN3587">
        <v>1.00000004761522</v>
      </c>
    </row>
    <row r="3588" spans="1:40" x14ac:dyDescent="0.25">
      <c r="A3588" t="str">
        <f>"20190312164339427"</f>
        <v>20190312164339427</v>
      </c>
      <c r="B3588" t="str">
        <f>"1552380219418862"</f>
        <v>1552380219418862</v>
      </c>
      <c r="C3588" t="s">
        <v>40</v>
      </c>
      <c r="D3588">
        <v>4.6627299999999998</v>
      </c>
      <c r="E3588">
        <v>0.48968129999999999</v>
      </c>
      <c r="F3588" t="s">
        <v>42</v>
      </c>
      <c r="G3588">
        <v>-354.05790000000002</v>
      </c>
      <c r="H3588" s="1">
        <v>-2.8995099999999998E-6</v>
      </c>
      <c r="I3588">
        <v>140.99950000000001</v>
      </c>
      <c r="J3588">
        <v>-332.68889999999999</v>
      </c>
      <c r="K3588">
        <v>1.1106959999999999</v>
      </c>
      <c r="L3588">
        <v>141.24010000000001</v>
      </c>
      <c r="M3588">
        <v>-0.99986960000000003</v>
      </c>
      <c r="N3588">
        <v>0</v>
      </c>
      <c r="O3588">
        <v>7.75704699999999E-3</v>
      </c>
      <c r="P3588">
        <v>-0.97586850000000003</v>
      </c>
      <c r="Q3588">
        <v>0.20710390000000001</v>
      </c>
      <c r="R3588">
        <v>6.920142E-2</v>
      </c>
      <c r="S3588">
        <v>-3.111237</v>
      </c>
      <c r="T3588">
        <v>-0.15895699999999999</v>
      </c>
      <c r="U3588">
        <v>-3.4042360000000001E-2</v>
      </c>
      <c r="V3588">
        <v>6.1471919999999999E-2</v>
      </c>
      <c r="W3588">
        <v>0.22095529999999999</v>
      </c>
      <c r="X3588">
        <v>0.97334469999999995</v>
      </c>
      <c r="Y3588">
        <v>-1.866367E-2</v>
      </c>
      <c r="Z3588">
        <v>-8.7253839999999999E-4</v>
      </c>
      <c r="AA3588">
        <v>0.99982539999999998</v>
      </c>
      <c r="AB3588">
        <v>39</v>
      </c>
      <c r="AC3588">
        <v>-21.369</v>
      </c>
      <c r="AD3588">
        <v>-1.11069889951</v>
      </c>
      <c r="AE3588">
        <v>-0.24060000000000001</v>
      </c>
      <c r="AF3588">
        <v>-0.40527496608500602</v>
      </c>
      <c r="AG3588">
        <v>-1.11069889951</v>
      </c>
      <c r="AH3588">
        <v>21.308929088417599</v>
      </c>
      <c r="AI3588">
        <v>92.983225710397207</v>
      </c>
      <c r="AJ3588">
        <v>91.089578261169507</v>
      </c>
      <c r="AK3588">
        <v>21.341704682117602</v>
      </c>
      <c r="AL3588">
        <v>77.234851108130897</v>
      </c>
      <c r="AM3588">
        <v>86.386264776247103</v>
      </c>
      <c r="AN3588">
        <v>0.99999997328233203</v>
      </c>
    </row>
    <row r="3589" spans="1:40" x14ac:dyDescent="0.25">
      <c r="A3589" t="str">
        <f>"20190312164339451"</f>
        <v>20190312164339451</v>
      </c>
      <c r="B3589" t="str">
        <f>"1552380219438382"</f>
        <v>1552380219438382</v>
      </c>
      <c r="C3589" t="s">
        <v>40</v>
      </c>
      <c r="D3589">
        <v>4.6114860000000002</v>
      </c>
      <c r="E3589">
        <v>0.51341380000000003</v>
      </c>
      <c r="F3589" t="s">
        <v>41</v>
      </c>
      <c r="G3589">
        <v>-333.64879999999999</v>
      </c>
      <c r="H3589">
        <v>1.042057</v>
      </c>
      <c r="I3589">
        <v>141.26599999999999</v>
      </c>
      <c r="J3589">
        <v>-333.07510000000002</v>
      </c>
      <c r="K3589">
        <v>1.110735</v>
      </c>
      <c r="L3589">
        <v>141.24270000000001</v>
      </c>
      <c r="M3589">
        <v>-0.99987289999999995</v>
      </c>
      <c r="N3589">
        <v>0</v>
      </c>
      <c r="O3589">
        <v>7.3408079999999999E-3</v>
      </c>
      <c r="P3589">
        <v>-0.97602979999999995</v>
      </c>
      <c r="Q3589">
        <v>0.20656749999999999</v>
      </c>
      <c r="R3589">
        <v>6.8527930000000001E-2</v>
      </c>
      <c r="S3589">
        <v>-3.115631</v>
      </c>
      <c r="T3589">
        <v>-0.2229505</v>
      </c>
      <c r="U3589">
        <v>8.2885739999999999E-2</v>
      </c>
      <c r="V3589">
        <v>6.1181199999999998E-2</v>
      </c>
      <c r="W3589">
        <v>0.2204247</v>
      </c>
      <c r="X3589">
        <v>0.97348330000000005</v>
      </c>
      <c r="Y3589">
        <v>1.9223759999999999E-2</v>
      </c>
      <c r="Z3589">
        <v>1.622428E-4</v>
      </c>
      <c r="AA3589">
        <v>0.99981520000000002</v>
      </c>
      <c r="AB3589">
        <v>39</v>
      </c>
      <c r="AC3589">
        <v>-0.57369999999997301</v>
      </c>
      <c r="AD3589">
        <v>-6.8678000000000003E-2</v>
      </c>
      <c r="AE3589">
        <v>2.3299999999977599E-2</v>
      </c>
      <c r="AF3589">
        <v>1.8818294588150201E-2</v>
      </c>
      <c r="AG3589">
        <v>-6.8678000000000003E-2</v>
      </c>
      <c r="AH3589">
        <v>0.56576122803274798</v>
      </c>
      <c r="AI3589">
        <v>96.917506990691706</v>
      </c>
      <c r="AJ3589">
        <v>88.094935741563205</v>
      </c>
      <c r="AK3589">
        <v>0.57022501088634203</v>
      </c>
      <c r="AL3589">
        <v>77.266020616428804</v>
      </c>
      <c r="AM3589">
        <v>86.403821031634806</v>
      </c>
      <c r="AN3589">
        <v>0.99999996149120896</v>
      </c>
    </row>
    <row r="3590" spans="1:40" x14ac:dyDescent="0.25">
      <c r="A3590" t="str">
        <f>"20190312164339473"</f>
        <v>20190312164339473</v>
      </c>
      <c r="B3590" t="str">
        <f>"1552380219468637"</f>
        <v>1552380219468637</v>
      </c>
      <c r="C3590" t="s">
        <v>40</v>
      </c>
      <c r="D3590">
        <v>4.6109960000000001</v>
      </c>
      <c r="E3590">
        <v>0.51493919999999904</v>
      </c>
      <c r="F3590" t="s">
        <v>41</v>
      </c>
      <c r="G3590">
        <v>-333.99810000000002</v>
      </c>
      <c r="H3590">
        <v>1.049058</v>
      </c>
      <c r="I3590">
        <v>141.32390000000001</v>
      </c>
      <c r="J3590">
        <v>-333.46910000000003</v>
      </c>
      <c r="K3590">
        <v>1.110773</v>
      </c>
      <c r="L3590">
        <v>141.24520000000001</v>
      </c>
      <c r="M3590">
        <v>-0.99987619999999999</v>
      </c>
      <c r="N3590">
        <v>0</v>
      </c>
      <c r="O3590">
        <v>6.8742940000000004E-3</v>
      </c>
      <c r="P3590">
        <v>-0.9762149</v>
      </c>
      <c r="Q3590">
        <v>0.20591609999999999</v>
      </c>
      <c r="R3590">
        <v>6.7846399999999904E-2</v>
      </c>
      <c r="S3590">
        <v>-3.0984189999999998</v>
      </c>
      <c r="T3590">
        <v>-0.20708850000000001</v>
      </c>
      <c r="U3590">
        <v>0.27207949999999997</v>
      </c>
      <c r="V3590">
        <v>6.0932809999999997E-2</v>
      </c>
      <c r="W3590">
        <v>0.219779</v>
      </c>
      <c r="X3590">
        <v>0.97364490000000004</v>
      </c>
      <c r="Y3590">
        <v>8.0462149999999996E-2</v>
      </c>
      <c r="Z3590">
        <v>2.2227060000000001E-3</v>
      </c>
      <c r="AA3590">
        <v>0.99675519999999995</v>
      </c>
      <c r="AB3590">
        <v>39</v>
      </c>
      <c r="AC3590">
        <v>-0.52899999999999603</v>
      </c>
      <c r="AD3590">
        <v>-6.1714999999999902E-2</v>
      </c>
      <c r="AE3590">
        <v>7.8699999999997702E-2</v>
      </c>
      <c r="AF3590">
        <v>7.4074917696754006E-2</v>
      </c>
      <c r="AG3590">
        <v>-6.1714999999999902E-2</v>
      </c>
      <c r="AH3590">
        <v>0.52257019130429405</v>
      </c>
      <c r="AI3590">
        <v>96.669312697621606</v>
      </c>
      <c r="AJ3590">
        <v>81.932009433712594</v>
      </c>
      <c r="AK3590">
        <v>0.53139010105250095</v>
      </c>
      <c r="AL3590">
        <v>77.303947110803605</v>
      </c>
      <c r="AM3590">
        <v>86.418976012029802</v>
      </c>
      <c r="AN3590">
        <v>1.0000000037357499</v>
      </c>
    </row>
    <row r="3591" spans="1:40" x14ac:dyDescent="0.25">
      <c r="A3591" t="str">
        <f>"20190312164339495"</f>
        <v>20190312164339495</v>
      </c>
      <c r="B3591" t="str">
        <f>"1552380219488158"</f>
        <v>1552380219488158</v>
      </c>
      <c r="C3591" t="s">
        <v>40</v>
      </c>
      <c r="D3591">
        <v>4.6398769999999896</v>
      </c>
      <c r="E3591">
        <v>0.5150285</v>
      </c>
      <c r="F3591" t="s">
        <v>41</v>
      </c>
      <c r="G3591">
        <v>-334.34739999999999</v>
      </c>
      <c r="H3591">
        <v>1.052487</v>
      </c>
      <c r="I3591">
        <v>141.32579999999999</v>
      </c>
      <c r="J3591">
        <v>-333.86810000000003</v>
      </c>
      <c r="K3591">
        <v>1.1108100000000001</v>
      </c>
      <c r="L3591">
        <v>141.2475</v>
      </c>
      <c r="M3591">
        <v>-0.99987950000000003</v>
      </c>
      <c r="N3591">
        <v>0</v>
      </c>
      <c r="O3591">
        <v>6.3699389999999998E-3</v>
      </c>
      <c r="P3591">
        <v>-0.97631109999999999</v>
      </c>
      <c r="Q3591">
        <v>0.20573060000000001</v>
      </c>
      <c r="R3591">
        <v>6.7019519999999999E-2</v>
      </c>
      <c r="S3591">
        <v>-3.096832</v>
      </c>
      <c r="T3591">
        <v>-0.20568819999999999</v>
      </c>
      <c r="U3591">
        <v>0.28259279999999998</v>
      </c>
      <c r="V3591">
        <v>6.0578489999999999E-2</v>
      </c>
      <c r="W3591">
        <v>0.2195976</v>
      </c>
      <c r="X3591">
        <v>0.97370789999999996</v>
      </c>
      <c r="Y3591">
        <v>8.4358180000000005E-2</v>
      </c>
      <c r="Z3591">
        <v>2.3708689999999998E-3</v>
      </c>
      <c r="AA3591">
        <v>0.99643269999999995</v>
      </c>
      <c r="AB3591">
        <v>39</v>
      </c>
      <c r="AC3591">
        <v>-0.47929999999996598</v>
      </c>
      <c r="AD3591">
        <v>-5.8322999999999903E-2</v>
      </c>
      <c r="AE3591">
        <v>7.8299999999984493E-2</v>
      </c>
      <c r="AF3591">
        <v>7.4175235492987407E-2</v>
      </c>
      <c r="AG3591">
        <v>-5.8322999999999903E-2</v>
      </c>
      <c r="AH3591">
        <v>0.47296792986416702</v>
      </c>
      <c r="AI3591">
        <v>96.945760748604599</v>
      </c>
      <c r="AJ3591">
        <v>81.086942571556705</v>
      </c>
      <c r="AK3591">
        <v>0.482288503459741</v>
      </c>
      <c r="AL3591">
        <v>77.314600359991303</v>
      </c>
      <c r="AM3591">
        <v>86.439975458281197</v>
      </c>
      <c r="AN3591">
        <v>0.99999996694942395</v>
      </c>
    </row>
    <row r="3592" spans="1:40" x14ac:dyDescent="0.25">
      <c r="A3592" t="str">
        <f>"20190312164339517"</f>
        <v>20190312164339517</v>
      </c>
      <c r="B3592" t="str">
        <f>"1552380219508654"</f>
        <v>1552380219508654</v>
      </c>
      <c r="C3592" t="s">
        <v>40</v>
      </c>
      <c r="D3592">
        <v>4.653187</v>
      </c>
      <c r="E3592">
        <v>0.51507910000000001</v>
      </c>
      <c r="F3592" t="s">
        <v>42</v>
      </c>
      <c r="G3592">
        <v>-350.56319999999999</v>
      </c>
      <c r="H3592" s="1">
        <v>-4.642178E-6</v>
      </c>
      <c r="I3592">
        <v>142.76089999999999</v>
      </c>
      <c r="J3592">
        <v>-334.24259999999998</v>
      </c>
      <c r="K3592">
        <v>1.1108340000000001</v>
      </c>
      <c r="L3592">
        <v>141.24940000000001</v>
      </c>
      <c r="M3592">
        <v>-0.99988259999999995</v>
      </c>
      <c r="N3592">
        <v>0</v>
      </c>
      <c r="O3592">
        <v>5.8754920000000004E-3</v>
      </c>
      <c r="P3592">
        <v>-0.97636959999999995</v>
      </c>
      <c r="Q3592">
        <v>0.2058497</v>
      </c>
      <c r="R3592">
        <v>6.5791699999999995E-2</v>
      </c>
      <c r="S3592">
        <v>-3.0968930000000001</v>
      </c>
      <c r="T3592">
        <v>-0.2060536</v>
      </c>
      <c r="U3592">
        <v>0.2807617</v>
      </c>
      <c r="V3592">
        <v>5.9817389999999998E-2</v>
      </c>
      <c r="W3592">
        <v>0.2197181</v>
      </c>
      <c r="X3592">
        <v>0.97372780000000003</v>
      </c>
      <c r="Y3592">
        <v>8.4263340000000006E-2</v>
      </c>
      <c r="Z3592">
        <v>2.4047360000000002E-3</v>
      </c>
      <c r="AA3592">
        <v>0.99644060000000001</v>
      </c>
      <c r="AB3592">
        <v>39</v>
      </c>
      <c r="AC3592">
        <v>-16.320599999999999</v>
      </c>
      <c r="AD3592">
        <v>-1.1108386421780001</v>
      </c>
      <c r="AE3592">
        <v>1.5114999999999801</v>
      </c>
      <c r="AF3592">
        <v>1.40910038917033</v>
      </c>
      <c r="AG3592">
        <v>-1.1108386421780001</v>
      </c>
      <c r="AH3592">
        <v>16.2545386860889</v>
      </c>
      <c r="AI3592">
        <v>93.894964121611395</v>
      </c>
      <c r="AJ3592">
        <v>85.045435075695096</v>
      </c>
      <c r="AK3592">
        <v>16.353273503897501</v>
      </c>
      <c r="AL3592">
        <v>77.307523752528297</v>
      </c>
      <c r="AM3592">
        <v>86.484661914182894</v>
      </c>
      <c r="AN3592">
        <v>0.99999999605343104</v>
      </c>
    </row>
    <row r="3593" spans="1:40" x14ac:dyDescent="0.25">
      <c r="A3593" t="str">
        <f>"20190312164339539"</f>
        <v>20190312164339539</v>
      </c>
      <c r="B3593" t="str">
        <f>"1552380219528174"</f>
        <v>1552380219528174</v>
      </c>
      <c r="C3593" t="s">
        <v>40</v>
      </c>
      <c r="D3593">
        <v>4.6541300000000003</v>
      </c>
      <c r="E3593">
        <v>0.51484640000000004</v>
      </c>
      <c r="F3593" t="s">
        <v>42</v>
      </c>
      <c r="G3593">
        <v>-350.97879999999998</v>
      </c>
      <c r="H3593" s="1">
        <v>-4.4982969999999999E-6</v>
      </c>
      <c r="I3593">
        <v>142.74709999999999</v>
      </c>
      <c r="J3593">
        <v>-334.61689999999999</v>
      </c>
      <c r="K3593">
        <v>1.110854</v>
      </c>
      <c r="L3593">
        <v>141.25110000000001</v>
      </c>
      <c r="M3593">
        <v>-0.99988540000000004</v>
      </c>
      <c r="N3593">
        <v>0</v>
      </c>
      <c r="O3593">
        <v>5.3680380000000003E-3</v>
      </c>
      <c r="P3593">
        <v>-0.97640649999999996</v>
      </c>
      <c r="Q3593">
        <v>0.2059936</v>
      </c>
      <c r="R3593">
        <v>6.4785700000000002E-2</v>
      </c>
      <c r="S3593">
        <v>-3.0972599999999999</v>
      </c>
      <c r="T3593">
        <v>-0.2055756</v>
      </c>
      <c r="U3593">
        <v>0.27719120000000003</v>
      </c>
      <c r="V3593">
        <v>5.9294159999999999E-2</v>
      </c>
      <c r="W3593">
        <v>0.21986320000000001</v>
      </c>
      <c r="X3593">
        <v>0.97372700000000001</v>
      </c>
      <c r="Y3593">
        <v>8.3620089999999994E-2</v>
      </c>
      <c r="Z3593">
        <v>2.4113049999999999E-3</v>
      </c>
      <c r="AA3593">
        <v>0.99649480000000001</v>
      </c>
      <c r="AB3593">
        <v>39</v>
      </c>
      <c r="AC3593">
        <v>-16.361899999999899</v>
      </c>
      <c r="AD3593">
        <v>-1.110858498297</v>
      </c>
      <c r="AE3593">
        <v>1.49599999999998</v>
      </c>
      <c r="AF3593">
        <v>1.4017306852678599</v>
      </c>
      <c r="AG3593">
        <v>-1.110858498297</v>
      </c>
      <c r="AH3593">
        <v>16.295206220555301</v>
      </c>
      <c r="AI3593">
        <v>93.885564598897105</v>
      </c>
      <c r="AJ3593">
        <v>85.083460116133296</v>
      </c>
      <c r="AK3593">
        <v>16.393065646415401</v>
      </c>
      <c r="AL3593">
        <v>77.299001117581</v>
      </c>
      <c r="AM3593">
        <v>86.515332046070597</v>
      </c>
      <c r="AN3593">
        <v>0.99999994732667097</v>
      </c>
    </row>
    <row r="3594" spans="1:40" x14ac:dyDescent="0.25">
      <c r="A3594" t="str">
        <f>"20190312164339574"</f>
        <v>20190312164339574</v>
      </c>
      <c r="B3594" t="str">
        <f>"1552380219568190"</f>
        <v>1552380219568190</v>
      </c>
      <c r="C3594" t="s">
        <v>40</v>
      </c>
      <c r="D3594">
        <v>4.6548629999999998</v>
      </c>
      <c r="E3594">
        <v>0.51511739999999995</v>
      </c>
      <c r="F3594" t="s">
        <v>42</v>
      </c>
      <c r="G3594">
        <v>-351.31029999999998</v>
      </c>
      <c r="H3594" s="1">
        <v>-4.3802619999999996E-6</v>
      </c>
      <c r="I3594">
        <v>142.71780000000001</v>
      </c>
      <c r="J3594">
        <v>-335.19639999999998</v>
      </c>
      <c r="K3594">
        <v>1.1108849999999999</v>
      </c>
      <c r="L3594">
        <v>141.2534</v>
      </c>
      <c r="M3594">
        <v>-0.99988940000000004</v>
      </c>
      <c r="N3594">
        <v>0</v>
      </c>
      <c r="O3594">
        <v>4.5661790000000001E-3</v>
      </c>
      <c r="P3594">
        <v>-0.97662139999999997</v>
      </c>
      <c r="Q3594">
        <v>0.20532410000000001</v>
      </c>
      <c r="R3594">
        <v>6.3660930000000004E-2</v>
      </c>
      <c r="S3594">
        <v>-3.097931</v>
      </c>
      <c r="T3594">
        <v>-0.20615049999999999</v>
      </c>
      <c r="U3594">
        <v>0.27218629999999999</v>
      </c>
      <c r="V3594">
        <v>5.8938770000000001E-2</v>
      </c>
      <c r="W3594">
        <v>0.21919569999999999</v>
      </c>
      <c r="X3594">
        <v>0.97389910000000002</v>
      </c>
      <c r="Y3594">
        <v>8.2801799999999995E-2</v>
      </c>
      <c r="Z3594">
        <v>2.4437370000000001E-3</v>
      </c>
      <c r="AA3594">
        <v>0.99656299999999998</v>
      </c>
      <c r="AB3594">
        <v>39</v>
      </c>
      <c r="AC3594">
        <v>-16.113900000000001</v>
      </c>
      <c r="AD3594">
        <v>-1.1108893802619999</v>
      </c>
      <c r="AE3594">
        <v>1.4644000000000099</v>
      </c>
      <c r="AF3594">
        <v>1.3842732632578401</v>
      </c>
      <c r="AG3594">
        <v>-1.1108893802619999</v>
      </c>
      <c r="AH3594">
        <v>16.044787940876098</v>
      </c>
      <c r="AI3594">
        <v>93.946041985481401</v>
      </c>
      <c r="AJ3594">
        <v>85.068984266917596</v>
      </c>
      <c r="AK3594">
        <v>16.1426611111747</v>
      </c>
      <c r="AL3594">
        <v>77.338202949576498</v>
      </c>
      <c r="AM3594">
        <v>86.536777624358805</v>
      </c>
      <c r="AN3594">
        <v>0.99999999524420602</v>
      </c>
    </row>
    <row r="3595" spans="1:40" x14ac:dyDescent="0.25">
      <c r="A3595" t="str">
        <f>"20190312164339595"</f>
        <v>20190312164339595</v>
      </c>
      <c r="B3595" t="str">
        <f>"1552380219588686"</f>
        <v>1552380219588686</v>
      </c>
      <c r="C3595" t="s">
        <v>40</v>
      </c>
      <c r="D3595">
        <v>4.6533389999999999</v>
      </c>
      <c r="E3595">
        <v>0.51514329999999997</v>
      </c>
      <c r="F3595" t="s">
        <v>41</v>
      </c>
      <c r="G3595">
        <v>-336.07420000000002</v>
      </c>
      <c r="H3595">
        <v>1.052691</v>
      </c>
      <c r="I3595">
        <v>141.33019999999999</v>
      </c>
      <c r="J3595">
        <v>-335.58879999999999</v>
      </c>
      <c r="K3595">
        <v>1.1108960000000001</v>
      </c>
      <c r="L3595">
        <v>141.25470000000001</v>
      </c>
      <c r="M3595">
        <v>-0.999892</v>
      </c>
      <c r="N3595">
        <v>0</v>
      </c>
      <c r="O3595">
        <v>4.0191180000000003E-3</v>
      </c>
      <c r="P3595">
        <v>-0.97675199999999995</v>
      </c>
      <c r="Q3595">
        <v>0.20480960000000001</v>
      </c>
      <c r="R3595">
        <v>6.3314709999999996E-2</v>
      </c>
      <c r="S3595">
        <v>-3.0973820000000001</v>
      </c>
      <c r="T3595">
        <v>-0.20538120000000001</v>
      </c>
      <c r="U3595">
        <v>0.270401</v>
      </c>
      <c r="V3595">
        <v>5.9120329999999999E-2</v>
      </c>
      <c r="W3595">
        <v>0.21868290000000001</v>
      </c>
      <c r="X3595">
        <v>0.97400339999999996</v>
      </c>
      <c r="Y3595">
        <v>8.2792450000000004E-2</v>
      </c>
      <c r="Z3595">
        <v>2.4709850000000002E-3</v>
      </c>
      <c r="AA3595">
        <v>0.99656369999999905</v>
      </c>
      <c r="AB3595">
        <v>39</v>
      </c>
      <c r="AC3595">
        <v>-0.48540000000002598</v>
      </c>
      <c r="AD3595">
        <v>-5.8204999999999799E-2</v>
      </c>
      <c r="AE3595">
        <v>7.5499999999976794E-2</v>
      </c>
      <c r="AF3595">
        <v>7.2530058827233401E-2</v>
      </c>
      <c r="AG3595">
        <v>-5.8204999999999799E-2</v>
      </c>
      <c r="AH3595">
        <v>0.478975174278505</v>
      </c>
      <c r="AI3595">
        <v>96.851253272979207</v>
      </c>
      <c r="AJ3595">
        <v>81.389255902785706</v>
      </c>
      <c r="AK3595">
        <v>0.487919715766443</v>
      </c>
      <c r="AL3595">
        <v>77.3683151499894</v>
      </c>
      <c r="AM3595">
        <v>86.526506389283696</v>
      </c>
      <c r="AN3595">
        <v>1.00000002369163</v>
      </c>
    </row>
    <row r="3596" spans="1:40" x14ac:dyDescent="0.25">
      <c r="A3596" t="str">
        <f>"20190312164339616"</f>
        <v>20190312164339616</v>
      </c>
      <c r="B3596" t="str">
        <f>"1552380219608207"</f>
        <v>1552380219608207</v>
      </c>
      <c r="C3596" t="s">
        <v>40</v>
      </c>
      <c r="D3596">
        <v>4.6448109999999998</v>
      </c>
      <c r="E3596">
        <v>0.51516410000000001</v>
      </c>
      <c r="F3596" t="s">
        <v>42</v>
      </c>
      <c r="G3596">
        <v>-352.4008</v>
      </c>
      <c r="H3596" s="1">
        <v>-4.0091999999999997E-6</v>
      </c>
      <c r="I3596">
        <v>142.71799999999999</v>
      </c>
      <c r="J3596">
        <v>-335.9615</v>
      </c>
      <c r="K3596">
        <v>1.1109020000000001</v>
      </c>
      <c r="L3596">
        <v>141.25569999999999</v>
      </c>
      <c r="M3596">
        <v>-0.99989380000000005</v>
      </c>
      <c r="N3596">
        <v>0</v>
      </c>
      <c r="O3596">
        <v>3.4988829999999999E-3</v>
      </c>
      <c r="P3596">
        <v>-0.97691649999999997</v>
      </c>
      <c r="Q3596">
        <v>0.20420340000000001</v>
      </c>
      <c r="R3596">
        <v>6.2731690000000007E-2</v>
      </c>
      <c r="S3596">
        <v>-3.096832</v>
      </c>
      <c r="T3596">
        <v>-0.2046316</v>
      </c>
      <c r="U3596">
        <v>0.26956180000000002</v>
      </c>
      <c r="V3596">
        <v>5.9041089999999997E-2</v>
      </c>
      <c r="W3596">
        <v>0.21807750000000001</v>
      </c>
      <c r="X3596">
        <v>0.97414389999999995</v>
      </c>
      <c r="Y3596">
        <v>8.3057710000000007E-2</v>
      </c>
      <c r="Z3596">
        <v>2.5054610000000001E-3</v>
      </c>
      <c r="AA3596">
        <v>0.99654160000000003</v>
      </c>
      <c r="AB3596">
        <v>39</v>
      </c>
      <c r="AC3596">
        <v>-16.439299999999999</v>
      </c>
      <c r="AD3596">
        <v>-1.1109060092</v>
      </c>
      <c r="AE3596">
        <v>1.4622999999999899</v>
      </c>
      <c r="AF3596">
        <v>1.3984302364424499</v>
      </c>
      <c r="AG3596">
        <v>-1.1109060092</v>
      </c>
      <c r="AH3596">
        <v>16.3701480672241</v>
      </c>
      <c r="AI3596">
        <v>93.868191082675196</v>
      </c>
      <c r="AJ3596">
        <v>85.117325994683199</v>
      </c>
      <c r="AK3596">
        <v>16.467284749779299</v>
      </c>
      <c r="AL3596">
        <v>77.403859527554701</v>
      </c>
      <c r="AM3596">
        <v>86.531649685023197</v>
      </c>
      <c r="AN3596">
        <v>0.99999999211092305</v>
      </c>
    </row>
    <row r="3597" spans="1:40" x14ac:dyDescent="0.25">
      <c r="A3597" t="str">
        <f>"20190312164339639"</f>
        <v>20190312164339639</v>
      </c>
      <c r="B3597" t="str">
        <f>"1552380219628702"</f>
        <v>1552380219628702</v>
      </c>
      <c r="C3597" t="s">
        <v>40</v>
      </c>
      <c r="D3597">
        <v>4.6540889999999999</v>
      </c>
      <c r="E3597">
        <v>0.51526930000000004</v>
      </c>
      <c r="F3597" t="s">
        <v>42</v>
      </c>
      <c r="G3597">
        <v>-352.78190000000001</v>
      </c>
      <c r="H3597" s="1">
        <v>-3.878736E-6</v>
      </c>
      <c r="I3597">
        <v>142.71360000000001</v>
      </c>
      <c r="J3597">
        <v>-336.33859999999999</v>
      </c>
      <c r="K3597">
        <v>1.1109039999999999</v>
      </c>
      <c r="L3597">
        <v>141.25649999999999</v>
      </c>
      <c r="M3597">
        <v>-0.9998956</v>
      </c>
      <c r="N3597">
        <v>0</v>
      </c>
      <c r="O3597">
        <v>2.9726679999999999E-3</v>
      </c>
      <c r="P3597">
        <v>-0.97707040000000001</v>
      </c>
      <c r="Q3597">
        <v>0.20361360000000001</v>
      </c>
      <c r="R3597">
        <v>6.224959E-2</v>
      </c>
      <c r="S3597">
        <v>-3.0964360000000002</v>
      </c>
      <c r="T3597">
        <v>-0.2045051</v>
      </c>
      <c r="U3597">
        <v>0.26838679999999998</v>
      </c>
      <c r="V3597">
        <v>5.906985E-2</v>
      </c>
      <c r="W3597">
        <v>0.2174884</v>
      </c>
      <c r="X3597">
        <v>0.97427390000000003</v>
      </c>
      <c r="Y3597">
        <v>8.321655E-2</v>
      </c>
      <c r="Z3597">
        <v>2.5441579999999999E-3</v>
      </c>
      <c r="AA3597">
        <v>0.99652830000000003</v>
      </c>
      <c r="AB3597">
        <v>39</v>
      </c>
      <c r="AC3597">
        <v>-16.443300000000001</v>
      </c>
      <c r="AD3597">
        <v>-1.1109078787360001</v>
      </c>
      <c r="AE3597">
        <v>1.45710000000002</v>
      </c>
      <c r="AF3597">
        <v>1.40185948830739</v>
      </c>
      <c r="AG3597">
        <v>-1.1109078787360001</v>
      </c>
      <c r="AH3597">
        <v>16.373407681122799</v>
      </c>
      <c r="AI3597">
        <v>93.867366836994904</v>
      </c>
      <c r="AJ3597">
        <v>85.106380405229004</v>
      </c>
      <c r="AK3597">
        <v>16.470816780968899</v>
      </c>
      <c r="AL3597">
        <v>77.438443194791901</v>
      </c>
      <c r="AM3597">
        <v>86.530426200218102</v>
      </c>
      <c r="AN3597">
        <v>1.00000004176739</v>
      </c>
    </row>
    <row r="3598" spans="1:40" x14ac:dyDescent="0.25">
      <c r="A3598" t="str">
        <f>"20190312164339663"</f>
        <v>20190312164339663</v>
      </c>
      <c r="B3598" t="str">
        <f>"1552380219658959"</f>
        <v>1552380219658959</v>
      </c>
      <c r="C3598" t="s">
        <v>40</v>
      </c>
      <c r="D3598">
        <v>4.5726050000000003</v>
      </c>
      <c r="E3598">
        <v>0.51535629999999999</v>
      </c>
      <c r="F3598" t="s">
        <v>42</v>
      </c>
      <c r="G3598">
        <v>-353.08609999999999</v>
      </c>
      <c r="H3598" s="1">
        <v>-3.7707659999999999E-6</v>
      </c>
      <c r="I3598">
        <v>142.7072</v>
      </c>
      <c r="J3598">
        <v>-336.74439999999998</v>
      </c>
      <c r="K3598">
        <v>1.1109070000000001</v>
      </c>
      <c r="L3598">
        <v>141.25720000000001</v>
      </c>
      <c r="M3598">
        <v>-0.99989729999999999</v>
      </c>
      <c r="N3598">
        <v>0</v>
      </c>
      <c r="O3598">
        <v>2.4072619999999999E-3</v>
      </c>
      <c r="P3598">
        <v>-0.97733440000000005</v>
      </c>
      <c r="Q3598">
        <v>0.20253479999999999</v>
      </c>
      <c r="R3598">
        <v>6.16231E-2</v>
      </c>
      <c r="S3598">
        <v>-3.096069</v>
      </c>
      <c r="T3598">
        <v>-0.205371</v>
      </c>
      <c r="U3598">
        <v>0.26820369999999999</v>
      </c>
      <c r="V3598">
        <v>5.8993740000000003E-2</v>
      </c>
      <c r="W3598">
        <v>0.2164113</v>
      </c>
      <c r="X3598">
        <v>0.97451829999999995</v>
      </c>
      <c r="Y3598">
        <v>8.3727819999999994E-2</v>
      </c>
      <c r="Z3598">
        <v>2.6095160000000001E-3</v>
      </c>
      <c r="AA3598">
        <v>0.99648519999999896</v>
      </c>
      <c r="AB3598">
        <v>39</v>
      </c>
      <c r="AC3598">
        <v>-16.341699999999999</v>
      </c>
      <c r="AD3598">
        <v>-1.110910770766</v>
      </c>
      <c r="AE3598">
        <v>1.44999999999998</v>
      </c>
      <c r="AF3598">
        <v>1.4042145167440501</v>
      </c>
      <c r="AG3598">
        <v>-1.110910770766</v>
      </c>
      <c r="AH3598">
        <v>16.2705398772341</v>
      </c>
      <c r="AI3598">
        <v>93.891525705771699</v>
      </c>
      <c r="AJ3598">
        <v>85.067361079566695</v>
      </c>
      <c r="AK3598">
        <v>16.368763210649199</v>
      </c>
      <c r="AL3598">
        <v>77.501661836903693</v>
      </c>
      <c r="AM3598">
        <v>86.535752659557701</v>
      </c>
      <c r="AN3598">
        <v>1.0000000145808801</v>
      </c>
    </row>
    <row r="3599" spans="1:40" x14ac:dyDescent="0.25">
      <c r="A3599" t="str">
        <f>"20190312164339697"</f>
        <v>20190312164339697</v>
      </c>
      <c r="B3599" t="str">
        <f>"1552380219688238"</f>
        <v>1552380219688238</v>
      </c>
      <c r="C3599" t="s">
        <v>40</v>
      </c>
      <c r="D3599">
        <v>4.6172690000000003</v>
      </c>
      <c r="E3599">
        <v>0.51534380000000002</v>
      </c>
      <c r="F3599" t="s">
        <v>41</v>
      </c>
      <c r="G3599">
        <v>-337.78539999999998</v>
      </c>
      <c r="H3599">
        <v>1.0418210000000001</v>
      </c>
      <c r="I3599">
        <v>141.34729999999999</v>
      </c>
      <c r="J3599">
        <v>-337.33120000000002</v>
      </c>
      <c r="K3599">
        <v>1.11091299999999</v>
      </c>
      <c r="L3599">
        <v>141.2577</v>
      </c>
      <c r="M3599">
        <v>-0.99989879999999998</v>
      </c>
      <c r="N3599">
        <v>0</v>
      </c>
      <c r="O3599">
        <v>1.59077E-3</v>
      </c>
      <c r="P3599">
        <v>-0.97772130000000002</v>
      </c>
      <c r="Q3599">
        <v>0.2008924</v>
      </c>
      <c r="R3599">
        <v>6.0855149999999997E-2</v>
      </c>
      <c r="S3599">
        <v>-3.0953059999999999</v>
      </c>
      <c r="T3599">
        <v>-0.2054571</v>
      </c>
      <c r="U3599">
        <v>0.26725769999999999</v>
      </c>
      <c r="V3599">
        <v>5.9022949999999998E-2</v>
      </c>
      <c r="W3599">
        <v>0.2147713</v>
      </c>
      <c r="X3599">
        <v>0.9748793</v>
      </c>
      <c r="Y3599">
        <v>8.425713E-2</v>
      </c>
      <c r="Z3599">
        <v>2.6828360000000001E-3</v>
      </c>
      <c r="AA3599">
        <v>0.9964404</v>
      </c>
      <c r="AB3599">
        <v>38</v>
      </c>
      <c r="AC3599">
        <v>-0.45419999999995703</v>
      </c>
      <c r="AD3599">
        <v>-6.9091999999999903E-2</v>
      </c>
      <c r="AE3599">
        <v>8.9599999999990104E-2</v>
      </c>
      <c r="AF3599">
        <v>8.6940842756558903E-2</v>
      </c>
      <c r="AG3599">
        <v>-6.9091999999999903E-2</v>
      </c>
      <c r="AH3599">
        <v>0.44444284323599997</v>
      </c>
      <c r="AI3599">
        <v>98.674491475933493</v>
      </c>
      <c r="AJ3599">
        <v>78.931705286774402</v>
      </c>
      <c r="AK3599">
        <v>0.458106816699905</v>
      </c>
      <c r="AL3599">
        <v>77.597890108807405</v>
      </c>
      <c r="AM3599">
        <v>86.535321887157096</v>
      </c>
      <c r="AN3599">
        <v>1.00000003474944</v>
      </c>
    </row>
    <row r="3600" spans="1:40" x14ac:dyDescent="0.25">
      <c r="A3600" t="str">
        <f>"20190312164339717"</f>
        <v>20190312164339717</v>
      </c>
      <c r="B3600" t="str">
        <f>"1552380219708734"</f>
        <v>1552380219708734</v>
      </c>
      <c r="C3600" t="s">
        <v>40</v>
      </c>
      <c r="D3600">
        <v>4.5670440000000001</v>
      </c>
      <c r="E3600">
        <v>0.51530529999999997</v>
      </c>
      <c r="F3600" t="s">
        <v>42</v>
      </c>
      <c r="G3600">
        <v>-353.90269999999998</v>
      </c>
      <c r="H3600" s="1">
        <v>-3.4121089999999999E-6</v>
      </c>
      <c r="I3600">
        <v>142.67590000000001</v>
      </c>
      <c r="J3600">
        <v>-337.68599999999998</v>
      </c>
      <c r="K3600">
        <v>1.11091299999999</v>
      </c>
      <c r="L3600">
        <v>141.2578</v>
      </c>
      <c r="M3600">
        <v>-0.9998996</v>
      </c>
      <c r="N3600">
        <v>0</v>
      </c>
      <c r="O3600">
        <v>1.0973059999999999E-3</v>
      </c>
      <c r="P3600">
        <v>-0.97794519999999996</v>
      </c>
      <c r="Q3600">
        <v>0.2001568</v>
      </c>
      <c r="R3600">
        <v>5.9671290000000002E-2</v>
      </c>
      <c r="S3600">
        <v>-3.0944820000000002</v>
      </c>
      <c r="T3600">
        <v>-0.20744789999999999</v>
      </c>
      <c r="U3600">
        <v>0.2648315</v>
      </c>
      <c r="V3600">
        <v>5.832114E-2</v>
      </c>
      <c r="W3600">
        <v>0.21403549999999999</v>
      </c>
      <c r="X3600">
        <v>0.97508329999999999</v>
      </c>
      <c r="Y3600">
        <v>8.3991990000000002E-2</v>
      </c>
      <c r="Z3600">
        <v>2.7337059999999998E-3</v>
      </c>
      <c r="AA3600">
        <v>0.99646270000000003</v>
      </c>
      <c r="AB3600">
        <v>38</v>
      </c>
      <c r="AC3600">
        <v>-16.216699999999999</v>
      </c>
      <c r="AD3600">
        <v>-1.1109164121089901</v>
      </c>
      <c r="AE3600">
        <v>1.4180999999999999</v>
      </c>
      <c r="AF3600">
        <v>1.39381136208182</v>
      </c>
      <c r="AG3600">
        <v>-1.1109164121089901</v>
      </c>
      <c r="AH3600">
        <v>16.143064219893901</v>
      </c>
      <c r="AI3600">
        <v>93.922167505558804</v>
      </c>
      <c r="AJ3600">
        <v>85.065252498303593</v>
      </c>
      <c r="AK3600">
        <v>16.241162759956001</v>
      </c>
      <c r="AL3600">
        <v>77.641051582842707</v>
      </c>
      <c r="AM3600">
        <v>86.577134480135001</v>
      </c>
      <c r="AN3600">
        <v>0.99999999628501901</v>
      </c>
    </row>
    <row r="3601" spans="1:40" x14ac:dyDescent="0.25">
      <c r="A3601" t="str">
        <f>"20190312164339739"</f>
        <v>20190312164339739</v>
      </c>
      <c r="B3601" t="str">
        <f>"1552380219728255"</f>
        <v>1552380219728255</v>
      </c>
      <c r="C3601" t="s">
        <v>40</v>
      </c>
      <c r="D3601">
        <v>4.5525330000000004</v>
      </c>
      <c r="E3601">
        <v>0.51534150000000001</v>
      </c>
      <c r="F3601" t="s">
        <v>42</v>
      </c>
      <c r="G3601">
        <v>-354.15800000000002</v>
      </c>
      <c r="H3601" s="1">
        <v>-3.296549E-6</v>
      </c>
      <c r="I3601">
        <v>142.6532</v>
      </c>
      <c r="J3601">
        <v>-338.0591</v>
      </c>
      <c r="K3601">
        <v>1.1109180000000001</v>
      </c>
      <c r="L3601">
        <v>141.2577</v>
      </c>
      <c r="M3601">
        <v>-0.99989989999999995</v>
      </c>
      <c r="N3601">
        <v>0</v>
      </c>
      <c r="O3601">
        <v>5.7882029999999996E-4</v>
      </c>
      <c r="P3601">
        <v>-0.97794309999999995</v>
      </c>
      <c r="Q3601">
        <v>0.20049929999999999</v>
      </c>
      <c r="R3601">
        <v>5.854438E-2</v>
      </c>
      <c r="S3601">
        <v>-3.0943299999999998</v>
      </c>
      <c r="T3601">
        <v>-0.20869019999999999</v>
      </c>
      <c r="U3601">
        <v>0.26213069999999999</v>
      </c>
      <c r="V3601">
        <v>5.7700250000000002E-2</v>
      </c>
      <c r="W3601">
        <v>0.21437500000000001</v>
      </c>
      <c r="X3601">
        <v>0.97504570000000002</v>
      </c>
      <c r="Y3601">
        <v>8.3646719999999994E-2</v>
      </c>
      <c r="Z3601">
        <v>2.7735360000000001E-3</v>
      </c>
      <c r="AA3601">
        <v>0.99649160000000003</v>
      </c>
      <c r="AB3601">
        <v>38</v>
      </c>
      <c r="AC3601">
        <v>-16.0989</v>
      </c>
      <c r="AD3601">
        <v>-1.1109212965490001</v>
      </c>
      <c r="AE3601">
        <v>1.39549999999999</v>
      </c>
      <c r="AF3601">
        <v>1.3796597513367601</v>
      </c>
      <c r="AG3601">
        <v>-1.1109212965490001</v>
      </c>
      <c r="AH3601">
        <v>16.023970714482701</v>
      </c>
      <c r="AI3601">
        <v>93.951324589721906</v>
      </c>
      <c r="AJ3601">
        <v>85.078984296982497</v>
      </c>
      <c r="AK3601">
        <v>16.121576989090801</v>
      </c>
      <c r="AL3601">
        <v>77.621137959740906</v>
      </c>
      <c r="AM3601">
        <v>86.613358939401294</v>
      </c>
      <c r="AN3601">
        <v>1.00000003828177</v>
      </c>
    </row>
    <row r="3602" spans="1:40" x14ac:dyDescent="0.25">
      <c r="A3602" t="str">
        <f>"20190312164339763"</f>
        <v>20190312164339763</v>
      </c>
      <c r="B3602" t="str">
        <f>"1552380219758511"</f>
        <v>1552380219758511</v>
      </c>
      <c r="C3602" t="s">
        <v>40</v>
      </c>
      <c r="D3602">
        <v>4.5057539999999996</v>
      </c>
      <c r="E3602">
        <v>0.51546910000000001</v>
      </c>
      <c r="F3602" t="s">
        <v>42</v>
      </c>
      <c r="G3602">
        <v>-354.6628</v>
      </c>
      <c r="H3602" s="1">
        <v>-3.0790099999999999E-6</v>
      </c>
      <c r="I3602">
        <v>142.64940000000001</v>
      </c>
      <c r="J3602">
        <v>-338.4511</v>
      </c>
      <c r="K3602">
        <v>1.1109199999999999</v>
      </c>
      <c r="L3602">
        <v>141.25739999999999</v>
      </c>
      <c r="M3602">
        <v>-0.99990020000000002</v>
      </c>
      <c r="N3602">
        <v>0</v>
      </c>
      <c r="O3602" s="1">
        <v>3.3233269999999997E-5</v>
      </c>
      <c r="P3602">
        <v>-0.97801110000000002</v>
      </c>
      <c r="Q3602">
        <v>0.2004165</v>
      </c>
      <c r="R3602">
        <v>5.768699E-2</v>
      </c>
      <c r="S3602">
        <v>-3.0945740000000002</v>
      </c>
      <c r="T3602">
        <v>-0.20705219999999999</v>
      </c>
      <c r="U3602">
        <v>0.2593994</v>
      </c>
      <c r="V3602">
        <v>5.737631E-2</v>
      </c>
      <c r="W3602">
        <v>0.2142898</v>
      </c>
      <c r="X3602">
        <v>0.97508349999999999</v>
      </c>
      <c r="Y3602">
        <v>8.331297E-2</v>
      </c>
      <c r="Z3602">
        <v>2.7769719999999999E-3</v>
      </c>
      <c r="AA3602">
        <v>0.99651959999999995</v>
      </c>
      <c r="AB3602">
        <v>38</v>
      </c>
      <c r="AC3602">
        <v>-16.2117</v>
      </c>
      <c r="AD3602">
        <v>-1.11092307901</v>
      </c>
      <c r="AE3602">
        <v>1.3920000000000201</v>
      </c>
      <c r="AF3602">
        <v>1.3850050504385001</v>
      </c>
      <c r="AG3602">
        <v>-1.11092307901</v>
      </c>
      <c r="AH3602">
        <v>16.1365266973282</v>
      </c>
      <c r="AI3602">
        <v>93.923945760656494</v>
      </c>
      <c r="AJ3602">
        <v>85.094301479158005</v>
      </c>
      <c r="AK3602">
        <v>16.233911510501802</v>
      </c>
      <c r="AL3602">
        <v>77.626135167786103</v>
      </c>
      <c r="AM3602">
        <v>86.632458543169705</v>
      </c>
      <c r="AN3602">
        <v>0.99999999565275299</v>
      </c>
    </row>
    <row r="3603" spans="1:40" x14ac:dyDescent="0.25">
      <c r="A3603" t="str">
        <f>"20190312164339785"</f>
        <v>20190312164339785</v>
      </c>
      <c r="B3603" t="str">
        <f>"1552380219778030"</f>
        <v>1552380219778030</v>
      </c>
      <c r="C3603" t="s">
        <v>40</v>
      </c>
      <c r="D3603">
        <v>4.5252410000000003</v>
      </c>
      <c r="E3603">
        <v>0.51567129999999906</v>
      </c>
      <c r="F3603" t="s">
        <v>41</v>
      </c>
      <c r="G3603">
        <v>-339.49869999999999</v>
      </c>
      <c r="H3603">
        <v>1.0414019999999999</v>
      </c>
      <c r="I3603">
        <v>141.34440000000001</v>
      </c>
      <c r="J3603">
        <v>-338.84059999999999</v>
      </c>
      <c r="K3603">
        <v>1.1109230000000001</v>
      </c>
      <c r="L3603">
        <v>141.2569</v>
      </c>
      <c r="M3603">
        <v>-0.99990020000000002</v>
      </c>
      <c r="N3603">
        <v>0</v>
      </c>
      <c r="O3603">
        <v>-5.0877059999999996E-4</v>
      </c>
      <c r="P3603">
        <v>-0.97819310000000004</v>
      </c>
      <c r="Q3603">
        <v>0.19984250000000001</v>
      </c>
      <c r="R3603">
        <v>5.658204E-2</v>
      </c>
      <c r="S3603">
        <v>-3.0943909999999999</v>
      </c>
      <c r="T3603">
        <v>-0.20538190000000001</v>
      </c>
      <c r="U3603">
        <v>0.2563782</v>
      </c>
      <c r="V3603">
        <v>5.6802150000000003E-2</v>
      </c>
      <c r="W3603">
        <v>0.21371499999999999</v>
      </c>
      <c r="X3603">
        <v>0.97524330000000004</v>
      </c>
      <c r="Y3603">
        <v>8.2894469999999998E-2</v>
      </c>
      <c r="Z3603">
        <v>2.7769190000000001E-3</v>
      </c>
      <c r="AA3603">
        <v>0.99655439999999995</v>
      </c>
      <c r="AB3603">
        <v>38</v>
      </c>
      <c r="AC3603">
        <v>-0.65809999999999003</v>
      </c>
      <c r="AD3603">
        <v>-6.9520999999999902E-2</v>
      </c>
      <c r="AE3603">
        <v>8.7500000000005601E-2</v>
      </c>
      <c r="AF3603">
        <v>8.6882117439335604E-2</v>
      </c>
      <c r="AG3603">
        <v>-6.9520999999999902E-2</v>
      </c>
      <c r="AH3603">
        <v>0.65091760104026097</v>
      </c>
      <c r="AI3603">
        <v>96.043149943167805</v>
      </c>
      <c r="AJ3603">
        <v>82.3973046326428</v>
      </c>
      <c r="AK3603">
        <v>0.66036004960608496</v>
      </c>
      <c r="AL3603">
        <v>77.659850399726906</v>
      </c>
      <c r="AM3603">
        <v>86.666625908567596</v>
      </c>
      <c r="AN3603">
        <v>1.0000000398322499</v>
      </c>
    </row>
    <row r="3604" spans="1:40" x14ac:dyDescent="0.25">
      <c r="A3604" t="str">
        <f>"20190312164339806"</f>
        <v>20190312164339806</v>
      </c>
      <c r="B3604" t="str">
        <f>"1552380219798526"</f>
        <v>1552380219798526</v>
      </c>
      <c r="C3604" t="s">
        <v>40</v>
      </c>
      <c r="D3604">
        <v>4.5188560000000004</v>
      </c>
      <c r="E3604">
        <v>0.51557200000000003</v>
      </c>
      <c r="F3604" t="s">
        <v>41</v>
      </c>
      <c r="G3604">
        <v>-339.84219999999999</v>
      </c>
      <c r="H3604">
        <v>1.0439639999999999</v>
      </c>
      <c r="I3604">
        <v>141.3398</v>
      </c>
      <c r="J3604">
        <v>-339.20600000000002</v>
      </c>
      <c r="K3604">
        <v>1.110919</v>
      </c>
      <c r="L3604">
        <v>141.25620000000001</v>
      </c>
      <c r="M3604">
        <v>-0.99989969999999995</v>
      </c>
      <c r="N3604">
        <v>0</v>
      </c>
      <c r="O3604">
        <v>-1.017394E-3</v>
      </c>
      <c r="P3604">
        <v>-0.97836239999999997</v>
      </c>
      <c r="Q3604">
        <v>0.1992718</v>
      </c>
      <c r="R3604">
        <v>5.5658300000000001E-2</v>
      </c>
      <c r="S3604">
        <v>-3.0943909999999999</v>
      </c>
      <c r="T3604">
        <v>-0.2069761</v>
      </c>
      <c r="U3604">
        <v>0.25489810000000002</v>
      </c>
      <c r="V3604">
        <v>5.6376919999999997E-2</v>
      </c>
      <c r="W3604">
        <v>0.21314379999999999</v>
      </c>
      <c r="X3604">
        <v>0.97539290000000001</v>
      </c>
      <c r="Y3604">
        <v>8.2923899999999995E-2</v>
      </c>
      <c r="Z3604">
        <v>2.8333910000000002E-3</v>
      </c>
      <c r="AA3604">
        <v>0.99655190000000005</v>
      </c>
      <c r="AB3604">
        <v>38</v>
      </c>
      <c r="AC3604">
        <v>-0.63620000000002996</v>
      </c>
      <c r="AD3604">
        <v>-6.6955000000000098E-2</v>
      </c>
      <c r="AE3604">
        <v>8.3599999999989905E-2</v>
      </c>
      <c r="AF3604">
        <v>8.3339892059446197E-2</v>
      </c>
      <c r="AG3604">
        <v>-6.6955000000000098E-2</v>
      </c>
      <c r="AH3604">
        <v>0.62926326082315598</v>
      </c>
      <c r="AI3604">
        <v>96.021357964595396</v>
      </c>
      <c r="AJ3604">
        <v>82.455628902565394</v>
      </c>
      <c r="AK3604">
        <v>0.63827953206668897</v>
      </c>
      <c r="AL3604">
        <v>77.693348785155393</v>
      </c>
      <c r="AM3604">
        <v>86.692030746924203</v>
      </c>
      <c r="AN3604">
        <v>0.99999997297876797</v>
      </c>
    </row>
    <row r="3605" spans="1:40" x14ac:dyDescent="0.25">
      <c r="A3605" t="str">
        <f>"20190312164339829"</f>
        <v>20190312164339829</v>
      </c>
      <c r="B3605" t="str">
        <f>"1552380219818047"</f>
        <v>1552380219818047</v>
      </c>
      <c r="C3605" t="s">
        <v>40</v>
      </c>
      <c r="D3605">
        <v>4.4935499999999999</v>
      </c>
      <c r="E3605">
        <v>0.51543260000000002</v>
      </c>
      <c r="F3605" t="s">
        <v>41</v>
      </c>
      <c r="G3605">
        <v>-340.18470000000002</v>
      </c>
      <c r="H3605">
        <v>1.045015</v>
      </c>
      <c r="I3605">
        <v>141.3355</v>
      </c>
      <c r="J3605">
        <v>-339.59949999999998</v>
      </c>
      <c r="K3605">
        <v>1.1109169999999999</v>
      </c>
      <c r="L3605">
        <v>141.2552</v>
      </c>
      <c r="M3605">
        <v>-0.99989910000000004</v>
      </c>
      <c r="N3605">
        <v>0</v>
      </c>
      <c r="O3605">
        <v>-1.5657069999999999E-3</v>
      </c>
      <c r="P3605">
        <v>-0.97853760000000001</v>
      </c>
      <c r="Q3605">
        <v>0.19855020000000001</v>
      </c>
      <c r="R3605">
        <v>5.5152989999999999E-2</v>
      </c>
      <c r="S3605">
        <v>-3.0944820000000002</v>
      </c>
      <c r="T3605">
        <v>-0.20834849999999999</v>
      </c>
      <c r="U3605">
        <v>0.25093080000000001</v>
      </c>
      <c r="V3605">
        <v>5.6409239999999999E-2</v>
      </c>
      <c r="W3605">
        <v>0.2124221</v>
      </c>
      <c r="X3605">
        <v>0.97554850000000004</v>
      </c>
      <c r="Y3605">
        <v>8.2196699999999998E-2</v>
      </c>
      <c r="Z3605">
        <v>2.8646079999999998E-3</v>
      </c>
      <c r="AA3605">
        <v>0.99661200000000005</v>
      </c>
      <c r="AB3605">
        <v>38</v>
      </c>
      <c r="AC3605">
        <v>-0.58520000000004302</v>
      </c>
      <c r="AD3605">
        <v>-6.5901999999999905E-2</v>
      </c>
      <c r="AE3605">
        <v>8.0299999999994001E-2</v>
      </c>
      <c r="AF3605">
        <v>8.0217722546634895E-2</v>
      </c>
      <c r="AG3605">
        <v>-6.5901999999999905E-2</v>
      </c>
      <c r="AH3605">
        <v>0.57788029252296502</v>
      </c>
      <c r="AI3605">
        <v>96.444687942167903</v>
      </c>
      <c r="AJ3605">
        <v>82.097061775841198</v>
      </c>
      <c r="AK3605">
        <v>0.58713166249232096</v>
      </c>
      <c r="AL3605">
        <v>77.735668792963807</v>
      </c>
      <c r="AM3605">
        <v>86.690665304810807</v>
      </c>
      <c r="AN3605">
        <v>1.0000000133890099</v>
      </c>
    </row>
    <row r="3606" spans="1:40" x14ac:dyDescent="0.25">
      <c r="A3606" t="str">
        <f>"20190312164339852"</f>
        <v>20190312164339852</v>
      </c>
      <c r="B3606" t="str">
        <f>"1552380219848303"</f>
        <v>1552380219848303</v>
      </c>
      <c r="C3606" t="s">
        <v>40</v>
      </c>
      <c r="D3606">
        <v>4.5051360000000003</v>
      </c>
      <c r="E3606">
        <v>0.51539939999999995</v>
      </c>
      <c r="F3606" t="s">
        <v>41</v>
      </c>
      <c r="G3606">
        <v>-340.52850000000001</v>
      </c>
      <c r="H3606">
        <v>1.047847</v>
      </c>
      <c r="I3606">
        <v>141.33009999999999</v>
      </c>
      <c r="J3606">
        <v>-339.97120000000001</v>
      </c>
      <c r="K3606">
        <v>1.1109169999999999</v>
      </c>
      <c r="L3606">
        <v>141.2542</v>
      </c>
      <c r="M3606">
        <v>-0.99989819999999996</v>
      </c>
      <c r="N3606">
        <v>0</v>
      </c>
      <c r="O3606">
        <v>-2.0833869999999999E-3</v>
      </c>
      <c r="P3606">
        <v>-0.97863489999999997</v>
      </c>
      <c r="Q3606">
        <v>0.19842480000000001</v>
      </c>
      <c r="R3606">
        <v>5.3867499999999999E-2</v>
      </c>
      <c r="S3606">
        <v>-3.094452</v>
      </c>
      <c r="T3606">
        <v>-0.210175</v>
      </c>
      <c r="U3606">
        <v>0.2480774</v>
      </c>
      <c r="V3606">
        <v>5.5631119999999999E-2</v>
      </c>
      <c r="W3606">
        <v>0.21229490000000001</v>
      </c>
      <c r="X3606">
        <v>0.97562090000000001</v>
      </c>
      <c r="Y3606">
        <v>8.1796800000000003E-2</v>
      </c>
      <c r="Z3606">
        <v>2.9113260000000001E-3</v>
      </c>
      <c r="AA3606">
        <v>0.9966448</v>
      </c>
      <c r="AB3606">
        <v>38</v>
      </c>
      <c r="AC3606">
        <v>-0.55729999999999702</v>
      </c>
      <c r="AD3606">
        <v>-6.3069999999999904E-2</v>
      </c>
      <c r="AE3606">
        <v>7.5899999999990003E-2</v>
      </c>
      <c r="AF3606">
        <v>7.6104062555732599E-2</v>
      </c>
      <c r="AG3606">
        <v>-6.3069999999999904E-2</v>
      </c>
      <c r="AH3606">
        <v>0.55022195596697598</v>
      </c>
      <c r="AI3606">
        <v>96.477933331036198</v>
      </c>
      <c r="AJ3606">
        <v>82.125087428067999</v>
      </c>
      <c r="AK3606">
        <v>0.55902938569060201</v>
      </c>
      <c r="AL3606">
        <v>77.743127294605998</v>
      </c>
      <c r="AM3606">
        <v>86.736457213611203</v>
      </c>
      <c r="AN3606">
        <v>1.0000000432976299</v>
      </c>
    </row>
    <row r="3607" spans="1:40" x14ac:dyDescent="0.25">
      <c r="A3607" t="str">
        <f>"20190312164339875"</f>
        <v>20190312164339875</v>
      </c>
      <c r="B3607" t="str">
        <f>"1552380219868798"</f>
        <v>1552380219868798</v>
      </c>
      <c r="C3607" t="s">
        <v>40</v>
      </c>
      <c r="D3607">
        <v>4.5101630000000004</v>
      </c>
      <c r="E3607">
        <v>0.51546700000000001</v>
      </c>
      <c r="F3607" t="s">
        <v>41</v>
      </c>
      <c r="G3607">
        <v>-340.8716</v>
      </c>
      <c r="H3607">
        <v>1.0501320000000001</v>
      </c>
      <c r="I3607">
        <v>141.32560000000001</v>
      </c>
      <c r="J3607">
        <v>-340.37029999999999</v>
      </c>
      <c r="K3607">
        <v>1.1109100000000001</v>
      </c>
      <c r="L3607">
        <v>141.25280000000001</v>
      </c>
      <c r="M3607">
        <v>-0.99989700000000004</v>
      </c>
      <c r="N3607">
        <v>0</v>
      </c>
      <c r="O3607">
        <v>-2.6398010000000002E-3</v>
      </c>
      <c r="P3607">
        <v>-0.97875060000000003</v>
      </c>
      <c r="Q3607">
        <v>0.19810330000000001</v>
      </c>
      <c r="R3607">
        <v>5.29414E-2</v>
      </c>
      <c r="S3607">
        <v>-3.0943909999999999</v>
      </c>
      <c r="T3607">
        <v>-0.20897199999999999</v>
      </c>
      <c r="U3607">
        <v>0.2445831</v>
      </c>
      <c r="V3607">
        <v>5.5250460000000001E-2</v>
      </c>
      <c r="W3607">
        <v>0.21197150000000001</v>
      </c>
      <c r="X3607">
        <v>0.97571280000000005</v>
      </c>
      <c r="Y3607">
        <v>8.1236760000000005E-2</v>
      </c>
      <c r="Z3607">
        <v>2.9135049999999998E-3</v>
      </c>
      <c r="AA3607">
        <v>0.99669059999999998</v>
      </c>
      <c r="AB3607">
        <v>38</v>
      </c>
      <c r="AC3607">
        <v>-0.50130000000001396</v>
      </c>
      <c r="AD3607">
        <v>-6.0777999999999999E-2</v>
      </c>
      <c r="AE3607">
        <v>7.2800000000000795E-2</v>
      </c>
      <c r="AF3607">
        <v>7.3071295895417707E-2</v>
      </c>
      <c r="AG3607">
        <v>-6.0777999999999999E-2</v>
      </c>
      <c r="AH3607">
        <v>0.49399464485393302</v>
      </c>
      <c r="AI3607">
        <v>96.939306029816294</v>
      </c>
      <c r="AJ3607">
        <v>81.585867077233104</v>
      </c>
      <c r="AK3607">
        <v>0.50305475717082704</v>
      </c>
      <c r="AL3607">
        <v>77.762087737601306</v>
      </c>
      <c r="AM3607">
        <v>86.759045102815705</v>
      </c>
      <c r="AN3607">
        <v>0.99999999911314996</v>
      </c>
    </row>
    <row r="3608" spans="1:40" x14ac:dyDescent="0.25">
      <c r="A3608" t="str">
        <f>"20190312164339899"</f>
        <v>20190312164339899</v>
      </c>
      <c r="B3608" t="str">
        <f>"1552380219888318"</f>
        <v>1552380219888318</v>
      </c>
      <c r="C3608" t="s">
        <v>40</v>
      </c>
      <c r="D3608">
        <v>4.6072499999999996</v>
      </c>
      <c r="E3608">
        <v>0.51553609999999905</v>
      </c>
      <c r="F3608" t="s">
        <v>41</v>
      </c>
      <c r="G3608">
        <v>-341.2201</v>
      </c>
      <c r="H3608">
        <v>1.053445</v>
      </c>
      <c r="I3608">
        <v>141.32</v>
      </c>
      <c r="J3608">
        <v>-340.76670000000001</v>
      </c>
      <c r="K3608">
        <v>1.11091299999999</v>
      </c>
      <c r="L3608">
        <v>141.25120000000001</v>
      </c>
      <c r="M3608">
        <v>-0.99989530000000004</v>
      </c>
      <c r="N3608">
        <v>0</v>
      </c>
      <c r="O3608">
        <v>-3.1922830000000002E-3</v>
      </c>
      <c r="P3608">
        <v>-0.97891159999999999</v>
      </c>
      <c r="Q3608">
        <v>0.1975855</v>
      </c>
      <c r="R3608">
        <v>5.1886160000000001E-2</v>
      </c>
      <c r="S3608">
        <v>-3.0943909999999999</v>
      </c>
      <c r="T3608">
        <v>-0.2094346</v>
      </c>
      <c r="U3608">
        <v>0.24279790000000001</v>
      </c>
      <c r="V3608">
        <v>5.4737319999999999E-2</v>
      </c>
      <c r="W3608">
        <v>0.21145330000000001</v>
      </c>
      <c r="X3608">
        <v>0.9758542</v>
      </c>
      <c r="Y3608">
        <v>8.121391E-2</v>
      </c>
      <c r="Z3608">
        <v>2.9565350000000002E-3</v>
      </c>
      <c r="AA3608">
        <v>0.99669229999999998</v>
      </c>
      <c r="AB3608">
        <v>38</v>
      </c>
      <c r="AC3608">
        <v>-0.45339999999998698</v>
      </c>
      <c r="AD3608">
        <v>-5.7467999999999797E-2</v>
      </c>
      <c r="AE3608">
        <v>6.8799999999981695E-2</v>
      </c>
      <c r="AF3608">
        <v>6.9161088235062299E-2</v>
      </c>
      <c r="AG3608">
        <v>-5.7467999999999797E-2</v>
      </c>
      <c r="AH3608">
        <v>0.44617148587226702</v>
      </c>
      <c r="AI3608">
        <v>97.253739518429995</v>
      </c>
      <c r="AJ3608">
        <v>81.188701704538801</v>
      </c>
      <c r="AK3608">
        <v>0.455142639131212</v>
      </c>
      <c r="AL3608">
        <v>77.792467629681198</v>
      </c>
      <c r="AM3608">
        <v>86.789546558231905</v>
      </c>
      <c r="AN3608">
        <v>1.0000000459696501</v>
      </c>
    </row>
    <row r="3609" spans="1:40" x14ac:dyDescent="0.25">
      <c r="A3609" t="str">
        <f>"20190312164339919"</f>
        <v>20190312164339919</v>
      </c>
      <c r="B3609" t="str">
        <f>"1552380219908815"</f>
        <v>1552380219908815</v>
      </c>
      <c r="C3609" t="s">
        <v>40</v>
      </c>
      <c r="D3609">
        <v>4.4702140000000004</v>
      </c>
      <c r="E3609">
        <v>0.51551499999999995</v>
      </c>
      <c r="F3609" t="s">
        <v>42</v>
      </c>
      <c r="G3609">
        <v>-357.11340000000001</v>
      </c>
      <c r="H3609" s="1">
        <v>-1.9932339999999999E-6</v>
      </c>
      <c r="I3609">
        <v>142.51990000000001</v>
      </c>
      <c r="J3609">
        <v>-341.11810000000003</v>
      </c>
      <c r="K3609">
        <v>1.110916</v>
      </c>
      <c r="L3609">
        <v>141.24959999999999</v>
      </c>
      <c r="M3609">
        <v>-0.9998937</v>
      </c>
      <c r="N3609">
        <v>0</v>
      </c>
      <c r="O3609">
        <v>-3.682187E-3</v>
      </c>
      <c r="P3609">
        <v>-0.97904480000000005</v>
      </c>
      <c r="Q3609">
        <v>0.19715469999999999</v>
      </c>
      <c r="R3609">
        <v>5.1005700000000001E-2</v>
      </c>
      <c r="S3609">
        <v>-3.0943299999999998</v>
      </c>
      <c r="T3609">
        <v>-0.21028939999999999</v>
      </c>
      <c r="U3609">
        <v>0.24017330000000001</v>
      </c>
      <c r="V3609">
        <v>5.4337549999999998E-2</v>
      </c>
      <c r="W3609">
        <v>0.21102119999999999</v>
      </c>
      <c r="X3609">
        <v>0.97597</v>
      </c>
      <c r="Y3609">
        <v>8.0861619999999995E-2</v>
      </c>
      <c r="Z3609">
        <v>2.99E-3</v>
      </c>
      <c r="AA3609">
        <v>0.99672090000000002</v>
      </c>
      <c r="AB3609">
        <v>38</v>
      </c>
      <c r="AC3609">
        <v>-15.995299999999901</v>
      </c>
      <c r="AD3609">
        <v>-1.1109179932340001</v>
      </c>
      <c r="AE3609">
        <v>1.27030000000002</v>
      </c>
      <c r="AF3609">
        <v>1.32285389315056</v>
      </c>
      <c r="AG3609">
        <v>-1.1109179932340001</v>
      </c>
      <c r="AH3609">
        <v>15.9142294440359</v>
      </c>
      <c r="AI3609">
        <v>93.979464651243802</v>
      </c>
      <c r="AJ3609">
        <v>85.248271557282607</v>
      </c>
      <c r="AK3609">
        <v>16.007710017605099</v>
      </c>
      <c r="AL3609">
        <v>77.817795855901196</v>
      </c>
      <c r="AM3609">
        <v>86.813322725005307</v>
      </c>
      <c r="AN3609">
        <v>0.999999978544721</v>
      </c>
    </row>
    <row r="3610" spans="1:40" x14ac:dyDescent="0.25">
      <c r="A3610" t="str">
        <f>"20190312164339941"</f>
        <v>20190312164339941</v>
      </c>
      <c r="B3610" t="str">
        <f>"1552380219938095"</f>
        <v>1552380219938095</v>
      </c>
      <c r="C3610" t="s">
        <v>40</v>
      </c>
      <c r="D3610">
        <v>4.4238569999999999</v>
      </c>
      <c r="E3610">
        <v>0.51554789999999995</v>
      </c>
      <c r="F3610" t="s">
        <v>42</v>
      </c>
      <c r="G3610">
        <v>-357.46890000000002</v>
      </c>
      <c r="H3610" s="1">
        <v>-1.8355930000000001E-6</v>
      </c>
      <c r="I3610">
        <v>142.50059999999999</v>
      </c>
      <c r="J3610">
        <v>-341.4973</v>
      </c>
      <c r="K3610">
        <v>1.1109180000000001</v>
      </c>
      <c r="L3610">
        <v>141.24770000000001</v>
      </c>
      <c r="M3610">
        <v>-0.99989159999999999</v>
      </c>
      <c r="N3610">
        <v>0</v>
      </c>
      <c r="O3610">
        <v>-4.2115369999999996E-3</v>
      </c>
      <c r="P3610">
        <v>-0.97912299999999997</v>
      </c>
      <c r="Q3610">
        <v>0.19701560000000001</v>
      </c>
      <c r="R3610">
        <v>5.0033420000000002E-2</v>
      </c>
      <c r="S3610">
        <v>-3.0942080000000001</v>
      </c>
      <c r="T3610">
        <v>-0.21022840000000001</v>
      </c>
      <c r="U3610">
        <v>0.2367554</v>
      </c>
      <c r="V3610">
        <v>5.3884439999999999E-2</v>
      </c>
      <c r="W3610">
        <v>0.21088000000000001</v>
      </c>
      <c r="X3610">
        <v>0.97602560000000005</v>
      </c>
      <c r="Y3610">
        <v>8.0297960000000002E-2</v>
      </c>
      <c r="Z3610">
        <v>3.0061580000000001E-3</v>
      </c>
      <c r="AA3610">
        <v>0.99676640000000005</v>
      </c>
      <c r="AB3610">
        <v>38</v>
      </c>
      <c r="AC3610">
        <v>-15.9716</v>
      </c>
      <c r="AD3610">
        <v>-1.1109198355929999</v>
      </c>
      <c r="AE3610">
        <v>1.2528999999999799</v>
      </c>
      <c r="AF3610">
        <v>1.31384302998348</v>
      </c>
      <c r="AG3610">
        <v>-1.1109198355929999</v>
      </c>
      <c r="AH3610">
        <v>15.889776120263701</v>
      </c>
      <c r="AI3610">
        <v>93.985719310162395</v>
      </c>
      <c r="AJ3610">
        <v>85.273261995466697</v>
      </c>
      <c r="AK3610">
        <v>15.9826565858324</v>
      </c>
      <c r="AL3610">
        <v>77.826071784702904</v>
      </c>
      <c r="AM3610">
        <v>86.840021362801295</v>
      </c>
      <c r="AN3610">
        <v>0.99999993956473499</v>
      </c>
    </row>
    <row r="3611" spans="1:40" x14ac:dyDescent="0.25">
      <c r="A3611" t="str">
        <f>"20190312164339964"</f>
        <v>20190312164339964</v>
      </c>
      <c r="B3611" t="str">
        <f>"1552380219958591"</f>
        <v>1552380219958591</v>
      </c>
      <c r="C3611" t="s">
        <v>40</v>
      </c>
      <c r="D3611">
        <v>4.4372920000000002</v>
      </c>
      <c r="E3611">
        <v>0.51557730000000002</v>
      </c>
      <c r="F3611" t="s">
        <v>41</v>
      </c>
      <c r="G3611">
        <v>-342.56490000000002</v>
      </c>
      <c r="H3611">
        <v>1.0386550000000001</v>
      </c>
      <c r="I3611">
        <v>141.3287</v>
      </c>
      <c r="J3611">
        <v>-341.8845</v>
      </c>
      <c r="K3611">
        <v>1.110916</v>
      </c>
      <c r="L3611">
        <v>141.2456</v>
      </c>
      <c r="M3611">
        <v>-0.99988920000000003</v>
      </c>
      <c r="N3611">
        <v>0</v>
      </c>
      <c r="O3611">
        <v>-4.7493320000000002E-3</v>
      </c>
      <c r="P3611">
        <v>-0.9790645</v>
      </c>
      <c r="Q3611">
        <v>0.19750690000000001</v>
      </c>
      <c r="R3611">
        <v>4.9231610000000002E-2</v>
      </c>
      <c r="S3611">
        <v>-3.0941770000000002</v>
      </c>
      <c r="T3611">
        <v>-0.20955789999999999</v>
      </c>
      <c r="U3611">
        <v>0.23361209999999999</v>
      </c>
      <c r="V3611">
        <v>5.3609169999999998E-2</v>
      </c>
      <c r="W3611">
        <v>0.2113671</v>
      </c>
      <c r="X3611">
        <v>0.97593549999999996</v>
      </c>
      <c r="Y3611">
        <v>7.9829079999999997E-2</v>
      </c>
      <c r="Z3611">
        <v>3.0172350000000001E-3</v>
      </c>
      <c r="AA3611">
        <v>0.99680400000000002</v>
      </c>
      <c r="AB3611">
        <v>38</v>
      </c>
      <c r="AC3611">
        <v>-0.68040000000001999</v>
      </c>
      <c r="AD3611">
        <v>-7.2261000000000103E-2</v>
      </c>
      <c r="AE3611">
        <v>8.31000000000017E-2</v>
      </c>
      <c r="AF3611">
        <v>8.5381941744726006E-2</v>
      </c>
      <c r="AG3611">
        <v>-7.2261000000000103E-2</v>
      </c>
      <c r="AH3611">
        <v>0.67252355883106296</v>
      </c>
      <c r="AI3611">
        <v>96.084294474781501</v>
      </c>
      <c r="AJ3611">
        <v>82.764576697701798</v>
      </c>
      <c r="AK3611">
        <v>0.68176217648084403</v>
      </c>
      <c r="AL3611">
        <v>77.797520753113304</v>
      </c>
      <c r="AM3611">
        <v>86.855842061916903</v>
      </c>
      <c r="AN3611">
        <v>1.00000004711537</v>
      </c>
    </row>
    <row r="3612" spans="1:40" x14ac:dyDescent="0.25">
      <c r="A3612" t="str">
        <f>"20190312164339987"</f>
        <v>20190312164339987</v>
      </c>
      <c r="B3612" t="str">
        <f>"1552380219978114"</f>
        <v>1552380219978114</v>
      </c>
      <c r="C3612" t="s">
        <v>40</v>
      </c>
      <c r="D3612">
        <v>4.5052500000000002</v>
      </c>
      <c r="E3612">
        <v>0.51562229999999998</v>
      </c>
      <c r="F3612" t="s">
        <v>41</v>
      </c>
      <c r="G3612">
        <v>-342.90649999999999</v>
      </c>
      <c r="H3612">
        <v>1.0426040000000001</v>
      </c>
      <c r="I3612">
        <v>141.32220000000001</v>
      </c>
      <c r="J3612">
        <v>-342.27780000000001</v>
      </c>
      <c r="K3612">
        <v>1.110916</v>
      </c>
      <c r="L3612">
        <v>141.2431</v>
      </c>
      <c r="M3612">
        <v>-0.99988650000000001</v>
      </c>
      <c r="N3612">
        <v>0</v>
      </c>
      <c r="O3612">
        <v>-5.2931890000000002E-3</v>
      </c>
      <c r="P3612">
        <v>-0.97913360000000005</v>
      </c>
      <c r="Q3612">
        <v>0.19754949999999999</v>
      </c>
      <c r="R3612">
        <v>4.7662139999999999E-2</v>
      </c>
      <c r="S3612">
        <v>-3.0942690000000002</v>
      </c>
      <c r="T3612">
        <v>-0.20688719999999999</v>
      </c>
      <c r="U3612">
        <v>0.23138429999999999</v>
      </c>
      <c r="V3612">
        <v>5.2573700000000001E-2</v>
      </c>
      <c r="W3612">
        <v>0.2114067</v>
      </c>
      <c r="X3612">
        <v>0.97598320000000005</v>
      </c>
      <c r="Y3612">
        <v>7.9659419999999995E-2</v>
      </c>
      <c r="Z3612">
        <v>3.009481E-3</v>
      </c>
      <c r="AA3612">
        <v>0.99681759999999997</v>
      </c>
      <c r="AB3612">
        <v>38</v>
      </c>
      <c r="AC3612">
        <v>-0.62869999999998005</v>
      </c>
      <c r="AD3612">
        <v>-6.8311999999999901E-2</v>
      </c>
      <c r="AE3612">
        <v>7.9100000000010995E-2</v>
      </c>
      <c r="AF3612">
        <v>8.1480077458256098E-2</v>
      </c>
      <c r="AG3612">
        <v>-6.8311999999999901E-2</v>
      </c>
      <c r="AH3612">
        <v>0.62105447292490401</v>
      </c>
      <c r="AI3612">
        <v>96.224021667320102</v>
      </c>
      <c r="AJ3612">
        <v>82.525691806950903</v>
      </c>
      <c r="AK3612">
        <v>0.63009062102735103</v>
      </c>
      <c r="AL3612">
        <v>77.795198758444897</v>
      </c>
      <c r="AM3612">
        <v>86.916604059909602</v>
      </c>
      <c r="AN3612">
        <v>0.99999999670940998</v>
      </c>
    </row>
    <row r="3613" spans="1:40" x14ac:dyDescent="0.25">
      <c r="A3613" t="str">
        <f>"20190312164340008"</f>
        <v>20190312164340008</v>
      </c>
      <c r="B3613" t="str">
        <f>"1552380219998606"</f>
        <v>1552380219998606</v>
      </c>
      <c r="C3613" t="s">
        <v>40</v>
      </c>
      <c r="D3613">
        <v>4.4431629999999904</v>
      </c>
      <c r="E3613">
        <v>0.51570059999999995</v>
      </c>
      <c r="F3613" t="s">
        <v>41</v>
      </c>
      <c r="G3613">
        <v>-343.24860000000001</v>
      </c>
      <c r="H3613">
        <v>1.0463530000000001</v>
      </c>
      <c r="I3613">
        <v>141.31460000000001</v>
      </c>
      <c r="J3613">
        <v>-342.63060000000002</v>
      </c>
      <c r="K3613">
        <v>1.110911</v>
      </c>
      <c r="L3613">
        <v>141.24080000000001</v>
      </c>
      <c r="M3613">
        <v>-0.99988379999999999</v>
      </c>
      <c r="N3613">
        <v>0</v>
      </c>
      <c r="O3613">
        <v>-5.7785140000000002E-3</v>
      </c>
      <c r="P3613">
        <v>-0.9792109</v>
      </c>
      <c r="Q3613">
        <v>0.19742370000000001</v>
      </c>
      <c r="R3613">
        <v>4.6586620000000002E-2</v>
      </c>
      <c r="S3613">
        <v>-3.0943909999999999</v>
      </c>
      <c r="T3613">
        <v>-0.2058294</v>
      </c>
      <c r="U3613">
        <v>0.22715759999999999</v>
      </c>
      <c r="V3613">
        <v>5.1975670000000002E-2</v>
      </c>
      <c r="W3613">
        <v>0.21127850000000001</v>
      </c>
      <c r="X3613">
        <v>0.97604299999999999</v>
      </c>
      <c r="Y3613">
        <v>7.8788919999999998E-2</v>
      </c>
      <c r="Z3613">
        <v>2.997488E-3</v>
      </c>
      <c r="AA3613">
        <v>0.99688679999999996</v>
      </c>
      <c r="AB3613">
        <v>38</v>
      </c>
      <c r="AC3613">
        <v>-0.617999999999995</v>
      </c>
      <c r="AD3613">
        <v>-6.4557999999999893E-2</v>
      </c>
      <c r="AE3613">
        <v>7.3800000000005597E-2</v>
      </c>
      <c r="AF3613">
        <v>7.6546675628638705E-2</v>
      </c>
      <c r="AG3613">
        <v>-6.4557999999999893E-2</v>
      </c>
      <c r="AH3613">
        <v>0.61098952045242205</v>
      </c>
      <c r="AI3613">
        <v>95.985127399938506</v>
      </c>
      <c r="AJ3613">
        <v>82.859011984859293</v>
      </c>
      <c r="AK3613">
        <v>0.619140794178898</v>
      </c>
      <c r="AL3613">
        <v>77.802713946745598</v>
      </c>
      <c r="AM3613">
        <v>86.951797817411801</v>
      </c>
      <c r="AN3613">
        <v>1.0000000063415899</v>
      </c>
    </row>
    <row r="3614" spans="1:40" x14ac:dyDescent="0.25">
      <c r="A3614" t="str">
        <f>"20190312164340029"</f>
        <v>20190312164340029</v>
      </c>
      <c r="B3614" t="str">
        <f>"1552380220018126"</f>
        <v>1552380220018126</v>
      </c>
      <c r="C3614" t="s">
        <v>40</v>
      </c>
      <c r="D3614">
        <v>4.4653519999999904</v>
      </c>
      <c r="E3614">
        <v>0.51575170000000004</v>
      </c>
      <c r="F3614" t="s">
        <v>41</v>
      </c>
      <c r="G3614">
        <v>-343.5883</v>
      </c>
      <c r="H3614">
        <v>1.0472170000000001</v>
      </c>
      <c r="I3614">
        <v>141.31020000000001</v>
      </c>
      <c r="J3614">
        <v>-342.99740000000003</v>
      </c>
      <c r="K3614">
        <v>1.1108990000000001</v>
      </c>
      <c r="L3614">
        <v>141.23820000000001</v>
      </c>
      <c r="M3614">
        <v>-0.99988100000000002</v>
      </c>
      <c r="N3614">
        <v>0</v>
      </c>
      <c r="O3614">
        <v>-6.2799190000000001E-3</v>
      </c>
      <c r="P3614">
        <v>-0.97929489999999997</v>
      </c>
      <c r="Q3614">
        <v>0.1972391</v>
      </c>
      <c r="R3614">
        <v>4.5590039999999998E-2</v>
      </c>
      <c r="S3614">
        <v>-3.0945130000000001</v>
      </c>
      <c r="T3614">
        <v>-0.2058065</v>
      </c>
      <c r="U3614">
        <v>0.22402949999999999</v>
      </c>
      <c r="V3614">
        <v>5.1472539999999997E-2</v>
      </c>
      <c r="W3614">
        <v>0.21109159999999999</v>
      </c>
      <c r="X3614">
        <v>0.97611009999999998</v>
      </c>
      <c r="Y3614">
        <v>7.8283630000000007E-2</v>
      </c>
      <c r="Z3614">
        <v>3.0136579999999998E-3</v>
      </c>
      <c r="AA3614">
        <v>0.99692650000000005</v>
      </c>
      <c r="AB3614">
        <v>38</v>
      </c>
      <c r="AC3614">
        <v>-0.590899999999976</v>
      </c>
      <c r="AD3614">
        <v>-6.3682000000000002E-2</v>
      </c>
      <c r="AE3614">
        <v>7.2000000000002701E-2</v>
      </c>
      <c r="AF3614">
        <v>7.4853080601306896E-2</v>
      </c>
      <c r="AG3614">
        <v>-6.3682000000000002E-2</v>
      </c>
      <c r="AH3614">
        <v>0.58375523628312198</v>
      </c>
      <c r="AI3614">
        <v>96.175623591458503</v>
      </c>
      <c r="AJ3614">
        <v>82.693017430399493</v>
      </c>
      <c r="AK3614">
        <v>0.59197006401292795</v>
      </c>
      <c r="AL3614">
        <v>77.813669624821898</v>
      </c>
      <c r="AM3614">
        <v>86.981457028027293</v>
      </c>
      <c r="AN3614">
        <v>1.0000000066433099</v>
      </c>
    </row>
    <row r="3615" spans="1:40" x14ac:dyDescent="0.25">
      <c r="A3615" t="str">
        <f>"20190312164340053"</f>
        <v>20190312164340053</v>
      </c>
      <c r="B3615" t="str">
        <f>"1552380220048383"</f>
        <v>1552380220048383</v>
      </c>
      <c r="C3615" t="s">
        <v>40</v>
      </c>
      <c r="D3615">
        <v>4.5517209999999997</v>
      </c>
      <c r="E3615">
        <v>0.51555439999999997</v>
      </c>
      <c r="F3615" t="s">
        <v>41</v>
      </c>
      <c r="G3615">
        <v>-343.92849999999999</v>
      </c>
      <c r="H3615">
        <v>1.049002</v>
      </c>
      <c r="I3615">
        <v>141.3048</v>
      </c>
      <c r="J3615">
        <v>-343.39960000000002</v>
      </c>
      <c r="K3615">
        <v>1.110897</v>
      </c>
      <c r="L3615">
        <v>141.23519999999999</v>
      </c>
      <c r="M3615">
        <v>-0.99987740000000003</v>
      </c>
      <c r="N3615">
        <v>0</v>
      </c>
      <c r="O3615">
        <v>-6.8239769999999898E-3</v>
      </c>
      <c r="P3615">
        <v>-0.97947839999999997</v>
      </c>
      <c r="Q3615">
        <v>0.19670290000000001</v>
      </c>
      <c r="R3615">
        <v>4.3935259999999997E-2</v>
      </c>
      <c r="S3615">
        <v>-3.0945740000000002</v>
      </c>
      <c r="T3615">
        <v>-0.2058072</v>
      </c>
      <c r="U3615">
        <v>0.2204895</v>
      </c>
      <c r="V3615">
        <v>5.0354639999999999E-2</v>
      </c>
      <c r="W3615">
        <v>0.2105533</v>
      </c>
      <c r="X3615">
        <v>0.97628470000000001</v>
      </c>
      <c r="Y3615">
        <v>7.7690149999999999E-2</v>
      </c>
      <c r="Z3615">
        <v>3.0301490000000002E-3</v>
      </c>
      <c r="AA3615">
        <v>0.99697290000000005</v>
      </c>
      <c r="AB3615">
        <v>38</v>
      </c>
      <c r="AC3615">
        <v>-0.52889999999996395</v>
      </c>
      <c r="AD3615">
        <v>-6.1894999999999999E-2</v>
      </c>
      <c r="AE3615">
        <v>6.9600000000008294E-2</v>
      </c>
      <c r="AF3615">
        <v>7.22355088117278E-2</v>
      </c>
      <c r="AG3615">
        <v>-6.1894999999999999E-2</v>
      </c>
      <c r="AH3615">
        <v>0.521393714840376</v>
      </c>
      <c r="AI3615">
        <v>96.706473166880201</v>
      </c>
      <c r="AJ3615">
        <v>82.112274727948304</v>
      </c>
      <c r="AK3615">
        <v>0.53000034493699799</v>
      </c>
      <c r="AL3615">
        <v>77.8452216008113</v>
      </c>
      <c r="AM3615">
        <v>87.047424756435205</v>
      </c>
      <c r="AN3615">
        <v>1.00000004868225</v>
      </c>
    </row>
    <row r="3616" spans="1:40" x14ac:dyDescent="0.25">
      <c r="A3616" t="str">
        <f>"20190312164340076"</f>
        <v>20190312164340076</v>
      </c>
      <c r="B3616" t="str">
        <f>"1552380220068879"</f>
        <v>1552380220068879</v>
      </c>
      <c r="C3616" t="s">
        <v>40</v>
      </c>
      <c r="D3616">
        <v>4.5193260000000004</v>
      </c>
      <c r="E3616">
        <v>0.45548889999999997</v>
      </c>
      <c r="F3616" t="s">
        <v>41</v>
      </c>
      <c r="G3616">
        <v>-344.27080000000001</v>
      </c>
      <c r="H3616">
        <v>1.053426</v>
      </c>
      <c r="I3616">
        <v>141.29570000000001</v>
      </c>
      <c r="J3616">
        <v>-343.7928</v>
      </c>
      <c r="K3616">
        <v>1.1108910000000001</v>
      </c>
      <c r="L3616">
        <v>141.2319</v>
      </c>
      <c r="M3616">
        <v>-0.99987369999999998</v>
      </c>
      <c r="N3616">
        <v>0</v>
      </c>
      <c r="O3616">
        <v>-7.3489359999999899E-3</v>
      </c>
      <c r="P3616">
        <v>-0.9796473</v>
      </c>
      <c r="Q3616">
        <v>0.196154</v>
      </c>
      <c r="R3616">
        <v>4.2602950000000001E-2</v>
      </c>
      <c r="S3616">
        <v>-3.0942690000000002</v>
      </c>
      <c r="T3616">
        <v>-0.20419689999999999</v>
      </c>
      <c r="U3616">
        <v>0.21400449999999999</v>
      </c>
      <c r="V3616">
        <v>4.9541590000000003E-2</v>
      </c>
      <c r="W3616">
        <v>0.2100032</v>
      </c>
      <c r="X3616">
        <v>0.97644470000000005</v>
      </c>
      <c r="Y3616">
        <v>7.6146270000000002E-2</v>
      </c>
      <c r="Z3616">
        <v>2.9907509999999998E-3</v>
      </c>
      <c r="AA3616">
        <v>0.99709219999999998</v>
      </c>
      <c r="AB3616">
        <v>38</v>
      </c>
      <c r="AC3616">
        <v>-0.47800000000000797</v>
      </c>
      <c r="AD3616">
        <v>-5.7465000000000099E-2</v>
      </c>
      <c r="AE3616">
        <v>6.3800000000014706E-2</v>
      </c>
      <c r="AF3616">
        <v>6.6368990750014095E-2</v>
      </c>
      <c r="AG3616">
        <v>-5.7465000000000099E-2</v>
      </c>
      <c r="AH3616">
        <v>0.47083245488500303</v>
      </c>
      <c r="AI3616">
        <v>96.891060848161104</v>
      </c>
      <c r="AJ3616">
        <v>81.976396692317095</v>
      </c>
      <c r="AK3616">
        <v>0.47894704272102301</v>
      </c>
      <c r="AL3616">
        <v>77.877460013561304</v>
      </c>
      <c r="AM3616">
        <v>87.0954913097342</v>
      </c>
      <c r="AN3616">
        <v>0.99999998265402901</v>
      </c>
    </row>
    <row r="3617" spans="1:40" x14ac:dyDescent="0.25">
      <c r="A3617" t="str">
        <f>"20190312164340099"</f>
        <v>20190312164340099</v>
      </c>
      <c r="B3617" t="str">
        <f>"1552380220088398"</f>
        <v>1552380220088398</v>
      </c>
      <c r="C3617" t="s">
        <v>40</v>
      </c>
      <c r="D3617">
        <v>4.8959970000000004</v>
      </c>
      <c r="E3617">
        <v>0.45210610000000001</v>
      </c>
      <c r="F3617" t="s">
        <v>42</v>
      </c>
      <c r="G3617">
        <v>-365.93299999999999</v>
      </c>
      <c r="H3617" s="1">
        <v>-1.7782490000000001E-6</v>
      </c>
      <c r="I3617">
        <v>139.32759999999999</v>
      </c>
      <c r="J3617">
        <v>-344.16230000000002</v>
      </c>
      <c r="K3617">
        <v>1.110876</v>
      </c>
      <c r="L3617">
        <v>141.2287</v>
      </c>
      <c r="M3617">
        <v>-0.99987009999999998</v>
      </c>
      <c r="N3617">
        <v>0</v>
      </c>
      <c r="O3617">
        <v>-7.8325040000000005E-3</v>
      </c>
      <c r="P3617">
        <v>-0.97978220000000005</v>
      </c>
      <c r="Q3617">
        <v>0.1957808</v>
      </c>
      <c r="R3617">
        <v>4.1191180000000001E-2</v>
      </c>
      <c r="S3617">
        <v>-3.1051329999999999</v>
      </c>
      <c r="T3617">
        <v>-0.15580189999999999</v>
      </c>
      <c r="U3617">
        <v>-0.267074599999999</v>
      </c>
      <c r="V3617">
        <v>4.8608930000000002E-2</v>
      </c>
      <c r="W3617">
        <v>0.2096269</v>
      </c>
      <c r="X3617">
        <v>0.97657249999999995</v>
      </c>
      <c r="Y3617">
        <v>-7.779983E-2</v>
      </c>
      <c r="Z3617">
        <v>-1.5549779999999901E-3</v>
      </c>
      <c r="AA3617">
        <v>0.99696779999999996</v>
      </c>
      <c r="AB3617">
        <v>38</v>
      </c>
      <c r="AC3617">
        <v>-21.770700000000001</v>
      </c>
      <c r="AD3617">
        <v>-1.110877778249</v>
      </c>
      <c r="AE3617">
        <v>-1.90110000000001</v>
      </c>
      <c r="AF3617">
        <v>-1.7260455950984599</v>
      </c>
      <c r="AG3617">
        <v>-1.110877778249</v>
      </c>
      <c r="AH3617">
        <v>21.728777251396998</v>
      </c>
      <c r="AI3617">
        <v>92.917508521035003</v>
      </c>
      <c r="AJ3617">
        <v>94.541806429966798</v>
      </c>
      <c r="AK3617">
        <v>21.825513594767799</v>
      </c>
      <c r="AL3617">
        <v>77.8995121597288</v>
      </c>
      <c r="AM3617">
        <v>87.150452340981204</v>
      </c>
      <c r="AN3617">
        <v>1.0000000565178</v>
      </c>
    </row>
    <row r="3618" spans="1:40" x14ac:dyDescent="0.25">
      <c r="A3618" t="str">
        <f>"20190312164340119"</f>
        <v>20190312164340119</v>
      </c>
      <c r="B3618" t="str">
        <f>"1552380220108895"</f>
        <v>1552380220108895</v>
      </c>
      <c r="C3618" t="s">
        <v>40</v>
      </c>
      <c r="D3618">
        <v>4.4582470000000001</v>
      </c>
      <c r="E3618">
        <v>0.45194079999999898</v>
      </c>
      <c r="F3618" t="s">
        <v>42</v>
      </c>
      <c r="G3618">
        <v>-364.70260000000002</v>
      </c>
      <c r="H3618" s="1">
        <v>-2.319739E-6</v>
      </c>
      <c r="I3618">
        <v>139.25069999999999</v>
      </c>
      <c r="J3618">
        <v>-344.51740000000001</v>
      </c>
      <c r="K3618">
        <v>1.110862</v>
      </c>
      <c r="L3618">
        <v>141.22550000000001</v>
      </c>
      <c r="M3618">
        <v>-0.99986640000000004</v>
      </c>
      <c r="N3618">
        <v>0</v>
      </c>
      <c r="O3618">
        <v>-8.2870800000000005E-3</v>
      </c>
      <c r="P3618">
        <v>-0.97987900000000006</v>
      </c>
      <c r="Q3618">
        <v>0.19538330000000001</v>
      </c>
      <c r="R3618">
        <v>4.0774270000000001E-2</v>
      </c>
      <c r="S3618">
        <v>-3.108063</v>
      </c>
      <c r="T3618">
        <v>-0.16809389999999999</v>
      </c>
      <c r="U3618">
        <v>-0.29930109999999999</v>
      </c>
      <c r="V3618">
        <v>4.8643159999999998E-2</v>
      </c>
      <c r="W3618">
        <v>0.20922779999999999</v>
      </c>
      <c r="X3618">
        <v>0.97665630000000003</v>
      </c>
      <c r="Y3618">
        <v>-8.7487200000000001E-2</v>
      </c>
      <c r="Z3618">
        <v>-1.911793E-3</v>
      </c>
      <c r="AA3618">
        <v>0.99616380000000004</v>
      </c>
      <c r="AB3618">
        <v>38</v>
      </c>
      <c r="AC3618">
        <v>-20.185199999999998</v>
      </c>
      <c r="AD3618">
        <v>-1.110864319739</v>
      </c>
      <c r="AE3618">
        <v>-1.9748000000000101</v>
      </c>
      <c r="AF3618">
        <v>-1.8020331332594599</v>
      </c>
      <c r="AG3618">
        <v>-1.110864319739</v>
      </c>
      <c r="AH3618">
        <v>20.140452662458301</v>
      </c>
      <c r="AI3618">
        <v>93.144464138364995</v>
      </c>
      <c r="AJ3618">
        <v>95.1128289854488</v>
      </c>
      <c r="AK3618">
        <v>20.2513993689067</v>
      </c>
      <c r="AL3618">
        <v>77.922896539865107</v>
      </c>
      <c r="AM3618">
        <v>87.148693291942294</v>
      </c>
      <c r="AN3618">
        <v>0.99999997881865699</v>
      </c>
    </row>
    <row r="3619" spans="1:40" x14ac:dyDescent="0.25">
      <c r="A3619" t="str">
        <f>"20190312164340143"</f>
        <v>20190312164340143</v>
      </c>
      <c r="B3619" t="str">
        <f>"1552380220138175"</f>
        <v>1552380220138175</v>
      </c>
      <c r="C3619" t="s">
        <v>40</v>
      </c>
      <c r="D3619">
        <v>4.620234</v>
      </c>
      <c r="E3619">
        <v>0.45178879999999999</v>
      </c>
      <c r="F3619" t="s">
        <v>42</v>
      </c>
      <c r="G3619">
        <v>-365.17849999999999</v>
      </c>
      <c r="H3619" s="1">
        <v>-2.1221369999999999E-6</v>
      </c>
      <c r="I3619">
        <v>139.21369999999999</v>
      </c>
      <c r="J3619">
        <v>-344.89479999999998</v>
      </c>
      <c r="K3619">
        <v>1.110849</v>
      </c>
      <c r="L3619">
        <v>141.22190000000001</v>
      </c>
      <c r="M3619">
        <v>-0.99986240000000004</v>
      </c>
      <c r="N3619">
        <v>0</v>
      </c>
      <c r="O3619">
        <v>-8.7561419999999997E-3</v>
      </c>
      <c r="P3619">
        <v>-0.98001760000000004</v>
      </c>
      <c r="Q3619">
        <v>0.1948183</v>
      </c>
      <c r="R3619">
        <v>4.0141030000000001E-2</v>
      </c>
      <c r="S3619">
        <v>-3.107513</v>
      </c>
      <c r="T3619">
        <v>-0.1670787</v>
      </c>
      <c r="U3619">
        <v>-0.30258180000000001</v>
      </c>
      <c r="V3619">
        <v>4.847742E-2</v>
      </c>
      <c r="W3619">
        <v>0.20866029999999999</v>
      </c>
      <c r="X3619">
        <v>0.97678600000000004</v>
      </c>
      <c r="Y3619">
        <v>-8.8079710000000005E-2</v>
      </c>
      <c r="Z3619">
        <v>-1.8912429999999999E-3</v>
      </c>
      <c r="AA3619">
        <v>0.99611159999999999</v>
      </c>
      <c r="AB3619">
        <v>38</v>
      </c>
      <c r="AC3619">
        <v>-20.2837</v>
      </c>
      <c r="AD3619">
        <v>-1.1108511221370001</v>
      </c>
      <c r="AE3619">
        <v>-2.0082000000000102</v>
      </c>
      <c r="AF3619">
        <v>-1.8250776222579801</v>
      </c>
      <c r="AG3619">
        <v>-1.1108511221370001</v>
      </c>
      <c r="AH3619">
        <v>20.240390714230202</v>
      </c>
      <c r="AI3619">
        <v>93.128738137068595</v>
      </c>
      <c r="AJ3619">
        <v>95.152430900291805</v>
      </c>
      <c r="AK3619">
        <v>20.352845373743602</v>
      </c>
      <c r="AL3619">
        <v>77.956146478703303</v>
      </c>
      <c r="AM3619">
        <v>87.158769188444595</v>
      </c>
      <c r="AN3619">
        <v>1.0000000354209699</v>
      </c>
    </row>
    <row r="3620" spans="1:40" x14ac:dyDescent="0.25">
      <c r="A3620" t="str">
        <f>"20190312164340165"</f>
        <v>20190312164340165</v>
      </c>
      <c r="B3620" t="str">
        <f>"1552380220158674"</f>
        <v>1552380220158674</v>
      </c>
      <c r="C3620" t="s">
        <v>40</v>
      </c>
      <c r="D3620">
        <v>4.4538659999999997</v>
      </c>
      <c r="E3620">
        <v>0.45138489999999998</v>
      </c>
      <c r="F3620" t="s">
        <v>42</v>
      </c>
      <c r="G3620">
        <v>-365.85019999999997</v>
      </c>
      <c r="H3620" s="1">
        <v>-1.8436419999999999E-6</v>
      </c>
      <c r="I3620">
        <v>139.1592</v>
      </c>
      <c r="J3620">
        <v>-345.28809999999999</v>
      </c>
      <c r="K3620">
        <v>1.1108389999999999</v>
      </c>
      <c r="L3620">
        <v>141.21799999999999</v>
      </c>
      <c r="M3620">
        <v>-0.99985820000000003</v>
      </c>
      <c r="N3620">
        <v>0</v>
      </c>
      <c r="O3620">
        <v>-9.2276600000000004E-3</v>
      </c>
      <c r="P3620">
        <v>-0.98007909999999998</v>
      </c>
      <c r="Q3620">
        <v>0.19461120000000001</v>
      </c>
      <c r="R3620">
        <v>3.9644409999999998E-2</v>
      </c>
      <c r="S3620">
        <v>-3.1064449999999999</v>
      </c>
      <c r="T3620">
        <v>-0.16467399999999999</v>
      </c>
      <c r="U3620">
        <v>-0.30577090000000001</v>
      </c>
      <c r="V3620">
        <v>4.8451090000000002E-2</v>
      </c>
      <c r="W3620">
        <v>0.20845</v>
      </c>
      <c r="X3620">
        <v>0.97683220000000004</v>
      </c>
      <c r="Y3620">
        <v>-8.8658920000000002E-2</v>
      </c>
      <c r="Z3620">
        <v>-1.8549949999999999E-3</v>
      </c>
      <c r="AA3620">
        <v>0.99606030000000001</v>
      </c>
      <c r="AB3620">
        <v>38</v>
      </c>
      <c r="AC3620">
        <v>-20.562099999999901</v>
      </c>
      <c r="AD3620">
        <v>-1.1108408436420001</v>
      </c>
      <c r="AE3620">
        <v>-2.05879999999999</v>
      </c>
      <c r="AF3620">
        <v>-1.8635684794134499</v>
      </c>
      <c r="AG3620">
        <v>-1.1108408436420001</v>
      </c>
      <c r="AH3620">
        <v>20.520927063239601</v>
      </c>
      <c r="AI3620">
        <v>93.0858429507078</v>
      </c>
      <c r="AJ3620">
        <v>95.188972621771896</v>
      </c>
      <c r="AK3620">
        <v>20.635292641301799</v>
      </c>
      <c r="AL3620">
        <v>77.968466613795101</v>
      </c>
      <c r="AM3620">
        <v>87.160443931910194</v>
      </c>
      <c r="AN3620">
        <v>1.0000000287895101</v>
      </c>
    </row>
    <row r="3621" spans="1:40" x14ac:dyDescent="0.25">
      <c r="A3621" t="str">
        <f>"20190312164340187"</f>
        <v>20190312164340187</v>
      </c>
      <c r="B3621" t="str">
        <f>"1552380220178190"</f>
        <v>1552380220178190</v>
      </c>
      <c r="C3621" t="s">
        <v>40</v>
      </c>
      <c r="D3621">
        <v>4.4333320000000001</v>
      </c>
      <c r="E3621">
        <v>0.45106049999999998</v>
      </c>
      <c r="F3621" t="s">
        <v>42</v>
      </c>
      <c r="G3621">
        <v>-364.85980000000001</v>
      </c>
      <c r="H3621" s="1">
        <v>-2.251118E-6</v>
      </c>
      <c r="I3621">
        <v>139.25729999999999</v>
      </c>
      <c r="J3621">
        <v>-345.67469999999997</v>
      </c>
      <c r="K3621">
        <v>1.1108279999999999</v>
      </c>
      <c r="L3621">
        <v>141.214</v>
      </c>
      <c r="M3621">
        <v>-0.99985400000000002</v>
      </c>
      <c r="N3621">
        <v>0</v>
      </c>
      <c r="O3621">
        <v>-9.6763000000000005E-3</v>
      </c>
      <c r="P3621">
        <v>-0.98015030000000003</v>
      </c>
      <c r="Q3621">
        <v>0.1942692</v>
      </c>
      <c r="R3621">
        <v>3.9556569999999999E-2</v>
      </c>
      <c r="S3621">
        <v>-3.1086119999999999</v>
      </c>
      <c r="T3621">
        <v>-0.17643789999999901</v>
      </c>
      <c r="U3621">
        <v>-0.31141659999999999</v>
      </c>
      <c r="V3621">
        <v>4.8810979999999997E-2</v>
      </c>
      <c r="W3621">
        <v>0.20810480000000001</v>
      </c>
      <c r="X3621">
        <v>0.97688779999999997</v>
      </c>
      <c r="Y3621">
        <v>-8.9918189999999995E-2</v>
      </c>
      <c r="Z3621">
        <v>-1.9959980000000001E-3</v>
      </c>
      <c r="AA3621">
        <v>0.99594720000000003</v>
      </c>
      <c r="AB3621">
        <v>38</v>
      </c>
      <c r="AC3621">
        <v>-19.185099999999998</v>
      </c>
      <c r="AD3621">
        <v>-1.1108302511179999</v>
      </c>
      <c r="AE3621">
        <v>-1.9567000000000101</v>
      </c>
      <c r="AF3621">
        <v>-1.7650926472172099</v>
      </c>
      <c r="AG3621">
        <v>-1.1108302511179999</v>
      </c>
      <c r="AH3621">
        <v>19.139632327244801</v>
      </c>
      <c r="AI3621">
        <v>93.307614744389994</v>
      </c>
      <c r="AJ3621">
        <v>95.269020097403398</v>
      </c>
      <c r="AK3621">
        <v>19.252922415108198</v>
      </c>
      <c r="AL3621">
        <v>77.988687587377697</v>
      </c>
      <c r="AM3621">
        <v>87.139549431888994</v>
      </c>
      <c r="AN3621">
        <v>0.99999994667021797</v>
      </c>
    </row>
    <row r="3622" spans="1:40" x14ac:dyDescent="0.25">
      <c r="A3622" t="str">
        <f>"20190312164340208"</f>
        <v>20190312164340208</v>
      </c>
      <c r="B3622" t="str">
        <f>"1552380220198687"</f>
        <v>1552380220198687</v>
      </c>
      <c r="C3622" t="s">
        <v>40</v>
      </c>
      <c r="D3622">
        <v>4.6013260000000002</v>
      </c>
      <c r="E3622">
        <v>0.45112570000000002</v>
      </c>
      <c r="F3622" t="s">
        <v>42</v>
      </c>
      <c r="G3622">
        <v>-364.29219999999998</v>
      </c>
      <c r="H3622" s="1">
        <v>-2.4816990000000001E-6</v>
      </c>
      <c r="I3622">
        <v>139.33019999999999</v>
      </c>
      <c r="J3622">
        <v>-346.02280000000002</v>
      </c>
      <c r="K3622">
        <v>1.1108070000000001</v>
      </c>
      <c r="L3622">
        <v>141.21029999999999</v>
      </c>
      <c r="M3622">
        <v>-0.99985020000000002</v>
      </c>
      <c r="N3622">
        <v>0</v>
      </c>
      <c r="O3622">
        <v>-1.006667E-2</v>
      </c>
      <c r="P3622">
        <v>-0.98023970000000005</v>
      </c>
      <c r="Q3622">
        <v>0.193798</v>
      </c>
      <c r="R3622">
        <v>3.965801E-2</v>
      </c>
      <c r="S3622">
        <v>-3.1102289999999999</v>
      </c>
      <c r="T3622">
        <v>-0.1855752</v>
      </c>
      <c r="U3622">
        <v>-0.31469730000000001</v>
      </c>
      <c r="V3622">
        <v>4.930325E-2</v>
      </c>
      <c r="W3622">
        <v>0.20763139999999999</v>
      </c>
      <c r="X3622">
        <v>0.9769639</v>
      </c>
      <c r="Y3622">
        <v>-9.0504189999999998E-2</v>
      </c>
      <c r="Z3622">
        <v>-2.0922089999999998E-3</v>
      </c>
      <c r="AA3622">
        <v>0.9958939</v>
      </c>
      <c r="AB3622">
        <v>38</v>
      </c>
      <c r="AC3622">
        <v>-18.269399999999901</v>
      </c>
      <c r="AD3622">
        <v>-1.110809481699</v>
      </c>
      <c r="AE3622">
        <v>-1.8800999999999899</v>
      </c>
      <c r="AF3622">
        <v>-1.68989266908617</v>
      </c>
      <c r="AG3622">
        <v>-1.110809481699</v>
      </c>
      <c r="AH3622">
        <v>18.220749027970999</v>
      </c>
      <c r="AI3622">
        <v>93.473789790585997</v>
      </c>
      <c r="AJ3622">
        <v>95.298768152649799</v>
      </c>
      <c r="AK3622">
        <v>18.3326302007641</v>
      </c>
      <c r="AL3622">
        <v>78.016418188977795</v>
      </c>
      <c r="AM3622">
        <v>87.110974439584794</v>
      </c>
      <c r="AN3622">
        <v>1.0000000353148599</v>
      </c>
    </row>
    <row r="3623" spans="1:40" x14ac:dyDescent="0.25">
      <c r="A3623" t="str">
        <f>"20190312164340231"</f>
        <v>20190312164340231</v>
      </c>
      <c r="B3623" t="str">
        <f>"1552380220218207"</f>
        <v>1552380220218207</v>
      </c>
      <c r="C3623" t="s">
        <v>40</v>
      </c>
      <c r="D3623">
        <v>4.5728939999999998</v>
      </c>
      <c r="E3623">
        <v>0.45133129999999999</v>
      </c>
      <c r="F3623" t="s">
        <v>42</v>
      </c>
      <c r="G3623">
        <v>-364.5489</v>
      </c>
      <c r="H3623" s="1">
        <v>-2.3701279999999999E-6</v>
      </c>
      <c r="I3623">
        <v>139.3382</v>
      </c>
      <c r="J3623">
        <v>-346.39069999999998</v>
      </c>
      <c r="K3623">
        <v>1.1107860000000001</v>
      </c>
      <c r="L3623">
        <v>141.2062</v>
      </c>
      <c r="M3623">
        <v>-0.99984620000000002</v>
      </c>
      <c r="N3623">
        <v>0</v>
      </c>
      <c r="O3623">
        <v>-1.046105E-2</v>
      </c>
      <c r="P3623">
        <v>-0.9802961</v>
      </c>
      <c r="Q3623">
        <v>0.19351299999999999</v>
      </c>
      <c r="R3623">
        <v>3.965581E-2</v>
      </c>
      <c r="S3623">
        <v>-3.1100460000000001</v>
      </c>
      <c r="T3623">
        <v>-0.18647610000000001</v>
      </c>
      <c r="U3623">
        <v>-0.3142548</v>
      </c>
      <c r="V3623">
        <v>4.9696129999999998E-2</v>
      </c>
      <c r="W3623">
        <v>0.20734320000000001</v>
      </c>
      <c r="X3623">
        <v>0.97700520000000002</v>
      </c>
      <c r="Y3623">
        <v>-8.9977199999999993E-2</v>
      </c>
      <c r="Z3623">
        <v>-2.06318E-3</v>
      </c>
      <c r="AA3623">
        <v>0.99594170000000004</v>
      </c>
      <c r="AB3623">
        <v>38</v>
      </c>
      <c r="AC3623">
        <v>-18.158200000000001</v>
      </c>
      <c r="AD3623">
        <v>-1.1107883701279999</v>
      </c>
      <c r="AE3623">
        <v>-1.8679999999999899</v>
      </c>
      <c r="AF3623">
        <v>-1.6717347952452</v>
      </c>
      <c r="AG3623">
        <v>-1.1107883701279999</v>
      </c>
      <c r="AH3623">
        <v>18.109690544656399</v>
      </c>
      <c r="AI3623">
        <v>93.495112835881102</v>
      </c>
      <c r="AJ3623">
        <v>95.274118855764996</v>
      </c>
      <c r="AK3623">
        <v>18.22057736879</v>
      </c>
      <c r="AL3623">
        <v>78.033298167898195</v>
      </c>
      <c r="AM3623">
        <v>87.088115178744602</v>
      </c>
      <c r="AN3623">
        <v>1.0000000343751201</v>
      </c>
    </row>
    <row r="3624" spans="1:40" x14ac:dyDescent="0.25">
      <c r="A3624" t="str">
        <f>"20190312164340254"</f>
        <v>20190312164340254</v>
      </c>
      <c r="B3624" t="str">
        <f>"1552380220248618"</f>
        <v>1552380220248618</v>
      </c>
      <c r="C3624" t="s">
        <v>40</v>
      </c>
      <c r="D3624">
        <v>4.5763540000000003</v>
      </c>
      <c r="E3624">
        <v>0.45171820000000001</v>
      </c>
      <c r="F3624" t="s">
        <v>42</v>
      </c>
      <c r="G3624">
        <v>-364.91699999999997</v>
      </c>
      <c r="H3624" s="1">
        <v>-2.2119380000000001E-6</v>
      </c>
      <c r="I3624">
        <v>139.33969999999999</v>
      </c>
      <c r="J3624">
        <v>-346.79340000000002</v>
      </c>
      <c r="K3624">
        <v>1.110765</v>
      </c>
      <c r="L3624">
        <v>141.20150000000001</v>
      </c>
      <c r="M3624">
        <v>-0.9998418</v>
      </c>
      <c r="N3624">
        <v>0</v>
      </c>
      <c r="O3624">
        <v>-1.0869530000000001E-2</v>
      </c>
      <c r="P3624">
        <v>-0.98039900000000002</v>
      </c>
      <c r="Q3624">
        <v>0.1930192</v>
      </c>
      <c r="R3624">
        <v>3.9513279999999998E-2</v>
      </c>
      <c r="S3624">
        <v>-3.109772</v>
      </c>
      <c r="T3624">
        <v>-0.1864537</v>
      </c>
      <c r="U3624">
        <v>-0.31327820000000001</v>
      </c>
      <c r="V3624">
        <v>4.9965429999999998E-2</v>
      </c>
      <c r="W3624">
        <v>0.20684630000000001</v>
      </c>
      <c r="X3624">
        <v>0.97709669999999904</v>
      </c>
      <c r="Y3624">
        <v>-8.927148E-2</v>
      </c>
      <c r="Z3624">
        <v>-2.0176579999999999E-3</v>
      </c>
      <c r="AA3624">
        <v>0.99600529999999998</v>
      </c>
      <c r="AB3624">
        <v>38</v>
      </c>
      <c r="AC3624">
        <v>-18.1235999999999</v>
      </c>
      <c r="AD3624">
        <v>-1.1107672119380001</v>
      </c>
      <c r="AE3624">
        <v>-1.8618000000000099</v>
      </c>
      <c r="AF3624">
        <v>-1.6585106881338201</v>
      </c>
      <c r="AG3624">
        <v>-1.1107672119380001</v>
      </c>
      <c r="AH3624">
        <v>18.075580249268199</v>
      </c>
      <c r="AI3624">
        <v>93.501803190708998</v>
      </c>
      <c r="AJ3624">
        <v>95.242450415598498</v>
      </c>
      <c r="AK3624">
        <v>18.185462953950498</v>
      </c>
      <c r="AL3624">
        <v>78.062398288076395</v>
      </c>
      <c r="AM3624">
        <v>87.072636928210599</v>
      </c>
      <c r="AN3624">
        <v>0.99999994858483099</v>
      </c>
    </row>
    <row r="3625" spans="1:40" x14ac:dyDescent="0.25">
      <c r="A3625" t="str">
        <f>"20190312164340277"</f>
        <v>20190312164340277</v>
      </c>
      <c r="B3625" t="str">
        <f>"1552380220268138"</f>
        <v>1552380220268138</v>
      </c>
      <c r="C3625" t="s">
        <v>40</v>
      </c>
      <c r="D3625">
        <v>4.410698</v>
      </c>
      <c r="E3625">
        <v>0.4515325</v>
      </c>
      <c r="F3625" t="s">
        <v>42</v>
      </c>
      <c r="G3625">
        <v>-364.70030000000003</v>
      </c>
      <c r="H3625" s="1">
        <v>-2.2922810000000002E-6</v>
      </c>
      <c r="I3625">
        <v>139.4109</v>
      </c>
      <c r="J3625">
        <v>-347.18189999999998</v>
      </c>
      <c r="K3625">
        <v>1.110749</v>
      </c>
      <c r="L3625">
        <v>141.1969</v>
      </c>
      <c r="M3625">
        <v>-0.9998378</v>
      </c>
      <c r="N3625">
        <v>0</v>
      </c>
      <c r="O3625">
        <v>-1.123936E-2</v>
      </c>
      <c r="P3625">
        <v>-0.98049710000000001</v>
      </c>
      <c r="Q3625">
        <v>0.19262019999999999</v>
      </c>
      <c r="R3625">
        <v>3.9026900000000003E-2</v>
      </c>
      <c r="S3625">
        <v>-3.1105040000000002</v>
      </c>
      <c r="T3625">
        <v>-0.19294539999999999</v>
      </c>
      <c r="U3625">
        <v>-0.31101990000000002</v>
      </c>
      <c r="V3625">
        <v>4.9854139999999998E-2</v>
      </c>
      <c r="W3625">
        <v>0.2064433</v>
      </c>
      <c r="X3625">
        <v>0.97718769999999999</v>
      </c>
      <c r="Y3625">
        <v>-8.8156760000000001E-2</v>
      </c>
      <c r="Z3625">
        <v>-2.0300499999999998E-3</v>
      </c>
      <c r="AA3625">
        <v>0.99610449999999995</v>
      </c>
      <c r="AB3625">
        <v>38</v>
      </c>
      <c r="AC3625">
        <v>-17.5184</v>
      </c>
      <c r="AD3625">
        <v>-1.1107512922809999</v>
      </c>
      <c r="AE3625">
        <v>-1.786</v>
      </c>
      <c r="AF3625">
        <v>-1.5826748868815399</v>
      </c>
      <c r="AG3625">
        <v>-1.1107512922809999</v>
      </c>
      <c r="AH3625">
        <v>17.467867270412</v>
      </c>
      <c r="AI3625">
        <v>93.623636768354004</v>
      </c>
      <c r="AJ3625">
        <v>95.177144128906207</v>
      </c>
      <c r="AK3625">
        <v>17.5745559035669</v>
      </c>
      <c r="AL3625">
        <v>78.085998920421602</v>
      </c>
      <c r="AM3625">
        <v>87.079417389554806</v>
      </c>
      <c r="AN3625">
        <v>1.00000003621065</v>
      </c>
    </row>
    <row r="3626" spans="1:40" x14ac:dyDescent="0.25">
      <c r="A3626" t="str">
        <f>"20190312164340300"</f>
        <v>20190312164340300</v>
      </c>
      <c r="B3626" t="str">
        <f>"1552380220288634"</f>
        <v>1552380220288634</v>
      </c>
      <c r="C3626" t="s">
        <v>40</v>
      </c>
      <c r="D3626">
        <v>4.3681199999999896</v>
      </c>
      <c r="E3626">
        <v>0.4513702</v>
      </c>
      <c r="F3626" t="s">
        <v>42</v>
      </c>
      <c r="G3626">
        <v>-364.81799999999998</v>
      </c>
      <c r="H3626" s="1">
        <v>-2.240845E-6</v>
      </c>
      <c r="I3626">
        <v>139.4162</v>
      </c>
      <c r="J3626">
        <v>-347.54759999999999</v>
      </c>
      <c r="K3626">
        <v>1.110727</v>
      </c>
      <c r="L3626">
        <v>141.1925</v>
      </c>
      <c r="M3626">
        <v>-0.99983409999999995</v>
      </c>
      <c r="N3626">
        <v>0</v>
      </c>
      <c r="O3626">
        <v>-1.156184E-2</v>
      </c>
      <c r="P3626">
        <v>-0.98062959999999999</v>
      </c>
      <c r="Q3626">
        <v>0.1920722</v>
      </c>
      <c r="R3626">
        <v>3.8390639999999997E-2</v>
      </c>
      <c r="S3626">
        <v>-3.110687</v>
      </c>
      <c r="T3626">
        <v>-0.19591639999999999</v>
      </c>
      <c r="U3626">
        <v>-0.31407170000000001</v>
      </c>
      <c r="V3626">
        <v>4.9547729999999998E-2</v>
      </c>
      <c r="W3626">
        <v>0.20589170000000001</v>
      </c>
      <c r="X3626">
        <v>0.97731959999999996</v>
      </c>
      <c r="Y3626">
        <v>-8.8791999999999996E-2</v>
      </c>
      <c r="Z3626">
        <v>-2.060728E-3</v>
      </c>
      <c r="AA3626">
        <v>0.99604800000000004</v>
      </c>
      <c r="AB3626">
        <v>38</v>
      </c>
      <c r="AC3626">
        <v>-17.270399999999999</v>
      </c>
      <c r="AD3626">
        <v>-1.110729240845</v>
      </c>
      <c r="AE3626">
        <v>-1.77629999999999</v>
      </c>
      <c r="AF3626">
        <v>-1.57005762327819</v>
      </c>
      <c r="AG3626">
        <v>-1.110729240845</v>
      </c>
      <c r="AH3626">
        <v>17.2193061590398</v>
      </c>
      <c r="AI3626">
        <v>93.675538836691004</v>
      </c>
      <c r="AJ3626">
        <v>95.209827499175006</v>
      </c>
      <c r="AK3626">
        <v>17.3263759911191</v>
      </c>
      <c r="AL3626">
        <v>78.118296527595405</v>
      </c>
      <c r="AM3626">
        <v>87.097727952579902</v>
      </c>
      <c r="AN3626">
        <v>0.99999998511060095</v>
      </c>
    </row>
    <row r="3627" spans="1:40" x14ac:dyDescent="0.25">
      <c r="A3627" t="str">
        <f>"20190312164340323"</f>
        <v>20190312164340323</v>
      </c>
      <c r="B3627" t="str">
        <f>"1552380220318891"</f>
        <v>1552380220318891</v>
      </c>
      <c r="C3627" t="s">
        <v>40</v>
      </c>
      <c r="D3627">
        <v>4.3804910000000001</v>
      </c>
      <c r="E3627">
        <v>0.45115300000000003</v>
      </c>
      <c r="F3627" t="s">
        <v>42</v>
      </c>
      <c r="G3627">
        <v>-364.96379999999999</v>
      </c>
      <c r="H3627" s="1">
        <v>-2.1788799999999999E-6</v>
      </c>
      <c r="I3627">
        <v>139.41290000000001</v>
      </c>
      <c r="J3627">
        <v>-347.93529999999998</v>
      </c>
      <c r="K3627">
        <v>1.1106990000000001</v>
      </c>
      <c r="L3627">
        <v>141.18770000000001</v>
      </c>
      <c r="M3627">
        <v>-0.99983060000000001</v>
      </c>
      <c r="N3627">
        <v>0</v>
      </c>
      <c r="O3627">
        <v>-1.1871970000000001E-2</v>
      </c>
      <c r="P3627">
        <v>-0.98080350000000005</v>
      </c>
      <c r="Q3627">
        <v>0.19121089999999999</v>
      </c>
      <c r="R3627">
        <v>3.8248740000000003E-2</v>
      </c>
      <c r="S3627">
        <v>-3.1105649999999998</v>
      </c>
      <c r="T3627">
        <v>-0.1983782</v>
      </c>
      <c r="U3627">
        <v>-0.31782529999999998</v>
      </c>
      <c r="V3627">
        <v>4.9726310000000003E-2</v>
      </c>
      <c r="W3627">
        <v>0.20502699999999999</v>
      </c>
      <c r="X3627">
        <v>0.97749229999999998</v>
      </c>
      <c r="Y3627">
        <v>-8.9671689999999998E-2</v>
      </c>
      <c r="Z3627">
        <v>-2.0947750000000001E-3</v>
      </c>
      <c r="AA3627">
        <v>0.9959692</v>
      </c>
      <c r="AB3627">
        <v>38</v>
      </c>
      <c r="AC3627">
        <v>-17.028500000000001</v>
      </c>
      <c r="AD3627">
        <v>-1.1107011788800001</v>
      </c>
      <c r="AE3627">
        <v>-1.7747999999999899</v>
      </c>
      <c r="AF3627">
        <v>-1.56590262038887</v>
      </c>
      <c r="AG3627">
        <v>-1.1107011788800001</v>
      </c>
      <c r="AH3627">
        <v>16.976921141213602</v>
      </c>
      <c r="AI3627">
        <v>93.727417508997206</v>
      </c>
      <c r="AJ3627">
        <v>95.269887628669196</v>
      </c>
      <c r="AK3627">
        <v>17.085126852332401</v>
      </c>
      <c r="AL3627">
        <v>78.168920231999493</v>
      </c>
      <c r="AM3627">
        <v>87.087799282563907</v>
      </c>
      <c r="AN3627">
        <v>0.99999998659725198</v>
      </c>
    </row>
    <row r="3628" spans="1:40" x14ac:dyDescent="0.25">
      <c r="A3628" t="str">
        <f>"20190312164340344"</f>
        <v>20190312164340344</v>
      </c>
      <c r="B3628" t="str">
        <f>"1552380220338411"</f>
        <v>1552380220338411</v>
      </c>
      <c r="C3628" t="s">
        <v>40</v>
      </c>
      <c r="D3628">
        <v>4.3331780000000002</v>
      </c>
      <c r="E3628">
        <v>0.45119730000000002</v>
      </c>
      <c r="F3628" t="s">
        <v>42</v>
      </c>
      <c r="G3628">
        <v>-364.96069999999997</v>
      </c>
      <c r="H3628" s="1">
        <v>-2.1762590000000002E-6</v>
      </c>
      <c r="I3628">
        <v>139.43539999999999</v>
      </c>
      <c r="J3628">
        <v>-348.29500000000002</v>
      </c>
      <c r="K3628">
        <v>1.110668</v>
      </c>
      <c r="L3628">
        <v>141.1831</v>
      </c>
      <c r="M3628">
        <v>-0.99982760000000004</v>
      </c>
      <c r="N3628">
        <v>0</v>
      </c>
      <c r="O3628">
        <v>-1.213026E-2</v>
      </c>
      <c r="P3628">
        <v>-0.98092049999999997</v>
      </c>
      <c r="Q3628">
        <v>0.1907123</v>
      </c>
      <c r="R3628">
        <v>3.7736930000000002E-2</v>
      </c>
      <c r="S3628">
        <v>-3.110779</v>
      </c>
      <c r="T3628">
        <v>-0.20294190000000001</v>
      </c>
      <c r="U3628">
        <v>-0.3201599</v>
      </c>
      <c r="V3628">
        <v>4.9482959999999999E-2</v>
      </c>
      <c r="W3628">
        <v>0.20452480000000001</v>
      </c>
      <c r="X3628">
        <v>0.97760990000000003</v>
      </c>
      <c r="Y3628">
        <v>-9.0139460000000005E-2</v>
      </c>
      <c r="Z3628">
        <v>-2.1410560000000001E-3</v>
      </c>
      <c r="AA3628">
        <v>0.99592689999999995</v>
      </c>
      <c r="AB3628">
        <v>37</v>
      </c>
      <c r="AC3628">
        <v>-16.665699999999902</v>
      </c>
      <c r="AD3628">
        <v>-1.1106701762590001</v>
      </c>
      <c r="AE3628">
        <v>-1.7477</v>
      </c>
      <c r="AF3628">
        <v>-1.53863273688686</v>
      </c>
      <c r="AG3628">
        <v>-1.1106701762590001</v>
      </c>
      <c r="AH3628">
        <v>16.6126941762762</v>
      </c>
      <c r="AI3628">
        <v>93.8086632081</v>
      </c>
      <c r="AJ3628">
        <v>95.291518504075199</v>
      </c>
      <c r="AK3628">
        <v>16.7207232718543</v>
      </c>
      <c r="AL3628">
        <v>78.198317727974896</v>
      </c>
      <c r="AM3628">
        <v>87.102374633812502</v>
      </c>
      <c r="AN3628">
        <v>1.0000000368616999</v>
      </c>
    </row>
    <row r="3629" spans="1:40" x14ac:dyDescent="0.25">
      <c r="A3629" t="str">
        <f>"20190312164340366"</f>
        <v>20190312164340366</v>
      </c>
      <c r="B3629" t="str">
        <f>"1552380220358907"</f>
        <v>1552380220358907</v>
      </c>
      <c r="C3629" t="s">
        <v>40</v>
      </c>
      <c r="D3629">
        <v>4.3477949999999996</v>
      </c>
      <c r="E3629">
        <v>0.45121879999999998</v>
      </c>
      <c r="F3629" t="s">
        <v>42</v>
      </c>
      <c r="G3629">
        <v>-365.2346</v>
      </c>
      <c r="H3629" s="1">
        <v>-2.059948E-6</v>
      </c>
      <c r="I3629">
        <v>139.42850000000001</v>
      </c>
      <c r="J3629">
        <v>-348.6748</v>
      </c>
      <c r="K3629">
        <v>1.110641</v>
      </c>
      <c r="L3629">
        <v>141.17830000000001</v>
      </c>
      <c r="M3629">
        <v>-0.9998245</v>
      </c>
      <c r="N3629">
        <v>0</v>
      </c>
      <c r="O3629">
        <v>-1.237651E-2</v>
      </c>
      <c r="P3629">
        <v>-0.98109869999999999</v>
      </c>
      <c r="Q3629">
        <v>0.189772</v>
      </c>
      <c r="R3629">
        <v>3.7843590000000003E-2</v>
      </c>
      <c r="S3629">
        <v>-3.1104430000000001</v>
      </c>
      <c r="T3629">
        <v>-0.2039417</v>
      </c>
      <c r="U3629">
        <v>-0.32217410000000002</v>
      </c>
      <c r="V3629">
        <v>4.9847259999999997E-2</v>
      </c>
      <c r="W3629">
        <v>0.2035814</v>
      </c>
      <c r="X3629">
        <v>0.97778830000000005</v>
      </c>
      <c r="Y3629">
        <v>-9.0541239999999995E-2</v>
      </c>
      <c r="Z3629">
        <v>-2.1487820000000001E-3</v>
      </c>
      <c r="AA3629">
        <v>0.99589039999999995</v>
      </c>
      <c r="AB3629">
        <v>37</v>
      </c>
      <c r="AC3629">
        <v>-16.5597999999999</v>
      </c>
      <c r="AD3629">
        <v>-1.1106430599479999</v>
      </c>
      <c r="AE3629">
        <v>-1.74979999999999</v>
      </c>
      <c r="AF3629">
        <v>-1.5378519669542401</v>
      </c>
      <c r="AG3629">
        <v>-1.1106430599479999</v>
      </c>
      <c r="AH3629">
        <v>16.506759114311102</v>
      </c>
      <c r="AI3629">
        <v>93.8327475034028</v>
      </c>
      <c r="AJ3629">
        <v>95.322596388252407</v>
      </c>
      <c r="AK3629">
        <v>16.6154028881869</v>
      </c>
      <c r="AL3629">
        <v>78.253532419866104</v>
      </c>
      <c r="AM3629">
        <v>87.081610339497701</v>
      </c>
      <c r="AN3629">
        <v>1.0000000476861699</v>
      </c>
    </row>
    <row r="3630" spans="1:40" x14ac:dyDescent="0.25">
      <c r="A3630" t="str">
        <f>"20190312164340389"</f>
        <v>20190312164340389</v>
      </c>
      <c r="B3630" t="str">
        <f>"1552380220378427"</f>
        <v>1552380220378427</v>
      </c>
      <c r="C3630" t="s">
        <v>40</v>
      </c>
      <c r="D3630">
        <v>4.3694629999999997</v>
      </c>
      <c r="E3630">
        <v>0.45108490000000001</v>
      </c>
      <c r="F3630" t="s">
        <v>42</v>
      </c>
      <c r="G3630">
        <v>-365.44760000000002</v>
      </c>
      <c r="H3630" s="1">
        <v>-1.966349E-6</v>
      </c>
      <c r="I3630">
        <v>139.44110000000001</v>
      </c>
      <c r="J3630">
        <v>-349.04469999999998</v>
      </c>
      <c r="K3630">
        <v>1.1106149999999999</v>
      </c>
      <c r="L3630">
        <v>141.17349999999999</v>
      </c>
      <c r="M3630">
        <v>-0.99982199999999999</v>
      </c>
      <c r="N3630">
        <v>0</v>
      </c>
      <c r="O3630">
        <v>-1.2589650000000001E-2</v>
      </c>
      <c r="P3630">
        <v>-0.98123749999999998</v>
      </c>
      <c r="Q3630">
        <v>0.18910150000000001</v>
      </c>
      <c r="R3630">
        <v>3.7603110000000002E-2</v>
      </c>
      <c r="S3630">
        <v>-3.110077</v>
      </c>
      <c r="T3630">
        <v>-0.20594019999999999</v>
      </c>
      <c r="U3630">
        <v>-0.32209779999999999</v>
      </c>
      <c r="V3630">
        <v>4.9830630000000001E-2</v>
      </c>
      <c r="W3630">
        <v>0.2029077</v>
      </c>
      <c r="X3630">
        <v>0.9779291</v>
      </c>
      <c r="Y3630">
        <v>-9.0314450000000004E-2</v>
      </c>
      <c r="Z3630">
        <v>-2.1485139999999998E-3</v>
      </c>
      <c r="AA3630">
        <v>0.99591099999999999</v>
      </c>
      <c r="AB3630">
        <v>37</v>
      </c>
      <c r="AC3630">
        <v>-16.402899999999999</v>
      </c>
      <c r="AD3630">
        <v>-1.110616966349</v>
      </c>
      <c r="AE3630">
        <v>-1.73239999999998</v>
      </c>
      <c r="AF3630">
        <v>-1.51884923698575</v>
      </c>
      <c r="AG3630">
        <v>-1.110616966349</v>
      </c>
      <c r="AH3630">
        <v>16.349286572491</v>
      </c>
      <c r="AI3630">
        <v>93.869555659996195</v>
      </c>
      <c r="AJ3630">
        <v>95.307545925584606</v>
      </c>
      <c r="AK3630">
        <v>16.4572034222121</v>
      </c>
      <c r="AL3630">
        <v>78.292954565259507</v>
      </c>
      <c r="AM3630">
        <v>87.083001605498097</v>
      </c>
      <c r="AN3630">
        <v>0.99999997551614805</v>
      </c>
    </row>
    <row r="3631" spans="1:40" x14ac:dyDescent="0.25">
      <c r="A3631" t="str">
        <f>"20190312164340410"</f>
        <v>20190312164340410</v>
      </c>
      <c r="B3631" t="str">
        <f>"1552380220398923"</f>
        <v>1552380220398923</v>
      </c>
      <c r="C3631" t="s">
        <v>40</v>
      </c>
      <c r="D3631">
        <v>4.3098919999999996</v>
      </c>
      <c r="E3631">
        <v>0.45096740000000002</v>
      </c>
      <c r="F3631" t="s">
        <v>42</v>
      </c>
      <c r="G3631">
        <v>-365.59059999999999</v>
      </c>
      <c r="H3631" s="1">
        <v>-1.9038150000000001E-6</v>
      </c>
      <c r="I3631">
        <v>139.4478</v>
      </c>
      <c r="J3631">
        <v>-349.39179999999999</v>
      </c>
      <c r="K3631">
        <v>1.110587</v>
      </c>
      <c r="L3631">
        <v>141.16890000000001</v>
      </c>
      <c r="M3631">
        <v>-0.99981980000000004</v>
      </c>
      <c r="N3631">
        <v>0</v>
      </c>
      <c r="O3631">
        <v>-1.276454E-2</v>
      </c>
      <c r="P3631">
        <v>-0.9813501</v>
      </c>
      <c r="Q3631">
        <v>0.1884855</v>
      </c>
      <c r="R3631">
        <v>3.7752599999999997E-2</v>
      </c>
      <c r="S3631">
        <v>-3.1100159999999999</v>
      </c>
      <c r="T3631">
        <v>-0.2087551</v>
      </c>
      <c r="U3631">
        <v>-0.32435609999999998</v>
      </c>
      <c r="V3631">
        <v>5.0165559999999998E-2</v>
      </c>
      <c r="W3631">
        <v>0.202288</v>
      </c>
      <c r="X3631">
        <v>0.97804040000000003</v>
      </c>
      <c r="Y3631">
        <v>-9.0852240000000001E-2</v>
      </c>
      <c r="Z3631">
        <v>-2.184067E-3</v>
      </c>
      <c r="AA3631">
        <v>0.99586200000000002</v>
      </c>
      <c r="AB3631">
        <v>37</v>
      </c>
      <c r="AC3631">
        <v>-16.198799999999999</v>
      </c>
      <c r="AD3631">
        <v>-1.1105889038150001</v>
      </c>
      <c r="AE3631">
        <v>-1.7211000000000001</v>
      </c>
      <c r="AF3631">
        <v>-1.5071638167696799</v>
      </c>
      <c r="AG3631">
        <v>-1.1105889038150001</v>
      </c>
      <c r="AH3631">
        <v>16.144412070659801</v>
      </c>
      <c r="AI3631">
        <v>93.918245924539505</v>
      </c>
      <c r="AJ3631">
        <v>95.333397405537895</v>
      </c>
      <c r="AK3631">
        <v>16.25259953334</v>
      </c>
      <c r="AL3631">
        <v>78.329213221932505</v>
      </c>
      <c r="AM3631">
        <v>87.063763182658406</v>
      </c>
      <c r="AN3631">
        <v>1.0000000211931299</v>
      </c>
    </row>
    <row r="3632" spans="1:40" x14ac:dyDescent="0.25">
      <c r="A3632" t="str">
        <f>"20190312164340433"</f>
        <v>20190312164340433</v>
      </c>
      <c r="B3632" t="str">
        <f>"1552380220428204"</f>
        <v>1552380220428204</v>
      </c>
      <c r="C3632" t="s">
        <v>40</v>
      </c>
      <c r="D3632">
        <v>4.297606</v>
      </c>
      <c r="E3632">
        <v>0.45088159999999999</v>
      </c>
      <c r="F3632" t="s">
        <v>42</v>
      </c>
      <c r="G3632">
        <v>-365.78769999999997</v>
      </c>
      <c r="H3632" s="1">
        <v>-1.818085E-6</v>
      </c>
      <c r="I3632">
        <v>139.4545</v>
      </c>
      <c r="J3632">
        <v>-349.77519999999998</v>
      </c>
      <c r="K3632">
        <v>1.110562</v>
      </c>
      <c r="L3632">
        <v>141.16380000000001</v>
      </c>
      <c r="M3632">
        <v>-0.99981759999999997</v>
      </c>
      <c r="N3632">
        <v>0</v>
      </c>
      <c r="O3632">
        <v>-1.2928159999999999E-2</v>
      </c>
      <c r="P3632">
        <v>-0.98147019999999996</v>
      </c>
      <c r="Q3632">
        <v>0.1878803</v>
      </c>
      <c r="R3632">
        <v>3.7645150000000002E-2</v>
      </c>
      <c r="S3632">
        <v>-3.1100159999999999</v>
      </c>
      <c r="T3632">
        <v>-0.2106613</v>
      </c>
      <c r="U3632">
        <v>-0.32518010000000003</v>
      </c>
      <c r="V3632">
        <v>5.0234380000000002E-2</v>
      </c>
      <c r="W3632">
        <v>0.20167860000000001</v>
      </c>
      <c r="X3632">
        <v>0.97816270000000005</v>
      </c>
      <c r="Y3632">
        <v>-9.0947260000000002E-2</v>
      </c>
      <c r="Z3632">
        <v>-2.1961039999999999E-3</v>
      </c>
      <c r="AA3632">
        <v>0.99585330000000005</v>
      </c>
      <c r="AB3632">
        <v>37</v>
      </c>
      <c r="AC3632">
        <v>-16.0124999999999</v>
      </c>
      <c r="AD3632">
        <v>-1.1105638180849999</v>
      </c>
      <c r="AE3632">
        <v>-1.70930000000001</v>
      </c>
      <c r="AF3632">
        <v>-1.49501411462891</v>
      </c>
      <c r="AG3632">
        <v>-1.1105638180849999</v>
      </c>
      <c r="AH3632">
        <v>15.9573675249401</v>
      </c>
      <c r="AI3632">
        <v>93.963816939676306</v>
      </c>
      <c r="AJ3632">
        <v>95.352304580551802</v>
      </c>
      <c r="AK3632">
        <v>16.0656776241462</v>
      </c>
      <c r="AL3632">
        <v>78.364863928628097</v>
      </c>
      <c r="AM3632">
        <v>87.060109123908603</v>
      </c>
      <c r="AN3632">
        <v>1.0000000091516099</v>
      </c>
    </row>
    <row r="3633" spans="1:40" x14ac:dyDescent="0.25">
      <c r="A3633" t="str">
        <f>"20190312164340455"</f>
        <v>20190312164340455</v>
      </c>
      <c r="B3633" t="str">
        <f>"1552380220448698"</f>
        <v>1552380220448698</v>
      </c>
      <c r="C3633" t="s">
        <v>40</v>
      </c>
      <c r="D3633">
        <v>4.271191</v>
      </c>
      <c r="E3633">
        <v>0.4511812</v>
      </c>
      <c r="F3633" t="s">
        <v>42</v>
      </c>
      <c r="G3633">
        <v>-366.06599999999997</v>
      </c>
      <c r="H3633" s="1">
        <v>-1.6987510000000001E-6</v>
      </c>
      <c r="I3633">
        <v>139.45400000000001</v>
      </c>
      <c r="J3633">
        <v>-350.15910000000002</v>
      </c>
      <c r="K3633">
        <v>1.11053</v>
      </c>
      <c r="L3633">
        <v>141.15870000000001</v>
      </c>
      <c r="M3633">
        <v>-0.99981589999999998</v>
      </c>
      <c r="N3633">
        <v>0</v>
      </c>
      <c r="O3633">
        <v>-1.306062E-2</v>
      </c>
      <c r="P3633">
        <v>-0.9815199</v>
      </c>
      <c r="Q3633">
        <v>0.1876139</v>
      </c>
      <c r="R3633">
        <v>3.7681659999999999E-2</v>
      </c>
      <c r="S3633">
        <v>-3.1097410000000001</v>
      </c>
      <c r="T3633">
        <v>-0.21199580000000001</v>
      </c>
      <c r="U3633">
        <v>-0.3263702</v>
      </c>
      <c r="V3633">
        <v>5.0417160000000003E-2</v>
      </c>
      <c r="W3633">
        <v>0.20140720000000001</v>
      </c>
      <c r="X3633">
        <v>0.9782092</v>
      </c>
      <c r="Y3633">
        <v>-9.1198879999999996E-2</v>
      </c>
      <c r="Z3633">
        <v>-2.2096849999999999E-3</v>
      </c>
      <c r="AA3633">
        <v>0.9958302</v>
      </c>
      <c r="AB3633">
        <v>37</v>
      </c>
      <c r="AC3633">
        <v>-15.906899999999901</v>
      </c>
      <c r="AD3633">
        <v>-1.1105316987510001</v>
      </c>
      <c r="AE3633">
        <v>-1.7047000000000001</v>
      </c>
      <c r="AF3633">
        <v>-1.4896020961190799</v>
      </c>
      <c r="AG3633">
        <v>-1.1105316987510001</v>
      </c>
      <c r="AH3633">
        <v>15.8514260752225</v>
      </c>
      <c r="AI3633">
        <v>93.990003068223601</v>
      </c>
      <c r="AJ3633">
        <v>95.368476208476395</v>
      </c>
      <c r="AK3633">
        <v>15.9599468569584</v>
      </c>
      <c r="AL3633">
        <v>78.380739609086106</v>
      </c>
      <c r="AM3633">
        <v>87.049571079324593</v>
      </c>
      <c r="AN3633">
        <v>0.99999999459947198</v>
      </c>
    </row>
    <row r="3634" spans="1:40" x14ac:dyDescent="0.25">
      <c r="A3634" t="str">
        <f>"20190312164340477"</f>
        <v>20190312164340477</v>
      </c>
      <c r="B3634" t="str">
        <f>"1552380220468219"</f>
        <v>1552380220468219</v>
      </c>
      <c r="C3634" t="s">
        <v>40</v>
      </c>
      <c r="D3634">
        <v>4.2625820000000001</v>
      </c>
      <c r="E3634">
        <v>0.45099549999999999</v>
      </c>
      <c r="F3634" t="s">
        <v>42</v>
      </c>
      <c r="G3634">
        <v>-366.37060000000002</v>
      </c>
      <c r="H3634" s="1">
        <v>-1.564751E-6</v>
      </c>
      <c r="I3634">
        <v>139.47290000000001</v>
      </c>
      <c r="J3634">
        <v>-350.51929999999999</v>
      </c>
      <c r="K3634">
        <v>1.1104959999999999</v>
      </c>
      <c r="L3634">
        <v>141.15389999999999</v>
      </c>
      <c r="M3634">
        <v>-0.99981469999999995</v>
      </c>
      <c r="N3634">
        <v>0</v>
      </c>
      <c r="O3634">
        <v>-1.315472E-2</v>
      </c>
      <c r="P3634">
        <v>-0.98156810000000005</v>
      </c>
      <c r="Q3634">
        <v>0.18735260000000001</v>
      </c>
      <c r="R3634">
        <v>3.772263E-2</v>
      </c>
      <c r="S3634">
        <v>-3.1096499999999998</v>
      </c>
      <c r="T3634">
        <v>-0.2130204</v>
      </c>
      <c r="U3634">
        <v>-0.323349</v>
      </c>
      <c r="V3634">
        <v>5.0566029999999998E-2</v>
      </c>
      <c r="W3634">
        <v>0.2011405</v>
      </c>
      <c r="X3634">
        <v>0.97825640000000003</v>
      </c>
      <c r="Y3634">
        <v>-9.0151949999999995E-2</v>
      </c>
      <c r="Z3634">
        <v>-2.1783750000000002E-3</v>
      </c>
      <c r="AA3634">
        <v>0.99592570000000002</v>
      </c>
      <c r="AB3634">
        <v>37</v>
      </c>
      <c r="AC3634">
        <v>-15.8513</v>
      </c>
      <c r="AD3634">
        <v>-1.110497564751</v>
      </c>
      <c r="AE3634">
        <v>-1.6809999999999801</v>
      </c>
      <c r="AF3634">
        <v>-1.46520325199644</v>
      </c>
      <c r="AG3634">
        <v>-1.110497564751</v>
      </c>
      <c r="AH3634">
        <v>15.795381690647099</v>
      </c>
      <c r="AI3634">
        <v>94.004439023893099</v>
      </c>
      <c r="AJ3634">
        <v>95.299676304879796</v>
      </c>
      <c r="AK3634">
        <v>15.902015852218501</v>
      </c>
      <c r="AL3634">
        <v>78.396339760447006</v>
      </c>
      <c r="AM3634">
        <v>87.041017139882797</v>
      </c>
      <c r="AN3634">
        <v>1.0000000041355801</v>
      </c>
    </row>
    <row r="3635" spans="1:40" x14ac:dyDescent="0.25">
      <c r="A3635" t="str">
        <f>"20190312164340505"</f>
        <v>20190312164340505</v>
      </c>
      <c r="B3635" t="str">
        <f>"1552380220498475"</f>
        <v>1552380220498475</v>
      </c>
      <c r="C3635" t="s">
        <v>40</v>
      </c>
      <c r="D3635">
        <v>4.259271</v>
      </c>
      <c r="E3635">
        <v>0.42993429999999999</v>
      </c>
      <c r="F3635" t="s">
        <v>42</v>
      </c>
      <c r="G3635">
        <v>-366.71870000000001</v>
      </c>
      <c r="H3635" s="1">
        <v>-1.4175800000000001E-6</v>
      </c>
      <c r="I3635">
        <v>139.46080000000001</v>
      </c>
      <c r="J3635">
        <v>-350.96910000000003</v>
      </c>
      <c r="K3635">
        <v>1.110457</v>
      </c>
      <c r="L3635">
        <v>141.14789999999999</v>
      </c>
      <c r="M3635">
        <v>-0.99981370000000003</v>
      </c>
      <c r="N3635">
        <v>0</v>
      </c>
      <c r="O3635">
        <v>-1.3231039999999999E-2</v>
      </c>
      <c r="P3635">
        <v>-0.98158069999999997</v>
      </c>
      <c r="Q3635">
        <v>0.18727170000000001</v>
      </c>
      <c r="R3635">
        <v>3.7797850000000001E-2</v>
      </c>
      <c r="S3635">
        <v>-3.1094970000000002</v>
      </c>
      <c r="T3635">
        <v>-0.2131624</v>
      </c>
      <c r="U3635">
        <v>-0.32498169999999998</v>
      </c>
      <c r="V3635">
        <v>5.0735080000000002E-2</v>
      </c>
      <c r="W3635">
        <v>0.2010527</v>
      </c>
      <c r="X3635">
        <v>0.97826570000000002</v>
      </c>
      <c r="Y3635">
        <v>-9.0597170000000005E-2</v>
      </c>
      <c r="Z3635">
        <v>-2.1898629999999998E-3</v>
      </c>
      <c r="AA3635">
        <v>0.99588520000000003</v>
      </c>
      <c r="AB3635">
        <v>37</v>
      </c>
      <c r="AC3635">
        <v>-15.7495999999999</v>
      </c>
      <c r="AD3635">
        <v>-1.1104584175799901</v>
      </c>
      <c r="AE3635">
        <v>-1.6870999999999801</v>
      </c>
      <c r="AF3635">
        <v>-1.47131681769811</v>
      </c>
      <c r="AG3635">
        <v>-1.1104584175799901</v>
      </c>
      <c r="AH3635">
        <v>15.693414572873801</v>
      </c>
      <c r="AI3635">
        <v>94.029862075766005</v>
      </c>
      <c r="AJ3635">
        <v>95.356039300986893</v>
      </c>
      <c r="AK3635">
        <v>15.8013022258073</v>
      </c>
      <c r="AL3635">
        <v>78.401475287761599</v>
      </c>
      <c r="AM3635">
        <v>87.031170647225807</v>
      </c>
      <c r="AN3635">
        <v>1.0000000081581899</v>
      </c>
    </row>
    <row r="3636" spans="1:40" x14ac:dyDescent="0.25">
      <c r="A3636" t="str">
        <f>"20190312164340521"</f>
        <v>20190312164340521</v>
      </c>
      <c r="B3636" t="str">
        <f>"1552380220517995"</f>
        <v>1552380220517995</v>
      </c>
      <c r="C3636" t="s">
        <v>40</v>
      </c>
      <c r="D3636">
        <v>4.2114409999999998</v>
      </c>
      <c r="E3636">
        <v>0.42971490000000001</v>
      </c>
      <c r="F3636" t="s">
        <v>42</v>
      </c>
      <c r="G3636">
        <v>-366.52300000000002</v>
      </c>
      <c r="H3636" s="1">
        <v>-1.639286E-6</v>
      </c>
      <c r="I3636">
        <v>138.684</v>
      </c>
      <c r="J3636">
        <v>-351.25839999999999</v>
      </c>
      <c r="K3636">
        <v>1.1104339999999999</v>
      </c>
      <c r="L3636">
        <v>141.14400000000001</v>
      </c>
      <c r="M3636">
        <v>-0.99981330000000002</v>
      </c>
      <c r="N3636">
        <v>0</v>
      </c>
      <c r="O3636">
        <v>-1.3261159999999999E-2</v>
      </c>
      <c r="P3636">
        <v>-0.98156480000000002</v>
      </c>
      <c r="Q3636">
        <v>0.1874276</v>
      </c>
      <c r="R3636">
        <v>3.743838E-2</v>
      </c>
      <c r="S3636">
        <v>-3.1178279999999998</v>
      </c>
      <c r="T3636">
        <v>-0.2225955</v>
      </c>
      <c r="U3636">
        <v>-0.49388120000000002</v>
      </c>
      <c r="V3636">
        <v>5.0416019999999999E-2</v>
      </c>
      <c r="W3636">
        <v>0.20120360000000001</v>
      </c>
      <c r="X3636">
        <v>0.97825119999999999</v>
      </c>
      <c r="Y3636">
        <v>-0.14301989999999901</v>
      </c>
      <c r="Z3636">
        <v>-4.1278870000000002E-3</v>
      </c>
      <c r="AA3636">
        <v>0.98971120000000001</v>
      </c>
      <c r="AB3636">
        <v>37</v>
      </c>
      <c r="AC3636">
        <v>-15.2646</v>
      </c>
      <c r="AD3636">
        <v>-1.110435639286</v>
      </c>
      <c r="AE3636">
        <v>-2.46</v>
      </c>
      <c r="AF3636">
        <v>-2.2457537682875701</v>
      </c>
      <c r="AG3636">
        <v>-1.110435639286</v>
      </c>
      <c r="AH3636">
        <v>15.217391978344001</v>
      </c>
      <c r="AI3636">
        <v>94.128996622083406</v>
      </c>
      <c r="AJ3636">
        <v>98.395006383476897</v>
      </c>
      <c r="AK3636">
        <v>15.422240301569101</v>
      </c>
      <c r="AL3636">
        <v>78.392649328319195</v>
      </c>
      <c r="AM3636">
        <v>87.049764120990005</v>
      </c>
      <c r="AN3636">
        <v>1.00000003701351</v>
      </c>
    </row>
    <row r="3637" spans="1:40" x14ac:dyDescent="0.25">
      <c r="A3637" t="str">
        <f>"20190312164340545"</f>
        <v>20190312164340545</v>
      </c>
      <c r="B3637" t="str">
        <f>"1552380220538494"</f>
        <v>1552380220538494</v>
      </c>
      <c r="C3637" t="s">
        <v>40</v>
      </c>
      <c r="D3637">
        <v>4.2591780000000004</v>
      </c>
      <c r="E3637">
        <v>0.429788</v>
      </c>
      <c r="F3637" t="s">
        <v>42</v>
      </c>
      <c r="G3637">
        <v>-366.37630000000001</v>
      </c>
      <c r="H3637" s="1">
        <v>-1.6932590000000001E-6</v>
      </c>
      <c r="I3637">
        <v>138.7347</v>
      </c>
      <c r="J3637">
        <v>-351.64359999999999</v>
      </c>
      <c r="K3637">
        <v>1.110417</v>
      </c>
      <c r="L3637">
        <v>141.13890000000001</v>
      </c>
      <c r="M3637">
        <v>-0.99981319999999996</v>
      </c>
      <c r="N3637">
        <v>0</v>
      </c>
      <c r="O3637">
        <v>-1.3281940000000001E-2</v>
      </c>
      <c r="P3637">
        <v>-0.98147830000000003</v>
      </c>
      <c r="Q3637">
        <v>0.18796879999999999</v>
      </c>
      <c r="R3637">
        <v>3.6994949999999999E-2</v>
      </c>
      <c r="S3637">
        <v>-3.119049</v>
      </c>
      <c r="T3637">
        <v>-0.22910179999999999</v>
      </c>
      <c r="U3637">
        <v>-0.49705510000000003</v>
      </c>
      <c r="V3637">
        <v>5.0003730000000003E-2</v>
      </c>
      <c r="W3637">
        <v>0.20173840000000001</v>
      </c>
      <c r="X3637">
        <v>0.97816219999999998</v>
      </c>
      <c r="Y3637">
        <v>-0.14390069999999999</v>
      </c>
      <c r="Z3637">
        <v>-4.2768449999999996E-3</v>
      </c>
      <c r="AA3637">
        <v>0.98958290000000004</v>
      </c>
      <c r="AB3637">
        <v>37</v>
      </c>
      <c r="AC3637">
        <v>-14.732699999999999</v>
      </c>
      <c r="AD3637">
        <v>-1.1104186932589999</v>
      </c>
      <c r="AE3637">
        <v>-2.4041999999999999</v>
      </c>
      <c r="AF3637">
        <v>-2.1961375738939801</v>
      </c>
      <c r="AG3637">
        <v>-1.1104186932589999</v>
      </c>
      <c r="AH3637">
        <v>14.682093380207199</v>
      </c>
      <c r="AI3637">
        <v>94.277682458697498</v>
      </c>
      <c r="AJ3637">
        <v>98.507191470068094</v>
      </c>
      <c r="AK3637">
        <v>14.8869041759169</v>
      </c>
      <c r="AL3637">
        <v>78.361365892745695</v>
      </c>
      <c r="AM3637">
        <v>87.073582554498401</v>
      </c>
      <c r="AN3637">
        <v>1.00000002227865</v>
      </c>
    </row>
    <row r="3638" spans="1:40" x14ac:dyDescent="0.25">
      <c r="A3638" t="str">
        <f>"20190312164340567"</f>
        <v>20190312164340567</v>
      </c>
      <c r="B3638" t="str">
        <f>"1552380220558011"</f>
        <v>1552380220558011</v>
      </c>
      <c r="C3638" t="s">
        <v>40</v>
      </c>
      <c r="D3638">
        <v>4.1867760000000001</v>
      </c>
      <c r="E3638">
        <v>0.43003730000000001</v>
      </c>
      <c r="F3638" t="s">
        <v>42</v>
      </c>
      <c r="G3638">
        <v>-366.77960000000002</v>
      </c>
      <c r="H3638" s="1">
        <v>-1.5224339999999999E-6</v>
      </c>
      <c r="I3638">
        <v>138.72219999999999</v>
      </c>
      <c r="J3638">
        <v>-352.01209999999998</v>
      </c>
      <c r="K3638">
        <v>1.1104019999999999</v>
      </c>
      <c r="L3638">
        <v>141.13390000000001</v>
      </c>
      <c r="M3638">
        <v>-0.99981299999999995</v>
      </c>
      <c r="N3638">
        <v>0</v>
      </c>
      <c r="O3638">
        <v>-1.328913E-2</v>
      </c>
      <c r="P3638">
        <v>-0.98141920000000005</v>
      </c>
      <c r="Q3638">
        <v>0.18820139999999999</v>
      </c>
      <c r="R3638">
        <v>3.737062E-2</v>
      </c>
      <c r="S3638">
        <v>-3.119202</v>
      </c>
      <c r="T3638">
        <v>-0.22883490000000001</v>
      </c>
      <c r="U3638">
        <v>-0.49800109999999997</v>
      </c>
      <c r="V3638">
        <v>5.039395E-2</v>
      </c>
      <c r="W3638">
        <v>0.2019658</v>
      </c>
      <c r="X3638">
        <v>0.97809520000000005</v>
      </c>
      <c r="Y3638">
        <v>-0.144178799999999</v>
      </c>
      <c r="Z3638">
        <v>-4.2811719999999998E-3</v>
      </c>
      <c r="AA3638">
        <v>0.98954240000000004</v>
      </c>
      <c r="AB3638">
        <v>37</v>
      </c>
      <c r="AC3638">
        <v>-14.7675</v>
      </c>
      <c r="AD3638">
        <v>-1.1104035224339901</v>
      </c>
      <c r="AE3638">
        <v>-2.4117000000000202</v>
      </c>
      <c r="AF3638">
        <v>-2.20308795066346</v>
      </c>
      <c r="AG3638">
        <v>-1.1104035224339901</v>
      </c>
      <c r="AH3638">
        <v>14.717200362260099</v>
      </c>
      <c r="AI3638">
        <v>94.267386120879706</v>
      </c>
      <c r="AJ3638">
        <v>98.513661388208902</v>
      </c>
      <c r="AK3638">
        <v>14.9225526973069</v>
      </c>
      <c r="AL3638">
        <v>78.348062476254398</v>
      </c>
      <c r="AM3638">
        <v>87.050583821354095</v>
      </c>
      <c r="AN3638">
        <v>0.99999997741464097</v>
      </c>
    </row>
    <row r="3639" spans="1:40" x14ac:dyDescent="0.25">
      <c r="A3639" t="str">
        <f>"20190312164340588"</f>
        <v>20190312164340588</v>
      </c>
      <c r="B3639" t="str">
        <f>"1552380220578507"</f>
        <v>1552380220578507</v>
      </c>
      <c r="C3639" t="s">
        <v>40</v>
      </c>
      <c r="D3639">
        <v>4.2703439999999997</v>
      </c>
      <c r="E3639">
        <v>0.43005300000000002</v>
      </c>
      <c r="F3639" t="s">
        <v>42</v>
      </c>
      <c r="G3639">
        <v>-367.33210000000003</v>
      </c>
      <c r="H3639" s="1">
        <v>-1.2902029999999901E-6</v>
      </c>
      <c r="I3639">
        <v>138.6952</v>
      </c>
      <c r="J3639">
        <v>-352.3664</v>
      </c>
      <c r="K3639">
        <v>1.1103909999999999</v>
      </c>
      <c r="L3639">
        <v>141.1292</v>
      </c>
      <c r="M3639">
        <v>-0.99981310000000001</v>
      </c>
      <c r="N3639">
        <v>0</v>
      </c>
      <c r="O3639">
        <v>-1.3287220000000001E-2</v>
      </c>
      <c r="P3639">
        <v>-0.98141029999999996</v>
      </c>
      <c r="Q3639">
        <v>0.18820509999999999</v>
      </c>
      <c r="R3639">
        <v>3.7588539999999997E-2</v>
      </c>
      <c r="S3639">
        <v>-3.1190799999999999</v>
      </c>
      <c r="T3639">
        <v>-0.22607340000000001</v>
      </c>
      <c r="U3639">
        <v>-0.4964905</v>
      </c>
      <c r="V3639">
        <v>5.061645E-2</v>
      </c>
      <c r="W3639">
        <v>0.2019658</v>
      </c>
      <c r="X3639">
        <v>0.9780837</v>
      </c>
      <c r="Y3639">
        <v>-0.14372869999999999</v>
      </c>
      <c r="Z3639">
        <v>-4.2139109999999999E-3</v>
      </c>
      <c r="AA3639">
        <v>0.98960820000000005</v>
      </c>
      <c r="AB3639">
        <v>37</v>
      </c>
      <c r="AC3639">
        <v>-14.9657</v>
      </c>
      <c r="AD3639">
        <v>-1.1103922902029999</v>
      </c>
      <c r="AE3639">
        <v>-2.4339999999999899</v>
      </c>
      <c r="AF3639">
        <v>-2.2229906804369999</v>
      </c>
      <c r="AG3639">
        <v>-1.1103922902029999</v>
      </c>
      <c r="AH3639">
        <v>14.916722152823899</v>
      </c>
      <c r="AI3639">
        <v>94.2108804908259</v>
      </c>
      <c r="AJ3639">
        <v>98.476221998269196</v>
      </c>
      <c r="AK3639">
        <v>15.122276891658901</v>
      </c>
      <c r="AL3639">
        <v>78.348062350756393</v>
      </c>
      <c r="AM3639">
        <v>87.037549897994595</v>
      </c>
      <c r="AN3639">
        <v>0.99999996679296499</v>
      </c>
    </row>
    <row r="3640" spans="1:40" x14ac:dyDescent="0.25">
      <c r="A3640" t="str">
        <f>"20190312164340611"</f>
        <v>20190312164340611</v>
      </c>
      <c r="B3640" t="str">
        <f>"1552380220608763"</f>
        <v>1552380220608763</v>
      </c>
      <c r="C3640" t="s">
        <v>40</v>
      </c>
      <c r="D3640">
        <v>4.2397900000000002</v>
      </c>
      <c r="E3640">
        <v>0.43034650000000002</v>
      </c>
      <c r="F3640" t="s">
        <v>42</v>
      </c>
      <c r="G3640">
        <v>-367.56220000000002</v>
      </c>
      <c r="H3640" s="1">
        <v>-1.1879519999999901E-6</v>
      </c>
      <c r="I3640">
        <v>138.71520000000001</v>
      </c>
      <c r="J3640">
        <v>-352.74040000000002</v>
      </c>
      <c r="K3640">
        <v>1.1103749999999999</v>
      </c>
      <c r="L3640">
        <v>141.1242</v>
      </c>
      <c r="M3640">
        <v>-0.99981339999999996</v>
      </c>
      <c r="N3640">
        <v>0</v>
      </c>
      <c r="O3640">
        <v>-1.3271929999999999E-2</v>
      </c>
      <c r="P3640">
        <v>-0.98138510000000001</v>
      </c>
      <c r="Q3640">
        <v>0.18832019999999999</v>
      </c>
      <c r="R3640">
        <v>3.7671740000000002E-2</v>
      </c>
      <c r="S3640">
        <v>-3.1195369999999998</v>
      </c>
      <c r="T3640">
        <v>-0.22795260000000001</v>
      </c>
      <c r="U3640">
        <v>-0.49555969999999999</v>
      </c>
      <c r="V3640">
        <v>5.0691739999999999E-2</v>
      </c>
      <c r="W3640">
        <v>0.20207649999999999</v>
      </c>
      <c r="X3640">
        <v>0.97805699999999995</v>
      </c>
      <c r="Y3640">
        <v>-0.14342849999999999</v>
      </c>
      <c r="Z3640">
        <v>-4.2385560000000001E-3</v>
      </c>
      <c r="AA3640">
        <v>0.98965159999999996</v>
      </c>
      <c r="AB3640">
        <v>37</v>
      </c>
      <c r="AC3640">
        <v>-14.8217999999999</v>
      </c>
      <c r="AD3640">
        <v>-1.110376187952</v>
      </c>
      <c r="AE3640">
        <v>-2.40899999999999</v>
      </c>
      <c r="AF3640">
        <v>-2.2000251506726798</v>
      </c>
      <c r="AG3640">
        <v>-1.110376187952</v>
      </c>
      <c r="AH3640">
        <v>14.7717004102237</v>
      </c>
      <c r="AI3640">
        <v>94.252065221212405</v>
      </c>
      <c r="AJ3640">
        <v>98.471086439464997</v>
      </c>
      <c r="AK3640">
        <v>14.975853196120999</v>
      </c>
      <c r="AL3640">
        <v>78.341586921438406</v>
      </c>
      <c r="AM3640">
        <v>87.033070388131506</v>
      </c>
      <c r="AN3640">
        <v>1.0000000298027301</v>
      </c>
    </row>
    <row r="3641" spans="1:40" x14ac:dyDescent="0.25">
      <c r="A3641" t="str">
        <f>"20190312164340634"</f>
        <v>20190312164340634</v>
      </c>
      <c r="B3641" t="str">
        <f>"1552380220628283"</f>
        <v>1552380220628283</v>
      </c>
      <c r="C3641" t="s">
        <v>40</v>
      </c>
      <c r="D3641">
        <v>4.2247779999999997</v>
      </c>
      <c r="E3641">
        <v>0.43054920000000002</v>
      </c>
      <c r="F3641" t="s">
        <v>42</v>
      </c>
      <c r="G3641">
        <v>-368.15969999999999</v>
      </c>
      <c r="H3641" s="1">
        <v>-9.3702760000000005E-7</v>
      </c>
      <c r="I3641">
        <v>138.68469999999999</v>
      </c>
      <c r="J3641">
        <v>-353.11540000000002</v>
      </c>
      <c r="K3641">
        <v>1.1103479999999999</v>
      </c>
      <c r="L3641">
        <v>141.11930000000001</v>
      </c>
      <c r="M3641">
        <v>-0.99981379999999997</v>
      </c>
      <c r="N3641">
        <v>0</v>
      </c>
      <c r="O3641">
        <v>-1.3237860000000001E-2</v>
      </c>
      <c r="P3641">
        <v>-0.98143309999999995</v>
      </c>
      <c r="Q3641">
        <v>0.18806300000000001</v>
      </c>
      <c r="R3641">
        <v>3.7703880000000002E-2</v>
      </c>
      <c r="S3641">
        <v>-3.1189580000000001</v>
      </c>
      <c r="T3641">
        <v>-0.2246032</v>
      </c>
      <c r="U3641">
        <v>-0.49343870000000001</v>
      </c>
      <c r="V3641">
        <v>5.0700130000000003E-2</v>
      </c>
      <c r="W3641">
        <v>0.20181589999999999</v>
      </c>
      <c r="X3641">
        <v>0.97811029999999999</v>
      </c>
      <c r="Y3641">
        <v>-0.14284530000000001</v>
      </c>
      <c r="Z3641">
        <v>-4.1590120000000001E-3</v>
      </c>
      <c r="AA3641">
        <v>0.98973630000000001</v>
      </c>
      <c r="AB3641">
        <v>37</v>
      </c>
      <c r="AC3641">
        <v>-15.0442999999999</v>
      </c>
      <c r="AD3641">
        <v>-1.1103489370275901</v>
      </c>
      <c r="AE3641">
        <v>-2.4346000000000099</v>
      </c>
      <c r="AF3641">
        <v>-2.2234103367884099</v>
      </c>
      <c r="AG3641">
        <v>-1.1103489370275901</v>
      </c>
      <c r="AH3641">
        <v>14.995613746155</v>
      </c>
      <c r="AI3641">
        <v>94.189102187689002</v>
      </c>
      <c r="AJ3641">
        <v>98.433840510852704</v>
      </c>
      <c r="AK3641">
        <v>15.2001598646714</v>
      </c>
      <c r="AL3641">
        <v>78.356831481486196</v>
      </c>
      <c r="AM3641">
        <v>87.032741622720394</v>
      </c>
      <c r="AN3641">
        <v>0.99999995982045697</v>
      </c>
    </row>
    <row r="3642" spans="1:40" x14ac:dyDescent="0.25">
      <c r="A3642" t="str">
        <f>"20190312164340656"</f>
        <v>20190312164340656</v>
      </c>
      <c r="B3642" t="str">
        <f>"1552380220648779"</f>
        <v>1552380220648779</v>
      </c>
      <c r="C3642" t="s">
        <v>40</v>
      </c>
      <c r="D3642">
        <v>4.2349259999999997</v>
      </c>
      <c r="E3642">
        <v>0.4306083</v>
      </c>
      <c r="F3642" t="s">
        <v>42</v>
      </c>
      <c r="G3642">
        <v>-368.55560000000003</v>
      </c>
      <c r="H3642" s="1">
        <v>-7.6815190000000002E-7</v>
      </c>
      <c r="I3642">
        <v>138.67930000000001</v>
      </c>
      <c r="J3642">
        <v>-353.4898</v>
      </c>
      <c r="K3642">
        <v>1.110317</v>
      </c>
      <c r="L3642">
        <v>141.11439999999999</v>
      </c>
      <c r="M3642">
        <v>-0.99981469999999995</v>
      </c>
      <c r="N3642">
        <v>0</v>
      </c>
      <c r="O3642">
        <v>-1.3180580000000001E-2</v>
      </c>
      <c r="P3642">
        <v>-0.98156449999999995</v>
      </c>
      <c r="Q3642">
        <v>0.18733620000000001</v>
      </c>
      <c r="R3642">
        <v>3.790437E-2</v>
      </c>
      <c r="S3642">
        <v>-3.1186829999999999</v>
      </c>
      <c r="T3642">
        <v>-0.22427330000000001</v>
      </c>
      <c r="U3642">
        <v>-0.4928284</v>
      </c>
      <c r="V3642">
        <v>5.0857920000000001E-2</v>
      </c>
      <c r="W3642">
        <v>0.2010854</v>
      </c>
      <c r="X3642">
        <v>0.97825260000000003</v>
      </c>
      <c r="Y3642">
        <v>-0.14272760000000001</v>
      </c>
      <c r="Z3642">
        <v>-4.1532260000000003E-3</v>
      </c>
      <c r="AA3642">
        <v>0.98975329999999995</v>
      </c>
      <c r="AB3642">
        <v>37</v>
      </c>
      <c r="AC3642">
        <v>-15.065799999999999</v>
      </c>
      <c r="AD3642">
        <v>-1.1103177681518901</v>
      </c>
      <c r="AE3642">
        <v>-2.4350999999999701</v>
      </c>
      <c r="AF3642">
        <v>-2.2245183005892502</v>
      </c>
      <c r="AG3642">
        <v>-1.1103177681518901</v>
      </c>
      <c r="AH3642">
        <v>15.017103173631799</v>
      </c>
      <c r="AI3642">
        <v>94.183095535391601</v>
      </c>
      <c r="AJ3642">
        <v>98.426081489888603</v>
      </c>
      <c r="AK3642">
        <v>15.221520125908301</v>
      </c>
      <c r="AL3642">
        <v>78.399562649562895</v>
      </c>
      <c r="AM3642">
        <v>87.023955629709505</v>
      </c>
      <c r="AN3642">
        <v>1.00000000776332</v>
      </c>
    </row>
    <row r="3643" spans="1:40" x14ac:dyDescent="0.25">
      <c r="A3643" t="str">
        <f>"20190312164340679"</f>
        <v>20190312164340679</v>
      </c>
      <c r="B3643" t="str">
        <f>"1552380220668299"</f>
        <v>1552380220668299</v>
      </c>
      <c r="C3643" t="s">
        <v>40</v>
      </c>
      <c r="D3643">
        <v>4.2412070000000002</v>
      </c>
      <c r="E3643">
        <v>0.4305022</v>
      </c>
      <c r="F3643" t="s">
        <v>42</v>
      </c>
      <c r="G3643">
        <v>-368.78230000000002</v>
      </c>
      <c r="H3643" s="1">
        <v>-6.6675509999999998E-7</v>
      </c>
      <c r="I3643">
        <v>138.70259999999999</v>
      </c>
      <c r="J3643">
        <v>-353.86099999999999</v>
      </c>
      <c r="K3643">
        <v>1.1102909999999999</v>
      </c>
      <c r="L3643">
        <v>141.1095</v>
      </c>
      <c r="M3643">
        <v>-0.99981569999999997</v>
      </c>
      <c r="N3643">
        <v>0</v>
      </c>
      <c r="O3643">
        <v>-1.309713E-2</v>
      </c>
      <c r="P3643">
        <v>-0.98174810000000001</v>
      </c>
      <c r="Q3643">
        <v>0.1864247</v>
      </c>
      <c r="R3643">
        <v>3.7637429999999999E-2</v>
      </c>
      <c r="S3643">
        <v>-3.1185610000000001</v>
      </c>
      <c r="T3643">
        <v>-0.22642490000000001</v>
      </c>
      <c r="U3643">
        <v>-0.49180600000000002</v>
      </c>
      <c r="V3643">
        <v>5.052479E-2</v>
      </c>
      <c r="W3643">
        <v>0.20017119999999999</v>
      </c>
      <c r="X3643">
        <v>0.97845729999999997</v>
      </c>
      <c r="Y3643">
        <v>-0.1424936</v>
      </c>
      <c r="Z3643">
        <v>-4.190816E-3</v>
      </c>
      <c r="AA3643">
        <v>0.98978690000000003</v>
      </c>
      <c r="AB3643">
        <v>37</v>
      </c>
      <c r="AC3643">
        <v>-14.9213</v>
      </c>
      <c r="AD3643">
        <v>-1.1102916667550999</v>
      </c>
      <c r="AE3643">
        <v>-2.4068999999999998</v>
      </c>
      <c r="AF3643">
        <v>-2.19937929812142</v>
      </c>
      <c r="AG3643">
        <v>-1.1102916667550999</v>
      </c>
      <c r="AH3643">
        <v>14.8712948811097</v>
      </c>
      <c r="AI3643">
        <v>94.224007894378502</v>
      </c>
      <c r="AJ3643">
        <v>98.412734743380597</v>
      </c>
      <c r="AK3643">
        <v>15.0739984185746</v>
      </c>
      <c r="AL3643">
        <v>78.453029198600206</v>
      </c>
      <c r="AM3643">
        <v>87.044032082653302</v>
      </c>
      <c r="AN3643">
        <v>0.99999997581863598</v>
      </c>
    </row>
    <row r="3644" spans="1:40" x14ac:dyDescent="0.25">
      <c r="A3644" t="str">
        <f>"20190312164340701"</f>
        <v>20190312164340701</v>
      </c>
      <c r="B3644" t="str">
        <f>"1552380220688795"</f>
        <v>1552380220688795</v>
      </c>
      <c r="C3644" t="s">
        <v>40</v>
      </c>
      <c r="D3644">
        <v>4.2689300000000001</v>
      </c>
      <c r="E3644">
        <v>0.43039699999999997</v>
      </c>
      <c r="F3644" t="s">
        <v>42</v>
      </c>
      <c r="G3644">
        <v>-369.07080000000002</v>
      </c>
      <c r="H3644" s="1">
        <v>-5.4487340000000003E-7</v>
      </c>
      <c r="I3644">
        <v>138.7045</v>
      </c>
      <c r="J3644">
        <v>-354.22399999999999</v>
      </c>
      <c r="K3644">
        <v>1.1102609999999999</v>
      </c>
      <c r="L3644">
        <v>141.10489999999999</v>
      </c>
      <c r="M3644">
        <v>-0.99981730000000002</v>
      </c>
      <c r="N3644">
        <v>0</v>
      </c>
      <c r="O3644">
        <v>-1.298566E-2</v>
      </c>
      <c r="P3644">
        <v>-0.98185279999999997</v>
      </c>
      <c r="Q3644">
        <v>0.18591540000000001</v>
      </c>
      <c r="R3644">
        <v>3.74267E-2</v>
      </c>
      <c r="S3644">
        <v>-3.1178590000000002</v>
      </c>
      <c r="T3644">
        <v>-0.2276001</v>
      </c>
      <c r="U3644">
        <v>-0.4929962</v>
      </c>
      <c r="V3644">
        <v>5.0219710000000001E-2</v>
      </c>
      <c r="W3644">
        <v>0.19965820000000001</v>
      </c>
      <c r="X3644">
        <v>0.9785779</v>
      </c>
      <c r="Y3644">
        <v>-0.14300170000000001</v>
      </c>
      <c r="Z3644">
        <v>-4.2397989999999998E-3</v>
      </c>
      <c r="AA3644">
        <v>0.98971339999999997</v>
      </c>
      <c r="AB3644">
        <v>37</v>
      </c>
      <c r="AC3644">
        <v>-14.8468</v>
      </c>
      <c r="AD3644">
        <v>-1.1102615448733999</v>
      </c>
      <c r="AE3644">
        <v>-2.4003999999999901</v>
      </c>
      <c r="AF3644">
        <v>-2.1954185686344099</v>
      </c>
      <c r="AG3644">
        <v>-1.1102615448733999</v>
      </c>
      <c r="AH3644">
        <v>14.7960864538145</v>
      </c>
      <c r="AI3644">
        <v>94.244988667059204</v>
      </c>
      <c r="AJ3644">
        <v>98.439873684071003</v>
      </c>
      <c r="AK3644">
        <v>14.999223904532</v>
      </c>
      <c r="AL3644">
        <v>78.483028498386105</v>
      </c>
      <c r="AM3644">
        <v>87.062210973245897</v>
      </c>
      <c r="AN3644">
        <v>1.00000006123406</v>
      </c>
    </row>
    <row r="3645" spans="1:40" x14ac:dyDescent="0.25">
      <c r="A3645" t="str">
        <f>"20190312164340723"</f>
        <v>20190312164340723</v>
      </c>
      <c r="B3645" t="str">
        <f>"1552380220718076"</f>
        <v>1552380220718076</v>
      </c>
      <c r="C3645" t="s">
        <v>40</v>
      </c>
      <c r="D3645">
        <v>4.2711309999999996</v>
      </c>
      <c r="E3645">
        <v>0.43026110000000001</v>
      </c>
      <c r="F3645" t="s">
        <v>42</v>
      </c>
      <c r="G3645">
        <v>-369.34899999999999</v>
      </c>
      <c r="H3645" s="1">
        <v>-4.5028389999999999E-7</v>
      </c>
      <c r="I3645">
        <v>138.70410000000001</v>
      </c>
      <c r="J3645">
        <v>-354.59840000000003</v>
      </c>
      <c r="K3645">
        <v>1.110233</v>
      </c>
      <c r="L3645">
        <v>141.1002</v>
      </c>
      <c r="M3645">
        <v>-0.99981920000000002</v>
      </c>
      <c r="N3645">
        <v>0</v>
      </c>
      <c r="O3645">
        <v>-1.283627E-2</v>
      </c>
      <c r="P3645">
        <v>-0.98179590000000005</v>
      </c>
      <c r="Q3645">
        <v>0.1862462</v>
      </c>
      <c r="R3645">
        <v>3.7270289999999998E-2</v>
      </c>
      <c r="S3645">
        <v>-3.117645</v>
      </c>
      <c r="T3645">
        <v>-0.22885330000000001</v>
      </c>
      <c r="U3645">
        <v>-0.49484250000000002</v>
      </c>
      <c r="V3645">
        <v>4.9930049999999997E-2</v>
      </c>
      <c r="W3645">
        <v>0.19998289999999999</v>
      </c>
      <c r="X3645">
        <v>0.97852640000000002</v>
      </c>
      <c r="Y3645">
        <v>-0.14372579999999999</v>
      </c>
      <c r="Z3645">
        <v>-4.3004310000000004E-3</v>
      </c>
      <c r="AA3645">
        <v>0.98960820000000005</v>
      </c>
      <c r="AB3645">
        <v>37</v>
      </c>
      <c r="AC3645">
        <v>-14.750599999999899</v>
      </c>
      <c r="AD3645">
        <v>-1.1102334502839</v>
      </c>
      <c r="AE3645">
        <v>-2.3960999999999899</v>
      </c>
      <c r="AF3645">
        <v>-2.1944291268506402</v>
      </c>
      <c r="AG3645">
        <v>-1.1102334502839</v>
      </c>
      <c r="AH3645">
        <v>14.699013599768501</v>
      </c>
      <c r="AI3645">
        <v>94.272245890235496</v>
      </c>
      <c r="AJ3645">
        <v>98.491027669847398</v>
      </c>
      <c r="AK3645">
        <v>14.903326417718899</v>
      </c>
      <c r="AL3645">
        <v>78.464041427553298</v>
      </c>
      <c r="AM3645">
        <v>87.078972826779093</v>
      </c>
      <c r="AN3645">
        <v>1.0000000428411799</v>
      </c>
    </row>
    <row r="3646" spans="1:40" x14ac:dyDescent="0.25">
      <c r="A3646" t="str">
        <f>"20190312164340746"</f>
        <v>20190312164340746</v>
      </c>
      <c r="B3646" t="str">
        <f>"1552380220738201"</f>
        <v>1552380220738201</v>
      </c>
      <c r="C3646" t="s">
        <v>40</v>
      </c>
      <c r="D3646">
        <v>4.3452549999999999</v>
      </c>
      <c r="E3646">
        <v>0.430118</v>
      </c>
      <c r="F3646" t="s">
        <v>42</v>
      </c>
      <c r="G3646">
        <v>-369.75569999999999</v>
      </c>
      <c r="H3646" s="1">
        <v>-3.1660810000000002E-7</v>
      </c>
      <c r="I3646">
        <v>138.68639999999999</v>
      </c>
      <c r="J3646">
        <v>-354.9683</v>
      </c>
      <c r="K3646">
        <v>1.110212</v>
      </c>
      <c r="L3646">
        <v>141.09559999999999</v>
      </c>
      <c r="M3646">
        <v>-0.99982139999999997</v>
      </c>
      <c r="N3646">
        <v>0</v>
      </c>
      <c r="O3646">
        <v>-1.265844E-2</v>
      </c>
      <c r="P3646">
        <v>-0.98173330000000003</v>
      </c>
      <c r="Q3646">
        <v>0.18659719999999999</v>
      </c>
      <c r="R3646">
        <v>3.7167859999999997E-2</v>
      </c>
      <c r="S3646">
        <v>-3.1177980000000001</v>
      </c>
      <c r="T3646">
        <v>-0.22837189999999999</v>
      </c>
      <c r="U3646">
        <v>-0.4964905</v>
      </c>
      <c r="V3646">
        <v>4.9665649999999999E-2</v>
      </c>
      <c r="W3646">
        <v>0.2003278</v>
      </c>
      <c r="X3646">
        <v>0.97846929999999999</v>
      </c>
      <c r="Y3646">
        <v>-0.1444037</v>
      </c>
      <c r="Z3646">
        <v>-4.3285870000000001E-3</v>
      </c>
      <c r="AA3646">
        <v>0.98950939999999998</v>
      </c>
      <c r="AB3646">
        <v>37</v>
      </c>
      <c r="AC3646">
        <v>-14.7873999999999</v>
      </c>
      <c r="AD3646">
        <v>-1.1102123166080999</v>
      </c>
      <c r="AE3646">
        <v>-2.40919999999999</v>
      </c>
      <c r="AF3646">
        <v>-2.2096698000583301</v>
      </c>
      <c r="AG3646">
        <v>-1.1102123166080999</v>
      </c>
      <c r="AH3646">
        <v>14.7358005037479</v>
      </c>
      <c r="AI3646">
        <v>94.261127991944306</v>
      </c>
      <c r="AJ3646">
        <v>98.528102693473997</v>
      </c>
      <c r="AK3646">
        <v>14.9418549216452</v>
      </c>
      <c r="AL3646">
        <v>78.443871907386793</v>
      </c>
      <c r="AM3646">
        <v>87.094245012888095</v>
      </c>
      <c r="AN3646">
        <v>1.0000000376426199</v>
      </c>
    </row>
    <row r="3647" spans="1:40" x14ac:dyDescent="0.25">
      <c r="A3647" t="str">
        <f>"20190312164340767"</f>
        <v>20190312164340767</v>
      </c>
      <c r="B3647" t="str">
        <f>"1552380220758697"</f>
        <v>1552380220758697</v>
      </c>
      <c r="C3647" t="s">
        <v>40</v>
      </c>
      <c r="D3647">
        <v>4.3578679999999999</v>
      </c>
      <c r="E3647">
        <v>0.42998930000000002</v>
      </c>
      <c r="F3647" t="s">
        <v>42</v>
      </c>
      <c r="G3647">
        <v>-370.17</v>
      </c>
      <c r="H3647" s="1">
        <v>-4.3678699999999997E-6</v>
      </c>
      <c r="I3647">
        <v>138.66630000000001</v>
      </c>
      <c r="J3647">
        <v>-355.32839999999999</v>
      </c>
      <c r="K3647">
        <v>1.110196</v>
      </c>
      <c r="L3647">
        <v>141.09119999999999</v>
      </c>
      <c r="M3647">
        <v>-0.99982400000000005</v>
      </c>
      <c r="N3647">
        <v>0</v>
      </c>
      <c r="O3647">
        <v>-1.2462910000000001E-2</v>
      </c>
      <c r="P3647">
        <v>-0.98168710000000003</v>
      </c>
      <c r="Q3647">
        <v>0.18689020000000001</v>
      </c>
      <c r="R3647">
        <v>3.691407E-2</v>
      </c>
      <c r="S3647">
        <v>-3.11795</v>
      </c>
      <c r="T3647">
        <v>-0.227712</v>
      </c>
      <c r="U3647">
        <v>-0.4982452</v>
      </c>
      <c r="V3647">
        <v>4.9230580000000003E-2</v>
      </c>
      <c r="W3647">
        <v>0.2006155</v>
      </c>
      <c r="X3647">
        <v>0.97843230000000003</v>
      </c>
      <c r="Y3647">
        <v>-0.14513229999999999</v>
      </c>
      <c r="Z3647">
        <v>-4.356286E-3</v>
      </c>
      <c r="AA3647">
        <v>0.98940269999999997</v>
      </c>
      <c r="AB3647">
        <v>37</v>
      </c>
      <c r="AC3647">
        <v>-14.8416</v>
      </c>
      <c r="AD3647">
        <v>-1.1102003678700001</v>
      </c>
      <c r="AE3647">
        <v>-2.4248999999999801</v>
      </c>
      <c r="AF3647">
        <v>-2.22758349243994</v>
      </c>
      <c r="AG3647">
        <v>-1.1102003678700001</v>
      </c>
      <c r="AH3647">
        <v>14.7900648902762</v>
      </c>
      <c r="AI3647">
        <v>94.245094850602797</v>
      </c>
      <c r="AJ3647">
        <v>98.565140184725095</v>
      </c>
      <c r="AK3647">
        <v>14.9980229540826</v>
      </c>
      <c r="AL3647">
        <v>78.427045871187502</v>
      </c>
      <c r="AM3647">
        <v>87.119547571012205</v>
      </c>
      <c r="AN3647">
        <v>0.99999999726533795</v>
      </c>
    </row>
    <row r="3648" spans="1:40" x14ac:dyDescent="0.25">
      <c r="A3648" t="str">
        <f>"20190312164340789"</f>
        <v>20190312164340789</v>
      </c>
      <c r="B3648" t="str">
        <f>"1552380220778217"</f>
        <v>1552380220778217</v>
      </c>
      <c r="C3648" t="s">
        <v>40</v>
      </c>
      <c r="D3648">
        <v>4.3359930000000002</v>
      </c>
      <c r="E3648">
        <v>0.42984749999999999</v>
      </c>
      <c r="F3648" t="s">
        <v>42</v>
      </c>
      <c r="G3648">
        <v>-370.56060000000002</v>
      </c>
      <c r="H3648" s="1">
        <v>-4.203827E-6</v>
      </c>
      <c r="I3648">
        <v>138.64619999999999</v>
      </c>
      <c r="J3648">
        <v>-355.68520000000001</v>
      </c>
      <c r="K3648">
        <v>1.1101780000000001</v>
      </c>
      <c r="L3648">
        <v>141.08690000000001</v>
      </c>
      <c r="M3648">
        <v>-0.99982669999999996</v>
      </c>
      <c r="N3648">
        <v>0</v>
      </c>
      <c r="O3648">
        <v>-1.2250499999999999E-2</v>
      </c>
      <c r="P3648">
        <v>-0.98169890000000004</v>
      </c>
      <c r="Q3648">
        <v>0.1868551</v>
      </c>
      <c r="R3648">
        <v>3.6782090000000003E-2</v>
      </c>
      <c r="S3648">
        <v>-3.118042</v>
      </c>
      <c r="T3648">
        <v>-0.22725899999999999</v>
      </c>
      <c r="U3648">
        <v>-0.50047299999999995</v>
      </c>
      <c r="V3648">
        <v>4.890009E-2</v>
      </c>
      <c r="W3648">
        <v>0.20057630000000001</v>
      </c>
      <c r="X3648">
        <v>0.97845689999999996</v>
      </c>
      <c r="Y3648">
        <v>-0.14602570000000001</v>
      </c>
      <c r="Z3648">
        <v>-4.39494E-3</v>
      </c>
      <c r="AA3648">
        <v>0.98927100000000001</v>
      </c>
      <c r="AB3648">
        <v>37</v>
      </c>
      <c r="AC3648">
        <v>-14.875400000000001</v>
      </c>
      <c r="AD3648">
        <v>-1.1101822038269999</v>
      </c>
      <c r="AE3648">
        <v>-2.4407000000000201</v>
      </c>
      <c r="AF3648">
        <v>-2.2460852076125999</v>
      </c>
      <c r="AG3648">
        <v>-1.1101822038269999</v>
      </c>
      <c r="AH3648">
        <v>14.823783081208401</v>
      </c>
      <c r="AI3648">
        <v>94.234840734551298</v>
      </c>
      <c r="AJ3648">
        <v>98.615865320433699</v>
      </c>
      <c r="AK3648">
        <v>15.0340263444053</v>
      </c>
      <c r="AL3648">
        <v>78.429338356636805</v>
      </c>
      <c r="AM3648">
        <v>87.138923923578503</v>
      </c>
      <c r="AN3648">
        <v>0.99999998804065304</v>
      </c>
    </row>
    <row r="3649" spans="1:40" x14ac:dyDescent="0.25">
      <c r="A3649" t="str">
        <f>"20190312164340811"</f>
        <v>20190312164340811</v>
      </c>
      <c r="B3649" t="str">
        <f>"1552380220808474"</f>
        <v>1552380220808474</v>
      </c>
      <c r="C3649" t="s">
        <v>40</v>
      </c>
      <c r="D3649">
        <v>4.3668849999999999</v>
      </c>
      <c r="E3649">
        <v>0.42969499999999999</v>
      </c>
      <c r="F3649" t="s">
        <v>42</v>
      </c>
      <c r="G3649">
        <v>-370.87599999999998</v>
      </c>
      <c r="H3649" s="1">
        <v>-4.0695910000000004E-6</v>
      </c>
      <c r="I3649">
        <v>138.6403</v>
      </c>
      <c r="J3649">
        <v>-356.04419999999999</v>
      </c>
      <c r="K3649">
        <v>1.11016</v>
      </c>
      <c r="L3649">
        <v>141.08269999999999</v>
      </c>
      <c r="M3649">
        <v>-0.99982950000000004</v>
      </c>
      <c r="N3649">
        <v>0</v>
      </c>
      <c r="O3649">
        <v>-1.2022410000000001E-2</v>
      </c>
      <c r="P3649">
        <v>-0.98169399999999996</v>
      </c>
      <c r="Q3649">
        <v>0.18686269999999999</v>
      </c>
      <c r="R3649">
        <v>3.687124E-2</v>
      </c>
      <c r="S3649">
        <v>-3.1180729999999999</v>
      </c>
      <c r="T3649">
        <v>-0.2278763</v>
      </c>
      <c r="U3649">
        <v>-0.50218200000000002</v>
      </c>
      <c r="V3649">
        <v>4.8773799999999999E-2</v>
      </c>
      <c r="W3649">
        <v>0.20058000000000001</v>
      </c>
      <c r="X3649">
        <v>0.97846250000000001</v>
      </c>
      <c r="Y3649">
        <v>-0.14677399999999999</v>
      </c>
      <c r="Z3649">
        <v>-4.4502810000000004E-3</v>
      </c>
      <c r="AA3649">
        <v>0.98916009999999999</v>
      </c>
      <c r="AB3649">
        <v>37</v>
      </c>
      <c r="AC3649">
        <v>-14.8317999999999</v>
      </c>
      <c r="AD3649">
        <v>-1.110164069591</v>
      </c>
      <c r="AE3649">
        <v>-2.4423999999999899</v>
      </c>
      <c r="AF3649">
        <v>-2.25161021510963</v>
      </c>
      <c r="AG3649">
        <v>-1.110164069591</v>
      </c>
      <c r="AH3649">
        <v>14.779477467101101</v>
      </c>
      <c r="AI3649">
        <v>94.246899974198996</v>
      </c>
      <c r="AJ3649">
        <v>98.662238641135204</v>
      </c>
      <c r="AK3649">
        <v>14.9911696349133</v>
      </c>
      <c r="AL3649">
        <v>78.429122596907504</v>
      </c>
      <c r="AM3649">
        <v>87.146317051215306</v>
      </c>
      <c r="AN3649">
        <v>1.00000004193634</v>
      </c>
    </row>
    <row r="3650" spans="1:40" x14ac:dyDescent="0.25">
      <c r="A3650" t="str">
        <f>"20190312164340836"</f>
        <v>20190312164340836</v>
      </c>
      <c r="B3650" t="str">
        <f>"1552380220828164"</f>
        <v>1552380220828164</v>
      </c>
      <c r="C3650" t="s">
        <v>40</v>
      </c>
      <c r="D3650">
        <v>4.3701220000000003</v>
      </c>
      <c r="E3650">
        <v>0.4296373</v>
      </c>
      <c r="F3650" t="s">
        <v>42</v>
      </c>
      <c r="G3650">
        <v>-371.16120000000001</v>
      </c>
      <c r="H3650" s="1">
        <v>-3.9473329999999997E-6</v>
      </c>
      <c r="I3650">
        <v>138.63990000000001</v>
      </c>
      <c r="J3650">
        <v>-356.4588</v>
      </c>
      <c r="K3650">
        <v>1.110144</v>
      </c>
      <c r="L3650">
        <v>141.078</v>
      </c>
      <c r="M3650">
        <v>-0.99983270000000002</v>
      </c>
      <c r="N3650">
        <v>0</v>
      </c>
      <c r="O3650">
        <v>-1.1747240000000001E-2</v>
      </c>
      <c r="P3650">
        <v>-0.98171629999999999</v>
      </c>
      <c r="Q3650">
        <v>0.1867297</v>
      </c>
      <c r="R3650">
        <v>3.6951539999999998E-2</v>
      </c>
      <c r="S3650">
        <v>-3.118439</v>
      </c>
      <c r="T3650">
        <v>-0.2290132</v>
      </c>
      <c r="U3650">
        <v>-0.50392150000000002</v>
      </c>
      <c r="V3650">
        <v>4.8592249999999997E-2</v>
      </c>
      <c r="W3650">
        <v>0.20044310000000001</v>
      </c>
      <c r="X3650">
        <v>0.97849949999999997</v>
      </c>
      <c r="Y3650">
        <v>-0.14755960000000001</v>
      </c>
      <c r="Z3650">
        <v>-4.5203769999999999E-3</v>
      </c>
      <c r="AA3650">
        <v>0.9890428</v>
      </c>
      <c r="AB3650">
        <v>37</v>
      </c>
      <c r="AC3650">
        <v>-14.702400000000001</v>
      </c>
      <c r="AD3650">
        <v>-1.110147947333</v>
      </c>
      <c r="AE3650">
        <v>-2.4380999999999902</v>
      </c>
      <c r="AF3650">
        <v>-2.2527022118070001</v>
      </c>
      <c r="AG3650">
        <v>-1.110147947333</v>
      </c>
      <c r="AH3650">
        <v>14.648745275833299</v>
      </c>
      <c r="AI3650">
        <v>94.283683263228994</v>
      </c>
      <c r="AJ3650">
        <v>98.742528928415894</v>
      </c>
      <c r="AK3650">
        <v>14.862463923464899</v>
      </c>
      <c r="AL3650">
        <v>78.437127995715699</v>
      </c>
      <c r="AM3650">
        <v>87.157029142044294</v>
      </c>
      <c r="AN3650">
        <v>0.99999995729895996</v>
      </c>
    </row>
    <row r="3651" spans="1:40" x14ac:dyDescent="0.25">
      <c r="A3651" t="str">
        <f>"20190312164340857"</f>
        <v>20190312164340857</v>
      </c>
      <c r="B3651" t="str">
        <f>"1552380220848660"</f>
        <v>1552380220848660</v>
      </c>
      <c r="C3651" t="s">
        <v>40</v>
      </c>
      <c r="D3651">
        <v>4.4653939999999999</v>
      </c>
      <c r="E3651">
        <v>0.43053839999999999</v>
      </c>
      <c r="F3651" t="s">
        <v>42</v>
      </c>
      <c r="G3651">
        <v>-371.52879999999999</v>
      </c>
      <c r="H3651" s="1">
        <v>-3.789787E-6</v>
      </c>
      <c r="I3651">
        <v>138.63890000000001</v>
      </c>
      <c r="J3651">
        <v>-356.798</v>
      </c>
      <c r="K3651">
        <v>1.1101350000000001</v>
      </c>
      <c r="L3651">
        <v>141.07429999999999</v>
      </c>
      <c r="M3651">
        <v>-0.99983549999999999</v>
      </c>
      <c r="N3651">
        <v>0</v>
      </c>
      <c r="O3651">
        <v>-1.1516510000000001E-2</v>
      </c>
      <c r="P3651">
        <v>-0.98171319999999995</v>
      </c>
      <c r="Q3651">
        <v>0.18671499999999999</v>
      </c>
      <c r="R3651">
        <v>3.7109080000000003E-2</v>
      </c>
      <c r="S3651">
        <v>-3.1185299999999998</v>
      </c>
      <c r="T3651">
        <v>-0.22973080000000001</v>
      </c>
      <c r="U3651">
        <v>-0.50473020000000002</v>
      </c>
      <c r="V3651">
        <v>4.8528389999999998E-2</v>
      </c>
      <c r="W3651">
        <v>0.2004254</v>
      </c>
      <c r="X3651">
        <v>0.97850630000000005</v>
      </c>
      <c r="Y3651">
        <v>-0.1480291</v>
      </c>
      <c r="Z3651">
        <v>-4.5682969999999998E-3</v>
      </c>
      <c r="AA3651">
        <v>0.98897250000000003</v>
      </c>
      <c r="AB3651">
        <v>37</v>
      </c>
      <c r="AC3651">
        <v>-14.730799999999901</v>
      </c>
      <c r="AD3651">
        <v>-1.1101387897869901</v>
      </c>
      <c r="AE3651">
        <v>-2.43539999999998</v>
      </c>
      <c r="AF3651">
        <v>-2.2531185096092998</v>
      </c>
      <c r="AG3651">
        <v>-1.1101387897869901</v>
      </c>
      <c r="AH3651">
        <v>14.676735747825701</v>
      </c>
      <c r="AI3651">
        <v>94.275678288995806</v>
      </c>
      <c r="AJ3651">
        <v>98.727700393728199</v>
      </c>
      <c r="AK3651">
        <v>14.890114954641501</v>
      </c>
      <c r="AL3651">
        <v>78.438163196463705</v>
      </c>
      <c r="AM3651">
        <v>87.160778959296593</v>
      </c>
      <c r="AN3651">
        <v>0.99999996237041999</v>
      </c>
    </row>
    <row r="3652" spans="1:40" x14ac:dyDescent="0.25">
      <c r="A3652" t="str">
        <f>"20190312164340879"</f>
        <v>20190312164340879</v>
      </c>
      <c r="B3652" t="str">
        <f>"1552380220868180"</f>
        <v>1552380220868180</v>
      </c>
      <c r="C3652" t="s">
        <v>40</v>
      </c>
      <c r="D3652">
        <v>4.6481349999999999</v>
      </c>
      <c r="E3652">
        <v>0.47366269999999999</v>
      </c>
      <c r="F3652" t="s">
        <v>42</v>
      </c>
      <c r="G3652">
        <v>-371.8827</v>
      </c>
      <c r="H3652" s="1">
        <v>-3.6327080000000002E-6</v>
      </c>
      <c r="I3652">
        <v>138.6686</v>
      </c>
      <c r="J3652">
        <v>-357.16430000000003</v>
      </c>
      <c r="K3652">
        <v>1.1101240000000001</v>
      </c>
      <c r="L3652">
        <v>141.0703</v>
      </c>
      <c r="M3652">
        <v>-0.99983849999999996</v>
      </c>
      <c r="N3652">
        <v>0</v>
      </c>
      <c r="O3652">
        <v>-1.1264359999999999E-2</v>
      </c>
      <c r="P3652">
        <v>-0.98171640000000004</v>
      </c>
      <c r="Q3652">
        <v>0.1867298</v>
      </c>
      <c r="R3652">
        <v>3.6949299999999997E-2</v>
      </c>
      <c r="S3652">
        <v>-3.1183169999999998</v>
      </c>
      <c r="T3652">
        <v>-0.22948930000000001</v>
      </c>
      <c r="U3652">
        <v>-0.4972839</v>
      </c>
      <c r="V3652">
        <v>4.8125359999999999E-2</v>
      </c>
      <c r="W3652">
        <v>0.20043749999999999</v>
      </c>
      <c r="X3652">
        <v>0.97852380000000005</v>
      </c>
      <c r="Y3652">
        <v>-0.14599200000000001</v>
      </c>
      <c r="Z3652">
        <v>-4.5086859999999996E-3</v>
      </c>
      <c r="AA3652">
        <v>0.98927549999999997</v>
      </c>
      <c r="AB3652">
        <v>37</v>
      </c>
      <c r="AC3652">
        <v>-14.7183999999999</v>
      </c>
      <c r="AD3652">
        <v>-1.1101276327080001</v>
      </c>
      <c r="AE3652">
        <v>-2.4016999999999999</v>
      </c>
      <c r="AF3652">
        <v>-2.22341734600408</v>
      </c>
      <c r="AG3652">
        <v>-1.1101276327080001</v>
      </c>
      <c r="AH3652">
        <v>14.6632686242445</v>
      </c>
      <c r="AI3652">
        <v>94.280745969696497</v>
      </c>
      <c r="AJ3652">
        <v>98.622179756285206</v>
      </c>
      <c r="AK3652">
        <v>14.8723708534372</v>
      </c>
      <c r="AL3652">
        <v>78.437456402529605</v>
      </c>
      <c r="AM3652">
        <v>87.184370961518994</v>
      </c>
      <c r="AN3652">
        <v>1.0000000344239</v>
      </c>
    </row>
    <row r="3653" spans="1:40" x14ac:dyDescent="0.25">
      <c r="A3653" t="str">
        <f>"20190312164340902"</f>
        <v>20190312164340902</v>
      </c>
      <c r="B3653" t="str">
        <f>"1552380220898436"</f>
        <v>1552380220898436</v>
      </c>
      <c r="C3653" t="s">
        <v>40</v>
      </c>
      <c r="D3653">
        <v>4.4537380000000004</v>
      </c>
      <c r="E3653">
        <v>0.47529159999999998</v>
      </c>
      <c r="F3653" t="s">
        <v>42</v>
      </c>
      <c r="G3653">
        <v>-372.29340000000002</v>
      </c>
      <c r="H3653" s="1">
        <v>-3.4778119999999999E-6</v>
      </c>
      <c r="I3653">
        <v>140.328</v>
      </c>
      <c r="J3653">
        <v>-357.52719999999999</v>
      </c>
      <c r="K3653">
        <v>1.1101219999999901</v>
      </c>
      <c r="L3653">
        <v>141.06639999999999</v>
      </c>
      <c r="M3653">
        <v>-0.99984119999999999</v>
      </c>
      <c r="N3653">
        <v>0</v>
      </c>
      <c r="O3653">
        <v>-1.101309E-2</v>
      </c>
      <c r="P3653">
        <v>-0.98177780000000003</v>
      </c>
      <c r="Q3653">
        <v>0.1863464</v>
      </c>
      <c r="R3653">
        <v>3.7243150000000003E-2</v>
      </c>
      <c r="S3653">
        <v>-3.1049500000000001</v>
      </c>
      <c r="T3653">
        <v>-0.22783349999999999</v>
      </c>
      <c r="U3653">
        <v>-0.15232850000000001</v>
      </c>
      <c r="V3653">
        <v>4.8175849999999999E-2</v>
      </c>
      <c r="W3653">
        <v>0.20005210000000001</v>
      </c>
      <c r="X3653">
        <v>0.97860009999999997</v>
      </c>
      <c r="Y3653">
        <v>-3.7924869999999999E-2</v>
      </c>
      <c r="Z3653">
        <v>-5.8215929999999995E-4</v>
      </c>
      <c r="AA3653">
        <v>0.99928050000000002</v>
      </c>
      <c r="AB3653">
        <v>37</v>
      </c>
      <c r="AC3653">
        <v>-14.7662</v>
      </c>
      <c r="AD3653">
        <v>-1.11012547781199</v>
      </c>
      <c r="AE3653">
        <v>-0.73839999999998396</v>
      </c>
      <c r="AF3653">
        <v>-0.57249008187708295</v>
      </c>
      <c r="AG3653">
        <v>-1.11012547781199</v>
      </c>
      <c r="AH3653">
        <v>14.690612092812</v>
      </c>
      <c r="AI3653">
        <v>94.318191683028203</v>
      </c>
      <c r="AJ3653">
        <v>92.231675298661997</v>
      </c>
      <c r="AK3653">
        <v>14.7436158092853</v>
      </c>
      <c r="AL3653">
        <v>78.459993764560906</v>
      </c>
      <c r="AM3653">
        <v>87.181641153505097</v>
      </c>
      <c r="AN3653">
        <v>0.99999995547882004</v>
      </c>
    </row>
    <row r="3654" spans="1:40" x14ac:dyDescent="0.25">
      <c r="A3654" t="str">
        <f>"20190312164340924"</f>
        <v>20190312164340924</v>
      </c>
      <c r="B3654" t="str">
        <f>"1552380220918932"</f>
        <v>1552380220918932</v>
      </c>
      <c r="C3654" t="s">
        <v>40</v>
      </c>
      <c r="D3654">
        <v>4.432931</v>
      </c>
      <c r="E3654">
        <v>0.47526380000000001</v>
      </c>
      <c r="F3654" t="s">
        <v>42</v>
      </c>
      <c r="G3654">
        <v>-373.95400000000001</v>
      </c>
      <c r="H3654" s="1">
        <v>-2.7680559999999999E-6</v>
      </c>
      <c r="I3654">
        <v>140.33789999999999</v>
      </c>
      <c r="J3654">
        <v>-357.90309999999999</v>
      </c>
      <c r="K3654">
        <v>1.110115</v>
      </c>
      <c r="L3654">
        <v>141.0625</v>
      </c>
      <c r="M3654">
        <v>-0.99984410000000001</v>
      </c>
      <c r="N3654">
        <v>0</v>
      </c>
      <c r="O3654">
        <v>-1.0751459999999999E-2</v>
      </c>
      <c r="P3654">
        <v>-0.98198169999999996</v>
      </c>
      <c r="Q3654">
        <v>0.185255</v>
      </c>
      <c r="R3654">
        <v>3.7320300000000001E-2</v>
      </c>
      <c r="S3654">
        <v>-3.1006770000000001</v>
      </c>
      <c r="T3654">
        <v>-0.20954490000000001</v>
      </c>
      <c r="U3654">
        <v>-0.13749690000000001</v>
      </c>
      <c r="V3654">
        <v>4.8000260000000003E-2</v>
      </c>
      <c r="W3654">
        <v>0.19896150000000001</v>
      </c>
      <c r="X3654">
        <v>0.97883109999999995</v>
      </c>
      <c r="Y3654">
        <v>-3.3504319999999997E-2</v>
      </c>
      <c r="Z3654">
        <v>-4.0485150000000003E-4</v>
      </c>
      <c r="AA3654">
        <v>0.99943850000000001</v>
      </c>
      <c r="AB3654">
        <v>37</v>
      </c>
      <c r="AC3654">
        <v>-16.050899999999999</v>
      </c>
      <c r="AD3654">
        <v>-1.1101177680559999</v>
      </c>
      <c r="AE3654">
        <v>-0.72460000000000901</v>
      </c>
      <c r="AF3654">
        <v>-0.54934814806686305</v>
      </c>
      <c r="AG3654">
        <v>-1.1101177680559999</v>
      </c>
      <c r="AH3654">
        <v>15.9814726095679</v>
      </c>
      <c r="AI3654">
        <v>93.971204410179894</v>
      </c>
      <c r="AJ3654">
        <v>91.968713590016094</v>
      </c>
      <c r="AK3654">
        <v>16.029398354807601</v>
      </c>
      <c r="AL3654">
        <v>78.5237631950083</v>
      </c>
      <c r="AM3654">
        <v>87.192558597923593</v>
      </c>
      <c r="AN3654">
        <v>1.0000000128847599</v>
      </c>
    </row>
    <row r="3655" spans="1:40" x14ac:dyDescent="0.25">
      <c r="A3655" t="str">
        <f>"20190312164340946"</f>
        <v>20190312164340946</v>
      </c>
      <c r="B3655" t="str">
        <f>"1552380220937982"</f>
        <v>1552380220937982</v>
      </c>
      <c r="C3655" t="s">
        <v>40</v>
      </c>
      <c r="D3655">
        <v>4.5811469999999996</v>
      </c>
      <c r="E3655">
        <v>0.47502159999999899</v>
      </c>
      <c r="F3655" t="s">
        <v>42</v>
      </c>
      <c r="G3655">
        <v>-374.37619999999998</v>
      </c>
      <c r="H3655" s="1">
        <v>-2.585298E-6</v>
      </c>
      <c r="I3655">
        <v>140.33179999999999</v>
      </c>
      <c r="J3655">
        <v>-358.26400000000001</v>
      </c>
      <c r="K3655">
        <v>1.110104</v>
      </c>
      <c r="L3655">
        <v>141.05889999999999</v>
      </c>
      <c r="M3655">
        <v>-0.99984680000000004</v>
      </c>
      <c r="N3655">
        <v>0</v>
      </c>
      <c r="O3655">
        <v>-1.0499029999999999E-2</v>
      </c>
      <c r="P3655">
        <v>-0.98210719999999996</v>
      </c>
      <c r="Q3655">
        <v>0.18461469999999999</v>
      </c>
      <c r="R3655">
        <v>3.7188029999999997E-2</v>
      </c>
      <c r="S3655">
        <v>-3.0996700000000001</v>
      </c>
      <c r="T3655">
        <v>-0.20888609999999999</v>
      </c>
      <c r="U3655">
        <v>-0.13748170000000001</v>
      </c>
      <c r="V3655">
        <v>4.7622999999999999E-2</v>
      </c>
      <c r="W3655">
        <v>0.19832079999999999</v>
      </c>
      <c r="X3655">
        <v>0.9789795</v>
      </c>
      <c r="Y3655">
        <v>-3.3765240000000002E-2</v>
      </c>
      <c r="Z3655">
        <v>-4.2947290000000001E-4</v>
      </c>
      <c r="AA3655">
        <v>0.99942969999999998</v>
      </c>
      <c r="AB3655">
        <v>37</v>
      </c>
      <c r="AC3655">
        <v>-16.112199999999898</v>
      </c>
      <c r="AD3655">
        <v>-1.1101065852980001</v>
      </c>
      <c r="AE3655">
        <v>-0.72710000000000696</v>
      </c>
      <c r="AF3655">
        <v>-0.55525043340950797</v>
      </c>
      <c r="AG3655">
        <v>-1.1101065852980001</v>
      </c>
      <c r="AH3655">
        <v>16.042945210458701</v>
      </c>
      <c r="AI3655">
        <v>93.955964332122207</v>
      </c>
      <c r="AJ3655">
        <v>91.982230338584799</v>
      </c>
      <c r="AK3655">
        <v>16.090889680198</v>
      </c>
      <c r="AL3655">
        <v>78.561218577909401</v>
      </c>
      <c r="AM3655">
        <v>87.215010477286498</v>
      </c>
      <c r="AN3655">
        <v>0.999999975630944</v>
      </c>
    </row>
    <row r="3656" spans="1:40" x14ac:dyDescent="0.25">
      <c r="A3656" t="str">
        <f>"20190312164340968"</f>
        <v>20190312164340968</v>
      </c>
      <c r="B3656" t="str">
        <f>"1552380220958478"</f>
        <v>1552380220958478</v>
      </c>
      <c r="C3656" t="s">
        <v>40</v>
      </c>
      <c r="D3656">
        <v>4.5247900000000003</v>
      </c>
      <c r="E3656">
        <v>0.47495749999999998</v>
      </c>
      <c r="F3656" t="s">
        <v>42</v>
      </c>
      <c r="G3656">
        <v>-374.61529999999999</v>
      </c>
      <c r="H3656" s="1">
        <v>-2.4797990000000001E-6</v>
      </c>
      <c r="I3656">
        <v>140.32079999999999</v>
      </c>
      <c r="J3656">
        <v>-358.61689999999999</v>
      </c>
      <c r="K3656">
        <v>1.1101000000000001</v>
      </c>
      <c r="L3656">
        <v>141.05549999999999</v>
      </c>
      <c r="M3656">
        <v>-0.9998494</v>
      </c>
      <c r="N3656">
        <v>0</v>
      </c>
      <c r="O3656">
        <v>-1.0248739999999999E-2</v>
      </c>
      <c r="P3656">
        <v>-0.98224060000000002</v>
      </c>
      <c r="Q3656">
        <v>0.18394830000000001</v>
      </c>
      <c r="R3656">
        <v>3.6967020000000003E-2</v>
      </c>
      <c r="S3656">
        <v>-3.0995180000000002</v>
      </c>
      <c r="T3656">
        <v>-0.21042930000000001</v>
      </c>
      <c r="U3656">
        <v>-0.13989260000000001</v>
      </c>
      <c r="V3656">
        <v>4.715913E-2</v>
      </c>
      <c r="W3656">
        <v>0.1976543</v>
      </c>
      <c r="X3656">
        <v>0.97913680000000003</v>
      </c>
      <c r="Y3656">
        <v>-3.4789710000000001E-2</v>
      </c>
      <c r="Z3656">
        <v>-4.843343E-4</v>
      </c>
      <c r="AA3656">
        <v>0.99939449999999996</v>
      </c>
      <c r="AB3656">
        <v>37</v>
      </c>
      <c r="AC3656">
        <v>-15.9984</v>
      </c>
      <c r="AD3656">
        <v>-1.110102479799</v>
      </c>
      <c r="AE3656">
        <v>-0.73470000000000302</v>
      </c>
      <c r="AF3656">
        <v>-0.56795308902407804</v>
      </c>
      <c r="AG3656">
        <v>-1.110102479799</v>
      </c>
      <c r="AH3656">
        <v>15.9285595819265</v>
      </c>
      <c r="AI3656">
        <v>93.984121143664794</v>
      </c>
      <c r="AJ3656">
        <v>92.042088904697707</v>
      </c>
      <c r="AK3656">
        <v>15.9772935311951</v>
      </c>
      <c r="AL3656">
        <v>78.6001781629124</v>
      </c>
      <c r="AM3656">
        <v>87.242537851703602</v>
      </c>
      <c r="AN3656">
        <v>1.0000000394825399</v>
      </c>
    </row>
    <row r="3657" spans="1:40" x14ac:dyDescent="0.25">
      <c r="A3657" t="str">
        <f>"20190312164340991"</f>
        <v>20190312164340991</v>
      </c>
      <c r="B3657" t="str">
        <f>"1552380220988734"</f>
        <v>1552380220988734</v>
      </c>
      <c r="C3657" t="s">
        <v>40</v>
      </c>
      <c r="D3657">
        <v>4.5265599999999999</v>
      </c>
      <c r="E3657">
        <v>0.47528740000000003</v>
      </c>
      <c r="F3657" t="s">
        <v>42</v>
      </c>
      <c r="G3657">
        <v>-374.84629999999999</v>
      </c>
      <c r="H3657" s="1">
        <v>-2.3801369999999998E-6</v>
      </c>
      <c r="I3657">
        <v>140.31870000000001</v>
      </c>
      <c r="J3657">
        <v>-358.99400000000003</v>
      </c>
      <c r="K3657">
        <v>1.110093</v>
      </c>
      <c r="L3657">
        <v>141.05179999999999</v>
      </c>
      <c r="M3657">
        <v>-0.99985219999999997</v>
      </c>
      <c r="N3657">
        <v>0</v>
      </c>
      <c r="O3657">
        <v>-9.9752959999999998E-3</v>
      </c>
      <c r="P3657">
        <v>-0.98227419999999999</v>
      </c>
      <c r="Q3657">
        <v>0.18378610000000001</v>
      </c>
      <c r="R3657">
        <v>3.688483E-2</v>
      </c>
      <c r="S3657">
        <v>-3.099243</v>
      </c>
      <c r="T3657">
        <v>-0.21199100000000001</v>
      </c>
      <c r="U3657">
        <v>-0.14067079999999901</v>
      </c>
      <c r="V3657">
        <v>4.681159E-2</v>
      </c>
      <c r="W3657">
        <v>0.1974902</v>
      </c>
      <c r="X3657">
        <v>0.97918649999999996</v>
      </c>
      <c r="Y3657">
        <v>-3.5314720000000001E-2</v>
      </c>
      <c r="Z3657">
        <v>-5.2455790000000002E-4</v>
      </c>
      <c r="AA3657">
        <v>0.99937609999999999</v>
      </c>
      <c r="AB3657">
        <v>37</v>
      </c>
      <c r="AC3657">
        <v>-15.8522999999999</v>
      </c>
      <c r="AD3657">
        <v>-1.1100953801369999</v>
      </c>
      <c r="AE3657">
        <v>-0.73309999999997899</v>
      </c>
      <c r="AF3657">
        <v>-0.57211704683832998</v>
      </c>
      <c r="AG3657">
        <v>-1.1100953801369999</v>
      </c>
      <c r="AH3657">
        <v>15.781599495732101</v>
      </c>
      <c r="AI3657">
        <v>94.020989208294694</v>
      </c>
      <c r="AJ3657">
        <v>92.076186479525106</v>
      </c>
      <c r="AK3657">
        <v>15.830935294921</v>
      </c>
      <c r="AL3657">
        <v>78.609768461283807</v>
      </c>
      <c r="AM3657">
        <v>87.262966714392306</v>
      </c>
      <c r="AN3657">
        <v>0.99999995291830701</v>
      </c>
    </row>
    <row r="3658" spans="1:40" x14ac:dyDescent="0.25">
      <c r="A3658" t="str">
        <f>"20190312164341014"</f>
        <v>20190312164341014</v>
      </c>
      <c r="B3658" t="str">
        <f>"1552380221008255"</f>
        <v>1552380221008255</v>
      </c>
      <c r="C3658" t="s">
        <v>40</v>
      </c>
      <c r="D3658">
        <v>4.5192759999999996</v>
      </c>
      <c r="E3658">
        <v>0.47486109999999998</v>
      </c>
      <c r="F3658" t="s">
        <v>42</v>
      </c>
      <c r="G3658">
        <v>-375.19040000000001</v>
      </c>
      <c r="H3658" s="1">
        <v>-2.2355960000000001E-6</v>
      </c>
      <c r="I3658">
        <v>140.33019999999999</v>
      </c>
      <c r="J3658">
        <v>-359.36279999999999</v>
      </c>
      <c r="K3658">
        <v>1.11008</v>
      </c>
      <c r="L3658">
        <v>141.04839999999999</v>
      </c>
      <c r="M3658">
        <v>-0.99985489999999999</v>
      </c>
      <c r="N3658">
        <v>0</v>
      </c>
      <c r="O3658">
        <v>-9.6990830000000007E-3</v>
      </c>
      <c r="P3658">
        <v>-0.98237129999999995</v>
      </c>
      <c r="Q3658">
        <v>0.18329580000000001</v>
      </c>
      <c r="R3658">
        <v>3.6735860000000002E-2</v>
      </c>
      <c r="S3658">
        <v>-3.0991209999999998</v>
      </c>
      <c r="T3658">
        <v>-0.21241280000000001</v>
      </c>
      <c r="U3658">
        <v>-0.1380615</v>
      </c>
      <c r="V3658">
        <v>4.6395560000000002E-2</v>
      </c>
      <c r="W3658">
        <v>0.1969989</v>
      </c>
      <c r="X3658">
        <v>0.97930530000000005</v>
      </c>
      <c r="Y3658">
        <v>-3.4753300000000001E-2</v>
      </c>
      <c r="Z3658">
        <v>-5.2532049999999997E-4</v>
      </c>
      <c r="AA3658">
        <v>0.99939579999999995</v>
      </c>
      <c r="AB3658">
        <v>37</v>
      </c>
      <c r="AC3658">
        <v>-15.8276</v>
      </c>
      <c r="AD3658">
        <v>-1.1100822355960001</v>
      </c>
      <c r="AE3658">
        <v>-0.71819999999999595</v>
      </c>
      <c r="AF3658">
        <v>-0.56187972202759495</v>
      </c>
      <c r="AG3658">
        <v>-1.1100822355960001</v>
      </c>
      <c r="AH3658">
        <v>15.7564744962433</v>
      </c>
      <c r="AI3658">
        <v>94.027417716743102</v>
      </c>
      <c r="AJ3658">
        <v>92.042316053977899</v>
      </c>
      <c r="AK3658">
        <v>15.805520552723801</v>
      </c>
      <c r="AL3658">
        <v>78.638482432898599</v>
      </c>
      <c r="AM3658">
        <v>87.287583723915304</v>
      </c>
      <c r="AN3658">
        <v>0.99999999259850603</v>
      </c>
    </row>
    <row r="3659" spans="1:40" x14ac:dyDescent="0.25">
      <c r="A3659" t="str">
        <f>"20190312164341037"</f>
        <v>20190312164341037</v>
      </c>
      <c r="B3659" t="str">
        <f>"1552380221028266"</f>
        <v>1552380221028266</v>
      </c>
      <c r="C3659" t="s">
        <v>40</v>
      </c>
      <c r="D3659">
        <v>4.7206859999999997</v>
      </c>
      <c r="E3659">
        <v>0.47481329999999999</v>
      </c>
      <c r="F3659" t="s">
        <v>42</v>
      </c>
      <c r="G3659">
        <v>-375.1123</v>
      </c>
      <c r="H3659" s="1">
        <v>-2.267674E-6</v>
      </c>
      <c r="I3659">
        <v>140.32480000000001</v>
      </c>
      <c r="J3659">
        <v>-359.733</v>
      </c>
      <c r="K3659">
        <v>1.110074</v>
      </c>
      <c r="L3659">
        <v>141.04509999999999</v>
      </c>
      <c r="M3659">
        <v>-0.99985769999999996</v>
      </c>
      <c r="N3659">
        <v>0</v>
      </c>
      <c r="O3659">
        <v>-9.4110440000000004E-3</v>
      </c>
      <c r="P3659">
        <v>-0.98249109999999995</v>
      </c>
      <c r="Q3659">
        <v>0.18277350000000001</v>
      </c>
      <c r="R3659">
        <v>3.6127630000000001E-2</v>
      </c>
      <c r="S3659">
        <v>-3.099945</v>
      </c>
      <c r="T3659">
        <v>-0.2184962</v>
      </c>
      <c r="U3659">
        <v>-0.14241029999999999</v>
      </c>
      <c r="V3659">
        <v>4.5509769999999998E-2</v>
      </c>
      <c r="W3659">
        <v>0.19647619999999999</v>
      </c>
      <c r="X3659">
        <v>0.97945179999999998</v>
      </c>
      <c r="Y3659">
        <v>-3.6420279999999999E-2</v>
      </c>
      <c r="Z3659">
        <v>-6.1907900000000003E-4</v>
      </c>
      <c r="AA3659">
        <v>0.99933640000000001</v>
      </c>
      <c r="AB3659">
        <v>37</v>
      </c>
      <c r="AC3659">
        <v>-15.379300000000001</v>
      </c>
      <c r="AD3659">
        <v>-1.1100762676739999</v>
      </c>
      <c r="AE3659">
        <v>-0.72029999999997996</v>
      </c>
      <c r="AF3659">
        <v>-0.57254225901322198</v>
      </c>
      <c r="AG3659">
        <v>-1.1100762676739999</v>
      </c>
      <c r="AH3659">
        <v>15.3058303576196</v>
      </c>
      <c r="AI3659">
        <v>94.1453025674884</v>
      </c>
      <c r="AJ3659">
        <v>92.1422534053372</v>
      </c>
      <c r="AK3659">
        <v>15.3567091818084</v>
      </c>
      <c r="AL3659">
        <v>78.669027221768502</v>
      </c>
      <c r="AM3659">
        <v>87.339691782614693</v>
      </c>
      <c r="AN3659">
        <v>0.99999993242756402</v>
      </c>
    </row>
    <row r="3660" spans="1:40" x14ac:dyDescent="0.25">
      <c r="A3660" t="str">
        <f>"20190312164341058"</f>
        <v>20190312164341058</v>
      </c>
      <c r="B3660" t="str">
        <f>"1552380221048758"</f>
        <v>1552380221048758</v>
      </c>
      <c r="C3660" t="s">
        <v>40</v>
      </c>
      <c r="D3660">
        <v>4.6143450000000001</v>
      </c>
      <c r="E3660">
        <v>0.4748193</v>
      </c>
      <c r="F3660" t="s">
        <v>42</v>
      </c>
      <c r="G3660">
        <v>-375.42899999999997</v>
      </c>
      <c r="H3660" s="1">
        <v>-2.1285099999999999E-6</v>
      </c>
      <c r="I3660">
        <v>140.3125</v>
      </c>
      <c r="J3660">
        <v>-360.08580000000001</v>
      </c>
      <c r="K3660">
        <v>1.1100669999999999</v>
      </c>
      <c r="L3660">
        <v>141.0421</v>
      </c>
      <c r="M3660">
        <v>-0.99986050000000004</v>
      </c>
      <c r="N3660">
        <v>0</v>
      </c>
      <c r="O3660">
        <v>-9.1245489999999992E-3</v>
      </c>
      <c r="P3660">
        <v>-0.98260809999999998</v>
      </c>
      <c r="Q3660">
        <v>0.18224960000000001</v>
      </c>
      <c r="R3660">
        <v>3.5587189999999998E-2</v>
      </c>
      <c r="S3660">
        <v>-3.099548</v>
      </c>
      <c r="T3660">
        <v>-0.2192104</v>
      </c>
      <c r="U3660">
        <v>-0.14465329999999901</v>
      </c>
      <c r="V3660">
        <v>4.4693040000000003E-2</v>
      </c>
      <c r="W3660">
        <v>0.1959516</v>
      </c>
      <c r="X3660">
        <v>0.97959450000000003</v>
      </c>
      <c r="Y3660">
        <v>-3.7430419999999999E-2</v>
      </c>
      <c r="Z3660">
        <v>-6.7704829999999997E-4</v>
      </c>
      <c r="AA3660">
        <v>0.99929900000000005</v>
      </c>
      <c r="AB3660">
        <v>36</v>
      </c>
      <c r="AC3660">
        <v>-15.3432</v>
      </c>
      <c r="AD3660">
        <v>-1.1100691285099999</v>
      </c>
      <c r="AE3660">
        <v>-0.72960000000000402</v>
      </c>
      <c r="AF3660">
        <v>-0.58649311598006104</v>
      </c>
      <c r="AG3660">
        <v>-1.1100691285099999</v>
      </c>
      <c r="AH3660">
        <v>15.269472631275301</v>
      </c>
      <c r="AI3660">
        <v>94.154954518143299</v>
      </c>
      <c r="AJ3660">
        <v>92.199622125783705</v>
      </c>
      <c r="AK3660">
        <v>15.320999382626001</v>
      </c>
      <c r="AL3660">
        <v>78.699680551792099</v>
      </c>
      <c r="AM3660">
        <v>87.387747662005296</v>
      </c>
      <c r="AN3660">
        <v>0.99999994089862398</v>
      </c>
    </row>
    <row r="3661" spans="1:40" x14ac:dyDescent="0.25">
      <c r="A3661" t="str">
        <f>"20190312164341080"</f>
        <v>20190312164341080</v>
      </c>
      <c r="B3661" t="str">
        <f>"1552380221068280"</f>
        <v>1552380221068280</v>
      </c>
      <c r="C3661" t="s">
        <v>40</v>
      </c>
      <c r="D3661">
        <v>4.6094839999999904</v>
      </c>
      <c r="E3661">
        <v>0.47591129999999998</v>
      </c>
      <c r="F3661" t="s">
        <v>42</v>
      </c>
      <c r="G3661">
        <v>-375.65440000000001</v>
      </c>
      <c r="H3661" s="1">
        <v>-2.0305899999999998E-6</v>
      </c>
      <c r="I3661">
        <v>140.30799999999999</v>
      </c>
      <c r="J3661">
        <v>-360.45229999999998</v>
      </c>
      <c r="K3661">
        <v>1.11005</v>
      </c>
      <c r="L3661">
        <v>141.03899999999999</v>
      </c>
      <c r="M3661">
        <v>-0.9998631</v>
      </c>
      <c r="N3661">
        <v>0</v>
      </c>
      <c r="O3661">
        <v>-8.8139559999999995E-3</v>
      </c>
      <c r="P3661">
        <v>-0.98261229999999999</v>
      </c>
      <c r="Q3661">
        <v>0.18234500000000001</v>
      </c>
      <c r="R3661">
        <v>3.4983309999999997E-2</v>
      </c>
      <c r="S3661">
        <v>-3.0993650000000001</v>
      </c>
      <c r="T3661">
        <v>-0.2209903</v>
      </c>
      <c r="U3661">
        <v>-0.1461334</v>
      </c>
      <c r="V3661">
        <v>4.3789549999999997E-2</v>
      </c>
      <c r="W3661">
        <v>0.19604469999999999</v>
      </c>
      <c r="X3661">
        <v>0.97961679999999995</v>
      </c>
      <c r="Y3661">
        <v>-3.8215819999999998E-2</v>
      </c>
      <c r="Z3661">
        <v>-7.3261870000000001E-4</v>
      </c>
      <c r="AA3661">
        <v>0.99926919999999997</v>
      </c>
      <c r="AB3661">
        <v>36</v>
      </c>
      <c r="AC3661">
        <v>-15.2021</v>
      </c>
      <c r="AD3661">
        <v>-1.1100520305899999</v>
      </c>
      <c r="AE3661">
        <v>-0.73099999999999399</v>
      </c>
      <c r="AF3661">
        <v>-0.593809011544706</v>
      </c>
      <c r="AG3661">
        <v>-1.1100520305899999</v>
      </c>
      <c r="AH3661">
        <v>15.127481325715801</v>
      </c>
      <c r="AI3661">
        <v>94.193614590784705</v>
      </c>
      <c r="AJ3661">
        <v>92.247914967083702</v>
      </c>
      <c r="AK3661">
        <v>15.1797732497125</v>
      </c>
      <c r="AL3661">
        <v>78.694242193323902</v>
      </c>
      <c r="AM3661">
        <v>87.440542760882707</v>
      </c>
      <c r="AN3661">
        <v>1.00000006196476</v>
      </c>
    </row>
    <row r="3662" spans="1:40" x14ac:dyDescent="0.25">
      <c r="A3662" t="str">
        <f>"20190312164341105"</f>
        <v>20190312164341105</v>
      </c>
      <c r="B3662" t="str">
        <f>"1552380221098536"</f>
        <v>1552380221098536</v>
      </c>
      <c r="C3662" t="s">
        <v>40</v>
      </c>
      <c r="D3662">
        <v>4.5490769999999996</v>
      </c>
      <c r="E3662">
        <v>0.47421829999999998</v>
      </c>
      <c r="F3662" t="s">
        <v>42</v>
      </c>
      <c r="G3662">
        <v>-371.52569999999997</v>
      </c>
      <c r="H3662" s="1">
        <v>-3.8590109999999999E-6</v>
      </c>
      <c r="I3662">
        <v>140.523</v>
      </c>
      <c r="J3662">
        <v>-360.82709999999997</v>
      </c>
      <c r="K3662">
        <v>1.110031</v>
      </c>
      <c r="L3662">
        <v>141.0361</v>
      </c>
      <c r="M3662">
        <v>-0.99986620000000004</v>
      </c>
      <c r="N3662">
        <v>0</v>
      </c>
      <c r="O3662">
        <v>-8.4829869999999905E-3</v>
      </c>
      <c r="P3662">
        <v>-0.98267320000000002</v>
      </c>
      <c r="Q3662">
        <v>0.18206829999999999</v>
      </c>
      <c r="R3662">
        <v>3.4708040000000003E-2</v>
      </c>
      <c r="S3662">
        <v>-3.1162109999999998</v>
      </c>
      <c r="T3662">
        <v>-0.31238519999999997</v>
      </c>
      <c r="U3662">
        <v>-0.14520259999999999</v>
      </c>
      <c r="V3662">
        <v>4.319423E-2</v>
      </c>
      <c r="W3662">
        <v>0.19576650000000001</v>
      </c>
      <c r="X3662">
        <v>0.97969879999999998</v>
      </c>
      <c r="Y3662">
        <v>-3.7921879999999998E-2</v>
      </c>
      <c r="Z3662">
        <v>-1.047142E-3</v>
      </c>
      <c r="AA3662">
        <v>0.99928019999999995</v>
      </c>
      <c r="AB3662">
        <v>36</v>
      </c>
      <c r="AC3662">
        <v>-10.698600000000001</v>
      </c>
      <c r="AD3662">
        <v>-1.1100348590109901</v>
      </c>
      <c r="AE3662">
        <v>-0.51310000000000799</v>
      </c>
      <c r="AF3662">
        <v>-0.41782891056131399</v>
      </c>
      <c r="AG3662">
        <v>-1.1100348590109901</v>
      </c>
      <c r="AH3662">
        <v>10.588839365359499</v>
      </c>
      <c r="AI3662">
        <v>95.979875371052799</v>
      </c>
      <c r="AJ3662">
        <v>92.259682935649806</v>
      </c>
      <c r="AK3662">
        <v>10.655058774690399</v>
      </c>
      <c r="AL3662">
        <v>78.710496155559994</v>
      </c>
      <c r="AM3662">
        <v>87.475504353307102</v>
      </c>
      <c r="AN3662">
        <v>1.0000000013744901</v>
      </c>
    </row>
    <row r="3663" spans="1:40" x14ac:dyDescent="0.25">
      <c r="A3663" t="str">
        <f>"20190312164341126"</f>
        <v>20190312164341126</v>
      </c>
      <c r="B3663" t="str">
        <f>"1552380221118055"</f>
        <v>1552380221118055</v>
      </c>
      <c r="C3663" t="s">
        <v>40</v>
      </c>
      <c r="D3663">
        <v>4.5059550000000002</v>
      </c>
      <c r="E3663">
        <v>0.47581079999999998</v>
      </c>
      <c r="F3663" t="s">
        <v>41</v>
      </c>
      <c r="G3663">
        <v>-361.82960000000003</v>
      </c>
      <c r="H3663">
        <v>1.0170870000000001</v>
      </c>
      <c r="I3663">
        <v>140.9854</v>
      </c>
      <c r="J3663">
        <v>-361.1825</v>
      </c>
      <c r="K3663">
        <v>1.11002</v>
      </c>
      <c r="L3663">
        <v>141.0334</v>
      </c>
      <c r="M3663">
        <v>-0.99986889999999995</v>
      </c>
      <c r="N3663">
        <v>0</v>
      </c>
      <c r="O3663">
        <v>-8.1601569999999995E-3</v>
      </c>
      <c r="P3663">
        <v>-0.98284689999999997</v>
      </c>
      <c r="Q3663">
        <v>0.18121219999999999</v>
      </c>
      <c r="R3663">
        <v>3.4272530000000002E-2</v>
      </c>
      <c r="S3663">
        <v>-3.1120000000000001</v>
      </c>
      <c r="T3663">
        <v>-0.28859849999999998</v>
      </c>
      <c r="U3663">
        <v>-0.15835569999999999</v>
      </c>
      <c r="V3663">
        <v>4.244647E-2</v>
      </c>
      <c r="W3663">
        <v>0.1949111</v>
      </c>
      <c r="X3663">
        <v>0.97990200000000005</v>
      </c>
      <c r="Y3663">
        <v>-4.2520629999999997E-2</v>
      </c>
      <c r="Z3663">
        <v>-1.211466E-3</v>
      </c>
      <c r="AA3663">
        <v>0.99909479999999995</v>
      </c>
      <c r="AB3663">
        <v>36</v>
      </c>
      <c r="AC3663">
        <v>-0.64710000000002299</v>
      </c>
      <c r="AD3663">
        <v>-9.2932999999999905E-2</v>
      </c>
      <c r="AE3663">
        <v>-4.8000000000001798E-2</v>
      </c>
      <c r="AF3663">
        <v>-4.1858827210732301E-2</v>
      </c>
      <c r="AG3663">
        <v>-9.2932999999999905E-2</v>
      </c>
      <c r="AH3663">
        <v>0.63445603283760299</v>
      </c>
      <c r="AI3663">
        <v>98.315409405185704</v>
      </c>
      <c r="AJ3663">
        <v>93.774671890636995</v>
      </c>
      <c r="AK3663">
        <v>0.64259097527780995</v>
      </c>
      <c r="AL3663">
        <v>78.760469475304404</v>
      </c>
      <c r="AM3663">
        <v>87.519666062810103</v>
      </c>
      <c r="AN3663">
        <v>0.999999984661335</v>
      </c>
    </row>
    <row r="3664" spans="1:40" x14ac:dyDescent="0.25">
      <c r="A3664" t="str">
        <f>"20190312164341148"</f>
        <v>20190312164341148</v>
      </c>
      <c r="B3664" t="str">
        <f>"1552380221138084"</f>
        <v>1552380221138084</v>
      </c>
      <c r="C3664" t="s">
        <v>40</v>
      </c>
      <c r="D3664">
        <v>4.5457359999999998</v>
      </c>
      <c r="E3664">
        <v>0.47737479999999899</v>
      </c>
      <c r="F3664" t="s">
        <v>41</v>
      </c>
      <c r="G3664">
        <v>-362.16340000000002</v>
      </c>
      <c r="H3664">
        <v>1.02145</v>
      </c>
      <c r="I3664">
        <v>140.9872</v>
      </c>
      <c r="J3664">
        <v>-361.54689999999999</v>
      </c>
      <c r="K3664">
        <v>1.1100179999999999</v>
      </c>
      <c r="L3664">
        <v>141.0308</v>
      </c>
      <c r="M3664">
        <v>-0.99987159999999997</v>
      </c>
      <c r="N3664">
        <v>0</v>
      </c>
      <c r="O3664">
        <v>-7.8228109999999903E-3</v>
      </c>
      <c r="P3664">
        <v>-0.98302579999999995</v>
      </c>
      <c r="Q3664">
        <v>0.18027869999999999</v>
      </c>
      <c r="R3664">
        <v>3.406021E-2</v>
      </c>
      <c r="S3664">
        <v>-3.1092529999999998</v>
      </c>
      <c r="T3664">
        <v>-0.28075499999999998</v>
      </c>
      <c r="U3664">
        <v>-0.14680480000000001</v>
      </c>
      <c r="V3664">
        <v>4.190613E-2</v>
      </c>
      <c r="W3664">
        <v>0.19397800000000001</v>
      </c>
      <c r="X3664">
        <v>0.98011040000000005</v>
      </c>
      <c r="Y3664">
        <v>-3.9219169999999998E-2</v>
      </c>
      <c r="Z3664">
        <v>-1.061527E-3</v>
      </c>
      <c r="AA3664">
        <v>0.99923010000000001</v>
      </c>
      <c r="AB3664">
        <v>36</v>
      </c>
      <c r="AC3664">
        <v>-0.61650000000003002</v>
      </c>
      <c r="AD3664">
        <v>-8.8567999999999897E-2</v>
      </c>
      <c r="AE3664">
        <v>-4.35999999999978E-2</v>
      </c>
      <c r="AF3664">
        <v>-3.7995153645171198E-2</v>
      </c>
      <c r="AG3664">
        <v>-8.8567999999999897E-2</v>
      </c>
      <c r="AH3664">
        <v>0.60440993720318503</v>
      </c>
      <c r="AI3664">
        <v>98.320386287500895</v>
      </c>
      <c r="AJ3664">
        <v>93.5970637878155</v>
      </c>
      <c r="AK3664">
        <v>0.61204517358972599</v>
      </c>
      <c r="AL3664">
        <v>78.814972525922897</v>
      </c>
      <c r="AM3664">
        <v>87.551721873697502</v>
      </c>
      <c r="AN3664">
        <v>0.99999999220186797</v>
      </c>
    </row>
    <row r="3665" spans="1:40" x14ac:dyDescent="0.25">
      <c r="A3665" t="str">
        <f>"20190312164341169"</f>
        <v>20190312164341169</v>
      </c>
      <c r="B3665" t="str">
        <f>"1552380221158580"</f>
        <v>1552380221158580</v>
      </c>
      <c r="C3665" t="s">
        <v>40</v>
      </c>
      <c r="D3665">
        <v>4.5008220000000003</v>
      </c>
      <c r="E3665">
        <v>0.47812349999999998</v>
      </c>
      <c r="F3665" t="s">
        <v>42</v>
      </c>
      <c r="G3665">
        <v>-374.02460000000002</v>
      </c>
      <c r="H3665" s="1">
        <v>-2.7782910000000001E-6</v>
      </c>
      <c r="I3665">
        <v>140.49019999999999</v>
      </c>
      <c r="J3665">
        <v>-361.88749999999999</v>
      </c>
      <c r="K3665">
        <v>1.1100110000000001</v>
      </c>
      <c r="L3665">
        <v>141.0284</v>
      </c>
      <c r="M3665">
        <v>-0.99987409999999999</v>
      </c>
      <c r="N3665">
        <v>0</v>
      </c>
      <c r="O3665">
        <v>-7.5038530000000004E-3</v>
      </c>
      <c r="P3665">
        <v>-0.98313680000000003</v>
      </c>
      <c r="Q3665">
        <v>0.17970429999999901</v>
      </c>
      <c r="R3665">
        <v>3.388973E-2</v>
      </c>
      <c r="S3665">
        <v>-3.1071780000000002</v>
      </c>
      <c r="T3665">
        <v>-0.276418099999999</v>
      </c>
      <c r="U3665">
        <v>-0.13459779999999999</v>
      </c>
      <c r="V3665">
        <v>4.1424889999999999E-2</v>
      </c>
      <c r="W3665">
        <v>0.19340299999999999</v>
      </c>
      <c r="X3665">
        <v>0.98024449999999996</v>
      </c>
      <c r="Y3665">
        <v>-3.566797E-2</v>
      </c>
      <c r="Z3665">
        <v>-9.1670849999999997E-4</v>
      </c>
      <c r="AA3665">
        <v>0.99936329999999995</v>
      </c>
      <c r="AB3665">
        <v>36</v>
      </c>
      <c r="AC3665">
        <v>-12.1371</v>
      </c>
      <c r="AD3665">
        <v>-1.110013778291</v>
      </c>
      <c r="AE3665">
        <v>-0.538200000000017</v>
      </c>
      <c r="AF3665">
        <v>-0.44339950236762099</v>
      </c>
      <c r="AG3665">
        <v>-1.110013778291</v>
      </c>
      <c r="AH3665">
        <v>12.0402868866954</v>
      </c>
      <c r="AI3665">
        <v>95.263754661063004</v>
      </c>
      <c r="AJ3665">
        <v>92.109039856490099</v>
      </c>
      <c r="AK3665">
        <v>12.099472799284399</v>
      </c>
      <c r="AL3665">
        <v>78.848553744719396</v>
      </c>
      <c r="AM3665">
        <v>87.580134385979804</v>
      </c>
      <c r="AN3665">
        <v>1.0000000108503799</v>
      </c>
    </row>
    <row r="3666" spans="1:40" x14ac:dyDescent="0.25">
      <c r="A3666" t="str">
        <f>"20190312164341191"</f>
        <v>20190312164341191</v>
      </c>
      <c r="B3666" t="str">
        <f>"1552380221188835"</f>
        <v>1552380221188835</v>
      </c>
      <c r="C3666" t="s">
        <v>40</v>
      </c>
      <c r="D3666">
        <v>4.473662</v>
      </c>
      <c r="E3666">
        <v>0.47851709999999897</v>
      </c>
      <c r="F3666" t="s">
        <v>42</v>
      </c>
      <c r="G3666">
        <v>-374.67770000000002</v>
      </c>
      <c r="H3666" s="1">
        <v>-2.5000749999999999E-6</v>
      </c>
      <c r="I3666">
        <v>140.4975</v>
      </c>
      <c r="J3666">
        <v>-362.24950000000001</v>
      </c>
      <c r="K3666">
        <v>1.1100049999999999</v>
      </c>
      <c r="L3666">
        <v>141.02600000000001</v>
      </c>
      <c r="M3666">
        <v>-0.9998766</v>
      </c>
      <c r="N3666">
        <v>0</v>
      </c>
      <c r="O3666">
        <v>-7.1616630000000004E-3</v>
      </c>
      <c r="P3666">
        <v>-0.98322980000000004</v>
      </c>
      <c r="Q3666">
        <v>0.1791884</v>
      </c>
      <c r="R3666">
        <v>3.3923479999999999E-2</v>
      </c>
      <c r="S3666">
        <v>-3.1051639999999998</v>
      </c>
      <c r="T3666">
        <v>-0.269486</v>
      </c>
      <c r="U3666">
        <v>-0.12886049999999999</v>
      </c>
      <c r="V3666">
        <v>4.1124349999999997E-2</v>
      </c>
      <c r="W3666">
        <v>0.192887</v>
      </c>
      <c r="X3666">
        <v>0.98035879999999997</v>
      </c>
      <c r="Y3666">
        <v>-3.4204350000000001E-2</v>
      </c>
      <c r="Z3666">
        <v>-8.6068059999999896E-4</v>
      </c>
      <c r="AA3666">
        <v>0.99941449999999998</v>
      </c>
      <c r="AB3666">
        <v>36</v>
      </c>
      <c r="AC3666">
        <v>-12.4282</v>
      </c>
      <c r="AD3666">
        <v>-1.1100075000749901</v>
      </c>
      <c r="AE3666">
        <v>-0.52850000000000796</v>
      </c>
      <c r="AF3666">
        <v>-0.435999506064491</v>
      </c>
      <c r="AG3666">
        <v>-1.1100075000749901</v>
      </c>
      <c r="AH3666">
        <v>12.333461051173</v>
      </c>
      <c r="AI3666">
        <v>95.1395529406484</v>
      </c>
      <c r="AJ3666">
        <v>92.0246168634133</v>
      </c>
      <c r="AK3666">
        <v>12.3909835654928</v>
      </c>
      <c r="AL3666">
        <v>78.878685531642404</v>
      </c>
      <c r="AM3666">
        <v>87.597949768252306</v>
      </c>
      <c r="AN3666">
        <v>0.99999999183468102</v>
      </c>
    </row>
    <row r="3667" spans="1:40" x14ac:dyDescent="0.25">
      <c r="A3667" t="str">
        <f>"20190312164341215"</f>
        <v>20190312164341215</v>
      </c>
      <c r="B3667" t="str">
        <f>"1552380221208359"</f>
        <v>1552380221208359</v>
      </c>
      <c r="C3667" t="s">
        <v>40</v>
      </c>
      <c r="D3667">
        <v>4.6044010000000002</v>
      </c>
      <c r="E3667">
        <v>0.47906179999999898</v>
      </c>
      <c r="F3667" t="s">
        <v>42</v>
      </c>
      <c r="G3667">
        <v>-375.31700000000001</v>
      </c>
      <c r="H3667" s="1">
        <v>-2.2264139999999999E-6</v>
      </c>
      <c r="I3667">
        <v>140.4999</v>
      </c>
      <c r="J3667">
        <v>-362.62509999999997</v>
      </c>
      <c r="K3667">
        <v>1.109998</v>
      </c>
      <c r="L3667">
        <v>141.02369999999999</v>
      </c>
      <c r="M3667">
        <v>-0.99987910000000002</v>
      </c>
      <c r="N3667">
        <v>0</v>
      </c>
      <c r="O3667">
        <v>-6.8039779999999996E-3</v>
      </c>
      <c r="P3667">
        <v>-0.98323879999999997</v>
      </c>
      <c r="Q3667">
        <v>0.17909439999999999</v>
      </c>
      <c r="R3667">
        <v>3.4155909999999998E-2</v>
      </c>
      <c r="S3667">
        <v>-3.103485</v>
      </c>
      <c r="T3667">
        <v>-0.26362370000000002</v>
      </c>
      <c r="U3667">
        <v>-0.12493899999999999</v>
      </c>
      <c r="V3667">
        <v>4.1006870000000001E-2</v>
      </c>
      <c r="W3667">
        <v>0.19279060000000001</v>
      </c>
      <c r="X3667">
        <v>0.98038270000000005</v>
      </c>
      <c r="Y3667">
        <v>-3.3329619999999997E-2</v>
      </c>
      <c r="Z3667">
        <v>-8.3574699999999997E-4</v>
      </c>
      <c r="AA3667">
        <v>0.99944409999999895</v>
      </c>
      <c r="AB3667">
        <v>36</v>
      </c>
      <c r="AC3667">
        <v>-12.691899999999899</v>
      </c>
      <c r="AD3667">
        <v>-1.1100002264139901</v>
      </c>
      <c r="AE3667">
        <v>-0.52379999999999405</v>
      </c>
      <c r="AF3667">
        <v>-0.434109257028573</v>
      </c>
      <c r="AG3667">
        <v>-1.1100002264139901</v>
      </c>
      <c r="AH3667">
        <v>12.5989674073925</v>
      </c>
      <c r="AI3667">
        <v>95.031929113162803</v>
      </c>
      <c r="AJ3667">
        <v>91.973399204179699</v>
      </c>
      <c r="AK3667">
        <v>12.6552175438518</v>
      </c>
      <c r="AL3667">
        <v>78.884314687264407</v>
      </c>
      <c r="AM3667">
        <v>87.604862028699102</v>
      </c>
      <c r="AN3667">
        <v>1.0000000086474199</v>
      </c>
    </row>
    <row r="3668" spans="1:40" x14ac:dyDescent="0.25">
      <c r="A3668" t="str">
        <f>"20190312164341236"</f>
        <v>20190312164341236</v>
      </c>
      <c r="B3668" t="str">
        <f>"1552380221227876"</f>
        <v>1552380221227876</v>
      </c>
      <c r="C3668" t="s">
        <v>40</v>
      </c>
      <c r="D3668">
        <v>4.4728320000000004</v>
      </c>
      <c r="E3668">
        <v>0.47969479999999998</v>
      </c>
      <c r="F3668" t="s">
        <v>42</v>
      </c>
      <c r="G3668">
        <v>-375.92849999999999</v>
      </c>
      <c r="H3668" s="1">
        <v>-1.9670969999999999E-6</v>
      </c>
      <c r="I3668">
        <v>140.5112</v>
      </c>
      <c r="J3668">
        <v>-362.9828</v>
      </c>
      <c r="K3668">
        <v>1.1100000000000001</v>
      </c>
      <c r="L3668">
        <v>141.02160000000001</v>
      </c>
      <c r="M3668">
        <v>-0.99988129999999997</v>
      </c>
      <c r="N3668">
        <v>0</v>
      </c>
      <c r="O3668">
        <v>-6.4613200000000004E-3</v>
      </c>
      <c r="P3668">
        <v>-0.98327569999999997</v>
      </c>
      <c r="Q3668">
        <v>0.1788681</v>
      </c>
      <c r="R3668">
        <v>3.4278620000000003E-2</v>
      </c>
      <c r="S3668">
        <v>-3.1024479999999999</v>
      </c>
      <c r="T3668">
        <v>-0.258860799999999</v>
      </c>
      <c r="U3668">
        <v>-0.1195068</v>
      </c>
      <c r="V3668">
        <v>4.0794150000000001E-2</v>
      </c>
      <c r="W3668">
        <v>0.19256319999999999</v>
      </c>
      <c r="X3668">
        <v>0.98043630000000004</v>
      </c>
      <c r="Y3668">
        <v>-3.1945250000000001E-2</v>
      </c>
      <c r="Z3668">
        <v>-7.9189889999999995E-4</v>
      </c>
      <c r="AA3668">
        <v>0.99948930000000002</v>
      </c>
      <c r="AB3668">
        <v>36</v>
      </c>
      <c r="AC3668">
        <v>-12.945699999999899</v>
      </c>
      <c r="AD3668">
        <v>-1.1100019670970001</v>
      </c>
      <c r="AE3668">
        <v>-0.51040000000000396</v>
      </c>
      <c r="AF3668">
        <v>-0.42362525571724002</v>
      </c>
      <c r="AG3668">
        <v>-1.1100019670970001</v>
      </c>
      <c r="AH3668">
        <v>12.8543712009334</v>
      </c>
      <c r="AI3668">
        <v>94.932703399051505</v>
      </c>
      <c r="AJ3668">
        <v>91.887541404933501</v>
      </c>
      <c r="AK3668">
        <v>12.9091603791891</v>
      </c>
      <c r="AL3668">
        <v>78.897592936562603</v>
      </c>
      <c r="AM3668">
        <v>87.617402378825702</v>
      </c>
      <c r="AN3668">
        <v>1.00000004351307</v>
      </c>
    </row>
    <row r="3669" spans="1:40" x14ac:dyDescent="0.25">
      <c r="A3669" t="str">
        <f>"20190312164341258"</f>
        <v>20190312164341258</v>
      </c>
      <c r="B3669" t="str">
        <f>"1552380221248372"</f>
        <v>1552380221248372</v>
      </c>
      <c r="C3669" t="s">
        <v>40</v>
      </c>
      <c r="D3669">
        <v>4.4428289999999997</v>
      </c>
      <c r="E3669">
        <v>0.48003669999999998</v>
      </c>
      <c r="F3669" t="s">
        <v>42</v>
      </c>
      <c r="G3669">
        <v>-376.7106</v>
      </c>
      <c r="H3669" s="1">
        <v>-1.6335150000000001E-6</v>
      </c>
      <c r="I3669">
        <v>140.51840000000001</v>
      </c>
      <c r="J3669">
        <v>-363.3202</v>
      </c>
      <c r="K3669">
        <v>1.109999</v>
      </c>
      <c r="L3669">
        <v>141.0198</v>
      </c>
      <c r="M3669">
        <v>-0.99988350000000004</v>
      </c>
      <c r="N3669">
        <v>0</v>
      </c>
      <c r="O3669">
        <v>-6.1369090000000003E-3</v>
      </c>
      <c r="P3669">
        <v>-0.98332759999999997</v>
      </c>
      <c r="Q3669">
        <v>0.17846899999999999</v>
      </c>
      <c r="R3669">
        <v>3.4871800000000001E-2</v>
      </c>
      <c r="S3669">
        <v>-3.1005859999999998</v>
      </c>
      <c r="T3669">
        <v>-0.25070799999999999</v>
      </c>
      <c r="U3669">
        <v>-0.1136322</v>
      </c>
      <c r="V3669">
        <v>4.1069950000000001E-2</v>
      </c>
      <c r="W3669">
        <v>0.19216269999999999</v>
      </c>
      <c r="X3669">
        <v>0.98050329999999997</v>
      </c>
      <c r="Y3669">
        <v>-3.0410840000000001E-2</v>
      </c>
      <c r="Z3669">
        <v>-7.3179279999999896E-4</v>
      </c>
      <c r="AA3669">
        <v>0.99953720000000001</v>
      </c>
      <c r="AB3669">
        <v>36</v>
      </c>
      <c r="AC3669">
        <v>-13.3904</v>
      </c>
      <c r="AD3669">
        <v>-1.1100006335149999</v>
      </c>
      <c r="AE3669">
        <v>-0.50139999999998897</v>
      </c>
      <c r="AF3669">
        <v>-0.416349869661157</v>
      </c>
      <c r="AG3669">
        <v>-1.1100006335149999</v>
      </c>
      <c r="AH3669">
        <v>13.301947152611101</v>
      </c>
      <c r="AI3669">
        <v>94.767755498344201</v>
      </c>
      <c r="AJ3669">
        <v>91.792767966764899</v>
      </c>
      <c r="AK3669">
        <v>13.354671342688601</v>
      </c>
      <c r="AL3669">
        <v>78.920975930060905</v>
      </c>
      <c r="AM3669">
        <v>87.601476644709805</v>
      </c>
      <c r="AN3669">
        <v>0.99999998268759105</v>
      </c>
    </row>
    <row r="3670" spans="1:40" x14ac:dyDescent="0.25">
      <c r="A3670" t="str">
        <f>"20190312164341283"</f>
        <v>20190312164341283</v>
      </c>
      <c r="B3670" t="str">
        <f>"1552380221278628"</f>
        <v>1552380221278628</v>
      </c>
      <c r="C3670" t="s">
        <v>40</v>
      </c>
      <c r="D3670">
        <v>4.4660349999999998</v>
      </c>
      <c r="E3670">
        <v>0.4804657</v>
      </c>
      <c r="F3670" t="s">
        <v>42</v>
      </c>
      <c r="G3670">
        <v>-377.42660000000001</v>
      </c>
      <c r="H3670" s="1">
        <v>-1.3283489999999999E-6</v>
      </c>
      <c r="I3670">
        <v>140.52590000000001</v>
      </c>
      <c r="J3670">
        <v>-363.72070000000002</v>
      </c>
      <c r="K3670">
        <v>1.1100000000000001</v>
      </c>
      <c r="L3670">
        <v>141.01769999999999</v>
      </c>
      <c r="M3670">
        <v>-0.99988580000000005</v>
      </c>
      <c r="N3670">
        <v>0</v>
      </c>
      <c r="O3670">
        <v>-5.750275E-3</v>
      </c>
      <c r="P3670">
        <v>-0.98328579999999999</v>
      </c>
      <c r="Q3670">
        <v>0.17868149999999999</v>
      </c>
      <c r="R3670">
        <v>3.4960400000000003E-2</v>
      </c>
      <c r="S3670">
        <v>-3.0989990000000001</v>
      </c>
      <c r="T3670">
        <v>-0.2438545</v>
      </c>
      <c r="U3670">
        <v>-0.10847469999999999</v>
      </c>
      <c r="V3670">
        <v>4.077944E-2</v>
      </c>
      <c r="W3670">
        <v>0.1923723</v>
      </c>
      <c r="X3670">
        <v>0.98047439999999997</v>
      </c>
      <c r="Y3670">
        <v>-2.916156E-2</v>
      </c>
      <c r="Z3670">
        <v>-6.9354149999999995E-4</v>
      </c>
      <c r="AA3670">
        <v>0.99957450000000003</v>
      </c>
      <c r="AB3670">
        <v>36</v>
      </c>
      <c r="AC3670">
        <v>-13.7058999999999</v>
      </c>
      <c r="AD3670">
        <v>-1.110001328349</v>
      </c>
      <c r="AE3670">
        <v>-0.49179999999998297</v>
      </c>
      <c r="AF3670">
        <v>-0.41028391910760897</v>
      </c>
      <c r="AG3670">
        <v>-1.110001328349</v>
      </c>
      <c r="AH3670">
        <v>13.619288751533899</v>
      </c>
      <c r="AI3670">
        <v>94.657327025423101</v>
      </c>
      <c r="AJ3670">
        <v>91.725525467178898</v>
      </c>
      <c r="AK3670">
        <v>13.670605763493899</v>
      </c>
      <c r="AL3670">
        <v>78.908739245996699</v>
      </c>
      <c r="AM3670">
        <v>87.618352977140702</v>
      </c>
      <c r="AN3670">
        <v>1.0000000567946801</v>
      </c>
    </row>
    <row r="3671" spans="1:40" x14ac:dyDescent="0.25">
      <c r="A3671" t="str">
        <f>"20190312164341307"</f>
        <v>20190312164341307</v>
      </c>
      <c r="B3671" t="str">
        <f>"1552380221299125"</f>
        <v>1552380221299125</v>
      </c>
      <c r="C3671" t="s">
        <v>40</v>
      </c>
      <c r="D3671">
        <v>4.5677570000000003</v>
      </c>
      <c r="E3671">
        <v>0.4808462</v>
      </c>
      <c r="F3671" t="s">
        <v>42</v>
      </c>
      <c r="G3671">
        <v>-378.41390000000001</v>
      </c>
      <c r="H3671" s="1">
        <v>-9.0461379999999997E-7</v>
      </c>
      <c r="I3671">
        <v>140.52529999999999</v>
      </c>
      <c r="J3671">
        <v>-364.13290000000001</v>
      </c>
      <c r="K3671">
        <v>1.10999</v>
      </c>
      <c r="L3671">
        <v>141.01570000000001</v>
      </c>
      <c r="M3671">
        <v>-0.999888</v>
      </c>
      <c r="N3671">
        <v>0</v>
      </c>
      <c r="O3671">
        <v>-5.3501829999999997E-3</v>
      </c>
      <c r="P3671">
        <v>-0.98330759999999995</v>
      </c>
      <c r="Q3671">
        <v>0.17843299999999901</v>
      </c>
      <c r="R3671">
        <v>3.5608130000000002E-2</v>
      </c>
      <c r="S3671">
        <v>-3.0971679999999999</v>
      </c>
      <c r="T3671">
        <v>-0.23397580000000001</v>
      </c>
      <c r="U3671">
        <v>-0.10377500000000001</v>
      </c>
      <c r="V3671">
        <v>4.1034479999999998E-2</v>
      </c>
      <c r="W3671">
        <v>0.19212199999999999</v>
      </c>
      <c r="X3671">
        <v>0.98051279999999996</v>
      </c>
      <c r="Y3671">
        <v>-2.8074769999999999E-2</v>
      </c>
      <c r="Z3671">
        <v>-6.5512959999999897E-4</v>
      </c>
      <c r="AA3671">
        <v>0.99960559999999998</v>
      </c>
      <c r="AB3671">
        <v>36</v>
      </c>
      <c r="AC3671">
        <v>-14.281000000000001</v>
      </c>
      <c r="AD3671">
        <v>-1.1099909046137999</v>
      </c>
      <c r="AE3671">
        <v>-0.49040000000002198</v>
      </c>
      <c r="AF3671">
        <v>-0.411496556049877</v>
      </c>
      <c r="AG3671">
        <v>-1.1099909046137999</v>
      </c>
      <c r="AH3671">
        <v>14.197749447382201</v>
      </c>
      <c r="AI3671">
        <v>94.468465911362102</v>
      </c>
      <c r="AJ3671">
        <v>91.660151672606204</v>
      </c>
      <c r="AK3671">
        <v>14.2470171823652</v>
      </c>
      <c r="AL3671">
        <v>78.923352576135997</v>
      </c>
      <c r="AM3671">
        <v>87.603568901363602</v>
      </c>
      <c r="AN3671">
        <v>1.00000002119835</v>
      </c>
    </row>
    <row r="3672" spans="1:40" x14ac:dyDescent="0.25">
      <c r="A3672" t="str">
        <f>"20190312164341329"</f>
        <v>20190312164341329</v>
      </c>
      <c r="B3672" t="str">
        <f>"1552380221318643"</f>
        <v>1552380221318643</v>
      </c>
      <c r="C3672" t="s">
        <v>40</v>
      </c>
      <c r="D3672">
        <v>4.448518</v>
      </c>
      <c r="E3672">
        <v>0.48116680000000001</v>
      </c>
      <c r="F3672" t="s">
        <v>42</v>
      </c>
      <c r="G3672">
        <v>-378.9298</v>
      </c>
      <c r="H3672" s="1">
        <v>-6.8801349999999997E-7</v>
      </c>
      <c r="I3672">
        <v>140.54300000000001</v>
      </c>
      <c r="J3672">
        <v>-364.46719999999999</v>
      </c>
      <c r="K3672">
        <v>1.1099870000000001</v>
      </c>
      <c r="L3672">
        <v>141.01429999999999</v>
      </c>
      <c r="M3672">
        <v>-0.99988969999999999</v>
      </c>
      <c r="N3672">
        <v>0</v>
      </c>
      <c r="O3672">
        <v>-5.0242489999999997E-3</v>
      </c>
      <c r="P3672">
        <v>-0.98323970000000005</v>
      </c>
      <c r="Q3672">
        <v>0.17873710000000001</v>
      </c>
      <c r="R3672">
        <v>3.5950990000000002E-2</v>
      </c>
      <c r="S3672">
        <v>-3.0966490000000002</v>
      </c>
      <c r="T3672">
        <v>-0.23229540000000001</v>
      </c>
      <c r="U3672">
        <v>-9.8907469999999997E-2</v>
      </c>
      <c r="V3672">
        <v>4.1057259999999998E-2</v>
      </c>
      <c r="W3672">
        <v>0.19242290000000001</v>
      </c>
      <c r="X3672">
        <v>0.98045280000000001</v>
      </c>
      <c r="Y3672">
        <v>-2.6840070000000001E-2</v>
      </c>
      <c r="Z3672">
        <v>-6.2873949999999997E-4</v>
      </c>
      <c r="AA3672">
        <v>0.99963959999999996</v>
      </c>
      <c r="AB3672">
        <v>36</v>
      </c>
      <c r="AC3672">
        <v>-14.4626</v>
      </c>
      <c r="AD3672">
        <v>-1.1099876880135</v>
      </c>
      <c r="AE3672">
        <v>-0.47129999999998501</v>
      </c>
      <c r="AF3672">
        <v>-0.396291416249413</v>
      </c>
      <c r="AG3672">
        <v>-1.1099876880135</v>
      </c>
      <c r="AH3672">
        <v>14.380170718301599</v>
      </c>
      <c r="AI3672">
        <v>94.412170100060493</v>
      </c>
      <c r="AJ3672">
        <v>91.578568200878294</v>
      </c>
      <c r="AK3672">
        <v>14.428389703693</v>
      </c>
      <c r="AL3672">
        <v>78.905784043616293</v>
      </c>
      <c r="AM3672">
        <v>87.602093529399397</v>
      </c>
      <c r="AN3672">
        <v>0.99999998203547802</v>
      </c>
    </row>
    <row r="3673" spans="1:40" x14ac:dyDescent="0.25">
      <c r="A3673" t="str">
        <f>"20190312164341349"</f>
        <v>20190312164341349</v>
      </c>
      <c r="B3673" t="str">
        <f>"1552380221338164"</f>
        <v>1552380221338164</v>
      </c>
      <c r="C3673" t="s">
        <v>40</v>
      </c>
      <c r="D3673">
        <v>4.7144180000000002</v>
      </c>
      <c r="E3673">
        <v>0.4811687</v>
      </c>
      <c r="F3673" t="s">
        <v>42</v>
      </c>
      <c r="G3673">
        <v>-379.30200000000002</v>
      </c>
      <c r="H3673" s="1">
        <v>-5.3242839999999998E-7</v>
      </c>
      <c r="I3673">
        <v>140.5583</v>
      </c>
      <c r="J3673">
        <v>-364.80180000000001</v>
      </c>
      <c r="K3673">
        <v>1.10999</v>
      </c>
      <c r="L3673">
        <v>141.0129</v>
      </c>
      <c r="M3673">
        <v>-0.99989139999999999</v>
      </c>
      <c r="N3673">
        <v>0</v>
      </c>
      <c r="O3673">
        <v>-4.6958039999999996E-3</v>
      </c>
      <c r="P3673">
        <v>-0.98318589999999995</v>
      </c>
      <c r="Q3673">
        <v>0.17909890000000001</v>
      </c>
      <c r="R3673">
        <v>3.5625740000000003E-2</v>
      </c>
      <c r="S3673">
        <v>-3.0967410000000002</v>
      </c>
      <c r="T3673">
        <v>-0.2317092</v>
      </c>
      <c r="U3673">
        <v>-9.5169069999999995E-2</v>
      </c>
      <c r="V3673">
        <v>4.0410219999999997E-2</v>
      </c>
      <c r="W3673">
        <v>0.19278219999999999</v>
      </c>
      <c r="X3673">
        <v>0.98040910000000003</v>
      </c>
      <c r="Y3673">
        <v>-2.5963739999999999E-2</v>
      </c>
      <c r="Z3673">
        <v>-6.1895519999999999E-4</v>
      </c>
      <c r="AA3673">
        <v>0.99966270000000002</v>
      </c>
      <c r="AB3673">
        <v>36</v>
      </c>
      <c r="AC3673">
        <v>-14.5001999999999</v>
      </c>
      <c r="AD3673">
        <v>-1.1099905324283901</v>
      </c>
      <c r="AE3673">
        <v>-0.454599999999999</v>
      </c>
      <c r="AF3673">
        <v>-0.38424879491130498</v>
      </c>
      <c r="AG3673">
        <v>-1.1099905324283901</v>
      </c>
      <c r="AH3673">
        <v>14.417771213210001</v>
      </c>
      <c r="AI3673">
        <v>94.400827674290994</v>
      </c>
      <c r="AJ3673">
        <v>91.526631520715597</v>
      </c>
      <c r="AK3673">
        <v>14.4655401860746</v>
      </c>
      <c r="AL3673">
        <v>78.884804883571206</v>
      </c>
      <c r="AM3673">
        <v>87.639735069749193</v>
      </c>
      <c r="AN3673">
        <v>0.99999998294004899</v>
      </c>
    </row>
    <row r="3674" spans="1:40" x14ac:dyDescent="0.25">
      <c r="A3674" t="str">
        <f>"20190312164341371"</f>
        <v>20190312164341371</v>
      </c>
      <c r="B3674" t="str">
        <f>"1552380221358661"</f>
        <v>1552380221358661</v>
      </c>
      <c r="C3674" t="s">
        <v>40</v>
      </c>
      <c r="D3674">
        <v>4.6002850000000004</v>
      </c>
      <c r="E3674">
        <v>0.48129949999999999</v>
      </c>
      <c r="F3674" t="s">
        <v>42</v>
      </c>
      <c r="G3674">
        <v>-379.90640000000002</v>
      </c>
      <c r="H3674" s="1">
        <v>-2.7049059999999999E-7</v>
      </c>
      <c r="I3674">
        <v>140.54839999999999</v>
      </c>
      <c r="J3674">
        <v>-365.13940000000002</v>
      </c>
      <c r="K3674">
        <v>1.109993</v>
      </c>
      <c r="L3674">
        <v>141.01169999999999</v>
      </c>
      <c r="M3674">
        <v>-0.99989300000000003</v>
      </c>
      <c r="N3674">
        <v>0</v>
      </c>
      <c r="O3674">
        <v>-4.3617489999999998E-3</v>
      </c>
      <c r="P3674">
        <v>-0.98311199999999999</v>
      </c>
      <c r="Q3674">
        <v>0.17943819999999999</v>
      </c>
      <c r="R3674">
        <v>3.5961739999999999E-2</v>
      </c>
      <c r="S3674">
        <v>-3.096222</v>
      </c>
      <c r="T3674">
        <v>-0.22753139999999999</v>
      </c>
      <c r="U3674">
        <v>-9.5214839999999995E-2</v>
      </c>
      <c r="V3674">
        <v>4.0418820000000001E-2</v>
      </c>
      <c r="W3674">
        <v>0.19311909999999999</v>
      </c>
      <c r="X3674">
        <v>0.98034239999999995</v>
      </c>
      <c r="Y3674">
        <v>-2.6317859999999998E-2</v>
      </c>
      <c r="Z3674">
        <v>-6.4542940000000002E-4</v>
      </c>
      <c r="AA3674">
        <v>0.99965340000000003</v>
      </c>
      <c r="AB3674">
        <v>36</v>
      </c>
      <c r="AC3674">
        <v>-14.7669999999999</v>
      </c>
      <c r="AD3674">
        <v>-1.1099932704905999</v>
      </c>
      <c r="AE3674">
        <v>-0.46330000000000299</v>
      </c>
      <c r="AF3674">
        <v>-0.39664050999452199</v>
      </c>
      <c r="AG3674">
        <v>-1.1099932704905999</v>
      </c>
      <c r="AH3674">
        <v>14.685984809641001</v>
      </c>
      <c r="AI3674">
        <v>94.320730921089506</v>
      </c>
      <c r="AJ3674">
        <v>91.547073909533907</v>
      </c>
      <c r="AK3674">
        <v>14.733212771955399</v>
      </c>
      <c r="AL3674">
        <v>78.8651318227747</v>
      </c>
      <c r="AM3674">
        <v>87.639072893635699</v>
      </c>
      <c r="AN3674">
        <v>0.99999994451637897</v>
      </c>
    </row>
    <row r="3675" spans="1:40" x14ac:dyDescent="0.25">
      <c r="A3675" t="str">
        <f>"20190312164341394"</f>
        <v>20190312164341394</v>
      </c>
      <c r="B3675" t="str">
        <f>"1552380221388916"</f>
        <v>1552380221388916</v>
      </c>
      <c r="C3675" t="s">
        <v>40</v>
      </c>
      <c r="D3675">
        <v>4.4700530000000001</v>
      </c>
      <c r="E3675">
        <v>0.48142160000000001</v>
      </c>
      <c r="F3675" t="s">
        <v>42</v>
      </c>
      <c r="G3675">
        <v>-380.60210000000001</v>
      </c>
      <c r="H3675" s="1">
        <v>-4.2358780000000002E-6</v>
      </c>
      <c r="I3675">
        <v>140.54509999999999</v>
      </c>
      <c r="J3675">
        <v>-365.51560000000001</v>
      </c>
      <c r="K3675">
        <v>1.109993</v>
      </c>
      <c r="L3675">
        <v>141.0104</v>
      </c>
      <c r="M3675">
        <v>-0.99989459999999997</v>
      </c>
      <c r="N3675">
        <v>0</v>
      </c>
      <c r="O3675">
        <v>-3.9861990000000002E-3</v>
      </c>
      <c r="P3675">
        <v>-0.98315699999999995</v>
      </c>
      <c r="Q3675">
        <v>0.179179</v>
      </c>
      <c r="R3675">
        <v>3.6018849999999998E-2</v>
      </c>
      <c r="S3675">
        <v>-3.0955509999999999</v>
      </c>
      <c r="T3675">
        <v>-0.22221569999999999</v>
      </c>
      <c r="U3675">
        <v>-9.3399049999999997E-2</v>
      </c>
      <c r="V3675">
        <v>4.0107860000000002E-2</v>
      </c>
      <c r="W3675">
        <v>0.192858</v>
      </c>
      <c r="X3675">
        <v>0.98040660000000002</v>
      </c>
      <c r="Y3675">
        <v>-2.6116400000000001E-2</v>
      </c>
      <c r="Z3675">
        <v>-6.502309E-4</v>
      </c>
      <c r="AA3675">
        <v>0.99965870000000001</v>
      </c>
      <c r="AB3675">
        <v>36</v>
      </c>
      <c r="AC3675">
        <v>-15.086499999999999</v>
      </c>
      <c r="AD3675">
        <v>-1.1099972358779999</v>
      </c>
      <c r="AE3675">
        <v>-0.46530000000001298</v>
      </c>
      <c r="AF3675">
        <v>-0.40297328422114698</v>
      </c>
      <c r="AG3675">
        <v>-1.1099972358779999</v>
      </c>
      <c r="AH3675">
        <v>15.007073607019199</v>
      </c>
      <c r="AI3675">
        <v>94.228656997577403</v>
      </c>
      <c r="AJ3675">
        <v>91.538149418567698</v>
      </c>
      <c r="AK3675">
        <v>15.0534627105508</v>
      </c>
      <c r="AL3675">
        <v>78.880378714296398</v>
      </c>
      <c r="AM3675">
        <v>87.657369482797705</v>
      </c>
      <c r="AN3675">
        <v>0.99999997496066895</v>
      </c>
    </row>
    <row r="3676" spans="1:40" x14ac:dyDescent="0.25">
      <c r="A3676" t="str">
        <f>"20190312164341416"</f>
        <v>20190312164341416</v>
      </c>
      <c r="B3676" t="str">
        <f>"1552380221408436"</f>
        <v>1552380221408436</v>
      </c>
      <c r="C3676" t="s">
        <v>40</v>
      </c>
      <c r="D3676">
        <v>4.4731399999999999</v>
      </c>
      <c r="E3676">
        <v>0.48149370000000002</v>
      </c>
      <c r="F3676" t="s">
        <v>42</v>
      </c>
      <c r="G3676">
        <v>-381.27850000000001</v>
      </c>
      <c r="H3676" s="1">
        <v>-3.9694929999999999E-6</v>
      </c>
      <c r="I3676">
        <v>140.53960000000001</v>
      </c>
      <c r="J3676">
        <v>-365.87430000000001</v>
      </c>
      <c r="K3676">
        <v>1.1099859999999999</v>
      </c>
      <c r="L3676">
        <v>141.0094</v>
      </c>
      <c r="M3676">
        <v>-0.99989589999999995</v>
      </c>
      <c r="N3676">
        <v>0</v>
      </c>
      <c r="O3676">
        <v>-3.6243550000000001E-3</v>
      </c>
      <c r="P3676">
        <v>-0.98313640000000002</v>
      </c>
      <c r="Q3676">
        <v>0.17931259999999999</v>
      </c>
      <c r="R3676">
        <v>3.591693E-2</v>
      </c>
      <c r="S3676">
        <v>-3.0944820000000002</v>
      </c>
      <c r="T3676">
        <v>-0.21790899999999999</v>
      </c>
      <c r="U3676">
        <v>-9.2422489999999996E-2</v>
      </c>
      <c r="V3676">
        <v>3.9651770000000003E-2</v>
      </c>
      <c r="W3676">
        <v>0.19298989999999999</v>
      </c>
      <c r="X3676">
        <v>0.98039920000000003</v>
      </c>
      <c r="Y3676">
        <v>-2.6174469999999998E-2</v>
      </c>
      <c r="Z3676">
        <v>-6.6536959999999995E-4</v>
      </c>
      <c r="AA3676">
        <v>0.99965720000000002</v>
      </c>
      <c r="AB3676">
        <v>36</v>
      </c>
      <c r="AC3676">
        <v>-15.404199999999999</v>
      </c>
      <c r="AD3676">
        <v>-1.109989969493</v>
      </c>
      <c r="AE3676">
        <v>-0.469799999999992</v>
      </c>
      <c r="AF3676">
        <v>-0.41182484748777898</v>
      </c>
      <c r="AG3676">
        <v>-1.109989969493</v>
      </c>
      <c r="AH3676">
        <v>15.326296906398101</v>
      </c>
      <c r="AI3676">
        <v>94.140861129526201</v>
      </c>
      <c r="AJ3676">
        <v>91.539194324524999</v>
      </c>
      <c r="AK3676">
        <v>15.371956749238199</v>
      </c>
      <c r="AL3676">
        <v>78.872676741395395</v>
      </c>
      <c r="AM3676">
        <v>87.683962270809999</v>
      </c>
      <c r="AN3676">
        <v>0.99999997786339101</v>
      </c>
    </row>
    <row r="3677" spans="1:40" x14ac:dyDescent="0.25">
      <c r="A3677" t="str">
        <f>"20190312164341437"</f>
        <v>20190312164341437</v>
      </c>
      <c r="B3677" t="str">
        <f>"1552380221428932"</f>
        <v>1552380221428932</v>
      </c>
      <c r="C3677" t="s">
        <v>40</v>
      </c>
      <c r="D3677">
        <v>4.6411939999999996</v>
      </c>
      <c r="E3677">
        <v>0.48158960000000001</v>
      </c>
      <c r="F3677" t="s">
        <v>42</v>
      </c>
      <c r="G3677">
        <v>-381.86160000000001</v>
      </c>
      <c r="H3677" s="1">
        <v>-3.7182269999999999E-6</v>
      </c>
      <c r="I3677">
        <v>140.53530000000001</v>
      </c>
      <c r="J3677">
        <v>-366.21609999999998</v>
      </c>
      <c r="K3677">
        <v>1.1099840000000001</v>
      </c>
      <c r="L3677">
        <v>141.0085</v>
      </c>
      <c r="M3677">
        <v>-0.99989720000000004</v>
      </c>
      <c r="N3677">
        <v>0</v>
      </c>
      <c r="O3677">
        <v>-3.276583E-3</v>
      </c>
      <c r="P3677">
        <v>-0.98315600000000003</v>
      </c>
      <c r="Q3677">
        <v>0.1792338</v>
      </c>
      <c r="R3677">
        <v>3.5768790000000002E-2</v>
      </c>
      <c r="S3677">
        <v>-3.0939939999999999</v>
      </c>
      <c r="T3677">
        <v>-0.21481500000000001</v>
      </c>
      <c r="U3677">
        <v>-9.1720579999999996E-2</v>
      </c>
      <c r="V3677">
        <v>3.9162860000000001E-2</v>
      </c>
      <c r="W3677">
        <v>0.1929099</v>
      </c>
      <c r="X3677">
        <v>0.98043460000000004</v>
      </c>
      <c r="Y3677">
        <v>-2.63007E-2</v>
      </c>
      <c r="Z3677">
        <v>-6.8453929999999995E-4</v>
      </c>
      <c r="AA3677">
        <v>0.99965380000000004</v>
      </c>
      <c r="AB3677">
        <v>36</v>
      </c>
      <c r="AC3677">
        <v>-15.6455</v>
      </c>
      <c r="AD3677">
        <v>-1.1099877182269999</v>
      </c>
      <c r="AE3677">
        <v>-0.47319999999999102</v>
      </c>
      <c r="AF3677">
        <v>-0.419817525949086</v>
      </c>
      <c r="AG3677">
        <v>-1.1099877182269999</v>
      </c>
      <c r="AH3677">
        <v>15.568675595135399</v>
      </c>
      <c r="AI3677">
        <v>94.076595157552305</v>
      </c>
      <c r="AJ3677">
        <v>91.544636513733295</v>
      </c>
      <c r="AK3677">
        <v>15.6138393509179</v>
      </c>
      <c r="AL3677">
        <v>78.877348233405399</v>
      </c>
      <c r="AM3677">
        <v>87.712571211469097</v>
      </c>
      <c r="AN3677">
        <v>0.99999998199927398</v>
      </c>
    </row>
    <row r="3678" spans="1:40" x14ac:dyDescent="0.25">
      <c r="A3678" t="str">
        <f>"20190312164341459"</f>
        <v>20190312164341459</v>
      </c>
      <c r="B3678" t="str">
        <f>"1552380221448452"</f>
        <v>1552380221448452</v>
      </c>
      <c r="C3678" t="s">
        <v>40</v>
      </c>
      <c r="D3678">
        <v>4.4877000000000002</v>
      </c>
      <c r="E3678">
        <v>0.48180250000000002</v>
      </c>
      <c r="F3678" t="s">
        <v>42</v>
      </c>
      <c r="G3678">
        <v>-382.3877</v>
      </c>
      <c r="H3678" s="1">
        <v>-3.491134E-6</v>
      </c>
      <c r="I3678">
        <v>140.5301</v>
      </c>
      <c r="J3678">
        <v>-366.56599999999997</v>
      </c>
      <c r="K3678">
        <v>1.1099760000000001</v>
      </c>
      <c r="L3678">
        <v>141.0077</v>
      </c>
      <c r="M3678">
        <v>-0.99989830000000002</v>
      </c>
      <c r="N3678">
        <v>0</v>
      </c>
      <c r="O3678">
        <v>-2.9180949999999999E-3</v>
      </c>
      <c r="P3678">
        <v>-0.98314820000000003</v>
      </c>
      <c r="Q3678">
        <v>0.17928520000000001</v>
      </c>
      <c r="R3678">
        <v>3.5729770000000001E-2</v>
      </c>
      <c r="S3678">
        <v>-3.0934750000000002</v>
      </c>
      <c r="T3678">
        <v>-0.21233109999999999</v>
      </c>
      <c r="U3678">
        <v>-9.1491699999999995E-2</v>
      </c>
      <c r="V3678">
        <v>3.877245E-2</v>
      </c>
      <c r="W3678">
        <v>0.19295950000000001</v>
      </c>
      <c r="X3678">
        <v>0.98044039999999999</v>
      </c>
      <c r="Y3678">
        <v>-2.65899E-2</v>
      </c>
      <c r="Z3678">
        <v>-7.1124130000000004E-4</v>
      </c>
      <c r="AA3678">
        <v>0.99964620000000004</v>
      </c>
      <c r="AB3678">
        <v>36</v>
      </c>
      <c r="AC3678">
        <v>-15.8217</v>
      </c>
      <c r="AD3678">
        <v>-1.109979491134</v>
      </c>
      <c r="AE3678">
        <v>-0.47759999999999497</v>
      </c>
      <c r="AF3678">
        <v>-0.42931317496459098</v>
      </c>
      <c r="AG3678">
        <v>-1.109979491134</v>
      </c>
      <c r="AH3678">
        <v>15.745600359190201</v>
      </c>
      <c r="AI3678">
        <v>94.030878078974098</v>
      </c>
      <c r="AJ3678">
        <v>91.561816616959106</v>
      </c>
      <c r="AK3678">
        <v>15.7905128144803</v>
      </c>
      <c r="AL3678">
        <v>78.874452427613207</v>
      </c>
      <c r="AM3678">
        <v>87.735363844591802</v>
      </c>
      <c r="AN3678">
        <v>1.0000000247356999</v>
      </c>
    </row>
    <row r="3679" spans="1:40" x14ac:dyDescent="0.25">
      <c r="A3679" t="str">
        <f>"20190312164341482"</f>
        <v>20190312164341482</v>
      </c>
      <c r="B3679" t="str">
        <f>"1552380221478708"</f>
        <v>1552380221478708</v>
      </c>
      <c r="C3679" t="s">
        <v>40</v>
      </c>
      <c r="D3679">
        <v>4.654325</v>
      </c>
      <c r="E3679">
        <v>0.49953049999999999</v>
      </c>
      <c r="F3679" t="s">
        <v>42</v>
      </c>
      <c r="G3679">
        <v>-382.71769999999998</v>
      </c>
      <c r="H3679" s="1">
        <v>-3.3520599999999998E-6</v>
      </c>
      <c r="I3679">
        <v>140.5394</v>
      </c>
      <c r="J3679">
        <v>-366.92759999999998</v>
      </c>
      <c r="K3679">
        <v>1.1099779999999999</v>
      </c>
      <c r="L3679">
        <v>141.00700000000001</v>
      </c>
      <c r="M3679">
        <v>-0.99989930000000005</v>
      </c>
      <c r="N3679">
        <v>0</v>
      </c>
      <c r="O3679">
        <v>-2.5459060000000001E-3</v>
      </c>
      <c r="P3679">
        <v>-0.98322719999999997</v>
      </c>
      <c r="Q3679">
        <v>0.1788177</v>
      </c>
      <c r="R3679">
        <v>3.589875E-2</v>
      </c>
      <c r="S3679">
        <v>-3.093445</v>
      </c>
      <c r="T3679">
        <v>-0.212589</v>
      </c>
      <c r="U3679">
        <v>-8.966064E-2</v>
      </c>
      <c r="V3679">
        <v>3.857584E-2</v>
      </c>
      <c r="W3679">
        <v>0.1924912</v>
      </c>
      <c r="X3679">
        <v>0.98054019999999997</v>
      </c>
      <c r="Y3679">
        <v>-2.6370589999999999E-2</v>
      </c>
      <c r="Z3679">
        <v>-7.3013519999999999E-4</v>
      </c>
      <c r="AA3679">
        <v>0.99965199999999999</v>
      </c>
      <c r="AB3679">
        <v>36</v>
      </c>
      <c r="AC3679">
        <v>-15.790099999999899</v>
      </c>
      <c r="AD3679">
        <v>-1.1099813520599999</v>
      </c>
      <c r="AE3679">
        <v>-0.46760000000000401</v>
      </c>
      <c r="AF3679">
        <v>-0.42529468985250202</v>
      </c>
      <c r="AG3679">
        <v>-1.1099813520599999</v>
      </c>
      <c r="AH3679">
        <v>15.713657892634799</v>
      </c>
      <c r="AI3679">
        <v>94.039073528499898</v>
      </c>
      <c r="AJ3679">
        <v>91.550348337868101</v>
      </c>
      <c r="AK3679">
        <v>15.758552552246</v>
      </c>
      <c r="AL3679">
        <v>78.901796624608593</v>
      </c>
      <c r="AM3679">
        <v>87.747064743312606</v>
      </c>
      <c r="AN3679">
        <v>1.0000000206625901</v>
      </c>
    </row>
    <row r="3680" spans="1:40" x14ac:dyDescent="0.25">
      <c r="A3680" t="str">
        <f>"20190312164341506"</f>
        <v>20190312164341506</v>
      </c>
      <c r="B3680" t="str">
        <f>"1552380221498228"</f>
        <v>1552380221498228</v>
      </c>
      <c r="C3680" t="s">
        <v>40</v>
      </c>
      <c r="D3680">
        <v>4.4545170000000001</v>
      </c>
      <c r="E3680">
        <v>0.49874220000000002</v>
      </c>
      <c r="F3680" t="s">
        <v>41</v>
      </c>
      <c r="G3680">
        <v>-367.9665</v>
      </c>
      <c r="H3680">
        <v>1.0426040000000001</v>
      </c>
      <c r="I3680">
        <v>141.02529999999999</v>
      </c>
      <c r="J3680">
        <v>-367.30329999999998</v>
      </c>
      <c r="K3680">
        <v>1.1099730000000001</v>
      </c>
      <c r="L3680">
        <v>141.00640000000001</v>
      </c>
      <c r="M3680">
        <v>-0.99990029999999996</v>
      </c>
      <c r="N3680">
        <v>0</v>
      </c>
      <c r="O3680">
        <v>-2.1578719999999999E-3</v>
      </c>
      <c r="P3680">
        <v>-0.98327310000000001</v>
      </c>
      <c r="Q3680">
        <v>0.178618</v>
      </c>
      <c r="R3680">
        <v>3.5633779999999997E-2</v>
      </c>
      <c r="S3680">
        <v>-3.0856319999999999</v>
      </c>
      <c r="T3680">
        <v>-0.2001426</v>
      </c>
      <c r="U3680">
        <v>5.36499E-2</v>
      </c>
      <c r="V3680">
        <v>3.792951E-2</v>
      </c>
      <c r="W3680">
        <v>0.1922904</v>
      </c>
      <c r="X3680">
        <v>0.98060480000000005</v>
      </c>
      <c r="Y3680">
        <v>1.9496599999999999E-2</v>
      </c>
      <c r="Z3680">
        <v>7.7141289999999995E-4</v>
      </c>
      <c r="AA3680">
        <v>0.99980959999999997</v>
      </c>
      <c r="AB3680">
        <v>36</v>
      </c>
      <c r="AC3680">
        <v>-0.663200000000017</v>
      </c>
      <c r="AD3680">
        <v>-6.7368999999999707E-2</v>
      </c>
      <c r="AE3680">
        <v>1.8899999999973702E-2</v>
      </c>
      <c r="AF3680">
        <v>2.0123711076420098E-2</v>
      </c>
      <c r="AG3680">
        <v>-6.7368999999999707E-2</v>
      </c>
      <c r="AH3680">
        <v>0.656389976597336</v>
      </c>
      <c r="AI3680">
        <v>95.8573362919782</v>
      </c>
      <c r="AJ3680">
        <v>88.243966677416395</v>
      </c>
      <c r="AK3680">
        <v>0.66014494414934199</v>
      </c>
      <c r="AL3680">
        <v>78.913520517586903</v>
      </c>
      <c r="AM3680">
        <v>87.784920057412705</v>
      </c>
      <c r="AN3680">
        <v>1.0000000097220201</v>
      </c>
    </row>
    <row r="3681" spans="1:40" x14ac:dyDescent="0.25">
      <c r="A3681" t="str">
        <f>"20190312164341528"</f>
        <v>20190312164341528</v>
      </c>
      <c r="B3681" t="str">
        <f>"1552380221518724"</f>
        <v>1552380221518724</v>
      </c>
      <c r="C3681" t="s">
        <v>40</v>
      </c>
      <c r="D3681">
        <v>4.4558530000000003</v>
      </c>
      <c r="E3681">
        <v>0.49864770000000003</v>
      </c>
      <c r="F3681" t="s">
        <v>41</v>
      </c>
      <c r="G3681">
        <v>-368.28739999999999</v>
      </c>
      <c r="H3681">
        <v>1.0430140000000001</v>
      </c>
      <c r="I3681">
        <v>141.0214</v>
      </c>
      <c r="J3681">
        <v>-367.66410000000002</v>
      </c>
      <c r="K3681">
        <v>1.109974</v>
      </c>
      <c r="L3681">
        <v>141.006</v>
      </c>
      <c r="M3681">
        <v>-0.99990109999999999</v>
      </c>
      <c r="N3681">
        <v>0</v>
      </c>
      <c r="O3681">
        <v>-1.7848639999999999E-3</v>
      </c>
      <c r="P3681">
        <v>-0.98329820000000001</v>
      </c>
      <c r="Q3681">
        <v>0.17835589999999901</v>
      </c>
      <c r="R3681">
        <v>3.6248830000000003E-2</v>
      </c>
      <c r="S3681">
        <v>-3.0875240000000002</v>
      </c>
      <c r="T3681">
        <v>-0.2101102</v>
      </c>
      <c r="U3681">
        <v>4.6218870000000002E-2</v>
      </c>
      <c r="V3681">
        <v>3.817798E-2</v>
      </c>
      <c r="W3681">
        <v>0.192027</v>
      </c>
      <c r="X3681">
        <v>0.98064680000000004</v>
      </c>
      <c r="Y3681">
        <v>1.6709930000000001E-2</v>
      </c>
      <c r="Z3681">
        <v>6.8920560000000001E-4</v>
      </c>
      <c r="AA3681">
        <v>0.99986019999999998</v>
      </c>
      <c r="AB3681">
        <v>36</v>
      </c>
      <c r="AC3681">
        <v>-0.62329999999997199</v>
      </c>
      <c r="AD3681">
        <v>-6.6960000000000103E-2</v>
      </c>
      <c r="AE3681">
        <v>1.53999999999996E-2</v>
      </c>
      <c r="AF3681">
        <v>1.6324308504152299E-2</v>
      </c>
      <c r="AG3681">
        <v>-6.6960000000000103E-2</v>
      </c>
      <c r="AH3681">
        <v>0.61616480901183801</v>
      </c>
      <c r="AI3681">
        <v>96.199962677140704</v>
      </c>
      <c r="AJ3681">
        <v>88.4823942772843</v>
      </c>
      <c r="AK3681">
        <v>0.62000741649816804</v>
      </c>
      <c r="AL3681">
        <v>78.928899119432202</v>
      </c>
      <c r="AM3681">
        <v>87.770519422348002</v>
      </c>
      <c r="AN3681">
        <v>1.0000000366180499</v>
      </c>
    </row>
    <row r="3682" spans="1:40" x14ac:dyDescent="0.25">
      <c r="A3682" t="str">
        <f>"20190312164341549"</f>
        <v>20190312164341549</v>
      </c>
      <c r="B3682" t="str">
        <f>"1552380221538245"</f>
        <v>1552380221538245</v>
      </c>
      <c r="C3682" t="s">
        <v>40</v>
      </c>
      <c r="D3682">
        <v>4.6840000000000002</v>
      </c>
      <c r="E3682">
        <v>0.49914520000000001</v>
      </c>
      <c r="F3682" t="s">
        <v>41</v>
      </c>
      <c r="G3682">
        <v>-368.60910000000001</v>
      </c>
      <c r="H3682">
        <v>1.045177</v>
      </c>
      <c r="I3682">
        <v>141.0206</v>
      </c>
      <c r="J3682">
        <v>-368.0104</v>
      </c>
      <c r="K3682">
        <v>1.109982</v>
      </c>
      <c r="L3682">
        <v>141.00579999999999</v>
      </c>
      <c r="M3682">
        <v>-0.99990179999999995</v>
      </c>
      <c r="N3682">
        <v>0</v>
      </c>
      <c r="O3682">
        <v>-1.426999E-3</v>
      </c>
      <c r="P3682">
        <v>-0.98328349999999998</v>
      </c>
      <c r="Q3682">
        <v>0.17846719999999999</v>
      </c>
      <c r="R3682">
        <v>3.610406E-2</v>
      </c>
      <c r="S3682">
        <v>-3.0876160000000001</v>
      </c>
      <c r="T3682">
        <v>-0.21174380000000001</v>
      </c>
      <c r="U3682">
        <v>4.7149660000000003E-2</v>
      </c>
      <c r="V3682">
        <v>3.7681480000000003E-2</v>
      </c>
      <c r="W3682">
        <v>0.1921369</v>
      </c>
      <c r="X3682">
        <v>0.98064439999999997</v>
      </c>
      <c r="Y3682">
        <v>1.6653290000000001E-2</v>
      </c>
      <c r="Z3682">
        <v>6.6807589999999897E-4</v>
      </c>
      <c r="AA3682">
        <v>0.99986109999999995</v>
      </c>
      <c r="AB3682">
        <v>36</v>
      </c>
      <c r="AC3682">
        <v>-0.598700000000007</v>
      </c>
      <c r="AD3682">
        <v>-6.4805000000000001E-2</v>
      </c>
      <c r="AE3682">
        <v>1.48000000000081E-2</v>
      </c>
      <c r="AF3682">
        <v>1.5473230618514701E-2</v>
      </c>
      <c r="AG3682">
        <v>-6.4805000000000001E-2</v>
      </c>
      <c r="AH3682">
        <v>0.591749262828698</v>
      </c>
      <c r="AI3682">
        <v>96.247681965787706</v>
      </c>
      <c r="AJ3682">
        <v>88.502154723770502</v>
      </c>
      <c r="AK3682">
        <v>0.59548828615605898</v>
      </c>
      <c r="AL3682">
        <v>78.922481984256507</v>
      </c>
      <c r="AM3682">
        <v>87.799479475993294</v>
      </c>
      <c r="AN3682">
        <v>0.99999996076397901</v>
      </c>
    </row>
    <row r="3683" spans="1:40" x14ac:dyDescent="0.25">
      <c r="A3683" t="str">
        <f>"20190312164341571"</f>
        <v>20190312164341571</v>
      </c>
      <c r="B3683" t="str">
        <f>"1552380221558741"</f>
        <v>1552380221558741</v>
      </c>
      <c r="C3683" t="s">
        <v>40</v>
      </c>
      <c r="D3683">
        <v>4.4847419999999998</v>
      </c>
      <c r="E3683">
        <v>0.50004680000000001</v>
      </c>
      <c r="F3683" t="s">
        <v>42</v>
      </c>
      <c r="G3683">
        <v>-384.30930000000001</v>
      </c>
      <c r="H3683" s="1">
        <v>-2.8643779999999999E-6</v>
      </c>
      <c r="I3683">
        <v>141.27269999999999</v>
      </c>
      <c r="J3683">
        <v>-368.35300000000001</v>
      </c>
      <c r="K3683">
        <v>1.1099870000000001</v>
      </c>
      <c r="L3683">
        <v>141.00569999999999</v>
      </c>
      <c r="M3683">
        <v>-0.99990210000000002</v>
      </c>
      <c r="N3683">
        <v>0</v>
      </c>
      <c r="O3683">
        <v>-1.0728339999999999E-3</v>
      </c>
      <c r="P3683">
        <v>-0.98322200000000004</v>
      </c>
      <c r="Q3683">
        <v>0.17878620000000001</v>
      </c>
      <c r="R3683">
        <v>3.6195459999999999E-2</v>
      </c>
      <c r="S3683">
        <v>-3.0873110000000001</v>
      </c>
      <c r="T3683">
        <v>-0.2102523</v>
      </c>
      <c r="U3683">
        <v>5.0582889999999998E-2</v>
      </c>
      <c r="V3683">
        <v>3.7424619999999999E-2</v>
      </c>
      <c r="W3683">
        <v>0.19245319999999999</v>
      </c>
      <c r="X3683">
        <v>0.98059229999999997</v>
      </c>
      <c r="Y3683">
        <v>1.7411909999999999E-2</v>
      </c>
      <c r="Z3683">
        <v>6.6514850000000002E-4</v>
      </c>
      <c r="AA3683">
        <v>0.99984819999999996</v>
      </c>
      <c r="AB3683">
        <v>36</v>
      </c>
      <c r="AC3683">
        <v>-15.956300000000001</v>
      </c>
      <c r="AD3683">
        <v>-1.109989864378</v>
      </c>
      <c r="AE3683">
        <v>0.26699999999999502</v>
      </c>
      <c r="AF3683">
        <v>0.28275206269337799</v>
      </c>
      <c r="AG3683">
        <v>-1.109989864378</v>
      </c>
      <c r="AH3683">
        <v>15.8791832949568</v>
      </c>
      <c r="AI3683">
        <v>93.997965051396406</v>
      </c>
      <c r="AJ3683">
        <v>88.9798727280523</v>
      </c>
      <c r="AK3683">
        <v>15.9204424669296</v>
      </c>
      <c r="AL3683">
        <v>78.904015651588793</v>
      </c>
      <c r="AM3683">
        <v>87.814348965601894</v>
      </c>
      <c r="AN3683">
        <v>1.0000000475958299</v>
      </c>
    </row>
    <row r="3684" spans="1:40" x14ac:dyDescent="0.25">
      <c r="A3684" t="str">
        <f>"20190312164341594"</f>
        <v>20190312164341594</v>
      </c>
      <c r="B3684" t="str">
        <f>"1552380221588996"</f>
        <v>1552380221588996</v>
      </c>
      <c r="C3684" t="s">
        <v>40</v>
      </c>
      <c r="D3684">
        <v>4.5241579999999999</v>
      </c>
      <c r="E3684">
        <v>0.50034619999999996</v>
      </c>
      <c r="F3684" t="s">
        <v>42</v>
      </c>
      <c r="G3684">
        <v>-385.09620000000001</v>
      </c>
      <c r="H3684" s="1">
        <v>-2.5397079999999998E-6</v>
      </c>
      <c r="I3684">
        <v>141.3212</v>
      </c>
      <c r="J3684">
        <v>-368.72399999999999</v>
      </c>
      <c r="K3684">
        <v>1.1099859999999999</v>
      </c>
      <c r="L3684">
        <v>141.00559999999999</v>
      </c>
      <c r="M3684">
        <v>-0.99990250000000003</v>
      </c>
      <c r="N3684">
        <v>0</v>
      </c>
      <c r="O3684">
        <v>-6.8910770000000002E-4</v>
      </c>
      <c r="P3684">
        <v>-0.98314349999999995</v>
      </c>
      <c r="Q3684">
        <v>0.1791064</v>
      </c>
      <c r="R3684">
        <v>3.6738930000000003E-2</v>
      </c>
      <c r="S3684">
        <v>-3.0862430000000001</v>
      </c>
      <c r="T3684">
        <v>-0.20460339999999999</v>
      </c>
      <c r="U3684">
        <v>5.8181759999999999E-2</v>
      </c>
      <c r="V3684">
        <v>3.759088E-2</v>
      </c>
      <c r="W3684">
        <v>0.19277050000000001</v>
      </c>
      <c r="X3684">
        <v>0.98052360000000005</v>
      </c>
      <c r="Y3684">
        <v>1.9493380000000001E-2</v>
      </c>
      <c r="Z3684">
        <v>6.9102940000000004E-4</v>
      </c>
      <c r="AA3684">
        <v>0.99980970000000002</v>
      </c>
      <c r="AB3684">
        <v>36</v>
      </c>
      <c r="AC3684">
        <v>-16.372199999999999</v>
      </c>
      <c r="AD3684">
        <v>-1.109988539708</v>
      </c>
      <c r="AE3684">
        <v>0.31560000000001698</v>
      </c>
      <c r="AF3684">
        <v>0.32538815547926803</v>
      </c>
      <c r="AG3684">
        <v>-1.109988539708</v>
      </c>
      <c r="AH3684">
        <v>16.297097575709699</v>
      </c>
      <c r="AI3684">
        <v>93.895600165144003</v>
      </c>
      <c r="AJ3684">
        <v>88.856183367884199</v>
      </c>
      <c r="AK3684">
        <v>16.338094791076799</v>
      </c>
      <c r="AL3684">
        <v>78.885488645185404</v>
      </c>
      <c r="AM3684">
        <v>87.804494958946094</v>
      </c>
      <c r="AN3684">
        <v>1.0000000350431899</v>
      </c>
    </row>
    <row r="3685" spans="1:40" x14ac:dyDescent="0.25">
      <c r="A3685" t="str">
        <f>"20190312164341616"</f>
        <v>20190312164341616</v>
      </c>
      <c r="B3685" t="str">
        <f>"1552380221608516"</f>
        <v>1552380221608516</v>
      </c>
      <c r="C3685" t="s">
        <v>40</v>
      </c>
      <c r="D3685">
        <v>4.4979290000000001</v>
      </c>
      <c r="E3685">
        <v>0.50045229999999996</v>
      </c>
      <c r="F3685" t="s">
        <v>42</v>
      </c>
      <c r="G3685">
        <v>-386.43959999999998</v>
      </c>
      <c r="H3685" s="1">
        <v>-1.9754390000000002E-6</v>
      </c>
      <c r="I3685">
        <v>141.3665</v>
      </c>
      <c r="J3685">
        <v>-369.07749999999999</v>
      </c>
      <c r="K3685">
        <v>1.1099859999999999</v>
      </c>
      <c r="L3685">
        <v>141.00579999999999</v>
      </c>
      <c r="M3685">
        <v>-0.99990279999999998</v>
      </c>
      <c r="N3685">
        <v>0</v>
      </c>
      <c r="O3685">
        <v>-3.2385859999999999E-4</v>
      </c>
      <c r="P3685">
        <v>-0.98306039999999995</v>
      </c>
      <c r="Q3685">
        <v>0.17951589999999901</v>
      </c>
      <c r="R3685">
        <v>3.6966590000000001E-2</v>
      </c>
      <c r="S3685">
        <v>-3.08432</v>
      </c>
      <c r="T3685">
        <v>-0.1932518</v>
      </c>
      <c r="U3685">
        <v>6.2850950000000003E-2</v>
      </c>
      <c r="V3685">
        <v>3.7459680000000002E-2</v>
      </c>
      <c r="W3685">
        <v>0.1931766</v>
      </c>
      <c r="X3685">
        <v>0.98044869999999995</v>
      </c>
      <c r="Y3685">
        <v>2.0656040000000001E-2</v>
      </c>
      <c r="Z3685">
        <v>6.666857E-4</v>
      </c>
      <c r="AA3685">
        <v>0.99978639999999996</v>
      </c>
      <c r="AB3685">
        <v>36</v>
      </c>
      <c r="AC3685">
        <v>-17.362099999999899</v>
      </c>
      <c r="AD3685">
        <v>-1.1099879754390001</v>
      </c>
      <c r="AE3685">
        <v>0.36070000000000801</v>
      </c>
      <c r="AF3685">
        <v>0.364832870069977</v>
      </c>
      <c r="AG3685">
        <v>-1.1099879754390001</v>
      </c>
      <c r="AH3685">
        <v>17.291338592216299</v>
      </c>
      <c r="AI3685">
        <v>93.672150124073994</v>
      </c>
      <c r="AJ3685">
        <v>88.791286023804801</v>
      </c>
      <c r="AK3685">
        <v>17.3307693608613</v>
      </c>
      <c r="AL3685">
        <v>78.861775163667701</v>
      </c>
      <c r="AM3685">
        <v>87.811983293906593</v>
      </c>
      <c r="AN3685">
        <v>1.00000003987247</v>
      </c>
    </row>
    <row r="3686" spans="1:40" x14ac:dyDescent="0.25">
      <c r="A3686" t="str">
        <f>"20190312164341638"</f>
        <v>20190312164341638</v>
      </c>
      <c r="B3686" t="str">
        <f>"1552380221628036"</f>
        <v>1552380221628036</v>
      </c>
      <c r="C3686" t="s">
        <v>40</v>
      </c>
      <c r="D3686">
        <v>4.5027109999999997</v>
      </c>
      <c r="E3686">
        <v>0.50056460000000003</v>
      </c>
      <c r="F3686" t="s">
        <v>42</v>
      </c>
      <c r="G3686">
        <v>-387.3426</v>
      </c>
      <c r="H3686" s="1">
        <v>-1.594188E-6</v>
      </c>
      <c r="I3686">
        <v>141.3895</v>
      </c>
      <c r="J3686">
        <v>-369.42450000000002</v>
      </c>
      <c r="K3686">
        <v>1.1099859999999999</v>
      </c>
      <c r="L3686">
        <v>141.006</v>
      </c>
      <c r="M3686">
        <v>-0.99990279999999998</v>
      </c>
      <c r="N3686">
        <v>0</v>
      </c>
      <c r="O3686" s="1">
        <v>3.5070610000000003E-5</v>
      </c>
      <c r="P3686">
        <v>-0.98291269999999997</v>
      </c>
      <c r="Q3686">
        <v>0.1802002</v>
      </c>
      <c r="R3686">
        <v>3.7555180000000001E-2</v>
      </c>
      <c r="S3686">
        <v>-3.0834959999999998</v>
      </c>
      <c r="T3686">
        <v>-0.18738730000000001</v>
      </c>
      <c r="U3686">
        <v>6.480408E-2</v>
      </c>
      <c r="V3686">
        <v>3.7695810000000003E-2</v>
      </c>
      <c r="W3686">
        <v>0.1938568</v>
      </c>
      <c r="X3686">
        <v>0.98030530000000005</v>
      </c>
      <c r="Y3686">
        <v>2.0938180000000001E-2</v>
      </c>
      <c r="Z3686">
        <v>6.334321E-4</v>
      </c>
      <c r="AA3686">
        <v>0.99978060000000002</v>
      </c>
      <c r="AB3686">
        <v>36</v>
      </c>
      <c r="AC3686">
        <v>-17.9180999999999</v>
      </c>
      <c r="AD3686">
        <v>-1.109987594188</v>
      </c>
      <c r="AE3686">
        <v>0.38349999999999801</v>
      </c>
      <c r="AF3686">
        <v>0.38140854157186399</v>
      </c>
      <c r="AG3686">
        <v>-1.109987594188</v>
      </c>
      <c r="AH3686">
        <v>17.849646163708901</v>
      </c>
      <c r="AI3686">
        <v>93.557569585382197</v>
      </c>
      <c r="AJ3686">
        <v>88.775898721996995</v>
      </c>
      <c r="AK3686">
        <v>17.8881920021126</v>
      </c>
      <c r="AL3686">
        <v>78.822050744347806</v>
      </c>
      <c r="AM3686">
        <v>87.797882729247107</v>
      </c>
      <c r="AN3686">
        <v>0.99999995710294198</v>
      </c>
    </row>
    <row r="3687" spans="1:40" x14ac:dyDescent="0.25">
      <c r="A3687" t="str">
        <f>"20190312164341660"</f>
        <v>20190312164341660</v>
      </c>
      <c r="B3687" t="str">
        <f>"1552380221648533"</f>
        <v>1552380221648533</v>
      </c>
      <c r="C3687" t="s">
        <v>40</v>
      </c>
      <c r="D3687">
        <v>4.557868</v>
      </c>
      <c r="E3687">
        <v>0.50043760000000004</v>
      </c>
      <c r="F3687" t="s">
        <v>42</v>
      </c>
      <c r="G3687">
        <v>-387.85120000000001</v>
      </c>
      <c r="H3687" s="1">
        <v>-1.3805650000000001E-6</v>
      </c>
      <c r="I3687">
        <v>141.4068</v>
      </c>
      <c r="J3687">
        <v>-369.76729999999998</v>
      </c>
      <c r="K3687">
        <v>1.1099889999999999</v>
      </c>
      <c r="L3687">
        <v>141.00640000000001</v>
      </c>
      <c r="M3687">
        <v>-0.99990279999999998</v>
      </c>
      <c r="N3687">
        <v>0</v>
      </c>
      <c r="O3687">
        <v>3.891697E-4</v>
      </c>
      <c r="P3687">
        <v>-0.98287400000000003</v>
      </c>
      <c r="Q3687">
        <v>0.18034829999999999</v>
      </c>
      <c r="R3687">
        <v>3.785906E-2</v>
      </c>
      <c r="S3687">
        <v>-3.083618</v>
      </c>
      <c r="T3687">
        <v>-0.18575169999999999</v>
      </c>
      <c r="U3687">
        <v>6.7077639999999994E-2</v>
      </c>
      <c r="V3687">
        <v>3.7651459999999998E-2</v>
      </c>
      <c r="W3687">
        <v>0.1940028</v>
      </c>
      <c r="X3687">
        <v>0.98027819999999999</v>
      </c>
      <c r="Y3687">
        <v>2.1320720000000001E-2</v>
      </c>
      <c r="Z3687">
        <v>6.180828E-4</v>
      </c>
      <c r="AA3687">
        <v>0.99977249999999995</v>
      </c>
      <c r="AB3687">
        <v>36</v>
      </c>
      <c r="AC3687">
        <v>-18.0839</v>
      </c>
      <c r="AD3687">
        <v>-1.109990380565</v>
      </c>
      <c r="AE3687">
        <v>0.40039999999998999</v>
      </c>
      <c r="AF3687">
        <v>0.39188587024817101</v>
      </c>
      <c r="AG3687">
        <v>-1.109990380565</v>
      </c>
      <c r="AH3687">
        <v>18.016211498659398</v>
      </c>
      <c r="AI3687">
        <v>93.5247418153279</v>
      </c>
      <c r="AJ3687">
        <v>88.753907490490704</v>
      </c>
      <c r="AK3687">
        <v>18.054626275408602</v>
      </c>
      <c r="AL3687">
        <v>78.813524549960803</v>
      </c>
      <c r="AM3687">
        <v>87.800410278683003</v>
      </c>
      <c r="AN3687">
        <v>1.0000000341216</v>
      </c>
    </row>
    <row r="3688" spans="1:40" x14ac:dyDescent="0.25">
      <c r="A3688" t="str">
        <f>"20190312164341684"</f>
        <v>20190312164341684</v>
      </c>
      <c r="B3688" t="str">
        <f>"1552380221678789"</f>
        <v>1552380221678789</v>
      </c>
      <c r="C3688" t="s">
        <v>40</v>
      </c>
      <c r="D3688">
        <v>4.521808</v>
      </c>
      <c r="E3688">
        <v>0.51369489999999995</v>
      </c>
      <c r="F3688" t="s">
        <v>42</v>
      </c>
      <c r="G3688">
        <v>-387.90050000000002</v>
      </c>
      <c r="H3688" s="1">
        <v>-1.3575600000000001E-6</v>
      </c>
      <c r="I3688">
        <v>141.3997</v>
      </c>
      <c r="J3688">
        <v>-370.14699999999999</v>
      </c>
      <c r="K3688">
        <v>1.1099950000000001</v>
      </c>
      <c r="L3688">
        <v>141.00700000000001</v>
      </c>
      <c r="M3688">
        <v>-0.99990250000000003</v>
      </c>
      <c r="N3688">
        <v>0</v>
      </c>
      <c r="O3688">
        <v>7.8189009999999996E-4</v>
      </c>
      <c r="P3688">
        <v>-0.98293019999999998</v>
      </c>
      <c r="Q3688">
        <v>0.17996779999999901</v>
      </c>
      <c r="R3688">
        <v>3.8208359999999997E-2</v>
      </c>
      <c r="S3688">
        <v>-3.08432</v>
      </c>
      <c r="T3688">
        <v>-0.18880250000000001</v>
      </c>
      <c r="U3688">
        <v>6.6909789999999997E-2</v>
      </c>
      <c r="V3688">
        <v>3.7614179999999997E-2</v>
      </c>
      <c r="W3688">
        <v>0.19362099999999999</v>
      </c>
      <c r="X3688">
        <v>0.98035510000000003</v>
      </c>
      <c r="Y3688">
        <v>2.0869059999999998E-2</v>
      </c>
      <c r="Z3688">
        <v>5.9024700000000002E-4</v>
      </c>
      <c r="AA3688">
        <v>0.99978199999999995</v>
      </c>
      <c r="AB3688">
        <v>36</v>
      </c>
      <c r="AC3688">
        <v>-17.753499999999999</v>
      </c>
      <c r="AD3688">
        <v>-1.10999635756</v>
      </c>
      <c r="AE3688">
        <v>0.39269999999999</v>
      </c>
      <c r="AF3688">
        <v>0.37734290054015401</v>
      </c>
      <c r="AG3688">
        <v>-1.10999635756</v>
      </c>
      <c r="AH3688">
        <v>17.684704441064898</v>
      </c>
      <c r="AI3688">
        <v>93.590694534709399</v>
      </c>
      <c r="AJ3688">
        <v>88.777651301037295</v>
      </c>
      <c r="AK3688">
        <v>17.723522526467601</v>
      </c>
      <c r="AL3688">
        <v>78.835822725022496</v>
      </c>
      <c r="AM3688">
        <v>87.8027582300723</v>
      </c>
      <c r="AN3688">
        <v>1.00000002013704</v>
      </c>
    </row>
    <row r="3689" spans="1:40" x14ac:dyDescent="0.25">
      <c r="A3689" t="str">
        <f>"20190312164341708"</f>
        <v>20190312164341708</v>
      </c>
      <c r="B3689" t="str">
        <f>"1552380221698308"</f>
        <v>1552380221698308</v>
      </c>
      <c r="C3689" t="s">
        <v>40</v>
      </c>
      <c r="D3689">
        <v>4.701422</v>
      </c>
      <c r="E3689">
        <v>0.55212229999999995</v>
      </c>
      <c r="F3689" t="s">
        <v>41</v>
      </c>
      <c r="G3689">
        <v>-371.15170000000001</v>
      </c>
      <c r="H3689">
        <v>1.040686</v>
      </c>
      <c r="I3689">
        <v>141.0635</v>
      </c>
      <c r="J3689">
        <v>-370.52980000000002</v>
      </c>
      <c r="K3689">
        <v>1.1099889999999999</v>
      </c>
      <c r="L3689">
        <v>141.0077</v>
      </c>
      <c r="M3689">
        <v>-0.99990210000000002</v>
      </c>
      <c r="N3689">
        <v>0</v>
      </c>
      <c r="O3689">
        <v>1.178007E-3</v>
      </c>
      <c r="P3689">
        <v>-0.98289459999999995</v>
      </c>
      <c r="Q3689">
        <v>0.1799596</v>
      </c>
      <c r="R3689">
        <v>3.9152239999999998E-2</v>
      </c>
      <c r="S3689">
        <v>-3.08432</v>
      </c>
      <c r="T3689">
        <v>-0.2127713</v>
      </c>
      <c r="U3689">
        <v>0.172744799999999</v>
      </c>
      <c r="V3689">
        <v>3.8168569999999999E-2</v>
      </c>
      <c r="W3689">
        <v>0.19361030000000001</v>
      </c>
      <c r="X3689">
        <v>0.98033579999999998</v>
      </c>
      <c r="Y3689">
        <v>5.4616850000000002E-2</v>
      </c>
      <c r="Z3689">
        <v>1.7990510000000001E-3</v>
      </c>
      <c r="AA3689">
        <v>0.9985058</v>
      </c>
      <c r="AB3689">
        <v>36</v>
      </c>
      <c r="AC3689">
        <v>-0.62189999999998202</v>
      </c>
      <c r="AD3689">
        <v>-6.9302999999999795E-2</v>
      </c>
      <c r="AE3689">
        <v>5.5800000000004901E-2</v>
      </c>
      <c r="AF3689">
        <v>5.4397160890227003E-2</v>
      </c>
      <c r="AG3689">
        <v>-6.9302999999999795E-2</v>
      </c>
      <c r="AH3689">
        <v>0.61439646730324204</v>
      </c>
      <c r="AI3689">
        <v>96.410807425715802</v>
      </c>
      <c r="AJ3689">
        <v>84.940364914071793</v>
      </c>
      <c r="AK3689">
        <v>0.62068105815839203</v>
      </c>
      <c r="AL3689">
        <v>78.836447775409695</v>
      </c>
      <c r="AM3689">
        <v>87.770361995264594</v>
      </c>
      <c r="AN3689">
        <v>1.0000000343817801</v>
      </c>
    </row>
    <row r="3690" spans="1:40" x14ac:dyDescent="0.25">
      <c r="A3690" t="str">
        <f>"20190312164341732"</f>
        <v>20190312164341732</v>
      </c>
      <c r="B3690" t="str">
        <f>"1552380221718806"</f>
        <v>1552380221718806</v>
      </c>
      <c r="C3690" t="s">
        <v>40</v>
      </c>
      <c r="D3690">
        <v>4.6576420000000001</v>
      </c>
      <c r="E3690">
        <v>0.55291859999999904</v>
      </c>
      <c r="F3690" t="s">
        <v>41</v>
      </c>
      <c r="G3690">
        <v>-371.46730000000002</v>
      </c>
      <c r="H3690">
        <v>1.0318499999999999</v>
      </c>
      <c r="I3690">
        <v>141.1541</v>
      </c>
      <c r="J3690">
        <v>-370.92079999999999</v>
      </c>
      <c r="K3690">
        <v>1.1099870000000001</v>
      </c>
      <c r="L3690">
        <v>141.0086</v>
      </c>
      <c r="M3690">
        <v>-0.9999017</v>
      </c>
      <c r="N3690">
        <v>0</v>
      </c>
      <c r="O3690">
        <v>1.58211299999999E-3</v>
      </c>
      <c r="P3690">
        <v>-0.98279190000000005</v>
      </c>
      <c r="Q3690">
        <v>0.18030089999999999</v>
      </c>
      <c r="R3690">
        <v>4.015121E-2</v>
      </c>
      <c r="S3690">
        <v>-3.0800779999999999</v>
      </c>
      <c r="T3690">
        <v>-0.25675239999999999</v>
      </c>
      <c r="U3690">
        <v>0.48010249999999999</v>
      </c>
      <c r="V3690">
        <v>3.8770409999999998E-2</v>
      </c>
      <c r="W3690">
        <v>0.1939476</v>
      </c>
      <c r="X3690">
        <v>0.98024549999999999</v>
      </c>
      <c r="Y3690">
        <v>0.15194099999999999</v>
      </c>
      <c r="Z3690">
        <v>6.1532419999999997E-3</v>
      </c>
      <c r="AA3690">
        <v>0.98837039999999998</v>
      </c>
      <c r="AB3690">
        <v>36</v>
      </c>
      <c r="AC3690">
        <v>-0.54650000000003696</v>
      </c>
      <c r="AD3690">
        <v>-7.8137000000000095E-2</v>
      </c>
      <c r="AE3690">
        <v>0.14549999999999799</v>
      </c>
      <c r="AF3690">
        <v>0.14192583885110599</v>
      </c>
      <c r="AG3690">
        <v>-7.8137000000000095E-2</v>
      </c>
      <c r="AH3690">
        <v>0.53648832852484096</v>
      </c>
      <c r="AI3690">
        <v>98.014652738374195</v>
      </c>
      <c r="AJ3690">
        <v>75.182081358204499</v>
      </c>
      <c r="AK3690">
        <v>0.56041775591603804</v>
      </c>
      <c r="AL3690">
        <v>78.816748444938099</v>
      </c>
      <c r="AM3690">
        <v>87.7350330936966</v>
      </c>
      <c r="AN3690">
        <v>1.00000002825378</v>
      </c>
    </row>
    <row r="3691" spans="1:40" x14ac:dyDescent="0.25">
      <c r="A3691" t="str">
        <f>"20190312164341753"</f>
        <v>20190312164341753</v>
      </c>
      <c r="B3691" t="str">
        <f>"1552380221748084"</f>
        <v>1552380221748084</v>
      </c>
      <c r="C3691" t="s">
        <v>40</v>
      </c>
      <c r="D3691">
        <v>4.6013929999999998</v>
      </c>
      <c r="E3691">
        <v>0.55154859999999895</v>
      </c>
      <c r="F3691" t="s">
        <v>41</v>
      </c>
      <c r="G3691">
        <v>-371.7903</v>
      </c>
      <c r="H3691">
        <v>1.0400780000000001</v>
      </c>
      <c r="I3691">
        <v>141.1473</v>
      </c>
      <c r="J3691">
        <v>-371.25060000000002</v>
      </c>
      <c r="K3691">
        <v>1.1099889999999999</v>
      </c>
      <c r="L3691">
        <v>141.0094</v>
      </c>
      <c r="M3691">
        <v>-0.99990109999999999</v>
      </c>
      <c r="N3691">
        <v>0</v>
      </c>
      <c r="O3691">
        <v>1.923218E-3</v>
      </c>
      <c r="P3691">
        <v>-0.98276569999999996</v>
      </c>
      <c r="Q3691">
        <v>0.18035909999999999</v>
      </c>
      <c r="R3691">
        <v>4.0527300000000002E-2</v>
      </c>
      <c r="S3691">
        <v>-3.0779420000000002</v>
      </c>
      <c r="T3691">
        <v>-0.24755489999999999</v>
      </c>
      <c r="U3691">
        <v>0.48974609999999902</v>
      </c>
      <c r="V3691">
        <v>3.8811060000000001E-2</v>
      </c>
      <c r="W3691">
        <v>0.19400419999999999</v>
      </c>
      <c r="X3691">
        <v>0.98023269999999996</v>
      </c>
      <c r="Y3691">
        <v>0.1547569</v>
      </c>
      <c r="Z3691">
        <v>6.0212850000000004E-3</v>
      </c>
      <c r="AA3691">
        <v>0.98793419999999998</v>
      </c>
      <c r="AB3691">
        <v>35</v>
      </c>
      <c r="AC3691">
        <v>-0.53969999999998197</v>
      </c>
      <c r="AD3691">
        <v>-6.9910999999999807E-2</v>
      </c>
      <c r="AE3691">
        <v>0.13790000000000099</v>
      </c>
      <c r="AF3691">
        <v>0.13473934718625999</v>
      </c>
      <c r="AG3691">
        <v>-6.9910999999999807E-2</v>
      </c>
      <c r="AH3691">
        <v>0.53159092650711703</v>
      </c>
      <c r="AI3691">
        <v>97.264967891416703</v>
      </c>
      <c r="AJ3691">
        <v>75.777092902427</v>
      </c>
      <c r="AK3691">
        <v>0.55283917439511698</v>
      </c>
      <c r="AL3691">
        <v>78.813442815794005</v>
      </c>
      <c r="AM3691">
        <v>87.732631222036005</v>
      </c>
      <c r="AN3691">
        <v>1.0000000370726201</v>
      </c>
    </row>
    <row r="3692" spans="1:40" x14ac:dyDescent="0.25">
      <c r="A3692" t="str">
        <f>"20190312164341773"</f>
        <v>20190312164341773</v>
      </c>
      <c r="B3692" t="str">
        <f>"1552380221768581"</f>
        <v>1552380221768581</v>
      </c>
      <c r="C3692" t="s">
        <v>40</v>
      </c>
      <c r="D3692">
        <v>4.5492010000000001</v>
      </c>
      <c r="E3692">
        <v>0.55101359999999999</v>
      </c>
      <c r="F3692" t="s">
        <v>42</v>
      </c>
      <c r="G3692">
        <v>-385.68490000000003</v>
      </c>
      <c r="H3692" s="1">
        <v>-2.8047430000000001E-6</v>
      </c>
      <c r="I3692">
        <v>143.26650000000001</v>
      </c>
      <c r="J3692">
        <v>-371.55770000000001</v>
      </c>
      <c r="K3692">
        <v>1.1099920000000001</v>
      </c>
      <c r="L3692">
        <v>141.0104</v>
      </c>
      <c r="M3692">
        <v>-0.99990060000000003</v>
      </c>
      <c r="N3692">
        <v>0</v>
      </c>
      <c r="O3692">
        <v>2.2408390000000001E-3</v>
      </c>
      <c r="P3692">
        <v>-0.98277289999999995</v>
      </c>
      <c r="Q3692">
        <v>0.18025050000000001</v>
      </c>
      <c r="R3692">
        <v>4.0834080000000002E-2</v>
      </c>
      <c r="S3692">
        <v>-3.0762019999999999</v>
      </c>
      <c r="T3692">
        <v>-0.23656050000000001</v>
      </c>
      <c r="U3692">
        <v>0.4810333</v>
      </c>
      <c r="V3692">
        <v>3.8805270000000003E-2</v>
      </c>
      <c r="W3692">
        <v>0.19389380000000001</v>
      </c>
      <c r="X3692">
        <v>0.98025479999999998</v>
      </c>
      <c r="Y3692">
        <v>0.15184929999999999</v>
      </c>
      <c r="Z3692">
        <v>5.6239150000000002E-3</v>
      </c>
      <c r="AA3692">
        <v>0.98838760000000003</v>
      </c>
      <c r="AB3692">
        <v>35</v>
      </c>
      <c r="AC3692">
        <v>-14.1272</v>
      </c>
      <c r="AD3692">
        <v>-1.1099948047429999</v>
      </c>
      <c r="AE3692">
        <v>2.2561</v>
      </c>
      <c r="AF3692">
        <v>2.2111236461304</v>
      </c>
      <c r="AG3692">
        <v>-1.1099948047429999</v>
      </c>
      <c r="AH3692">
        <v>14.0476544796892</v>
      </c>
      <c r="AI3692">
        <v>94.463193984535494</v>
      </c>
      <c r="AJ3692">
        <v>81.054941449640594</v>
      </c>
      <c r="AK3692">
        <v>14.2638617711251</v>
      </c>
      <c r="AL3692">
        <v>78.819891007178796</v>
      </c>
      <c r="AM3692">
        <v>87.733020182101498</v>
      </c>
      <c r="AN3692">
        <v>1.0000000637906199</v>
      </c>
    </row>
    <row r="3693" spans="1:40" x14ac:dyDescent="0.25">
      <c r="A3693" t="str">
        <f>"20190312164341795"</f>
        <v>20190312164341795</v>
      </c>
      <c r="B3693" t="str">
        <f>"1552380221788100"</f>
        <v>1552380221788100</v>
      </c>
      <c r="C3693" t="s">
        <v>40</v>
      </c>
      <c r="D3693">
        <v>4.8025929999999999</v>
      </c>
      <c r="E3693">
        <v>0.55067339999999998</v>
      </c>
      <c r="F3693" t="s">
        <v>42</v>
      </c>
      <c r="G3693">
        <v>-386.33859999999999</v>
      </c>
      <c r="H3693" s="1">
        <v>-2.5358229999999999E-6</v>
      </c>
      <c r="I3693">
        <v>143.3098</v>
      </c>
      <c r="J3693">
        <v>-371.91829999999999</v>
      </c>
      <c r="K3693">
        <v>1.1099889999999999</v>
      </c>
      <c r="L3693">
        <v>141.01159999999999</v>
      </c>
      <c r="M3693">
        <v>-0.99989950000000005</v>
      </c>
      <c r="N3693">
        <v>0</v>
      </c>
      <c r="O3693">
        <v>2.6142460000000002E-3</v>
      </c>
      <c r="P3693">
        <v>-0.98286039999999997</v>
      </c>
      <c r="Q3693">
        <v>0.17964959999999999</v>
      </c>
      <c r="R3693">
        <v>4.1365180000000001E-2</v>
      </c>
      <c r="S3693">
        <v>-3.0750730000000002</v>
      </c>
      <c r="T3693">
        <v>-0.23092840000000001</v>
      </c>
      <c r="U3693">
        <v>0.47839359999999997</v>
      </c>
      <c r="V3693">
        <v>3.8968009999999997E-2</v>
      </c>
      <c r="W3693">
        <v>0.1932931</v>
      </c>
      <c r="X3693">
        <v>0.98036690000000004</v>
      </c>
      <c r="Y3693">
        <v>0.15073120000000001</v>
      </c>
      <c r="Z3693">
        <v>5.4232280000000004E-3</v>
      </c>
      <c r="AA3693">
        <v>0.98855990000000005</v>
      </c>
      <c r="AB3693">
        <v>35</v>
      </c>
      <c r="AC3693">
        <v>-14.4202999999999</v>
      </c>
      <c r="AD3693">
        <v>-1.1099915358229999</v>
      </c>
      <c r="AE3693">
        <v>2.2982</v>
      </c>
      <c r="AF3693">
        <v>2.2475035978437199</v>
      </c>
      <c r="AG3693">
        <v>-1.1099915358229999</v>
      </c>
      <c r="AH3693">
        <v>14.3433794833068</v>
      </c>
      <c r="AI3693">
        <v>94.371994712661504</v>
      </c>
      <c r="AJ3693">
        <v>81.094579298610299</v>
      </c>
      <c r="AK3693">
        <v>14.560765386272299</v>
      </c>
      <c r="AL3693">
        <v>78.854971459045103</v>
      </c>
      <c r="AM3693">
        <v>87.723783023555498</v>
      </c>
      <c r="AN3693">
        <v>0.99999999346329005</v>
      </c>
    </row>
    <row r="3694" spans="1:40" x14ac:dyDescent="0.25">
      <c r="A3694" t="str">
        <f>"20190312164341817"</f>
        <v>20190312164341817</v>
      </c>
      <c r="B3694" t="str">
        <f>"1552380221808597"</f>
        <v>1552380221808597</v>
      </c>
      <c r="C3694" t="s">
        <v>40</v>
      </c>
      <c r="D3694">
        <v>4.5489540000000002</v>
      </c>
      <c r="E3694">
        <v>0.55053409999999903</v>
      </c>
      <c r="F3694" t="s">
        <v>42</v>
      </c>
      <c r="G3694">
        <v>-387.36169999999998</v>
      </c>
      <c r="H3694" s="1">
        <v>-2.1246700000000002E-6</v>
      </c>
      <c r="I3694">
        <v>143.41409999999999</v>
      </c>
      <c r="J3694">
        <v>-372.26409999999998</v>
      </c>
      <c r="K3694">
        <v>1.10999</v>
      </c>
      <c r="L3694">
        <v>141.0128</v>
      </c>
      <c r="M3694">
        <v>-0.99989870000000003</v>
      </c>
      <c r="N3694">
        <v>0</v>
      </c>
      <c r="O3694">
        <v>2.9711400000000002E-3</v>
      </c>
      <c r="P3694">
        <v>-0.98295149999999998</v>
      </c>
      <c r="Q3694">
        <v>0.17908070000000001</v>
      </c>
      <c r="R3694">
        <v>4.1674000000000003E-2</v>
      </c>
      <c r="S3694">
        <v>-3.0725709999999999</v>
      </c>
      <c r="T3694">
        <v>-0.2208407</v>
      </c>
      <c r="U3694">
        <v>0.47802729999999999</v>
      </c>
      <c r="V3694">
        <v>3.8924939999999998E-2</v>
      </c>
      <c r="W3694">
        <v>0.19272320000000001</v>
      </c>
      <c r="X3694">
        <v>0.98048080000000004</v>
      </c>
      <c r="Y3694">
        <v>0.15042150000000001</v>
      </c>
      <c r="Z3694">
        <v>5.154629E-3</v>
      </c>
      <c r="AA3694">
        <v>0.9886085</v>
      </c>
      <c r="AB3694">
        <v>35</v>
      </c>
      <c r="AC3694">
        <v>-15.0976</v>
      </c>
      <c r="AD3694">
        <v>-1.10999212467</v>
      </c>
      <c r="AE3694">
        <v>2.4012999999999902</v>
      </c>
      <c r="AF3694">
        <v>2.3440700694391401</v>
      </c>
      <c r="AG3694">
        <v>-1.10999212467</v>
      </c>
      <c r="AH3694">
        <v>15.025454682093899</v>
      </c>
      <c r="AI3694">
        <v>94.174685477061502</v>
      </c>
      <c r="AJ3694">
        <v>81.132954895995297</v>
      </c>
      <c r="AK3694">
        <v>15.2476567186872</v>
      </c>
      <c r="AL3694">
        <v>78.8882500288382</v>
      </c>
      <c r="AM3694">
        <v>87.726560059246395</v>
      </c>
      <c r="AN3694">
        <v>0.99999999097044101</v>
      </c>
    </row>
    <row r="3695" spans="1:40" x14ac:dyDescent="0.25">
      <c r="A3695" t="str">
        <f>"20190312164341839"</f>
        <v>20190312164341839</v>
      </c>
      <c r="B3695" t="str">
        <f>"1552380221828117"</f>
        <v>1552380221828117</v>
      </c>
      <c r="C3695" t="s">
        <v>40</v>
      </c>
      <c r="D3695">
        <v>4.7965059999999999</v>
      </c>
      <c r="E3695">
        <v>0.55043299999999995</v>
      </c>
      <c r="F3695" t="s">
        <v>42</v>
      </c>
      <c r="G3695">
        <v>-388.55110000000002</v>
      </c>
      <c r="H3695" s="1">
        <v>-1.651376E-6</v>
      </c>
      <c r="I3695">
        <v>143.553</v>
      </c>
      <c r="J3695">
        <v>-372.61130000000003</v>
      </c>
      <c r="K3695">
        <v>1.10999</v>
      </c>
      <c r="L3695">
        <v>141.01419999999999</v>
      </c>
      <c r="M3695">
        <v>-0.99989740000000005</v>
      </c>
      <c r="N3695">
        <v>0</v>
      </c>
      <c r="O3695">
        <v>3.3284429999999999E-3</v>
      </c>
      <c r="P3695">
        <v>-0.98314570000000001</v>
      </c>
      <c r="Q3695">
        <v>0.1781749</v>
      </c>
      <c r="R3695">
        <v>4.0965500000000002E-2</v>
      </c>
      <c r="S3695">
        <v>-3.069855</v>
      </c>
      <c r="T3695">
        <v>-0.20921699999999999</v>
      </c>
      <c r="U3695">
        <v>0.47880549999999999</v>
      </c>
      <c r="V3695">
        <v>3.786291E-2</v>
      </c>
      <c r="W3695">
        <v>0.19181960000000001</v>
      </c>
      <c r="X3695">
        <v>0.98069949999999995</v>
      </c>
      <c r="Y3695">
        <v>0.1504838</v>
      </c>
      <c r="Z3695">
        <v>4.8660520000000001E-3</v>
      </c>
      <c r="AA3695">
        <v>0.98860049999999999</v>
      </c>
      <c r="AB3695">
        <v>35</v>
      </c>
      <c r="AC3695">
        <v>-15.9397999999999</v>
      </c>
      <c r="AD3695">
        <v>-1.109991651376</v>
      </c>
      <c r="AE3695">
        <v>2.5388000000000002</v>
      </c>
      <c r="AF3695">
        <v>2.4740257408867801</v>
      </c>
      <c r="AG3695">
        <v>-1.109991651376</v>
      </c>
      <c r="AH3695">
        <v>15.8730946613402</v>
      </c>
      <c r="AI3695">
        <v>93.952563821197302</v>
      </c>
      <c r="AJ3695">
        <v>81.140995650899299</v>
      </c>
      <c r="AK3695">
        <v>16.103043779377899</v>
      </c>
      <c r="AL3695">
        <v>78.941006208627797</v>
      </c>
      <c r="AM3695">
        <v>87.789018936461403</v>
      </c>
      <c r="AN3695">
        <v>0.99999993409903598</v>
      </c>
    </row>
    <row r="3696" spans="1:40" x14ac:dyDescent="0.25">
      <c r="A3696" t="str">
        <f>"20190312164341862"</f>
        <v>20190312164341862</v>
      </c>
      <c r="B3696" t="str">
        <f>"1552380221858372"</f>
        <v>1552380221858372</v>
      </c>
      <c r="C3696" t="s">
        <v>40</v>
      </c>
      <c r="D3696">
        <v>4.8585919999999998</v>
      </c>
      <c r="E3696">
        <v>0.55028409999999905</v>
      </c>
      <c r="F3696" t="s">
        <v>42</v>
      </c>
      <c r="G3696">
        <v>-389.49180000000001</v>
      </c>
      <c r="H3696" s="1">
        <v>-1.2703360000000001E-6</v>
      </c>
      <c r="I3696">
        <v>143.63759999999999</v>
      </c>
      <c r="J3696">
        <v>-372.96210000000002</v>
      </c>
      <c r="K3696">
        <v>1.109993</v>
      </c>
      <c r="L3696">
        <v>141.01580000000001</v>
      </c>
      <c r="M3696">
        <v>-0.99989629999999996</v>
      </c>
      <c r="N3696">
        <v>0</v>
      </c>
      <c r="O3696">
        <v>3.6880649999999999E-3</v>
      </c>
      <c r="P3696">
        <v>-0.98332379999999997</v>
      </c>
      <c r="Q3696">
        <v>0.17729549999999999</v>
      </c>
      <c r="R3696">
        <v>4.0511619999999998E-2</v>
      </c>
      <c r="S3696">
        <v>-3.0681150000000001</v>
      </c>
      <c r="T3696">
        <v>-0.20174710000000001</v>
      </c>
      <c r="U3696">
        <v>0.47683720000000002</v>
      </c>
      <c r="V3696">
        <v>3.705336E-2</v>
      </c>
      <c r="W3696">
        <v>0.19094169999999999</v>
      </c>
      <c r="X3696">
        <v>0.98090180000000005</v>
      </c>
      <c r="Y3696">
        <v>0.149619899999999</v>
      </c>
      <c r="Z3696">
        <v>4.6438570000000004E-3</v>
      </c>
      <c r="AA3696">
        <v>0.98873270000000002</v>
      </c>
      <c r="AB3696">
        <v>35</v>
      </c>
      <c r="AC3696">
        <v>-16.529699999999899</v>
      </c>
      <c r="AD3696">
        <v>-1.109994270336</v>
      </c>
      <c r="AE3696">
        <v>2.6217999999999702</v>
      </c>
      <c r="AF3696">
        <v>2.5495988187651402</v>
      </c>
      <c r="AG3696">
        <v>-1.109994270336</v>
      </c>
      <c r="AH3696">
        <v>16.466825814876501</v>
      </c>
      <c r="AI3696">
        <v>93.811079891230193</v>
      </c>
      <c r="AJ3696">
        <v>81.198642496477007</v>
      </c>
      <c r="AK3696">
        <v>16.699966881233902</v>
      </c>
      <c r="AL3696">
        <v>78.992254314825999</v>
      </c>
      <c r="AM3696">
        <v>87.836692507130493</v>
      </c>
      <c r="AN3696">
        <v>1.0000000127647</v>
      </c>
    </row>
    <row r="3697" spans="1:40" x14ac:dyDescent="0.25">
      <c r="A3697" t="str">
        <f>"20190312164341886"</f>
        <v>20190312164341886</v>
      </c>
      <c r="B3697" t="str">
        <f>"1552380221878868"</f>
        <v>1552380221878868</v>
      </c>
      <c r="C3697" t="s">
        <v>40</v>
      </c>
      <c r="D3697">
        <v>5.575577</v>
      </c>
      <c r="E3697">
        <v>0.55023690000000003</v>
      </c>
      <c r="F3697" t="s">
        <v>42</v>
      </c>
      <c r="G3697">
        <v>-390.45650000000001</v>
      </c>
      <c r="H3697" s="1">
        <v>-4.8499650000000002E-6</v>
      </c>
      <c r="I3697">
        <v>143.72739999999999</v>
      </c>
      <c r="J3697">
        <v>-373.351</v>
      </c>
      <c r="K3697">
        <v>1.109988</v>
      </c>
      <c r="L3697">
        <v>141.01759999999999</v>
      </c>
      <c r="M3697">
        <v>-0.99989490000000003</v>
      </c>
      <c r="N3697">
        <v>0</v>
      </c>
      <c r="O3697">
        <v>4.0851139999999999E-3</v>
      </c>
      <c r="P3697">
        <v>-0.98340740000000004</v>
      </c>
      <c r="Q3697">
        <v>0.1769078</v>
      </c>
      <c r="R3697">
        <v>4.0169219999999999E-2</v>
      </c>
      <c r="S3697">
        <v>-3.066376</v>
      </c>
      <c r="T3697">
        <v>-0.1945587</v>
      </c>
      <c r="U3697">
        <v>0.47531129999999999</v>
      </c>
      <c r="V3697">
        <v>3.6318570000000001E-2</v>
      </c>
      <c r="W3697">
        <v>0.19055459999999999</v>
      </c>
      <c r="X3697">
        <v>0.98100449999999995</v>
      </c>
      <c r="Y3697">
        <v>0.1488554</v>
      </c>
      <c r="Z3697">
        <v>4.4322980000000003E-3</v>
      </c>
      <c r="AA3697">
        <v>0.98884899999999998</v>
      </c>
      <c r="AB3697">
        <v>35</v>
      </c>
      <c r="AC3697">
        <v>-17.105499999999999</v>
      </c>
      <c r="AD3697">
        <v>-1.109992849965</v>
      </c>
      <c r="AE3697">
        <v>2.7098</v>
      </c>
      <c r="AF3697">
        <v>2.62909304084081</v>
      </c>
      <c r="AG3697">
        <v>-1.109992849965</v>
      </c>
      <c r="AH3697">
        <v>17.046405731889902</v>
      </c>
      <c r="AI3697">
        <v>93.682193697381805</v>
      </c>
      <c r="AJ3697">
        <v>81.232269734742403</v>
      </c>
      <c r="AK3697">
        <v>17.2836385845279</v>
      </c>
      <c r="AL3697">
        <v>79.014847790569505</v>
      </c>
      <c r="AM3697">
        <v>87.879774399193707</v>
      </c>
      <c r="AN3697">
        <v>0.99999996156412596</v>
      </c>
    </row>
    <row r="3698" spans="1:40" x14ac:dyDescent="0.25">
      <c r="A3698" t="str">
        <f>"20190312164341908"</f>
        <v>20190312164341908</v>
      </c>
      <c r="B3698" t="str">
        <f>"1552380221898388"</f>
        <v>1552380221898388</v>
      </c>
      <c r="C3698" t="s">
        <v>40</v>
      </c>
      <c r="D3698">
        <v>4.7431429999999999</v>
      </c>
      <c r="E3698">
        <v>0.55027000000000004</v>
      </c>
      <c r="F3698" t="s">
        <v>42</v>
      </c>
      <c r="G3698">
        <v>-391.07010000000002</v>
      </c>
      <c r="H3698" s="1">
        <v>-4.6465070000000003E-6</v>
      </c>
      <c r="I3698">
        <v>143.7578</v>
      </c>
      <c r="J3698">
        <v>-373.68889999999999</v>
      </c>
      <c r="K3698">
        <v>1.109998</v>
      </c>
      <c r="L3698">
        <v>141.01939999999999</v>
      </c>
      <c r="M3698">
        <v>-0.99989320000000004</v>
      </c>
      <c r="N3698">
        <v>0</v>
      </c>
      <c r="O3698">
        <v>4.4290650000000003E-3</v>
      </c>
      <c r="P3698">
        <v>-0.98335799999999995</v>
      </c>
      <c r="Q3698">
        <v>0.1772398</v>
      </c>
      <c r="R3698">
        <v>3.99189E-2</v>
      </c>
      <c r="S3698">
        <v>-3.0657960000000002</v>
      </c>
      <c r="T3698">
        <v>-0.1920528</v>
      </c>
      <c r="U3698">
        <v>0.47412109999999902</v>
      </c>
      <c r="V3698">
        <v>3.5730020000000001E-2</v>
      </c>
      <c r="W3698">
        <v>0.19088450000000001</v>
      </c>
      <c r="X3698">
        <v>0.980962</v>
      </c>
      <c r="Y3698">
        <v>0.1481777</v>
      </c>
      <c r="Z3698">
        <v>4.3337899999999997E-3</v>
      </c>
      <c r="AA3698">
        <v>0.98895129999999998</v>
      </c>
      <c r="AB3698">
        <v>35</v>
      </c>
      <c r="AC3698">
        <v>-17.3812</v>
      </c>
      <c r="AD3698">
        <v>-1.1100026465070001</v>
      </c>
      <c r="AE3698">
        <v>2.7384000000000102</v>
      </c>
      <c r="AF3698">
        <v>2.6508339276711901</v>
      </c>
      <c r="AG3698">
        <v>-1.1100026465070001</v>
      </c>
      <c r="AH3698">
        <v>17.324215652111199</v>
      </c>
      <c r="AI3698">
        <v>93.623997562360202</v>
      </c>
      <c r="AJ3698">
        <v>81.300464023422293</v>
      </c>
      <c r="AK3698">
        <v>17.560964505066401</v>
      </c>
      <c r="AL3698">
        <v>78.995592745215305</v>
      </c>
      <c r="AM3698">
        <v>87.914012205398294</v>
      </c>
      <c r="AN3698">
        <v>0.99999998605672502</v>
      </c>
    </row>
    <row r="3699" spans="1:40" x14ac:dyDescent="0.25">
      <c r="A3699" t="str">
        <f>"20190312164341929"</f>
        <v>20190312164341929</v>
      </c>
      <c r="B3699" t="str">
        <f>"1552380221918886"</f>
        <v>1552380221918886</v>
      </c>
      <c r="C3699" t="s">
        <v>40</v>
      </c>
      <c r="D3699">
        <v>4.6286849999999999</v>
      </c>
      <c r="E3699">
        <v>0.55036719999999995</v>
      </c>
      <c r="F3699" t="s">
        <v>42</v>
      </c>
      <c r="G3699">
        <v>-391.74400000000003</v>
      </c>
      <c r="H3699" s="1">
        <v>-4.4260100000000003E-6</v>
      </c>
      <c r="I3699">
        <v>143.8074</v>
      </c>
      <c r="J3699">
        <v>-374.03179999999998</v>
      </c>
      <c r="K3699">
        <v>1.1100000000000001</v>
      </c>
      <c r="L3699">
        <v>141.0213</v>
      </c>
      <c r="M3699">
        <v>-0.99989189999999994</v>
      </c>
      <c r="N3699">
        <v>0</v>
      </c>
      <c r="O3699">
        <v>4.7768940000000003E-3</v>
      </c>
      <c r="P3699">
        <v>-0.98318309999999998</v>
      </c>
      <c r="Q3699">
        <v>0.17835980000000001</v>
      </c>
      <c r="R3699">
        <v>3.9230649999999999E-2</v>
      </c>
      <c r="S3699">
        <v>-3.0655209999999999</v>
      </c>
      <c r="T3699">
        <v>-0.18846460000000001</v>
      </c>
      <c r="U3699">
        <v>0.4733887</v>
      </c>
      <c r="V3699">
        <v>3.4700639999999998E-2</v>
      </c>
      <c r="W3699">
        <v>0.19200120000000001</v>
      </c>
      <c r="X3699">
        <v>0.98078100000000001</v>
      </c>
      <c r="Y3699">
        <v>0.14762809999999901</v>
      </c>
      <c r="Z3699">
        <v>4.215407E-3</v>
      </c>
      <c r="AA3699">
        <v>0.98903390000000002</v>
      </c>
      <c r="AB3699">
        <v>35</v>
      </c>
      <c r="AC3699">
        <v>-17.712199999999999</v>
      </c>
      <c r="AD3699">
        <v>-1.1100044260099999</v>
      </c>
      <c r="AE3699">
        <v>2.7860999999999998</v>
      </c>
      <c r="AF3699">
        <v>2.6911367656593401</v>
      </c>
      <c r="AG3699">
        <v>-1.1100044260099999</v>
      </c>
      <c r="AH3699">
        <v>17.657634034149201</v>
      </c>
      <c r="AI3699">
        <v>93.556071917471499</v>
      </c>
      <c r="AJ3699">
        <v>81.334438572012004</v>
      </c>
      <c r="AK3699">
        <v>17.895987444150499</v>
      </c>
      <c r="AL3699">
        <v>78.930404773079303</v>
      </c>
      <c r="AM3699">
        <v>87.973685013243099</v>
      </c>
      <c r="AN3699">
        <v>0.99999998258942402</v>
      </c>
    </row>
    <row r="3700" spans="1:40" x14ac:dyDescent="0.25">
      <c r="A3700" t="str">
        <f>"20190312164341951"</f>
        <v>20190312164341951</v>
      </c>
      <c r="B3700" t="str">
        <f>"1552380221938404"</f>
        <v>1552380221938404</v>
      </c>
      <c r="C3700" t="s">
        <v>40</v>
      </c>
      <c r="D3700">
        <v>5.2371679999999996</v>
      </c>
      <c r="E3700">
        <v>0.55045669999999902</v>
      </c>
      <c r="F3700" t="s">
        <v>42</v>
      </c>
      <c r="G3700">
        <v>-392.69369999999998</v>
      </c>
      <c r="H3700" s="1">
        <v>-4.1185989999999996E-6</v>
      </c>
      <c r="I3700">
        <v>143.8964</v>
      </c>
      <c r="J3700">
        <v>-374.37360000000001</v>
      </c>
      <c r="K3700">
        <v>1.1100000000000001</v>
      </c>
      <c r="L3700">
        <v>141.02330000000001</v>
      </c>
      <c r="M3700">
        <v>-0.9998901</v>
      </c>
      <c r="N3700">
        <v>0</v>
      </c>
      <c r="O3700">
        <v>5.1231169999999999E-3</v>
      </c>
      <c r="P3700">
        <v>-0.98332640000000004</v>
      </c>
      <c r="Q3700">
        <v>0.17776929999999999</v>
      </c>
      <c r="R3700">
        <v>3.8307019999999997E-2</v>
      </c>
      <c r="S3700">
        <v>-3.065582</v>
      </c>
      <c r="T3700">
        <v>-0.18234030000000001</v>
      </c>
      <c r="U3700">
        <v>0.47232059999999998</v>
      </c>
      <c r="V3700">
        <v>3.3434859999999997E-2</v>
      </c>
      <c r="W3700">
        <v>0.191412</v>
      </c>
      <c r="X3700">
        <v>0.98094020000000004</v>
      </c>
      <c r="Y3700">
        <v>0.1469646</v>
      </c>
      <c r="Z3700">
        <v>4.0386379999999998E-3</v>
      </c>
      <c r="AA3700">
        <v>0.9891335</v>
      </c>
      <c r="AB3700">
        <v>35</v>
      </c>
      <c r="AC3700">
        <v>-18.320099999999901</v>
      </c>
      <c r="AD3700">
        <v>-1.1100041185989999</v>
      </c>
      <c r="AE3700">
        <v>2.8730999999999902</v>
      </c>
      <c r="AF3700">
        <v>2.7692750023723498</v>
      </c>
      <c r="AG3700">
        <v>-1.1100041185989999</v>
      </c>
      <c r="AH3700">
        <v>18.269122750713802</v>
      </c>
      <c r="AI3700">
        <v>93.4377553059539</v>
      </c>
      <c r="AJ3700">
        <v>81.380592840574394</v>
      </c>
      <c r="AK3700">
        <v>18.5111274443973</v>
      </c>
      <c r="AL3700">
        <v>78.964802289656404</v>
      </c>
      <c r="AM3700">
        <v>88.047857519302497</v>
      </c>
      <c r="AN3700">
        <v>1.0000000597916201</v>
      </c>
    </row>
    <row r="3701" spans="1:40" x14ac:dyDescent="0.25">
      <c r="A3701" t="str">
        <f>"20190312164341974"</f>
        <v>20190312164341974</v>
      </c>
      <c r="B3701" t="str">
        <f>"1552380221968661"</f>
        <v>1552380221968661</v>
      </c>
      <c r="C3701" t="s">
        <v>40</v>
      </c>
      <c r="D3701">
        <v>4.7432550000000004</v>
      </c>
      <c r="E3701">
        <v>0.55740269999999903</v>
      </c>
      <c r="F3701" t="s">
        <v>42</v>
      </c>
      <c r="G3701">
        <v>-393.05380000000002</v>
      </c>
      <c r="H3701" s="1">
        <v>-3.9948079999999996E-6</v>
      </c>
      <c r="I3701">
        <v>143.88929999999999</v>
      </c>
      <c r="J3701">
        <v>-374.73439999999999</v>
      </c>
      <c r="K3701">
        <v>1.10999</v>
      </c>
      <c r="L3701">
        <v>141.02549999999999</v>
      </c>
      <c r="M3701">
        <v>-0.9998882</v>
      </c>
      <c r="N3701">
        <v>0</v>
      </c>
      <c r="O3701">
        <v>5.4884740000000001E-3</v>
      </c>
      <c r="P3701">
        <v>-0.98356569999999999</v>
      </c>
      <c r="Q3701">
        <v>0.17660609999999999</v>
      </c>
      <c r="R3701">
        <v>3.7537239999999999E-2</v>
      </c>
      <c r="S3701">
        <v>-3.0654910000000002</v>
      </c>
      <c r="T3701">
        <v>-0.18215619999999999</v>
      </c>
      <c r="U3701">
        <v>0.4703522</v>
      </c>
      <c r="V3701">
        <v>3.2302879999999999E-2</v>
      </c>
      <c r="W3701">
        <v>0.19025120000000001</v>
      </c>
      <c r="X3701">
        <v>0.98120390000000002</v>
      </c>
      <c r="Y3701">
        <v>0.1459898</v>
      </c>
      <c r="Z3701">
        <v>3.9845530000000001E-3</v>
      </c>
      <c r="AA3701">
        <v>0.98927810000000005</v>
      </c>
      <c r="AB3701">
        <v>35</v>
      </c>
      <c r="AC3701">
        <v>-18.319400000000002</v>
      </c>
      <c r="AD3701">
        <v>-1.109993994808</v>
      </c>
      <c r="AE3701">
        <v>2.8637999999999901</v>
      </c>
      <c r="AF3701">
        <v>2.7533344209061101</v>
      </c>
      <c r="AG3701">
        <v>-1.109993994808</v>
      </c>
      <c r="AH3701">
        <v>18.269371263132999</v>
      </c>
      <c r="AI3701">
        <v>93.438120617799001</v>
      </c>
      <c r="AJ3701">
        <v>81.429584090280002</v>
      </c>
      <c r="AK3701">
        <v>18.508994123183601</v>
      </c>
      <c r="AL3701">
        <v>79.0325561891772</v>
      </c>
      <c r="AM3701">
        <v>88.114407756927093</v>
      </c>
      <c r="AN3701">
        <v>1.00000004426647</v>
      </c>
    </row>
    <row r="3702" spans="1:40" x14ac:dyDescent="0.25">
      <c r="A3702" t="str">
        <f>"20190312164341996"</f>
        <v>20190312164341996</v>
      </c>
      <c r="B3702" t="str">
        <f>"1552380221988181"</f>
        <v>1552380221988181</v>
      </c>
      <c r="C3702" t="s">
        <v>40</v>
      </c>
      <c r="D3702">
        <v>4.6568579999999997</v>
      </c>
      <c r="E3702">
        <v>0.55720519999999996</v>
      </c>
      <c r="F3702" t="s">
        <v>41</v>
      </c>
      <c r="G3702">
        <v>-375.5729</v>
      </c>
      <c r="H3702">
        <v>1.035264</v>
      </c>
      <c r="I3702">
        <v>141.16659999999999</v>
      </c>
      <c r="J3702">
        <v>-375.08699999999999</v>
      </c>
      <c r="K3702">
        <v>1.1099870000000001</v>
      </c>
      <c r="L3702">
        <v>141.02780000000001</v>
      </c>
      <c r="M3702">
        <v>-0.99988619999999995</v>
      </c>
      <c r="N3702">
        <v>0</v>
      </c>
      <c r="O3702">
        <v>5.8453109999999997E-3</v>
      </c>
      <c r="P3702">
        <v>-0.98376450000000004</v>
      </c>
      <c r="Q3702">
        <v>0.175617299999999</v>
      </c>
      <c r="R3702">
        <v>3.6962040000000002E-2</v>
      </c>
      <c r="S3702">
        <v>-3.0796809999999999</v>
      </c>
      <c r="T3702">
        <v>-0.27453919999999998</v>
      </c>
      <c r="U3702">
        <v>0.51770020000000005</v>
      </c>
      <c r="V3702">
        <v>3.1374270000000003E-2</v>
      </c>
      <c r="W3702">
        <v>0.1892643</v>
      </c>
      <c r="X3702">
        <v>0.98142479999999999</v>
      </c>
      <c r="Y3702">
        <v>0.1594159</v>
      </c>
      <c r="Z3702">
        <v>6.5259840000000003E-3</v>
      </c>
      <c r="AA3702">
        <v>0.98718989999999995</v>
      </c>
      <c r="AB3702">
        <v>35</v>
      </c>
      <c r="AC3702">
        <v>-0.48590000000001499</v>
      </c>
      <c r="AD3702">
        <v>-7.4723000000000095E-2</v>
      </c>
      <c r="AE3702">
        <v>0.138799999999974</v>
      </c>
      <c r="AF3702">
        <v>0.13304802837506699</v>
      </c>
      <c r="AG3702">
        <v>-7.4723000000000095E-2</v>
      </c>
      <c r="AH3702">
        <v>0.47628906795632397</v>
      </c>
      <c r="AI3702">
        <v>98.592458252339</v>
      </c>
      <c r="AJ3702">
        <v>74.392664883119807</v>
      </c>
      <c r="AK3702">
        <v>0.50013656218896596</v>
      </c>
      <c r="AL3702">
        <v>79.090147058959303</v>
      </c>
      <c r="AM3702">
        <v>88.168987303411598</v>
      </c>
      <c r="AN3702">
        <v>0.99999997906378102</v>
      </c>
    </row>
    <row r="3703" spans="1:40" x14ac:dyDescent="0.25">
      <c r="A3703" t="str">
        <f>"20190312164342019"</f>
        <v>20190312164342019</v>
      </c>
      <c r="B3703" t="str">
        <f>"1552380222008677"</f>
        <v>1552380222008677</v>
      </c>
      <c r="C3703" t="s">
        <v>40</v>
      </c>
      <c r="D3703">
        <v>4.6069360000000001</v>
      </c>
      <c r="E3703">
        <v>0.55728109999999997</v>
      </c>
      <c r="F3703" t="s">
        <v>41</v>
      </c>
      <c r="G3703">
        <v>-375.88959999999997</v>
      </c>
      <c r="H3703">
        <v>1.039358</v>
      </c>
      <c r="I3703">
        <v>141.16220000000001</v>
      </c>
      <c r="J3703">
        <v>-375.4348</v>
      </c>
      <c r="K3703">
        <v>1.109988</v>
      </c>
      <c r="L3703">
        <v>141.03020000000001</v>
      </c>
      <c r="M3703">
        <v>-0.9998842</v>
      </c>
      <c r="N3703">
        <v>0</v>
      </c>
      <c r="O3703">
        <v>6.1976169999999999E-3</v>
      </c>
      <c r="P3703">
        <v>-0.98377619999999999</v>
      </c>
      <c r="Q3703">
        <v>0.1757031</v>
      </c>
      <c r="R3703">
        <v>3.6238659999999999E-2</v>
      </c>
      <c r="S3703">
        <v>-3.0784910000000001</v>
      </c>
      <c r="T3703">
        <v>-0.27091769999999998</v>
      </c>
      <c r="U3703">
        <v>0.51525880000000002</v>
      </c>
      <c r="V3703">
        <v>3.0303779999999999E-2</v>
      </c>
      <c r="W3703">
        <v>0.18934899999999999</v>
      </c>
      <c r="X3703">
        <v>0.98144209999999998</v>
      </c>
      <c r="Y3703">
        <v>0.1583891</v>
      </c>
      <c r="Z3703">
        <v>6.367574E-3</v>
      </c>
      <c r="AA3703">
        <v>0.98735620000000002</v>
      </c>
      <c r="AB3703">
        <v>35</v>
      </c>
      <c r="AC3703">
        <v>-0.454799999999977</v>
      </c>
      <c r="AD3703">
        <v>-7.0629999999999901E-2</v>
      </c>
      <c r="AE3703">
        <v>0.132000000000005</v>
      </c>
      <c r="AF3703">
        <v>0.12636759463330399</v>
      </c>
      <c r="AG3703">
        <v>-7.0629999999999901E-2</v>
      </c>
      <c r="AH3703">
        <v>0.44569537845153401</v>
      </c>
      <c r="AI3703">
        <v>98.668662677160199</v>
      </c>
      <c r="AJ3703">
        <v>74.170425284140805</v>
      </c>
      <c r="AK3703">
        <v>0.46861683308057001</v>
      </c>
      <c r="AL3703">
        <v>79.085204741644105</v>
      </c>
      <c r="AM3703">
        <v>88.231452230147696</v>
      </c>
      <c r="AN3703">
        <v>0.999999979267848</v>
      </c>
    </row>
    <row r="3704" spans="1:40" x14ac:dyDescent="0.25">
      <c r="A3704" t="str">
        <f>"20190312164342040"</f>
        <v>20190312164342040</v>
      </c>
      <c r="B3704" t="str">
        <f>"1552380222028197"</f>
        <v>1552380222028197</v>
      </c>
      <c r="C3704" t="s">
        <v>40</v>
      </c>
      <c r="D3704">
        <v>4.8447199999999997</v>
      </c>
      <c r="E3704">
        <v>0.52293400000000001</v>
      </c>
      <c r="F3704" t="s">
        <v>41</v>
      </c>
      <c r="G3704">
        <v>-376.20620000000002</v>
      </c>
      <c r="H3704">
        <v>1.0435859999999999</v>
      </c>
      <c r="I3704">
        <v>141.1592</v>
      </c>
      <c r="J3704">
        <v>-375.7731</v>
      </c>
      <c r="K3704">
        <v>1.10999</v>
      </c>
      <c r="L3704">
        <v>141.0326</v>
      </c>
      <c r="M3704">
        <v>-0.99988180000000004</v>
      </c>
      <c r="N3704">
        <v>0</v>
      </c>
      <c r="O3704">
        <v>6.5403889999999998E-3</v>
      </c>
      <c r="P3704">
        <v>-0.98376719999999895</v>
      </c>
      <c r="Q3704">
        <v>0.17608489999999999</v>
      </c>
      <c r="R3704">
        <v>3.4582219999999997E-2</v>
      </c>
      <c r="S3704">
        <v>-3.0778500000000002</v>
      </c>
      <c r="T3704">
        <v>-0.26494509999999899</v>
      </c>
      <c r="U3704">
        <v>0.51432800000000001</v>
      </c>
      <c r="V3704">
        <v>2.8309919999999999E-2</v>
      </c>
      <c r="W3704">
        <v>0.1897306</v>
      </c>
      <c r="X3704">
        <v>0.98142799999999997</v>
      </c>
      <c r="Y3704">
        <v>0.15782160000000001</v>
      </c>
      <c r="Z3704">
        <v>6.1756789999999999E-3</v>
      </c>
      <c r="AA3704">
        <v>0.98744829999999995</v>
      </c>
      <c r="AB3704">
        <v>35</v>
      </c>
      <c r="AC3704">
        <v>-0.43310000000002402</v>
      </c>
      <c r="AD3704">
        <v>-6.6403999999999894E-2</v>
      </c>
      <c r="AE3704">
        <v>0.12659999999999599</v>
      </c>
      <c r="AF3704">
        <v>0.12114079463388</v>
      </c>
      <c r="AG3704">
        <v>-6.6403999999999894E-2</v>
      </c>
      <c r="AH3704">
        <v>0.42472053592230702</v>
      </c>
      <c r="AI3704">
        <v>98.550450082287398</v>
      </c>
      <c r="AJ3704">
        <v>74.080540678289196</v>
      </c>
      <c r="AK3704">
        <v>0.44662301438087598</v>
      </c>
      <c r="AL3704">
        <v>79.062937649957703</v>
      </c>
      <c r="AM3704">
        <v>88.347724667568301</v>
      </c>
      <c r="AN3704">
        <v>1.00000003566538</v>
      </c>
    </row>
    <row r="3705" spans="1:40" x14ac:dyDescent="0.25">
      <c r="A3705" t="str">
        <f>"20190312164342063"</f>
        <v>20190312164342063</v>
      </c>
      <c r="B3705" t="str">
        <f>"1552380222058453"</f>
        <v>1552380222058453</v>
      </c>
      <c r="C3705" t="s">
        <v>40</v>
      </c>
      <c r="D3705">
        <v>4.7486620000000004</v>
      </c>
      <c r="E3705">
        <v>0.4736918</v>
      </c>
      <c r="F3705" t="s">
        <v>49</v>
      </c>
      <c r="G3705">
        <v>-401.04629999999997</v>
      </c>
      <c r="H3705" s="1">
        <v>-7.2376369999999902E-6</v>
      </c>
      <c r="I3705">
        <v>143.0411</v>
      </c>
      <c r="J3705">
        <v>-376.12900000000002</v>
      </c>
      <c r="K3705">
        <v>1.10999</v>
      </c>
      <c r="L3705">
        <v>141.03530000000001</v>
      </c>
      <c r="M3705">
        <v>-0.99987950000000003</v>
      </c>
      <c r="N3705">
        <v>0</v>
      </c>
      <c r="O3705">
        <v>6.9004409999999898E-3</v>
      </c>
      <c r="P3705">
        <v>-0.98389570000000004</v>
      </c>
      <c r="Q3705">
        <v>0.17560780000000001</v>
      </c>
      <c r="R3705">
        <v>3.3339399999999998E-2</v>
      </c>
      <c r="S3705">
        <v>-3.064972</v>
      </c>
      <c r="T3705">
        <v>-0.13461319999999999</v>
      </c>
      <c r="U3705">
        <v>0.24357599999999999</v>
      </c>
      <c r="V3705">
        <v>2.671132E-2</v>
      </c>
      <c r="W3705">
        <v>0.1892549</v>
      </c>
      <c r="X3705">
        <v>0.98156460000000001</v>
      </c>
      <c r="Y3705">
        <v>7.2277190000000005E-2</v>
      </c>
      <c r="Z3705">
        <v>1.2814930000000001E-3</v>
      </c>
      <c r="AA3705">
        <v>0.99738380000000004</v>
      </c>
      <c r="AB3705">
        <v>35</v>
      </c>
      <c r="AC3705">
        <v>-24.917299999999901</v>
      </c>
      <c r="AD3705">
        <v>-1.109997237637</v>
      </c>
      <c r="AE3705">
        <v>2.00579999999999</v>
      </c>
      <c r="AF3705">
        <v>1.8301867063583299</v>
      </c>
      <c r="AG3705">
        <v>-1.109997237637</v>
      </c>
      <c r="AH3705">
        <v>24.881490521904102</v>
      </c>
      <c r="AI3705">
        <v>92.547476087841304</v>
      </c>
      <c r="AJ3705">
        <v>85.793119120253806</v>
      </c>
      <c r="AK3705">
        <v>24.973390795791001</v>
      </c>
      <c r="AL3705">
        <v>79.090695649544998</v>
      </c>
      <c r="AM3705">
        <v>88.441194517715005</v>
      </c>
      <c r="AN3705">
        <v>0.99999998788165601</v>
      </c>
    </row>
    <row r="3706" spans="1:40" x14ac:dyDescent="0.25">
      <c r="A3706" t="str">
        <f>"20190312164342085"</f>
        <v>20190312164342085</v>
      </c>
      <c r="B3706" t="str">
        <f>"1552380222078949"</f>
        <v>1552380222078949</v>
      </c>
      <c r="C3706" t="s">
        <v>40</v>
      </c>
      <c r="D3706">
        <v>4.7117979999999999</v>
      </c>
      <c r="E3706">
        <v>0.47171940000000001</v>
      </c>
      <c r="F3706" t="s">
        <v>42</v>
      </c>
      <c r="G3706">
        <v>-393.49040000000002</v>
      </c>
      <c r="H3706" s="1">
        <v>-2.9170390000000002E-6</v>
      </c>
      <c r="I3706">
        <v>140.15029999999999</v>
      </c>
      <c r="J3706">
        <v>-376.4862</v>
      </c>
      <c r="K3706">
        <v>1.109988</v>
      </c>
      <c r="L3706">
        <v>141.03819999999999</v>
      </c>
      <c r="M3706">
        <v>-0.99987700000000002</v>
      </c>
      <c r="N3706">
        <v>0</v>
      </c>
      <c r="O3706">
        <v>7.2595860000000002E-3</v>
      </c>
      <c r="P3706">
        <v>-0.98398350000000001</v>
      </c>
      <c r="Q3706">
        <v>0.175400799999999</v>
      </c>
      <c r="R3706">
        <v>3.1803310000000001E-2</v>
      </c>
      <c r="S3706">
        <v>-3.0896910000000002</v>
      </c>
      <c r="T3706">
        <v>-0.19753809999999999</v>
      </c>
      <c r="U3706">
        <v>-0.15748599999999999</v>
      </c>
      <c r="V3706">
        <v>2.4820149999999999E-2</v>
      </c>
      <c r="W3706">
        <v>0.18904889999999999</v>
      </c>
      <c r="X3706">
        <v>0.98165389999999997</v>
      </c>
      <c r="Y3706">
        <v>-5.8021919999999998E-2</v>
      </c>
      <c r="Z3706">
        <v>-2.315143E-3</v>
      </c>
      <c r="AA3706">
        <v>0.99831270000000005</v>
      </c>
      <c r="AB3706">
        <v>35</v>
      </c>
      <c r="AC3706">
        <v>-17.004200000000001</v>
      </c>
      <c r="AD3706">
        <v>-1.1099909170390001</v>
      </c>
      <c r="AE3706">
        <v>-0.88790000000000102</v>
      </c>
      <c r="AF3706">
        <v>-1.0070524526856099</v>
      </c>
      <c r="AG3706">
        <v>-1.1099909170390001</v>
      </c>
      <c r="AH3706">
        <v>16.925380013361899</v>
      </c>
      <c r="AI3706">
        <v>93.745561786641701</v>
      </c>
      <c r="AJ3706">
        <v>93.405058551436099</v>
      </c>
      <c r="AK3706">
        <v>16.9916074305841</v>
      </c>
      <c r="AL3706">
        <v>79.102715180013206</v>
      </c>
      <c r="AM3706">
        <v>88.551641347753304</v>
      </c>
      <c r="AN3706">
        <v>0.99999995291122001</v>
      </c>
    </row>
    <row r="3707" spans="1:40" x14ac:dyDescent="0.25">
      <c r="A3707" t="str">
        <f>"20190312164342108"</f>
        <v>20190312164342108</v>
      </c>
      <c r="B3707" t="str">
        <f>"1552380222098469"</f>
        <v>1552380222098469</v>
      </c>
      <c r="C3707" t="s">
        <v>40</v>
      </c>
      <c r="D3707">
        <v>4.4973489999999998</v>
      </c>
      <c r="E3707">
        <v>0.47072989999999998</v>
      </c>
      <c r="F3707" t="s">
        <v>42</v>
      </c>
      <c r="G3707">
        <v>-393.3458</v>
      </c>
      <c r="H3707" s="1">
        <v>-2.9568650000000001E-6</v>
      </c>
      <c r="I3707">
        <v>140.0669</v>
      </c>
      <c r="J3707">
        <v>-376.83300000000003</v>
      </c>
      <c r="K3707">
        <v>1.109988</v>
      </c>
      <c r="L3707">
        <v>141.041</v>
      </c>
      <c r="M3707">
        <v>-0.99987440000000005</v>
      </c>
      <c r="N3707">
        <v>0</v>
      </c>
      <c r="O3707">
        <v>7.6054850000000004E-3</v>
      </c>
      <c r="P3707">
        <v>-0.98402529999999999</v>
      </c>
      <c r="Q3707">
        <v>0.17529359999999999</v>
      </c>
      <c r="R3707">
        <v>3.1083800000000002E-2</v>
      </c>
      <c r="S3707">
        <v>-3.0908509999999998</v>
      </c>
      <c r="T3707">
        <v>-0.20349429999999999</v>
      </c>
      <c r="U3707">
        <v>-0.17805480000000001</v>
      </c>
      <c r="V3707">
        <v>2.3758370000000001E-2</v>
      </c>
      <c r="W3707">
        <v>0.1889412</v>
      </c>
      <c r="X3707">
        <v>0.98170100000000005</v>
      </c>
      <c r="Y3707">
        <v>-6.4947119999999997E-2</v>
      </c>
      <c r="Z3707">
        <v>-2.633753E-3</v>
      </c>
      <c r="AA3707">
        <v>0.99788520000000003</v>
      </c>
      <c r="AB3707">
        <v>35</v>
      </c>
      <c r="AC3707">
        <v>-16.512799999999899</v>
      </c>
      <c r="AD3707">
        <v>-1.1099909568649999</v>
      </c>
      <c r="AE3707">
        <v>-0.97409999999999197</v>
      </c>
      <c r="AF3707">
        <v>-1.0947423414686399</v>
      </c>
      <c r="AG3707">
        <v>-1.1099909568649999</v>
      </c>
      <c r="AH3707">
        <v>16.430926885102402</v>
      </c>
      <c r="AI3707">
        <v>93.856219493735395</v>
      </c>
      <c r="AJ3707">
        <v>93.811808596743404</v>
      </c>
      <c r="AK3707">
        <v>16.504723536676</v>
      </c>
      <c r="AL3707">
        <v>79.109000204395599</v>
      </c>
      <c r="AM3707">
        <v>88.613642381443498</v>
      </c>
      <c r="AN3707">
        <v>1.0000000453017399</v>
      </c>
    </row>
    <row r="3708" spans="1:40" x14ac:dyDescent="0.25">
      <c r="A3708" t="str">
        <f>"20190312164342130"</f>
        <v>20190312164342130</v>
      </c>
      <c r="B3708" t="str">
        <f>"1552380222118965"</f>
        <v>1552380222118965</v>
      </c>
      <c r="C3708" t="s">
        <v>40</v>
      </c>
      <c r="D3708">
        <v>4.6748469999999998</v>
      </c>
      <c r="E3708">
        <v>0.46985179999999999</v>
      </c>
      <c r="F3708" t="s">
        <v>42</v>
      </c>
      <c r="G3708">
        <v>-393.6893</v>
      </c>
      <c r="H3708" s="1">
        <v>-2.7955359999999999E-6</v>
      </c>
      <c r="I3708">
        <v>140.01439999999999</v>
      </c>
      <c r="J3708">
        <v>-377.18169999999998</v>
      </c>
      <c r="K3708">
        <v>1.1099939999999999</v>
      </c>
      <c r="L3708">
        <v>141.04409999999999</v>
      </c>
      <c r="M3708">
        <v>-0.99987190000000004</v>
      </c>
      <c r="N3708">
        <v>0</v>
      </c>
      <c r="O3708">
        <v>7.9471869999999997E-3</v>
      </c>
      <c r="P3708">
        <v>-0.98397440000000003</v>
      </c>
      <c r="Q3708">
        <v>0.17574319999999999</v>
      </c>
      <c r="R3708">
        <v>3.015019E-2</v>
      </c>
      <c r="S3708">
        <v>-3.0909119999999999</v>
      </c>
      <c r="T3708">
        <v>-0.20353750000000001</v>
      </c>
      <c r="U3708">
        <v>-0.18823239999999999</v>
      </c>
      <c r="V3708">
        <v>2.2487340000000001E-2</v>
      </c>
      <c r="W3708">
        <v>0.18938930000000001</v>
      </c>
      <c r="X3708">
        <v>0.98164459999999998</v>
      </c>
      <c r="Y3708">
        <v>-6.8552310000000005E-2</v>
      </c>
      <c r="Z3708">
        <v>-2.7749279999999999E-3</v>
      </c>
      <c r="AA3708">
        <v>0.99764359999999996</v>
      </c>
      <c r="AB3708">
        <v>35</v>
      </c>
      <c r="AC3708">
        <v>-16.5076</v>
      </c>
      <c r="AD3708">
        <v>-1.1099967955359999</v>
      </c>
      <c r="AE3708">
        <v>-1.0296999999999901</v>
      </c>
      <c r="AF3708">
        <v>-1.15566412449072</v>
      </c>
      <c r="AG3708">
        <v>-1.1099967955359999</v>
      </c>
      <c r="AH3708">
        <v>16.424918349186001</v>
      </c>
      <c r="AI3708">
        <v>93.856667362389402</v>
      </c>
      <c r="AJ3708">
        <v>94.024722173747193</v>
      </c>
      <c r="AK3708">
        <v>16.502896570970901</v>
      </c>
      <c r="AL3708">
        <v>79.0828539988686</v>
      </c>
      <c r="AM3708">
        <v>88.687707985436504</v>
      </c>
      <c r="AN3708">
        <v>1.00000005406196</v>
      </c>
    </row>
    <row r="3709" spans="1:40" x14ac:dyDescent="0.25">
      <c r="A3709" t="str">
        <f>"20190312164342153"</f>
        <v>20190312164342153</v>
      </c>
      <c r="B3709" t="str">
        <f>"1552380222148245"</f>
        <v>1552380222148245</v>
      </c>
      <c r="C3709" t="s">
        <v>40</v>
      </c>
      <c r="D3709">
        <v>4.8592519999999997</v>
      </c>
      <c r="E3709">
        <v>0.46950419999999998</v>
      </c>
      <c r="F3709" t="s">
        <v>42</v>
      </c>
      <c r="G3709">
        <v>-394.56799999999998</v>
      </c>
      <c r="H3709" s="1">
        <v>-2.3979719999999998E-6</v>
      </c>
      <c r="I3709">
        <v>139.93690000000001</v>
      </c>
      <c r="J3709">
        <v>-377.53199999999998</v>
      </c>
      <c r="K3709">
        <v>1.1100019999999999</v>
      </c>
      <c r="L3709">
        <v>141.0472</v>
      </c>
      <c r="M3709">
        <v>-0.99986920000000001</v>
      </c>
      <c r="N3709">
        <v>0</v>
      </c>
      <c r="O3709">
        <v>8.2821790000000006E-3</v>
      </c>
      <c r="P3709">
        <v>-0.98395900000000003</v>
      </c>
      <c r="Q3709">
        <v>0.1759164</v>
      </c>
      <c r="R3709">
        <v>2.9638339999999999E-2</v>
      </c>
      <c r="S3709">
        <v>-3.0901179999999999</v>
      </c>
      <c r="T3709">
        <v>-0.19728329999999999</v>
      </c>
      <c r="U3709">
        <v>-0.1967621</v>
      </c>
      <c r="V3709">
        <v>2.164309E-2</v>
      </c>
      <c r="W3709">
        <v>0.1895616</v>
      </c>
      <c r="X3709">
        <v>0.98163029999999996</v>
      </c>
      <c r="Y3709">
        <v>-7.1647879999999997E-2</v>
      </c>
      <c r="Z3709">
        <v>-2.8102600000000002E-3</v>
      </c>
      <c r="AA3709">
        <v>0.99742600000000003</v>
      </c>
      <c r="AB3709">
        <v>35</v>
      </c>
      <c r="AC3709">
        <v>-17.036000000000001</v>
      </c>
      <c r="AD3709">
        <v>-1.110004397972</v>
      </c>
      <c r="AE3709">
        <v>-1.1102999999999901</v>
      </c>
      <c r="AF3709">
        <v>-1.2461029546249101</v>
      </c>
      <c r="AG3709">
        <v>-1.110004397972</v>
      </c>
      <c r="AH3709">
        <v>16.954545356294599</v>
      </c>
      <c r="AI3709">
        <v>93.735728756060695</v>
      </c>
      <c r="AJ3709">
        <v>94.203492228080407</v>
      </c>
      <c r="AK3709">
        <v>17.036475297892199</v>
      </c>
      <c r="AL3709">
        <v>79.072799595491105</v>
      </c>
      <c r="AM3709">
        <v>88.736941155280306</v>
      </c>
      <c r="AN3709">
        <v>1.0000000347086899</v>
      </c>
    </row>
    <row r="3710" spans="1:40" x14ac:dyDescent="0.25">
      <c r="A3710" t="str">
        <f>"20190312164342175"</f>
        <v>20190312164342175</v>
      </c>
      <c r="B3710" t="str">
        <f>"1552380222168740"</f>
        <v>1552380222168740</v>
      </c>
      <c r="C3710" t="s">
        <v>40</v>
      </c>
      <c r="D3710">
        <v>4.6957269999999998</v>
      </c>
      <c r="E3710">
        <v>0.46942739999999999</v>
      </c>
      <c r="F3710" t="s">
        <v>42</v>
      </c>
      <c r="G3710">
        <v>-394.9982</v>
      </c>
      <c r="H3710" s="1">
        <v>-2.2065360000000001E-6</v>
      </c>
      <c r="I3710">
        <v>139.9111</v>
      </c>
      <c r="J3710">
        <v>-377.8879</v>
      </c>
      <c r="K3710">
        <v>1.110017</v>
      </c>
      <c r="L3710">
        <v>141.0505</v>
      </c>
      <c r="M3710">
        <v>-0.99986640000000004</v>
      </c>
      <c r="N3710">
        <v>0</v>
      </c>
      <c r="O3710">
        <v>8.6112299999999992E-3</v>
      </c>
      <c r="P3710">
        <v>-0.98405560000000003</v>
      </c>
      <c r="Q3710">
        <v>0.17543259999999999</v>
      </c>
      <c r="R3710">
        <v>2.929532E-2</v>
      </c>
      <c r="S3710">
        <v>-3.0900569999999998</v>
      </c>
      <c r="T3710">
        <v>-0.19637750000000001</v>
      </c>
      <c r="U3710">
        <v>-0.2009735</v>
      </c>
      <c r="V3710">
        <v>2.0970840000000001E-2</v>
      </c>
      <c r="W3710">
        <v>0.18907789999999999</v>
      </c>
      <c r="X3710">
        <v>0.98173820000000001</v>
      </c>
      <c r="Y3710">
        <v>-7.3328519999999994E-2</v>
      </c>
      <c r="Z3710">
        <v>-2.8714840000000001E-3</v>
      </c>
      <c r="AA3710">
        <v>0.99730370000000002</v>
      </c>
      <c r="AB3710">
        <v>35</v>
      </c>
      <c r="AC3710">
        <v>-17.110299999999899</v>
      </c>
      <c r="AD3710">
        <v>-1.1100192065359999</v>
      </c>
      <c r="AE3710">
        <v>-1.13939999999999</v>
      </c>
      <c r="AF3710">
        <v>-1.28134374169854</v>
      </c>
      <c r="AG3710">
        <v>-1.1100192065359999</v>
      </c>
      <c r="AH3710">
        <v>17.0285018043989</v>
      </c>
      <c r="AI3710">
        <v>93.719119100109097</v>
      </c>
      <c r="AJ3710">
        <v>94.303226189024798</v>
      </c>
      <c r="AK3710">
        <v>17.112681207972201</v>
      </c>
      <c r="AL3710">
        <v>79.101024276227093</v>
      </c>
      <c r="AM3710">
        <v>88.7762950195672</v>
      </c>
      <c r="AN3710">
        <v>1.0000000608689701</v>
      </c>
    </row>
    <row r="3711" spans="1:40" x14ac:dyDescent="0.25">
      <c r="A3711" t="str">
        <f>"20190312164342197"</f>
        <v>20190312164342197</v>
      </c>
      <c r="B3711" t="str">
        <f>"1552380222188261"</f>
        <v>1552380222188261</v>
      </c>
      <c r="C3711" t="s">
        <v>40</v>
      </c>
      <c r="D3711">
        <v>4.7264429999999997</v>
      </c>
      <c r="E3711">
        <v>0.4694448</v>
      </c>
      <c r="F3711" t="s">
        <v>42</v>
      </c>
      <c r="G3711">
        <v>-395.08080000000001</v>
      </c>
      <c r="H3711" s="1">
        <v>-2.172065E-6</v>
      </c>
      <c r="I3711">
        <v>139.91480000000001</v>
      </c>
      <c r="J3711">
        <v>-378.21589999999998</v>
      </c>
      <c r="K3711">
        <v>1.1100319999999999</v>
      </c>
      <c r="L3711">
        <v>141.05359999999999</v>
      </c>
      <c r="M3711">
        <v>-0.99986390000000003</v>
      </c>
      <c r="N3711">
        <v>0</v>
      </c>
      <c r="O3711">
        <v>8.9009129999999999E-3</v>
      </c>
      <c r="P3711">
        <v>-0.9840719</v>
      </c>
      <c r="Q3711">
        <v>0.17551849999999999</v>
      </c>
      <c r="R3711">
        <v>2.821593E-2</v>
      </c>
      <c r="S3711">
        <v>-3.0902400000000001</v>
      </c>
      <c r="T3711">
        <v>-0.1995142</v>
      </c>
      <c r="U3711">
        <v>-0.20411679999999999</v>
      </c>
      <c r="V3711">
        <v>1.9601279999999999E-2</v>
      </c>
      <c r="W3711">
        <v>0.1891641</v>
      </c>
      <c r="X3711">
        <v>0.98174980000000001</v>
      </c>
      <c r="Y3711">
        <v>-7.4615109999999998E-2</v>
      </c>
      <c r="Z3711">
        <v>-2.9770970000000002E-3</v>
      </c>
      <c r="AA3711">
        <v>0.99720790000000004</v>
      </c>
      <c r="AB3711">
        <v>35</v>
      </c>
      <c r="AC3711">
        <v>-16.864899999999999</v>
      </c>
      <c r="AD3711">
        <v>-1.110034172065</v>
      </c>
      <c r="AE3711">
        <v>-1.1387999999999701</v>
      </c>
      <c r="AF3711">
        <v>-1.2833479290255401</v>
      </c>
      <c r="AG3711">
        <v>-1.110034172065</v>
      </c>
      <c r="AH3711">
        <v>16.781723211084898</v>
      </c>
      <c r="AI3711">
        <v>93.773355412572201</v>
      </c>
      <c r="AJ3711">
        <v>94.373065975583998</v>
      </c>
      <c r="AK3711">
        <v>16.8672876214154</v>
      </c>
      <c r="AL3711">
        <v>79.095993592856701</v>
      </c>
      <c r="AM3711">
        <v>88.856204071746603</v>
      </c>
      <c r="AN3711">
        <v>0.99999996835324301</v>
      </c>
    </row>
    <row r="3712" spans="1:40" x14ac:dyDescent="0.25">
      <c r="A3712" t="str">
        <f>"20190312164342218"</f>
        <v>20190312164342218</v>
      </c>
      <c r="B3712" t="str">
        <f>"1552380222208756"</f>
        <v>1552380222208756</v>
      </c>
      <c r="C3712" t="s">
        <v>40</v>
      </c>
      <c r="D3712">
        <v>4.5303279999999999</v>
      </c>
      <c r="E3712">
        <v>0.46936099999999997</v>
      </c>
      <c r="F3712" t="s">
        <v>42</v>
      </c>
      <c r="G3712">
        <v>-395.31819999999999</v>
      </c>
      <c r="H3712" s="1">
        <v>-2.0687289999999999E-6</v>
      </c>
      <c r="I3712">
        <v>139.9091</v>
      </c>
      <c r="J3712">
        <v>-378.56400000000002</v>
      </c>
      <c r="K3712">
        <v>1.1100479999999999</v>
      </c>
      <c r="L3712">
        <v>141.05699999999999</v>
      </c>
      <c r="M3712">
        <v>-0.99986140000000001</v>
      </c>
      <c r="N3712">
        <v>0</v>
      </c>
      <c r="O3712">
        <v>9.1907229999999996E-3</v>
      </c>
      <c r="P3712">
        <v>-0.98386600000000002</v>
      </c>
      <c r="Q3712">
        <v>0.1767917</v>
      </c>
      <c r="R3712">
        <v>2.743319E-2</v>
      </c>
      <c r="S3712">
        <v>-3.0903019999999999</v>
      </c>
      <c r="T3712">
        <v>-0.20057759999999999</v>
      </c>
      <c r="U3712">
        <v>-0.2067871</v>
      </c>
      <c r="V3712">
        <v>1.8529500000000001E-2</v>
      </c>
      <c r="W3712">
        <v>0.19043370000000001</v>
      </c>
      <c r="X3712">
        <v>0.98152519999999999</v>
      </c>
      <c r="Y3712">
        <v>-7.5755870000000003E-2</v>
      </c>
      <c r="Z3712">
        <v>-3.0485040000000001E-3</v>
      </c>
      <c r="AA3712">
        <v>0.99712179999999995</v>
      </c>
      <c r="AB3712">
        <v>35</v>
      </c>
      <c r="AC3712">
        <v>-16.754199999999901</v>
      </c>
      <c r="AD3712">
        <v>-1.110050068729</v>
      </c>
      <c r="AE3712">
        <v>-1.1479000000000199</v>
      </c>
      <c r="AF3712">
        <v>-1.29618623695348</v>
      </c>
      <c r="AG3712">
        <v>-1.110050068729</v>
      </c>
      <c r="AH3712">
        <v>16.670105842519899</v>
      </c>
      <c r="AI3712">
        <v>93.798228785798997</v>
      </c>
      <c r="AJ3712">
        <v>94.446094994384595</v>
      </c>
      <c r="AK3712">
        <v>16.757229446324601</v>
      </c>
      <c r="AL3712">
        <v>79.021904793893796</v>
      </c>
      <c r="AM3712">
        <v>88.918483140503</v>
      </c>
      <c r="AN3712">
        <v>1.0000000273504801</v>
      </c>
    </row>
    <row r="3713" spans="1:40" x14ac:dyDescent="0.25">
      <c r="A3713" t="str">
        <f>"20190312164342241"</f>
        <v>20190312164342241</v>
      </c>
      <c r="B3713" t="str">
        <f>"1552380222239012"</f>
        <v>1552380222239012</v>
      </c>
      <c r="C3713" t="s">
        <v>40</v>
      </c>
      <c r="D3713">
        <v>4.7595070000000002</v>
      </c>
      <c r="E3713">
        <v>0.46944059999999999</v>
      </c>
      <c r="F3713" t="s">
        <v>42</v>
      </c>
      <c r="G3713">
        <v>-395.95920000000001</v>
      </c>
      <c r="H3713" s="1">
        <v>-1.787229E-6</v>
      </c>
      <c r="I3713">
        <v>139.88460000000001</v>
      </c>
      <c r="J3713">
        <v>-378.91309999999999</v>
      </c>
      <c r="K3713">
        <v>1.1100650000000001</v>
      </c>
      <c r="L3713">
        <v>141.06049999999999</v>
      </c>
      <c r="M3713">
        <v>-0.99985889999999999</v>
      </c>
      <c r="N3713">
        <v>0</v>
      </c>
      <c r="O3713">
        <v>9.4577120000000001E-3</v>
      </c>
      <c r="P3713">
        <v>-0.9838306</v>
      </c>
      <c r="Q3713">
        <v>0.17704320000000001</v>
      </c>
      <c r="R3713">
        <v>2.708166E-2</v>
      </c>
      <c r="S3713">
        <v>-3.090363</v>
      </c>
      <c r="T3713">
        <v>-0.19720750000000001</v>
      </c>
      <c r="U3713">
        <v>-0.20826720000000001</v>
      </c>
      <c r="V3713">
        <v>1.7907579999999999E-2</v>
      </c>
      <c r="W3713">
        <v>0.1906833</v>
      </c>
      <c r="X3713">
        <v>0.98148829999999998</v>
      </c>
      <c r="Y3713">
        <v>-7.6500090000000007E-2</v>
      </c>
      <c r="Z3713">
        <v>-3.0379790000000001E-3</v>
      </c>
      <c r="AA3713">
        <v>0.99706490000000003</v>
      </c>
      <c r="AB3713">
        <v>35</v>
      </c>
      <c r="AC3713">
        <v>-17.046099999999999</v>
      </c>
      <c r="AD3713">
        <v>-1.11006678722899</v>
      </c>
      <c r="AE3713">
        <v>-1.17589999999998</v>
      </c>
      <c r="AF3713">
        <v>-1.3314603212022</v>
      </c>
      <c r="AG3713">
        <v>-1.11006678722899</v>
      </c>
      <c r="AH3713">
        <v>16.9626206248005</v>
      </c>
      <c r="AI3713">
        <v>93.732758959779105</v>
      </c>
      <c r="AJ3713">
        <v>94.488160182658604</v>
      </c>
      <c r="AK3713">
        <v>17.050968691542199</v>
      </c>
      <c r="AL3713">
        <v>79.007336992459201</v>
      </c>
      <c r="AM3713">
        <v>88.9547354505155</v>
      </c>
      <c r="AN3713">
        <v>1.00000004267861</v>
      </c>
    </row>
    <row r="3714" spans="1:40" x14ac:dyDescent="0.25">
      <c r="A3714" t="str">
        <f>"20190312164342264"</f>
        <v>20190312164342264</v>
      </c>
      <c r="B3714" t="str">
        <f>"1552380222258550"</f>
        <v>1552380222258550</v>
      </c>
      <c r="C3714" t="s">
        <v>40</v>
      </c>
      <c r="D3714">
        <v>4.7594669999999999</v>
      </c>
      <c r="E3714">
        <v>0.46949010000000002</v>
      </c>
      <c r="F3714" t="s">
        <v>42</v>
      </c>
      <c r="G3714">
        <v>-396.20100000000002</v>
      </c>
      <c r="H3714" s="1">
        <v>-1.68557E-6</v>
      </c>
      <c r="I3714">
        <v>139.89240000000001</v>
      </c>
      <c r="J3714">
        <v>-379.26459999999997</v>
      </c>
      <c r="K3714">
        <v>1.11008</v>
      </c>
      <c r="L3714">
        <v>141.0641</v>
      </c>
      <c r="M3714">
        <v>-0.99985650000000004</v>
      </c>
      <c r="N3714">
        <v>0</v>
      </c>
      <c r="O3714">
        <v>9.6981180000000004E-3</v>
      </c>
      <c r="P3714">
        <v>-0.98393719999999996</v>
      </c>
      <c r="Q3714">
        <v>0.17654159999999999</v>
      </c>
      <c r="R3714">
        <v>2.6469610000000001E-2</v>
      </c>
      <c r="S3714">
        <v>-3.0907589999999998</v>
      </c>
      <c r="T3714">
        <v>-0.19845969999999999</v>
      </c>
      <c r="U3714">
        <v>-0.20881649999999999</v>
      </c>
      <c r="V3714">
        <v>1.704779E-2</v>
      </c>
      <c r="W3714">
        <v>0.19018289999999999</v>
      </c>
      <c r="X3714">
        <v>0.98160060000000005</v>
      </c>
      <c r="Y3714">
        <v>-7.6904159999999999E-2</v>
      </c>
      <c r="Z3714">
        <v>-3.085174E-3</v>
      </c>
      <c r="AA3714">
        <v>0.99703370000000002</v>
      </c>
      <c r="AB3714">
        <v>35</v>
      </c>
      <c r="AC3714">
        <v>-16.9363999999999</v>
      </c>
      <c r="AD3714">
        <v>-1.11008168557</v>
      </c>
      <c r="AE3714">
        <v>-1.17169999999998</v>
      </c>
      <c r="AF3714">
        <v>-1.3302244712811799</v>
      </c>
      <c r="AG3714">
        <v>-1.11008168557</v>
      </c>
      <c r="AH3714">
        <v>16.852186282380899</v>
      </c>
      <c r="AI3714">
        <v>93.757071349926406</v>
      </c>
      <c r="AJ3714">
        <v>94.513274548897996</v>
      </c>
      <c r="AK3714">
        <v>16.941014166474801</v>
      </c>
      <c r="AL3714">
        <v>79.036541224909698</v>
      </c>
      <c r="AM3714">
        <v>89.005024824506293</v>
      </c>
      <c r="AN3714">
        <v>0.999999950258325</v>
      </c>
    </row>
    <row r="3715" spans="1:40" x14ac:dyDescent="0.25">
      <c r="A3715" t="str">
        <f>"20190312164342286"</f>
        <v>20190312164342286</v>
      </c>
      <c r="B3715" t="str">
        <f>"1552380222279028"</f>
        <v>1552380222279028</v>
      </c>
      <c r="C3715" t="s">
        <v>40</v>
      </c>
      <c r="D3715">
        <v>4.5318319999999996</v>
      </c>
      <c r="E3715">
        <v>0.46950180000000002</v>
      </c>
      <c r="F3715" t="s">
        <v>42</v>
      </c>
      <c r="G3715">
        <v>-396.34829999999999</v>
      </c>
      <c r="H3715" s="1">
        <v>-1.624596E-6</v>
      </c>
      <c r="I3715">
        <v>139.9007</v>
      </c>
      <c r="J3715">
        <v>-379.61470000000003</v>
      </c>
      <c r="K3715">
        <v>1.1100969999999999</v>
      </c>
      <c r="L3715">
        <v>141.0677</v>
      </c>
      <c r="M3715">
        <v>-0.99985460000000004</v>
      </c>
      <c r="N3715">
        <v>0</v>
      </c>
      <c r="O3715">
        <v>9.9133629999999997E-3</v>
      </c>
      <c r="P3715">
        <v>-0.98423570000000005</v>
      </c>
      <c r="Q3715">
        <v>0.17502799999999999</v>
      </c>
      <c r="R3715">
        <v>2.5411920000000001E-2</v>
      </c>
      <c r="S3715">
        <v>-3.0906370000000001</v>
      </c>
      <c r="T3715">
        <v>-0.20082659999999999</v>
      </c>
      <c r="U3715">
        <v>-0.2104492</v>
      </c>
      <c r="V3715">
        <v>1.5764589999999998E-2</v>
      </c>
      <c r="W3715">
        <v>0.1886729</v>
      </c>
      <c r="X3715">
        <v>0.98191340000000005</v>
      </c>
      <c r="Y3715">
        <v>-7.7639449999999999E-2</v>
      </c>
      <c r="Z3715">
        <v>-3.1597550000000002E-3</v>
      </c>
      <c r="AA3715">
        <v>0.99697650000000004</v>
      </c>
      <c r="AB3715">
        <v>35</v>
      </c>
      <c r="AC3715">
        <v>-16.7335999999999</v>
      </c>
      <c r="AD3715">
        <v>-1.1100986245959901</v>
      </c>
      <c r="AE3715">
        <v>-1.167</v>
      </c>
      <c r="AF3715">
        <v>-1.32703295384479</v>
      </c>
      <c r="AG3715">
        <v>-1.1100986245959901</v>
      </c>
      <c r="AH3715">
        <v>16.648294232392399</v>
      </c>
      <c r="AI3715">
        <v>93.802776299722794</v>
      </c>
      <c r="AJ3715">
        <v>94.557401947274897</v>
      </c>
      <c r="AK3715">
        <v>16.737951973441401</v>
      </c>
      <c r="AL3715">
        <v>79.124653220361907</v>
      </c>
      <c r="AM3715">
        <v>89.080197013941898</v>
      </c>
      <c r="AN3715">
        <v>0.99999995529591801</v>
      </c>
    </row>
    <row r="3716" spans="1:40" x14ac:dyDescent="0.25">
      <c r="A3716" t="str">
        <f>"20190312164342309"</f>
        <v>20190312164342309</v>
      </c>
      <c r="B3716" t="str">
        <f>"1552380222298549"</f>
        <v>1552380222298549</v>
      </c>
      <c r="C3716" t="s">
        <v>40</v>
      </c>
      <c r="D3716">
        <v>4.5139360000000002</v>
      </c>
      <c r="E3716">
        <v>0.469557</v>
      </c>
      <c r="F3716" t="s">
        <v>42</v>
      </c>
      <c r="G3716">
        <v>-396.27589999999998</v>
      </c>
      <c r="H3716" s="1">
        <v>-1.65910999999999E-6</v>
      </c>
      <c r="I3716">
        <v>139.91370000000001</v>
      </c>
      <c r="J3716">
        <v>-379.95819999999998</v>
      </c>
      <c r="K3716">
        <v>1.1101209999999999</v>
      </c>
      <c r="L3716">
        <v>141.07130000000001</v>
      </c>
      <c r="M3716">
        <v>-0.99985279999999999</v>
      </c>
      <c r="N3716">
        <v>0</v>
      </c>
      <c r="O3716">
        <v>1.009616E-2</v>
      </c>
      <c r="P3716">
        <v>-0.98434509999999997</v>
      </c>
      <c r="Q3716">
        <v>0.17467969999999999</v>
      </c>
      <c r="R3716">
        <v>2.3491850000000002E-2</v>
      </c>
      <c r="S3716">
        <v>-3.090179</v>
      </c>
      <c r="T3716">
        <v>-0.20589260000000001</v>
      </c>
      <c r="U3716">
        <v>-0.21401980000000001</v>
      </c>
      <c r="V3716">
        <v>1.365244E-2</v>
      </c>
      <c r="W3716">
        <v>0.18832589999999999</v>
      </c>
      <c r="X3716">
        <v>0.98201170000000004</v>
      </c>
      <c r="Y3716">
        <v>-7.8965439999999998E-2</v>
      </c>
      <c r="Z3716">
        <v>-3.2958649999999998E-3</v>
      </c>
      <c r="AA3716">
        <v>0.99687190000000003</v>
      </c>
      <c r="AB3716">
        <v>35</v>
      </c>
      <c r="AC3716">
        <v>-16.317699999999999</v>
      </c>
      <c r="AD3716">
        <v>-1.11012265911</v>
      </c>
      <c r="AE3716">
        <v>-1.1576</v>
      </c>
      <c r="AF3716">
        <v>-1.3162414627946399</v>
      </c>
      <c r="AG3716">
        <v>-1.11012265911</v>
      </c>
      <c r="AH3716">
        <v>16.2304361205486</v>
      </c>
      <c r="AI3716">
        <v>93.900034936798406</v>
      </c>
      <c r="AJ3716">
        <v>94.6363758147601</v>
      </c>
      <c r="AK3716">
        <v>16.321517103806801</v>
      </c>
      <c r="AL3716">
        <v>79.144898335581004</v>
      </c>
      <c r="AM3716">
        <v>89.2034954353676</v>
      </c>
      <c r="AN3716">
        <v>1.00000000633282</v>
      </c>
    </row>
    <row r="3717" spans="1:40" x14ac:dyDescent="0.25">
      <c r="A3717" t="str">
        <f>"20190312164342332"</f>
        <v>20190312164342332</v>
      </c>
      <c r="B3717" t="str">
        <f>"1552380222328805"</f>
        <v>1552380222328805</v>
      </c>
      <c r="C3717" t="s">
        <v>40</v>
      </c>
      <c r="D3717">
        <v>4.4790269999999897</v>
      </c>
      <c r="E3717">
        <v>0.46971259999999998</v>
      </c>
      <c r="F3717" t="s">
        <v>42</v>
      </c>
      <c r="G3717">
        <v>-396.45010000000002</v>
      </c>
      <c r="H3717" s="1">
        <v>-1.5818090000000001E-6</v>
      </c>
      <c r="I3717">
        <v>139.904</v>
      </c>
      <c r="J3717">
        <v>-380.31760000000003</v>
      </c>
      <c r="K3717">
        <v>1.1101589999999999</v>
      </c>
      <c r="L3717">
        <v>141.07509999999999</v>
      </c>
      <c r="M3717">
        <v>-0.99985109999999999</v>
      </c>
      <c r="N3717">
        <v>0</v>
      </c>
      <c r="O3717">
        <v>1.025001E-2</v>
      </c>
      <c r="P3717">
        <v>-0.9841337</v>
      </c>
      <c r="Q3717">
        <v>0.17614089999999999</v>
      </c>
      <c r="R3717">
        <v>2.1341189999999999E-2</v>
      </c>
      <c r="S3717">
        <v>-3.089874</v>
      </c>
      <c r="T3717">
        <v>-0.20798990000000001</v>
      </c>
      <c r="U3717">
        <v>-0.21868899999999999</v>
      </c>
      <c r="V3717">
        <v>1.134027E-2</v>
      </c>
      <c r="W3717">
        <v>0.18978349999999999</v>
      </c>
      <c r="X3717">
        <v>0.98176039999999998</v>
      </c>
      <c r="Y3717">
        <v>-8.0616469999999996E-2</v>
      </c>
      <c r="Z3717">
        <v>-3.3952880000000002E-3</v>
      </c>
      <c r="AA3717">
        <v>0.99673940000000005</v>
      </c>
      <c r="AB3717">
        <v>35</v>
      </c>
      <c r="AC3717">
        <v>-16.132499999999901</v>
      </c>
      <c r="AD3717">
        <v>-1.1101605818089999</v>
      </c>
      <c r="AE3717">
        <v>-1.17109999999999</v>
      </c>
      <c r="AF3717">
        <v>-1.3301467636006099</v>
      </c>
      <c r="AG3717">
        <v>-1.1101605818089999</v>
      </c>
      <c r="AH3717">
        <v>16.044068575782902</v>
      </c>
      <c r="AI3717">
        <v>93.944750386396805</v>
      </c>
      <c r="AJ3717">
        <v>94.739315413289503</v>
      </c>
      <c r="AK3717">
        <v>16.137344372434502</v>
      </c>
      <c r="AL3717">
        <v>79.059849453865098</v>
      </c>
      <c r="AM3717">
        <v>89.338208472928699</v>
      </c>
      <c r="AN3717">
        <v>0.99999993080203897</v>
      </c>
    </row>
    <row r="3718" spans="1:40" x14ac:dyDescent="0.25">
      <c r="A3718" t="str">
        <f>"20190312164342355"</f>
        <v>20190312164342355</v>
      </c>
      <c r="B3718" t="str">
        <f>"1552380222348325"</f>
        <v>1552380222348325</v>
      </c>
      <c r="C3718" t="s">
        <v>40</v>
      </c>
      <c r="D3718">
        <v>4.7529669999999999</v>
      </c>
      <c r="E3718">
        <v>0.46985399999999999</v>
      </c>
      <c r="F3718" t="s">
        <v>42</v>
      </c>
      <c r="G3718">
        <v>-396.99799999999999</v>
      </c>
      <c r="H3718" s="1">
        <v>-1.337663E-6</v>
      </c>
      <c r="I3718">
        <v>139.8698</v>
      </c>
      <c r="J3718">
        <v>-380.6628</v>
      </c>
      <c r="K3718">
        <v>1.1101989999999999</v>
      </c>
      <c r="L3718">
        <v>141.0788</v>
      </c>
      <c r="M3718">
        <v>-0.99985020000000002</v>
      </c>
      <c r="N3718">
        <v>0</v>
      </c>
      <c r="O3718">
        <v>1.035545E-2</v>
      </c>
      <c r="P3718">
        <v>-0.98382619999999998</v>
      </c>
      <c r="Q3718">
        <v>0.17801900000000001</v>
      </c>
      <c r="R3718">
        <v>1.9891760000000001E-2</v>
      </c>
      <c r="S3718">
        <v>-3.0900270000000001</v>
      </c>
      <c r="T3718">
        <v>-0.20565710000000001</v>
      </c>
      <c r="U3718">
        <v>-0.22326660000000001</v>
      </c>
      <c r="V3718">
        <v>9.775555E-3</v>
      </c>
      <c r="W3718">
        <v>0.1916572</v>
      </c>
      <c r="X3718">
        <v>0.98141319999999999</v>
      </c>
      <c r="Y3718">
        <v>-8.2187999999999997E-2</v>
      </c>
      <c r="Z3718">
        <v>-3.416124E-3</v>
      </c>
      <c r="AA3718">
        <v>0.99661100000000002</v>
      </c>
      <c r="AB3718">
        <v>35</v>
      </c>
      <c r="AC3718">
        <v>-16.3352</v>
      </c>
      <c r="AD3718">
        <v>-1.1102003376630001</v>
      </c>
      <c r="AE3718">
        <v>-1.2090000000000001</v>
      </c>
      <c r="AF3718">
        <v>-1.3718078344236899</v>
      </c>
      <c r="AG3718">
        <v>-1.1102003376630001</v>
      </c>
      <c r="AH3718">
        <v>16.247165193607099</v>
      </c>
      <c r="AI3718">
        <v>93.895238161216398</v>
      </c>
      <c r="AJ3718">
        <v>94.826245996491707</v>
      </c>
      <c r="AK3718">
        <v>16.3427286079373</v>
      </c>
      <c r="AL3718">
        <v>78.950487199067595</v>
      </c>
      <c r="AM3718">
        <v>89.429313237735698</v>
      </c>
      <c r="AN3718">
        <v>0.99999995646081796</v>
      </c>
    </row>
    <row r="3719" spans="1:40" x14ac:dyDescent="0.25">
      <c r="A3719" t="str">
        <f>"20190312164342378"</f>
        <v>20190312164342378</v>
      </c>
      <c r="B3719" t="str">
        <f>"1552380222368821"</f>
        <v>1552380222368821</v>
      </c>
      <c r="C3719" t="s">
        <v>40</v>
      </c>
      <c r="D3719">
        <v>4.4002980000000003</v>
      </c>
      <c r="E3719">
        <v>0.44391229999999998</v>
      </c>
      <c r="F3719" t="s">
        <v>42</v>
      </c>
      <c r="G3719">
        <v>-397.72300000000001</v>
      </c>
      <c r="H3719" s="1">
        <v>-1.0160450000000001E-6</v>
      </c>
      <c r="I3719">
        <v>139.83000000000001</v>
      </c>
      <c r="J3719">
        <v>-381.02620000000002</v>
      </c>
      <c r="K3719">
        <v>1.110236</v>
      </c>
      <c r="L3719">
        <v>141.08260000000001</v>
      </c>
      <c r="M3719">
        <v>-0.9998494</v>
      </c>
      <c r="N3719">
        <v>0</v>
      </c>
      <c r="O3719">
        <v>1.0426309999999999E-2</v>
      </c>
      <c r="P3719">
        <v>-0.98393920000000001</v>
      </c>
      <c r="Q3719">
        <v>0.17757870000000001</v>
      </c>
      <c r="R3719">
        <v>1.8151210000000001E-2</v>
      </c>
      <c r="S3719">
        <v>-3.090271</v>
      </c>
      <c r="T3719">
        <v>-0.20110149999999999</v>
      </c>
      <c r="U3719">
        <v>-0.22618099999999999</v>
      </c>
      <c r="V3719">
        <v>7.9465490000000007E-3</v>
      </c>
      <c r="W3719">
        <v>0.19121730000000001</v>
      </c>
      <c r="X3719">
        <v>0.98151560000000004</v>
      </c>
      <c r="Y3719">
        <v>-8.3194589999999999E-2</v>
      </c>
      <c r="Z3719">
        <v>-3.377513E-3</v>
      </c>
      <c r="AA3719">
        <v>0.99652759999999996</v>
      </c>
      <c r="AB3719">
        <v>35</v>
      </c>
      <c r="AC3719">
        <v>-16.6967999999999</v>
      </c>
      <c r="AD3719">
        <v>-1.1102370160449999</v>
      </c>
      <c r="AE3719">
        <v>-1.2525999999999999</v>
      </c>
      <c r="AF3719">
        <v>-1.42038963241512</v>
      </c>
      <c r="AG3719">
        <v>-1.1102370160449999</v>
      </c>
      <c r="AH3719">
        <v>16.609802573401399</v>
      </c>
      <c r="AI3719">
        <v>93.810226674755697</v>
      </c>
      <c r="AJ3719">
        <v>94.887765408666496</v>
      </c>
      <c r="AK3719">
        <v>16.707353903806599</v>
      </c>
      <c r="AL3719">
        <v>78.976167470261601</v>
      </c>
      <c r="AM3719">
        <v>89.536131904956505</v>
      </c>
      <c r="AN3719">
        <v>1.0000000382518199</v>
      </c>
    </row>
    <row r="3720" spans="1:40" x14ac:dyDescent="0.25">
      <c r="A3720" t="str">
        <f>"20190312164342399"</f>
        <v>20190312164342399</v>
      </c>
      <c r="B3720" t="str">
        <f>"1552380222388341"</f>
        <v>1552380222388341</v>
      </c>
      <c r="C3720" t="s">
        <v>40</v>
      </c>
      <c r="D3720">
        <v>4.4123239999999999</v>
      </c>
      <c r="E3720">
        <v>0.4372297</v>
      </c>
      <c r="F3720" t="s">
        <v>42</v>
      </c>
      <c r="G3720">
        <v>-393.77350000000001</v>
      </c>
      <c r="H3720" s="1">
        <v>-2.7158989999999999E-6</v>
      </c>
      <c r="I3720">
        <v>139.26410000000001</v>
      </c>
      <c r="J3720">
        <v>-381.34280000000001</v>
      </c>
      <c r="K3720">
        <v>1.1102639999999999</v>
      </c>
      <c r="L3720">
        <v>141.08600000000001</v>
      </c>
      <c r="M3720">
        <v>-0.99984930000000005</v>
      </c>
      <c r="N3720">
        <v>0</v>
      </c>
      <c r="O3720">
        <v>1.044498E-2</v>
      </c>
      <c r="P3720">
        <v>-0.98416199999999998</v>
      </c>
      <c r="Q3720">
        <v>0.1765987</v>
      </c>
      <c r="R3720">
        <v>1.544158E-2</v>
      </c>
      <c r="S3720">
        <v>-3.105988</v>
      </c>
      <c r="T3720">
        <v>-0.27051839999999999</v>
      </c>
      <c r="U3720">
        <v>-0.4430847</v>
      </c>
      <c r="V3720">
        <v>5.199731E-3</v>
      </c>
      <c r="W3720">
        <v>0.19023999999999999</v>
      </c>
      <c r="X3720">
        <v>0.98172380000000004</v>
      </c>
      <c r="Y3720">
        <v>-0.15095980000000001</v>
      </c>
      <c r="Z3720">
        <v>-7.4323879999999998E-3</v>
      </c>
      <c r="AA3720">
        <v>0.98851199999999995</v>
      </c>
      <c r="AB3720">
        <v>35</v>
      </c>
      <c r="AC3720">
        <v>-12.4307</v>
      </c>
      <c r="AD3720">
        <v>-1.1102667158989901</v>
      </c>
      <c r="AE3720">
        <v>-1.8219000000000001</v>
      </c>
      <c r="AF3720">
        <v>-1.93652783498651</v>
      </c>
      <c r="AG3720">
        <v>-1.1102667158989901</v>
      </c>
      <c r="AH3720">
        <v>12.314815493732301</v>
      </c>
      <c r="AI3720">
        <v>95.089479193242397</v>
      </c>
      <c r="AJ3720">
        <v>98.936685772006001</v>
      </c>
      <c r="AK3720">
        <v>12.5154909164914</v>
      </c>
      <c r="AL3720">
        <v>79.033208872517207</v>
      </c>
      <c r="AM3720">
        <v>89.696533938515799</v>
      </c>
      <c r="AN3720">
        <v>0.999999957144455</v>
      </c>
    </row>
    <row r="3721" spans="1:40" x14ac:dyDescent="0.25">
      <c r="A3721" t="str">
        <f>"20190312164342421"</f>
        <v>20190312164342421</v>
      </c>
      <c r="B3721" t="str">
        <f>"1552380222408838"</f>
        <v>1552380222408838</v>
      </c>
      <c r="C3721" t="s">
        <v>40</v>
      </c>
      <c r="D3721">
        <v>4.4072839999999998</v>
      </c>
      <c r="E3721">
        <v>0.43346760000000001</v>
      </c>
      <c r="F3721" t="s">
        <v>42</v>
      </c>
      <c r="G3721">
        <v>-393.7131</v>
      </c>
      <c r="H3721" s="1">
        <v>-2.775171E-6</v>
      </c>
      <c r="I3721">
        <v>139.0761</v>
      </c>
      <c r="J3721">
        <v>-381.68790000000001</v>
      </c>
      <c r="K3721">
        <v>1.1103099999999999</v>
      </c>
      <c r="L3721">
        <v>141.08959999999999</v>
      </c>
      <c r="M3721">
        <v>-0.99984960000000001</v>
      </c>
      <c r="N3721">
        <v>0</v>
      </c>
      <c r="O3721">
        <v>1.040258E-2</v>
      </c>
      <c r="P3721">
        <v>-0.98426190000000002</v>
      </c>
      <c r="Q3721">
        <v>0.17623449999999999</v>
      </c>
      <c r="R3721">
        <v>1.304783E-2</v>
      </c>
      <c r="S3721">
        <v>-3.1062319999999999</v>
      </c>
      <c r="T3721">
        <v>-0.27879389999999998</v>
      </c>
      <c r="U3721">
        <v>-0.50466920000000004</v>
      </c>
      <c r="V3721">
        <v>2.8242219999999999E-3</v>
      </c>
      <c r="W3721">
        <v>0.18987580000000001</v>
      </c>
      <c r="X3721">
        <v>0.98180409999999996</v>
      </c>
      <c r="Y3721">
        <v>-0.16992079999999901</v>
      </c>
      <c r="Z3721">
        <v>-8.4869170000000001E-3</v>
      </c>
      <c r="AA3721">
        <v>0.9854212</v>
      </c>
      <c r="AB3721">
        <v>35</v>
      </c>
      <c r="AC3721">
        <v>-12.0251999999999</v>
      </c>
      <c r="AD3721">
        <v>-1.110312775171</v>
      </c>
      <c r="AE3721">
        <v>-2.0134999999999899</v>
      </c>
      <c r="AF3721">
        <v>-2.1209080594429199</v>
      </c>
      <c r="AG3721">
        <v>-1.110312775171</v>
      </c>
      <c r="AH3721">
        <v>11.904877632585601</v>
      </c>
      <c r="AI3721">
        <v>95.246166231126395</v>
      </c>
      <c r="AJ3721">
        <v>100.10152244781899</v>
      </c>
      <c r="AK3721">
        <v>12.1431938509667</v>
      </c>
      <c r="AL3721">
        <v>79.054464359055302</v>
      </c>
      <c r="AM3721">
        <v>89.835185497098294</v>
      </c>
      <c r="AN3721">
        <v>1.00000004321617</v>
      </c>
    </row>
    <row r="3722" spans="1:40" x14ac:dyDescent="0.25">
      <c r="A3722" t="str">
        <f>"20190312164342442"</f>
        <v>20190312164342442</v>
      </c>
      <c r="B3722" t="str">
        <f>"1552380222438117"</f>
        <v>1552380222438117</v>
      </c>
      <c r="C3722" t="s">
        <v>40</v>
      </c>
      <c r="D3722">
        <v>4.3243559999999999</v>
      </c>
      <c r="E3722">
        <v>0.43180679999999999</v>
      </c>
      <c r="F3722" t="s">
        <v>42</v>
      </c>
      <c r="G3722">
        <v>-394.17189999999999</v>
      </c>
      <c r="H3722" s="1">
        <v>-2.6077060000000002E-6</v>
      </c>
      <c r="I3722">
        <v>138.91050000000001</v>
      </c>
      <c r="J3722">
        <v>-382.02769999999998</v>
      </c>
      <c r="K3722">
        <v>1.110371</v>
      </c>
      <c r="L3722">
        <v>141.09299999999999</v>
      </c>
      <c r="M3722">
        <v>-0.99985119999999905</v>
      </c>
      <c r="N3722">
        <v>0</v>
      </c>
      <c r="O3722">
        <v>1.0268340000000001E-2</v>
      </c>
      <c r="P3722">
        <v>-0.98417549999999998</v>
      </c>
      <c r="Q3722">
        <v>0.17691009999999999</v>
      </c>
      <c r="R3722">
        <v>1.0077880000000001E-2</v>
      </c>
      <c r="S3722">
        <v>-3.104584</v>
      </c>
      <c r="T3722">
        <v>-0.27611780000000002</v>
      </c>
      <c r="U3722">
        <v>-0.54188539999999996</v>
      </c>
      <c r="V3722" s="1">
        <v>-4.2909289999999999E-5</v>
      </c>
      <c r="W3722">
        <v>0.190548</v>
      </c>
      <c r="X3722">
        <v>0.98167789999999999</v>
      </c>
      <c r="Y3722">
        <v>-0.18131720000000001</v>
      </c>
      <c r="Z3722">
        <v>-8.8920869999999999E-3</v>
      </c>
      <c r="AA3722">
        <v>0.98338449999999999</v>
      </c>
      <c r="AB3722">
        <v>35</v>
      </c>
      <c r="AC3722">
        <v>-12.1442</v>
      </c>
      <c r="AD3722">
        <v>-1.110373607706</v>
      </c>
      <c r="AE3722">
        <v>-2.1824999999999699</v>
      </c>
      <c r="AF3722">
        <v>-2.2885641219378798</v>
      </c>
      <c r="AG3722">
        <v>-1.110373607706</v>
      </c>
      <c r="AH3722">
        <v>12.0237743189073</v>
      </c>
      <c r="AI3722">
        <v>95.183655024449195</v>
      </c>
      <c r="AJ3722">
        <v>100.77657881528199</v>
      </c>
      <c r="AK3722">
        <v>12.2898984601552</v>
      </c>
      <c r="AL3722">
        <v>79.015233659037193</v>
      </c>
      <c r="AM3722">
        <v>90.002504407216804</v>
      </c>
      <c r="AN3722">
        <v>1.0000000207468001</v>
      </c>
    </row>
    <row r="3723" spans="1:40" x14ac:dyDescent="0.25">
      <c r="A3723" t="str">
        <f>"20190312164342465"</f>
        <v>20190312164342465</v>
      </c>
      <c r="B3723" t="str">
        <f>"1552380222458616"</f>
        <v>1552380222458616</v>
      </c>
      <c r="C3723" t="s">
        <v>40</v>
      </c>
      <c r="D3723">
        <v>4.3942209999999999</v>
      </c>
      <c r="E3723">
        <v>0.4310329</v>
      </c>
      <c r="F3723" t="s">
        <v>42</v>
      </c>
      <c r="G3723">
        <v>-394.43239999999997</v>
      </c>
      <c r="H3723" s="1">
        <v>-2.5093510000000002E-6</v>
      </c>
      <c r="I3723">
        <v>138.8349</v>
      </c>
      <c r="J3723">
        <v>-382.38249999999999</v>
      </c>
      <c r="K3723">
        <v>1.110463</v>
      </c>
      <c r="L3723">
        <v>141.09639999999999</v>
      </c>
      <c r="M3723">
        <v>-0.99985369999999996</v>
      </c>
      <c r="N3723">
        <v>0</v>
      </c>
      <c r="O3723">
        <v>1.00175E-2</v>
      </c>
      <c r="P3723">
        <v>-0.98413410000000001</v>
      </c>
      <c r="Q3723">
        <v>0.1772801</v>
      </c>
      <c r="R3723">
        <v>7.2325999999999996E-3</v>
      </c>
      <c r="S3723">
        <v>-3.1039729999999999</v>
      </c>
      <c r="T3723">
        <v>-0.27784379999999997</v>
      </c>
      <c r="U3723">
        <v>-0.56500240000000002</v>
      </c>
      <c r="V3723">
        <v>-2.6804419999999999E-3</v>
      </c>
      <c r="W3723">
        <v>0.190915</v>
      </c>
      <c r="X3723">
        <v>0.98160289999999994</v>
      </c>
      <c r="Y3723">
        <v>-0.1881631</v>
      </c>
      <c r="Z3723">
        <v>-9.2244900000000001E-3</v>
      </c>
      <c r="AA3723">
        <v>0.98209449999999998</v>
      </c>
      <c r="AB3723">
        <v>34</v>
      </c>
      <c r="AC3723">
        <v>-12.0498999999999</v>
      </c>
      <c r="AD3723">
        <v>-1.1104655093510001</v>
      </c>
      <c r="AE3723">
        <v>-2.2614999999999799</v>
      </c>
      <c r="AF3723">
        <v>-2.36272491338732</v>
      </c>
      <c r="AG3723">
        <v>-1.1104655093510001</v>
      </c>
      <c r="AH3723">
        <v>11.928778483297901</v>
      </c>
      <c r="AI3723">
        <v>95.217623772825306</v>
      </c>
      <c r="AJ3723">
        <v>101.203527285333</v>
      </c>
      <c r="AK3723">
        <v>12.211116196621401</v>
      </c>
      <c r="AL3723">
        <v>78.993812501749105</v>
      </c>
      <c r="AM3723">
        <v>90.156455968200305</v>
      </c>
      <c r="AN3723">
        <v>0.999999987641362</v>
      </c>
    </row>
    <row r="3724" spans="1:40" x14ac:dyDescent="0.25">
      <c r="A3724" t="str">
        <f>"20190312164342488"</f>
        <v>20190312164342488</v>
      </c>
      <c r="B3724" t="str">
        <f>"1552380222479109"</f>
        <v>1552380222479109</v>
      </c>
      <c r="C3724" t="s">
        <v>40</v>
      </c>
      <c r="D3724">
        <v>4.3898380000000001</v>
      </c>
      <c r="E3724">
        <v>0.43043490000000001</v>
      </c>
      <c r="F3724" t="s">
        <v>42</v>
      </c>
      <c r="G3724">
        <v>-394.8569</v>
      </c>
      <c r="H3724" s="1">
        <v>-2.3399930000000001E-6</v>
      </c>
      <c r="I3724">
        <v>138.76310000000001</v>
      </c>
      <c r="J3724">
        <v>-382.73059999999998</v>
      </c>
      <c r="K3724">
        <v>1.110554</v>
      </c>
      <c r="L3724">
        <v>141.09960000000001</v>
      </c>
      <c r="M3724">
        <v>-0.99985710000000005</v>
      </c>
      <c r="N3724">
        <v>0</v>
      </c>
      <c r="O3724">
        <v>9.6757560000000006E-3</v>
      </c>
      <c r="P3724">
        <v>-0.9843288</v>
      </c>
      <c r="Q3724">
        <v>0.17629349999999999</v>
      </c>
      <c r="R3724">
        <v>4.2022400000000003E-3</v>
      </c>
      <c r="S3724">
        <v>-3.1023559999999999</v>
      </c>
      <c r="T3724">
        <v>-0.2761711</v>
      </c>
      <c r="U3724">
        <v>-0.58026119999999903</v>
      </c>
      <c r="V3724">
        <v>-5.4177919999999899E-3</v>
      </c>
      <c r="W3724">
        <v>0.18992729999999999</v>
      </c>
      <c r="X3724">
        <v>0.98178319999999997</v>
      </c>
      <c r="Y3724">
        <v>-0.19258059999999999</v>
      </c>
      <c r="Z3724">
        <v>-9.3342660000000008E-3</v>
      </c>
      <c r="AA3724">
        <v>0.98123680000000002</v>
      </c>
      <c r="AB3724">
        <v>34</v>
      </c>
      <c r="AC3724">
        <v>-12.126300000000001</v>
      </c>
      <c r="AD3724">
        <v>-1.1105563399930001</v>
      </c>
      <c r="AE3724">
        <v>-2.3365</v>
      </c>
      <c r="AF3724">
        <v>-2.43404858888738</v>
      </c>
      <c r="AG3724">
        <v>-1.1105563399930001</v>
      </c>
      <c r="AH3724">
        <v>12.0060286342257</v>
      </c>
      <c r="AI3724">
        <v>95.180023757267904</v>
      </c>
      <c r="AJ3724">
        <v>101.460559016525</v>
      </c>
      <c r="AK3724">
        <v>12.300514277184201</v>
      </c>
      <c r="AL3724">
        <v>79.051458367176593</v>
      </c>
      <c r="AM3724">
        <v>90.3161731276506</v>
      </c>
      <c r="AN3724">
        <v>0.99999999177884202</v>
      </c>
    </row>
    <row r="3725" spans="1:40" x14ac:dyDescent="0.25">
      <c r="A3725" t="str">
        <f>"20190312164342509"</f>
        <v>20190312164342509</v>
      </c>
      <c r="B3725" t="str">
        <f>"1552380222498630"</f>
        <v>1552380222498630</v>
      </c>
      <c r="C3725" t="s">
        <v>40</v>
      </c>
      <c r="D3725">
        <v>4.3319460000000003</v>
      </c>
      <c r="E3725">
        <v>0.42972490000000002</v>
      </c>
      <c r="F3725" t="s">
        <v>42</v>
      </c>
      <c r="G3725">
        <v>-395.06279999999998</v>
      </c>
      <c r="H3725" s="1">
        <v>-2.2565069999999999E-6</v>
      </c>
      <c r="I3725">
        <v>138.73589999999999</v>
      </c>
      <c r="J3725">
        <v>-383.05059999999997</v>
      </c>
      <c r="K3725">
        <v>1.110633</v>
      </c>
      <c r="L3725">
        <v>141.10230000000001</v>
      </c>
      <c r="M3725">
        <v>-0.999861</v>
      </c>
      <c r="N3725">
        <v>0</v>
      </c>
      <c r="O3725">
        <v>9.2652829999999992E-3</v>
      </c>
      <c r="P3725">
        <v>-0.98441800000000002</v>
      </c>
      <c r="Q3725">
        <v>0.1758422</v>
      </c>
      <c r="R3725">
        <v>9.1246190000000003E-4</v>
      </c>
      <c r="S3725">
        <v>-3.1003419999999999</v>
      </c>
      <c r="T3725">
        <v>-0.27919660000000002</v>
      </c>
      <c r="U3725">
        <v>-0.59422299999999995</v>
      </c>
      <c r="V3725">
        <v>-8.3430450000000003E-3</v>
      </c>
      <c r="W3725">
        <v>0.18947310000000001</v>
      </c>
      <c r="X3725">
        <v>0.98185040000000001</v>
      </c>
      <c r="Y3725">
        <v>-0.19652620000000001</v>
      </c>
      <c r="Z3725">
        <v>-9.5773690000000005E-3</v>
      </c>
      <c r="AA3725">
        <v>0.98045179999999998</v>
      </c>
      <c r="AB3725">
        <v>34</v>
      </c>
      <c r="AC3725">
        <v>-12.0122</v>
      </c>
      <c r="AD3725">
        <v>-1.1106352565069999</v>
      </c>
      <c r="AE3725">
        <v>-2.36640000000002</v>
      </c>
      <c r="AF3725">
        <v>-2.45738302467714</v>
      </c>
      <c r="AG3725">
        <v>-1.1106352565069999</v>
      </c>
      <c r="AH3725">
        <v>11.8918950182114</v>
      </c>
      <c r="AI3725">
        <v>95.225843284536197</v>
      </c>
      <c r="AJ3725">
        <v>101.675465843653</v>
      </c>
      <c r="AK3725">
        <v>12.1938266810354</v>
      </c>
      <c r="AL3725">
        <v>79.077962759487306</v>
      </c>
      <c r="AM3725">
        <v>90.486845819223106</v>
      </c>
      <c r="AN3725">
        <v>0.99999993500181805</v>
      </c>
    </row>
    <row r="3726" spans="1:40" x14ac:dyDescent="0.25">
      <c r="A3726" t="str">
        <f>"20190312164342532"</f>
        <v>20190312164342532</v>
      </c>
      <c r="B3726" t="str">
        <f>"1552380222528885"</f>
        <v>1552380222528885</v>
      </c>
      <c r="C3726" t="s">
        <v>40</v>
      </c>
      <c r="D3726">
        <v>4.401211</v>
      </c>
      <c r="E3726">
        <v>0.4296817</v>
      </c>
      <c r="F3726" t="s">
        <v>42</v>
      </c>
      <c r="G3726">
        <v>-395.22699999999998</v>
      </c>
      <c r="H3726" s="1">
        <v>-2.192142E-6</v>
      </c>
      <c r="I3726">
        <v>138.70160000000001</v>
      </c>
      <c r="J3726">
        <v>-383.40499999999997</v>
      </c>
      <c r="K3726">
        <v>1.1107389999999999</v>
      </c>
      <c r="L3726">
        <v>141.10499999999999</v>
      </c>
      <c r="M3726">
        <v>-0.99986609999999998</v>
      </c>
      <c r="N3726">
        <v>0</v>
      </c>
      <c r="O3726">
        <v>8.6856669999999993E-3</v>
      </c>
      <c r="P3726">
        <v>-0.98433990000000005</v>
      </c>
      <c r="Q3726">
        <v>0.17626620000000001</v>
      </c>
      <c r="R3726">
        <v>-2.3208809999999999E-3</v>
      </c>
      <c r="S3726">
        <v>-3.098541</v>
      </c>
      <c r="T3726">
        <v>-0.28262480000000001</v>
      </c>
      <c r="U3726">
        <v>-0.61090089999999997</v>
      </c>
      <c r="V3726">
        <v>-1.105101E-2</v>
      </c>
      <c r="W3726">
        <v>0.18988930000000001</v>
      </c>
      <c r="X3726">
        <v>0.98174329999999999</v>
      </c>
      <c r="Y3726">
        <v>-0.20111029999999999</v>
      </c>
      <c r="Z3726">
        <v>-9.8494749999999999E-3</v>
      </c>
      <c r="AA3726">
        <v>0.97951909999999998</v>
      </c>
      <c r="AB3726">
        <v>34</v>
      </c>
      <c r="AC3726">
        <v>-11.821999999999999</v>
      </c>
      <c r="AD3726">
        <v>-1.1107411921419901</v>
      </c>
      <c r="AE3726">
        <v>-2.4033999999999698</v>
      </c>
      <c r="AF3726">
        <v>-2.4849357201828899</v>
      </c>
      <c r="AG3726">
        <v>-1.1107411921419901</v>
      </c>
      <c r="AH3726">
        <v>11.7014803955815</v>
      </c>
      <c r="AI3726">
        <v>95.304847616072607</v>
      </c>
      <c r="AJ3726">
        <v>101.989268022755</v>
      </c>
      <c r="AK3726">
        <v>12.013879264314999</v>
      </c>
      <c r="AL3726">
        <v>79.053675933153798</v>
      </c>
      <c r="AM3726">
        <v>90.644923669263804</v>
      </c>
      <c r="AN3726">
        <v>0.99999998908569998</v>
      </c>
    </row>
    <row r="3727" spans="1:40" x14ac:dyDescent="0.25">
      <c r="A3727" t="str">
        <f>"20190312164342554"</f>
        <v>20190312164342554</v>
      </c>
      <c r="B3727" t="str">
        <f>"1552380222548101"</f>
        <v>1552380222548101</v>
      </c>
      <c r="C3727" t="s">
        <v>40</v>
      </c>
      <c r="D3727">
        <v>4.3847579999999997</v>
      </c>
      <c r="E3727">
        <v>0.4297144</v>
      </c>
      <c r="F3727" t="s">
        <v>42</v>
      </c>
      <c r="G3727">
        <v>-395.6284</v>
      </c>
      <c r="H3727" s="1">
        <v>-2.0288049999999999E-6</v>
      </c>
      <c r="I3727">
        <v>138.6516</v>
      </c>
      <c r="J3727">
        <v>-383.75290000000001</v>
      </c>
      <c r="K3727">
        <v>1.110854</v>
      </c>
      <c r="L3727">
        <v>141.10740000000001</v>
      </c>
      <c r="M3727">
        <v>-0.99987210000000004</v>
      </c>
      <c r="N3727">
        <v>0</v>
      </c>
      <c r="O3727">
        <v>7.9825790000000001E-3</v>
      </c>
      <c r="P3727">
        <v>-0.98416749999999997</v>
      </c>
      <c r="Q3727">
        <v>0.17714449999999901</v>
      </c>
      <c r="R3727">
        <v>-5.8597270000000003E-3</v>
      </c>
      <c r="S3727">
        <v>-3.0966490000000002</v>
      </c>
      <c r="T3727">
        <v>-0.28139380000000003</v>
      </c>
      <c r="U3727">
        <v>-0.62152099999999999</v>
      </c>
      <c r="V3727">
        <v>-1.3946770000000001E-2</v>
      </c>
      <c r="W3727">
        <v>0.1907577</v>
      </c>
      <c r="X3727">
        <v>0.98153809999999997</v>
      </c>
      <c r="Y3727">
        <v>-0.2037651</v>
      </c>
      <c r="Z3727">
        <v>-9.8653969999999997E-3</v>
      </c>
      <c r="AA3727">
        <v>0.97897009999999995</v>
      </c>
      <c r="AB3727">
        <v>34</v>
      </c>
      <c r="AC3727">
        <v>-11.875499999999899</v>
      </c>
      <c r="AD3727">
        <v>-1.110856028805</v>
      </c>
      <c r="AE3727">
        <v>-2.4558</v>
      </c>
      <c r="AF3727">
        <v>-2.5293039934767498</v>
      </c>
      <c r="AG3727">
        <v>-1.110856028805</v>
      </c>
      <c r="AH3727">
        <v>11.7568615443714</v>
      </c>
      <c r="AI3727">
        <v>95.277567382026206</v>
      </c>
      <c r="AJ3727">
        <v>102.14123395105599</v>
      </c>
      <c r="AK3727">
        <v>12.077051510267999</v>
      </c>
      <c r="AL3727">
        <v>79.002994303942998</v>
      </c>
      <c r="AM3727">
        <v>90.8140665012819</v>
      </c>
      <c r="AN3727">
        <v>1.0000000271271601</v>
      </c>
    </row>
    <row r="3728" spans="1:40" x14ac:dyDescent="0.25">
      <c r="A3728" t="str">
        <f>"20190312164342577"</f>
        <v>20190312164342577</v>
      </c>
      <c r="B3728" t="str">
        <f>"1552380222568597"</f>
        <v>1552380222568597</v>
      </c>
      <c r="C3728" t="s">
        <v>40</v>
      </c>
      <c r="D3728">
        <v>4.4195650000000004</v>
      </c>
      <c r="E3728">
        <v>0.42957260000000003</v>
      </c>
      <c r="F3728" t="s">
        <v>42</v>
      </c>
      <c r="G3728">
        <v>-396.16149999999999</v>
      </c>
      <c r="H3728" s="1">
        <v>-1.8140769999999999E-6</v>
      </c>
      <c r="I3728">
        <v>138.57299999999901</v>
      </c>
      <c r="J3728">
        <v>-384.0908</v>
      </c>
      <c r="K3728">
        <v>1.110967</v>
      </c>
      <c r="L3728">
        <v>141.10929999999999</v>
      </c>
      <c r="M3728">
        <v>-0.9998783</v>
      </c>
      <c r="N3728">
        <v>0</v>
      </c>
      <c r="O3728">
        <v>7.1667099999999997E-3</v>
      </c>
      <c r="P3728">
        <v>-0.98396859999999997</v>
      </c>
      <c r="Q3728">
        <v>0.1780977</v>
      </c>
      <c r="R3728">
        <v>-9.340681E-3</v>
      </c>
      <c r="S3728">
        <v>-3.0943299999999998</v>
      </c>
      <c r="T3728">
        <v>-0.27701599999999998</v>
      </c>
      <c r="U3728">
        <v>-0.63198849999999995</v>
      </c>
      <c r="V3728">
        <v>-1.6676440000000001E-2</v>
      </c>
      <c r="W3728">
        <v>0.19169939999999999</v>
      </c>
      <c r="X3728">
        <v>0.98131199999999996</v>
      </c>
      <c r="Y3728">
        <v>-0.2063072</v>
      </c>
      <c r="Z3728">
        <v>-9.7566379999999998E-3</v>
      </c>
      <c r="AA3728">
        <v>0.97843860000000005</v>
      </c>
      <c r="AB3728">
        <v>34</v>
      </c>
      <c r="AC3728">
        <v>-12.070699999999899</v>
      </c>
      <c r="AD3728">
        <v>-1.110968814077</v>
      </c>
      <c r="AE3728">
        <v>-2.53630000000001</v>
      </c>
      <c r="AF3728">
        <v>-2.6016435128106901</v>
      </c>
      <c r="AG3728">
        <v>-1.110968814077</v>
      </c>
      <c r="AH3728">
        <v>11.9552198711456</v>
      </c>
      <c r="AI3728">
        <v>95.188362304947105</v>
      </c>
      <c r="AJ3728">
        <v>102.277049765002</v>
      </c>
      <c r="AK3728">
        <v>12.285360509201</v>
      </c>
      <c r="AL3728">
        <v>78.948024152207196</v>
      </c>
      <c r="AM3728">
        <v>90.973592154621201</v>
      </c>
      <c r="AN3728">
        <v>1.00000000247771</v>
      </c>
    </row>
    <row r="3729" spans="1:40" x14ac:dyDescent="0.25">
      <c r="A3729" t="str">
        <f>"20190312164342598"</f>
        <v>20190312164342598</v>
      </c>
      <c r="B3729" t="str">
        <f>"1552380222588117"</f>
        <v>1552380222588117</v>
      </c>
      <c r="C3729" t="s">
        <v>40</v>
      </c>
      <c r="D3729">
        <v>4.426526</v>
      </c>
      <c r="E3729">
        <v>0.42962129999999998</v>
      </c>
      <c r="F3729" t="s">
        <v>42</v>
      </c>
      <c r="G3729">
        <v>-396.57279999999997</v>
      </c>
      <c r="H3729" s="1">
        <v>-1.6483189999999901E-6</v>
      </c>
      <c r="I3729">
        <v>138.5127</v>
      </c>
      <c r="J3729">
        <v>-384.42290000000003</v>
      </c>
      <c r="K3729">
        <v>1.111089</v>
      </c>
      <c r="L3729">
        <v>141.11080000000001</v>
      </c>
      <c r="M3729">
        <v>-0.99988449999999995</v>
      </c>
      <c r="N3729">
        <v>0</v>
      </c>
      <c r="O3729">
        <v>6.2318729999999998E-3</v>
      </c>
      <c r="P3729">
        <v>-0.98394009999999998</v>
      </c>
      <c r="Q3729">
        <v>0.1779674</v>
      </c>
      <c r="R3729">
        <v>-1.377889E-2</v>
      </c>
      <c r="S3729">
        <v>-3.0926209999999998</v>
      </c>
      <c r="T3729">
        <v>-0.27526139999999999</v>
      </c>
      <c r="U3729">
        <v>-0.64332579999999995</v>
      </c>
      <c r="V3729">
        <v>-2.0248579999999999E-2</v>
      </c>
      <c r="W3729">
        <v>0.19155659999999999</v>
      </c>
      <c r="X3729">
        <v>0.9812727</v>
      </c>
      <c r="Y3729">
        <v>-0.20894209999999999</v>
      </c>
      <c r="Z3729">
        <v>-9.7303670000000002E-3</v>
      </c>
      <c r="AA3729">
        <v>0.97787959999999996</v>
      </c>
      <c r="AB3729">
        <v>34</v>
      </c>
      <c r="AC3729">
        <v>-12.149899999999899</v>
      </c>
      <c r="AD3729">
        <v>-1.111090648319</v>
      </c>
      <c r="AE3729">
        <v>-2.5981000000000098</v>
      </c>
      <c r="AF3729">
        <v>-2.65256051026735</v>
      </c>
      <c r="AG3729">
        <v>-1.111090648319</v>
      </c>
      <c r="AH3729">
        <v>12.0372080159361</v>
      </c>
      <c r="AI3729">
        <v>95.150833724627006</v>
      </c>
      <c r="AJ3729">
        <v>102.427279002589</v>
      </c>
      <c r="AK3729">
        <v>12.375983860216101</v>
      </c>
      <c r="AL3729">
        <v>78.956360720777894</v>
      </c>
      <c r="AM3729">
        <v>91.1821316852444</v>
      </c>
      <c r="AN3729">
        <v>1.0000000238804301</v>
      </c>
    </row>
    <row r="3730" spans="1:40" x14ac:dyDescent="0.25">
      <c r="A3730" t="str">
        <f>"20190312164342621"</f>
        <v>20190312164342621</v>
      </c>
      <c r="B3730" t="str">
        <f>"1552380222608613"</f>
        <v>1552380222608613</v>
      </c>
      <c r="C3730" t="s">
        <v>40</v>
      </c>
      <c r="D3730">
        <v>4.432137</v>
      </c>
      <c r="E3730">
        <v>0.42972139999999998</v>
      </c>
      <c r="F3730" t="s">
        <v>42</v>
      </c>
      <c r="G3730">
        <v>-396.84359999999998</v>
      </c>
      <c r="H3730" s="1">
        <v>-1.5393090000000001E-6</v>
      </c>
      <c r="I3730">
        <v>138.47219999999999</v>
      </c>
      <c r="J3730">
        <v>-384.7636</v>
      </c>
      <c r="K3730">
        <v>1.111213</v>
      </c>
      <c r="L3730">
        <v>141.11179999999999</v>
      </c>
      <c r="M3730">
        <v>-0.99989070000000002</v>
      </c>
      <c r="N3730">
        <v>0</v>
      </c>
      <c r="O3730">
        <v>5.1332000000000001E-3</v>
      </c>
      <c r="P3730">
        <v>-0.98397520000000005</v>
      </c>
      <c r="Q3730">
        <v>0.1773776</v>
      </c>
      <c r="R3730">
        <v>-1.8167630000000001E-2</v>
      </c>
      <c r="S3730">
        <v>-3.0898129999999999</v>
      </c>
      <c r="T3730">
        <v>-0.27639819999999998</v>
      </c>
      <c r="U3730">
        <v>-0.65634159999999997</v>
      </c>
      <c r="V3730">
        <v>-2.3612259999999999E-2</v>
      </c>
      <c r="W3730">
        <v>0.19095429999999999</v>
      </c>
      <c r="X3730">
        <v>0.98131489999999999</v>
      </c>
      <c r="Y3730">
        <v>-0.211974</v>
      </c>
      <c r="Z3730">
        <v>-9.8116999999999996E-3</v>
      </c>
      <c r="AA3730">
        <v>0.97722600000000004</v>
      </c>
      <c r="AB3730">
        <v>34</v>
      </c>
      <c r="AC3730">
        <v>-12.079999999999901</v>
      </c>
      <c r="AD3730">
        <v>-1.1112145393089901</v>
      </c>
      <c r="AE3730">
        <v>-2.6396000000000002</v>
      </c>
      <c r="AF3730">
        <v>-2.6799365976464</v>
      </c>
      <c r="AG3730">
        <v>-1.1112145393089901</v>
      </c>
      <c r="AH3730">
        <v>11.969621166906199</v>
      </c>
      <c r="AI3730">
        <v>95.176484680836296</v>
      </c>
      <c r="AJ3730">
        <v>102.620100231062</v>
      </c>
      <c r="AK3730">
        <v>12.316196198462601</v>
      </c>
      <c r="AL3730">
        <v>78.9915188052058</v>
      </c>
      <c r="AM3730">
        <v>91.378376950360803</v>
      </c>
      <c r="AN3730">
        <v>1.0000000082364</v>
      </c>
    </row>
    <row r="3731" spans="1:40" x14ac:dyDescent="0.25">
      <c r="A3731" t="str">
        <f>"20190312164342645"</f>
        <v>20190312164342645</v>
      </c>
      <c r="B3731" t="str">
        <f>"1552380222638688"</f>
        <v>1552380222638688</v>
      </c>
      <c r="C3731" t="s">
        <v>40</v>
      </c>
      <c r="D3731">
        <v>4.4849199999999998</v>
      </c>
      <c r="E3731">
        <v>0.42997619999999998</v>
      </c>
      <c r="F3731" t="s">
        <v>42</v>
      </c>
      <c r="G3731">
        <v>-397.0591</v>
      </c>
      <c r="H3731" s="1">
        <v>-1.4511880000000001E-6</v>
      </c>
      <c r="I3731">
        <v>138.4477</v>
      </c>
      <c r="J3731">
        <v>-385.12150000000003</v>
      </c>
      <c r="K3731">
        <v>1.1113440000000001</v>
      </c>
      <c r="L3731">
        <v>141.11240000000001</v>
      </c>
      <c r="M3731">
        <v>-0.99989660000000002</v>
      </c>
      <c r="N3731">
        <v>0</v>
      </c>
      <c r="O3731">
        <v>3.8118599999999998E-3</v>
      </c>
      <c r="P3731">
        <v>-0.98393779999999997</v>
      </c>
      <c r="Q3731">
        <v>0.17702129999999999</v>
      </c>
      <c r="R3731">
        <v>-2.303024E-2</v>
      </c>
      <c r="S3731">
        <v>-3.0868229999999999</v>
      </c>
      <c r="T3731">
        <v>-0.27897290000000002</v>
      </c>
      <c r="U3731">
        <v>-0.66880799999999996</v>
      </c>
      <c r="V3731">
        <v>-2.7233980000000001E-2</v>
      </c>
      <c r="W3731">
        <v>0.19058169999999999</v>
      </c>
      <c r="X3731">
        <v>0.98129350000000004</v>
      </c>
      <c r="Y3731">
        <v>-0.21462590000000001</v>
      </c>
      <c r="Z3731">
        <v>-9.9083320000000006E-3</v>
      </c>
      <c r="AA3731">
        <v>0.97664609999999996</v>
      </c>
      <c r="AB3731">
        <v>34</v>
      </c>
      <c r="AC3731">
        <v>-11.9375999999999</v>
      </c>
      <c r="AD3731">
        <v>-1.1113454511880001</v>
      </c>
      <c r="AE3731">
        <v>-2.6647000000000101</v>
      </c>
      <c r="AF3731">
        <v>-2.6879985418771799</v>
      </c>
      <c r="AG3731">
        <v>-1.1113454511880001</v>
      </c>
      <c r="AH3731">
        <v>11.8296940806439</v>
      </c>
      <c r="AI3731">
        <v>95.234268057421701</v>
      </c>
      <c r="AJ3731">
        <v>102.80164875771899</v>
      </c>
      <c r="AK3731">
        <v>12.182039521961499</v>
      </c>
      <c r="AL3731">
        <v>79.013266556053495</v>
      </c>
      <c r="AM3731">
        <v>91.589729957925101</v>
      </c>
      <c r="AN3731">
        <v>1.0000000035918899</v>
      </c>
    </row>
    <row r="3732" spans="1:40" x14ac:dyDescent="0.25">
      <c r="A3732" t="str">
        <f>"20190312164342666"</f>
        <v>20190312164342666</v>
      </c>
      <c r="B3732" t="str">
        <f>"1552380222658208"</f>
        <v>1552380222658208</v>
      </c>
      <c r="C3732" t="s">
        <v>40</v>
      </c>
      <c r="D3732">
        <v>4.0284199999999997</v>
      </c>
      <c r="E3732">
        <v>0.43022729999999998</v>
      </c>
      <c r="F3732" t="s">
        <v>42</v>
      </c>
      <c r="G3732">
        <v>-397.2636</v>
      </c>
      <c r="H3732" s="1">
        <v>-1.36632999999999E-6</v>
      </c>
      <c r="I3732">
        <v>138.4316</v>
      </c>
      <c r="J3732">
        <v>-385.45549999999997</v>
      </c>
      <c r="K3732">
        <v>1.1114599999999999</v>
      </c>
      <c r="L3732">
        <v>141.1122</v>
      </c>
      <c r="M3732">
        <v>-0.99990089999999998</v>
      </c>
      <c r="N3732">
        <v>0</v>
      </c>
      <c r="O3732">
        <v>2.4460100000000002E-3</v>
      </c>
      <c r="P3732">
        <v>-0.9839078</v>
      </c>
      <c r="Q3732">
        <v>0.1764386</v>
      </c>
      <c r="R3732">
        <v>-2.8193369999999999E-2</v>
      </c>
      <c r="S3732">
        <v>-3.0838009999999998</v>
      </c>
      <c r="T3732">
        <v>-0.2822537</v>
      </c>
      <c r="U3732">
        <v>-0.68081669999999905</v>
      </c>
      <c r="V3732">
        <v>-3.1106189999999999E-2</v>
      </c>
      <c r="W3732">
        <v>0.1899815</v>
      </c>
      <c r="X3732">
        <v>0.98129480000000002</v>
      </c>
      <c r="Y3732">
        <v>-0.2170936</v>
      </c>
      <c r="Z3732">
        <v>-1.001791E-2</v>
      </c>
      <c r="AA3732">
        <v>0.97609939999999995</v>
      </c>
      <c r="AB3732">
        <v>34</v>
      </c>
      <c r="AC3732">
        <v>-11.8081</v>
      </c>
      <c r="AD3732">
        <v>-1.1114613663299999</v>
      </c>
      <c r="AE3732">
        <v>-2.6805999999999899</v>
      </c>
      <c r="AF3732">
        <v>-2.6868390444033698</v>
      </c>
      <c r="AG3732">
        <v>-1.1114613663299999</v>
      </c>
      <c r="AH3732">
        <v>11.702902372242001</v>
      </c>
      <c r="AI3732">
        <v>95.288508029524905</v>
      </c>
      <c r="AJ3732">
        <v>102.93031053029701</v>
      </c>
      <c r="AK3732">
        <v>12.058705334885801</v>
      </c>
      <c r="AL3732">
        <v>79.048295714312303</v>
      </c>
      <c r="AM3732">
        <v>91.815618310279206</v>
      </c>
      <c r="AN3732">
        <v>1.0000000249528</v>
      </c>
    </row>
    <row r="3733" spans="1:40" x14ac:dyDescent="0.25">
      <c r="A3733" t="str">
        <f>"20190312164342688"</f>
        <v>20190312164342688</v>
      </c>
      <c r="B3733" t="str">
        <f>"1552380222678704"</f>
        <v>1552380222678704</v>
      </c>
      <c r="C3733" t="s">
        <v>40</v>
      </c>
      <c r="D3733">
        <v>4.4262790000000001</v>
      </c>
      <c r="E3733">
        <v>0.43049730000000003</v>
      </c>
      <c r="F3733" t="s">
        <v>42</v>
      </c>
      <c r="G3733">
        <v>-397.5779</v>
      </c>
      <c r="H3733" s="1">
        <v>-1.240222E-6</v>
      </c>
      <c r="I3733">
        <v>138.3826</v>
      </c>
      <c r="J3733">
        <v>-385.78800000000001</v>
      </c>
      <c r="K3733">
        <v>1.111567</v>
      </c>
      <c r="L3733">
        <v>141.11160000000001</v>
      </c>
      <c r="M3733">
        <v>-0.99990349999999995</v>
      </c>
      <c r="N3733">
        <v>0</v>
      </c>
      <c r="O3733">
        <v>9.7717179999999896E-4</v>
      </c>
      <c r="P3733">
        <v>-0.98385129999999998</v>
      </c>
      <c r="Q3733">
        <v>0.1758499</v>
      </c>
      <c r="R3733">
        <v>-3.3371570000000003E-2</v>
      </c>
      <c r="S3733">
        <v>-3.079834</v>
      </c>
      <c r="T3733">
        <v>-0.28238069999999998</v>
      </c>
      <c r="U3733">
        <v>-0.69348140000000003</v>
      </c>
      <c r="V3733">
        <v>-3.4886220000000003E-2</v>
      </c>
      <c r="W3733">
        <v>0.18937290000000001</v>
      </c>
      <c r="X3733">
        <v>0.98128530000000003</v>
      </c>
      <c r="Y3733">
        <v>-0.21974070000000001</v>
      </c>
      <c r="Z3733">
        <v>-1.0017379999999999E-2</v>
      </c>
      <c r="AA3733">
        <v>0.97550689999999995</v>
      </c>
      <c r="AB3733">
        <v>34</v>
      </c>
      <c r="AC3733">
        <v>-11.7898999999999</v>
      </c>
      <c r="AD3733">
        <v>-1.111568240222</v>
      </c>
      <c r="AE3733">
        <v>-2.7290000000000099</v>
      </c>
      <c r="AF3733">
        <v>-2.7175923789213399</v>
      </c>
      <c r="AG3733">
        <v>-1.111568240222</v>
      </c>
      <c r="AH3733">
        <v>11.6886112221211</v>
      </c>
      <c r="AI3733">
        <v>95.292081923612102</v>
      </c>
      <c r="AJ3733">
        <v>103.088687539676</v>
      </c>
      <c r="AK3733">
        <v>12.0517436328747</v>
      </c>
      <c r="AL3733">
        <v>79.083810279195703</v>
      </c>
      <c r="AM3733">
        <v>92.036096627563396</v>
      </c>
      <c r="AN3733">
        <v>0.99999999179819399</v>
      </c>
    </row>
    <row r="3734" spans="1:40" x14ac:dyDescent="0.25">
      <c r="A3734" t="str">
        <f>"20190312164342709"</f>
        <v>20190312164342709</v>
      </c>
      <c r="B3734" t="str">
        <f>"1552380222698225"</f>
        <v>1552380222698225</v>
      </c>
      <c r="C3734" t="s">
        <v>40</v>
      </c>
      <c r="D3734">
        <v>4.4743779999999997</v>
      </c>
      <c r="E3734">
        <v>0.43066729999999998</v>
      </c>
      <c r="F3734" t="s">
        <v>42</v>
      </c>
      <c r="G3734">
        <v>-397.87049999999999</v>
      </c>
      <c r="H3734" s="1">
        <v>-1.122622E-6</v>
      </c>
      <c r="I3734">
        <v>138.33789999999999</v>
      </c>
      <c r="J3734">
        <v>-386.12299999999999</v>
      </c>
      <c r="K3734">
        <v>1.1116699999999999</v>
      </c>
      <c r="L3734">
        <v>141.1104</v>
      </c>
      <c r="M3734">
        <v>-0.99990369999999995</v>
      </c>
      <c r="N3734">
        <v>0</v>
      </c>
      <c r="O3734">
        <v>-6.1564720000000005E-4</v>
      </c>
      <c r="P3734">
        <v>-0.98381289999999999</v>
      </c>
      <c r="Q3734">
        <v>0.17488919999999999</v>
      </c>
      <c r="R3734">
        <v>-3.9066280000000002E-2</v>
      </c>
      <c r="S3734">
        <v>-3.0758359999999998</v>
      </c>
      <c r="T3734">
        <v>-0.282972099999999</v>
      </c>
      <c r="U3734">
        <v>-0.70608519999999997</v>
      </c>
      <c r="V3734">
        <v>-3.9058299999999997E-2</v>
      </c>
      <c r="W3734">
        <v>0.188391</v>
      </c>
      <c r="X3734">
        <v>0.98131710000000005</v>
      </c>
      <c r="Y3734">
        <v>-0.2222499</v>
      </c>
      <c r="Z3734">
        <v>-1.001581E-2</v>
      </c>
      <c r="AA3734">
        <v>0.97493830000000004</v>
      </c>
      <c r="AB3734">
        <v>34</v>
      </c>
      <c r="AC3734">
        <v>-11.747499999999899</v>
      </c>
      <c r="AD3734">
        <v>-1.111671122622</v>
      </c>
      <c r="AE3734">
        <v>-2.7725</v>
      </c>
      <c r="AF3734">
        <v>-2.74200751844565</v>
      </c>
      <c r="AG3734">
        <v>-1.111671122622</v>
      </c>
      <c r="AH3734">
        <v>11.6503810289</v>
      </c>
      <c r="AI3734">
        <v>95.306490971964195</v>
      </c>
      <c r="AJ3734">
        <v>103.243974719161</v>
      </c>
      <c r="AK3734">
        <v>12.020224458579699</v>
      </c>
      <c r="AL3734">
        <v>79.141100166520403</v>
      </c>
      <c r="AM3734">
        <v>92.279278660276603</v>
      </c>
      <c r="AN3734">
        <v>0.99999998521614997</v>
      </c>
    </row>
    <row r="3735" spans="1:40" x14ac:dyDescent="0.25">
      <c r="A3735" t="str">
        <f>"20190312164342745"</f>
        <v>20190312164342745</v>
      </c>
      <c r="B3735" t="str">
        <f>"1552380222738469"</f>
        <v>1552380222738469</v>
      </c>
      <c r="C3735" t="s">
        <v>40</v>
      </c>
      <c r="D3735">
        <v>4.406256</v>
      </c>
      <c r="E3735">
        <v>0.43118299999999998</v>
      </c>
      <c r="F3735" t="s">
        <v>42</v>
      </c>
      <c r="G3735">
        <v>-397.98610000000002</v>
      </c>
      <c r="H3735" s="1">
        <v>-1.075005E-6</v>
      </c>
      <c r="I3735">
        <v>138.32660000000001</v>
      </c>
      <c r="J3735">
        <v>-386.65109999999999</v>
      </c>
      <c r="K3735">
        <v>1.111845</v>
      </c>
      <c r="L3735">
        <v>141.1071</v>
      </c>
      <c r="M3735">
        <v>-0.99989810000000001</v>
      </c>
      <c r="N3735">
        <v>0</v>
      </c>
      <c r="O3735">
        <v>-3.3895449999999999E-3</v>
      </c>
      <c r="P3735">
        <v>-0.98327339999999996</v>
      </c>
      <c r="Q3735">
        <v>0.17561789999999999</v>
      </c>
      <c r="R3735">
        <v>-4.829112E-2</v>
      </c>
      <c r="S3735">
        <v>-3.071869</v>
      </c>
      <c r="T3735">
        <v>-0.2878578</v>
      </c>
      <c r="U3735">
        <v>-0.7208099</v>
      </c>
      <c r="V3735">
        <v>-4.5638770000000002E-2</v>
      </c>
      <c r="W3735">
        <v>0.18907460000000001</v>
      </c>
      <c r="X3735">
        <v>0.98090149999999998</v>
      </c>
      <c r="Y3735">
        <v>-0.22422549999999999</v>
      </c>
      <c r="Z3735">
        <v>-1.0030590000000001E-2</v>
      </c>
      <c r="AA3735">
        <v>0.97448570000000001</v>
      </c>
      <c r="AB3735">
        <v>34</v>
      </c>
      <c r="AC3735">
        <v>-11.335000000000001</v>
      </c>
      <c r="AD3735">
        <v>-1.1118460750050001</v>
      </c>
      <c r="AE3735">
        <v>-2.78049999999998</v>
      </c>
      <c r="AF3735">
        <v>-2.7173981512492502</v>
      </c>
      <c r="AG3735">
        <v>-1.1118460750050001</v>
      </c>
      <c r="AH3735">
        <v>11.2423308884566</v>
      </c>
      <c r="AI3735">
        <v>95.490963900020205</v>
      </c>
      <c r="AJ3735">
        <v>103.588406107159</v>
      </c>
      <c r="AK3735">
        <v>11.6194000797142</v>
      </c>
      <c r="AL3735">
        <v>79.101215350722399</v>
      </c>
      <c r="AM3735">
        <v>92.663900947337197</v>
      </c>
      <c r="AN3735">
        <v>0.99999992719725805</v>
      </c>
    </row>
    <row r="3736" spans="1:40" x14ac:dyDescent="0.25">
      <c r="A3736" t="str">
        <f>"20190312164342767"</f>
        <v>20190312164342767</v>
      </c>
      <c r="B3736" t="str">
        <f>"1552380222758966"</f>
        <v>1552380222758966</v>
      </c>
      <c r="C3736" t="s">
        <v>40</v>
      </c>
      <c r="D3736">
        <v>4.4089210000000003</v>
      </c>
      <c r="E3736">
        <v>0.431365</v>
      </c>
      <c r="F3736" t="s">
        <v>42</v>
      </c>
      <c r="G3736">
        <v>-398.54539999999997</v>
      </c>
      <c r="H3736" s="1">
        <v>-8.5374249999999998E-7</v>
      </c>
      <c r="I3736">
        <v>138.22130000000001</v>
      </c>
      <c r="J3736">
        <v>-386.99160000000001</v>
      </c>
      <c r="K3736">
        <v>1.1119840000000001</v>
      </c>
      <c r="L3736">
        <v>141.10399999999899</v>
      </c>
      <c r="M3736">
        <v>-0.99988940000000004</v>
      </c>
      <c r="N3736">
        <v>0</v>
      </c>
      <c r="O3736">
        <v>-5.388225E-3</v>
      </c>
      <c r="P3736">
        <v>-0.98283089999999995</v>
      </c>
      <c r="Q3736">
        <v>0.17645629999999901</v>
      </c>
      <c r="R3736">
        <v>-5.3915329999999997E-2</v>
      </c>
      <c r="S3736">
        <v>-3.0657040000000002</v>
      </c>
      <c r="T3736">
        <v>-0.28657290000000002</v>
      </c>
      <c r="U3736">
        <v>-0.74377439999999995</v>
      </c>
      <c r="V3736">
        <v>-4.9365899999999997E-2</v>
      </c>
      <c r="W3736">
        <v>0.18987989999999999</v>
      </c>
      <c r="X3736">
        <v>0.98056540000000003</v>
      </c>
      <c r="Y3736">
        <v>-0.22960849999999999</v>
      </c>
      <c r="Z3736">
        <v>-1.0060680000000001E-2</v>
      </c>
      <c r="AA3736">
        <v>0.97323110000000002</v>
      </c>
      <c r="AB3736">
        <v>34</v>
      </c>
      <c r="AC3736">
        <v>-11.553799999999899</v>
      </c>
      <c r="AD3736">
        <v>-1.1119848537424999</v>
      </c>
      <c r="AE3736">
        <v>-2.8826999999999701</v>
      </c>
      <c r="AF3736">
        <v>-2.79601618906486</v>
      </c>
      <c r="AG3736">
        <v>-1.1119848537424999</v>
      </c>
      <c r="AH3736">
        <v>11.469154369770299</v>
      </c>
      <c r="AI3736">
        <v>95.381137721103201</v>
      </c>
      <c r="AJ3736">
        <v>103.700649447006</v>
      </c>
      <c r="AK3736">
        <v>11.857306557649901</v>
      </c>
      <c r="AL3736">
        <v>79.054223906552394</v>
      </c>
      <c r="AM3736">
        <v>92.882083873318507</v>
      </c>
      <c r="AN3736">
        <v>0.99999993609198801</v>
      </c>
    </row>
    <row r="3737" spans="1:40" x14ac:dyDescent="0.25">
      <c r="A3737" t="str">
        <f>"20190312164342788"</f>
        <v>20190312164342788</v>
      </c>
      <c r="B3737" t="str">
        <f>"1552380222778485"</f>
        <v>1552380222778485</v>
      </c>
      <c r="C3737" t="s">
        <v>40</v>
      </c>
      <c r="D3737">
        <v>4.3522109999999996</v>
      </c>
      <c r="E3737">
        <v>0.43162050000000002</v>
      </c>
      <c r="F3737" t="s">
        <v>42</v>
      </c>
      <c r="G3737">
        <v>-398.97739999999999</v>
      </c>
      <c r="H3737" s="1">
        <v>-7.2954369999999998E-7</v>
      </c>
      <c r="I3737">
        <v>138.12970000000001</v>
      </c>
      <c r="J3737">
        <v>-387.30509999999998</v>
      </c>
      <c r="K3737">
        <v>1.1121259999999999</v>
      </c>
      <c r="L3737">
        <v>141.10040000000001</v>
      </c>
      <c r="M3737">
        <v>-0.99987689999999996</v>
      </c>
      <c r="N3737">
        <v>0</v>
      </c>
      <c r="O3737">
        <v>-7.3677389999999999E-3</v>
      </c>
      <c r="P3737">
        <v>-0.98229829999999996</v>
      </c>
      <c r="Q3737">
        <v>0.17747160000000001</v>
      </c>
      <c r="R3737">
        <v>-5.995458E-2</v>
      </c>
      <c r="S3737">
        <v>-3.0617070000000002</v>
      </c>
      <c r="T3737">
        <v>-0.28405010000000003</v>
      </c>
      <c r="U3737">
        <v>-0.75975039999999905</v>
      </c>
      <c r="V3737">
        <v>-5.3529109999999998E-2</v>
      </c>
      <c r="W3737">
        <v>0.19085830000000001</v>
      </c>
      <c r="X3737">
        <v>0.98015699999999994</v>
      </c>
      <c r="Y3737">
        <v>-0.23277210000000001</v>
      </c>
      <c r="Z3737">
        <v>-9.9427790000000005E-3</v>
      </c>
      <c r="AA3737">
        <v>0.97248049999999997</v>
      </c>
      <c r="AB3737">
        <v>34</v>
      </c>
      <c r="AC3737">
        <v>-11.6723</v>
      </c>
      <c r="AD3737">
        <v>-1.1121267295436901</v>
      </c>
      <c r="AE3737">
        <v>-2.9706999999999901</v>
      </c>
      <c r="AF3737">
        <v>-2.8602267590311801</v>
      </c>
      <c r="AG3737">
        <v>-1.1121267295436901</v>
      </c>
      <c r="AH3737">
        <v>11.595015140684</v>
      </c>
      <c r="AI3737">
        <v>95.320200252595001</v>
      </c>
      <c r="AJ3737">
        <v>103.85692454777001</v>
      </c>
      <c r="AK3737">
        <v>11.994252752395001</v>
      </c>
      <c r="AL3737">
        <v>78.997122170712899</v>
      </c>
      <c r="AM3737">
        <v>93.1259771337552</v>
      </c>
      <c r="AN3737">
        <v>1.0000000004726399</v>
      </c>
    </row>
    <row r="3738" spans="1:40" x14ac:dyDescent="0.25">
      <c r="A3738" t="str">
        <f>"20190312164342811"</f>
        <v>20190312164342811</v>
      </c>
      <c r="B3738" t="str">
        <f>"1552380222798981"</f>
        <v>1552380222798981</v>
      </c>
      <c r="C3738" t="s">
        <v>40</v>
      </c>
      <c r="D3738">
        <v>4.6535719999999996</v>
      </c>
      <c r="E3738">
        <v>0.4317954</v>
      </c>
      <c r="F3738" t="s">
        <v>42</v>
      </c>
      <c r="G3738">
        <v>-399.46190000000001</v>
      </c>
      <c r="H3738" s="1">
        <v>-5.9563040000000002E-7</v>
      </c>
      <c r="I3738">
        <v>138.01339999999999</v>
      </c>
      <c r="J3738">
        <v>-387.6542</v>
      </c>
      <c r="K3738">
        <v>1.112306</v>
      </c>
      <c r="L3738">
        <v>141.09549999999999</v>
      </c>
      <c r="M3738">
        <v>-0.99985579999999996</v>
      </c>
      <c r="N3738">
        <v>0</v>
      </c>
      <c r="O3738">
        <v>-9.7941790000000001E-3</v>
      </c>
      <c r="P3738">
        <v>-0.98175699999999999</v>
      </c>
      <c r="Q3738">
        <v>0.1782878</v>
      </c>
      <c r="R3738">
        <v>-6.6081810000000005E-2</v>
      </c>
      <c r="S3738">
        <v>-3.05722</v>
      </c>
      <c r="T3738">
        <v>-0.27967920000000002</v>
      </c>
      <c r="U3738">
        <v>-0.77630619999999995</v>
      </c>
      <c r="V3738">
        <v>-5.7362169999999997E-2</v>
      </c>
      <c r="W3738">
        <v>0.19163150000000001</v>
      </c>
      <c r="X3738">
        <v>0.97978929999999997</v>
      </c>
      <c r="Y3738">
        <v>-0.2357235</v>
      </c>
      <c r="Z3738">
        <v>-9.7126090000000005E-3</v>
      </c>
      <c r="AA3738">
        <v>0.97177170000000002</v>
      </c>
      <c r="AB3738">
        <v>34</v>
      </c>
      <c r="AC3738">
        <v>-11.807700000000001</v>
      </c>
      <c r="AD3738">
        <v>-1.1123065956303999</v>
      </c>
      <c r="AE3738">
        <v>-3.0820999999999898</v>
      </c>
      <c r="AF3738">
        <v>-2.9418535759045601</v>
      </c>
      <c r="AG3738">
        <v>-1.1123065956303999</v>
      </c>
      <c r="AH3738">
        <v>11.7397897594653</v>
      </c>
      <c r="AI3738">
        <v>95.251022392123801</v>
      </c>
      <c r="AJ3738">
        <v>104.067961654519</v>
      </c>
      <c r="AK3738">
        <v>12.1537809763543</v>
      </c>
      <c r="AL3738">
        <v>78.951988683354799</v>
      </c>
      <c r="AM3738">
        <v>93.350580501617799</v>
      </c>
      <c r="AN3738">
        <v>1.00000006136692</v>
      </c>
    </row>
    <row r="3739" spans="1:40" x14ac:dyDescent="0.25">
      <c r="A3739" t="str">
        <f>"20190312164342834"</f>
        <v>20190312164342834</v>
      </c>
      <c r="B3739" t="str">
        <f>"1552380222828265"</f>
        <v>1552380222828265</v>
      </c>
      <c r="C3739" t="s">
        <v>40</v>
      </c>
      <c r="D3739">
        <v>4.714747</v>
      </c>
      <c r="E3739">
        <v>0.4487585</v>
      </c>
      <c r="F3739" t="s">
        <v>42</v>
      </c>
      <c r="G3739">
        <v>-399.90699999999998</v>
      </c>
      <c r="H3739" s="1">
        <v>-4.7149689999999998E-7</v>
      </c>
      <c r="I3739">
        <v>137.91069999999999</v>
      </c>
      <c r="J3739">
        <v>-388.00110000000001</v>
      </c>
      <c r="K3739">
        <v>1.112514</v>
      </c>
      <c r="L3739">
        <v>141.08949999999999</v>
      </c>
      <c r="M3739">
        <v>-0.99982610000000005</v>
      </c>
      <c r="N3739">
        <v>0</v>
      </c>
      <c r="O3739">
        <v>-1.246427E-2</v>
      </c>
      <c r="P3739">
        <v>-0.98135620000000001</v>
      </c>
      <c r="Q3739">
        <v>0.17814929999999901</v>
      </c>
      <c r="R3739">
        <v>-7.2133439999999993E-2</v>
      </c>
      <c r="S3739">
        <v>-3.052673</v>
      </c>
      <c r="T3739">
        <v>-0.27712179999999997</v>
      </c>
      <c r="U3739">
        <v>-0.79342650000000003</v>
      </c>
      <c r="V3739">
        <v>-6.0889029999999997E-2</v>
      </c>
      <c r="W3739">
        <v>0.19144900000000001</v>
      </c>
      <c r="X3739">
        <v>0.97961209999999999</v>
      </c>
      <c r="Y3739">
        <v>-0.23859949999999999</v>
      </c>
      <c r="Z3739">
        <v>-9.5217610000000001E-3</v>
      </c>
      <c r="AA3739">
        <v>0.97107140000000003</v>
      </c>
      <c r="AB3739">
        <v>34</v>
      </c>
      <c r="AC3739">
        <v>-11.9058999999999</v>
      </c>
      <c r="AD3739">
        <v>-1.1125144714969</v>
      </c>
      <c r="AE3739">
        <v>-3.1787999999999901</v>
      </c>
      <c r="AF3739">
        <v>-3.0056430417334301</v>
      </c>
      <c r="AG3739">
        <v>-1.1125144714969</v>
      </c>
      <c r="AH3739">
        <v>11.848033374862201</v>
      </c>
      <c r="AI3739">
        <v>95.200485068400397</v>
      </c>
      <c r="AJ3739">
        <v>104.234670796521</v>
      </c>
      <c r="AK3739">
        <v>12.2738532415643</v>
      </c>
      <c r="AL3739">
        <v>78.962642068624305</v>
      </c>
      <c r="AM3739">
        <v>93.556716065380598</v>
      </c>
      <c r="AN3739">
        <v>1.00000003002087</v>
      </c>
    </row>
    <row r="3740" spans="1:40" x14ac:dyDescent="0.25">
      <c r="A3740" t="str">
        <f>"20190312164342856"</f>
        <v>20190312164342856</v>
      </c>
      <c r="B3740" t="str">
        <f>"1552380222848757"</f>
        <v>1552380222848757</v>
      </c>
      <c r="C3740" t="s">
        <v>40</v>
      </c>
      <c r="D3740">
        <v>4.6157879999999896</v>
      </c>
      <c r="E3740">
        <v>0.45011390000000001</v>
      </c>
      <c r="F3740" t="s">
        <v>49</v>
      </c>
      <c r="G3740">
        <v>-401.0283</v>
      </c>
      <c r="H3740" s="1">
        <v>-5.165808E-6</v>
      </c>
      <c r="I3740">
        <v>138.21090000000001</v>
      </c>
      <c r="J3740">
        <v>-388.33550000000002</v>
      </c>
      <c r="K3740">
        <v>1.1127339999999999</v>
      </c>
      <c r="L3740">
        <v>141.08260000000001</v>
      </c>
      <c r="M3740">
        <v>-0.99978659999999997</v>
      </c>
      <c r="N3740">
        <v>0</v>
      </c>
      <c r="O3740">
        <v>-1.5304689999999999E-2</v>
      </c>
      <c r="P3740">
        <v>-0.98073520000000003</v>
      </c>
      <c r="Q3740">
        <v>0.17883350000000001</v>
      </c>
      <c r="R3740">
        <v>-7.8596410000000005E-2</v>
      </c>
      <c r="S3740">
        <v>-3.0547789999999999</v>
      </c>
      <c r="T3740">
        <v>-0.26087640000000001</v>
      </c>
      <c r="U3740">
        <v>-0.67500309999999997</v>
      </c>
      <c r="V3740">
        <v>-6.4673850000000005E-2</v>
      </c>
      <c r="W3740">
        <v>0.19208169999999999</v>
      </c>
      <c r="X3740">
        <v>0.97924560000000005</v>
      </c>
      <c r="Y3740">
        <v>-0.20014970000000001</v>
      </c>
      <c r="Z3740">
        <v>-7.1409630000000002E-3</v>
      </c>
      <c r="AA3740">
        <v>0.97973929999999998</v>
      </c>
      <c r="AB3740">
        <v>34</v>
      </c>
      <c r="AC3740">
        <v>-12.692799999999901</v>
      </c>
      <c r="AD3740">
        <v>-1.1127391658079999</v>
      </c>
      <c r="AE3740">
        <v>-2.8717000000000001</v>
      </c>
      <c r="AF3740">
        <v>-2.6576547378883699</v>
      </c>
      <c r="AG3740">
        <v>-1.1127391658079999</v>
      </c>
      <c r="AH3740">
        <v>12.6428328666951</v>
      </c>
      <c r="AI3740">
        <v>94.922794066276197</v>
      </c>
      <c r="AJ3740">
        <v>101.871323553694</v>
      </c>
      <c r="AK3740">
        <v>12.966978832871201</v>
      </c>
      <c r="AL3740">
        <v>78.925705356408798</v>
      </c>
      <c r="AM3740">
        <v>93.778587308182907</v>
      </c>
      <c r="AN3740">
        <v>1.0000000157340301</v>
      </c>
    </row>
    <row r="3741" spans="1:40" x14ac:dyDescent="0.25">
      <c r="A3741" t="str">
        <f>"20190312164342878"</f>
        <v>20190312164342878</v>
      </c>
      <c r="B3741" t="str">
        <f>"1552380222868277"</f>
        <v>1552380222868277</v>
      </c>
      <c r="C3741" t="s">
        <v>40</v>
      </c>
      <c r="D3741">
        <v>4.3960780000000002</v>
      </c>
      <c r="E3741">
        <v>0.45039699999999999</v>
      </c>
      <c r="F3741" t="s">
        <v>49</v>
      </c>
      <c r="G3741">
        <v>-401.11660000000001</v>
      </c>
      <c r="H3741" s="1">
        <v>-5.2087800000000003E-6</v>
      </c>
      <c r="I3741">
        <v>138.21899999999999</v>
      </c>
      <c r="J3741">
        <v>-388.66649999999998</v>
      </c>
      <c r="K3741">
        <v>1.1129599999999999</v>
      </c>
      <c r="L3741">
        <v>141.0745</v>
      </c>
      <c r="M3741">
        <v>-0.99973449999999997</v>
      </c>
      <c r="N3741">
        <v>0</v>
      </c>
      <c r="O3741">
        <v>-1.838681E-2</v>
      </c>
      <c r="P3741">
        <v>-0.98023210000000005</v>
      </c>
      <c r="Q3741">
        <v>0.1785651</v>
      </c>
      <c r="R3741">
        <v>-8.5205920000000004E-2</v>
      </c>
      <c r="S3741">
        <v>-3.0525820000000001</v>
      </c>
      <c r="T3741">
        <v>-0.26576129999999998</v>
      </c>
      <c r="U3741">
        <v>-0.68391420000000003</v>
      </c>
      <c r="V3741">
        <v>-6.8368020000000002E-2</v>
      </c>
      <c r="W3741">
        <v>0.19175929999999999</v>
      </c>
      <c r="X3741">
        <v>0.97905779999999998</v>
      </c>
      <c r="Y3741">
        <v>-0.19999049999999999</v>
      </c>
      <c r="Z3741">
        <v>-7.0058780000000001E-3</v>
      </c>
      <c r="AA3741">
        <v>0.9797728</v>
      </c>
      <c r="AB3741">
        <v>34</v>
      </c>
      <c r="AC3741">
        <v>-12.450100000000001</v>
      </c>
      <c r="AD3741">
        <v>-1.1129652087799999</v>
      </c>
      <c r="AE3741">
        <v>-2.8555000000000001</v>
      </c>
      <c r="AF3741">
        <v>-2.60629068970866</v>
      </c>
      <c r="AG3741">
        <v>-1.1129652087799999</v>
      </c>
      <c r="AH3741">
        <v>12.4063155405626</v>
      </c>
      <c r="AI3741">
        <v>95.017316199212601</v>
      </c>
      <c r="AJ3741">
        <v>101.864044915337</v>
      </c>
      <c r="AK3741">
        <v>12.725883388088301</v>
      </c>
      <c r="AL3741">
        <v>78.944527182197703</v>
      </c>
      <c r="AM3741">
        <v>93.9945041382977</v>
      </c>
      <c r="AN3741">
        <v>0.99999999551802499</v>
      </c>
    </row>
    <row r="3742" spans="1:40" x14ac:dyDescent="0.25">
      <c r="A3742" t="str">
        <f>"20190312164342900"</f>
        <v>20190312164342900</v>
      </c>
      <c r="B3742" t="str">
        <f>"1552380222888774"</f>
        <v>1552380222888774</v>
      </c>
      <c r="C3742" t="s">
        <v>40</v>
      </c>
      <c r="D3742">
        <v>4.5302350000000002</v>
      </c>
      <c r="E3742">
        <v>0.45074829999999999</v>
      </c>
      <c r="F3742" t="s">
        <v>49</v>
      </c>
      <c r="G3742">
        <v>-401.1157</v>
      </c>
      <c r="H3742" s="1">
        <v>-5.204932E-6</v>
      </c>
      <c r="I3742">
        <v>138.21170000000001</v>
      </c>
      <c r="J3742">
        <v>-389.00189999999998</v>
      </c>
      <c r="K3742">
        <v>1.1131960000000001</v>
      </c>
      <c r="L3742">
        <v>141.0651</v>
      </c>
      <c r="M3742">
        <v>-0.9996661</v>
      </c>
      <c r="N3742">
        <v>0</v>
      </c>
      <c r="O3742">
        <v>-2.1786730000000001E-2</v>
      </c>
      <c r="P3742">
        <v>-0.97965449999999998</v>
      </c>
      <c r="Q3742">
        <v>0.1782562</v>
      </c>
      <c r="R3742">
        <v>-9.2206880000000005E-2</v>
      </c>
      <c r="S3742">
        <v>-3.049255</v>
      </c>
      <c r="T3742">
        <v>-0.27260529999999999</v>
      </c>
      <c r="U3742">
        <v>-0.70121769999999894</v>
      </c>
      <c r="V3742">
        <v>-7.2148169999999998E-2</v>
      </c>
      <c r="W3742">
        <v>0.19139239999999999</v>
      </c>
      <c r="X3742">
        <v>0.97885829999999996</v>
      </c>
      <c r="Y3742">
        <v>-0.20214380000000001</v>
      </c>
      <c r="Z3742">
        <v>-6.9845430000000002E-3</v>
      </c>
      <c r="AA3742">
        <v>0.97933099999999995</v>
      </c>
      <c r="AB3742">
        <v>34</v>
      </c>
      <c r="AC3742">
        <v>-12.113799999999999</v>
      </c>
      <c r="AD3742">
        <v>-1.1132012049319999</v>
      </c>
      <c r="AE3742">
        <v>-2.8533999999999899</v>
      </c>
      <c r="AF3742">
        <v>-2.5682290591135399</v>
      </c>
      <c r="AG3742">
        <v>-1.1132012049319999</v>
      </c>
      <c r="AH3742">
        <v>12.0764745594467</v>
      </c>
      <c r="AI3742">
        <v>95.1520293390615</v>
      </c>
      <c r="AJ3742">
        <v>102.005878976614</v>
      </c>
      <c r="AK3742">
        <v>12.3966227339425</v>
      </c>
      <c r="AL3742">
        <v>78.9659456643884</v>
      </c>
      <c r="AM3742">
        <v>94.215445847616493</v>
      </c>
      <c r="AN3742">
        <v>0.99999999034549902</v>
      </c>
    </row>
    <row r="3743" spans="1:40" x14ac:dyDescent="0.25">
      <c r="A3743" t="str">
        <f>"20190312164342922"</f>
        <v>20190312164342922</v>
      </c>
      <c r="B3743" t="str">
        <f>"1552380222918054"</f>
        <v>1552380222918054</v>
      </c>
      <c r="C3743" t="s">
        <v>40</v>
      </c>
      <c r="D3743">
        <v>4.4143109999999997</v>
      </c>
      <c r="E3743">
        <v>0.45246570000000003</v>
      </c>
      <c r="F3743" t="s">
        <v>49</v>
      </c>
      <c r="G3743">
        <v>-401.22489999999999</v>
      </c>
      <c r="H3743" s="1">
        <v>-5.2378129999999998E-6</v>
      </c>
      <c r="I3743">
        <v>138.17840000000001</v>
      </c>
      <c r="J3743">
        <v>-389.3408</v>
      </c>
      <c r="K3743">
        <v>1.1134299999999999</v>
      </c>
      <c r="L3743">
        <v>141.05410000000001</v>
      </c>
      <c r="M3743">
        <v>-0.99957759999999996</v>
      </c>
      <c r="N3743">
        <v>0</v>
      </c>
      <c r="O3743">
        <v>-2.5518720000000002E-2</v>
      </c>
      <c r="P3743">
        <v>-0.97881339999999994</v>
      </c>
      <c r="Q3743">
        <v>0.17891319999999999</v>
      </c>
      <c r="R3743">
        <v>-9.9573549999999997E-2</v>
      </c>
      <c r="S3743">
        <v>-3.0450740000000001</v>
      </c>
      <c r="T3743">
        <v>-0.277329299999999</v>
      </c>
      <c r="U3743">
        <v>-0.71916199999999997</v>
      </c>
      <c r="V3743">
        <v>-7.5982869999999994E-2</v>
      </c>
      <c r="W3743">
        <v>0.1919844</v>
      </c>
      <c r="X3743">
        <v>0.97845210000000005</v>
      </c>
      <c r="Y3743">
        <v>-0.20423669999999999</v>
      </c>
      <c r="Z3743">
        <v>-6.8696429999999999E-3</v>
      </c>
      <c r="AA3743">
        <v>0.97889749999999998</v>
      </c>
      <c r="AB3743">
        <v>34</v>
      </c>
      <c r="AC3743">
        <v>-11.884099999999901</v>
      </c>
      <c r="AD3743">
        <v>-1.1134352378129999</v>
      </c>
      <c r="AE3743">
        <v>-2.8756999999999899</v>
      </c>
      <c r="AF3743">
        <v>-2.55031851334601</v>
      </c>
      <c r="AG3743">
        <v>-1.1134352378129999</v>
      </c>
      <c r="AH3743">
        <v>11.855310486315901</v>
      </c>
      <c r="AI3743">
        <v>95.2460853931874</v>
      </c>
      <c r="AJ3743">
        <v>102.140470762531</v>
      </c>
      <c r="AK3743">
        <v>12.1775305080821</v>
      </c>
      <c r="AL3743">
        <v>78.931385326644204</v>
      </c>
      <c r="AM3743">
        <v>94.440460662914305</v>
      </c>
      <c r="AN3743">
        <v>0.99999995918560203</v>
      </c>
    </row>
    <row r="3744" spans="1:40" x14ac:dyDescent="0.25">
      <c r="A3744" t="str">
        <f>"20190312164342946"</f>
        <v>20190312164342946</v>
      </c>
      <c r="B3744" t="str">
        <f>"1552380222938549"</f>
        <v>1552380222938549</v>
      </c>
      <c r="C3744" t="s">
        <v>40</v>
      </c>
      <c r="D3744">
        <v>4.5814000000000004</v>
      </c>
      <c r="E3744">
        <v>0.45275290000000001</v>
      </c>
      <c r="F3744" t="s">
        <v>49</v>
      </c>
      <c r="G3744">
        <v>-401.68049999999999</v>
      </c>
      <c r="H3744" s="1">
        <v>-5.4058129999999997E-6</v>
      </c>
      <c r="I3744">
        <v>138.1054</v>
      </c>
      <c r="J3744">
        <v>-389.6866</v>
      </c>
      <c r="K3744">
        <v>1.1136699999999999</v>
      </c>
      <c r="L3744">
        <v>141.0412</v>
      </c>
      <c r="M3744">
        <v>-0.99946460000000004</v>
      </c>
      <c r="N3744">
        <v>0</v>
      </c>
      <c r="O3744">
        <v>-2.9613460000000001E-2</v>
      </c>
      <c r="P3744">
        <v>-0.97785390000000005</v>
      </c>
      <c r="Q3744">
        <v>0.18014150000000001</v>
      </c>
      <c r="R3744">
        <v>-0.10654089999999999</v>
      </c>
      <c r="S3744">
        <v>-3.0411380000000001</v>
      </c>
      <c r="T3744">
        <v>-0.27440730000000002</v>
      </c>
      <c r="U3744">
        <v>-0.72669980000000001</v>
      </c>
      <c r="V3744">
        <v>-7.9073679999999993E-2</v>
      </c>
      <c r="W3744">
        <v>0.1931504</v>
      </c>
      <c r="X3744">
        <v>0.9779776</v>
      </c>
      <c r="Y3744">
        <v>-0.2028413</v>
      </c>
      <c r="Z3744">
        <v>-6.3792450000000004E-3</v>
      </c>
      <c r="AA3744">
        <v>0.97919080000000003</v>
      </c>
      <c r="AB3744">
        <v>34</v>
      </c>
      <c r="AC3744">
        <v>-11.993899999999901</v>
      </c>
      <c r="AD3744">
        <v>-1.1136754058130001</v>
      </c>
      <c r="AE3744">
        <v>-2.9358</v>
      </c>
      <c r="AF3744">
        <v>-2.5584851824980301</v>
      </c>
      <c r="AG3744">
        <v>-1.1136754058130001</v>
      </c>
      <c r="AH3744">
        <v>11.9781512876799</v>
      </c>
      <c r="AI3744">
        <v>95.195308084993897</v>
      </c>
      <c r="AJ3744">
        <v>102.056968858056</v>
      </c>
      <c r="AK3744">
        <v>12.298870989205501</v>
      </c>
      <c r="AL3744">
        <v>78.863304170138605</v>
      </c>
      <c r="AM3744">
        <v>94.622553626115007</v>
      </c>
      <c r="AN3744">
        <v>0.99999995499533001</v>
      </c>
    </row>
    <row r="3745" spans="1:40" x14ac:dyDescent="0.25">
      <c r="A3745" t="str">
        <f>"20190312164342968"</f>
        <v>20190312164342968</v>
      </c>
      <c r="B3745" t="str">
        <f>"1552380222958070"</f>
        <v>1552380222958070</v>
      </c>
      <c r="C3745" t="s">
        <v>40</v>
      </c>
      <c r="D3745">
        <v>4.4892989999999999</v>
      </c>
      <c r="E3745">
        <v>0.45313890000000001</v>
      </c>
      <c r="F3745" t="s">
        <v>49</v>
      </c>
      <c r="G3745">
        <v>-402.11540000000002</v>
      </c>
      <c r="H3745" s="1">
        <v>-5.5449519999999998E-6</v>
      </c>
      <c r="I3745">
        <v>137.99039999999999</v>
      </c>
      <c r="J3745">
        <v>-390.02640000000002</v>
      </c>
      <c r="K3745">
        <v>1.1138760000000001</v>
      </c>
      <c r="L3745">
        <v>141.02699999999999</v>
      </c>
      <c r="M3745">
        <v>-0.99932969999999999</v>
      </c>
      <c r="N3745">
        <v>0</v>
      </c>
      <c r="O3745">
        <v>-3.3857129999999999E-2</v>
      </c>
      <c r="P3745">
        <v>-0.9770297</v>
      </c>
      <c r="Q3745">
        <v>0.18059430000000001</v>
      </c>
      <c r="R3745">
        <v>-0.11313189999999999</v>
      </c>
      <c r="S3745">
        <v>-3.0368650000000001</v>
      </c>
      <c r="T3745">
        <v>-0.27211809999999997</v>
      </c>
      <c r="U3745">
        <v>-0.74543760000000003</v>
      </c>
      <c r="V3745">
        <v>-8.1624240000000001E-2</v>
      </c>
      <c r="W3745">
        <v>0.193549</v>
      </c>
      <c r="X3745">
        <v>0.97768929999999998</v>
      </c>
      <c r="Y3745">
        <v>-0.20472090000000001</v>
      </c>
      <c r="Z3745">
        <v>-6.040068E-3</v>
      </c>
      <c r="AA3745">
        <v>0.9788017</v>
      </c>
      <c r="AB3745">
        <v>34</v>
      </c>
      <c r="AC3745">
        <v>-12.089</v>
      </c>
      <c r="AD3745">
        <v>-1.1138815449519901</v>
      </c>
      <c r="AE3745">
        <v>-3.0366000000000199</v>
      </c>
      <c r="AF3745">
        <v>-2.6047191163097301</v>
      </c>
      <c r="AG3745">
        <v>-1.1138815449519901</v>
      </c>
      <c r="AH3745">
        <v>12.088351686284399</v>
      </c>
      <c r="AI3745">
        <v>95.147178138989602</v>
      </c>
      <c r="AJ3745">
        <v>102.159807043664</v>
      </c>
      <c r="AK3745">
        <v>12.4158584182628</v>
      </c>
      <c r="AL3745">
        <v>78.840027895370696</v>
      </c>
      <c r="AM3745">
        <v>94.772379107328803</v>
      </c>
      <c r="AN3745">
        <v>1.0000000496455299</v>
      </c>
    </row>
    <row r="3746" spans="1:40" x14ac:dyDescent="0.25">
      <c r="A3746" t="str">
        <f>"20190312164342993"</f>
        <v>20190312164342993</v>
      </c>
      <c r="B3746" t="str">
        <f>"1552380222988326"</f>
        <v>1552380222988326</v>
      </c>
      <c r="C3746" t="s">
        <v>40</v>
      </c>
      <c r="D3746">
        <v>4.5027739999999996</v>
      </c>
      <c r="E3746">
        <v>0.45395029999999997</v>
      </c>
      <c r="F3746" t="s">
        <v>49</v>
      </c>
      <c r="G3746">
        <v>-402.63940000000002</v>
      </c>
      <c r="H3746" s="1">
        <v>-5.7116770000000003E-6</v>
      </c>
      <c r="I3746">
        <v>137.84979999999999</v>
      </c>
      <c r="J3746">
        <v>-390.38830000000002</v>
      </c>
      <c r="K3746">
        <v>1.114082</v>
      </c>
      <c r="L3746">
        <v>141.01009999999999</v>
      </c>
      <c r="M3746">
        <v>-0.99915699999999996</v>
      </c>
      <c r="N3746">
        <v>0</v>
      </c>
      <c r="O3746">
        <v>-3.8613219999999997E-2</v>
      </c>
      <c r="P3746">
        <v>-0.97613289999999997</v>
      </c>
      <c r="Q3746">
        <v>0.18077280000000001</v>
      </c>
      <c r="R3746">
        <v>-0.12035709999999999</v>
      </c>
      <c r="S3746">
        <v>-3.0315859999999999</v>
      </c>
      <c r="T3746">
        <v>-0.26772439999999997</v>
      </c>
      <c r="U3746">
        <v>-0.76365660000000002</v>
      </c>
      <c r="V3746">
        <v>-8.4308590000000003E-2</v>
      </c>
      <c r="W3746">
        <v>0.19367019999999999</v>
      </c>
      <c r="X3746">
        <v>0.97743740000000001</v>
      </c>
      <c r="Y3746">
        <v>-0.20602870000000001</v>
      </c>
      <c r="Z3746">
        <v>-5.5938130000000004E-3</v>
      </c>
      <c r="AA3746">
        <v>0.97853000000000001</v>
      </c>
      <c r="AB3746">
        <v>34</v>
      </c>
      <c r="AC3746">
        <v>-12.251099999999999</v>
      </c>
      <c r="AD3746">
        <v>-1.1140877116769901</v>
      </c>
      <c r="AE3746">
        <v>-3.1602999999999999</v>
      </c>
      <c r="AF3746">
        <v>-2.6641849665680102</v>
      </c>
      <c r="AG3746">
        <v>-1.1140877116769901</v>
      </c>
      <c r="AH3746">
        <v>12.2688735763445</v>
      </c>
      <c r="AI3746">
        <v>95.071027432999202</v>
      </c>
      <c r="AJ3746">
        <v>102.251567100542</v>
      </c>
      <c r="AK3746">
        <v>12.6041394707342</v>
      </c>
      <c r="AL3746">
        <v>78.832948906183404</v>
      </c>
      <c r="AM3746">
        <v>94.929829848585001</v>
      </c>
      <c r="AN3746">
        <v>0.999999977817293</v>
      </c>
    </row>
    <row r="3747" spans="1:40" x14ac:dyDescent="0.25">
      <c r="A3747" t="str">
        <f>"20190312164343011"</f>
        <v>20190312164343011</v>
      </c>
      <c r="B3747" t="str">
        <f>"1552380223008822"</f>
        <v>1552380223008822</v>
      </c>
      <c r="C3747" t="s">
        <v>40</v>
      </c>
      <c r="D3747">
        <v>4.7607809999999997</v>
      </c>
      <c r="E3747">
        <v>0.45479999999999998</v>
      </c>
      <c r="F3747" t="s">
        <v>49</v>
      </c>
      <c r="G3747">
        <v>-403.12509999999997</v>
      </c>
      <c r="H3747" s="1">
        <v>-5.8706939999999998E-6</v>
      </c>
      <c r="I3747">
        <v>137.72909999999999</v>
      </c>
      <c r="J3747">
        <v>-390.67669999999998</v>
      </c>
      <c r="K3747">
        <v>1.1142369999999999</v>
      </c>
      <c r="L3747">
        <v>140.99520000000001</v>
      </c>
      <c r="M3747">
        <v>-0.998996</v>
      </c>
      <c r="N3747">
        <v>0</v>
      </c>
      <c r="O3747">
        <v>-4.2574569999999999E-2</v>
      </c>
      <c r="P3747">
        <v>-0.97526290000000004</v>
      </c>
      <c r="Q3747">
        <v>0.18146329999999999</v>
      </c>
      <c r="R3747">
        <v>-0.1262288</v>
      </c>
      <c r="S3747">
        <v>-3.0262760000000002</v>
      </c>
      <c r="T3747">
        <v>-0.26470949999999999</v>
      </c>
      <c r="U3747">
        <v>-0.77957149999999997</v>
      </c>
      <c r="V3747">
        <v>-8.6405720000000005E-2</v>
      </c>
      <c r="W3747">
        <v>0.19431380000000001</v>
      </c>
      <c r="X3747">
        <v>0.97712650000000001</v>
      </c>
      <c r="Y3747">
        <v>-0.2074095</v>
      </c>
      <c r="Z3747">
        <v>-5.2570369999999896E-3</v>
      </c>
      <c r="AA3747">
        <v>0.97824009999999995</v>
      </c>
      <c r="AB3747">
        <v>34</v>
      </c>
      <c r="AC3747">
        <v>-12.4483999999999</v>
      </c>
      <c r="AD3747">
        <v>-1.114242870694</v>
      </c>
      <c r="AE3747">
        <v>-3.2661000000000202</v>
      </c>
      <c r="AF3747">
        <v>-2.7127667497080399</v>
      </c>
      <c r="AG3747">
        <v>-1.114242870694</v>
      </c>
      <c r="AH3747">
        <v>12.4826093683804</v>
      </c>
      <c r="AI3747">
        <v>94.985150980759897</v>
      </c>
      <c r="AJ3747">
        <v>102.261074571257</v>
      </c>
      <c r="AK3747">
        <v>12.8224871712469</v>
      </c>
      <c r="AL3747">
        <v>78.795359496702403</v>
      </c>
      <c r="AM3747">
        <v>95.053428805407506</v>
      </c>
      <c r="AN3747">
        <v>0.99999999916070403</v>
      </c>
    </row>
    <row r="3748" spans="1:40" x14ac:dyDescent="0.25">
      <c r="A3748" t="str">
        <f>"20190312164343035"</f>
        <v>20190312164343035</v>
      </c>
      <c r="B3748" t="str">
        <f>"1552380223028345"</f>
        <v>1552380223028345</v>
      </c>
      <c r="C3748" t="s">
        <v>40</v>
      </c>
      <c r="D3748">
        <v>4.65001</v>
      </c>
      <c r="E3748">
        <v>0.45556940000000001</v>
      </c>
      <c r="F3748" t="s">
        <v>49</v>
      </c>
      <c r="G3748">
        <v>-403.77710000000002</v>
      </c>
      <c r="H3748" s="1">
        <v>-6.0835649999999997E-6</v>
      </c>
      <c r="I3748">
        <v>137.56569999999999</v>
      </c>
      <c r="J3748">
        <v>-391.03019999999998</v>
      </c>
      <c r="K3748">
        <v>1.1144270000000001</v>
      </c>
      <c r="L3748">
        <v>140.9753</v>
      </c>
      <c r="M3748">
        <v>-0.99876759999999998</v>
      </c>
      <c r="N3748">
        <v>0</v>
      </c>
      <c r="O3748">
        <v>-4.7628400000000001E-2</v>
      </c>
      <c r="P3748">
        <v>-0.97443760000000001</v>
      </c>
      <c r="Q3748">
        <v>0.1811111</v>
      </c>
      <c r="R3748">
        <v>-0.13292960000000001</v>
      </c>
      <c r="S3748">
        <v>-3.021576</v>
      </c>
      <c r="T3748">
        <v>-0.25699630000000001</v>
      </c>
      <c r="U3748">
        <v>-0.79100039999999905</v>
      </c>
      <c r="V3748">
        <v>-8.8267079999999998E-2</v>
      </c>
      <c r="W3748">
        <v>0.1939139</v>
      </c>
      <c r="X3748">
        <v>0.97703960000000001</v>
      </c>
      <c r="Y3748">
        <v>-0.20634759999999999</v>
      </c>
      <c r="Z3748">
        <v>-4.6449070000000002E-3</v>
      </c>
      <c r="AA3748">
        <v>0.97846770000000005</v>
      </c>
      <c r="AB3748">
        <v>34</v>
      </c>
      <c r="AC3748">
        <v>-12.7469</v>
      </c>
      <c r="AD3748">
        <v>-1.114433083565</v>
      </c>
      <c r="AE3748">
        <v>-3.40960000000001</v>
      </c>
      <c r="AF3748">
        <v>-2.77873477478474</v>
      </c>
      <c r="AG3748">
        <v>-1.114433083565</v>
      </c>
      <c r="AH3748">
        <v>12.8035100547608</v>
      </c>
      <c r="AI3748">
        <v>94.861933361641107</v>
      </c>
      <c r="AJ3748">
        <v>102.244958138342</v>
      </c>
      <c r="AK3748">
        <v>13.1488857995156</v>
      </c>
      <c r="AL3748">
        <v>78.8187166875542</v>
      </c>
      <c r="AM3748">
        <v>95.162164939523194</v>
      </c>
      <c r="AN3748">
        <v>1.0000000289965401</v>
      </c>
    </row>
    <row r="3749" spans="1:40" x14ac:dyDescent="0.25">
      <c r="A3749" t="str">
        <f>"20190312164343056"</f>
        <v>20190312164343056</v>
      </c>
      <c r="B3749" t="str">
        <f>"1552380223048838"</f>
        <v>1552380223048838</v>
      </c>
      <c r="C3749" t="s">
        <v>40</v>
      </c>
      <c r="D3749">
        <v>4.5268030000000001</v>
      </c>
      <c r="E3749">
        <v>0.45621050000000002</v>
      </c>
      <c r="F3749" t="s">
        <v>49</v>
      </c>
      <c r="G3749">
        <v>-404.30799999999999</v>
      </c>
      <c r="H3749" s="1">
        <v>-6.2529440000000002E-6</v>
      </c>
      <c r="I3749">
        <v>137.42429999999999</v>
      </c>
      <c r="J3749">
        <v>-391.3501</v>
      </c>
      <c r="K3749">
        <v>1.1145940000000001</v>
      </c>
      <c r="L3749">
        <v>140.9554</v>
      </c>
      <c r="M3749">
        <v>-0.99852960000000002</v>
      </c>
      <c r="N3749">
        <v>0</v>
      </c>
      <c r="O3749">
        <v>-5.238251E-2</v>
      </c>
      <c r="P3749">
        <v>-0.97350979999999998</v>
      </c>
      <c r="Q3749">
        <v>0.18108260000000001</v>
      </c>
      <c r="R3749">
        <v>-0.13960020000000001</v>
      </c>
      <c r="S3749">
        <v>-3.015717</v>
      </c>
      <c r="T3749">
        <v>-0.25311549999999999</v>
      </c>
      <c r="U3749">
        <v>-0.80650330000000003</v>
      </c>
      <c r="V3749">
        <v>-9.0392760000000003E-2</v>
      </c>
      <c r="W3749">
        <v>0.19383529999999999</v>
      </c>
      <c r="X3749">
        <v>0.97686079999999997</v>
      </c>
      <c r="Y3749">
        <v>-0.20688490000000001</v>
      </c>
      <c r="Z3749">
        <v>-4.2129999999999997E-3</v>
      </c>
      <c r="AA3749">
        <v>0.97835620000000001</v>
      </c>
      <c r="AB3749">
        <v>34</v>
      </c>
      <c r="AC3749">
        <v>-12.9579</v>
      </c>
      <c r="AD3749">
        <v>-1.114600252944</v>
      </c>
      <c r="AE3749">
        <v>-3.5310999999999999</v>
      </c>
      <c r="AF3749">
        <v>-2.82794040572609</v>
      </c>
      <c r="AG3749">
        <v>-1.114600252944</v>
      </c>
      <c r="AH3749">
        <v>13.0353120842944</v>
      </c>
      <c r="AI3749">
        <v>94.776675342926893</v>
      </c>
      <c r="AJ3749">
        <v>102.24033149258899</v>
      </c>
      <c r="AK3749">
        <v>13.3850267761089</v>
      </c>
      <c r="AL3749">
        <v>78.823306890958307</v>
      </c>
      <c r="AM3749">
        <v>95.286748122861695</v>
      </c>
      <c r="AN3749">
        <v>0.99999999858157296</v>
      </c>
    </row>
    <row r="3750" spans="1:40" x14ac:dyDescent="0.25">
      <c r="A3750" t="str">
        <f>"20190312164343079"</f>
        <v>20190312164343079</v>
      </c>
      <c r="B3750" t="str">
        <f>"1552380223068358"</f>
        <v>1552380223068358</v>
      </c>
      <c r="C3750" t="s">
        <v>40</v>
      </c>
      <c r="D3750">
        <v>4.5962399999999999</v>
      </c>
      <c r="E3750">
        <v>0.45670810000000001</v>
      </c>
      <c r="F3750" t="s">
        <v>49</v>
      </c>
      <c r="G3750">
        <v>-404.6825</v>
      </c>
      <c r="H3750" s="1">
        <v>-6.3691480000000002E-6</v>
      </c>
      <c r="I3750">
        <v>137.3175</v>
      </c>
      <c r="J3750">
        <v>-391.67610000000002</v>
      </c>
      <c r="K3750">
        <v>1.1147579999999999</v>
      </c>
      <c r="L3750">
        <v>140.93350000000001</v>
      </c>
      <c r="M3750">
        <v>-0.99825399999999997</v>
      </c>
      <c r="N3750">
        <v>0</v>
      </c>
      <c r="O3750">
        <v>-5.7388359999999999E-2</v>
      </c>
      <c r="P3750">
        <v>-0.97264680000000003</v>
      </c>
      <c r="Q3750">
        <v>0.180421</v>
      </c>
      <c r="R3750">
        <v>-0.14630860000000001</v>
      </c>
      <c r="S3750">
        <v>-3.0106510000000002</v>
      </c>
      <c r="T3750">
        <v>-0.251693</v>
      </c>
      <c r="U3750">
        <v>-0.82150270000000003</v>
      </c>
      <c r="V3750">
        <v>-9.2298729999999995E-2</v>
      </c>
      <c r="W3750">
        <v>0.19312799999999999</v>
      </c>
      <c r="X3750">
        <v>0.97682270000000004</v>
      </c>
      <c r="Y3750">
        <v>-0.206954</v>
      </c>
      <c r="Z3750">
        <v>-3.7881189999999999E-3</v>
      </c>
      <c r="AA3750">
        <v>0.97834330000000003</v>
      </c>
      <c r="AB3750">
        <v>34</v>
      </c>
      <c r="AC3750">
        <v>-13.0063999999999</v>
      </c>
      <c r="AD3750">
        <v>-1.11476436914799</v>
      </c>
      <c r="AE3750">
        <v>-3.6160000000000099</v>
      </c>
      <c r="AF3750">
        <v>-2.8441562853155098</v>
      </c>
      <c r="AG3750">
        <v>-1.11476436914799</v>
      </c>
      <c r="AH3750">
        <v>13.1031471545003</v>
      </c>
      <c r="AI3750">
        <v>94.752644311024696</v>
      </c>
      <c r="AJ3750">
        <v>102.246593142479</v>
      </c>
      <c r="AK3750">
        <v>13.4545304610199</v>
      </c>
      <c r="AL3750">
        <v>78.864613110901303</v>
      </c>
      <c r="AM3750">
        <v>95.397779130903999</v>
      </c>
      <c r="AN3750">
        <v>1.0000000335894501</v>
      </c>
    </row>
    <row r="3751" spans="1:40" x14ac:dyDescent="0.25">
      <c r="A3751" t="str">
        <f>"20190312164343102"</f>
        <v>20190312164343102</v>
      </c>
      <c r="B3751" t="str">
        <f>"1552380223098613"</f>
        <v>1552380223098613</v>
      </c>
      <c r="C3751" t="s">
        <v>40</v>
      </c>
      <c r="D3751">
        <v>4.7141900000000003</v>
      </c>
      <c r="E3751">
        <v>0.46774890000000002</v>
      </c>
      <c r="F3751" t="s">
        <v>49</v>
      </c>
      <c r="G3751">
        <v>-404.81779999999998</v>
      </c>
      <c r="H3751" s="1">
        <v>-6.4089900000000001E-6</v>
      </c>
      <c r="I3751">
        <v>137.27430000000001</v>
      </c>
      <c r="J3751">
        <v>-392.0086</v>
      </c>
      <c r="K3751">
        <v>1.1149070000000001</v>
      </c>
      <c r="L3751">
        <v>140.90940000000001</v>
      </c>
      <c r="M3751">
        <v>-0.99793770000000004</v>
      </c>
      <c r="N3751">
        <v>0</v>
      </c>
      <c r="O3751">
        <v>-6.2648110000000007E-2</v>
      </c>
      <c r="P3751">
        <v>-0.97171549999999995</v>
      </c>
      <c r="Q3751">
        <v>0.17980660000000001</v>
      </c>
      <c r="R3751">
        <v>-0.15309719999999999</v>
      </c>
      <c r="S3751">
        <v>-3.0057680000000002</v>
      </c>
      <c r="T3751">
        <v>-0.25496799999999997</v>
      </c>
      <c r="U3751">
        <v>-0.83694460000000004</v>
      </c>
      <c r="V3751">
        <v>-9.4034850000000003E-2</v>
      </c>
      <c r="W3751">
        <v>0.19246959999999999</v>
      </c>
      <c r="X3751">
        <v>0.97678699999999996</v>
      </c>
      <c r="Y3751">
        <v>-0.20687759999999999</v>
      </c>
      <c r="Z3751">
        <v>-3.4029120000000001E-3</v>
      </c>
      <c r="AA3751">
        <v>0.97836089999999998</v>
      </c>
      <c r="AB3751">
        <v>34</v>
      </c>
      <c r="AC3751">
        <v>-12.809199999999899</v>
      </c>
      <c r="AD3751">
        <v>-1.1149134089899999</v>
      </c>
      <c r="AE3751">
        <v>-3.6350999999999898</v>
      </c>
      <c r="AF3751">
        <v>-2.8057355664994801</v>
      </c>
      <c r="AG3751">
        <v>-1.1149134089899999</v>
      </c>
      <c r="AH3751">
        <v>12.9211936100088</v>
      </c>
      <c r="AI3751">
        <v>94.8198156310972</v>
      </c>
      <c r="AJ3751">
        <v>102.25114090764301</v>
      </c>
      <c r="AK3751">
        <v>13.269228624377501</v>
      </c>
      <c r="AL3751">
        <v>78.903057245547302</v>
      </c>
      <c r="AM3751">
        <v>95.498893390564604</v>
      </c>
      <c r="AN3751">
        <v>0.99999997165384003</v>
      </c>
    </row>
    <row r="3752" spans="1:40" x14ac:dyDescent="0.25">
      <c r="A3752" t="str">
        <f>"20190312164343124"</f>
        <v>20190312164343124</v>
      </c>
      <c r="B3752" t="str">
        <f>"1552380223118137"</f>
        <v>1552380223118137</v>
      </c>
      <c r="C3752" t="s">
        <v>40</v>
      </c>
      <c r="D3752">
        <v>4.5643229999999999</v>
      </c>
      <c r="E3752">
        <v>0.46962169999999998</v>
      </c>
      <c r="F3752" t="s">
        <v>49</v>
      </c>
      <c r="G3752">
        <v>-405.23469999999998</v>
      </c>
      <c r="H3752" s="1">
        <v>-6.7809029999999996E-6</v>
      </c>
      <c r="I3752">
        <v>137.5333</v>
      </c>
      <c r="J3752">
        <v>-392.3535</v>
      </c>
      <c r="K3752">
        <v>1.115046</v>
      </c>
      <c r="L3752">
        <v>140.88210000000001</v>
      </c>
      <c r="M3752">
        <v>-0.99756940000000005</v>
      </c>
      <c r="N3752">
        <v>0</v>
      </c>
      <c r="O3752">
        <v>-6.8259199999999895E-2</v>
      </c>
      <c r="P3752">
        <v>-0.97057190000000004</v>
      </c>
      <c r="Q3752">
        <v>0.17971999999999999</v>
      </c>
      <c r="R3752">
        <v>-0.16028419999999999</v>
      </c>
      <c r="S3752">
        <v>-3.013153</v>
      </c>
      <c r="T3752">
        <v>-0.25399899999999997</v>
      </c>
      <c r="U3752">
        <v>-0.76913450000000005</v>
      </c>
      <c r="V3752">
        <v>-9.583738E-2</v>
      </c>
      <c r="W3752">
        <v>0.19234000000000001</v>
      </c>
      <c r="X3752">
        <v>0.97663739999999999</v>
      </c>
      <c r="Y3752">
        <v>-0.18023510000000001</v>
      </c>
      <c r="Z3752">
        <v>-1.825253E-3</v>
      </c>
      <c r="AA3752">
        <v>0.98362190000000005</v>
      </c>
      <c r="AB3752">
        <v>34</v>
      </c>
      <c r="AC3752">
        <v>-12.8811999999999</v>
      </c>
      <c r="AD3752">
        <v>-1.115052780903</v>
      </c>
      <c r="AE3752">
        <v>-3.34880000000001</v>
      </c>
      <c r="AF3752">
        <v>-2.4444834100188002</v>
      </c>
      <c r="AG3752">
        <v>-1.115052780903</v>
      </c>
      <c r="AH3752">
        <v>12.988592243986</v>
      </c>
      <c r="AI3752">
        <v>94.822479851841194</v>
      </c>
      <c r="AJ3752">
        <v>100.658524577897</v>
      </c>
      <c r="AK3752">
        <v>13.263573060325401</v>
      </c>
      <c r="AL3752">
        <v>78.910624985899503</v>
      </c>
      <c r="AM3752">
        <v>95.604488536596705</v>
      </c>
      <c r="AN3752">
        <v>1.0000000450420099</v>
      </c>
    </row>
    <row r="3753" spans="1:40" x14ac:dyDescent="0.25">
      <c r="A3753" t="str">
        <f>"20190312164343147"</f>
        <v>20190312164343147</v>
      </c>
      <c r="B3753" t="str">
        <f>"1552380223138629"</f>
        <v>1552380223138629</v>
      </c>
      <c r="C3753" t="s">
        <v>40</v>
      </c>
      <c r="D3753">
        <v>4.5854720000000002</v>
      </c>
      <c r="E3753">
        <v>0.47019149999999998</v>
      </c>
      <c r="F3753" t="s">
        <v>49</v>
      </c>
      <c r="G3753">
        <v>-406.07139999999998</v>
      </c>
      <c r="H3753" s="1">
        <v>-7.2650059999999996E-6</v>
      </c>
      <c r="I3753">
        <v>137.34780000000001</v>
      </c>
      <c r="J3753">
        <v>-392.68740000000003</v>
      </c>
      <c r="K3753">
        <v>1.1151519999999999</v>
      </c>
      <c r="L3753">
        <v>140.85380000000001</v>
      </c>
      <c r="M3753">
        <v>-0.99717489999999998</v>
      </c>
      <c r="N3753">
        <v>0</v>
      </c>
      <c r="O3753">
        <v>-7.3795620000000006E-2</v>
      </c>
      <c r="P3753">
        <v>-0.96917750000000003</v>
      </c>
      <c r="Q3753">
        <v>0.1804318</v>
      </c>
      <c r="R3753">
        <v>-0.16774739999999999</v>
      </c>
      <c r="S3753">
        <v>-3.0082399999999998</v>
      </c>
      <c r="T3753">
        <v>-0.24452470000000001</v>
      </c>
      <c r="U3753">
        <v>-0.77505489999999999</v>
      </c>
      <c r="V3753">
        <v>-9.8004919999999995E-2</v>
      </c>
      <c r="W3753">
        <v>0.19300629999999999</v>
      </c>
      <c r="X3753">
        <v>0.97629080000000001</v>
      </c>
      <c r="Y3753">
        <v>-0.17702879999999999</v>
      </c>
      <c r="Z3753">
        <v>-1.192495E-3</v>
      </c>
      <c r="AA3753">
        <v>0.98420490000000005</v>
      </c>
      <c r="AB3753">
        <v>34</v>
      </c>
      <c r="AC3753">
        <v>-13.383999999999901</v>
      </c>
      <c r="AD3753">
        <v>-1.115159265006</v>
      </c>
      <c r="AE3753">
        <v>-3.5059999999999998</v>
      </c>
      <c r="AF3753">
        <v>-2.4924687254998301</v>
      </c>
      <c r="AG3753">
        <v>-1.115159265006</v>
      </c>
      <c r="AH3753">
        <v>13.5184303726504</v>
      </c>
      <c r="AI3753">
        <v>94.637929680399907</v>
      </c>
      <c r="AJ3753">
        <v>100.446622756051</v>
      </c>
      <c r="AK3753">
        <v>13.7914444593059</v>
      </c>
      <c r="AL3753">
        <v>78.871720024775698</v>
      </c>
      <c r="AM3753">
        <v>95.732430917534899</v>
      </c>
      <c r="AN3753">
        <v>1.0000000611742601</v>
      </c>
    </row>
    <row r="3754" spans="1:40" x14ac:dyDescent="0.25">
      <c r="A3754" t="str">
        <f>"20190312164343170"</f>
        <v>20190312164343170</v>
      </c>
      <c r="B3754" t="str">
        <f>"1552380223158150"</f>
        <v>1552380223158150</v>
      </c>
      <c r="C3754" t="s">
        <v>40</v>
      </c>
      <c r="D3754">
        <v>4.5818729999999999</v>
      </c>
      <c r="E3754">
        <v>0.47085709999999997</v>
      </c>
      <c r="F3754" t="s">
        <v>49</v>
      </c>
      <c r="G3754">
        <v>-406.74639999999999</v>
      </c>
      <c r="H3754" s="1">
        <v>-7.5962950000000001E-6</v>
      </c>
      <c r="I3754">
        <v>137.1414</v>
      </c>
      <c r="J3754">
        <v>-393.01690000000002</v>
      </c>
      <c r="K3754">
        <v>1.1152310000000001</v>
      </c>
      <c r="L3754">
        <v>140.82390000000001</v>
      </c>
      <c r="M3754">
        <v>-0.9967492</v>
      </c>
      <c r="N3754">
        <v>0</v>
      </c>
      <c r="O3754">
        <v>-7.9339820000000005E-2</v>
      </c>
      <c r="P3754">
        <v>-0.96782389999999996</v>
      </c>
      <c r="Q3754">
        <v>0.18069540000000001</v>
      </c>
      <c r="R3754">
        <v>-0.17511789999999999</v>
      </c>
      <c r="S3754">
        <v>-3.0025330000000001</v>
      </c>
      <c r="T3754">
        <v>-0.23816119999999999</v>
      </c>
      <c r="U3754">
        <v>-0.79283139999999996</v>
      </c>
      <c r="V3754">
        <v>-0.1000574</v>
      </c>
      <c r="W3754">
        <v>0.1932285</v>
      </c>
      <c r="X3754">
        <v>0.97603850000000003</v>
      </c>
      <c r="Y3754">
        <v>-0.1774935</v>
      </c>
      <c r="Z3754">
        <v>-7.5257709999999997E-4</v>
      </c>
      <c r="AA3754">
        <v>0.98412169999999999</v>
      </c>
      <c r="AB3754">
        <v>34</v>
      </c>
      <c r="AC3754">
        <v>-13.7294999999999</v>
      </c>
      <c r="AD3754">
        <v>-1.11523859629499</v>
      </c>
      <c r="AE3754">
        <v>-3.6825000000000001</v>
      </c>
      <c r="AF3754">
        <v>-2.5656933266542001</v>
      </c>
      <c r="AG3754">
        <v>-1.11523859629499</v>
      </c>
      <c r="AH3754">
        <v>13.8928924402866</v>
      </c>
      <c r="AI3754">
        <v>94.513523108353098</v>
      </c>
      <c r="AJ3754">
        <v>100.46330556981999</v>
      </c>
      <c r="AK3754">
        <v>14.1717676995665</v>
      </c>
      <c r="AL3754">
        <v>78.858743339497295</v>
      </c>
      <c r="AM3754">
        <v>95.853160543699303</v>
      </c>
      <c r="AN3754">
        <v>0.99999994499462797</v>
      </c>
    </row>
    <row r="3755" spans="1:40" x14ac:dyDescent="0.25">
      <c r="A3755" t="str">
        <f>"20190312164343190"</f>
        <v>20190312164343190</v>
      </c>
      <c r="B3755" t="str">
        <f>"1552380223178645"</f>
        <v>1552380223178645</v>
      </c>
      <c r="C3755" t="s">
        <v>40</v>
      </c>
      <c r="D3755">
        <v>4.5848890000000004</v>
      </c>
      <c r="E3755">
        <v>0.47104810000000003</v>
      </c>
      <c r="F3755" t="s">
        <v>49</v>
      </c>
      <c r="G3755">
        <v>-407.41079999999999</v>
      </c>
      <c r="H3755" s="1">
        <v>-7.91934E-6</v>
      </c>
      <c r="I3755">
        <v>136.93430000000001</v>
      </c>
      <c r="J3755">
        <v>-393.33260000000001</v>
      </c>
      <c r="K3755">
        <v>1.115294</v>
      </c>
      <c r="L3755">
        <v>140.7936</v>
      </c>
      <c r="M3755">
        <v>-0.9963069</v>
      </c>
      <c r="N3755">
        <v>0</v>
      </c>
      <c r="O3755">
        <v>-8.4712720000000005E-2</v>
      </c>
      <c r="P3755">
        <v>-0.96630700000000003</v>
      </c>
      <c r="Q3755">
        <v>0.1814317</v>
      </c>
      <c r="R3755">
        <v>-0.1825755</v>
      </c>
      <c r="S3755">
        <v>-2.996613</v>
      </c>
      <c r="T3755">
        <v>-0.23217760000000001</v>
      </c>
      <c r="U3755">
        <v>-0.80976870000000001</v>
      </c>
      <c r="V3755">
        <v>-0.1023792</v>
      </c>
      <c r="W3755">
        <v>0.19392229999999999</v>
      </c>
      <c r="X3755">
        <v>0.97566010000000003</v>
      </c>
      <c r="Y3755">
        <v>-0.1778865</v>
      </c>
      <c r="Z3755">
        <v>-3.4469829999999999E-4</v>
      </c>
      <c r="AA3755">
        <v>0.98405100000000001</v>
      </c>
      <c r="AB3755">
        <v>33</v>
      </c>
      <c r="AC3755">
        <v>-14.078199999999899</v>
      </c>
      <c r="AD3755">
        <v>-1.11530191934</v>
      </c>
      <c r="AE3755">
        <v>-3.85929999999999</v>
      </c>
      <c r="AF3755">
        <v>-2.6373098782873399</v>
      </c>
      <c r="AG3755">
        <v>-1.11530191934</v>
      </c>
      <c r="AH3755">
        <v>14.2712412494703</v>
      </c>
      <c r="AI3755">
        <v>94.394491838315602</v>
      </c>
      <c r="AJ3755">
        <v>100.470077611181</v>
      </c>
      <c r="AK3755">
        <v>14.5556734150632</v>
      </c>
      <c r="AL3755">
        <v>78.818225703977902</v>
      </c>
      <c r="AM3755">
        <v>95.990310995190399</v>
      </c>
      <c r="AN3755">
        <v>0.99999999488096902</v>
      </c>
    </row>
    <row r="3756" spans="1:40" x14ac:dyDescent="0.25">
      <c r="A3756" t="str">
        <f>"20190312164343212"</f>
        <v>20190312164343212</v>
      </c>
      <c r="B3756" t="str">
        <f>"1552380223208902"</f>
        <v>1552380223208902</v>
      </c>
      <c r="C3756" t="s">
        <v>40</v>
      </c>
      <c r="D3756">
        <v>4.607952</v>
      </c>
      <c r="E3756">
        <v>0.44370880000000001</v>
      </c>
      <c r="F3756" t="s">
        <v>49</v>
      </c>
      <c r="G3756">
        <v>-407.65910000000002</v>
      </c>
      <c r="H3756" s="1">
        <v>-8.0209970000000001E-6</v>
      </c>
      <c r="I3756">
        <v>136.81309999999999</v>
      </c>
      <c r="J3756">
        <v>-393.66390000000001</v>
      </c>
      <c r="K3756">
        <v>1.1153649999999999</v>
      </c>
      <c r="L3756">
        <v>140.75980000000001</v>
      </c>
      <c r="M3756">
        <v>-0.99580679999999999</v>
      </c>
      <c r="N3756">
        <v>0</v>
      </c>
      <c r="O3756">
        <v>-9.0399930000000003E-2</v>
      </c>
      <c r="P3756">
        <v>-0.96484049999999999</v>
      </c>
      <c r="Q3756">
        <v>0.18235380000000001</v>
      </c>
      <c r="R3756">
        <v>-0.1892896</v>
      </c>
      <c r="S3756">
        <v>-2.9912719999999999</v>
      </c>
      <c r="T3756">
        <v>-0.23286570000000001</v>
      </c>
      <c r="U3756">
        <v>-0.83108519999999897</v>
      </c>
      <c r="V3756">
        <v>-0.10364959999999999</v>
      </c>
      <c r="W3756">
        <v>0.19481619999999999</v>
      </c>
      <c r="X3756">
        <v>0.97534790000000005</v>
      </c>
      <c r="Y3756">
        <v>-0.1792426</v>
      </c>
      <c r="Z3756" s="1">
        <v>3.1901060000000003E-5</v>
      </c>
      <c r="AA3756">
        <v>0.98380489999999998</v>
      </c>
      <c r="AB3756">
        <v>33</v>
      </c>
      <c r="AC3756">
        <v>-13.995200000000001</v>
      </c>
      <c r="AD3756">
        <v>-1.1153730209970001</v>
      </c>
      <c r="AE3756">
        <v>-3.9467000000000199</v>
      </c>
      <c r="AF3756">
        <v>-2.6496579631676598</v>
      </c>
      <c r="AG3756">
        <v>-1.1153730209970001</v>
      </c>
      <c r="AH3756">
        <v>14.2110889990937</v>
      </c>
      <c r="AI3756">
        <v>94.411997394968097</v>
      </c>
      <c r="AJ3756">
        <v>100.561528495031</v>
      </c>
      <c r="AK3756">
        <v>14.4989584052755</v>
      </c>
      <c r="AL3756">
        <v>78.7660139571001</v>
      </c>
      <c r="AM3756">
        <v>96.066019474799106</v>
      </c>
      <c r="AN3756">
        <v>1.0000000586985001</v>
      </c>
    </row>
    <row r="3757" spans="1:40" x14ac:dyDescent="0.25">
      <c r="A3757" t="str">
        <f>"20190312164343236"</f>
        <v>20190312164343236</v>
      </c>
      <c r="B3757" t="str">
        <f>"1552380223228425"</f>
        <v>1552380223228425</v>
      </c>
      <c r="C3757" t="s">
        <v>40</v>
      </c>
      <c r="D3757">
        <v>4.5976850000000002</v>
      </c>
      <c r="E3757">
        <v>0.43715619999999999</v>
      </c>
      <c r="F3757" t="s">
        <v>49</v>
      </c>
      <c r="G3757">
        <v>-410.27929999999998</v>
      </c>
      <c r="H3757" s="1">
        <v>-8.5214710000000003E-6</v>
      </c>
      <c r="I3757">
        <v>134.74889999999999</v>
      </c>
      <c r="J3757">
        <v>-394.00310000000002</v>
      </c>
      <c r="K3757">
        <v>1.11541</v>
      </c>
      <c r="L3757">
        <v>140.72329999999999</v>
      </c>
      <c r="M3757">
        <v>-0.99525759999999996</v>
      </c>
      <c r="N3757">
        <v>0</v>
      </c>
      <c r="O3757">
        <v>-9.6256809999999998E-2</v>
      </c>
      <c r="P3757">
        <v>-0.96333199999999997</v>
      </c>
      <c r="Q3757">
        <v>0.18319669999999999</v>
      </c>
      <c r="R3757">
        <v>-0.19603780000000001</v>
      </c>
      <c r="S3757">
        <v>-2.9380799999999998</v>
      </c>
      <c r="T3757">
        <v>-0.19723019999999999</v>
      </c>
      <c r="U3757">
        <v>-1.062897</v>
      </c>
      <c r="V3757">
        <v>-0.1047897</v>
      </c>
      <c r="W3757">
        <v>0.19563459999999999</v>
      </c>
      <c r="X3757">
        <v>0.97506219999999999</v>
      </c>
      <c r="Y3757">
        <v>-0.2477849</v>
      </c>
      <c r="Z3757">
        <v>-1.829113E-3</v>
      </c>
      <c r="AA3757">
        <v>0.96881340000000005</v>
      </c>
      <c r="AB3757">
        <v>33</v>
      </c>
      <c r="AC3757">
        <v>-16.2761999999999</v>
      </c>
      <c r="AD3757">
        <v>-1.115418521471</v>
      </c>
      <c r="AE3757">
        <v>-5.9744000000000002</v>
      </c>
      <c r="AF3757">
        <v>-4.3617507707241101</v>
      </c>
      <c r="AG3757">
        <v>-1.115418521471</v>
      </c>
      <c r="AH3757">
        <v>16.706595052150401</v>
      </c>
      <c r="AI3757">
        <v>93.696160587138394</v>
      </c>
      <c r="AJ3757">
        <v>104.63213951293601</v>
      </c>
      <c r="AK3757">
        <v>17.3025820761091</v>
      </c>
      <c r="AL3757">
        <v>78.718202875371105</v>
      </c>
      <c r="AM3757">
        <v>96.134020468245495</v>
      </c>
      <c r="AN3757">
        <v>1.0000000359060399</v>
      </c>
    </row>
    <row r="3758" spans="1:40" x14ac:dyDescent="0.25">
      <c r="A3758" t="str">
        <f>"20190312164343257"</f>
        <v>20190312164343257</v>
      </c>
      <c r="B3758" t="str">
        <f>"1552380223248918"</f>
        <v>1552380223248918</v>
      </c>
      <c r="C3758" t="s">
        <v>40</v>
      </c>
      <c r="D3758">
        <v>4.6002929999999997</v>
      </c>
      <c r="E3758">
        <v>0.43439109999999997</v>
      </c>
      <c r="F3758" t="s">
        <v>49</v>
      </c>
      <c r="G3758">
        <v>-409.2534</v>
      </c>
      <c r="H3758" s="1">
        <v>-8.1312749999999995E-6</v>
      </c>
      <c r="I3758">
        <v>134.79470000000001</v>
      </c>
      <c r="J3758">
        <v>-394.31869999999998</v>
      </c>
      <c r="K3758">
        <v>1.115443</v>
      </c>
      <c r="L3758">
        <v>140.6874</v>
      </c>
      <c r="M3758">
        <v>-0.99471339999999997</v>
      </c>
      <c r="N3758">
        <v>0</v>
      </c>
      <c r="O3758">
        <v>-0.1017256</v>
      </c>
      <c r="P3758">
        <v>-0.96195540000000002</v>
      </c>
      <c r="Q3758">
        <v>0.1835145</v>
      </c>
      <c r="R3758">
        <v>-0.20239660000000001</v>
      </c>
      <c r="S3758">
        <v>-2.923584</v>
      </c>
      <c r="T3758">
        <v>-0.21383269999999999</v>
      </c>
      <c r="U3758">
        <v>-1.136536</v>
      </c>
      <c r="V3758">
        <v>-0.10589999999999999</v>
      </c>
      <c r="W3758">
        <v>0.19593150000000001</v>
      </c>
      <c r="X3758">
        <v>0.97488249999999999</v>
      </c>
      <c r="Y3758">
        <v>-0.26525270000000001</v>
      </c>
      <c r="Z3758">
        <v>-2.2204680000000002E-3</v>
      </c>
      <c r="AA3758">
        <v>0.96417640000000004</v>
      </c>
      <c r="AB3758">
        <v>33</v>
      </c>
      <c r="AC3758">
        <v>-14.934699999999999</v>
      </c>
      <c r="AD3758">
        <v>-1.115451131275</v>
      </c>
      <c r="AE3758">
        <v>-5.8926999999999898</v>
      </c>
      <c r="AF3758">
        <v>-4.3218731128094996</v>
      </c>
      <c r="AG3758">
        <v>-1.115451131275</v>
      </c>
      <c r="AH3758">
        <v>15.382458512081101</v>
      </c>
      <c r="AI3758">
        <v>93.993419228830604</v>
      </c>
      <c r="AJ3758">
        <v>105.693299531588</v>
      </c>
      <c r="AK3758">
        <v>16.016955026014902</v>
      </c>
      <c r="AL3758">
        <v>78.700854788872604</v>
      </c>
      <c r="AM3758">
        <v>96.199643891153897</v>
      </c>
      <c r="AN3758">
        <v>0.99999992574924701</v>
      </c>
    </row>
    <row r="3759" spans="1:40" x14ac:dyDescent="0.25">
      <c r="A3759" t="str">
        <f>"20190312164343280"</f>
        <v>20190312164343280</v>
      </c>
      <c r="B3759" t="str">
        <f>"1552380223268438"</f>
        <v>1552380223268438</v>
      </c>
      <c r="C3759" t="s">
        <v>40</v>
      </c>
      <c r="D3759">
        <v>4.5698460000000001</v>
      </c>
      <c r="E3759">
        <v>0.43520300000000001</v>
      </c>
      <c r="F3759" t="s">
        <v>49</v>
      </c>
      <c r="G3759">
        <v>-407.74</v>
      </c>
      <c r="H3759" s="1">
        <v>-7.3918769999999999E-6</v>
      </c>
      <c r="I3759">
        <v>135.2587</v>
      </c>
      <c r="J3759">
        <v>-394.64920000000001</v>
      </c>
      <c r="K3759">
        <v>1.115472</v>
      </c>
      <c r="L3759">
        <v>140.648</v>
      </c>
      <c r="M3759">
        <v>-0.99410960000000004</v>
      </c>
      <c r="N3759">
        <v>0</v>
      </c>
      <c r="O3759">
        <v>-0.1074669</v>
      </c>
      <c r="P3759">
        <v>-0.96052660000000001</v>
      </c>
      <c r="Q3759">
        <v>0.18318570000000001</v>
      </c>
      <c r="R3759">
        <v>-0.2093602</v>
      </c>
      <c r="S3759">
        <v>-2.916687</v>
      </c>
      <c r="T3759">
        <v>-0.24240709999999999</v>
      </c>
      <c r="U3759">
        <v>-1.1797489999999999</v>
      </c>
      <c r="V3759">
        <v>-0.1073398</v>
      </c>
      <c r="W3759">
        <v>0.19558030000000001</v>
      </c>
      <c r="X3759">
        <v>0.97479559999999998</v>
      </c>
      <c r="Y3759">
        <v>-0.27267730000000001</v>
      </c>
      <c r="Z3759">
        <v>-2.3611109999999999E-3</v>
      </c>
      <c r="AA3759">
        <v>0.96210269999999998</v>
      </c>
      <c r="AB3759">
        <v>33</v>
      </c>
      <c r="AC3759">
        <v>-13.0908</v>
      </c>
      <c r="AD3759">
        <v>-1.1154793918770001</v>
      </c>
      <c r="AE3759">
        <v>-5.3892999999999898</v>
      </c>
      <c r="AF3759">
        <v>-3.9267366522150602</v>
      </c>
      <c r="AG3759">
        <v>-1.1154793918770001</v>
      </c>
      <c r="AH3759">
        <v>13.510319595199</v>
      </c>
      <c r="AI3759">
        <v>94.533160659630497</v>
      </c>
      <c r="AJ3759">
        <v>106.206358619233</v>
      </c>
      <c r="AK3759">
        <v>14.1135498927084</v>
      </c>
      <c r="AL3759">
        <v>78.721374614222398</v>
      </c>
      <c r="AM3759">
        <v>96.283819247615199</v>
      </c>
      <c r="AN3759">
        <v>0.99999997409574404</v>
      </c>
    </row>
    <row r="3760" spans="1:40" x14ac:dyDescent="0.25">
      <c r="A3760" t="str">
        <f>"20190312164343302"</f>
        <v>20190312164343302</v>
      </c>
      <c r="B3760" t="str">
        <f>"1552380223298694"</f>
        <v>1552380223298694</v>
      </c>
      <c r="C3760" t="s">
        <v>40</v>
      </c>
      <c r="D3760">
        <v>6.8516389999999996</v>
      </c>
      <c r="E3760">
        <v>0.43513980000000002</v>
      </c>
      <c r="F3760" t="s">
        <v>49</v>
      </c>
      <c r="G3760">
        <v>-407.44740000000002</v>
      </c>
      <c r="H3760" s="1">
        <v>-7.2704510000000002E-6</v>
      </c>
      <c r="I3760">
        <v>135.39750000000001</v>
      </c>
      <c r="J3760">
        <v>-394.97300000000001</v>
      </c>
      <c r="K3760">
        <v>1.115491</v>
      </c>
      <c r="L3760">
        <v>140.60740000000001</v>
      </c>
      <c r="M3760">
        <v>-0.99348440000000005</v>
      </c>
      <c r="N3760">
        <v>0</v>
      </c>
      <c r="O3760">
        <v>-0.1131004</v>
      </c>
      <c r="P3760">
        <v>-0.95899789999999996</v>
      </c>
      <c r="Q3760">
        <v>0.183138</v>
      </c>
      <c r="R3760">
        <v>-0.2162956</v>
      </c>
      <c r="S3760">
        <v>-2.911346</v>
      </c>
      <c r="T3760">
        <v>-0.25374869999999999</v>
      </c>
      <c r="U3760">
        <v>-1.194366</v>
      </c>
      <c r="V3760">
        <v>-0.1088682</v>
      </c>
      <c r="W3760">
        <v>0.1955102</v>
      </c>
      <c r="X3760">
        <v>0.97464019999999996</v>
      </c>
      <c r="Y3760">
        <v>-0.27195330000000001</v>
      </c>
      <c r="Z3760">
        <v>-1.9795220000000001E-3</v>
      </c>
      <c r="AA3760">
        <v>0.96230839999999995</v>
      </c>
      <c r="AB3760">
        <v>33</v>
      </c>
      <c r="AC3760">
        <v>-12.474399999999999</v>
      </c>
      <c r="AD3760">
        <v>-1.1154982704509999</v>
      </c>
      <c r="AE3760">
        <v>-5.2099000000000002</v>
      </c>
      <c r="AF3760">
        <v>-3.7400007731848999</v>
      </c>
      <c r="AG3760">
        <v>-1.1154982704509999</v>
      </c>
      <c r="AH3760">
        <v>12.895837443704901</v>
      </c>
      <c r="AI3760">
        <v>94.749077628468498</v>
      </c>
      <c r="AJ3760">
        <v>106.173011108129</v>
      </c>
      <c r="AK3760">
        <v>13.4734763720899</v>
      </c>
      <c r="AL3760">
        <v>78.725470653331001</v>
      </c>
      <c r="AM3760">
        <v>96.373570617831604</v>
      </c>
      <c r="AN3760">
        <v>1.0000000213656499</v>
      </c>
    </row>
    <row r="3761" spans="1:40" x14ac:dyDescent="0.25">
      <c r="A3761" t="str">
        <f>"20190312164343326"</f>
        <v>20190312164343326</v>
      </c>
      <c r="B3761" t="str">
        <f>"1552380223318213"</f>
        <v>1552380223318213</v>
      </c>
      <c r="C3761" t="s">
        <v>40</v>
      </c>
      <c r="D3761">
        <v>4.4511649999999996</v>
      </c>
      <c r="E3761">
        <v>0.43540000000000001</v>
      </c>
      <c r="F3761" t="s">
        <v>49</v>
      </c>
      <c r="G3761">
        <v>-407.46080000000001</v>
      </c>
      <c r="H3761" s="1">
        <v>-7.2687739999999901E-6</v>
      </c>
      <c r="I3761">
        <v>135.37469999999999</v>
      </c>
      <c r="J3761">
        <v>-395.3143</v>
      </c>
      <c r="K3761">
        <v>1.1155040000000001</v>
      </c>
      <c r="L3761">
        <v>140.5625</v>
      </c>
      <c r="M3761">
        <v>-0.9927897</v>
      </c>
      <c r="N3761">
        <v>0</v>
      </c>
      <c r="O3761">
        <v>-0.11904380000000001</v>
      </c>
      <c r="P3761">
        <v>-0.95749450000000003</v>
      </c>
      <c r="Q3761">
        <v>0.1827375</v>
      </c>
      <c r="R3761">
        <v>-0.2231843</v>
      </c>
      <c r="S3761">
        <v>-2.903381</v>
      </c>
      <c r="T3761">
        <v>-0.25935069999999999</v>
      </c>
      <c r="U3761">
        <v>-1.216583</v>
      </c>
      <c r="V3761">
        <v>-0.11003599999999999</v>
      </c>
      <c r="W3761">
        <v>0.19509399999999999</v>
      </c>
      <c r="X3761">
        <v>0.97459240000000003</v>
      </c>
      <c r="Y3761">
        <v>-0.27339429999999998</v>
      </c>
      <c r="Z3761">
        <v>-1.5878579999999999E-3</v>
      </c>
      <c r="AA3761">
        <v>0.9619008</v>
      </c>
      <c r="AB3761">
        <v>33</v>
      </c>
      <c r="AC3761">
        <v>-12.1465</v>
      </c>
      <c r="AD3761">
        <v>-1.1155112687739901</v>
      </c>
      <c r="AE3761">
        <v>-5.18780000000001</v>
      </c>
      <c r="AF3761">
        <v>-3.6785548649450299</v>
      </c>
      <c r="AG3761">
        <v>-1.1155112687739901</v>
      </c>
      <c r="AH3761">
        <v>12.587955026575001</v>
      </c>
      <c r="AI3761">
        <v>94.861865221408294</v>
      </c>
      <c r="AJ3761">
        <v>106.289848911519</v>
      </c>
      <c r="AK3761">
        <v>13.1617910269176</v>
      </c>
      <c r="AL3761">
        <v>78.749784775295495</v>
      </c>
      <c r="AM3761">
        <v>96.441679870589894</v>
      </c>
      <c r="AN3761">
        <v>0.99999996813487901</v>
      </c>
    </row>
    <row r="3762" spans="1:40" x14ac:dyDescent="0.25">
      <c r="A3762" t="str">
        <f>"20190312164343349"</f>
        <v>20190312164343349</v>
      </c>
      <c r="B3762" t="str">
        <f>"1552380223338710"</f>
        <v>1552380223338710</v>
      </c>
      <c r="C3762" t="s">
        <v>40</v>
      </c>
      <c r="D3762">
        <v>4.5232530000000004</v>
      </c>
      <c r="E3762">
        <v>0.435421</v>
      </c>
      <c r="F3762" t="s">
        <v>49</v>
      </c>
      <c r="G3762">
        <v>-407.56049999999999</v>
      </c>
      <c r="H3762" s="1">
        <v>-7.311938E-6</v>
      </c>
      <c r="I3762">
        <v>135.3314</v>
      </c>
      <c r="J3762">
        <v>-395.6508</v>
      </c>
      <c r="K3762">
        <v>1.1155079999999999</v>
      </c>
      <c r="L3762">
        <v>140.5162</v>
      </c>
      <c r="M3762">
        <v>-0.99206919999999998</v>
      </c>
      <c r="N3762">
        <v>0</v>
      </c>
      <c r="O3762">
        <v>-0.1249055</v>
      </c>
      <c r="P3762">
        <v>-0.95584360000000002</v>
      </c>
      <c r="Q3762">
        <v>0.182337</v>
      </c>
      <c r="R3762">
        <v>-0.23047039999999999</v>
      </c>
      <c r="S3762">
        <v>-2.8952330000000002</v>
      </c>
      <c r="T3762">
        <v>-0.2637274</v>
      </c>
      <c r="U3762">
        <v>-1.2367250000000001</v>
      </c>
      <c r="V3762">
        <v>-0.11169469999999999</v>
      </c>
      <c r="W3762">
        <v>0.19467209999999999</v>
      </c>
      <c r="X3762">
        <v>0.97448809999999997</v>
      </c>
      <c r="Y3762">
        <v>-0.27435019999999999</v>
      </c>
      <c r="Z3762">
        <v>-1.1577880000000001E-3</v>
      </c>
      <c r="AA3762">
        <v>0.96162919999999996</v>
      </c>
      <c r="AB3762">
        <v>33</v>
      </c>
      <c r="AC3762">
        <v>-11.9096999999999</v>
      </c>
      <c r="AD3762">
        <v>-1.1155153119379999</v>
      </c>
      <c r="AE3762">
        <v>-5.1847999999999903</v>
      </c>
      <c r="AF3762">
        <v>-3.62968430086551</v>
      </c>
      <c r="AG3762">
        <v>-1.1155153119379999</v>
      </c>
      <c r="AH3762">
        <v>12.372833653326101</v>
      </c>
      <c r="AI3762">
        <v>94.944497690861695</v>
      </c>
      <c r="AJ3762">
        <v>106.349534969785</v>
      </c>
      <c r="AK3762">
        <v>12.942410716245901</v>
      </c>
      <c r="AL3762">
        <v>78.774430712110103</v>
      </c>
      <c r="AM3762">
        <v>96.538641913352606</v>
      </c>
      <c r="AN3762">
        <v>0.99999999478405399</v>
      </c>
    </row>
    <row r="3763" spans="1:40" x14ac:dyDescent="0.25">
      <c r="A3763" t="str">
        <f>"20190312164343372"</f>
        <v>20190312164343372</v>
      </c>
      <c r="B3763" t="str">
        <f>"1552380223368967"</f>
        <v>1552380223368967</v>
      </c>
      <c r="C3763" t="s">
        <v>40</v>
      </c>
      <c r="D3763">
        <v>4.4845040000000003</v>
      </c>
      <c r="E3763">
        <v>0.43564229999999998</v>
      </c>
      <c r="F3763" t="s">
        <v>49</v>
      </c>
      <c r="G3763">
        <v>-407.72669999999999</v>
      </c>
      <c r="H3763" s="1">
        <v>-7.3792819999999997E-6</v>
      </c>
      <c r="I3763">
        <v>135.24879999999999</v>
      </c>
      <c r="J3763">
        <v>-395.99239999999998</v>
      </c>
      <c r="K3763">
        <v>1.1155170000000001</v>
      </c>
      <c r="L3763">
        <v>140.46709999999999</v>
      </c>
      <c r="M3763">
        <v>-0.99130079999999998</v>
      </c>
      <c r="N3763">
        <v>0</v>
      </c>
      <c r="O3763">
        <v>-0.13086439999999999</v>
      </c>
      <c r="P3763">
        <v>-0.95396970000000003</v>
      </c>
      <c r="Q3763">
        <v>0.18212629999999999</v>
      </c>
      <c r="R3763">
        <v>-0.23826919999999999</v>
      </c>
      <c r="S3763">
        <v>-2.8859560000000002</v>
      </c>
      <c r="T3763">
        <v>-0.26659169999999999</v>
      </c>
      <c r="U3763">
        <v>-1.2588200000000001</v>
      </c>
      <c r="V3763">
        <v>-0.11379789999999999</v>
      </c>
      <c r="W3763">
        <v>0.19443260000000001</v>
      </c>
      <c r="X3763">
        <v>0.97429259999999995</v>
      </c>
      <c r="Y3763">
        <v>-0.2758948</v>
      </c>
      <c r="Z3763">
        <v>-7.2606560000000001E-4</v>
      </c>
      <c r="AA3763">
        <v>0.96118749999999997</v>
      </c>
      <c r="AB3763">
        <v>33</v>
      </c>
      <c r="AC3763">
        <v>-11.734299999999999</v>
      </c>
      <c r="AD3763">
        <v>-1.115524379282</v>
      </c>
      <c r="AE3763">
        <v>-5.2182999999999904</v>
      </c>
      <c r="AF3763">
        <v>-3.61042009862825</v>
      </c>
      <c r="AG3763">
        <v>-1.115524379282</v>
      </c>
      <c r="AH3763">
        <v>12.2240916166432</v>
      </c>
      <c r="AI3763">
        <v>95.001710633184402</v>
      </c>
      <c r="AJ3763">
        <v>106.454654884135</v>
      </c>
      <c r="AK3763">
        <v>12.794840514107101</v>
      </c>
      <c r="AL3763">
        <v>78.788420811426803</v>
      </c>
      <c r="AM3763">
        <v>96.6619922016326</v>
      </c>
      <c r="AN3763">
        <v>1.0000000342009601</v>
      </c>
    </row>
    <row r="3764" spans="1:40" x14ac:dyDescent="0.25">
      <c r="A3764" t="str">
        <f>"20190312164343397"</f>
        <v>20190312164343397</v>
      </c>
      <c r="B3764" t="str">
        <f>"1552380223388486"</f>
        <v>1552380223388486</v>
      </c>
      <c r="C3764" t="s">
        <v>40</v>
      </c>
      <c r="D3764">
        <v>4.4496330000000004</v>
      </c>
      <c r="E3764">
        <v>0.43598419999999999</v>
      </c>
      <c r="F3764" t="s">
        <v>49</v>
      </c>
      <c r="G3764">
        <v>-407.48829999999998</v>
      </c>
      <c r="H3764" s="1">
        <v>-7.2754330000000001E-6</v>
      </c>
      <c r="I3764">
        <v>135.35069999999999</v>
      </c>
      <c r="J3764">
        <v>-396.35239999999999</v>
      </c>
      <c r="K3764">
        <v>1.1155310000000001</v>
      </c>
      <c r="L3764">
        <v>140.41319999999999</v>
      </c>
      <c r="M3764">
        <v>-0.99044759999999998</v>
      </c>
      <c r="N3764">
        <v>0</v>
      </c>
      <c r="O3764">
        <v>-0.13717190000000001</v>
      </c>
      <c r="P3764">
        <v>-0.95196060000000005</v>
      </c>
      <c r="Q3764">
        <v>0.1818283</v>
      </c>
      <c r="R3764">
        <v>-0.24639349999999999</v>
      </c>
      <c r="S3764">
        <v>-2.8781430000000001</v>
      </c>
      <c r="T3764">
        <v>-0.2792848</v>
      </c>
      <c r="U3764">
        <v>-1.2809600000000001</v>
      </c>
      <c r="V3764">
        <v>-0.1159024</v>
      </c>
      <c r="W3764">
        <v>0.19410379999999999</v>
      </c>
      <c r="X3764">
        <v>0.97411000000000003</v>
      </c>
      <c r="Y3764">
        <v>-0.27689209999999997</v>
      </c>
      <c r="Z3764">
        <v>-2.3766790000000001E-4</v>
      </c>
      <c r="AA3764">
        <v>0.96090100000000001</v>
      </c>
      <c r="AB3764">
        <v>33</v>
      </c>
      <c r="AC3764">
        <v>-11.1358999999999</v>
      </c>
      <c r="AD3764">
        <v>-1.1155382754330001</v>
      </c>
      <c r="AE3764">
        <v>-5.0625</v>
      </c>
      <c r="AF3764">
        <v>-3.4581933036316199</v>
      </c>
      <c r="AG3764">
        <v>-1.1155382754330001</v>
      </c>
      <c r="AH3764">
        <v>11.6284104300764</v>
      </c>
      <c r="AI3764">
        <v>95.253691759942399</v>
      </c>
      <c r="AJ3764">
        <v>106.562043403465</v>
      </c>
      <c r="AK3764">
        <v>12.1829165514481</v>
      </c>
      <c r="AL3764">
        <v>78.807624835580498</v>
      </c>
      <c r="AM3764">
        <v>96.785316339212898</v>
      </c>
      <c r="AN3764">
        <v>0.99999997180009903</v>
      </c>
    </row>
    <row r="3765" spans="1:40" x14ac:dyDescent="0.25">
      <c r="A3765" t="str">
        <f>"20190312164343415"</f>
        <v>20190312164343415</v>
      </c>
      <c r="B3765" t="str">
        <f>"1552380223408983"</f>
        <v>1552380223408983</v>
      </c>
      <c r="C3765" t="s">
        <v>40</v>
      </c>
      <c r="D3765">
        <v>4.4709719999999997</v>
      </c>
      <c r="E3765">
        <v>0.43637409999999999</v>
      </c>
      <c r="F3765" t="s">
        <v>49</v>
      </c>
      <c r="G3765">
        <v>-407.70370000000003</v>
      </c>
      <c r="H3765" s="1">
        <v>-7.3675469999999996E-6</v>
      </c>
      <c r="I3765">
        <v>135.25470000000001</v>
      </c>
      <c r="J3765">
        <v>-396.6275</v>
      </c>
      <c r="K3765">
        <v>1.1155569999999999</v>
      </c>
      <c r="L3765">
        <v>140.37029999999999</v>
      </c>
      <c r="M3765">
        <v>-0.98976129999999996</v>
      </c>
      <c r="N3765">
        <v>0</v>
      </c>
      <c r="O3765">
        <v>-0.14203929999999901</v>
      </c>
      <c r="P3765">
        <v>-0.95053399999999999</v>
      </c>
      <c r="Q3765">
        <v>0.18058540000000001</v>
      </c>
      <c r="R3765">
        <v>-0.25273309999999999</v>
      </c>
      <c r="S3765">
        <v>-2.8678590000000002</v>
      </c>
      <c r="T3765">
        <v>-0.28183589999999997</v>
      </c>
      <c r="U3765">
        <v>-1.3032680000000001</v>
      </c>
      <c r="V3765">
        <v>-0.11757330000000001</v>
      </c>
      <c r="W3765">
        <v>0.19283549999999999</v>
      </c>
      <c r="X3765">
        <v>0.97416170000000002</v>
      </c>
      <c r="Y3765">
        <v>-0.27965780000000001</v>
      </c>
      <c r="Z3765" s="1">
        <v>7.3662030000000003E-5</v>
      </c>
      <c r="AA3765">
        <v>0.96009979999999995</v>
      </c>
      <c r="AB3765">
        <v>33</v>
      </c>
      <c r="AC3765">
        <v>-11.0762</v>
      </c>
      <c r="AD3765">
        <v>-1.1155643675469999</v>
      </c>
      <c r="AE3765">
        <v>-5.1155999999999704</v>
      </c>
      <c r="AF3765">
        <v>-3.4613726872754098</v>
      </c>
      <c r="AG3765">
        <v>-1.1155643675469999</v>
      </c>
      <c r="AH3765">
        <v>11.593634918820101</v>
      </c>
      <c r="AI3765">
        <v>95.267812185926402</v>
      </c>
      <c r="AJ3765">
        <v>106.623416604627</v>
      </c>
      <c r="AK3765">
        <v>12.150636006779299</v>
      </c>
      <c r="AL3765">
        <v>78.8816929745838</v>
      </c>
      <c r="AM3765">
        <v>96.881843070991195</v>
      </c>
      <c r="AN3765">
        <v>1.0000000143400101</v>
      </c>
    </row>
    <row r="3766" spans="1:40" x14ac:dyDescent="0.25">
      <c r="A3766" t="str">
        <f>"20190312164343437"</f>
        <v>20190312164343437</v>
      </c>
      <c r="B3766" t="str">
        <f>"1552380223428503"</f>
        <v>1552380223428503</v>
      </c>
      <c r="C3766" t="s">
        <v>40</v>
      </c>
      <c r="D3766">
        <v>4.4235680000000004</v>
      </c>
      <c r="E3766">
        <v>0.43718410000000002</v>
      </c>
      <c r="F3766" t="s">
        <v>49</v>
      </c>
      <c r="G3766">
        <v>-407.77530000000002</v>
      </c>
      <c r="H3766" s="1">
        <v>-7.3977579999999998E-6</v>
      </c>
      <c r="I3766">
        <v>135.22190000000001</v>
      </c>
      <c r="J3766">
        <v>-396.94970000000001</v>
      </c>
      <c r="K3766">
        <v>1.115607</v>
      </c>
      <c r="L3766">
        <v>140.31829999999999</v>
      </c>
      <c r="M3766">
        <v>-0.98891410000000002</v>
      </c>
      <c r="N3766">
        <v>0</v>
      </c>
      <c r="O3766">
        <v>-0.14782210000000001</v>
      </c>
      <c r="P3766">
        <v>-0.94893130000000003</v>
      </c>
      <c r="Q3766">
        <v>0.1789345</v>
      </c>
      <c r="R3766">
        <v>-0.25983079999999997</v>
      </c>
      <c r="S3766">
        <v>-2.859375</v>
      </c>
      <c r="T3766">
        <v>-0.28613939999999999</v>
      </c>
      <c r="U3766">
        <v>-1.320557</v>
      </c>
      <c r="V3766">
        <v>-0.1191222</v>
      </c>
      <c r="W3766">
        <v>0.19115689999999999</v>
      </c>
      <c r="X3766">
        <v>0.97430430000000001</v>
      </c>
      <c r="Y3766">
        <v>-0.27991929999999998</v>
      </c>
      <c r="Z3766">
        <v>5.9764740000000001E-4</v>
      </c>
      <c r="AA3766">
        <v>0.96002330000000002</v>
      </c>
      <c r="AB3766">
        <v>33</v>
      </c>
      <c r="AC3766">
        <v>-10.8256</v>
      </c>
      <c r="AD3766">
        <v>-1.115614397758</v>
      </c>
      <c r="AE3766">
        <v>-5.0963999999999796</v>
      </c>
      <c r="AF3766">
        <v>-3.4103315617083401</v>
      </c>
      <c r="AG3766">
        <v>-1.115614397758</v>
      </c>
      <c r="AH3766">
        <v>11.361313427367801</v>
      </c>
      <c r="AI3766">
        <v>95.372779066779103</v>
      </c>
      <c r="AJ3766">
        <v>106.70820812207801</v>
      </c>
      <c r="AK3766">
        <v>11.914461785584599</v>
      </c>
      <c r="AL3766">
        <v>78.979692342859096</v>
      </c>
      <c r="AM3766">
        <v>96.970607022664694</v>
      </c>
      <c r="AN3766">
        <v>0.999999963974469</v>
      </c>
    </row>
    <row r="3767" spans="1:40" x14ac:dyDescent="0.25">
      <c r="A3767" t="str">
        <f>"20190312164343458"</f>
        <v>20190312164343458</v>
      </c>
      <c r="B3767" t="str">
        <f>"1552380223448023"</f>
        <v>1552380223448023</v>
      </c>
      <c r="C3767" t="s">
        <v>40</v>
      </c>
      <c r="D3767">
        <v>4.3852640000000003</v>
      </c>
      <c r="E3767">
        <v>0.4376678</v>
      </c>
      <c r="F3767" t="s">
        <v>49</v>
      </c>
      <c r="G3767">
        <v>-407.94940000000003</v>
      </c>
      <c r="H3767" s="1">
        <v>-7.4821050000000003E-6</v>
      </c>
      <c r="I3767">
        <v>135.16679999999999</v>
      </c>
      <c r="J3767">
        <v>-397.25220000000002</v>
      </c>
      <c r="K3767">
        <v>1.1156759999999999</v>
      </c>
      <c r="L3767">
        <v>140.26759999999999</v>
      </c>
      <c r="M3767">
        <v>-0.98807</v>
      </c>
      <c r="N3767">
        <v>0</v>
      </c>
      <c r="O3767">
        <v>-0.15336250000000001</v>
      </c>
      <c r="P3767">
        <v>-0.9472699</v>
      </c>
      <c r="Q3767">
        <v>0.17787999999999901</v>
      </c>
      <c r="R3767">
        <v>-0.26653070000000001</v>
      </c>
      <c r="S3767">
        <v>-2.8504640000000001</v>
      </c>
      <c r="T3767">
        <v>-0.28910079999999999</v>
      </c>
      <c r="U3767">
        <v>-1.3349610000000001</v>
      </c>
      <c r="V3767">
        <v>-0.1205413</v>
      </c>
      <c r="W3767">
        <v>0.1900686</v>
      </c>
      <c r="X3767">
        <v>0.97434270000000001</v>
      </c>
      <c r="Y3767">
        <v>-0.2796787</v>
      </c>
      <c r="Z3767">
        <v>1.134698E-3</v>
      </c>
      <c r="AA3767">
        <v>0.96009299999999997</v>
      </c>
      <c r="AB3767">
        <v>33</v>
      </c>
      <c r="AC3767">
        <v>-10.6972</v>
      </c>
      <c r="AD3767">
        <v>-1.1156834821049999</v>
      </c>
      <c r="AE3767">
        <v>-5.1007999999999898</v>
      </c>
      <c r="AF3767">
        <v>-3.3698679597560801</v>
      </c>
      <c r="AG3767">
        <v>-1.1156834821049999</v>
      </c>
      <c r="AH3767">
        <v>11.2532416595783</v>
      </c>
      <c r="AI3767">
        <v>95.425462447379104</v>
      </c>
      <c r="AJ3767">
        <v>106.670725114709</v>
      </c>
      <c r="AK3767">
        <v>11.799839301757499</v>
      </c>
      <c r="AL3767">
        <v>79.043212217679297</v>
      </c>
      <c r="AM3767">
        <v>97.052541083708704</v>
      </c>
      <c r="AN3767">
        <v>0.99999998737746998</v>
      </c>
    </row>
    <row r="3768" spans="1:40" x14ac:dyDescent="0.25">
      <c r="A3768" t="str">
        <f>"20190312164343481"</f>
        <v>20190312164343481</v>
      </c>
      <c r="B3768" t="str">
        <f>"1552380223478278"</f>
        <v>1552380223478278</v>
      </c>
      <c r="C3768" t="s">
        <v>40</v>
      </c>
      <c r="D3768">
        <v>4.3625699999999998</v>
      </c>
      <c r="E3768">
        <v>0.43842029999999899</v>
      </c>
      <c r="F3768" t="s">
        <v>49</v>
      </c>
      <c r="G3768">
        <v>-408.08760000000001</v>
      </c>
      <c r="H3768" s="1">
        <v>-7.5459829999999996E-6</v>
      </c>
      <c r="I3768">
        <v>135.11619999999999</v>
      </c>
      <c r="J3768">
        <v>-397.57470000000001</v>
      </c>
      <c r="K3768">
        <v>1.1157629999999901</v>
      </c>
      <c r="L3768">
        <v>140.2115</v>
      </c>
      <c r="M3768">
        <v>-0.98711170000000004</v>
      </c>
      <c r="N3768">
        <v>0</v>
      </c>
      <c r="O3768">
        <v>-0.15941250000000001</v>
      </c>
      <c r="P3768">
        <v>-0.94541739999999996</v>
      </c>
      <c r="Q3768">
        <v>0.17712729999999999</v>
      </c>
      <c r="R3768">
        <v>-0.27351809999999999</v>
      </c>
      <c r="S3768">
        <v>-2.8418269999999999</v>
      </c>
      <c r="T3768">
        <v>-0.29261510000000002</v>
      </c>
      <c r="U3768">
        <v>-1.3510740000000001</v>
      </c>
      <c r="V3768">
        <v>-0.1217863</v>
      </c>
      <c r="W3768">
        <v>0.1892778</v>
      </c>
      <c r="X3768">
        <v>0.97434180000000004</v>
      </c>
      <c r="Y3768">
        <v>-0.27938089999999999</v>
      </c>
      <c r="Z3768">
        <v>1.7374059999999999E-3</v>
      </c>
      <c r="AA3768">
        <v>0.9601788</v>
      </c>
      <c r="AB3768">
        <v>33</v>
      </c>
      <c r="AC3768">
        <v>-10.5129</v>
      </c>
      <c r="AD3768">
        <v>-1.1157705459830001</v>
      </c>
      <c r="AE3768">
        <v>-5.0952999999999999</v>
      </c>
      <c r="AF3768">
        <v>-3.3237569271477598</v>
      </c>
      <c r="AG3768">
        <v>-1.1157705459830001</v>
      </c>
      <c r="AH3768">
        <v>11.089614895251</v>
      </c>
      <c r="AI3768">
        <v>95.505061877025994</v>
      </c>
      <c r="AJ3768">
        <v>106.684418491833</v>
      </c>
      <c r="AK3768">
        <v>11.6306432559433</v>
      </c>
      <c r="AL3768">
        <v>79.089359181462598</v>
      </c>
      <c r="AM3768">
        <v>97.124644341655298</v>
      </c>
      <c r="AN3768">
        <v>0.99999996583388395</v>
      </c>
    </row>
    <row r="3769" spans="1:40" x14ac:dyDescent="0.25">
      <c r="A3769" t="str">
        <f>"20190312164343504"</f>
        <v>20190312164343504</v>
      </c>
      <c r="B3769" t="str">
        <f>"1552380223498774"</f>
        <v>1552380223498774</v>
      </c>
      <c r="C3769" t="s">
        <v>40</v>
      </c>
      <c r="D3769">
        <v>4.3317129999999997</v>
      </c>
      <c r="E3769">
        <v>0.43886639999999999</v>
      </c>
      <c r="F3769" t="s">
        <v>49</v>
      </c>
      <c r="G3769">
        <v>-408.28</v>
      </c>
      <c r="H3769" s="1">
        <v>-7.6377050000000001E-6</v>
      </c>
      <c r="I3769">
        <v>135.05199999999999</v>
      </c>
      <c r="J3769">
        <v>-397.904</v>
      </c>
      <c r="K3769">
        <v>1.1158790000000001</v>
      </c>
      <c r="L3769">
        <v>140.15180000000001</v>
      </c>
      <c r="M3769">
        <v>-0.98606070000000001</v>
      </c>
      <c r="N3769">
        <v>0</v>
      </c>
      <c r="O3769">
        <v>-0.16578889999999999</v>
      </c>
      <c r="P3769">
        <v>-0.94353339999999997</v>
      </c>
      <c r="Q3769">
        <v>0.17633450000000001</v>
      </c>
      <c r="R3769">
        <v>-0.28044750000000002</v>
      </c>
      <c r="S3769">
        <v>-2.833466</v>
      </c>
      <c r="T3769">
        <v>-0.29532180000000002</v>
      </c>
      <c r="U3769">
        <v>-1.3656159999999999</v>
      </c>
      <c r="V3769">
        <v>-0.1226643</v>
      </c>
      <c r="W3769">
        <v>0.18844759999999999</v>
      </c>
      <c r="X3769">
        <v>0.97439260000000005</v>
      </c>
      <c r="Y3769">
        <v>-0.27830240000000001</v>
      </c>
      <c r="Z3769">
        <v>2.4185040000000001E-3</v>
      </c>
      <c r="AA3769">
        <v>0.96049050000000002</v>
      </c>
      <c r="AB3769">
        <v>33</v>
      </c>
      <c r="AC3769">
        <v>-10.3759999999999</v>
      </c>
      <c r="AD3769">
        <v>-1.1158866377050001</v>
      </c>
      <c r="AE3769">
        <v>-5.0997999999999797</v>
      </c>
      <c r="AF3769">
        <v>-3.2782759434252</v>
      </c>
      <c r="AG3769">
        <v>-1.1158866377050001</v>
      </c>
      <c r="AH3769">
        <v>10.975709949195601</v>
      </c>
      <c r="AI3769">
        <v>95.563980357516797</v>
      </c>
      <c r="AJ3769">
        <v>106.630077263131</v>
      </c>
      <c r="AK3769">
        <v>11.509061866126199</v>
      </c>
      <c r="AL3769">
        <v>79.137798063812795</v>
      </c>
      <c r="AM3769">
        <v>97.175104703009396</v>
      </c>
      <c r="AN3769">
        <v>0.99999998368750498</v>
      </c>
    </row>
    <row r="3770" spans="1:40" x14ac:dyDescent="0.25">
      <c r="A3770" t="str">
        <f>"20190312164343526"</f>
        <v>20190312164343526</v>
      </c>
      <c r="B3770" t="str">
        <f>"1552380223518294"</f>
        <v>1552380223518294</v>
      </c>
      <c r="C3770" t="s">
        <v>40</v>
      </c>
      <c r="D3770">
        <v>4.3335189999999999</v>
      </c>
      <c r="E3770">
        <v>0.43932179999999998</v>
      </c>
      <c r="F3770" t="s">
        <v>49</v>
      </c>
      <c r="G3770">
        <v>-408.50009999999997</v>
      </c>
      <c r="H3770" s="1">
        <v>-7.7363590000000005E-6</v>
      </c>
      <c r="I3770">
        <v>134.96420000000001</v>
      </c>
      <c r="J3770">
        <v>-398.22559999999999</v>
      </c>
      <c r="K3770">
        <v>1.116007</v>
      </c>
      <c r="L3770">
        <v>140.09119999999999</v>
      </c>
      <c r="M3770">
        <v>-0.98495940000000004</v>
      </c>
      <c r="N3770">
        <v>0</v>
      </c>
      <c r="O3770">
        <v>-0.17221029999999901</v>
      </c>
      <c r="P3770">
        <v>-0.94170770000000004</v>
      </c>
      <c r="Q3770">
        <v>0.17516109999999999</v>
      </c>
      <c r="R3770">
        <v>-0.28723710000000002</v>
      </c>
      <c r="S3770">
        <v>-2.8241269999999998</v>
      </c>
      <c r="T3770">
        <v>-0.29741289999999998</v>
      </c>
      <c r="U3770">
        <v>-1.3826290000000001</v>
      </c>
      <c r="V3770">
        <v>-0.1233447</v>
      </c>
      <c r="W3770">
        <v>0.1872393</v>
      </c>
      <c r="X3770">
        <v>0.97453959999999995</v>
      </c>
      <c r="Y3770">
        <v>-0.27798620000000002</v>
      </c>
      <c r="Z3770">
        <v>3.072722E-3</v>
      </c>
      <c r="AA3770">
        <v>0.9605802</v>
      </c>
      <c r="AB3770">
        <v>33</v>
      </c>
      <c r="AC3770">
        <v>-10.2744999999999</v>
      </c>
      <c r="AD3770">
        <v>-1.1160147363590001</v>
      </c>
      <c r="AE3770">
        <v>-5.1269999999999802</v>
      </c>
      <c r="AF3770">
        <v>-3.2501366290941198</v>
      </c>
      <c r="AG3770">
        <v>-1.1160147363590001</v>
      </c>
      <c r="AH3770">
        <v>10.901007716535799</v>
      </c>
      <c r="AI3770">
        <v>95.603321808771199</v>
      </c>
      <c r="AJ3770">
        <v>106.601955345291</v>
      </c>
      <c r="AK3770">
        <v>11.429822668594699</v>
      </c>
      <c r="AL3770">
        <v>79.208282914159696</v>
      </c>
      <c r="AM3770">
        <v>97.213408924608899</v>
      </c>
      <c r="AN3770">
        <v>0.999999951225368</v>
      </c>
    </row>
    <row r="3771" spans="1:40" x14ac:dyDescent="0.25">
      <c r="A3771" t="str">
        <f>"20190312164343548"</f>
        <v>20190312164343548</v>
      </c>
      <c r="B3771" t="str">
        <f>"1552380223538790"</f>
        <v>1552380223538790</v>
      </c>
      <c r="C3771" t="s">
        <v>40</v>
      </c>
      <c r="D3771">
        <v>4.2505240000000004</v>
      </c>
      <c r="E3771">
        <v>0.43952449999999998</v>
      </c>
      <c r="F3771" t="s">
        <v>49</v>
      </c>
      <c r="G3771">
        <v>-408.63600000000002</v>
      </c>
      <c r="H3771" s="1">
        <v>-7.7991619999999992E-6</v>
      </c>
      <c r="I3771">
        <v>134.9144</v>
      </c>
      <c r="J3771">
        <v>-398.53980000000001</v>
      </c>
      <c r="K3771">
        <v>1.116133</v>
      </c>
      <c r="L3771">
        <v>140.02979999999999</v>
      </c>
      <c r="M3771">
        <v>-0.98381130000000006</v>
      </c>
      <c r="N3771">
        <v>0</v>
      </c>
      <c r="O3771">
        <v>-0.17865139999999999</v>
      </c>
      <c r="P3771">
        <v>-0.9398668</v>
      </c>
      <c r="Q3771">
        <v>0.174093</v>
      </c>
      <c r="R3771">
        <v>-0.29384120000000002</v>
      </c>
      <c r="S3771">
        <v>-2.81488</v>
      </c>
      <c r="T3771">
        <v>-0.30176160000000002</v>
      </c>
      <c r="U3771">
        <v>-1.3997649999999999</v>
      </c>
      <c r="V3771">
        <v>-0.123818</v>
      </c>
      <c r="W3771">
        <v>0.18614120000000001</v>
      </c>
      <c r="X3771">
        <v>0.97468999999999995</v>
      </c>
      <c r="Y3771">
        <v>-0.27766210000000002</v>
      </c>
      <c r="Z3771">
        <v>3.7668559999999999E-3</v>
      </c>
      <c r="AA3771">
        <v>0.96067139999999995</v>
      </c>
      <c r="AB3771">
        <v>33</v>
      </c>
      <c r="AC3771">
        <v>-10.0961999999999</v>
      </c>
      <c r="AD3771">
        <v>-1.116140799162</v>
      </c>
      <c r="AE3771">
        <v>-5.1153999999999904</v>
      </c>
      <c r="AF3771">
        <v>-3.1981079809407298</v>
      </c>
      <c r="AG3771">
        <v>-1.116140799162</v>
      </c>
      <c r="AH3771">
        <v>10.743231166038701</v>
      </c>
      <c r="AI3771">
        <v>95.686433315167903</v>
      </c>
      <c r="AJ3771">
        <v>106.577524135064</v>
      </c>
      <c r="AK3771">
        <v>11.2645763714512</v>
      </c>
      <c r="AL3771">
        <v>79.272326101924193</v>
      </c>
      <c r="AM3771">
        <v>97.2396896623641</v>
      </c>
      <c r="AN3771">
        <v>1.00000001978071</v>
      </c>
    </row>
    <row r="3772" spans="1:40" x14ac:dyDescent="0.25">
      <c r="A3772" t="str">
        <f>"20190312164343572"</f>
        <v>20190312164343572</v>
      </c>
      <c r="B3772" t="str">
        <f>"1552380223568070"</f>
        <v>1552380223568070</v>
      </c>
      <c r="C3772" t="s">
        <v>40</v>
      </c>
      <c r="D3772">
        <v>4.1784610000000004</v>
      </c>
      <c r="E3772">
        <v>0.43914969999999998</v>
      </c>
      <c r="F3772" t="s">
        <v>49</v>
      </c>
      <c r="G3772">
        <v>-408.96899999999999</v>
      </c>
      <c r="H3772" s="1">
        <v>-7.9375970000000002E-6</v>
      </c>
      <c r="I3772">
        <v>134.7567</v>
      </c>
      <c r="J3772">
        <v>-398.87909999999999</v>
      </c>
      <c r="K3772">
        <v>1.116269</v>
      </c>
      <c r="L3772">
        <v>139.96080000000001</v>
      </c>
      <c r="M3772">
        <v>-0.98248610000000003</v>
      </c>
      <c r="N3772">
        <v>0</v>
      </c>
      <c r="O3772">
        <v>-0.1858004</v>
      </c>
      <c r="P3772">
        <v>-0.93765350000000003</v>
      </c>
      <c r="Q3772">
        <v>0.17422770000000001</v>
      </c>
      <c r="R3772">
        <v>-0.30075010000000002</v>
      </c>
      <c r="S3772">
        <v>-2.8042910000000001</v>
      </c>
      <c r="T3772">
        <v>-0.3001163</v>
      </c>
      <c r="U3772">
        <v>-1.4178470000000001</v>
      </c>
      <c r="V3772">
        <v>-0.1239707</v>
      </c>
      <c r="W3772">
        <v>0.1862462</v>
      </c>
      <c r="X3772">
        <v>0.97465049999999998</v>
      </c>
      <c r="Y3772">
        <v>-0.27710630000000003</v>
      </c>
      <c r="Z3772">
        <v>4.4747939999999998E-3</v>
      </c>
      <c r="AA3772">
        <v>0.96082880000000004</v>
      </c>
      <c r="AB3772">
        <v>33</v>
      </c>
      <c r="AC3772">
        <v>-10.0899</v>
      </c>
      <c r="AD3772">
        <v>-1.1162769375970001</v>
      </c>
      <c r="AE3772">
        <v>-5.2041000000000102</v>
      </c>
      <c r="AF3772">
        <v>-3.2075610065311602</v>
      </c>
      <c r="AG3772">
        <v>-1.1162769375970001</v>
      </c>
      <c r="AH3772">
        <v>10.777004361115299</v>
      </c>
      <c r="AI3772">
        <v>95.669502079882704</v>
      </c>
      <c r="AJ3772">
        <v>106.574590072362</v>
      </c>
      <c r="AK3772">
        <v>11.299484271927099</v>
      </c>
      <c r="AL3772">
        <v>79.266202639409002</v>
      </c>
      <c r="AM3772">
        <v>97.248813829334495</v>
      </c>
      <c r="AN3772">
        <v>0.99999998931158895</v>
      </c>
    </row>
    <row r="3773" spans="1:40" x14ac:dyDescent="0.25">
      <c r="A3773" t="str">
        <f>"20190312164343616"</f>
        <v>20190312164343616</v>
      </c>
      <c r="B3773" t="str">
        <f>"1552380223608089"</f>
        <v>1552380223608089</v>
      </c>
      <c r="C3773" t="s">
        <v>40</v>
      </c>
      <c r="D3773">
        <v>4.2214080000000003</v>
      </c>
      <c r="E3773">
        <v>0.4385056</v>
      </c>
      <c r="F3773" t="s">
        <v>49</v>
      </c>
      <c r="G3773">
        <v>-409.53100000000001</v>
      </c>
      <c r="H3773" s="1">
        <v>-8.1582939999999997E-6</v>
      </c>
      <c r="I3773">
        <v>134.46129999999999</v>
      </c>
      <c r="J3773">
        <v>-399.51170000000002</v>
      </c>
      <c r="K3773">
        <v>1.116517</v>
      </c>
      <c r="L3773">
        <v>139.82490000000001</v>
      </c>
      <c r="M3773">
        <v>-0.97976419999999997</v>
      </c>
      <c r="N3773">
        <v>0</v>
      </c>
      <c r="O3773">
        <v>-0.19965479999999999</v>
      </c>
      <c r="P3773">
        <v>-0.93342400000000003</v>
      </c>
      <c r="Q3773">
        <v>0.1747812</v>
      </c>
      <c r="R3773">
        <v>-0.31332320000000002</v>
      </c>
      <c r="S3773">
        <v>-2.791534</v>
      </c>
      <c r="T3773">
        <v>-0.29254229999999998</v>
      </c>
      <c r="U3773">
        <v>-1.441254</v>
      </c>
      <c r="V3773">
        <v>-0.12344769999999899</v>
      </c>
      <c r="W3773">
        <v>0.1867587</v>
      </c>
      <c r="X3773">
        <v>0.97461889999999995</v>
      </c>
      <c r="Y3773">
        <v>-0.27178419999999998</v>
      </c>
      <c r="Z3773">
        <v>5.9432829999999997E-3</v>
      </c>
      <c r="AA3773">
        <v>0.96233990000000003</v>
      </c>
      <c r="AB3773">
        <v>33</v>
      </c>
      <c r="AC3773">
        <v>-10.0192999999999</v>
      </c>
      <c r="AD3773">
        <v>-1.1165251582939999</v>
      </c>
      <c r="AE3773">
        <v>-5.3636000000000204</v>
      </c>
      <c r="AF3773">
        <v>-3.2238700558466298</v>
      </c>
      <c r="AG3773">
        <v>-1.1165251582939999</v>
      </c>
      <c r="AH3773">
        <v>10.7844156829191</v>
      </c>
      <c r="AI3773">
        <v>95.664866499711493</v>
      </c>
      <c r="AJ3773">
        <v>106.64339616746599</v>
      </c>
      <c r="AK3773">
        <v>11.311215150817301</v>
      </c>
      <c r="AL3773">
        <v>79.236315059408</v>
      </c>
      <c r="AM3773">
        <v>97.218787805030402</v>
      </c>
      <c r="AN3773">
        <v>1.0000000734490899</v>
      </c>
    </row>
    <row r="3774" spans="1:40" x14ac:dyDescent="0.25">
      <c r="A3774" t="str">
        <f>"20190312164343637"</f>
        <v>20190312164343637</v>
      </c>
      <c r="B3774" t="str">
        <f>"1552380223628582"</f>
        <v>1552380223628582</v>
      </c>
      <c r="C3774" t="s">
        <v>40</v>
      </c>
      <c r="D3774">
        <v>4.2184799999999996</v>
      </c>
      <c r="E3774">
        <v>0.4383011</v>
      </c>
      <c r="F3774" t="s">
        <v>49</v>
      </c>
      <c r="G3774">
        <v>-410.30829999999997</v>
      </c>
      <c r="H3774" s="1">
        <v>-8.2053219999999994E-6</v>
      </c>
      <c r="I3774">
        <v>134.03149999999999</v>
      </c>
      <c r="J3774">
        <v>-399.80959999999999</v>
      </c>
      <c r="K3774">
        <v>1.1166339999999999</v>
      </c>
      <c r="L3774">
        <v>139.75739999999999</v>
      </c>
      <c r="M3774">
        <v>-0.97836480000000003</v>
      </c>
      <c r="N3774">
        <v>0</v>
      </c>
      <c r="O3774">
        <v>-0.2064019</v>
      </c>
      <c r="P3774">
        <v>-0.93128330000000004</v>
      </c>
      <c r="Q3774">
        <v>0.17442750000000001</v>
      </c>
      <c r="R3774">
        <v>-0.31982300000000002</v>
      </c>
      <c r="S3774">
        <v>-2.768799</v>
      </c>
      <c r="T3774">
        <v>-0.28633249999999999</v>
      </c>
      <c r="U3774">
        <v>-1.4857180000000001</v>
      </c>
      <c r="V3774">
        <v>-0.1235608</v>
      </c>
      <c r="W3774">
        <v>0.18638299999999999</v>
      </c>
      <c r="X3774">
        <v>0.9746764</v>
      </c>
      <c r="Y3774">
        <v>-0.28044079999999999</v>
      </c>
      <c r="Z3774">
        <v>6.0391430000000003E-3</v>
      </c>
      <c r="AA3774">
        <v>0.95985229999999999</v>
      </c>
      <c r="AB3774">
        <v>33</v>
      </c>
      <c r="AC3774">
        <v>-10.4986999999999</v>
      </c>
      <c r="AD3774">
        <v>-1.116642205322</v>
      </c>
      <c r="AE3774">
        <v>-5.7258999999999904</v>
      </c>
      <c r="AF3774">
        <v>-3.4057175321079298</v>
      </c>
      <c r="AG3774">
        <v>-1.116642205322</v>
      </c>
      <c r="AH3774">
        <v>11.355535246160899</v>
      </c>
      <c r="AI3774">
        <v>95.380793687548703</v>
      </c>
      <c r="AJ3774">
        <v>106.694878780495</v>
      </c>
      <c r="AK3774">
        <v>11.9077278458157</v>
      </c>
      <c r="AL3774">
        <v>79.258224887765707</v>
      </c>
      <c r="AM3774">
        <v>97.2249098863808</v>
      </c>
      <c r="AN3774">
        <v>0.99999998935129997</v>
      </c>
    </row>
    <row r="3775" spans="1:40" x14ac:dyDescent="0.25">
      <c r="A3775" t="str">
        <f>"20190312164343659"</f>
        <v>20190312164343659</v>
      </c>
      <c r="B3775" t="str">
        <f>"1552380223649079"</f>
        <v>1552380223649079</v>
      </c>
      <c r="C3775" t="s">
        <v>40</v>
      </c>
      <c r="D3775">
        <v>4.2710290000000004</v>
      </c>
      <c r="E3775">
        <v>0.43815100000000001</v>
      </c>
      <c r="F3775" t="s">
        <v>49</v>
      </c>
      <c r="G3775">
        <v>-410.54849999999999</v>
      </c>
      <c r="H3775" s="1">
        <v>-8.1216149999999997E-6</v>
      </c>
      <c r="I3775">
        <v>133.88829999999999</v>
      </c>
      <c r="J3775">
        <v>-400.12400000000002</v>
      </c>
      <c r="K3775">
        <v>1.1167590000000001</v>
      </c>
      <c r="L3775">
        <v>139.68379999999999</v>
      </c>
      <c r="M3775">
        <v>-0.97680250000000002</v>
      </c>
      <c r="N3775">
        <v>0</v>
      </c>
      <c r="O3775">
        <v>-0.21367249999999999</v>
      </c>
      <c r="P3775">
        <v>-0.92882929999999997</v>
      </c>
      <c r="Q3775">
        <v>0.17397779999999999</v>
      </c>
      <c r="R3775">
        <v>-0.32712079999999999</v>
      </c>
      <c r="S3775">
        <v>-2.7575069999999999</v>
      </c>
      <c r="T3775">
        <v>-0.2867305</v>
      </c>
      <c r="U3775">
        <v>-1.50708</v>
      </c>
      <c r="V3775">
        <v>-0.1239943</v>
      </c>
      <c r="W3775">
        <v>0.18590229999999999</v>
      </c>
      <c r="X3775">
        <v>0.9747131</v>
      </c>
      <c r="Y3775">
        <v>-0.2807094</v>
      </c>
      <c r="Z3775">
        <v>6.7167040000000004E-3</v>
      </c>
      <c r="AA3775">
        <v>0.95976930000000005</v>
      </c>
      <c r="AB3775">
        <v>33</v>
      </c>
      <c r="AC3775">
        <v>-10.424499999999901</v>
      </c>
      <c r="AD3775">
        <v>-1.1167671216149999</v>
      </c>
      <c r="AE3775">
        <v>-5.7954999999999997</v>
      </c>
      <c r="AF3775">
        <v>-3.4041310955823301</v>
      </c>
      <c r="AG3775">
        <v>-1.1167671216149999</v>
      </c>
      <c r="AH3775">
        <v>11.322897010196099</v>
      </c>
      <c r="AI3775">
        <v>95.395742120460895</v>
      </c>
      <c r="AJ3775">
        <v>106.732951045311</v>
      </c>
      <c r="AK3775">
        <v>11.876164112344499</v>
      </c>
      <c r="AL3775">
        <v>79.286256351510502</v>
      </c>
      <c r="AM3775">
        <v>97.249718404740094</v>
      </c>
      <c r="AN3775">
        <v>0.99999993944469301</v>
      </c>
    </row>
    <row r="3776" spans="1:40" x14ac:dyDescent="0.25">
      <c r="A3776" t="str">
        <f>"20190312164343693"</f>
        <v>20190312164343693</v>
      </c>
      <c r="B3776" t="str">
        <f>"1552380223689094"</f>
        <v>1552380223689094</v>
      </c>
      <c r="C3776" t="s">
        <v>40</v>
      </c>
      <c r="D3776">
        <v>4.220764</v>
      </c>
      <c r="E3776">
        <v>0.4381081</v>
      </c>
      <c r="F3776" t="s">
        <v>49</v>
      </c>
      <c r="G3776">
        <v>-410.77510000000001</v>
      </c>
      <c r="H3776" s="1">
        <v>-8.039115E-6</v>
      </c>
      <c r="I3776">
        <v>133.74510000000001</v>
      </c>
      <c r="J3776">
        <v>-400.60329999999999</v>
      </c>
      <c r="K3776">
        <v>1.116967</v>
      </c>
      <c r="L3776">
        <v>139.56610000000001</v>
      </c>
      <c r="M3776">
        <v>-0.97423000000000004</v>
      </c>
      <c r="N3776">
        <v>0</v>
      </c>
      <c r="O3776">
        <v>-0.22510949999999999</v>
      </c>
      <c r="P3776">
        <v>-0.92500539999999998</v>
      </c>
      <c r="Q3776">
        <v>0.17275570000000001</v>
      </c>
      <c r="R3776">
        <v>-0.3384085</v>
      </c>
      <c r="S3776">
        <v>-2.7447810000000001</v>
      </c>
      <c r="T3776">
        <v>-0.2877903</v>
      </c>
      <c r="U3776">
        <v>-1.530411</v>
      </c>
      <c r="V3776">
        <v>-0.1244623</v>
      </c>
      <c r="W3776">
        <v>0.1846371</v>
      </c>
      <c r="X3776">
        <v>0.97489400000000004</v>
      </c>
      <c r="Y3776">
        <v>-0.27762779999999998</v>
      </c>
      <c r="Z3776">
        <v>7.9656919999999999E-3</v>
      </c>
      <c r="AA3776">
        <v>0.9606557</v>
      </c>
      <c r="AB3776">
        <v>33</v>
      </c>
      <c r="AC3776">
        <v>-10.171799999999999</v>
      </c>
      <c r="AD3776">
        <v>-1.116975039115</v>
      </c>
      <c r="AE3776">
        <v>-5.82099999999999</v>
      </c>
      <c r="AF3776">
        <v>-3.3511245386405499</v>
      </c>
      <c r="AG3776">
        <v>-1.116975039115</v>
      </c>
      <c r="AH3776">
        <v>11.1201549480921</v>
      </c>
      <c r="AI3776">
        <v>95.493460176997999</v>
      </c>
      <c r="AJ3776">
        <v>106.77049152047999</v>
      </c>
      <c r="AK3776">
        <v>11.667712499931699</v>
      </c>
      <c r="AL3776">
        <v>79.360024904955495</v>
      </c>
      <c r="AM3776">
        <v>97.275452946520502</v>
      </c>
      <c r="AN3776">
        <v>1.0000000170268499</v>
      </c>
    </row>
    <row r="3777" spans="1:40" x14ac:dyDescent="0.25">
      <c r="A3777" t="str">
        <f>"20190312164343715"</f>
        <v>20190312164343715</v>
      </c>
      <c r="B3777" t="str">
        <f>"1552380223708618"</f>
        <v>1552380223708618</v>
      </c>
      <c r="C3777" t="s">
        <v>40</v>
      </c>
      <c r="D3777">
        <v>4.3151260000000002</v>
      </c>
      <c r="E3777">
        <v>0.43802479999999999</v>
      </c>
      <c r="F3777" t="s">
        <v>49</v>
      </c>
      <c r="G3777">
        <v>-411.09949999999998</v>
      </c>
      <c r="H3777" s="1">
        <v>-7.9199330000000005E-6</v>
      </c>
      <c r="I3777">
        <v>133.5376</v>
      </c>
      <c r="J3777">
        <v>-400.91410000000002</v>
      </c>
      <c r="K3777">
        <v>1.1170880000000001</v>
      </c>
      <c r="L3777">
        <v>139.48660000000001</v>
      </c>
      <c r="M3777">
        <v>-0.97244160000000002</v>
      </c>
      <c r="N3777">
        <v>0</v>
      </c>
      <c r="O3777">
        <v>-0.232713</v>
      </c>
      <c r="P3777">
        <v>-0.92250140000000003</v>
      </c>
      <c r="Q3777">
        <v>0.17076620000000001</v>
      </c>
      <c r="R3777">
        <v>-0.34616479999999999</v>
      </c>
      <c r="S3777">
        <v>-2.7248230000000002</v>
      </c>
      <c r="T3777">
        <v>-0.28996830000000001</v>
      </c>
      <c r="U3777">
        <v>-1.565018</v>
      </c>
      <c r="V3777">
        <v>-0.1249755</v>
      </c>
      <c r="W3777">
        <v>0.18262110000000001</v>
      </c>
      <c r="X3777">
        <v>0.97520799999999996</v>
      </c>
      <c r="Y3777">
        <v>-0.28233979999999997</v>
      </c>
      <c r="Z3777">
        <v>8.5257400000000004E-3</v>
      </c>
      <c r="AA3777">
        <v>0.95927660000000003</v>
      </c>
      <c r="AB3777">
        <v>33</v>
      </c>
      <c r="AC3777">
        <v>-10.1853999999999</v>
      </c>
      <c r="AD3777">
        <v>-1.1170959199329999</v>
      </c>
      <c r="AE3777">
        <v>-5.9490000000000096</v>
      </c>
      <c r="AF3777">
        <v>-3.3847665739616399</v>
      </c>
      <c r="AG3777">
        <v>-1.1170959199329999</v>
      </c>
      <c r="AH3777">
        <v>11.189892920623199</v>
      </c>
      <c r="AI3777">
        <v>95.458324313079302</v>
      </c>
      <c r="AJ3777">
        <v>106.829740192057</v>
      </c>
      <c r="AK3777">
        <v>11.743860167319401</v>
      </c>
      <c r="AL3777">
        <v>79.477531082149</v>
      </c>
      <c r="AM3777">
        <v>97.302801962847496</v>
      </c>
      <c r="AN3777">
        <v>0.99999999251472904</v>
      </c>
    </row>
    <row r="3778" spans="1:40" x14ac:dyDescent="0.25">
      <c r="A3778" t="str">
        <f>"20190312164343737"</f>
        <v>20190312164343737</v>
      </c>
      <c r="B3778" t="str">
        <f>"1552380223728134"</f>
        <v>1552380223728134</v>
      </c>
      <c r="C3778" t="s">
        <v>40</v>
      </c>
      <c r="D3778">
        <v>4.2528569999999997</v>
      </c>
      <c r="E3778">
        <v>0.43799919999999998</v>
      </c>
      <c r="F3778" t="s">
        <v>49</v>
      </c>
      <c r="G3778">
        <v>-411.16180000000003</v>
      </c>
      <c r="H3778" s="1">
        <v>-7.888755E-6</v>
      </c>
      <c r="I3778">
        <v>133.47880000000001</v>
      </c>
      <c r="J3778">
        <v>-401.21839999999997</v>
      </c>
      <c r="K3778">
        <v>1.117197</v>
      </c>
      <c r="L3778">
        <v>139.40600000000001</v>
      </c>
      <c r="M3778">
        <v>-0.97059430000000002</v>
      </c>
      <c r="N3778">
        <v>0</v>
      </c>
      <c r="O3778">
        <v>-0.24030019999999999</v>
      </c>
      <c r="P3778">
        <v>-0.92001849999999996</v>
      </c>
      <c r="Q3778">
        <v>0.16864560000000001</v>
      </c>
      <c r="R3778">
        <v>-0.35373019999999999</v>
      </c>
      <c r="S3778">
        <v>-2.71048</v>
      </c>
      <c r="T3778">
        <v>-0.29546840000000002</v>
      </c>
      <c r="U3778">
        <v>-1.589035</v>
      </c>
      <c r="V3778">
        <v>-0.12529599999999999</v>
      </c>
      <c r="W3778">
        <v>0.18047820000000001</v>
      </c>
      <c r="X3778">
        <v>0.97556569999999998</v>
      </c>
      <c r="Y3778">
        <v>-0.28340609999999999</v>
      </c>
      <c r="Z3778">
        <v>9.372867E-3</v>
      </c>
      <c r="AA3778">
        <v>0.95895419999999998</v>
      </c>
      <c r="AB3778">
        <v>33</v>
      </c>
      <c r="AC3778">
        <v>-9.9434000000000502</v>
      </c>
      <c r="AD3778">
        <v>-1.1172048887549999</v>
      </c>
      <c r="AE3778">
        <v>-5.9271999999999903</v>
      </c>
      <c r="AF3778">
        <v>-3.3328033466165801</v>
      </c>
      <c r="AG3778">
        <v>-1.1172048887549999</v>
      </c>
      <c r="AH3778">
        <v>10.9742189021103</v>
      </c>
      <c r="AI3778">
        <v>95.563611374955698</v>
      </c>
      <c r="AJ3778">
        <v>106.893215943664</v>
      </c>
      <c r="AK3778">
        <v>11.523419866606901</v>
      </c>
      <c r="AL3778">
        <v>79.602384657577204</v>
      </c>
      <c r="AM3778">
        <v>97.318671755160494</v>
      </c>
      <c r="AN3778">
        <v>0.99999995165386302</v>
      </c>
    </row>
    <row r="3779" spans="1:40" x14ac:dyDescent="0.25">
      <c r="A3779" t="str">
        <f>"20190312164343762"</f>
        <v>20190312164343762</v>
      </c>
      <c r="B3779" t="str">
        <f>"1552380223758390"</f>
        <v>1552380223758390</v>
      </c>
      <c r="C3779" t="s">
        <v>40</v>
      </c>
      <c r="D3779">
        <v>4.2364090000000001</v>
      </c>
      <c r="E3779">
        <v>0.43807269999999998</v>
      </c>
      <c r="F3779" t="s">
        <v>49</v>
      </c>
      <c r="G3779">
        <v>-411.24599999999998</v>
      </c>
      <c r="H3779" s="1">
        <v>-7.8522799999999996E-6</v>
      </c>
      <c r="I3779">
        <v>133.41229999999999</v>
      </c>
      <c r="J3779">
        <v>-401.55239999999998</v>
      </c>
      <c r="K3779">
        <v>1.1173120000000001</v>
      </c>
      <c r="L3779">
        <v>139.31460000000001</v>
      </c>
      <c r="M3779">
        <v>-0.96845179999999997</v>
      </c>
      <c r="N3779">
        <v>0</v>
      </c>
      <c r="O3779">
        <v>-0.2487936</v>
      </c>
      <c r="P3779">
        <v>-0.91693219999999998</v>
      </c>
      <c r="Q3779">
        <v>0.16648740000000001</v>
      </c>
      <c r="R3779">
        <v>-0.36265399999999998</v>
      </c>
      <c r="S3779">
        <v>-2.6961979999999999</v>
      </c>
      <c r="T3779">
        <v>-0.30039389999999999</v>
      </c>
      <c r="U3779">
        <v>-1.6116029999999999</v>
      </c>
      <c r="V3779">
        <v>-0.1261553</v>
      </c>
      <c r="W3779">
        <v>0.17828559999999999</v>
      </c>
      <c r="X3779">
        <v>0.97585820000000001</v>
      </c>
      <c r="Y3779">
        <v>-0.2831843</v>
      </c>
      <c r="Z3779">
        <v>1.038156E-2</v>
      </c>
      <c r="AA3779">
        <v>0.95900929999999995</v>
      </c>
      <c r="AB3779">
        <v>33</v>
      </c>
      <c r="AC3779">
        <v>-9.6936</v>
      </c>
      <c r="AD3779">
        <v>-1.1173198522799901</v>
      </c>
      <c r="AE3779">
        <v>-5.9023000000000199</v>
      </c>
      <c r="AF3779">
        <v>-3.2729995777212402</v>
      </c>
      <c r="AG3779">
        <v>-1.1173198522799901</v>
      </c>
      <c r="AH3779">
        <v>10.7531171808261</v>
      </c>
      <c r="AI3779">
        <v>95.676776882213801</v>
      </c>
      <c r="AJ3779">
        <v>106.929033279873</v>
      </c>
      <c r="AK3779">
        <v>11.295594671934699</v>
      </c>
      <c r="AL3779">
        <v>79.730083979326594</v>
      </c>
      <c r="AM3779">
        <v>97.366130357710006</v>
      </c>
      <c r="AN3779">
        <v>1.0000000706963399</v>
      </c>
    </row>
    <row r="3780" spans="1:40" x14ac:dyDescent="0.25">
      <c r="A3780" t="str">
        <f>"20190312164343786"</f>
        <v>20190312164343786</v>
      </c>
      <c r="B3780" t="str">
        <f>"1552380223778887"</f>
        <v>1552380223778887</v>
      </c>
      <c r="C3780" t="s">
        <v>40</v>
      </c>
      <c r="D3780">
        <v>4.2473340000000004</v>
      </c>
      <c r="E3780">
        <v>0.43815520000000002</v>
      </c>
      <c r="F3780" t="s">
        <v>49</v>
      </c>
      <c r="G3780">
        <v>-411.31889999999999</v>
      </c>
      <c r="H3780" s="1">
        <v>-7.8202119999999996E-6</v>
      </c>
      <c r="I3780">
        <v>133.3535</v>
      </c>
      <c r="J3780">
        <v>-401.90179999999998</v>
      </c>
      <c r="K3780">
        <v>1.1174360000000001</v>
      </c>
      <c r="L3780">
        <v>139.215</v>
      </c>
      <c r="M3780">
        <v>-0.96607200000000004</v>
      </c>
      <c r="N3780">
        <v>0</v>
      </c>
      <c r="O3780">
        <v>-0.25787890000000002</v>
      </c>
      <c r="P3780">
        <v>-0.91334930000000003</v>
      </c>
      <c r="Q3780">
        <v>0.1648597</v>
      </c>
      <c r="R3780">
        <v>-0.37230990000000003</v>
      </c>
      <c r="S3780">
        <v>-2.68045</v>
      </c>
      <c r="T3780">
        <v>-0.30665399999999998</v>
      </c>
      <c r="U3780">
        <v>-1.6360319999999999</v>
      </c>
      <c r="V3780">
        <v>-0.12724340000000001</v>
      </c>
      <c r="W3780">
        <v>0.17661969999999999</v>
      </c>
      <c r="X3780">
        <v>0.97601979999999999</v>
      </c>
      <c r="Y3780">
        <v>-0.28308060000000002</v>
      </c>
      <c r="Z3780">
        <v>1.152334E-2</v>
      </c>
      <c r="AA3780">
        <v>0.95902690000000002</v>
      </c>
      <c r="AB3780">
        <v>33</v>
      </c>
      <c r="AC3780">
        <v>-9.4170999999999996</v>
      </c>
      <c r="AD3780">
        <v>-1.1174438202120001</v>
      </c>
      <c r="AE3780">
        <v>-5.8615000000000004</v>
      </c>
      <c r="AF3780">
        <v>-3.2019926055959602</v>
      </c>
      <c r="AG3780">
        <v>-1.1174438202120001</v>
      </c>
      <c r="AH3780">
        <v>10.5036348926476</v>
      </c>
      <c r="AI3780">
        <v>95.810584898279799</v>
      </c>
      <c r="AJ3780">
        <v>106.953640544835</v>
      </c>
      <c r="AK3780">
        <v>11.0375623801483</v>
      </c>
      <c r="AL3780">
        <v>79.827071829225503</v>
      </c>
      <c r="AM3780">
        <v>97.427740870327298</v>
      </c>
      <c r="AN3780">
        <v>1.00000002563184</v>
      </c>
    </row>
    <row r="3781" spans="1:40" x14ac:dyDescent="0.25">
      <c r="A3781" t="str">
        <f>"20190312164343809"</f>
        <v>20190312164343809</v>
      </c>
      <c r="B3781" t="str">
        <f>"1552380223798406"</f>
        <v>1552380223798406</v>
      </c>
      <c r="C3781" t="s">
        <v>40</v>
      </c>
      <c r="D3781">
        <v>4.3515639999999998</v>
      </c>
      <c r="E3781">
        <v>0.43834649999999997</v>
      </c>
      <c r="F3781" t="s">
        <v>49</v>
      </c>
      <c r="G3781">
        <v>-411.49169999999998</v>
      </c>
      <c r="H3781" s="1">
        <v>-7.7479019999999996E-6</v>
      </c>
      <c r="I3781">
        <v>133.22290000000001</v>
      </c>
      <c r="J3781">
        <v>-402.20069999999998</v>
      </c>
      <c r="K3781">
        <v>1.1175299999999999</v>
      </c>
      <c r="L3781">
        <v>139.12700000000001</v>
      </c>
      <c r="M3781">
        <v>-0.96393200000000001</v>
      </c>
      <c r="N3781">
        <v>0</v>
      </c>
      <c r="O3781">
        <v>-0.26576509999999998</v>
      </c>
      <c r="P3781">
        <v>-0.91016569999999997</v>
      </c>
      <c r="Q3781">
        <v>0.16262509999999999</v>
      </c>
      <c r="R3781">
        <v>-0.38098799999999999</v>
      </c>
      <c r="S3781">
        <v>-2.662445</v>
      </c>
      <c r="T3781">
        <v>-0.31023489999999998</v>
      </c>
      <c r="U3781">
        <v>-1.663589</v>
      </c>
      <c r="V3781">
        <v>-0.12845960000000001</v>
      </c>
      <c r="W3781">
        <v>0.1743509</v>
      </c>
      <c r="X3781">
        <v>0.97626840000000004</v>
      </c>
      <c r="Y3781">
        <v>-0.28531489999999998</v>
      </c>
      <c r="Z3781">
        <v>1.235501E-2</v>
      </c>
      <c r="AA3781">
        <v>0.95835420000000004</v>
      </c>
      <c r="AB3781">
        <v>33</v>
      </c>
      <c r="AC3781">
        <v>-9.2909999999999897</v>
      </c>
      <c r="AD3781">
        <v>-1.1175377479019999</v>
      </c>
      <c r="AE3781">
        <v>-5.9040999999999997</v>
      </c>
      <c r="AF3781">
        <v>-3.1893863077367701</v>
      </c>
      <c r="AG3781">
        <v>-1.1175377479019999</v>
      </c>
      <c r="AH3781">
        <v>10.418694777272901</v>
      </c>
      <c r="AI3781">
        <v>95.8560448974184</v>
      </c>
      <c r="AJ3781">
        <v>107.02047506543001</v>
      </c>
      <c r="AK3781">
        <v>10.9530943801256</v>
      </c>
      <c r="AL3781">
        <v>79.959113755099693</v>
      </c>
      <c r="AM3781">
        <v>97.496044068692001</v>
      </c>
      <c r="AN3781">
        <v>1.00000004700076</v>
      </c>
    </row>
    <row r="3782" spans="1:40" x14ac:dyDescent="0.25">
      <c r="A3782" t="str">
        <f>"20190312164343830"</f>
        <v>20190312164343830</v>
      </c>
      <c r="B3782" t="str">
        <f>"1552380223818903"</f>
        <v>1552380223818903</v>
      </c>
      <c r="C3782" t="s">
        <v>40</v>
      </c>
      <c r="D3782">
        <v>4.397532</v>
      </c>
      <c r="E3782">
        <v>0.4384902</v>
      </c>
      <c r="F3782" t="s">
        <v>49</v>
      </c>
      <c r="G3782">
        <v>-411.61009999999999</v>
      </c>
      <c r="H3782" s="1">
        <v>-7.6947979999999906E-6</v>
      </c>
      <c r="I3782">
        <v>133.12520000000001</v>
      </c>
      <c r="J3782">
        <v>-402.4966</v>
      </c>
      <c r="K3782">
        <v>1.1176079999999999</v>
      </c>
      <c r="L3782">
        <v>139.03710000000001</v>
      </c>
      <c r="M3782">
        <v>-0.96171490000000004</v>
      </c>
      <c r="N3782">
        <v>0</v>
      </c>
      <c r="O3782">
        <v>-0.27367859999999899</v>
      </c>
      <c r="P3782">
        <v>-0.90664500000000003</v>
      </c>
      <c r="Q3782">
        <v>0.15966329999999901</v>
      </c>
      <c r="R3782">
        <v>-0.39051580000000002</v>
      </c>
      <c r="S3782">
        <v>-2.645813</v>
      </c>
      <c r="T3782">
        <v>-0.31423709999999999</v>
      </c>
      <c r="U3782">
        <v>-1.6876369999999901</v>
      </c>
      <c r="V3782">
        <v>-0.13052449999999999</v>
      </c>
      <c r="W3782">
        <v>0.17134089999999999</v>
      </c>
      <c r="X3782">
        <v>0.97652729999999999</v>
      </c>
      <c r="Y3782">
        <v>-0.286385099999999</v>
      </c>
      <c r="Z3782">
        <v>1.328615E-2</v>
      </c>
      <c r="AA3782">
        <v>0.9580225</v>
      </c>
      <c r="AB3782">
        <v>33</v>
      </c>
      <c r="AC3782">
        <v>-9.1134999999999806</v>
      </c>
      <c r="AD3782">
        <v>-1.1176156947979901</v>
      </c>
      <c r="AE3782">
        <v>-5.9119000000000002</v>
      </c>
      <c r="AF3782">
        <v>-3.1582891288630499</v>
      </c>
      <c r="AG3782">
        <v>-1.1176156947979901</v>
      </c>
      <c r="AH3782">
        <v>10.2748544759331</v>
      </c>
      <c r="AI3782">
        <v>95.935774137221799</v>
      </c>
      <c r="AJ3782">
        <v>107.086403417532</v>
      </c>
      <c r="AK3782">
        <v>10.8072424588494</v>
      </c>
      <c r="AL3782">
        <v>80.134208620564905</v>
      </c>
      <c r="AM3782">
        <v>97.613139553126302</v>
      </c>
      <c r="AN3782">
        <v>0.99999995837917399</v>
      </c>
    </row>
    <row r="3783" spans="1:40" x14ac:dyDescent="0.25">
      <c r="A3783" t="str">
        <f>"20190312164343850"</f>
        <v>20190312164343850</v>
      </c>
      <c r="B3783" t="str">
        <f>"1552380223838422"</f>
        <v>1552380223838422</v>
      </c>
      <c r="C3783" t="s">
        <v>40</v>
      </c>
      <c r="D3783">
        <v>4.3212549999999998</v>
      </c>
      <c r="E3783">
        <v>0.4386159</v>
      </c>
      <c r="F3783" t="s">
        <v>49</v>
      </c>
      <c r="G3783">
        <v>-411.5745</v>
      </c>
      <c r="H3783" s="1">
        <v>-7.6958589999999998E-6</v>
      </c>
      <c r="I3783">
        <v>133.12039999999999</v>
      </c>
      <c r="J3783">
        <v>-402.76859999999999</v>
      </c>
      <c r="K3783">
        <v>1.1176759999999999</v>
      </c>
      <c r="L3783">
        <v>138.9521</v>
      </c>
      <c r="M3783">
        <v>-0.95959090000000002</v>
      </c>
      <c r="N3783">
        <v>0</v>
      </c>
      <c r="O3783">
        <v>-0.28103519999999999</v>
      </c>
      <c r="P3783">
        <v>-0.90314680000000003</v>
      </c>
      <c r="Q3783">
        <v>0.15727459999999999</v>
      </c>
      <c r="R3783">
        <v>-0.3994877</v>
      </c>
      <c r="S3783">
        <v>-2.628082</v>
      </c>
      <c r="T3783">
        <v>-0.32355460000000003</v>
      </c>
      <c r="U3783">
        <v>-1.712906</v>
      </c>
      <c r="V3783">
        <v>-0.1326068</v>
      </c>
      <c r="W3783">
        <v>0.168904</v>
      </c>
      <c r="X3783">
        <v>0.97667130000000002</v>
      </c>
      <c r="Y3783">
        <v>-0.28848550000000001</v>
      </c>
      <c r="Z3783">
        <v>1.436112E-2</v>
      </c>
      <c r="AA3783">
        <v>0.95737649999999996</v>
      </c>
      <c r="AB3783">
        <v>33</v>
      </c>
      <c r="AC3783">
        <v>-8.8058999999999994</v>
      </c>
      <c r="AD3783">
        <v>-1.117683695859</v>
      </c>
      <c r="AE3783">
        <v>-5.8317000000000103</v>
      </c>
      <c r="AF3783">
        <v>-3.0870276737092701</v>
      </c>
      <c r="AG3783">
        <v>-1.117683695859</v>
      </c>
      <c r="AH3783">
        <v>9.9782651835519296</v>
      </c>
      <c r="AI3783">
        <v>96.107853496110906</v>
      </c>
      <c r="AJ3783">
        <v>107.190770033139</v>
      </c>
      <c r="AK3783">
        <v>10.504510115922599</v>
      </c>
      <c r="AL3783">
        <v>80.275898346054205</v>
      </c>
      <c r="AM3783">
        <v>97.732009770460493</v>
      </c>
      <c r="AN3783">
        <v>0.99999997643296401</v>
      </c>
    </row>
    <row r="3784" spans="1:40" x14ac:dyDescent="0.25">
      <c r="A3784" t="str">
        <f>"20190312164343872"</f>
        <v>20190312164343872</v>
      </c>
      <c r="B3784" t="str">
        <f>"1552380223868679"</f>
        <v>1552380223868679</v>
      </c>
      <c r="C3784" t="s">
        <v>40</v>
      </c>
      <c r="D3784">
        <v>4.49953</v>
      </c>
      <c r="E3784">
        <v>0.43889549999999999</v>
      </c>
      <c r="F3784" t="s">
        <v>49</v>
      </c>
      <c r="G3784">
        <v>-411.57889999999998</v>
      </c>
      <c r="H3784" s="1">
        <v>-7.6829409999999994E-6</v>
      </c>
      <c r="I3784">
        <v>133.09180000000001</v>
      </c>
      <c r="J3784">
        <v>-403.08100000000002</v>
      </c>
      <c r="K3784">
        <v>1.117748</v>
      </c>
      <c r="L3784">
        <v>138.85149999999999</v>
      </c>
      <c r="M3784">
        <v>-0.95704659999999997</v>
      </c>
      <c r="N3784">
        <v>0</v>
      </c>
      <c r="O3784">
        <v>-0.28958060000000002</v>
      </c>
      <c r="P3784">
        <v>-0.89908840000000001</v>
      </c>
      <c r="Q3784">
        <v>0.15613940000000001</v>
      </c>
      <c r="R3784">
        <v>-0.40897549999999999</v>
      </c>
      <c r="S3784">
        <v>-2.611145</v>
      </c>
      <c r="T3784">
        <v>-0.33125009999999999</v>
      </c>
      <c r="U3784">
        <v>-1.736847</v>
      </c>
      <c r="V3784">
        <v>-0.13414100000000001</v>
      </c>
      <c r="W3784">
        <v>0.1677285</v>
      </c>
      <c r="X3784">
        <v>0.97666439999999999</v>
      </c>
      <c r="Y3784">
        <v>-0.28893170000000001</v>
      </c>
      <c r="Z3784">
        <v>1.562056E-2</v>
      </c>
      <c r="AA3784">
        <v>0.95722229999999997</v>
      </c>
      <c r="AB3784">
        <v>32</v>
      </c>
      <c r="AC3784">
        <v>-8.4979000000000102</v>
      </c>
      <c r="AD3784">
        <v>-1.117755682941</v>
      </c>
      <c r="AE3784">
        <v>-5.7596999999999801</v>
      </c>
      <c r="AF3784">
        <v>-3.0160319712123198</v>
      </c>
      <c r="AG3784">
        <v>-1.117755682941</v>
      </c>
      <c r="AH3784">
        <v>9.6869492650229603</v>
      </c>
      <c r="AI3784">
        <v>96.286998318894007</v>
      </c>
      <c r="AJ3784">
        <v>107.293978676964</v>
      </c>
      <c r="AK3784">
        <v>10.206998220889901</v>
      </c>
      <c r="AL3784">
        <v>80.344224612510303</v>
      </c>
      <c r="AM3784">
        <v>97.820419459723595</v>
      </c>
      <c r="AN3784">
        <v>1.0000000039103001</v>
      </c>
    </row>
    <row r="3785" spans="1:40" x14ac:dyDescent="0.25">
      <c r="A3785" t="str">
        <f>"20190312164343895"</f>
        <v>20190312164343895</v>
      </c>
      <c r="B3785" t="str">
        <f>"1552380223888198"</f>
        <v>1552380223888198</v>
      </c>
      <c r="C3785" t="s">
        <v>40</v>
      </c>
      <c r="D3785">
        <v>4.2814839999999998</v>
      </c>
      <c r="E3785">
        <v>0.43876039999999999</v>
      </c>
      <c r="F3785" t="s">
        <v>49</v>
      </c>
      <c r="G3785">
        <v>-411.77179999999998</v>
      </c>
      <c r="H3785" s="1">
        <v>-7.6018949999999997E-6</v>
      </c>
      <c r="I3785">
        <v>132.9451</v>
      </c>
      <c r="J3785">
        <v>-403.38069999999999</v>
      </c>
      <c r="K3785">
        <v>1.1178170000000001</v>
      </c>
      <c r="L3785">
        <v>138.75210000000001</v>
      </c>
      <c r="M3785">
        <v>-0.95450119999999905</v>
      </c>
      <c r="N3785">
        <v>0</v>
      </c>
      <c r="O3785">
        <v>-0.29786259999999998</v>
      </c>
      <c r="P3785">
        <v>-0.89493049999999996</v>
      </c>
      <c r="Q3785">
        <v>0.15588640000000001</v>
      </c>
      <c r="R3785">
        <v>-0.4180895</v>
      </c>
      <c r="S3785">
        <v>-2.5929869999999999</v>
      </c>
      <c r="T3785">
        <v>-0.33349299999999998</v>
      </c>
      <c r="U3785">
        <v>-1.762238</v>
      </c>
      <c r="V3785">
        <v>-0.13561609999999999</v>
      </c>
      <c r="W3785">
        <v>0.1674351</v>
      </c>
      <c r="X3785">
        <v>0.97651100000000002</v>
      </c>
      <c r="Y3785">
        <v>-0.29019640000000002</v>
      </c>
      <c r="Z3785">
        <v>1.6579859999999998E-2</v>
      </c>
      <c r="AA3785">
        <v>0.95682350000000005</v>
      </c>
      <c r="AB3785">
        <v>32</v>
      </c>
      <c r="AC3785">
        <v>-8.3910999999999891</v>
      </c>
      <c r="AD3785">
        <v>-1.117824601895</v>
      </c>
      <c r="AE3785">
        <v>-5.8070000000000102</v>
      </c>
      <c r="AF3785">
        <v>-3.0076161509883801</v>
      </c>
      <c r="AG3785">
        <v>-1.117824601895</v>
      </c>
      <c r="AH3785">
        <v>9.6245135948277305</v>
      </c>
      <c r="AI3785">
        <v>96.325797041266398</v>
      </c>
      <c r="AJ3785">
        <v>107.353784119042</v>
      </c>
      <c r="AK3785">
        <v>10.145272233376</v>
      </c>
      <c r="AL3785">
        <v>80.361276164452804</v>
      </c>
      <c r="AM3785">
        <v>97.906562442029497</v>
      </c>
      <c r="AN3785">
        <v>0.99999998620610897</v>
      </c>
    </row>
    <row r="3786" spans="1:40" x14ac:dyDescent="0.25">
      <c r="A3786" t="str">
        <f>"20190312164343917"</f>
        <v>20190312164343917</v>
      </c>
      <c r="B3786" t="str">
        <f>"1552380223908695"</f>
        <v>1552380223908695</v>
      </c>
      <c r="C3786" t="s">
        <v>40</v>
      </c>
      <c r="D3786">
        <v>4.215325</v>
      </c>
      <c r="E3786">
        <v>0.43857210000000002</v>
      </c>
      <c r="F3786" t="s">
        <v>49</v>
      </c>
      <c r="G3786">
        <v>-412.01900000000001</v>
      </c>
      <c r="H3786" s="1">
        <v>-7.4940959999999998E-6</v>
      </c>
      <c r="I3786">
        <v>132.7482</v>
      </c>
      <c r="J3786">
        <v>-403.68900000000002</v>
      </c>
      <c r="K3786">
        <v>1.117883</v>
      </c>
      <c r="L3786">
        <v>138.64670000000001</v>
      </c>
      <c r="M3786">
        <v>-0.95177449999999997</v>
      </c>
      <c r="N3786">
        <v>0</v>
      </c>
      <c r="O3786">
        <v>-0.3064635</v>
      </c>
      <c r="P3786">
        <v>-0.8906733</v>
      </c>
      <c r="Q3786">
        <v>0.15557170000000001</v>
      </c>
      <c r="R3786">
        <v>-0.4271991</v>
      </c>
      <c r="S3786">
        <v>-2.5743100000000001</v>
      </c>
      <c r="T3786">
        <v>-0.33312550000000002</v>
      </c>
      <c r="U3786">
        <v>-1.7892459999999999</v>
      </c>
      <c r="V3786">
        <v>-0.1367757</v>
      </c>
      <c r="W3786">
        <v>0.16708719999999999</v>
      </c>
      <c r="X3786">
        <v>0.97640879999999997</v>
      </c>
      <c r="Y3786">
        <v>-0.29161870000000001</v>
      </c>
      <c r="Z3786">
        <v>1.7439380000000001E-2</v>
      </c>
      <c r="AA3786">
        <v>0.95637570000000005</v>
      </c>
      <c r="AB3786">
        <v>32</v>
      </c>
      <c r="AC3786">
        <v>-8.3299999999999805</v>
      </c>
      <c r="AD3786">
        <v>-1.1178904940959999</v>
      </c>
      <c r="AE3786">
        <v>-5.8985000000000101</v>
      </c>
      <c r="AF3786">
        <v>-3.0252270612417802</v>
      </c>
      <c r="AG3786">
        <v>-1.1178904940959999</v>
      </c>
      <c r="AH3786">
        <v>9.62154390821234</v>
      </c>
      <c r="AI3786">
        <v>96.324652709511</v>
      </c>
      <c r="AJ3786">
        <v>107.45430552472899</v>
      </c>
      <c r="AK3786">
        <v>10.1476985127918</v>
      </c>
      <c r="AL3786">
        <v>80.381493684410501</v>
      </c>
      <c r="AM3786">
        <v>97.974126342097506</v>
      </c>
      <c r="AN3786">
        <v>0.99999993461588199</v>
      </c>
    </row>
    <row r="3787" spans="1:40" x14ac:dyDescent="0.25">
      <c r="A3787" t="str">
        <f>"20190312164343938"</f>
        <v>20190312164343938</v>
      </c>
      <c r="B3787" t="str">
        <f>"1552380223928215"</f>
        <v>1552380223928215</v>
      </c>
      <c r="C3787" t="s">
        <v>40</v>
      </c>
      <c r="D3787">
        <v>4.2361589999999998</v>
      </c>
      <c r="E3787">
        <v>0.43845719999999999</v>
      </c>
      <c r="F3787" t="s">
        <v>49</v>
      </c>
      <c r="G3787">
        <v>-412.27460000000002</v>
      </c>
      <c r="H3787" s="1">
        <v>-7.3807859999999997E-6</v>
      </c>
      <c r="I3787">
        <v>132.5403</v>
      </c>
      <c r="J3787">
        <v>-403.98009999999999</v>
      </c>
      <c r="K3787">
        <v>1.1179300000000001</v>
      </c>
      <c r="L3787">
        <v>138.54429999999999</v>
      </c>
      <c r="M3787">
        <v>-0.94909730000000003</v>
      </c>
      <c r="N3787">
        <v>0</v>
      </c>
      <c r="O3787">
        <v>-0.31465559999999998</v>
      </c>
      <c r="P3787">
        <v>-0.8866619</v>
      </c>
      <c r="Q3787">
        <v>0.15443380000000001</v>
      </c>
      <c r="R3787">
        <v>-0.43586809999999998</v>
      </c>
      <c r="S3787">
        <v>-2.5548099999999998</v>
      </c>
      <c r="T3787">
        <v>-0.3326498</v>
      </c>
      <c r="U3787">
        <v>-1.817078</v>
      </c>
      <c r="V3787">
        <v>-0.13782929999999999</v>
      </c>
      <c r="W3787">
        <v>0.1659207</v>
      </c>
      <c r="X3787">
        <v>0.97645959999999998</v>
      </c>
      <c r="Y3787">
        <v>-0.29377039999999999</v>
      </c>
      <c r="Z3787">
        <v>1.8207419999999998E-2</v>
      </c>
      <c r="AA3787">
        <v>0.95570259999999996</v>
      </c>
      <c r="AB3787">
        <v>32</v>
      </c>
      <c r="AC3787">
        <v>-8.2945000000000206</v>
      </c>
      <c r="AD3787">
        <v>-1.11793738078599</v>
      </c>
      <c r="AE3787">
        <v>-6.0039999999999898</v>
      </c>
      <c r="AF3787">
        <v>-3.0524027820443398</v>
      </c>
      <c r="AG3787">
        <v>-1.11793738078599</v>
      </c>
      <c r="AH3787">
        <v>9.6474871497785006</v>
      </c>
      <c r="AI3787">
        <v>96.304507074947594</v>
      </c>
      <c r="AJ3787">
        <v>107.55703580479199</v>
      </c>
      <c r="AK3787">
        <v>10.1804201797534</v>
      </c>
      <c r="AL3787">
        <v>80.449275764793697</v>
      </c>
      <c r="AM3787">
        <v>98.034340330977699</v>
      </c>
      <c r="AN3787">
        <v>0.99999997252956896</v>
      </c>
    </row>
    <row r="3788" spans="1:40" x14ac:dyDescent="0.25">
      <c r="A3788" t="str">
        <f>"20190312164343960"</f>
        <v>20190312164343960</v>
      </c>
      <c r="B3788" t="str">
        <f>"1552380223949282"</f>
        <v>1552380223949282</v>
      </c>
      <c r="C3788" t="s">
        <v>40</v>
      </c>
      <c r="D3788">
        <v>4.2564149999999996</v>
      </c>
      <c r="E3788">
        <v>0.4384112</v>
      </c>
      <c r="F3788" t="s">
        <v>49</v>
      </c>
      <c r="G3788">
        <v>-412.43799999999999</v>
      </c>
      <c r="H3788" s="1">
        <v>-7.3065359999999902E-6</v>
      </c>
      <c r="I3788">
        <v>132.4033</v>
      </c>
      <c r="J3788">
        <v>-404.27929999999998</v>
      </c>
      <c r="K3788">
        <v>1.117985</v>
      </c>
      <c r="L3788">
        <v>138.43600000000001</v>
      </c>
      <c r="M3788">
        <v>-0.94623979999999996</v>
      </c>
      <c r="N3788">
        <v>0</v>
      </c>
      <c r="O3788">
        <v>-0.32314730000000003</v>
      </c>
      <c r="P3788">
        <v>-0.88213920000000001</v>
      </c>
      <c r="Q3788">
        <v>0.153464299999999</v>
      </c>
      <c r="R3788">
        <v>-0.44528600000000002</v>
      </c>
      <c r="S3788">
        <v>-2.5365600000000001</v>
      </c>
      <c r="T3788">
        <v>-0.3352733</v>
      </c>
      <c r="U3788">
        <v>-1.8417049999999999</v>
      </c>
      <c r="V3788">
        <v>-0.13943340000000001</v>
      </c>
      <c r="W3788">
        <v>0.1649111</v>
      </c>
      <c r="X3788">
        <v>0.97640289999999996</v>
      </c>
      <c r="Y3788">
        <v>-0.29458889999999999</v>
      </c>
      <c r="Z3788">
        <v>1.9259490000000001E-2</v>
      </c>
      <c r="AA3788">
        <v>0.95543</v>
      </c>
      <c r="AB3788">
        <v>32</v>
      </c>
      <c r="AC3788">
        <v>-8.15870000000006</v>
      </c>
      <c r="AD3788">
        <v>-1.117992306536</v>
      </c>
      <c r="AE3788">
        <v>-6.0327000000000002</v>
      </c>
      <c r="AF3788">
        <v>-3.0353859791676698</v>
      </c>
      <c r="AG3788">
        <v>-1.117992306536</v>
      </c>
      <c r="AH3788">
        <v>9.5545418032955993</v>
      </c>
      <c r="AI3788">
        <v>96.363287465835896</v>
      </c>
      <c r="AJ3788">
        <v>107.624551627953</v>
      </c>
      <c r="AK3788">
        <v>10.087256510614001</v>
      </c>
      <c r="AL3788">
        <v>80.507929714835797</v>
      </c>
      <c r="AM3788">
        <v>98.127070076709799</v>
      </c>
      <c r="AN3788">
        <v>0.99999998353358899</v>
      </c>
    </row>
    <row r="3789" spans="1:40" x14ac:dyDescent="0.25">
      <c r="A3789" t="str">
        <f>"20190312164343987"</f>
        <v>20190312164343987</v>
      </c>
      <c r="B3789" t="str">
        <f>"1552380223978562"</f>
        <v>1552380223978562</v>
      </c>
      <c r="C3789" t="s">
        <v>40</v>
      </c>
      <c r="D3789">
        <v>4.2913680000000003</v>
      </c>
      <c r="E3789">
        <v>0.43836639999999999</v>
      </c>
      <c r="F3789" t="s">
        <v>49</v>
      </c>
      <c r="G3789">
        <v>-412.63720000000001</v>
      </c>
      <c r="H3789" s="1">
        <v>-7.2155279999999997E-6</v>
      </c>
      <c r="I3789">
        <v>132.23070000000001</v>
      </c>
      <c r="J3789">
        <v>-404.6198</v>
      </c>
      <c r="K3789">
        <v>1.118053</v>
      </c>
      <c r="L3789">
        <v>138.30860000000001</v>
      </c>
      <c r="M3789">
        <v>-0.94284429999999997</v>
      </c>
      <c r="N3789">
        <v>0</v>
      </c>
      <c r="O3789">
        <v>-0.33292349999999998</v>
      </c>
      <c r="P3789">
        <v>-0.87694749999999999</v>
      </c>
      <c r="Q3789">
        <v>0.1526206</v>
      </c>
      <c r="R3789">
        <v>-0.45570830000000001</v>
      </c>
      <c r="S3789">
        <v>-2.5163570000000002</v>
      </c>
      <c r="T3789">
        <v>-0.33660089999999998</v>
      </c>
      <c r="U3789">
        <v>-1.8682859999999999</v>
      </c>
      <c r="V3789">
        <v>-0.1408645</v>
      </c>
      <c r="W3789">
        <v>0.16402820000000001</v>
      </c>
      <c r="X3789">
        <v>0.97634620000000005</v>
      </c>
      <c r="Y3789">
        <v>-0.29492259999999998</v>
      </c>
      <c r="Z3789">
        <v>2.0421740000000001E-2</v>
      </c>
      <c r="AA3789">
        <v>0.95530289999999995</v>
      </c>
      <c r="AB3789">
        <v>32</v>
      </c>
      <c r="AC3789">
        <v>-8.0174000000000092</v>
      </c>
      <c r="AD3789">
        <v>-1.1180602155279999</v>
      </c>
      <c r="AE3789">
        <v>-6.0778999999999996</v>
      </c>
      <c r="AF3789">
        <v>-3.0242987413475602</v>
      </c>
      <c r="AG3789">
        <v>-1.1180602155279999</v>
      </c>
      <c r="AH3789">
        <v>9.4667119169351892</v>
      </c>
      <c r="AI3789">
        <v>96.418949408775106</v>
      </c>
      <c r="AJ3789">
        <v>107.716947168326</v>
      </c>
      <c r="AK3789">
        <v>10.000753773626499</v>
      </c>
      <c r="AL3789">
        <v>80.559214517140504</v>
      </c>
      <c r="AM3789">
        <v>98.209822700905505</v>
      </c>
      <c r="AN3789">
        <v>0.99999998000496404</v>
      </c>
    </row>
    <row r="3790" spans="1:40" x14ac:dyDescent="0.25">
      <c r="A3790" t="str">
        <f>"20190312164344028"</f>
        <v>20190312164344028</v>
      </c>
      <c r="B3790" t="str">
        <f>"1552380224018577"</f>
        <v>1552380224018577</v>
      </c>
      <c r="C3790" t="s">
        <v>40</v>
      </c>
      <c r="D3790">
        <v>4.2926669999999998</v>
      </c>
      <c r="E3790">
        <v>0.43856020000000001</v>
      </c>
      <c r="F3790" t="s">
        <v>49</v>
      </c>
      <c r="G3790">
        <v>-412.88729999999998</v>
      </c>
      <c r="H3790" s="1">
        <v>-7.113501E-6</v>
      </c>
      <c r="I3790">
        <v>132.01580000000001</v>
      </c>
      <c r="J3790">
        <v>-405.1694</v>
      </c>
      <c r="K3790">
        <v>1.118153</v>
      </c>
      <c r="L3790">
        <v>138.09440000000001</v>
      </c>
      <c r="M3790">
        <v>-0.93704860000000001</v>
      </c>
      <c r="N3790">
        <v>0</v>
      </c>
      <c r="O3790">
        <v>-0.3489024</v>
      </c>
      <c r="P3790">
        <v>-0.86819669999999904</v>
      </c>
      <c r="Q3790">
        <v>0.15096270000000001</v>
      </c>
      <c r="R3790">
        <v>-0.47269990000000001</v>
      </c>
      <c r="S3790">
        <v>-2.493439</v>
      </c>
      <c r="T3790">
        <v>-0.33720220000000001</v>
      </c>
      <c r="U3790">
        <v>-1.8978729999999999</v>
      </c>
      <c r="V3790">
        <v>-0.14319689999999999</v>
      </c>
      <c r="W3790">
        <v>0.16230829999999999</v>
      </c>
      <c r="X3790">
        <v>0.97629429999999995</v>
      </c>
      <c r="Y3790">
        <v>-0.29018870000000002</v>
      </c>
      <c r="Z3790">
        <v>2.252293E-2</v>
      </c>
      <c r="AA3790">
        <v>0.95670440000000001</v>
      </c>
      <c r="AB3790">
        <v>32</v>
      </c>
      <c r="AC3790">
        <v>-7.7178999999999798</v>
      </c>
      <c r="AD3790">
        <v>-1.118160113501</v>
      </c>
      <c r="AE3790">
        <v>-6.07859999999999</v>
      </c>
      <c r="AF3790">
        <v>-2.9650507698983501</v>
      </c>
      <c r="AG3790">
        <v>-1.118160113501</v>
      </c>
      <c r="AH3790">
        <v>9.2342315150851899</v>
      </c>
      <c r="AI3790">
        <v>96.576654279746506</v>
      </c>
      <c r="AJ3790">
        <v>107.801481458971</v>
      </c>
      <c r="AK3790">
        <v>9.7628294967028904</v>
      </c>
      <c r="AL3790">
        <v>80.659095832843406</v>
      </c>
      <c r="AM3790">
        <v>98.344297724994206</v>
      </c>
      <c r="AN3790">
        <v>0.99999994831549299</v>
      </c>
    </row>
    <row r="3791" spans="1:40" x14ac:dyDescent="0.25">
      <c r="A3791" t="str">
        <f>"20190312164344050"</f>
        <v>20190312164344050</v>
      </c>
      <c r="B3791" t="str">
        <f>"1552380224039074"</f>
        <v>1552380224039074</v>
      </c>
      <c r="C3791" t="s">
        <v>40</v>
      </c>
      <c r="D3791">
        <v>4.2822690000000003</v>
      </c>
      <c r="E3791">
        <v>0.43872689999999998</v>
      </c>
      <c r="F3791" t="s">
        <v>49</v>
      </c>
      <c r="G3791">
        <v>-413.22370000000001</v>
      </c>
      <c r="H3791" s="1">
        <v>-6.9729840000000004E-6</v>
      </c>
      <c r="I3791">
        <v>131.71879999999999</v>
      </c>
      <c r="J3791">
        <v>-405.46080000000001</v>
      </c>
      <c r="K3791">
        <v>1.118196</v>
      </c>
      <c r="L3791">
        <v>137.97640000000001</v>
      </c>
      <c r="M3791">
        <v>-0.93381119999999995</v>
      </c>
      <c r="N3791">
        <v>0</v>
      </c>
      <c r="O3791">
        <v>-0.35747570000000001</v>
      </c>
      <c r="P3791">
        <v>-0.86357490000000003</v>
      </c>
      <c r="Q3791">
        <v>0.1497937</v>
      </c>
      <c r="R3791">
        <v>-0.48145670000000002</v>
      </c>
      <c r="S3791">
        <v>-2.4561459999999999</v>
      </c>
      <c r="T3791">
        <v>-0.34097929999999999</v>
      </c>
      <c r="U3791">
        <v>-1.9442440000000001</v>
      </c>
      <c r="V3791">
        <v>-0.1440507</v>
      </c>
      <c r="W3791">
        <v>0.16111589999999901</v>
      </c>
      <c r="X3791">
        <v>0.97636630000000002</v>
      </c>
      <c r="Y3791">
        <v>-0.29957309999999998</v>
      </c>
      <c r="Z3791">
        <v>2.325408E-2</v>
      </c>
      <c r="AA3791">
        <v>0.95378989999999997</v>
      </c>
      <c r="AB3791">
        <v>32</v>
      </c>
      <c r="AC3791">
        <v>-7.7629000000000001</v>
      </c>
      <c r="AD3791">
        <v>-1.118202972984</v>
      </c>
      <c r="AE3791">
        <v>-6.2576000000000196</v>
      </c>
      <c r="AF3791">
        <v>-3.0305730420525299</v>
      </c>
      <c r="AG3791">
        <v>-1.118202972984</v>
      </c>
      <c r="AH3791">
        <v>9.3691751752545205</v>
      </c>
      <c r="AI3791">
        <v>96.478546006904594</v>
      </c>
      <c r="AJ3791">
        <v>107.924428250427</v>
      </c>
      <c r="AK3791">
        <v>9.9104083829381793</v>
      </c>
      <c r="AL3791">
        <v>80.728327445030601</v>
      </c>
      <c r="AM3791">
        <v>98.3927331180913</v>
      </c>
      <c r="AN3791">
        <v>1.0000000445894901</v>
      </c>
    </row>
    <row r="3792" spans="1:40" x14ac:dyDescent="0.25">
      <c r="A3792" t="str">
        <f>"20190312164344072"</f>
        <v>20190312164344072</v>
      </c>
      <c r="B3792" t="str">
        <f>"1552380224068911"</f>
        <v>1552380224068911</v>
      </c>
      <c r="C3792" t="s">
        <v>40</v>
      </c>
      <c r="D3792">
        <v>4.265854</v>
      </c>
      <c r="E3792">
        <v>0.4390464</v>
      </c>
      <c r="F3792" t="s">
        <v>49</v>
      </c>
      <c r="G3792">
        <v>-413.3999</v>
      </c>
      <c r="H3792" s="1">
        <v>-6.899179E-6</v>
      </c>
      <c r="I3792">
        <v>131.56270000000001</v>
      </c>
      <c r="J3792">
        <v>-405.75779999999997</v>
      </c>
      <c r="K3792">
        <v>1.1182449999999999</v>
      </c>
      <c r="L3792">
        <v>137.8527</v>
      </c>
      <c r="M3792">
        <v>-0.9303882</v>
      </c>
      <c r="N3792">
        <v>0</v>
      </c>
      <c r="O3792">
        <v>-0.36629240000000002</v>
      </c>
      <c r="P3792">
        <v>-0.85843999999999998</v>
      </c>
      <c r="Q3792">
        <v>0.14839249999999901</v>
      </c>
      <c r="R3792">
        <v>-0.490979</v>
      </c>
      <c r="S3792">
        <v>-2.436188</v>
      </c>
      <c r="T3792">
        <v>-0.34312880000000001</v>
      </c>
      <c r="U3792">
        <v>-1.968094</v>
      </c>
      <c r="V3792">
        <v>-0.14552229999999999</v>
      </c>
      <c r="W3792">
        <v>0.1596775</v>
      </c>
      <c r="X3792">
        <v>0.97638429999999998</v>
      </c>
      <c r="Y3792">
        <v>-0.3000623</v>
      </c>
      <c r="Z3792">
        <v>2.4397749999999999E-2</v>
      </c>
      <c r="AA3792">
        <v>0.9536076</v>
      </c>
      <c r="AB3792">
        <v>32</v>
      </c>
      <c r="AC3792">
        <v>-7.6421000000000197</v>
      </c>
      <c r="AD3792">
        <v>-1.118251899179</v>
      </c>
      <c r="AE3792">
        <v>-6.2899999999999903</v>
      </c>
      <c r="AF3792">
        <v>-3.0147340194511698</v>
      </c>
      <c r="AG3792">
        <v>-1.118251899179</v>
      </c>
      <c r="AH3792">
        <v>9.2964122140969696</v>
      </c>
      <c r="AI3792">
        <v>96.527529889343995</v>
      </c>
      <c r="AJ3792">
        <v>107.967363061011</v>
      </c>
      <c r="AK3792">
        <v>9.8367875128247597</v>
      </c>
      <c r="AL3792">
        <v>80.811822075022704</v>
      </c>
      <c r="AM3792">
        <v>98.477078346545298</v>
      </c>
      <c r="AN3792">
        <v>0.99999997254501405</v>
      </c>
    </row>
    <row r="3793" spans="1:40" x14ac:dyDescent="0.25">
      <c r="A3793" t="str">
        <f>"20190312164344096"</f>
        <v>20190312164344096</v>
      </c>
      <c r="B3793" t="str">
        <f>"1552380224088431"</f>
        <v>1552380224088431</v>
      </c>
      <c r="C3793" t="s">
        <v>40</v>
      </c>
      <c r="D3793">
        <v>4.2734249999999996</v>
      </c>
      <c r="E3793">
        <v>0.43924580000000002</v>
      </c>
      <c r="F3793" t="s">
        <v>49</v>
      </c>
      <c r="G3793">
        <v>-413.55590000000001</v>
      </c>
      <c r="H3793" s="1">
        <v>-6.8345770000000002E-6</v>
      </c>
      <c r="I3793">
        <v>131.4263</v>
      </c>
      <c r="J3793">
        <v>-406.05970000000002</v>
      </c>
      <c r="K3793">
        <v>1.1182989999999999</v>
      </c>
      <c r="L3793">
        <v>137.7236</v>
      </c>
      <c r="M3793">
        <v>-0.92677030000000005</v>
      </c>
      <c r="N3793">
        <v>0</v>
      </c>
      <c r="O3793">
        <v>-0.3753512</v>
      </c>
      <c r="P3793">
        <v>-0.85314129999999999</v>
      </c>
      <c r="Q3793">
        <v>0.14602219999999999</v>
      </c>
      <c r="R3793">
        <v>-0.50082700000000002</v>
      </c>
      <c r="S3793">
        <v>-2.4158940000000002</v>
      </c>
      <c r="T3793">
        <v>-0.34643780000000002</v>
      </c>
      <c r="U3793">
        <v>-1.990936</v>
      </c>
      <c r="V3793">
        <v>-0.14706250000000001</v>
      </c>
      <c r="W3793">
        <v>0.15726789999999999</v>
      </c>
      <c r="X3793">
        <v>0.97654459999999998</v>
      </c>
      <c r="Y3793">
        <v>-0.3001066</v>
      </c>
      <c r="Z3793">
        <v>2.5698820000000001E-2</v>
      </c>
      <c r="AA3793">
        <v>0.95355939999999995</v>
      </c>
      <c r="AB3793">
        <v>32</v>
      </c>
      <c r="AC3793">
        <v>-7.4961999999999804</v>
      </c>
      <c r="AD3793">
        <v>-1.1183058345769901</v>
      </c>
      <c r="AE3793">
        <v>-6.2972999999999999</v>
      </c>
      <c r="AF3793">
        <v>-2.9838257333762499</v>
      </c>
      <c r="AG3793">
        <v>-1.1183058345769901</v>
      </c>
      <c r="AH3793">
        <v>9.1919902373461895</v>
      </c>
      <c r="AI3793">
        <v>96.600730699728899</v>
      </c>
      <c r="AJ3793">
        <v>107.98402640060399</v>
      </c>
      <c r="AK3793">
        <v>9.7286437117552502</v>
      </c>
      <c r="AL3793">
        <v>80.951648886110505</v>
      </c>
      <c r="AM3793">
        <v>98.564090089701494</v>
      </c>
      <c r="AN3793">
        <v>0.99999996353290899</v>
      </c>
    </row>
    <row r="3794" spans="1:40" x14ac:dyDescent="0.25">
      <c r="A3794" t="str">
        <f>"20190312164344116"</f>
        <v>20190312164344116</v>
      </c>
      <c r="B3794" t="str">
        <f>"1552380224108928"</f>
        <v>1552380224108928</v>
      </c>
      <c r="C3794" t="s">
        <v>40</v>
      </c>
      <c r="D3794">
        <v>4.270842</v>
      </c>
      <c r="E3794">
        <v>0.43946469999999999</v>
      </c>
      <c r="F3794" t="s">
        <v>49</v>
      </c>
      <c r="G3794">
        <v>-413.62220000000002</v>
      </c>
      <c r="H3794" s="1">
        <v>-6.8031790000000004E-6</v>
      </c>
      <c r="I3794">
        <v>131.3586</v>
      </c>
      <c r="J3794">
        <v>-406.33539999999999</v>
      </c>
      <c r="K3794">
        <v>1.1183540000000001</v>
      </c>
      <c r="L3794">
        <v>137.6026</v>
      </c>
      <c r="M3794">
        <v>-0.92333460000000001</v>
      </c>
      <c r="N3794">
        <v>0</v>
      </c>
      <c r="O3794">
        <v>-0.38372469999999997</v>
      </c>
      <c r="P3794">
        <v>-0.84804049999999997</v>
      </c>
      <c r="Q3794">
        <v>0.14449239999999999</v>
      </c>
      <c r="R3794">
        <v>-0.50985199999999997</v>
      </c>
      <c r="S3794">
        <v>-2.3941349999999999</v>
      </c>
      <c r="T3794">
        <v>-0.35403309999999999</v>
      </c>
      <c r="U3794">
        <v>-2.0150299999999999</v>
      </c>
      <c r="V3794">
        <v>-0.14848510000000001</v>
      </c>
      <c r="W3794">
        <v>0.15569820000000001</v>
      </c>
      <c r="X3794">
        <v>0.97658089999999997</v>
      </c>
      <c r="Y3794">
        <v>-0.30140790000000001</v>
      </c>
      <c r="Z3794">
        <v>2.719924E-2</v>
      </c>
      <c r="AA3794">
        <v>0.95310729999999999</v>
      </c>
      <c r="AB3794">
        <v>32</v>
      </c>
      <c r="AC3794">
        <v>-7.2868000000000199</v>
      </c>
      <c r="AD3794">
        <v>-1.118360803179</v>
      </c>
      <c r="AE3794">
        <v>-6.2439999999999998</v>
      </c>
      <c r="AF3794">
        <v>-2.9296936542271501</v>
      </c>
      <c r="AG3794">
        <v>-1.118360803179</v>
      </c>
      <c r="AH3794">
        <v>9.00280398789263</v>
      </c>
      <c r="AI3794">
        <v>96.736918228344194</v>
      </c>
      <c r="AJ3794">
        <v>108.025930982205</v>
      </c>
      <c r="AK3794">
        <v>9.5333265672650391</v>
      </c>
      <c r="AL3794">
        <v>81.042708241194902</v>
      </c>
      <c r="AM3794">
        <v>98.645371796473498</v>
      </c>
      <c r="AN3794">
        <v>1.0000000043250299</v>
      </c>
    </row>
    <row r="3795" spans="1:40" x14ac:dyDescent="0.25">
      <c r="A3795" t="str">
        <f>"20190312164344140"</f>
        <v>20190312164344140</v>
      </c>
      <c r="B3795" t="str">
        <f>"1552380224128448"</f>
        <v>1552380224128448</v>
      </c>
      <c r="C3795" t="s">
        <v>40</v>
      </c>
      <c r="D3795">
        <v>4.2530590000000004</v>
      </c>
      <c r="E3795">
        <v>0.4512176</v>
      </c>
      <c r="F3795" t="s">
        <v>49</v>
      </c>
      <c r="G3795">
        <v>-413.73419999999999</v>
      </c>
      <c r="H3795" s="1">
        <v>-6.7523319999999997E-6</v>
      </c>
      <c r="I3795">
        <v>131.24979999999999</v>
      </c>
      <c r="J3795">
        <v>-406.62419999999997</v>
      </c>
      <c r="K3795">
        <v>1.118431</v>
      </c>
      <c r="L3795">
        <v>137.4725</v>
      </c>
      <c r="M3795">
        <v>-0.91958949999999995</v>
      </c>
      <c r="N3795">
        <v>0</v>
      </c>
      <c r="O3795">
        <v>-0.39261449999999998</v>
      </c>
      <c r="P3795">
        <v>-0.84265009999999996</v>
      </c>
      <c r="Q3795">
        <v>0.14382729999999999</v>
      </c>
      <c r="R3795">
        <v>-0.51889779999999996</v>
      </c>
      <c r="S3795">
        <v>-2.3734440000000001</v>
      </c>
      <c r="T3795">
        <v>-0.35875689999999999</v>
      </c>
      <c r="U3795">
        <v>-2.037903</v>
      </c>
      <c r="V3795">
        <v>-0.1494904</v>
      </c>
      <c r="W3795">
        <v>0.15499540000000001</v>
      </c>
      <c r="X3795">
        <v>0.9765393</v>
      </c>
      <c r="Y3795">
        <v>-0.30165829999999999</v>
      </c>
      <c r="Z3795">
        <v>2.8634670000000001E-2</v>
      </c>
      <c r="AA3795">
        <v>0.952986</v>
      </c>
      <c r="AB3795">
        <v>32</v>
      </c>
      <c r="AC3795">
        <v>-7.1100000000000101</v>
      </c>
      <c r="AD3795">
        <v>-1.1184377523319999</v>
      </c>
      <c r="AE3795">
        <v>-6.2226999999999997</v>
      </c>
      <c r="AF3795">
        <v>-2.8906433040270101</v>
      </c>
      <c r="AG3795">
        <v>-1.1184377523319999</v>
      </c>
      <c r="AH3795">
        <v>8.8582214823533203</v>
      </c>
      <c r="AI3795">
        <v>96.844504575084699</v>
      </c>
      <c r="AJ3795">
        <v>108.072706602016</v>
      </c>
      <c r="AK3795">
        <v>9.3848180348573305</v>
      </c>
      <c r="AL3795">
        <v>81.083470343669106</v>
      </c>
      <c r="AM3795">
        <v>98.703376044400002</v>
      </c>
      <c r="AN3795">
        <v>0.99999997907890403</v>
      </c>
    </row>
    <row r="3796" spans="1:40" x14ac:dyDescent="0.25">
      <c r="A3796" t="str">
        <f>"20190312164344163"</f>
        <v>20190312164344163</v>
      </c>
      <c r="B3796" t="str">
        <f>"1552380224158406"</f>
        <v>1552380224158406</v>
      </c>
      <c r="C3796" t="s">
        <v>40</v>
      </c>
      <c r="D3796">
        <v>4.2585509999999998</v>
      </c>
      <c r="E3796">
        <v>0.45290380000000002</v>
      </c>
      <c r="F3796" t="s">
        <v>49</v>
      </c>
      <c r="G3796">
        <v>-414.87009999999998</v>
      </c>
      <c r="H3796" s="1">
        <v>-6.4472800000000004E-6</v>
      </c>
      <c r="I3796">
        <v>130.6627</v>
      </c>
      <c r="J3796">
        <v>-406.91410000000002</v>
      </c>
      <c r="K3796">
        <v>1.1185309999999999</v>
      </c>
      <c r="L3796">
        <v>137.3382</v>
      </c>
      <c r="M3796">
        <v>-0.91566389999999998</v>
      </c>
      <c r="N3796">
        <v>0</v>
      </c>
      <c r="O3796">
        <v>-0.4016845</v>
      </c>
      <c r="P3796">
        <v>-0.83742850000000002</v>
      </c>
      <c r="Q3796">
        <v>0.14415449999999999</v>
      </c>
      <c r="R3796">
        <v>-0.5271941</v>
      </c>
      <c r="S3796">
        <v>-2.3967900000000002</v>
      </c>
      <c r="T3796">
        <v>-0.3250902</v>
      </c>
      <c r="U3796">
        <v>-1.9793700000000001</v>
      </c>
      <c r="V3796">
        <v>-0.14955009999999999</v>
      </c>
      <c r="W3796">
        <v>0.1553011</v>
      </c>
      <c r="X3796">
        <v>0.97648159999999895</v>
      </c>
      <c r="Y3796">
        <v>-0.273926</v>
      </c>
      <c r="Z3796">
        <v>2.85498E-2</v>
      </c>
      <c r="AA3796">
        <v>0.96132700000000004</v>
      </c>
      <c r="AB3796">
        <v>32</v>
      </c>
      <c r="AC3796">
        <v>-7.9559999999999498</v>
      </c>
      <c r="AD3796">
        <v>-1.11853744727999</v>
      </c>
      <c r="AE3796">
        <v>-6.6755000000000004</v>
      </c>
      <c r="AF3796">
        <v>-2.8835695982088398</v>
      </c>
      <c r="AG3796">
        <v>-1.11853744727999</v>
      </c>
      <c r="AH3796">
        <v>9.8532169473257198</v>
      </c>
      <c r="AI3796">
        <v>96.217867742363495</v>
      </c>
      <c r="AJ3796">
        <v>106.312252132952</v>
      </c>
      <c r="AK3796">
        <v>10.3272447370897</v>
      </c>
      <c r="AL3796">
        <v>81.065740429072406</v>
      </c>
      <c r="AM3796">
        <v>98.707305141438695</v>
      </c>
      <c r="AN3796">
        <v>0.99999998960488901</v>
      </c>
    </row>
    <row r="3797" spans="1:40" x14ac:dyDescent="0.25">
      <c r="A3797" t="str">
        <f>"20190312164344190"</f>
        <v>20190312164344190</v>
      </c>
      <c r="B3797" t="str">
        <f>"1552380224178902"</f>
        <v>1552380224178902</v>
      </c>
      <c r="C3797" t="s">
        <v>40</v>
      </c>
      <c r="D3797">
        <v>4.2741619999999996</v>
      </c>
      <c r="E3797">
        <v>0.45279360000000002</v>
      </c>
      <c r="F3797" t="s">
        <v>49</v>
      </c>
      <c r="G3797">
        <v>-415.48509999999999</v>
      </c>
      <c r="H3797" s="1">
        <v>-6.2164819999999996E-6</v>
      </c>
      <c r="I3797">
        <v>130.18369999999999</v>
      </c>
      <c r="J3797">
        <v>-407.26580000000001</v>
      </c>
      <c r="K3797">
        <v>1.1186640000000001</v>
      </c>
      <c r="L3797">
        <v>137.16999999999999</v>
      </c>
      <c r="M3797">
        <v>-0.91065189999999996</v>
      </c>
      <c r="N3797">
        <v>0</v>
      </c>
      <c r="O3797">
        <v>-0.41292040000000002</v>
      </c>
      <c r="P3797">
        <v>-0.83097330000000003</v>
      </c>
      <c r="Q3797">
        <v>0.1436693</v>
      </c>
      <c r="R3797">
        <v>-0.5374411</v>
      </c>
      <c r="S3797">
        <v>-2.3834230000000001</v>
      </c>
      <c r="T3797">
        <v>-0.3110405</v>
      </c>
      <c r="U3797">
        <v>-1.9895320000000001</v>
      </c>
      <c r="V3797">
        <v>-0.149538</v>
      </c>
      <c r="W3797">
        <v>0.1547914</v>
      </c>
      <c r="X3797">
        <v>0.9765644</v>
      </c>
      <c r="Y3797">
        <v>-0.267177</v>
      </c>
      <c r="Z3797">
        <v>2.887296E-2</v>
      </c>
      <c r="AA3797">
        <v>0.96321480000000004</v>
      </c>
      <c r="AB3797">
        <v>32</v>
      </c>
      <c r="AC3797">
        <v>-8.2192999999999703</v>
      </c>
      <c r="AD3797">
        <v>-1.1186702164819999</v>
      </c>
      <c r="AE3797">
        <v>-6.9863</v>
      </c>
      <c r="AF3797">
        <v>-2.9368980451753899</v>
      </c>
      <c r="AG3797">
        <v>-1.1186702164819999</v>
      </c>
      <c r="AH3797">
        <v>10.2604516033569</v>
      </c>
      <c r="AI3797">
        <v>95.983779723451306</v>
      </c>
      <c r="AJ3797">
        <v>105.972963186811</v>
      </c>
      <c r="AK3797">
        <v>10.7309673508881</v>
      </c>
      <c r="AL3797">
        <v>81.095301740569596</v>
      </c>
      <c r="AM3797">
        <v>98.705884537626403</v>
      </c>
      <c r="AN3797">
        <v>1.00000000915266</v>
      </c>
    </row>
    <row r="3798" spans="1:40" x14ac:dyDescent="0.25">
      <c r="A3798" t="str">
        <f>"20190312164344214"</f>
        <v>20190312164344214</v>
      </c>
      <c r="B3798" t="str">
        <f>"1552380224208183"</f>
        <v>1552380224208183</v>
      </c>
      <c r="C3798" t="s">
        <v>40</v>
      </c>
      <c r="D3798">
        <v>4.1951479999999997</v>
      </c>
      <c r="E3798">
        <v>0.43441259999999998</v>
      </c>
      <c r="F3798" t="s">
        <v>49</v>
      </c>
      <c r="G3798">
        <v>-415.84320000000002</v>
      </c>
      <c r="H3798" s="1">
        <v>-6.0516949999999997E-6</v>
      </c>
      <c r="I3798">
        <v>129.83009999999999</v>
      </c>
      <c r="J3798">
        <v>-407.57049999999998</v>
      </c>
      <c r="K3798">
        <v>1.1187849999999999</v>
      </c>
      <c r="L3798">
        <v>137.02010000000001</v>
      </c>
      <c r="M3798">
        <v>-0.90609810000000002</v>
      </c>
      <c r="N3798">
        <v>0</v>
      </c>
      <c r="O3798">
        <v>-0.42281879999999999</v>
      </c>
      <c r="P3798">
        <v>-0.82523069999999898</v>
      </c>
      <c r="Q3798">
        <v>0.1430794</v>
      </c>
      <c r="R3798">
        <v>-0.54637230000000003</v>
      </c>
      <c r="S3798">
        <v>-2.358215</v>
      </c>
      <c r="T3798">
        <v>-0.30756119999999998</v>
      </c>
      <c r="U3798">
        <v>-2.018005</v>
      </c>
      <c r="V3798">
        <v>-0.149417299999999</v>
      </c>
      <c r="W3798">
        <v>0.15418419999999999</v>
      </c>
      <c r="X3798">
        <v>0.97667890000000002</v>
      </c>
      <c r="Y3798">
        <v>-0.26849489999999998</v>
      </c>
      <c r="Z3798">
        <v>2.9536139999999999E-2</v>
      </c>
      <c r="AA3798">
        <v>0.96282820000000002</v>
      </c>
      <c r="AB3798">
        <v>32</v>
      </c>
      <c r="AC3798">
        <v>-8.2727000000000395</v>
      </c>
      <c r="AD3798">
        <v>-1.1187910516949999</v>
      </c>
      <c r="AE3798">
        <v>-7.1900000000000199</v>
      </c>
      <c r="AF3798">
        <v>-2.9861961404966002</v>
      </c>
      <c r="AG3798">
        <v>-1.1187910516949999</v>
      </c>
      <c r="AH3798">
        <v>10.428398695683001</v>
      </c>
      <c r="AI3798">
        <v>95.8885444671822</v>
      </c>
      <c r="AJ3798">
        <v>105.979187778419</v>
      </c>
      <c r="AK3798">
        <v>10.9050703878055</v>
      </c>
      <c r="AL3798">
        <v>81.1305142652717</v>
      </c>
      <c r="AM3798">
        <v>98.697960873352997</v>
      </c>
      <c r="AN3798">
        <v>0.99999998538707002</v>
      </c>
    </row>
    <row r="3799" spans="1:40" x14ac:dyDescent="0.25">
      <c r="A3799" t="str">
        <f>"20190312164344233"</f>
        <v>20190312164344233</v>
      </c>
      <c r="B3799" t="str">
        <f>"1552380224228680"</f>
        <v>1552380224228680</v>
      </c>
      <c r="C3799" t="s">
        <v>40</v>
      </c>
      <c r="D3799">
        <v>4.175287</v>
      </c>
      <c r="E3799">
        <v>0.43175940000000002</v>
      </c>
      <c r="F3799" t="s">
        <v>49</v>
      </c>
      <c r="G3799">
        <v>-416.35610000000003</v>
      </c>
      <c r="H3799" s="1">
        <v>-5.4133679999999997E-6</v>
      </c>
      <c r="I3799">
        <v>128.59289999999999</v>
      </c>
      <c r="J3799">
        <v>-407.81420000000003</v>
      </c>
      <c r="K3799">
        <v>1.1188769999999999</v>
      </c>
      <c r="L3799">
        <v>136.89689999999999</v>
      </c>
      <c r="M3799">
        <v>-0.90229789999999999</v>
      </c>
      <c r="N3799">
        <v>0</v>
      </c>
      <c r="O3799">
        <v>-0.43086859999999999</v>
      </c>
      <c r="P3799">
        <v>-0.82051810000000003</v>
      </c>
      <c r="Q3799">
        <v>0.14238879999999901</v>
      </c>
      <c r="R3799">
        <v>-0.55360240000000005</v>
      </c>
      <c r="S3799">
        <v>-2.2538149999999999</v>
      </c>
      <c r="T3799">
        <v>-0.28700829999999999</v>
      </c>
      <c r="U3799">
        <v>-2.1618650000000001</v>
      </c>
      <c r="V3799">
        <v>-0.14927319999999999</v>
      </c>
      <c r="W3799">
        <v>0.15348120000000001</v>
      </c>
      <c r="X3799">
        <v>0.9768116</v>
      </c>
      <c r="Y3799">
        <v>-0.31404339999999997</v>
      </c>
      <c r="Z3799">
        <v>2.617589E-2</v>
      </c>
      <c r="AA3799">
        <v>0.94904770000000005</v>
      </c>
      <c r="AB3799">
        <v>32</v>
      </c>
      <c r="AC3799">
        <v>-8.5418999999999894</v>
      </c>
      <c r="AD3799">
        <v>-1.118882413368</v>
      </c>
      <c r="AE3799">
        <v>-8.3040000000000003</v>
      </c>
      <c r="AF3799">
        <v>-3.7793092945907598</v>
      </c>
      <c r="AG3799">
        <v>-1.118882413368</v>
      </c>
      <c r="AH3799">
        <v>11.187771949248599</v>
      </c>
      <c r="AI3799">
        <v>95.412577596572405</v>
      </c>
      <c r="AJ3799">
        <v>108.665335811426</v>
      </c>
      <c r="AK3799">
        <v>11.8617586296265</v>
      </c>
      <c r="AL3799">
        <v>81.171277965877906</v>
      </c>
      <c r="AM3799">
        <v>98.688538067903195</v>
      </c>
      <c r="AN3799">
        <v>0.99999993444311697</v>
      </c>
    </row>
    <row r="3800" spans="1:40" x14ac:dyDescent="0.25">
      <c r="A3800" t="str">
        <f>"20190312164344251"</f>
        <v>20190312164344251</v>
      </c>
      <c r="B3800" t="str">
        <f>"1552380224248766"</f>
        <v>1552380224248766</v>
      </c>
      <c r="C3800" t="s">
        <v>40</v>
      </c>
      <c r="D3800">
        <v>4.1330549999999997</v>
      </c>
      <c r="E3800">
        <v>0.43167420000000001</v>
      </c>
      <c r="F3800" t="s">
        <v>49</v>
      </c>
      <c r="G3800">
        <v>-416.25580000000002</v>
      </c>
      <c r="H3800" s="1">
        <v>-5.3968569999999998E-6</v>
      </c>
      <c r="I3800">
        <v>128.54900000000001</v>
      </c>
      <c r="J3800">
        <v>-408.0428</v>
      </c>
      <c r="K3800">
        <v>1.1189659999999999</v>
      </c>
      <c r="L3800">
        <v>136.77889999999999</v>
      </c>
      <c r="M3800">
        <v>-0.8985978</v>
      </c>
      <c r="N3800">
        <v>0</v>
      </c>
      <c r="O3800">
        <v>-0.43853189999999997</v>
      </c>
      <c r="P3800">
        <v>-0.81586959999999997</v>
      </c>
      <c r="Q3800">
        <v>0.14259330000000001</v>
      </c>
      <c r="R3800">
        <v>-0.56037840000000005</v>
      </c>
      <c r="S3800">
        <v>-2.2237239999999998</v>
      </c>
      <c r="T3800">
        <v>-0.294742</v>
      </c>
      <c r="U3800">
        <v>-2.1990509999999999</v>
      </c>
      <c r="V3800">
        <v>-0.14910379999999901</v>
      </c>
      <c r="W3800">
        <v>0.15367249999999999</v>
      </c>
      <c r="X3800">
        <v>0.97680750000000005</v>
      </c>
      <c r="Y3800">
        <v>-0.3204437</v>
      </c>
      <c r="Z3800">
        <v>2.7323469999999999E-2</v>
      </c>
      <c r="AA3800">
        <v>0.94687339999999998</v>
      </c>
      <c r="AB3800">
        <v>32</v>
      </c>
      <c r="AC3800">
        <v>-8.2130000000000205</v>
      </c>
      <c r="AD3800">
        <v>-1.1189713968570001</v>
      </c>
      <c r="AE3800">
        <v>-8.2298999999999793</v>
      </c>
      <c r="AF3800">
        <v>-3.7592902739429199</v>
      </c>
      <c r="AG3800">
        <v>-1.1189713968570001</v>
      </c>
      <c r="AH3800">
        <v>10.889560697154099</v>
      </c>
      <c r="AI3800">
        <v>95.547811738790102</v>
      </c>
      <c r="AJ3800">
        <v>109.04567973132799</v>
      </c>
      <c r="AK3800">
        <v>11.574406789453599</v>
      </c>
      <c r="AL3800">
        <v>81.160186598704797</v>
      </c>
      <c r="AM3800">
        <v>98.678864124852296</v>
      </c>
      <c r="AN3800">
        <v>1.00000003624346</v>
      </c>
    </row>
    <row r="3801" spans="1:40" x14ac:dyDescent="0.25">
      <c r="A3801" t="str">
        <f>"20190312164344274"</f>
        <v>20190312164344274</v>
      </c>
      <c r="B3801" t="str">
        <f>"1552380224268286"</f>
        <v>1552380224268286</v>
      </c>
      <c r="C3801" t="s">
        <v>40</v>
      </c>
      <c r="D3801">
        <v>4.1453309999999997</v>
      </c>
      <c r="E3801">
        <v>0.43220829999999999</v>
      </c>
      <c r="F3801" t="s">
        <v>49</v>
      </c>
      <c r="G3801">
        <v>-416.41309999999999</v>
      </c>
      <c r="H3801" s="1">
        <v>-5.2905880000000003E-6</v>
      </c>
      <c r="I3801">
        <v>128.35839999999999</v>
      </c>
      <c r="J3801">
        <v>-408.32859999999999</v>
      </c>
      <c r="K3801">
        <v>1.1190800000000001</v>
      </c>
      <c r="L3801">
        <v>136.6276</v>
      </c>
      <c r="M3801">
        <v>-0.89378060000000004</v>
      </c>
      <c r="N3801">
        <v>0</v>
      </c>
      <c r="O3801">
        <v>-0.44826779999999999</v>
      </c>
      <c r="P3801">
        <v>-0.8099518</v>
      </c>
      <c r="Q3801">
        <v>0.14224410000000001</v>
      </c>
      <c r="R3801">
        <v>-0.568986199999999</v>
      </c>
      <c r="S3801">
        <v>-2.2050169999999998</v>
      </c>
      <c r="T3801">
        <v>-0.29477429999999999</v>
      </c>
      <c r="U3801">
        <v>-2.2182309999999998</v>
      </c>
      <c r="V3801">
        <v>-0.14884539999999999</v>
      </c>
      <c r="W3801">
        <v>0.15330869999999999</v>
      </c>
      <c r="X3801">
        <v>0.97690399999999999</v>
      </c>
      <c r="Y3801">
        <v>-0.318305</v>
      </c>
      <c r="Z3801">
        <v>2.841028E-2</v>
      </c>
      <c r="AA3801">
        <v>0.94756260000000003</v>
      </c>
      <c r="AB3801">
        <v>32</v>
      </c>
      <c r="AC3801">
        <v>-8.0844999999999896</v>
      </c>
      <c r="AD3801">
        <v>-1.11908529058799</v>
      </c>
      <c r="AE3801">
        <v>-8.2692000000000103</v>
      </c>
      <c r="AF3801">
        <v>-3.7322795963887199</v>
      </c>
      <c r="AG3801">
        <v>-1.11908529058799</v>
      </c>
      <c r="AH3801">
        <v>10.832310078158899</v>
      </c>
      <c r="AI3801">
        <v>95.5786555029906</v>
      </c>
      <c r="AJ3801">
        <v>109.011424323527</v>
      </c>
      <c r="AK3801">
        <v>11.511785461109501</v>
      </c>
      <c r="AL3801">
        <v>81.181280158804299</v>
      </c>
      <c r="AM3801">
        <v>98.663209039912005</v>
      </c>
      <c r="AN3801">
        <v>0.99999996790642398</v>
      </c>
    </row>
    <row r="3802" spans="1:40" x14ac:dyDescent="0.25">
      <c r="A3802" t="str">
        <f>"20190312164344297"</f>
        <v>20190312164344297</v>
      </c>
      <c r="B3802" t="str">
        <f>"1552380224288782"</f>
        <v>1552380224288782</v>
      </c>
      <c r="C3802" t="s">
        <v>40</v>
      </c>
      <c r="D3802">
        <v>4.1813279999999997</v>
      </c>
      <c r="E3802">
        <v>0.4326023</v>
      </c>
      <c r="F3802" t="s">
        <v>49</v>
      </c>
      <c r="G3802">
        <v>-416.5514</v>
      </c>
      <c r="H3802" s="1">
        <v>-5.2019129999999998E-6</v>
      </c>
      <c r="I3802">
        <v>128.20009999999999</v>
      </c>
      <c r="J3802">
        <v>-408.6046</v>
      </c>
      <c r="K3802">
        <v>1.1191960000000001</v>
      </c>
      <c r="L3802">
        <v>136.4776</v>
      </c>
      <c r="M3802">
        <v>-0.88891929999999997</v>
      </c>
      <c r="N3802">
        <v>0</v>
      </c>
      <c r="O3802">
        <v>-0.4578314</v>
      </c>
      <c r="P3802">
        <v>-0.80391140000000005</v>
      </c>
      <c r="Q3802">
        <v>0.14129220000000001</v>
      </c>
      <c r="R3802">
        <v>-0.57772270000000003</v>
      </c>
      <c r="S3802">
        <v>-2.1838380000000002</v>
      </c>
      <c r="T3802">
        <v>-0.29720970000000002</v>
      </c>
      <c r="U3802">
        <v>-2.2382049999999998</v>
      </c>
      <c r="V3802">
        <v>-0.14888950000000001</v>
      </c>
      <c r="W3802">
        <v>0.15233840000000001</v>
      </c>
      <c r="X3802">
        <v>0.9770491</v>
      </c>
      <c r="Y3802">
        <v>-0.31699719999999998</v>
      </c>
      <c r="Z3802">
        <v>2.9690339999999999E-2</v>
      </c>
      <c r="AA3802">
        <v>0.94796159999999996</v>
      </c>
      <c r="AB3802">
        <v>32</v>
      </c>
      <c r="AC3802">
        <v>-7.9467999999999899</v>
      </c>
      <c r="AD3802">
        <v>-1.11920120191299</v>
      </c>
      <c r="AE3802">
        <v>-8.2774999999999999</v>
      </c>
      <c r="AF3802">
        <v>-3.68507350533103</v>
      </c>
      <c r="AG3802">
        <v>-1.11920120191299</v>
      </c>
      <c r="AH3802">
        <v>10.7526251952078</v>
      </c>
      <c r="AI3802">
        <v>95.623465512351501</v>
      </c>
      <c r="AJ3802">
        <v>108.917297256667</v>
      </c>
      <c r="AK3802">
        <v>11.421529085839399</v>
      </c>
      <c r="AL3802">
        <v>81.237535406812498</v>
      </c>
      <c r="AM3802">
        <v>98.664469418914393</v>
      </c>
      <c r="AN3802">
        <v>1.0000000075678099</v>
      </c>
    </row>
    <row r="3803" spans="1:40" x14ac:dyDescent="0.25">
      <c r="A3803" t="str">
        <f>"20190312164344319"</f>
        <v>20190312164344319</v>
      </c>
      <c r="B3803" t="str">
        <f>"1552380224308302"</f>
        <v>1552380224308302</v>
      </c>
      <c r="C3803" t="s">
        <v>40</v>
      </c>
      <c r="D3803">
        <v>4.1402400000000004</v>
      </c>
      <c r="E3803">
        <v>0.43312529999999999</v>
      </c>
      <c r="F3803" t="s">
        <v>49</v>
      </c>
      <c r="G3803">
        <v>-416.52960000000002</v>
      </c>
      <c r="H3803" s="1">
        <v>-5.2007610000000002E-6</v>
      </c>
      <c r="I3803">
        <v>128.19540000000001</v>
      </c>
      <c r="J3803">
        <v>-408.87029999999999</v>
      </c>
      <c r="K3803">
        <v>1.1193</v>
      </c>
      <c r="L3803">
        <v>136.32939999999999</v>
      </c>
      <c r="M3803">
        <v>-0.88404039999999995</v>
      </c>
      <c r="N3803">
        <v>0</v>
      </c>
      <c r="O3803">
        <v>-0.46718179999999998</v>
      </c>
      <c r="P3803">
        <v>-0.79753240000000003</v>
      </c>
      <c r="Q3803">
        <v>0.13948070000000001</v>
      </c>
      <c r="R3803">
        <v>-0.58693059999999997</v>
      </c>
      <c r="S3803">
        <v>-2.1618040000000001</v>
      </c>
      <c r="T3803">
        <v>-0.30530190000000001</v>
      </c>
      <c r="U3803">
        <v>-2.259277</v>
      </c>
      <c r="V3803">
        <v>-0.1496767</v>
      </c>
      <c r="W3803">
        <v>0.15049219999999999</v>
      </c>
      <c r="X3803">
        <v>0.9772149</v>
      </c>
      <c r="Y3803">
        <v>-0.31629770000000001</v>
      </c>
      <c r="Z3803">
        <v>3.1515130000000002E-2</v>
      </c>
      <c r="AA3803">
        <v>0.94813639999999999</v>
      </c>
      <c r="AB3803">
        <v>32</v>
      </c>
      <c r="AC3803">
        <v>-7.6593000000000302</v>
      </c>
      <c r="AD3803">
        <v>-1.119305200761</v>
      </c>
      <c r="AE3803">
        <v>-8.1339999999999808</v>
      </c>
      <c r="AF3803">
        <v>-3.5769842124575901</v>
      </c>
      <c r="AG3803">
        <v>-1.119305200761</v>
      </c>
      <c r="AH3803">
        <v>10.4672609936817</v>
      </c>
      <c r="AI3803">
        <v>95.778013918604699</v>
      </c>
      <c r="AJ3803">
        <v>108.866871766195</v>
      </c>
      <c r="AK3803">
        <v>11.118057964342199</v>
      </c>
      <c r="AL3803">
        <v>81.344548565125393</v>
      </c>
      <c r="AM3803">
        <v>98.708123993870601</v>
      </c>
      <c r="AN3803">
        <v>0.999999988782869</v>
      </c>
    </row>
    <row r="3804" spans="1:40" x14ac:dyDescent="0.25">
      <c r="A3804" t="str">
        <f>"20190312164344341"</f>
        <v>20190312164344341</v>
      </c>
      <c r="B3804" t="str">
        <f>"1552380224328799"</f>
        <v>1552380224328799</v>
      </c>
      <c r="C3804" t="s">
        <v>40</v>
      </c>
      <c r="D3804">
        <v>4.1570929999999997</v>
      </c>
      <c r="E3804">
        <v>0.43390669999999998</v>
      </c>
      <c r="F3804" t="s">
        <v>49</v>
      </c>
      <c r="G3804">
        <v>-416.57900000000001</v>
      </c>
      <c r="H3804" s="1">
        <v>-5.1553869999999899E-6</v>
      </c>
      <c r="I3804">
        <v>128.11189999999999</v>
      </c>
      <c r="J3804">
        <v>-409.137</v>
      </c>
      <c r="K3804">
        <v>1.119405</v>
      </c>
      <c r="L3804">
        <v>136.17670000000001</v>
      </c>
      <c r="M3804">
        <v>-0.8789399</v>
      </c>
      <c r="N3804">
        <v>0</v>
      </c>
      <c r="O3804">
        <v>-0.47670790000000002</v>
      </c>
      <c r="P3804">
        <v>-0.79062940000000004</v>
      </c>
      <c r="Q3804">
        <v>0.1382787</v>
      </c>
      <c r="R3804">
        <v>-0.59647649999999997</v>
      </c>
      <c r="S3804">
        <v>-2.1383670000000001</v>
      </c>
      <c r="T3804">
        <v>-0.3104925</v>
      </c>
      <c r="U3804">
        <v>-2.2794949999999998</v>
      </c>
      <c r="V3804">
        <v>-0.15078139999999901</v>
      </c>
      <c r="W3804">
        <v>0.14924709999999999</v>
      </c>
      <c r="X3804">
        <v>0.97723599999999999</v>
      </c>
      <c r="Y3804">
        <v>-0.31547999999999998</v>
      </c>
      <c r="Z3804">
        <v>3.3125679999999998E-2</v>
      </c>
      <c r="AA3804">
        <v>0.94835389999999997</v>
      </c>
      <c r="AB3804">
        <v>32</v>
      </c>
      <c r="AC3804">
        <v>-7.4420000000000597</v>
      </c>
      <c r="AD3804">
        <v>-1.1194101553869999</v>
      </c>
      <c r="AE3804">
        <v>-8.0648000000000195</v>
      </c>
      <c r="AF3804">
        <v>-3.5047251335344098</v>
      </c>
      <c r="AG3804">
        <v>-1.1194101553869999</v>
      </c>
      <c r="AH3804">
        <v>10.279770799923501</v>
      </c>
      <c r="AI3804">
        <v>95.884635628951102</v>
      </c>
      <c r="AJ3804">
        <v>108.825997364215</v>
      </c>
      <c r="AK3804">
        <v>10.918327026452801</v>
      </c>
      <c r="AL3804">
        <v>81.416702251226098</v>
      </c>
      <c r="AM3804">
        <v>98.771212584659395</v>
      </c>
      <c r="AN3804">
        <v>0.99999996357018395</v>
      </c>
    </row>
    <row r="3805" spans="1:40" x14ac:dyDescent="0.25">
      <c r="A3805" t="str">
        <f>"20190312164344369"</f>
        <v>20190312164344369</v>
      </c>
      <c r="B3805" t="str">
        <f>"1552380224358833"</f>
        <v>1552380224358833</v>
      </c>
      <c r="C3805" t="s">
        <v>40</v>
      </c>
      <c r="D3805">
        <v>4.1146750000000001</v>
      </c>
      <c r="E3805">
        <v>0.4349383</v>
      </c>
      <c r="F3805" t="s">
        <v>49</v>
      </c>
      <c r="G3805">
        <v>-416.68090000000001</v>
      </c>
      <c r="H3805" s="1">
        <v>-5.0797690000000003E-6</v>
      </c>
      <c r="I3805">
        <v>127.9751</v>
      </c>
      <c r="J3805">
        <v>-409.47410000000002</v>
      </c>
      <c r="K3805">
        <v>1.119545</v>
      </c>
      <c r="L3805">
        <v>135.97739999999999</v>
      </c>
      <c r="M3805">
        <v>-0.87217489999999998</v>
      </c>
      <c r="N3805">
        <v>0</v>
      </c>
      <c r="O3805">
        <v>-0.48897429999999997</v>
      </c>
      <c r="P3805">
        <v>-0.78165260000000003</v>
      </c>
      <c r="Q3805">
        <v>0.13783119999999999</v>
      </c>
      <c r="R3805">
        <v>-0.60829460000000002</v>
      </c>
      <c r="S3805">
        <v>-2.1147770000000001</v>
      </c>
      <c r="T3805">
        <v>-0.31380550000000001</v>
      </c>
      <c r="U3805">
        <v>-2.2991640000000002</v>
      </c>
      <c r="V3805">
        <v>-0.1517848</v>
      </c>
      <c r="W3805">
        <v>0.14875439999999901</v>
      </c>
      <c r="X3805">
        <v>0.97715589999999997</v>
      </c>
      <c r="Y3805">
        <v>-0.3115656</v>
      </c>
      <c r="Z3805">
        <v>3.501609E-2</v>
      </c>
      <c r="AA3805">
        <v>0.94957919999999996</v>
      </c>
      <c r="AB3805">
        <v>32</v>
      </c>
      <c r="AC3805">
        <v>-7.2067999999999799</v>
      </c>
      <c r="AD3805">
        <v>-1.1195500797689999</v>
      </c>
      <c r="AE3805">
        <v>-8.0022999999999893</v>
      </c>
      <c r="AF3805">
        <v>-3.4188873945900999</v>
      </c>
      <c r="AG3805">
        <v>-1.1195500797689999</v>
      </c>
      <c r="AH3805">
        <v>10.090552805644499</v>
      </c>
      <c r="AI3805">
        <v>95.998765566685904</v>
      </c>
      <c r="AJ3805">
        <v>108.717440214969</v>
      </c>
      <c r="AK3805">
        <v>10.712676571310199</v>
      </c>
      <c r="AL3805">
        <v>81.445251525745306</v>
      </c>
      <c r="AM3805">
        <v>98.8293777992305</v>
      </c>
      <c r="AN3805">
        <v>1.0000000749675999</v>
      </c>
    </row>
    <row r="3806" spans="1:40" x14ac:dyDescent="0.25">
      <c r="A3806" t="str">
        <f>"20190312164344409"</f>
        <v>20190312164344409</v>
      </c>
      <c r="B3806" t="str">
        <f>"1552380224398848"</f>
        <v>1552380224398848</v>
      </c>
      <c r="C3806" t="s">
        <v>40</v>
      </c>
      <c r="D3806">
        <v>4.1032840000000004</v>
      </c>
      <c r="E3806">
        <v>0.4441119</v>
      </c>
      <c r="F3806" t="s">
        <v>49</v>
      </c>
      <c r="G3806">
        <v>-416.8922</v>
      </c>
      <c r="H3806" s="1">
        <v>-4.9304439999999998E-6</v>
      </c>
      <c r="I3806">
        <v>127.7062</v>
      </c>
      <c r="J3806">
        <v>-409.9511</v>
      </c>
      <c r="K3806">
        <v>1.1197170000000001</v>
      </c>
      <c r="L3806">
        <v>135.68450000000001</v>
      </c>
      <c r="M3806">
        <v>-0.86203030000000003</v>
      </c>
      <c r="N3806">
        <v>0</v>
      </c>
      <c r="O3806">
        <v>-0.50664339999999997</v>
      </c>
      <c r="P3806">
        <v>-0.76789419999999897</v>
      </c>
      <c r="Q3806">
        <v>0.13740840000000001</v>
      </c>
      <c r="R3806">
        <v>-0.62566580000000005</v>
      </c>
      <c r="S3806">
        <v>-2.084625</v>
      </c>
      <c r="T3806">
        <v>-0.31461630000000002</v>
      </c>
      <c r="U3806">
        <v>-2.3244020000000001</v>
      </c>
      <c r="V3806">
        <v>-0.15380099999999999</v>
      </c>
      <c r="W3806">
        <v>0.14825729999999901</v>
      </c>
      <c r="X3806">
        <v>0.97691609999999995</v>
      </c>
      <c r="Y3806">
        <v>-0.3042376</v>
      </c>
      <c r="Z3806">
        <v>3.740135E-2</v>
      </c>
      <c r="AA3806">
        <v>0.95186170000000003</v>
      </c>
      <c r="AB3806">
        <v>32</v>
      </c>
      <c r="AC3806">
        <v>-6.9410999999999996</v>
      </c>
      <c r="AD3806">
        <v>-1.119721930444</v>
      </c>
      <c r="AE3806">
        <v>-7.9783000000000097</v>
      </c>
      <c r="AF3806">
        <v>-3.3239714054314198</v>
      </c>
      <c r="AG3806">
        <v>-1.119721930444</v>
      </c>
      <c r="AH3806">
        <v>9.9155104432391497</v>
      </c>
      <c r="AI3806">
        <v>96.111389810592598</v>
      </c>
      <c r="AJ3806">
        <v>108.53267019828</v>
      </c>
      <c r="AK3806">
        <v>10.5176000330696</v>
      </c>
      <c r="AL3806">
        <v>81.474052148267106</v>
      </c>
      <c r="AM3806">
        <v>98.946936777921096</v>
      </c>
      <c r="AN3806">
        <v>1.0000000205217401</v>
      </c>
    </row>
    <row r="3807" spans="1:40" x14ac:dyDescent="0.25">
      <c r="A3807" t="str">
        <f>"20190312164344433"</f>
        <v>20190312164344433</v>
      </c>
      <c r="B3807" t="str">
        <f>"1552380224429104"</f>
        <v>1552380224429104</v>
      </c>
      <c r="C3807" t="s">
        <v>40</v>
      </c>
      <c r="D3807">
        <v>4.201219</v>
      </c>
      <c r="E3807">
        <v>0.445075</v>
      </c>
      <c r="F3807" t="s">
        <v>49</v>
      </c>
      <c r="G3807">
        <v>-417.74770000000001</v>
      </c>
      <c r="H3807" s="1">
        <v>-4.525804E-6</v>
      </c>
      <c r="I3807">
        <v>127.0095</v>
      </c>
      <c r="J3807">
        <v>-410.2285</v>
      </c>
      <c r="K3807">
        <v>1.119794</v>
      </c>
      <c r="L3807">
        <v>135.5077</v>
      </c>
      <c r="M3807">
        <v>-0.85581200000000002</v>
      </c>
      <c r="N3807">
        <v>0</v>
      </c>
      <c r="O3807">
        <v>-0.51707729999999996</v>
      </c>
      <c r="P3807">
        <v>-0.75981049999999895</v>
      </c>
      <c r="Q3807">
        <v>0.1368019</v>
      </c>
      <c r="R3807">
        <v>-0.63558930000000002</v>
      </c>
      <c r="S3807">
        <v>-2.0770870000000001</v>
      </c>
      <c r="T3807">
        <v>-0.29830489999999998</v>
      </c>
      <c r="U3807">
        <v>-2.3111109999999999</v>
      </c>
      <c r="V3807">
        <v>-0.15458729999999901</v>
      </c>
      <c r="W3807">
        <v>0.14762020000000001</v>
      </c>
      <c r="X3807">
        <v>0.97688850000000005</v>
      </c>
      <c r="Y3807">
        <v>-0.29165069999999998</v>
      </c>
      <c r="Z3807">
        <v>3.7286300000000001E-2</v>
      </c>
      <c r="AA3807">
        <v>0.95579789999999998</v>
      </c>
      <c r="AB3807">
        <v>32</v>
      </c>
      <c r="AC3807">
        <v>-7.5192000000000103</v>
      </c>
      <c r="AD3807">
        <v>-1.119798525804</v>
      </c>
      <c r="AE3807">
        <v>-8.49819999999999</v>
      </c>
      <c r="AF3807">
        <v>-3.3525709441873199</v>
      </c>
      <c r="AG3807">
        <v>-1.119798525804</v>
      </c>
      <c r="AH3807">
        <v>10.7259642183338</v>
      </c>
      <c r="AI3807">
        <v>95.690541115834407</v>
      </c>
      <c r="AJ3807">
        <v>107.357465825549</v>
      </c>
      <c r="AK3807">
        <v>11.2933603983571</v>
      </c>
      <c r="AL3807">
        <v>81.5109616639499</v>
      </c>
      <c r="AM3807">
        <v>98.992181932347805</v>
      </c>
      <c r="AN3807">
        <v>1.0000000491007801</v>
      </c>
    </row>
    <row r="3808" spans="1:40" x14ac:dyDescent="0.25">
      <c r="A3808" t="str">
        <f>"20190312164344452"</f>
        <v>20190312164344452</v>
      </c>
      <c r="B3808" t="str">
        <f>"1552380224448624"</f>
        <v>1552380224448624</v>
      </c>
      <c r="C3808" t="s">
        <v>40</v>
      </c>
      <c r="D3808">
        <v>4.3531170000000001</v>
      </c>
      <c r="E3808">
        <v>0.44594010000000001</v>
      </c>
      <c r="F3808" t="s">
        <v>49</v>
      </c>
      <c r="G3808">
        <v>-417.88420000000002</v>
      </c>
      <c r="H3808" s="1">
        <v>-4.4148849999999997E-6</v>
      </c>
      <c r="I3808">
        <v>126.8073</v>
      </c>
      <c r="J3808">
        <v>-410.45819999999998</v>
      </c>
      <c r="K3808">
        <v>1.1198520000000001</v>
      </c>
      <c r="L3808">
        <v>135.35749999999999</v>
      </c>
      <c r="M3808">
        <v>-0.85048310000000005</v>
      </c>
      <c r="N3808">
        <v>0</v>
      </c>
      <c r="O3808">
        <v>-0.52579560000000003</v>
      </c>
      <c r="P3808">
        <v>-0.75308949999999997</v>
      </c>
      <c r="Q3808">
        <v>0.1365267</v>
      </c>
      <c r="R3808">
        <v>-0.64359679999999997</v>
      </c>
      <c r="S3808">
        <v>-2.0518190000000001</v>
      </c>
      <c r="T3808">
        <v>-0.30012050000000001</v>
      </c>
      <c r="U3808">
        <v>-2.3318020000000002</v>
      </c>
      <c r="V3808">
        <v>-0.15493689999999999</v>
      </c>
      <c r="W3808">
        <v>0.14732919999999999</v>
      </c>
      <c r="X3808">
        <v>0.976877</v>
      </c>
      <c r="Y3808">
        <v>-0.29195369999999998</v>
      </c>
      <c r="Z3808">
        <v>3.8430190000000003E-2</v>
      </c>
      <c r="AA3808">
        <v>0.95565999999999995</v>
      </c>
      <c r="AB3808">
        <v>32</v>
      </c>
      <c r="AC3808">
        <v>-7.4260000000000401</v>
      </c>
      <c r="AD3808">
        <v>-1.1198564148850001</v>
      </c>
      <c r="AE3808">
        <v>-8.5501999999999896</v>
      </c>
      <c r="AF3808">
        <v>-3.3349981416371</v>
      </c>
      <c r="AG3808">
        <v>-1.1198564148850001</v>
      </c>
      <c r="AH3808">
        <v>10.7078168183128</v>
      </c>
      <c r="AI3808">
        <v>95.702204364581704</v>
      </c>
      <c r="AJ3808">
        <v>107.299437083725</v>
      </c>
      <c r="AK3808">
        <v>11.2709197499239</v>
      </c>
      <c r="AL3808">
        <v>81.527818677204806</v>
      </c>
      <c r="AM3808">
        <v>99.012288756146205</v>
      </c>
      <c r="AN3808">
        <v>1.00000000464162</v>
      </c>
    </row>
    <row r="3809" spans="1:40" x14ac:dyDescent="0.25">
      <c r="A3809" t="str">
        <f>"20190312164344474"</f>
        <v>20190312164344474</v>
      </c>
      <c r="B3809" t="str">
        <f>"1552380224468144"</f>
        <v>1552380224468144</v>
      </c>
      <c r="C3809" t="s">
        <v>40</v>
      </c>
      <c r="D3809">
        <v>4.1608359999999998</v>
      </c>
      <c r="E3809">
        <v>0.44639180000000001</v>
      </c>
      <c r="F3809" t="s">
        <v>49</v>
      </c>
      <c r="G3809">
        <v>-417.976</v>
      </c>
      <c r="H3809" s="1">
        <v>-4.34015999999999E-6</v>
      </c>
      <c r="I3809">
        <v>126.6711</v>
      </c>
      <c r="J3809">
        <v>-410.7217</v>
      </c>
      <c r="K3809">
        <v>1.1199190000000001</v>
      </c>
      <c r="L3809">
        <v>135.18109999999999</v>
      </c>
      <c r="M3809">
        <v>-0.84416159999999996</v>
      </c>
      <c r="N3809">
        <v>0</v>
      </c>
      <c r="O3809">
        <v>-0.53588570000000002</v>
      </c>
      <c r="P3809">
        <v>-0.74473239999999996</v>
      </c>
      <c r="Q3809">
        <v>0.13686970000000001</v>
      </c>
      <c r="R3809">
        <v>-0.65317740000000002</v>
      </c>
      <c r="S3809">
        <v>-2.0320130000000001</v>
      </c>
      <c r="T3809">
        <v>-0.30268729999999999</v>
      </c>
      <c r="U3809">
        <v>-2.347855</v>
      </c>
      <c r="V3809">
        <v>-0.1558696</v>
      </c>
      <c r="W3809">
        <v>0.1476382</v>
      </c>
      <c r="X3809">
        <v>0.97668189999999999</v>
      </c>
      <c r="Y3809">
        <v>-0.288462</v>
      </c>
      <c r="Z3809">
        <v>3.9992550000000002E-2</v>
      </c>
      <c r="AA3809">
        <v>0.9566557</v>
      </c>
      <c r="AB3809">
        <v>32</v>
      </c>
      <c r="AC3809">
        <v>-7.2542999999999997</v>
      </c>
      <c r="AD3809">
        <v>-1.1199233401599999</v>
      </c>
      <c r="AE3809">
        <v>-8.5099999999999891</v>
      </c>
      <c r="AF3809">
        <v>-3.2639602310047402</v>
      </c>
      <c r="AG3809">
        <v>-1.1199233401599999</v>
      </c>
      <c r="AH3809">
        <v>10.5792399348432</v>
      </c>
      <c r="AI3809">
        <v>95.776136061444902</v>
      </c>
      <c r="AJ3809">
        <v>107.146303405852</v>
      </c>
      <c r="AK3809">
        <v>11.1278022213012</v>
      </c>
      <c r="AL3809">
        <v>81.509918084240994</v>
      </c>
      <c r="AM3809">
        <v>99.067424074224604</v>
      </c>
      <c r="AN3809">
        <v>0.99999995204550296</v>
      </c>
    </row>
    <row r="3810" spans="1:40" x14ac:dyDescent="0.25">
      <c r="A3810" t="str">
        <f>"20190312164344496"</f>
        <v>20190312164344496</v>
      </c>
      <c r="B3810" t="str">
        <f>"1552380224488640"</f>
        <v>1552380224488640</v>
      </c>
      <c r="C3810" t="s">
        <v>40</v>
      </c>
      <c r="D3810">
        <v>4.1377100000000002</v>
      </c>
      <c r="E3810">
        <v>0.44658629999999999</v>
      </c>
      <c r="F3810" t="s">
        <v>49</v>
      </c>
      <c r="G3810">
        <v>-418.03930000000003</v>
      </c>
      <c r="H3810" s="1">
        <v>-4.2627669999999998E-6</v>
      </c>
      <c r="I3810">
        <v>126.5265</v>
      </c>
      <c r="J3810">
        <v>-410.97109999999998</v>
      </c>
      <c r="K3810">
        <v>1.119983</v>
      </c>
      <c r="L3810">
        <v>135.00980000000001</v>
      </c>
      <c r="M3810">
        <v>-0.83796599999999999</v>
      </c>
      <c r="N3810">
        <v>0</v>
      </c>
      <c r="O3810">
        <v>-0.54552230000000002</v>
      </c>
      <c r="P3810">
        <v>-0.73661659999999995</v>
      </c>
      <c r="Q3810">
        <v>0.136574</v>
      </c>
      <c r="R3810">
        <v>-0.66237729999999995</v>
      </c>
      <c r="S3810">
        <v>-2.0049440000000001</v>
      </c>
      <c r="T3810">
        <v>-0.30684400000000001</v>
      </c>
      <c r="U3810">
        <v>-2.3712620000000002</v>
      </c>
      <c r="V3810">
        <v>-0.1567993</v>
      </c>
      <c r="W3810">
        <v>0.14731179999999999</v>
      </c>
      <c r="X3810">
        <v>0.97658239999999996</v>
      </c>
      <c r="Y3810">
        <v>-0.28857169999999999</v>
      </c>
      <c r="Z3810">
        <v>4.1569059999999998E-2</v>
      </c>
      <c r="AA3810">
        <v>0.9565555</v>
      </c>
      <c r="AB3810">
        <v>32</v>
      </c>
      <c r="AC3810">
        <v>-7.06820000000004</v>
      </c>
      <c r="AD3810">
        <v>-1.119987262767</v>
      </c>
      <c r="AE3810">
        <v>-8.4833000000000105</v>
      </c>
      <c r="AF3810">
        <v>-3.2200833434218801</v>
      </c>
      <c r="AG3810">
        <v>-1.119987262767</v>
      </c>
      <c r="AH3810">
        <v>10.444440674896001</v>
      </c>
      <c r="AI3810">
        <v>95.850860947647504</v>
      </c>
      <c r="AJ3810">
        <v>107.134842448844</v>
      </c>
      <c r="AK3810">
        <v>10.9867943103876</v>
      </c>
      <c r="AL3810">
        <v>81.5288264578233</v>
      </c>
      <c r="AM3810">
        <v>99.121514883252701</v>
      </c>
      <c r="AN3810">
        <v>0.999999985444744</v>
      </c>
    </row>
    <row r="3811" spans="1:40" x14ac:dyDescent="0.25">
      <c r="A3811" t="str">
        <f>"20190312164344519"</f>
        <v>20190312164344519</v>
      </c>
      <c r="B3811" t="str">
        <f>"1552380224508161"</f>
        <v>1552380224508161</v>
      </c>
      <c r="C3811" t="s">
        <v>40</v>
      </c>
      <c r="D3811">
        <v>4.1246269999999896</v>
      </c>
      <c r="E3811">
        <v>0.44652350000000002</v>
      </c>
      <c r="F3811" t="s">
        <v>49</v>
      </c>
      <c r="G3811">
        <v>-418.06880000000001</v>
      </c>
      <c r="H3811" s="1">
        <v>-4.2022820000000003E-6</v>
      </c>
      <c r="I3811">
        <v>126.4111</v>
      </c>
      <c r="J3811">
        <v>-411.2253</v>
      </c>
      <c r="K3811">
        <v>1.120044</v>
      </c>
      <c r="L3811">
        <v>134.83070000000001</v>
      </c>
      <c r="M3811">
        <v>-0.83143719999999999</v>
      </c>
      <c r="N3811">
        <v>0</v>
      </c>
      <c r="O3811">
        <v>-0.55542209999999903</v>
      </c>
      <c r="P3811">
        <v>-0.72815750000000001</v>
      </c>
      <c r="Q3811">
        <v>0.13584679999999999</v>
      </c>
      <c r="R3811">
        <v>-0.67181299999999999</v>
      </c>
      <c r="S3811">
        <v>-1.9769289999999999</v>
      </c>
      <c r="T3811">
        <v>-0.31195129999999999</v>
      </c>
      <c r="U3811">
        <v>-2.3949889999999998</v>
      </c>
      <c r="V3811">
        <v>-0.15773180000000001</v>
      </c>
      <c r="W3811">
        <v>0.1465534</v>
      </c>
      <c r="X3811">
        <v>0.97654629999999998</v>
      </c>
      <c r="Y3811">
        <v>-0.28858820000000002</v>
      </c>
      <c r="Z3811">
        <v>4.3338630000000003E-2</v>
      </c>
      <c r="AA3811">
        <v>0.95647199999999999</v>
      </c>
      <c r="AB3811">
        <v>31</v>
      </c>
      <c r="AC3811">
        <v>-6.8434999999999997</v>
      </c>
      <c r="AD3811">
        <v>-1.120048202282</v>
      </c>
      <c r="AE3811">
        <v>-8.4196000000000009</v>
      </c>
      <c r="AF3811">
        <v>-3.1659493484637902</v>
      </c>
      <c r="AG3811">
        <v>-1.120048202282</v>
      </c>
      <c r="AH3811">
        <v>10.2581893403409</v>
      </c>
      <c r="AI3811">
        <v>95.956122091491594</v>
      </c>
      <c r="AJ3811">
        <v>107.15161359221599</v>
      </c>
      <c r="AK3811">
        <v>10.793896043355099</v>
      </c>
      <c r="AL3811">
        <v>81.572756053241307</v>
      </c>
      <c r="AM3811">
        <v>99.175174849374102</v>
      </c>
      <c r="AN3811">
        <v>0.99999994791324298</v>
      </c>
    </row>
    <row r="3812" spans="1:40" x14ac:dyDescent="0.25">
      <c r="A3812" t="str">
        <f>"20190312164344542"</f>
        <v>20190312164344542</v>
      </c>
      <c r="B3812" t="str">
        <f>"1552380224538416"</f>
        <v>1552380224538416</v>
      </c>
      <c r="C3812" t="s">
        <v>40</v>
      </c>
      <c r="D3812">
        <v>4.1397830000000004</v>
      </c>
      <c r="E3812">
        <v>0.43223050000000002</v>
      </c>
      <c r="F3812" t="s">
        <v>49</v>
      </c>
      <c r="G3812">
        <v>-418.18220000000002</v>
      </c>
      <c r="H3812" s="1">
        <v>-4.0761550000000003E-6</v>
      </c>
      <c r="I3812">
        <v>126.1765</v>
      </c>
      <c r="J3812">
        <v>-411.47370000000001</v>
      </c>
      <c r="K3812">
        <v>1.120096</v>
      </c>
      <c r="L3812">
        <v>134.65119999999999</v>
      </c>
      <c r="M3812">
        <v>-0.82483700000000004</v>
      </c>
      <c r="N3812">
        <v>0</v>
      </c>
      <c r="O3812">
        <v>-0.56517689999999998</v>
      </c>
      <c r="P3812">
        <v>-0.71989429999999999</v>
      </c>
      <c r="Q3812">
        <v>0.13471079999999999</v>
      </c>
      <c r="R3812">
        <v>-0.68088570000000004</v>
      </c>
      <c r="S3812">
        <v>-1.9455260000000001</v>
      </c>
      <c r="T3812">
        <v>-0.31322410000000001</v>
      </c>
      <c r="U3812">
        <v>-2.420166</v>
      </c>
      <c r="V3812">
        <v>-0.15834300000000001</v>
      </c>
      <c r="W3812">
        <v>0.1453962</v>
      </c>
      <c r="X3812">
        <v>0.97662040000000006</v>
      </c>
      <c r="Y3812">
        <v>-0.28974460000000002</v>
      </c>
      <c r="Z3812">
        <v>4.4544649999999998E-2</v>
      </c>
      <c r="AA3812">
        <v>0.95606679999999999</v>
      </c>
      <c r="AB3812">
        <v>31</v>
      </c>
      <c r="AC3812">
        <v>-6.7085000000000097</v>
      </c>
      <c r="AD3812">
        <v>-1.120100076155</v>
      </c>
      <c r="AE3812">
        <v>-8.4746999999999808</v>
      </c>
      <c r="AF3812">
        <v>-3.1651157861638701</v>
      </c>
      <c r="AG3812">
        <v>-1.120100076155</v>
      </c>
      <c r="AH3812">
        <v>10.2145561139537</v>
      </c>
      <c r="AI3812">
        <v>95.979583087379595</v>
      </c>
      <c r="AJ3812">
        <v>107.21628884796</v>
      </c>
      <c r="AK3812">
        <v>10.752196925537399</v>
      </c>
      <c r="AL3812">
        <v>81.639776937470103</v>
      </c>
      <c r="AM3812">
        <v>99.209433043537999</v>
      </c>
      <c r="AN3812">
        <v>0.99999998315979999</v>
      </c>
    </row>
    <row r="3813" spans="1:40" x14ac:dyDescent="0.25">
      <c r="A3813" t="str">
        <f>"20190312164344564"</f>
        <v>20190312164344564</v>
      </c>
      <c r="B3813" t="str">
        <f>"1552380224558912"</f>
        <v>1552380224558912</v>
      </c>
      <c r="C3813" t="s">
        <v>40</v>
      </c>
      <c r="D3813">
        <v>4.0594049999999999</v>
      </c>
      <c r="E3813">
        <v>0.43111369999999999</v>
      </c>
      <c r="F3813" t="s">
        <v>49</v>
      </c>
      <c r="G3813">
        <v>-418.56319999999999</v>
      </c>
      <c r="H3813" s="1">
        <v>-3.4711009999999999E-6</v>
      </c>
      <c r="I3813">
        <v>124.90089999999999</v>
      </c>
      <c r="J3813">
        <v>-411.73050000000001</v>
      </c>
      <c r="K3813">
        <v>1.12015</v>
      </c>
      <c r="L3813">
        <v>134.46029999999999</v>
      </c>
      <c r="M3813">
        <v>-0.81776800000000005</v>
      </c>
      <c r="N3813">
        <v>0</v>
      </c>
      <c r="O3813">
        <v>-0.57535719999999901</v>
      </c>
      <c r="P3813">
        <v>-0.71143880000000004</v>
      </c>
      <c r="Q3813">
        <v>0.13348170000000001</v>
      </c>
      <c r="R3813">
        <v>-0.68995509999999904</v>
      </c>
      <c r="S3813">
        <v>-1.8348390000000001</v>
      </c>
      <c r="T3813">
        <v>-0.28989100000000001</v>
      </c>
      <c r="U3813">
        <v>-2.5234529999999999</v>
      </c>
      <c r="V3813">
        <v>-0.15847539999999999</v>
      </c>
      <c r="W3813">
        <v>0.14415910000000001</v>
      </c>
      <c r="X3813">
        <v>0.97678229999999999</v>
      </c>
      <c r="Y3813">
        <v>-0.32377139999999999</v>
      </c>
      <c r="Z3813">
        <v>4.0703099999999999E-2</v>
      </c>
      <c r="AA3813">
        <v>0.94525939999999997</v>
      </c>
      <c r="AB3813">
        <v>31</v>
      </c>
      <c r="AC3813">
        <v>-6.8326999999999796</v>
      </c>
      <c r="AD3813">
        <v>-1.1201534711009999</v>
      </c>
      <c r="AE3813">
        <v>-9.5593999999999895</v>
      </c>
      <c r="AF3813">
        <v>-3.85155260398599</v>
      </c>
      <c r="AG3813">
        <v>-1.1201534711009999</v>
      </c>
      <c r="AH3813">
        <v>10.988984102010599</v>
      </c>
      <c r="AI3813">
        <v>95.494756831302396</v>
      </c>
      <c r="AJ3813">
        <v>109.315162901248</v>
      </c>
      <c r="AK3813">
        <v>11.6981610885785</v>
      </c>
      <c r="AL3813">
        <v>81.711412261195605</v>
      </c>
      <c r="AM3813">
        <v>99.215499998246997</v>
      </c>
      <c r="AN3813">
        <v>0.99999998005562896</v>
      </c>
    </row>
    <row r="3814" spans="1:40" x14ac:dyDescent="0.25">
      <c r="A3814" t="str">
        <f>"20190312164344587"</f>
        <v>20190312164344587</v>
      </c>
      <c r="B3814" t="str">
        <f>"1552380224578432"</f>
        <v>1552380224578432</v>
      </c>
      <c r="C3814" t="s">
        <v>40</v>
      </c>
      <c r="D3814">
        <v>4.0825879999999897</v>
      </c>
      <c r="E3814">
        <v>0.43100650000000001</v>
      </c>
      <c r="F3814" t="s">
        <v>49</v>
      </c>
      <c r="G3814">
        <v>-418.38440000000003</v>
      </c>
      <c r="H3814" s="1">
        <v>-3.5316889999999999E-6</v>
      </c>
      <c r="I3814">
        <v>125.00369999999999</v>
      </c>
      <c r="J3814">
        <v>-411.97640000000001</v>
      </c>
      <c r="K3814">
        <v>1.120196</v>
      </c>
      <c r="L3814">
        <v>134.27279999999999</v>
      </c>
      <c r="M3814">
        <v>-0.81077100000000002</v>
      </c>
      <c r="N3814">
        <v>0</v>
      </c>
      <c r="O3814">
        <v>-0.58517529999999995</v>
      </c>
      <c r="P3814">
        <v>-0.70345639999999998</v>
      </c>
      <c r="Q3814">
        <v>0.1334205</v>
      </c>
      <c r="R3814">
        <v>-0.69810349999999999</v>
      </c>
      <c r="S3814">
        <v>-1.7969059999999999</v>
      </c>
      <c r="T3814">
        <v>-0.30250260000000001</v>
      </c>
      <c r="U3814">
        <v>-2.5538020000000001</v>
      </c>
      <c r="V3814">
        <v>-0.15795770000000001</v>
      </c>
      <c r="W3814">
        <v>0.14410719999999999</v>
      </c>
      <c r="X3814">
        <v>0.97687380000000001</v>
      </c>
      <c r="Y3814">
        <v>-0.3271309</v>
      </c>
      <c r="Z3814">
        <v>4.3343909999999999E-2</v>
      </c>
      <c r="AA3814">
        <v>0.9439845</v>
      </c>
      <c r="AB3814">
        <v>31</v>
      </c>
      <c r="AC3814">
        <v>-6.4080000000000101</v>
      </c>
      <c r="AD3814">
        <v>-1.1201995316890001</v>
      </c>
      <c r="AE3814">
        <v>-9.2690999999999892</v>
      </c>
      <c r="AF3814">
        <v>-3.7288788212149102</v>
      </c>
      <c r="AG3814">
        <v>-1.1201995316890001</v>
      </c>
      <c r="AH3814">
        <v>10.5167088883116</v>
      </c>
      <c r="AI3814">
        <v>95.732851582232698</v>
      </c>
      <c r="AJ3814">
        <v>109.522831244324</v>
      </c>
      <c r="AK3814">
        <v>11.2143011416491</v>
      </c>
      <c r="AL3814">
        <v>81.714417210946905</v>
      </c>
      <c r="AM3814">
        <v>99.185063538751393</v>
      </c>
      <c r="AN3814">
        <v>0.99999997060378398</v>
      </c>
    </row>
    <row r="3815" spans="1:40" x14ac:dyDescent="0.25">
      <c r="A3815" t="str">
        <f>"20190312164344614"</f>
        <v>20190312164344614</v>
      </c>
      <c r="B3815" t="str">
        <f>"1552380224608688"</f>
        <v>1552380224608688</v>
      </c>
      <c r="C3815" t="s">
        <v>40</v>
      </c>
      <c r="D3815">
        <v>4.1783609999999998</v>
      </c>
      <c r="E3815">
        <v>0.4316412</v>
      </c>
      <c r="F3815" t="s">
        <v>49</v>
      </c>
      <c r="G3815">
        <v>-418.59269999999998</v>
      </c>
      <c r="H3815" s="1">
        <v>-3.3740370000000002E-6</v>
      </c>
      <c r="I3815">
        <v>124.6331</v>
      </c>
      <c r="J3815">
        <v>-412.27269999999999</v>
      </c>
      <c r="K3815">
        <v>1.1202559999999999</v>
      </c>
      <c r="L3815">
        <v>134.04069999999999</v>
      </c>
      <c r="M3815">
        <v>-0.80203440000000004</v>
      </c>
      <c r="N3815">
        <v>0</v>
      </c>
      <c r="O3815">
        <v>-0.59709309999999904</v>
      </c>
      <c r="P3815">
        <v>-0.69300600000000001</v>
      </c>
      <c r="Q3815">
        <v>0.13405349999999999</v>
      </c>
      <c r="R3815">
        <v>-0.70835930000000003</v>
      </c>
      <c r="S3815">
        <v>-1.7667849999999901</v>
      </c>
      <c r="T3815">
        <v>-0.29913519999999999</v>
      </c>
      <c r="U3815">
        <v>-2.574173</v>
      </c>
      <c r="V3815">
        <v>-0.15797620000000001</v>
      </c>
      <c r="W3815">
        <v>0.1447338</v>
      </c>
      <c r="X3815">
        <v>0.97677820000000004</v>
      </c>
      <c r="Y3815">
        <v>-0.32418370000000002</v>
      </c>
      <c r="Z3815">
        <v>4.4270599999999903E-2</v>
      </c>
      <c r="AA3815">
        <v>0.94495770000000001</v>
      </c>
      <c r="AB3815">
        <v>31</v>
      </c>
      <c r="AC3815">
        <v>-6.3199999999999896</v>
      </c>
      <c r="AD3815">
        <v>-1.1202593740369999</v>
      </c>
      <c r="AE3815">
        <v>-9.4075999999999809</v>
      </c>
      <c r="AF3815">
        <v>-3.7355086426314901</v>
      </c>
      <c r="AG3815">
        <v>-1.1202593740369999</v>
      </c>
      <c r="AH3815">
        <v>10.583839706168799</v>
      </c>
      <c r="AI3815">
        <v>95.699919569147895</v>
      </c>
      <c r="AJ3815">
        <v>109.440207189182</v>
      </c>
      <c r="AK3815">
        <v>11.279479988464299</v>
      </c>
      <c r="AL3815">
        <v>81.678135574829</v>
      </c>
      <c r="AM3815">
        <v>99.187004694627603</v>
      </c>
      <c r="AN3815">
        <v>1.0000000023120501</v>
      </c>
    </row>
    <row r="3816" spans="1:40" x14ac:dyDescent="0.25">
      <c r="A3816" t="str">
        <f>"20190312164344653"</f>
        <v>20190312164344653</v>
      </c>
      <c r="B3816" t="str">
        <f>"1552380224648704"</f>
        <v>1552380224648704</v>
      </c>
      <c r="C3816" t="s">
        <v>40</v>
      </c>
      <c r="D3816">
        <v>4.1286740000000002</v>
      </c>
      <c r="E3816">
        <v>0.4330156</v>
      </c>
      <c r="F3816" t="s">
        <v>49</v>
      </c>
      <c r="G3816">
        <v>-418.68880000000001</v>
      </c>
      <c r="H3816" s="1">
        <v>-3.2362629999999999E-6</v>
      </c>
      <c r="I3816">
        <v>124.4298</v>
      </c>
      <c r="J3816">
        <v>-412.68740000000003</v>
      </c>
      <c r="K3816">
        <v>1.1203430000000001</v>
      </c>
      <c r="L3816">
        <v>133.70320000000001</v>
      </c>
      <c r="M3816">
        <v>-0.78919830000000002</v>
      </c>
      <c r="N3816">
        <v>0</v>
      </c>
      <c r="O3816">
        <v>-0.613958</v>
      </c>
      <c r="P3816">
        <v>-0.67891190000000001</v>
      </c>
      <c r="Q3816">
        <v>0.133968</v>
      </c>
      <c r="R3816">
        <v>-0.72189440000000005</v>
      </c>
      <c r="S3816">
        <v>-1.7334290000000001</v>
      </c>
      <c r="T3816">
        <v>-0.3026607</v>
      </c>
      <c r="U3816">
        <v>-2.5965729999999998</v>
      </c>
      <c r="V3816">
        <v>-0.15655849999999999</v>
      </c>
      <c r="W3816">
        <v>0.14468139999999999</v>
      </c>
      <c r="X3816">
        <v>0.97701420000000005</v>
      </c>
      <c r="Y3816">
        <v>-0.31637150000000003</v>
      </c>
      <c r="Z3816">
        <v>4.6948049999999998E-2</v>
      </c>
      <c r="AA3816">
        <v>0.94747289999999995</v>
      </c>
      <c r="AB3816">
        <v>31</v>
      </c>
      <c r="AC3816">
        <v>-6.0013999999999896</v>
      </c>
      <c r="AD3816">
        <v>-1.1203462362629999</v>
      </c>
      <c r="AE3816">
        <v>-9.2734000000000094</v>
      </c>
      <c r="AF3816">
        <v>-3.5973399771630201</v>
      </c>
      <c r="AG3816">
        <v>-1.1203462362629999</v>
      </c>
      <c r="AH3816">
        <v>10.324715762204701</v>
      </c>
      <c r="AI3816">
        <v>95.850648397007603</v>
      </c>
      <c r="AJ3816">
        <v>109.209370992275</v>
      </c>
      <c r="AK3816">
        <v>10.9907136333689</v>
      </c>
      <c r="AL3816">
        <v>81.681169868464394</v>
      </c>
      <c r="AM3816">
        <v>99.103783915480506</v>
      </c>
      <c r="AN3816">
        <v>1.0000000092149199</v>
      </c>
    </row>
    <row r="3817" spans="1:40" x14ac:dyDescent="0.25">
      <c r="A3817" t="str">
        <f>"20190312164344676"</f>
        <v>20190312164344676</v>
      </c>
      <c r="B3817" t="str">
        <f>"1552380224668224"</f>
        <v>1552380224668224</v>
      </c>
      <c r="C3817" t="s">
        <v>40</v>
      </c>
      <c r="D3817">
        <v>4.2561580000000001</v>
      </c>
      <c r="E3817">
        <v>0.43350539999999999</v>
      </c>
      <c r="F3817" t="s">
        <v>49</v>
      </c>
      <c r="G3817">
        <v>-418.85250000000002</v>
      </c>
      <c r="H3817" s="1">
        <v>-3.020802E-6</v>
      </c>
      <c r="I3817">
        <v>124.1267</v>
      </c>
      <c r="J3817">
        <v>-412.92270000000002</v>
      </c>
      <c r="K3817">
        <v>1.120382</v>
      </c>
      <c r="L3817">
        <v>133.5051</v>
      </c>
      <c r="M3817">
        <v>-0.78159019999999901</v>
      </c>
      <c r="N3817">
        <v>0</v>
      </c>
      <c r="O3817">
        <v>-0.62361429999999995</v>
      </c>
      <c r="P3817">
        <v>-0.67042550000000001</v>
      </c>
      <c r="Q3817">
        <v>0.1329881</v>
      </c>
      <c r="R3817">
        <v>-0.72996209999999995</v>
      </c>
      <c r="S3817">
        <v>-1.6892400000000001</v>
      </c>
      <c r="T3817">
        <v>-0.30697679999999999</v>
      </c>
      <c r="U3817">
        <v>-2.623993</v>
      </c>
      <c r="V3817">
        <v>-0.15609999999999999</v>
      </c>
      <c r="W3817">
        <v>0.14371320000000001</v>
      </c>
      <c r="X3817">
        <v>0.97723040000000005</v>
      </c>
      <c r="Y3817">
        <v>-0.32052789999999998</v>
      </c>
      <c r="Z3817">
        <v>4.8526510000000002E-2</v>
      </c>
      <c r="AA3817">
        <v>0.94599529999999998</v>
      </c>
      <c r="AB3817">
        <v>31</v>
      </c>
      <c r="AC3817">
        <v>-5.9298000000000002</v>
      </c>
      <c r="AD3817">
        <v>-1.1203850208020001</v>
      </c>
      <c r="AE3817">
        <v>-9.3783999999999992</v>
      </c>
      <c r="AF3817">
        <v>-3.5958979457713198</v>
      </c>
      <c r="AG3817">
        <v>-1.1203850208020001</v>
      </c>
      <c r="AH3817">
        <v>10.378525272046801</v>
      </c>
      <c r="AI3817">
        <v>95.824210964889602</v>
      </c>
      <c r="AJ3817">
        <v>109.10991434755999</v>
      </c>
      <c r="AK3817">
        <v>11.040812083074</v>
      </c>
      <c r="AL3817">
        <v>81.737229235133498</v>
      </c>
      <c r="AM3817">
        <v>99.075592098627396</v>
      </c>
      <c r="AN3817">
        <v>0.99999997426919895</v>
      </c>
    </row>
    <row r="3818" spans="1:40" x14ac:dyDescent="0.25">
      <c r="A3818" t="str">
        <f>"20190312164344720"</f>
        <v>20190312164344720</v>
      </c>
      <c r="B3818" t="str">
        <f>"1552380224708240"</f>
        <v>1552380224708240</v>
      </c>
      <c r="C3818" t="s">
        <v>40</v>
      </c>
      <c r="D3818">
        <v>4.2523229999999996</v>
      </c>
      <c r="E3818">
        <v>0.43512469999999998</v>
      </c>
      <c r="F3818" t="s">
        <v>49</v>
      </c>
      <c r="G3818">
        <v>-418.86009999999999</v>
      </c>
      <c r="H3818" s="1">
        <v>-2.981908E-6</v>
      </c>
      <c r="I3818">
        <v>124.0672</v>
      </c>
      <c r="J3818">
        <v>-413.38260000000002</v>
      </c>
      <c r="K3818">
        <v>1.1204499999999999</v>
      </c>
      <c r="L3818">
        <v>133.10310000000001</v>
      </c>
      <c r="M3818">
        <v>-0.76599949999999895</v>
      </c>
      <c r="N3818">
        <v>0</v>
      </c>
      <c r="O3818">
        <v>-0.64266780000000001</v>
      </c>
      <c r="P3818">
        <v>-0.65239449999999999</v>
      </c>
      <c r="Q3818">
        <v>0.13173979999999999</v>
      </c>
      <c r="R3818">
        <v>-0.74634180000000006</v>
      </c>
      <c r="S3818">
        <v>-1.661438</v>
      </c>
      <c r="T3818">
        <v>-0.31351259999999997</v>
      </c>
      <c r="U3818">
        <v>-2.6409910000000001</v>
      </c>
      <c r="V3818">
        <v>-0.1560763</v>
      </c>
      <c r="W3818">
        <v>0.14246349999999999</v>
      </c>
      <c r="X3818">
        <v>0.97741719999999999</v>
      </c>
      <c r="Y3818">
        <v>-0.30718329999999999</v>
      </c>
      <c r="Z3818">
        <v>5.2275990000000001E-2</v>
      </c>
      <c r="AA3818">
        <v>0.95021350000000004</v>
      </c>
      <c r="AB3818">
        <v>31</v>
      </c>
      <c r="AC3818">
        <v>-5.4774999999999601</v>
      </c>
      <c r="AD3818">
        <v>-1.120452981908</v>
      </c>
      <c r="AE3818">
        <v>-9.0359000000000105</v>
      </c>
      <c r="AF3818">
        <v>-3.3638375904454998</v>
      </c>
      <c r="AG3818">
        <v>-1.120452981908</v>
      </c>
      <c r="AH3818">
        <v>9.8927237951107401</v>
      </c>
      <c r="AI3818">
        <v>96.120482098958504</v>
      </c>
      <c r="AJ3818">
        <v>108.77965037978601</v>
      </c>
      <c r="AK3818">
        <v>10.5088915831266</v>
      </c>
      <c r="AL3818">
        <v>81.809576624144995</v>
      </c>
      <c r="AM3818">
        <v>99.072531732544505</v>
      </c>
      <c r="AN3818">
        <v>1.0000000215548801</v>
      </c>
    </row>
    <row r="3819" spans="1:40" x14ac:dyDescent="0.25">
      <c r="A3819" t="str">
        <f>"20190312164344743"</f>
        <v>20190312164344743</v>
      </c>
      <c r="B3819" t="str">
        <f>"1552380224738496"</f>
        <v>1552380224738496</v>
      </c>
      <c r="C3819" t="s">
        <v>40</v>
      </c>
      <c r="D3819">
        <v>4.1828830000000004</v>
      </c>
      <c r="E3819">
        <v>0.43617040000000001</v>
      </c>
      <c r="F3819" t="s">
        <v>49</v>
      </c>
      <c r="G3819">
        <v>-419.00689999999997</v>
      </c>
      <c r="H3819" s="1">
        <v>-2.7623639999999999E-6</v>
      </c>
      <c r="I3819">
        <v>123.7539</v>
      </c>
      <c r="J3819">
        <v>-413.60939999999999</v>
      </c>
      <c r="K3819">
        <v>1.120474</v>
      </c>
      <c r="L3819">
        <v>132.89689999999999</v>
      </c>
      <c r="M3819">
        <v>-0.75793710000000003</v>
      </c>
      <c r="N3819">
        <v>0</v>
      </c>
      <c r="O3819">
        <v>-0.65215679999999998</v>
      </c>
      <c r="P3819">
        <v>-0.64298369999999905</v>
      </c>
      <c r="Q3819">
        <v>0.1308599</v>
      </c>
      <c r="R3819">
        <v>-0.75461809999999996</v>
      </c>
      <c r="S3819">
        <v>-1.6070249999999999</v>
      </c>
      <c r="T3819">
        <v>-0.32014819999999999</v>
      </c>
      <c r="U3819">
        <v>-2.6713559999999998</v>
      </c>
      <c r="V3819">
        <v>-0.1562683</v>
      </c>
      <c r="W3819">
        <v>0.1415795</v>
      </c>
      <c r="X3819">
        <v>0.97751500000000002</v>
      </c>
      <c r="Y3819">
        <v>-0.31434299999999998</v>
      </c>
      <c r="Z3819">
        <v>5.4218479999999999E-2</v>
      </c>
      <c r="AA3819">
        <v>0.94775989999999999</v>
      </c>
      <c r="AB3819">
        <v>31</v>
      </c>
      <c r="AC3819">
        <v>-5.3974999999999804</v>
      </c>
      <c r="AD3819">
        <v>-1.120476762364</v>
      </c>
      <c r="AE3819">
        <v>-9.1429999999999794</v>
      </c>
      <c r="AF3819">
        <v>-3.3726210423537801</v>
      </c>
      <c r="AG3819">
        <v>-1.120476762364</v>
      </c>
      <c r="AH3819">
        <v>9.9440071933804592</v>
      </c>
      <c r="AI3819">
        <v>96.090885188183506</v>
      </c>
      <c r="AJ3819">
        <v>108.734940614146</v>
      </c>
      <c r="AK3819">
        <v>10.5599867392117</v>
      </c>
      <c r="AL3819">
        <v>81.860745036673407</v>
      </c>
      <c r="AM3819">
        <v>99.082612854402797</v>
      </c>
      <c r="AN3819">
        <v>1.0000000558150599</v>
      </c>
    </row>
    <row r="3820" spans="1:40" x14ac:dyDescent="0.25">
      <c r="A3820" t="str">
        <f>"20190312164344765"</f>
        <v>20190312164344765</v>
      </c>
      <c r="B3820" t="str">
        <f>"1552380224758992"</f>
        <v>1552380224758992</v>
      </c>
      <c r="C3820" t="s">
        <v>40</v>
      </c>
      <c r="D3820">
        <v>4.2847080000000002</v>
      </c>
      <c r="E3820">
        <v>0.4468606</v>
      </c>
      <c r="F3820" t="s">
        <v>49</v>
      </c>
      <c r="G3820">
        <v>-419.11149999999998</v>
      </c>
      <c r="H3820" s="1">
        <v>-2.607546E-6</v>
      </c>
      <c r="I3820">
        <v>123.5333</v>
      </c>
      <c r="J3820">
        <v>-413.834</v>
      </c>
      <c r="K3820">
        <v>1.1204970000000001</v>
      </c>
      <c r="L3820">
        <v>132.6874</v>
      </c>
      <c r="M3820">
        <v>-0.7497009</v>
      </c>
      <c r="N3820">
        <v>0</v>
      </c>
      <c r="O3820">
        <v>-0.66160799999999997</v>
      </c>
      <c r="P3820">
        <v>-0.63318540000000001</v>
      </c>
      <c r="Q3820">
        <v>0.12978149999999999</v>
      </c>
      <c r="R3820">
        <v>-0.76304189999999905</v>
      </c>
      <c r="S3820">
        <v>-1.5784609999999999</v>
      </c>
      <c r="T3820">
        <v>-0.3214457</v>
      </c>
      <c r="U3820">
        <v>-2.6862789999999999</v>
      </c>
      <c r="V3820">
        <v>-0.1567566</v>
      </c>
      <c r="W3820">
        <v>0.14048949999999999</v>
      </c>
      <c r="X3820">
        <v>0.97759399999999996</v>
      </c>
      <c r="Y3820">
        <v>-0.31226969999999998</v>
      </c>
      <c r="Z3820">
        <v>5.5659409999999999E-2</v>
      </c>
      <c r="AA3820">
        <v>0.94836160000000003</v>
      </c>
      <c r="AB3820">
        <v>31</v>
      </c>
      <c r="AC3820">
        <v>-5.2774999999999697</v>
      </c>
      <c r="AD3820">
        <v>-1.1204996075460001</v>
      </c>
      <c r="AE3820">
        <v>-9.1540999999999997</v>
      </c>
      <c r="AF3820">
        <v>-3.3340850519840401</v>
      </c>
      <c r="AG3820">
        <v>-1.1204996075460001</v>
      </c>
      <c r="AH3820">
        <v>9.9027329841999006</v>
      </c>
      <c r="AI3820">
        <v>96.1207666743977</v>
      </c>
      <c r="AJ3820">
        <v>108.60752112952601</v>
      </c>
      <c r="AK3820">
        <v>10.508842137016501</v>
      </c>
      <c r="AL3820">
        <v>81.923827354113001</v>
      </c>
      <c r="AM3820">
        <v>99.109794655482602</v>
      </c>
      <c r="AN3820">
        <v>0.99999998004490398</v>
      </c>
    </row>
    <row r="3821" spans="1:40" x14ac:dyDescent="0.25">
      <c r="A3821" t="str">
        <f>"20190312164344788"</f>
        <v>20190312164344788</v>
      </c>
      <c r="B3821" t="str">
        <f>"1552380224778512"</f>
        <v>1552380224778512</v>
      </c>
      <c r="C3821" t="s">
        <v>40</v>
      </c>
      <c r="D3821">
        <v>4.2655690000000002</v>
      </c>
      <c r="E3821">
        <v>0.44714789999999999</v>
      </c>
      <c r="F3821" t="s">
        <v>49</v>
      </c>
      <c r="G3821">
        <v>-419.74180000000001</v>
      </c>
      <c r="H3821" s="1">
        <v>-2.1491680000000001E-6</v>
      </c>
      <c r="I3821">
        <v>122.9502</v>
      </c>
      <c r="J3821">
        <v>-414.05369999999999</v>
      </c>
      <c r="K3821">
        <v>1.120514</v>
      </c>
      <c r="L3821">
        <v>132.47720000000001</v>
      </c>
      <c r="M3821">
        <v>-0.74139860000000002</v>
      </c>
      <c r="N3821">
        <v>0</v>
      </c>
      <c r="O3821">
        <v>-0.6708982</v>
      </c>
      <c r="P3821">
        <v>-0.62340549999999995</v>
      </c>
      <c r="Q3821">
        <v>0.12907930000000001</v>
      </c>
      <c r="R3821">
        <v>-0.77117080000000005</v>
      </c>
      <c r="S3821">
        <v>-1.6075440000000001</v>
      </c>
      <c r="T3821">
        <v>-0.30489339999999998</v>
      </c>
      <c r="U3821">
        <v>-2.6495510000000002</v>
      </c>
      <c r="V3821">
        <v>-0.15711710000000001</v>
      </c>
      <c r="W3821">
        <v>0.13977979999999901</v>
      </c>
      <c r="X3821">
        <v>0.97763789999999995</v>
      </c>
      <c r="Y3821">
        <v>-0.28695029999999999</v>
      </c>
      <c r="Z3821">
        <v>5.5122060000000001E-2</v>
      </c>
      <c r="AA3821">
        <v>0.95635829999999999</v>
      </c>
      <c r="AB3821">
        <v>31</v>
      </c>
      <c r="AC3821">
        <v>-5.6881000000000101</v>
      </c>
      <c r="AD3821">
        <v>-1.120516149168</v>
      </c>
      <c r="AE3821">
        <v>-9.5270000000000099</v>
      </c>
      <c r="AF3821">
        <v>-3.2147477841622401</v>
      </c>
      <c r="AG3821">
        <v>-1.120516149168</v>
      </c>
      <c r="AH3821">
        <v>10.502875372274501</v>
      </c>
      <c r="AI3821">
        <v>95.824870541268595</v>
      </c>
      <c r="AJ3821">
        <v>107.018439945453</v>
      </c>
      <c r="AK3821">
        <v>11.040858247520999</v>
      </c>
      <c r="AL3821">
        <v>81.964895731051499</v>
      </c>
      <c r="AM3821">
        <v>99.129989277096897</v>
      </c>
      <c r="AN3821">
        <v>1.00000001955842</v>
      </c>
    </row>
    <row r="3822" spans="1:40" x14ac:dyDescent="0.25">
      <c r="A3822" t="str">
        <f>"20190312164344832"</f>
        <v>20190312164344832</v>
      </c>
      <c r="B3822" t="str">
        <f>"1552380224828288"</f>
        <v>1552380224828288</v>
      </c>
      <c r="C3822" t="s">
        <v>40</v>
      </c>
      <c r="D3822">
        <v>4.3078010000000004</v>
      </c>
      <c r="E3822">
        <v>0.4299403</v>
      </c>
      <c r="F3822" t="s">
        <v>49</v>
      </c>
      <c r="G3822">
        <v>-419.43189999999998</v>
      </c>
      <c r="H3822" s="1">
        <v>-2.4550830000000002E-6</v>
      </c>
      <c r="I3822">
        <v>123.36360000000001</v>
      </c>
      <c r="J3822">
        <v>-414.48169999999999</v>
      </c>
      <c r="K3822">
        <v>1.1205449999999999</v>
      </c>
      <c r="L3822">
        <v>132.0522</v>
      </c>
      <c r="M3822">
        <v>-0.72450649999999905</v>
      </c>
      <c r="N3822">
        <v>0</v>
      </c>
      <c r="O3822">
        <v>-0.68910530000000003</v>
      </c>
      <c r="P3822">
        <v>-0.60338219999999898</v>
      </c>
      <c r="Q3822">
        <v>0.12938250000000001</v>
      </c>
      <c r="R3822">
        <v>-0.78688649999999905</v>
      </c>
      <c r="S3822">
        <v>-1.5762020000000001</v>
      </c>
      <c r="T3822">
        <v>-0.32839159999999901</v>
      </c>
      <c r="U3822">
        <v>-2.670944</v>
      </c>
      <c r="V3822">
        <v>-0.15794269999999999</v>
      </c>
      <c r="W3822">
        <v>0.14006360000000001</v>
      </c>
      <c r="X3822">
        <v>0.97746420000000001</v>
      </c>
      <c r="Y3822">
        <v>-0.27507369999999998</v>
      </c>
      <c r="Z3822">
        <v>6.1952630000000002E-2</v>
      </c>
      <c r="AA3822">
        <v>0.95942499999999997</v>
      </c>
      <c r="AB3822">
        <v>31</v>
      </c>
      <c r="AC3822">
        <v>-4.9501999999999899</v>
      </c>
      <c r="AD3822">
        <v>-1.1205474550829999</v>
      </c>
      <c r="AE3822">
        <v>-8.6885999999999903</v>
      </c>
      <c r="AF3822">
        <v>-2.84829616031814</v>
      </c>
      <c r="AG3822">
        <v>-1.1205474550829999</v>
      </c>
      <c r="AH3822">
        <v>9.4561475158574098</v>
      </c>
      <c r="AI3822">
        <v>96.473318884839102</v>
      </c>
      <c r="AJ3822">
        <v>106.762881973028</v>
      </c>
      <c r="AK3822">
        <v>9.9391721716465096</v>
      </c>
      <c r="AL3822">
        <v>81.9484733611108</v>
      </c>
      <c r="AM3822">
        <v>99.178753253981498</v>
      </c>
      <c r="AN3822">
        <v>0.99999998540494495</v>
      </c>
    </row>
    <row r="3823" spans="1:40" x14ac:dyDescent="0.25">
      <c r="A3823" t="str">
        <f>"20190312164344854"</f>
        <v>20190312164344854</v>
      </c>
      <c r="B3823" t="str">
        <f>"1552380224848784"</f>
        <v>1552380224848784</v>
      </c>
      <c r="C3823" t="s">
        <v>40</v>
      </c>
      <c r="D3823">
        <v>4.2695129999999999</v>
      </c>
      <c r="E3823">
        <v>0.42354700000000001</v>
      </c>
      <c r="F3823" t="s">
        <v>49</v>
      </c>
      <c r="G3823">
        <v>-419.74900000000002</v>
      </c>
      <c r="H3823" s="1">
        <v>-1.2425749999999999E-6</v>
      </c>
      <c r="I3823">
        <v>121.52549999999999</v>
      </c>
      <c r="J3823">
        <v>-414.69920000000002</v>
      </c>
      <c r="K3823">
        <v>1.1205540000000001</v>
      </c>
      <c r="L3823">
        <v>131.8279</v>
      </c>
      <c r="M3823">
        <v>-0.71554269999999998</v>
      </c>
      <c r="N3823">
        <v>0</v>
      </c>
      <c r="O3823">
        <v>-0.69840859999999905</v>
      </c>
      <c r="P3823">
        <v>-0.59324849999999996</v>
      </c>
      <c r="Q3823">
        <v>0.12871840000000001</v>
      </c>
      <c r="R3823">
        <v>-0.79466250000000005</v>
      </c>
      <c r="S3823">
        <v>-1.3963319999999999</v>
      </c>
      <c r="T3823">
        <v>-0.29705130000000002</v>
      </c>
      <c r="U3823">
        <v>-2.7905880000000001</v>
      </c>
      <c r="V3823">
        <v>-0.15790399999999999</v>
      </c>
      <c r="W3823">
        <v>0.13940449999999999</v>
      </c>
      <c r="X3823">
        <v>0.97756469999999995</v>
      </c>
      <c r="Y3823">
        <v>-0.3282583</v>
      </c>
      <c r="Z3823">
        <v>5.4802980000000001E-2</v>
      </c>
      <c r="AA3823">
        <v>0.94299690000000003</v>
      </c>
      <c r="AB3823">
        <v>31</v>
      </c>
      <c r="AC3823">
        <v>-5.0498000000000003</v>
      </c>
      <c r="AD3823">
        <v>-1.1205552425749901</v>
      </c>
      <c r="AE3823">
        <v>-10.3024</v>
      </c>
      <c r="AF3823">
        <v>-3.8090813880144601</v>
      </c>
      <c r="AG3823">
        <v>-1.1205552425749901</v>
      </c>
      <c r="AH3823">
        <v>10.707708246028</v>
      </c>
      <c r="AI3823">
        <v>95.630974422220802</v>
      </c>
      <c r="AJ3823">
        <v>109.58213310630801</v>
      </c>
      <c r="AK3823">
        <v>11.4201471511638</v>
      </c>
      <c r="AL3823">
        <v>81.986611418945898</v>
      </c>
      <c r="AM3823">
        <v>99.175615133199003</v>
      </c>
      <c r="AN3823">
        <v>1.0000000152611599</v>
      </c>
    </row>
    <row r="3824" spans="1:40" x14ac:dyDescent="0.25">
      <c r="A3824" t="str">
        <f>"20190312164344877"</f>
        <v>20190312164344877</v>
      </c>
      <c r="B3824" t="str">
        <f>"1552380224868305"</f>
        <v>1552380224868305</v>
      </c>
      <c r="C3824" t="s">
        <v>40</v>
      </c>
      <c r="D3824">
        <v>4.2918269999999996</v>
      </c>
      <c r="E3824">
        <v>0.42184919999999998</v>
      </c>
      <c r="F3824" t="s">
        <v>49</v>
      </c>
      <c r="G3824">
        <v>-419.86040000000003</v>
      </c>
      <c r="H3824" s="1">
        <v>-7.1537319999999899E-7</v>
      </c>
      <c r="I3824">
        <v>120.7204</v>
      </c>
      <c r="J3824">
        <v>-414.90589999999997</v>
      </c>
      <c r="K3824">
        <v>1.1205540000000001</v>
      </c>
      <c r="L3824">
        <v>131.60919999999999</v>
      </c>
      <c r="M3824">
        <v>-0.70677579999999995</v>
      </c>
      <c r="N3824">
        <v>0</v>
      </c>
      <c r="O3824">
        <v>-0.70727890000000004</v>
      </c>
      <c r="P3824">
        <v>-0.58363209999999999</v>
      </c>
      <c r="Q3824">
        <v>0.1277961</v>
      </c>
      <c r="R3824">
        <v>-0.80189909999999998</v>
      </c>
      <c r="S3824">
        <v>-1.31839</v>
      </c>
      <c r="T3824">
        <v>-0.28623779999999999</v>
      </c>
      <c r="U3824">
        <v>-2.837326</v>
      </c>
      <c r="V3824">
        <v>-0.15756989999999901</v>
      </c>
      <c r="W3824">
        <v>0.13849639999999999</v>
      </c>
      <c r="X3824">
        <v>0.97774760000000005</v>
      </c>
      <c r="Y3824">
        <v>-0.3436768</v>
      </c>
      <c r="Z3824">
        <v>5.3081919999999998E-2</v>
      </c>
      <c r="AA3824">
        <v>0.93758649999999999</v>
      </c>
      <c r="AB3824">
        <v>31</v>
      </c>
      <c r="AC3824">
        <v>-4.9545000000000501</v>
      </c>
      <c r="AD3824">
        <v>-1.1205547153731901</v>
      </c>
      <c r="AE3824">
        <v>-10.8887999999999</v>
      </c>
      <c r="AF3824">
        <v>-4.1557361448987198</v>
      </c>
      <c r="AG3824">
        <v>-1.1205547153731901</v>
      </c>
      <c r="AH3824">
        <v>11.106947142397001</v>
      </c>
      <c r="AI3824">
        <v>95.397869028668197</v>
      </c>
      <c r="AJ3824">
        <v>110.513661388407</v>
      </c>
      <c r="AK3824">
        <v>11.9117614398612</v>
      </c>
      <c r="AL3824">
        <v>82.039150849201505</v>
      </c>
      <c r="AM3824">
        <v>99.154846349266094</v>
      </c>
      <c r="AN3824">
        <v>0.99999994775236301</v>
      </c>
    </row>
    <row r="3825" spans="1:40" x14ac:dyDescent="0.25">
      <c r="A3825" t="str">
        <f>"20190312164344898"</f>
        <v>20190312164344898</v>
      </c>
      <c r="B3825" t="str">
        <f>"1552380224888800"</f>
        <v>1552380224888800</v>
      </c>
      <c r="C3825" t="s">
        <v>40</v>
      </c>
      <c r="D3825">
        <v>4.2945570000000002</v>
      </c>
      <c r="E3825">
        <v>0.42231000000000002</v>
      </c>
      <c r="F3825" t="s">
        <v>49</v>
      </c>
      <c r="G3825">
        <v>-419.7097</v>
      </c>
      <c r="H3825" s="1">
        <v>-7.943543E-7</v>
      </c>
      <c r="I3825">
        <v>120.8117</v>
      </c>
      <c r="J3825">
        <v>-415.10599999999999</v>
      </c>
      <c r="K3825">
        <v>1.1205639999999999</v>
      </c>
      <c r="L3825">
        <v>131.3922</v>
      </c>
      <c r="M3825">
        <v>-0.69805649999999997</v>
      </c>
      <c r="N3825">
        <v>0</v>
      </c>
      <c r="O3825">
        <v>-0.71588580000000002</v>
      </c>
      <c r="P3825">
        <v>-0.57367789999999996</v>
      </c>
      <c r="Q3825">
        <v>0.1281234</v>
      </c>
      <c r="R3825">
        <v>-0.8089982</v>
      </c>
      <c r="S3825">
        <v>-1.273193</v>
      </c>
      <c r="T3825">
        <v>-0.29699560000000003</v>
      </c>
      <c r="U3825">
        <v>-2.8618160000000001</v>
      </c>
      <c r="V3825">
        <v>-0.15764510000000001</v>
      </c>
      <c r="W3825">
        <v>0.13882510000000001</v>
      </c>
      <c r="X3825">
        <v>0.97768889999999997</v>
      </c>
      <c r="Y3825">
        <v>-0.34758800000000001</v>
      </c>
      <c r="Z3825">
        <v>5.5816650000000002E-2</v>
      </c>
      <c r="AA3825">
        <v>0.93598460000000006</v>
      </c>
      <c r="AB3825">
        <v>31</v>
      </c>
      <c r="AC3825">
        <v>-4.6036999999999999</v>
      </c>
      <c r="AD3825">
        <v>-1.12056479435429</v>
      </c>
      <c r="AE3825">
        <v>-10.580500000000001</v>
      </c>
      <c r="AF3825">
        <v>-4.0523051562994299</v>
      </c>
      <c r="AG3825">
        <v>-1.12056479435429</v>
      </c>
      <c r="AH3825">
        <v>10.6884803082883</v>
      </c>
      <c r="AI3825">
        <v>95.598799516367606</v>
      </c>
      <c r="AJ3825">
        <v>110.76313466692601</v>
      </c>
      <c r="AK3825">
        <v>11.485662969057699</v>
      </c>
      <c r="AL3825">
        <v>82.020134325377398</v>
      </c>
      <c r="AM3825">
        <v>99.159682038454093</v>
      </c>
      <c r="AN3825">
        <v>0.99999998556361402</v>
      </c>
    </row>
    <row r="3826" spans="1:40" x14ac:dyDescent="0.25">
      <c r="A3826" t="str">
        <f>"20190312164344922"</f>
        <v>20190312164344922</v>
      </c>
      <c r="B3826" t="str">
        <f>"1552380224919057"</f>
        <v>1552380224919057</v>
      </c>
      <c r="C3826" t="s">
        <v>40</v>
      </c>
      <c r="D3826">
        <v>4.2977860000000003</v>
      </c>
      <c r="E3826">
        <v>0.4230756</v>
      </c>
      <c r="F3826" t="s">
        <v>49</v>
      </c>
      <c r="G3826">
        <v>-419.65440000000001</v>
      </c>
      <c r="H3826" s="1">
        <v>-8.303469E-7</v>
      </c>
      <c r="I3826">
        <v>120.8562</v>
      </c>
      <c r="J3826">
        <v>-415.31470000000002</v>
      </c>
      <c r="K3826">
        <v>1.1205609999999999</v>
      </c>
      <c r="L3826">
        <v>131.1601</v>
      </c>
      <c r="M3826">
        <v>-0.68870750000000003</v>
      </c>
      <c r="N3826">
        <v>0</v>
      </c>
      <c r="O3826">
        <v>-0.72488419999999998</v>
      </c>
      <c r="P3826">
        <v>-0.5636485</v>
      </c>
      <c r="Q3826">
        <v>0.12880839999999999</v>
      </c>
      <c r="R3826">
        <v>-0.81590959999999901</v>
      </c>
      <c r="S3826">
        <v>-1.2416689999999999</v>
      </c>
      <c r="T3826">
        <v>-0.30590329999999999</v>
      </c>
      <c r="U3826">
        <v>-2.876236</v>
      </c>
      <c r="V3826">
        <v>-0.15696689999999999</v>
      </c>
      <c r="W3826">
        <v>0.139532399999999</v>
      </c>
      <c r="X3826">
        <v>0.97769740000000005</v>
      </c>
      <c r="Y3826">
        <v>-0.3458444</v>
      </c>
      <c r="Z3826">
        <v>5.8569490000000002E-2</v>
      </c>
      <c r="AA3826">
        <v>0.93646209999999996</v>
      </c>
      <c r="AB3826">
        <v>31</v>
      </c>
      <c r="AC3826">
        <v>-4.3396999999999899</v>
      </c>
      <c r="AD3826">
        <v>-1.1205618303468901</v>
      </c>
      <c r="AE3826">
        <v>-10.303900000000001</v>
      </c>
      <c r="AF3826">
        <v>-3.91174404463248</v>
      </c>
      <c r="AG3826">
        <v>-1.1205618303468901</v>
      </c>
      <c r="AH3826">
        <v>10.355077545553801</v>
      </c>
      <c r="AI3826">
        <v>95.780446366097706</v>
      </c>
      <c r="AJ3826">
        <v>110.69460753519</v>
      </c>
      <c r="AK3826">
        <v>11.125872157308899</v>
      </c>
      <c r="AL3826">
        <v>81.9792112584622</v>
      </c>
      <c r="AM3826">
        <v>99.120862256270598</v>
      </c>
      <c r="AN3826">
        <v>1.0000000521560599</v>
      </c>
    </row>
    <row r="3827" spans="1:40" x14ac:dyDescent="0.25">
      <c r="A3827" t="str">
        <f>"20190312164344944"</f>
        <v>20190312164344944</v>
      </c>
      <c r="B3827" t="str">
        <f>"1552380224938577"</f>
        <v>1552380224938577</v>
      </c>
      <c r="C3827" t="s">
        <v>40</v>
      </c>
      <c r="D3827">
        <v>4.2574050000000003</v>
      </c>
      <c r="E3827">
        <v>0.42355120000000002</v>
      </c>
      <c r="F3827" t="s">
        <v>49</v>
      </c>
      <c r="G3827">
        <v>-419.76589999999999</v>
      </c>
      <c r="H3827" s="1">
        <v>-6.1784220000000002E-7</v>
      </c>
      <c r="I3827">
        <v>120.5463</v>
      </c>
      <c r="J3827">
        <v>-415.51620000000003</v>
      </c>
      <c r="K3827">
        <v>1.1205620000000001</v>
      </c>
      <c r="L3827">
        <v>130.9297</v>
      </c>
      <c r="M3827">
        <v>-0.67941719999999906</v>
      </c>
      <c r="N3827">
        <v>0</v>
      </c>
      <c r="O3827">
        <v>-0.733599</v>
      </c>
      <c r="P3827">
        <v>-0.55372600000000005</v>
      </c>
      <c r="Q3827">
        <v>0.12939790000000001</v>
      </c>
      <c r="R3827">
        <v>-0.82258379999999998</v>
      </c>
      <c r="S3827">
        <v>-1.211273</v>
      </c>
      <c r="T3827">
        <v>-0.30492809999999998</v>
      </c>
      <c r="U3827">
        <v>-2.8882289999999999</v>
      </c>
      <c r="V3827">
        <v>-0.156301</v>
      </c>
      <c r="W3827">
        <v>0.1401443</v>
      </c>
      <c r="X3827">
        <v>0.97771649999999999</v>
      </c>
      <c r="Y3827">
        <v>-0.34367449999999999</v>
      </c>
      <c r="Z3827">
        <v>5.9483069999999999E-2</v>
      </c>
      <c r="AA3827">
        <v>0.93720300000000001</v>
      </c>
      <c r="AB3827">
        <v>31</v>
      </c>
      <c r="AC3827">
        <v>-4.2496999999999598</v>
      </c>
      <c r="AD3827">
        <v>-1.1205626178421999</v>
      </c>
      <c r="AE3827">
        <v>-10.3833999999999</v>
      </c>
      <c r="AF3827">
        <v>-3.8986367411709302</v>
      </c>
      <c r="AG3827">
        <v>-1.1205626178421999</v>
      </c>
      <c r="AH3827">
        <v>10.4019872997492</v>
      </c>
      <c r="AI3827">
        <v>95.760144003922903</v>
      </c>
      <c r="AJ3827">
        <v>110.54586246690999</v>
      </c>
      <c r="AK3827">
        <v>11.164961657088501</v>
      </c>
      <c r="AL3827">
        <v>81.943803576724306</v>
      </c>
      <c r="AM3827">
        <v>99.082640718947303</v>
      </c>
      <c r="AN3827">
        <v>0.99999999089786995</v>
      </c>
    </row>
    <row r="3828" spans="1:40" x14ac:dyDescent="0.25">
      <c r="A3828" t="str">
        <f>"20190312164344965"</f>
        <v>20190312164344965</v>
      </c>
      <c r="B3828" t="str">
        <f>"1552380224959073"</f>
        <v>1552380224959073</v>
      </c>
      <c r="C3828" t="s">
        <v>40</v>
      </c>
      <c r="D3828">
        <v>4.3159229999999997</v>
      </c>
      <c r="E3828">
        <v>0.42433510000000002</v>
      </c>
      <c r="F3828" t="s">
        <v>49</v>
      </c>
      <c r="G3828">
        <v>-419.8922</v>
      </c>
      <c r="H3828" s="1">
        <v>-3.6194020000000001E-7</v>
      </c>
      <c r="I3828">
        <v>120.17140000000001</v>
      </c>
      <c r="J3828">
        <v>-415.70600000000002</v>
      </c>
      <c r="K3828">
        <v>1.1205529999999999</v>
      </c>
      <c r="L3828">
        <v>130.7071</v>
      </c>
      <c r="M3828">
        <v>-0.67043009999999903</v>
      </c>
      <c r="N3828">
        <v>0</v>
      </c>
      <c r="O3828">
        <v>-0.74182130000000002</v>
      </c>
      <c r="P3828">
        <v>-0.54419419999999996</v>
      </c>
      <c r="Q3828">
        <v>0.1291803</v>
      </c>
      <c r="R3828">
        <v>-0.82895479999999999</v>
      </c>
      <c r="S3828">
        <v>-1.1797489999999999</v>
      </c>
      <c r="T3828">
        <v>-0.30209910000000001</v>
      </c>
      <c r="U3828">
        <v>-2.9003909999999999</v>
      </c>
      <c r="V3828">
        <v>-0.15568899999999999</v>
      </c>
      <c r="W3828">
        <v>0.13994889999999999</v>
      </c>
      <c r="X3828">
        <v>0.97784219999999999</v>
      </c>
      <c r="Y3828">
        <v>-0.34234940000000003</v>
      </c>
      <c r="Z3828">
        <v>5.9938810000000002E-2</v>
      </c>
      <c r="AA3828">
        <v>0.93765889999999996</v>
      </c>
      <c r="AB3828">
        <v>31</v>
      </c>
      <c r="AC3828">
        <v>-4.1862000000000403</v>
      </c>
      <c r="AD3828">
        <v>-1.1205533619401999</v>
      </c>
      <c r="AE3828">
        <v>-10.535699999999901</v>
      </c>
      <c r="AF3828">
        <v>-3.9201841015024099</v>
      </c>
      <c r="AG3828">
        <v>-1.1205533619401999</v>
      </c>
      <c r="AH3828">
        <v>10.520572682115599</v>
      </c>
      <c r="AI3828">
        <v>95.6996392638938</v>
      </c>
      <c r="AJ3828">
        <v>110.43643954712699</v>
      </c>
      <c r="AK3828">
        <v>11.282993077473</v>
      </c>
      <c r="AL3828">
        <v>81.955111193592998</v>
      </c>
      <c r="AM3828">
        <v>99.046523001634498</v>
      </c>
      <c r="AN3828">
        <v>1.0000000637165201</v>
      </c>
    </row>
    <row r="3829" spans="1:40" x14ac:dyDescent="0.25">
      <c r="A3829" t="str">
        <f>"20190312164344989"</f>
        <v>20190312164344989</v>
      </c>
      <c r="B3829" t="str">
        <f>"1552380224978593"</f>
        <v>1552380224978593</v>
      </c>
      <c r="C3829" t="s">
        <v>40</v>
      </c>
      <c r="D3829">
        <v>4.3166679999999999</v>
      </c>
      <c r="E3829">
        <v>0.42526130000000001</v>
      </c>
      <c r="F3829" t="s">
        <v>49</v>
      </c>
      <c r="G3829">
        <v>-419.9676</v>
      </c>
      <c r="H3829" s="1">
        <v>-2.028682E-7</v>
      </c>
      <c r="I3829">
        <v>119.9314</v>
      </c>
      <c r="J3829">
        <v>-415.9008</v>
      </c>
      <c r="K3829">
        <v>1.120541</v>
      </c>
      <c r="L3829">
        <v>130.47290000000001</v>
      </c>
      <c r="M3829">
        <v>-0.66095669999999995</v>
      </c>
      <c r="N3829">
        <v>0</v>
      </c>
      <c r="O3829">
        <v>-0.750274199999999</v>
      </c>
      <c r="P3829">
        <v>-0.53405789999999997</v>
      </c>
      <c r="Q3829">
        <v>0.12989890000000001</v>
      </c>
      <c r="R3829">
        <v>-0.83540930000000002</v>
      </c>
      <c r="S3829">
        <v>-1.151062</v>
      </c>
      <c r="T3829">
        <v>-0.30266179999999998</v>
      </c>
      <c r="U3829">
        <v>-2.9105379999999998</v>
      </c>
      <c r="V3829">
        <v>-0.15512139999999999</v>
      </c>
      <c r="W3829">
        <v>0.1406877</v>
      </c>
      <c r="X3829">
        <v>0.97782630000000004</v>
      </c>
      <c r="Y3829">
        <v>-0.33954970000000001</v>
      </c>
      <c r="Z3829">
        <v>6.1145100000000001E-2</v>
      </c>
      <c r="AA3829">
        <v>0.93859859999999995</v>
      </c>
      <c r="AB3829">
        <v>31</v>
      </c>
      <c r="AC3829">
        <v>-4.0667999999999997</v>
      </c>
      <c r="AD3829">
        <v>-1.1205412028682</v>
      </c>
      <c r="AE3829">
        <v>-10.541499999999999</v>
      </c>
      <c r="AF3829">
        <v>-3.87855305645994</v>
      </c>
      <c r="AG3829">
        <v>-1.1205412028682</v>
      </c>
      <c r="AH3829">
        <v>10.4949632708934</v>
      </c>
      <c r="AI3829">
        <v>95.719056743251201</v>
      </c>
      <c r="AJ3829">
        <v>110.28246145514299</v>
      </c>
      <c r="AK3829">
        <v>11.244689433528199</v>
      </c>
      <c r="AL3829">
        <v>81.912357373596294</v>
      </c>
      <c r="AM3829">
        <v>99.014228487023203</v>
      </c>
      <c r="AN3829">
        <v>0.99999997532046903</v>
      </c>
    </row>
    <row r="3830" spans="1:40" x14ac:dyDescent="0.25">
      <c r="A3830" t="str">
        <f>"20190312164345014"</f>
        <v>20190312164345014</v>
      </c>
      <c r="B3830" t="str">
        <f>"1552380225008848"</f>
        <v>1552380225008848</v>
      </c>
      <c r="C3830" t="s">
        <v>40</v>
      </c>
      <c r="D3830">
        <v>4.3158370000000001</v>
      </c>
      <c r="E3830">
        <v>0.42660989999999999</v>
      </c>
      <c r="F3830" t="s">
        <v>49</v>
      </c>
      <c r="G3830">
        <v>-420.06119999999999</v>
      </c>
      <c r="H3830" s="1">
        <v>-3.8678780000000001E-8</v>
      </c>
      <c r="I3830">
        <v>119.6339</v>
      </c>
      <c r="J3830">
        <v>-416.1191</v>
      </c>
      <c r="K3830">
        <v>1.1205240000000001</v>
      </c>
      <c r="L3830">
        <v>130.203</v>
      </c>
      <c r="M3830">
        <v>-0.65002669999999996</v>
      </c>
      <c r="N3830">
        <v>0</v>
      </c>
      <c r="O3830">
        <v>-0.75976350000000004</v>
      </c>
      <c r="P3830">
        <v>-0.52175950000000004</v>
      </c>
      <c r="Q3830">
        <v>0.129944</v>
      </c>
      <c r="R3830">
        <v>-0.84313830000000001</v>
      </c>
      <c r="S3830">
        <v>-1.1212770000000001</v>
      </c>
      <c r="T3830">
        <v>-0.30199749999999997</v>
      </c>
      <c r="U3830">
        <v>-2.9212189999999998</v>
      </c>
      <c r="V3830">
        <v>-0.15528629999999999</v>
      </c>
      <c r="W3830">
        <v>0.140734</v>
      </c>
      <c r="X3830">
        <v>0.97779349999999998</v>
      </c>
      <c r="Y3830">
        <v>-0.33544040000000003</v>
      </c>
      <c r="Z3830">
        <v>6.2263409999999998E-2</v>
      </c>
      <c r="AA3830">
        <v>0.94000159999999999</v>
      </c>
      <c r="AB3830">
        <v>31</v>
      </c>
      <c r="AC3830">
        <v>-3.94209999999998</v>
      </c>
      <c r="AD3830">
        <v>-1.12052403867878</v>
      </c>
      <c r="AE3830">
        <v>-10.569100000000001</v>
      </c>
      <c r="AF3830">
        <v>-3.83770124087442</v>
      </c>
      <c r="AG3830">
        <v>-1.12052403867878</v>
      </c>
      <c r="AH3830">
        <v>10.4901674198842</v>
      </c>
      <c r="AI3830">
        <v>95.728429196285504</v>
      </c>
      <c r="AJ3830">
        <v>110.094436905354</v>
      </c>
      <c r="AK3830">
        <v>11.2261808925683</v>
      </c>
      <c r="AL3830">
        <v>81.909678212428702</v>
      </c>
      <c r="AM3830">
        <v>99.023951085385505</v>
      </c>
      <c r="AN3830">
        <v>1.0000000111829599</v>
      </c>
    </row>
    <row r="3831" spans="1:40" x14ac:dyDescent="0.25">
      <c r="A3831" t="str">
        <f>"20190312164345056"</f>
        <v>20190312164345056</v>
      </c>
      <c r="B3831" t="str">
        <f>"1552380225048865"</f>
        <v>1552380225048865</v>
      </c>
      <c r="C3831" t="s">
        <v>40</v>
      </c>
      <c r="D3831">
        <v>4.3697509999999999</v>
      </c>
      <c r="E3831">
        <v>0.4277553</v>
      </c>
      <c r="F3831" t="s">
        <v>42</v>
      </c>
      <c r="G3831">
        <v>-420.15300000000002</v>
      </c>
      <c r="H3831" s="1">
        <v>-4.2191269999999997E-6</v>
      </c>
      <c r="I3831">
        <v>119.3291</v>
      </c>
      <c r="J3831">
        <v>-416.4615</v>
      </c>
      <c r="K3831">
        <v>1.1205020000000001</v>
      </c>
      <c r="L3831">
        <v>129.76300000000001</v>
      </c>
      <c r="M3831">
        <v>-0.63218219999999903</v>
      </c>
      <c r="N3831">
        <v>0</v>
      </c>
      <c r="O3831">
        <v>-0.7746748</v>
      </c>
      <c r="P3831">
        <v>-0.50170499999999996</v>
      </c>
      <c r="Q3831">
        <v>0.13036389999999901</v>
      </c>
      <c r="R3831">
        <v>-0.85515969999999997</v>
      </c>
      <c r="S3831">
        <v>-1.0875549999999901</v>
      </c>
      <c r="T3831">
        <v>-0.30210229999999999</v>
      </c>
      <c r="U3831">
        <v>-2.9316710000000001</v>
      </c>
      <c r="V3831">
        <v>-0.15559679999999901</v>
      </c>
      <c r="W3831">
        <v>0.14115459999999999</v>
      </c>
      <c r="X3831">
        <v>0.97768350000000004</v>
      </c>
      <c r="Y3831">
        <v>-0.3241463</v>
      </c>
      <c r="Z3831">
        <v>6.4430000000000001E-2</v>
      </c>
      <c r="AA3831">
        <v>0.94381029999999999</v>
      </c>
      <c r="AB3831">
        <v>31</v>
      </c>
      <c r="AC3831">
        <v>-3.6915000000000102</v>
      </c>
      <c r="AD3831">
        <v>-1.1205062191269901</v>
      </c>
      <c r="AE3831">
        <v>-10.4339</v>
      </c>
      <c r="AF3831">
        <v>-3.6989203191967199</v>
      </c>
      <c r="AG3831">
        <v>-1.1205062191269901</v>
      </c>
      <c r="AH3831">
        <v>10.312053508800901</v>
      </c>
      <c r="AI3831">
        <v>95.839850078942604</v>
      </c>
      <c r="AJ3831">
        <v>109.732844866471</v>
      </c>
      <c r="AK3831">
        <v>11.0125380037138</v>
      </c>
      <c r="AL3831">
        <v>81.885336573735003</v>
      </c>
      <c r="AM3831">
        <v>99.042697464442995</v>
      </c>
      <c r="AN3831">
        <v>1.0000000057218199</v>
      </c>
    </row>
    <row r="3832" spans="1:40" x14ac:dyDescent="0.25">
      <c r="A3832" t="str">
        <f>"20190312164345078"</f>
        <v>20190312164345078</v>
      </c>
      <c r="B3832" t="str">
        <f>"1552380225068385"</f>
        <v>1552380225068385</v>
      </c>
      <c r="C3832" t="s">
        <v>40</v>
      </c>
      <c r="D3832">
        <v>4.367292</v>
      </c>
      <c r="E3832">
        <v>0.4360792</v>
      </c>
      <c r="F3832" t="s">
        <v>42</v>
      </c>
      <c r="G3832">
        <v>-420.28559999999999</v>
      </c>
      <c r="H3832" s="1">
        <v>-4.0071869999999998E-6</v>
      </c>
      <c r="I3832">
        <v>118.75279999999999</v>
      </c>
      <c r="J3832">
        <v>-416.63560000000001</v>
      </c>
      <c r="K3832">
        <v>1.120485</v>
      </c>
      <c r="L3832">
        <v>129.53100000000001</v>
      </c>
      <c r="M3832">
        <v>-0.62275639999999999</v>
      </c>
      <c r="N3832">
        <v>0</v>
      </c>
      <c r="O3832">
        <v>-0.78227199999999997</v>
      </c>
      <c r="P3832">
        <v>-0.49174309999999899</v>
      </c>
      <c r="Q3832">
        <v>0.12958439999999999</v>
      </c>
      <c r="R3832">
        <v>-0.86104409999999898</v>
      </c>
      <c r="S3832">
        <v>-1.0254209999999999</v>
      </c>
      <c r="T3832">
        <v>-0.30045769999999999</v>
      </c>
      <c r="U3832">
        <v>-2.9523320000000002</v>
      </c>
      <c r="V3832">
        <v>-0.155156399999999</v>
      </c>
      <c r="W3832">
        <v>0.14039360000000001</v>
      </c>
      <c r="X3832">
        <v>0.97786300000000004</v>
      </c>
      <c r="Y3832">
        <v>-0.33243640000000002</v>
      </c>
      <c r="Z3832">
        <v>6.4720429999999995E-2</v>
      </c>
      <c r="AA3832">
        <v>0.94090240000000003</v>
      </c>
      <c r="AB3832">
        <v>31</v>
      </c>
      <c r="AC3832">
        <v>-3.6499999999999702</v>
      </c>
      <c r="AD3832">
        <v>-1.120489007187</v>
      </c>
      <c r="AE3832">
        <v>-10.7782</v>
      </c>
      <c r="AF3832">
        <v>-3.8202943629766</v>
      </c>
      <c r="AG3832">
        <v>-1.120489007187</v>
      </c>
      <c r="AH3832">
        <v>10.602948018374599</v>
      </c>
      <c r="AI3832">
        <v>95.677723138632302</v>
      </c>
      <c r="AJ3832">
        <v>109.81434118153901</v>
      </c>
      <c r="AK3832">
        <v>11.325751688756499</v>
      </c>
      <c r="AL3832">
        <v>81.929376852039596</v>
      </c>
      <c r="AM3832">
        <v>99.015896129794001</v>
      </c>
      <c r="AN3832">
        <v>0.99999995907545902</v>
      </c>
    </row>
    <row r="3833" spans="1:40" x14ac:dyDescent="0.25">
      <c r="A3833" t="str">
        <f>"20190312164345124"</f>
        <v>20190312164345124</v>
      </c>
      <c r="B3833" t="str">
        <f>"1552380225118164"</f>
        <v>1552380225118164</v>
      </c>
      <c r="C3833" t="s">
        <v>40</v>
      </c>
      <c r="D3833">
        <v>4.3055899999999996</v>
      </c>
      <c r="E3833">
        <v>0.43847720000000001</v>
      </c>
      <c r="F3833" t="s">
        <v>49</v>
      </c>
      <c r="G3833">
        <v>-420.09629999999999</v>
      </c>
      <c r="H3833" s="1">
        <v>-1.767408E-7</v>
      </c>
      <c r="I3833">
        <v>119.8364</v>
      </c>
      <c r="J3833">
        <v>-416.99059999999997</v>
      </c>
      <c r="K3833">
        <v>1.1204449999999999</v>
      </c>
      <c r="L3833">
        <v>129.03880000000001</v>
      </c>
      <c r="M3833">
        <v>-0.60274039999999995</v>
      </c>
      <c r="N3833">
        <v>0</v>
      </c>
      <c r="O3833">
        <v>-0.79779659999999997</v>
      </c>
      <c r="P3833">
        <v>-0.47088580000000002</v>
      </c>
      <c r="Q3833">
        <v>0.12911629999999999</v>
      </c>
      <c r="R3833">
        <v>-0.872695</v>
      </c>
      <c r="S3833">
        <v>-1.048279</v>
      </c>
      <c r="T3833">
        <v>-0.33940399999999998</v>
      </c>
      <c r="U3833">
        <v>-2.9365839999999999</v>
      </c>
      <c r="V3833">
        <v>-0.1539257</v>
      </c>
      <c r="W3833">
        <v>0.1399706</v>
      </c>
      <c r="X3833">
        <v>0.97811809999999999</v>
      </c>
      <c r="Y3833">
        <v>-0.30060789999999998</v>
      </c>
      <c r="Z3833">
        <v>7.6373419999999997E-2</v>
      </c>
      <c r="AA3833">
        <v>0.950685</v>
      </c>
      <c r="AB3833">
        <v>31</v>
      </c>
      <c r="AC3833">
        <v>-3.1057000000000099</v>
      </c>
      <c r="AD3833">
        <v>-1.1204451767407999</v>
      </c>
      <c r="AE3833">
        <v>-9.2024000000000097</v>
      </c>
      <c r="AF3833">
        <v>-3.02897453273405</v>
      </c>
      <c r="AG3833">
        <v>-1.1204451767407999</v>
      </c>
      <c r="AH3833">
        <v>9.0935859131460592</v>
      </c>
      <c r="AI3833">
        <v>96.667522737263994</v>
      </c>
      <c r="AJ3833">
        <v>108.42235476506301</v>
      </c>
      <c r="AK3833">
        <v>9.6500460555274898</v>
      </c>
      <c r="AL3833">
        <v>81.953854625328006</v>
      </c>
      <c r="AM3833">
        <v>98.943247747064305</v>
      </c>
      <c r="AN3833">
        <v>0.99999995376622797</v>
      </c>
    </row>
    <row r="3834" spans="1:40" x14ac:dyDescent="0.25">
      <c r="A3834" t="str">
        <f>"20190312164345145"</f>
        <v>20190312164345145</v>
      </c>
      <c r="B3834" t="str">
        <f>"1552380225138657"</f>
        <v>1552380225138657</v>
      </c>
      <c r="C3834" t="s">
        <v>40</v>
      </c>
      <c r="D3834">
        <v>4.4013819999999999</v>
      </c>
      <c r="E3834">
        <v>0.43519790000000003</v>
      </c>
      <c r="F3834" t="s">
        <v>42</v>
      </c>
      <c r="G3834">
        <v>-420.37549999999999</v>
      </c>
      <c r="H3834" s="1">
        <v>-4.1293840000000002E-6</v>
      </c>
      <c r="I3834">
        <v>118.9819</v>
      </c>
      <c r="J3834">
        <v>-417.16269999999997</v>
      </c>
      <c r="K3834">
        <v>1.1204289999999999</v>
      </c>
      <c r="L3834">
        <v>128.7901</v>
      </c>
      <c r="M3834">
        <v>-0.59261609999999998</v>
      </c>
      <c r="N3834">
        <v>0</v>
      </c>
      <c r="O3834">
        <v>-0.80534559999999999</v>
      </c>
      <c r="P3834">
        <v>-0.46061170000000001</v>
      </c>
      <c r="Q3834">
        <v>0.12933610000000001</v>
      </c>
      <c r="R3834">
        <v>-0.87812839999999903</v>
      </c>
      <c r="S3834">
        <v>-0.99304199999999998</v>
      </c>
      <c r="T3834">
        <v>-0.32871280000000003</v>
      </c>
      <c r="U3834">
        <v>-2.9504549999999998</v>
      </c>
      <c r="V3834">
        <v>-0.153028</v>
      </c>
      <c r="W3834">
        <v>0.14021989999999901</v>
      </c>
      <c r="X3834">
        <v>0.97822330000000002</v>
      </c>
      <c r="Y3834">
        <v>-0.30581269999999999</v>
      </c>
      <c r="Z3834">
        <v>7.4888179999999999E-2</v>
      </c>
      <c r="AA3834">
        <v>0.94914189999999998</v>
      </c>
      <c r="AB3834">
        <v>30</v>
      </c>
      <c r="AC3834">
        <v>-3.2128000000000099</v>
      </c>
      <c r="AD3834">
        <v>-1.120433129384</v>
      </c>
      <c r="AE3834">
        <v>-9.8081999999999994</v>
      </c>
      <c r="AF3834">
        <v>-3.1878760918790001</v>
      </c>
      <c r="AG3834">
        <v>-1.120433129384</v>
      </c>
      <c r="AH3834">
        <v>9.6898541056143497</v>
      </c>
      <c r="AI3834">
        <v>96.268129150698499</v>
      </c>
      <c r="AJ3834">
        <v>108.21074718860901</v>
      </c>
      <c r="AK3834">
        <v>10.262124388385001</v>
      </c>
      <c r="AL3834">
        <v>81.939428948100201</v>
      </c>
      <c r="AM3834">
        <v>98.890985270171299</v>
      </c>
      <c r="AN3834">
        <v>1.0000000069014501</v>
      </c>
    </row>
    <row r="3835" spans="1:40" x14ac:dyDescent="0.25">
      <c r="A3835" t="str">
        <f>"20190312164345167"</f>
        <v>20190312164345167</v>
      </c>
      <c r="B3835" t="str">
        <f>"1552380225158177"</f>
        <v>1552380225158177</v>
      </c>
      <c r="C3835" t="s">
        <v>40</v>
      </c>
      <c r="D3835">
        <v>4.3426869999999997</v>
      </c>
      <c r="E3835">
        <v>0.43260300000000002</v>
      </c>
      <c r="F3835" t="s">
        <v>42</v>
      </c>
      <c r="G3835">
        <v>-420.3972</v>
      </c>
      <c r="H3835" s="1">
        <v>-3.9295089999999999E-6</v>
      </c>
      <c r="I3835">
        <v>118.5025</v>
      </c>
      <c r="J3835">
        <v>-417.32670000000002</v>
      </c>
      <c r="K3835">
        <v>1.1204099999999999</v>
      </c>
      <c r="L3835">
        <v>128.54669999999999</v>
      </c>
      <c r="M3835">
        <v>-0.58270239999999995</v>
      </c>
      <c r="N3835">
        <v>0</v>
      </c>
      <c r="O3835">
        <v>-0.81254729999999997</v>
      </c>
      <c r="P3835">
        <v>-0.4499708</v>
      </c>
      <c r="Q3835">
        <v>0.12981819999999999</v>
      </c>
      <c r="R3835">
        <v>-0.88355729999999999</v>
      </c>
      <c r="S3835">
        <v>-0.93496699999999999</v>
      </c>
      <c r="T3835">
        <v>-0.32386479999999901</v>
      </c>
      <c r="U3835">
        <v>-2.9736630000000002</v>
      </c>
      <c r="V3835">
        <v>-0.15281989999999901</v>
      </c>
      <c r="W3835">
        <v>0.14071229999999901</v>
      </c>
      <c r="X3835">
        <v>0.97818510000000003</v>
      </c>
      <c r="Y3835">
        <v>-0.31312250000000003</v>
      </c>
      <c r="Z3835">
        <v>7.436326E-2</v>
      </c>
      <c r="AA3835">
        <v>0.94679690000000005</v>
      </c>
      <c r="AB3835">
        <v>30</v>
      </c>
      <c r="AC3835">
        <v>-3.07049999999998</v>
      </c>
      <c r="AD3835">
        <v>-1.1204139295090001</v>
      </c>
      <c r="AE3835">
        <v>-10.044199999999901</v>
      </c>
      <c r="AF3835">
        <v>-3.3204451361578502</v>
      </c>
      <c r="AG3835">
        <v>-1.1204139295090001</v>
      </c>
      <c r="AH3835">
        <v>9.8397219202612405</v>
      </c>
      <c r="AI3835">
        <v>96.157770803160204</v>
      </c>
      <c r="AJ3835">
        <v>108.647128795928</v>
      </c>
      <c r="AK3835">
        <v>10.445133352128201</v>
      </c>
      <c r="AL3835">
        <v>81.910933786029304</v>
      </c>
      <c r="AM3835">
        <v>98.879428576846806</v>
      </c>
      <c r="AN3835">
        <v>0.99999998153465397</v>
      </c>
    </row>
    <row r="3836" spans="1:40" x14ac:dyDescent="0.25">
      <c r="A3836" t="str">
        <f>"20190312164345189"</f>
        <v>20190312164345189</v>
      </c>
      <c r="B3836" t="str">
        <f>"1552380225178673"</f>
        <v>1552380225178673</v>
      </c>
      <c r="C3836" t="s">
        <v>40</v>
      </c>
      <c r="D3836">
        <v>4.3334919999999997</v>
      </c>
      <c r="E3836">
        <v>0.43046760000000001</v>
      </c>
      <c r="F3836" t="s">
        <v>42</v>
      </c>
      <c r="G3836">
        <v>-420.28210000000001</v>
      </c>
      <c r="H3836" s="1">
        <v>-3.8973139999999999E-6</v>
      </c>
      <c r="I3836">
        <v>118.49890000000001</v>
      </c>
      <c r="J3836">
        <v>-417.4871</v>
      </c>
      <c r="K3836">
        <v>1.1203860000000001</v>
      </c>
      <c r="L3836">
        <v>128.3022</v>
      </c>
      <c r="M3836">
        <v>-0.57275010000000004</v>
      </c>
      <c r="N3836">
        <v>0</v>
      </c>
      <c r="O3836">
        <v>-0.81959329999999997</v>
      </c>
      <c r="P3836">
        <v>-0.44007170000000001</v>
      </c>
      <c r="Q3836">
        <v>0.1293387</v>
      </c>
      <c r="R3836">
        <v>-0.88859949999999999</v>
      </c>
      <c r="S3836">
        <v>-0.88116459999999996</v>
      </c>
      <c r="T3836">
        <v>-0.33404869999999998</v>
      </c>
      <c r="U3836">
        <v>-2.9957280000000002</v>
      </c>
      <c r="V3836">
        <v>-0.15183550000000001</v>
      </c>
      <c r="W3836">
        <v>0.14026710000000001</v>
      </c>
      <c r="X3836">
        <v>0.97840229999999995</v>
      </c>
      <c r="Y3836">
        <v>-0.319160099999999</v>
      </c>
      <c r="Z3836">
        <v>7.7265130000000001E-2</v>
      </c>
      <c r="AA3836">
        <v>0.94454590000000005</v>
      </c>
      <c r="AB3836">
        <v>30</v>
      </c>
      <c r="AC3836">
        <v>-2.7950000000000101</v>
      </c>
      <c r="AD3836">
        <v>-1.1203898973140001</v>
      </c>
      <c r="AE3836">
        <v>-9.8032999999999895</v>
      </c>
      <c r="AF3836">
        <v>-3.2847716191408902</v>
      </c>
      <c r="AG3836">
        <v>-1.1203898973140001</v>
      </c>
      <c r="AH3836">
        <v>9.5216181474557704</v>
      </c>
      <c r="AI3836">
        <v>96.347198964045404</v>
      </c>
      <c r="AJ3836">
        <v>109.033430702125</v>
      </c>
      <c r="AK3836">
        <v>10.1344072474849</v>
      </c>
      <c r="AL3836">
        <v>81.936697290076594</v>
      </c>
      <c r="AM3836">
        <v>98.8212060512043</v>
      </c>
      <c r="AN3836">
        <v>0.99999996952397396</v>
      </c>
    </row>
    <row r="3837" spans="1:40" x14ac:dyDescent="0.25">
      <c r="A3837" t="str">
        <f>"20190312164345213"</f>
        <v>20190312164345213</v>
      </c>
      <c r="B3837" t="str">
        <f>"1552380225208929"</f>
        <v>1552380225208929</v>
      </c>
      <c r="C3837" t="s">
        <v>40</v>
      </c>
      <c r="D3837">
        <v>4.2791389999999998</v>
      </c>
      <c r="E3837">
        <v>0.42863329999999999</v>
      </c>
      <c r="F3837" t="s">
        <v>42</v>
      </c>
      <c r="G3837">
        <v>-420.27229999999997</v>
      </c>
      <c r="H3837" s="1">
        <v>-3.7735520000000001E-6</v>
      </c>
      <c r="I3837">
        <v>118.21639999999999</v>
      </c>
      <c r="J3837">
        <v>-417.66160000000002</v>
      </c>
      <c r="K3837">
        <v>1.12035</v>
      </c>
      <c r="L3837">
        <v>128.02879999999999</v>
      </c>
      <c r="M3837">
        <v>-0.56163490000000005</v>
      </c>
      <c r="N3837">
        <v>0</v>
      </c>
      <c r="O3837">
        <v>-0.82724949999999997</v>
      </c>
      <c r="P3837">
        <v>-0.42865560000000003</v>
      </c>
      <c r="Q3837">
        <v>0.128966</v>
      </c>
      <c r="R3837">
        <v>-0.89421600000000001</v>
      </c>
      <c r="S3837">
        <v>-0.83200069999999904</v>
      </c>
      <c r="T3837">
        <v>-0.33467970000000002</v>
      </c>
      <c r="U3837">
        <v>-3.0127869999999999</v>
      </c>
      <c r="V3837">
        <v>-0.1511651</v>
      </c>
      <c r="W3837">
        <v>0.1399215</v>
      </c>
      <c r="X3837">
        <v>0.97855559999999997</v>
      </c>
      <c r="Y3837">
        <v>-0.3220867</v>
      </c>
      <c r="Z3837">
        <v>7.8249970000000002E-2</v>
      </c>
      <c r="AA3837">
        <v>0.94347080000000005</v>
      </c>
      <c r="AB3837">
        <v>30</v>
      </c>
      <c r="AC3837">
        <v>-2.6106999999999498</v>
      </c>
      <c r="AD3837">
        <v>-1.1203537735519999</v>
      </c>
      <c r="AE3837">
        <v>-9.8123999999999896</v>
      </c>
      <c r="AF3837">
        <v>-3.3113478073499301</v>
      </c>
      <c r="AG3837">
        <v>-1.1203537735519999</v>
      </c>
      <c r="AH3837">
        <v>9.46935321552691</v>
      </c>
      <c r="AI3837">
        <v>96.372505191401302</v>
      </c>
      <c r="AJ3837">
        <v>109.274273552804</v>
      </c>
      <c r="AK3837">
        <v>10.0940015454508</v>
      </c>
      <c r="AL3837">
        <v>81.956696084761305</v>
      </c>
      <c r="AM3837">
        <v>98.781511852605703</v>
      </c>
      <c r="AN3837">
        <v>0.99999998795580902</v>
      </c>
    </row>
    <row r="3838" spans="1:40" x14ac:dyDescent="0.25">
      <c r="A3838" t="str">
        <f>"20190312164345256"</f>
        <v>20190312164345256</v>
      </c>
      <c r="B3838" t="str">
        <f>"1552380225248945"</f>
        <v>1552380225248945</v>
      </c>
      <c r="C3838" t="s">
        <v>40</v>
      </c>
      <c r="D3838">
        <v>4.2621060000000002</v>
      </c>
      <c r="E3838">
        <v>0.42707329999999999</v>
      </c>
      <c r="F3838" t="s">
        <v>42</v>
      </c>
      <c r="G3838">
        <v>-420.41210000000001</v>
      </c>
      <c r="H3838" s="1">
        <v>-3.4396999999999999E-6</v>
      </c>
      <c r="I3838">
        <v>117.3515</v>
      </c>
      <c r="J3838">
        <v>-417.96030000000002</v>
      </c>
      <c r="K3838">
        <v>1.120258</v>
      </c>
      <c r="L3838">
        <v>127.5412</v>
      </c>
      <c r="M3838">
        <v>-0.54187739999999995</v>
      </c>
      <c r="N3838">
        <v>0</v>
      </c>
      <c r="O3838">
        <v>-0.84032439999999997</v>
      </c>
      <c r="P3838">
        <v>-0.40907169999999998</v>
      </c>
      <c r="Q3838">
        <v>0.12901199999999999</v>
      </c>
      <c r="R3838">
        <v>-0.90333640000000004</v>
      </c>
      <c r="S3838">
        <v>-0.77975459999999996</v>
      </c>
      <c r="T3838">
        <v>-0.31760820000000001</v>
      </c>
      <c r="U3838">
        <v>-3.0269010000000001</v>
      </c>
      <c r="V3838">
        <v>-0.1492609</v>
      </c>
      <c r="W3838">
        <v>0.14003759999999901</v>
      </c>
      <c r="X3838">
        <v>0.97883129999999996</v>
      </c>
      <c r="Y3838">
        <v>-0.31592989999999999</v>
      </c>
      <c r="Z3838">
        <v>7.6123280000000001E-2</v>
      </c>
      <c r="AA3838">
        <v>0.9457238</v>
      </c>
      <c r="AB3838">
        <v>30</v>
      </c>
      <c r="AC3838">
        <v>-2.4517999999999902</v>
      </c>
      <c r="AD3838">
        <v>-1.1202614396999999</v>
      </c>
      <c r="AE3838">
        <v>-10.1897</v>
      </c>
      <c r="AF3838">
        <v>-3.4225440506721601</v>
      </c>
      <c r="AG3838">
        <v>-1.1202614396999999</v>
      </c>
      <c r="AH3838">
        <v>9.7805879370770406</v>
      </c>
      <c r="AI3838">
        <v>96.170346304755</v>
      </c>
      <c r="AJ3838">
        <v>109.286592718577</v>
      </c>
      <c r="AK3838">
        <v>10.4225090005702</v>
      </c>
      <c r="AL3838">
        <v>81.949978238927002</v>
      </c>
      <c r="AM3838">
        <v>98.670179453467796</v>
      </c>
      <c r="AN3838">
        <v>1.00000002977112</v>
      </c>
    </row>
    <row r="3839" spans="1:40" x14ac:dyDescent="0.25">
      <c r="A3839" t="str">
        <f>"20190312164345279"</f>
        <v>20190312164345279</v>
      </c>
      <c r="B3839" t="str">
        <f>"1552380225268465"</f>
        <v>1552380225268465</v>
      </c>
      <c r="C3839" t="s">
        <v>40</v>
      </c>
      <c r="D3839">
        <v>4.2630089999999896</v>
      </c>
      <c r="E3839">
        <v>0.42681449999999999</v>
      </c>
      <c r="F3839" t="s">
        <v>42</v>
      </c>
      <c r="G3839">
        <v>-420.52949999999998</v>
      </c>
      <c r="H3839" s="1">
        <v>-3.0528720000000001E-6</v>
      </c>
      <c r="I3839">
        <v>116.377</v>
      </c>
      <c r="J3839">
        <v>-418.10950000000003</v>
      </c>
      <c r="K3839">
        <v>1.1202000000000001</v>
      </c>
      <c r="L3839">
        <v>127.2877</v>
      </c>
      <c r="M3839">
        <v>-0.53164820000000002</v>
      </c>
      <c r="N3839">
        <v>0</v>
      </c>
      <c r="O3839">
        <v>-0.84683339999999996</v>
      </c>
      <c r="P3839">
        <v>-0.39874219999999999</v>
      </c>
      <c r="Q3839">
        <v>0.1285627</v>
      </c>
      <c r="R3839">
        <v>-0.90800700000000001</v>
      </c>
      <c r="S3839">
        <v>-0.70123290000000005</v>
      </c>
      <c r="T3839">
        <v>-0.30576059999999999</v>
      </c>
      <c r="U3839">
        <v>-3.0471189999999999</v>
      </c>
      <c r="V3839">
        <v>-0.14855839999999901</v>
      </c>
      <c r="W3839">
        <v>0.13961789999999999</v>
      </c>
      <c r="X3839">
        <v>0.97899809999999998</v>
      </c>
      <c r="Y3839">
        <v>-0.32886530000000003</v>
      </c>
      <c r="Z3839">
        <v>7.3713319999999999E-2</v>
      </c>
      <c r="AA3839">
        <v>0.94149559999999999</v>
      </c>
      <c r="AB3839">
        <v>30</v>
      </c>
      <c r="AC3839">
        <v>-2.4199999999999502</v>
      </c>
      <c r="AD3839">
        <v>-1.1202030528719999</v>
      </c>
      <c r="AE3839">
        <v>-10.910699999999901</v>
      </c>
      <c r="AF3839">
        <v>-3.7144178849401199</v>
      </c>
      <c r="AG3839">
        <v>-1.1202030528719999</v>
      </c>
      <c r="AH3839">
        <v>10.422594989617901</v>
      </c>
      <c r="AI3839">
        <v>95.7809982162983</v>
      </c>
      <c r="AJ3839">
        <v>109.615116364915</v>
      </c>
      <c r="AK3839">
        <v>11.121251792007699</v>
      </c>
      <c r="AL3839">
        <v>81.974263767792095</v>
      </c>
      <c r="AM3839">
        <v>98.628540620058004</v>
      </c>
      <c r="AN3839">
        <v>1.0000000180072799</v>
      </c>
    </row>
    <row r="3840" spans="1:40" x14ac:dyDescent="0.25">
      <c r="A3840" t="str">
        <f>"20190312164345301"</f>
        <v>20190312164345301</v>
      </c>
      <c r="B3840" t="str">
        <f>"1552380225298720"</f>
        <v>1552380225298720</v>
      </c>
      <c r="C3840" t="s">
        <v>40</v>
      </c>
      <c r="D3840">
        <v>4.2559610000000001</v>
      </c>
      <c r="E3840">
        <v>0.42670760000000002</v>
      </c>
      <c r="F3840" t="s">
        <v>42</v>
      </c>
      <c r="G3840">
        <v>-420.56630000000001</v>
      </c>
      <c r="H3840" s="1">
        <v>-2.8942639999999998E-6</v>
      </c>
      <c r="I3840">
        <v>115.9845</v>
      </c>
      <c r="J3840">
        <v>-418.25920000000002</v>
      </c>
      <c r="K3840">
        <v>1.1201460000000001</v>
      </c>
      <c r="L3840">
        <v>127.02630000000001</v>
      </c>
      <c r="M3840">
        <v>-0.52114329999999998</v>
      </c>
      <c r="N3840">
        <v>0</v>
      </c>
      <c r="O3840">
        <v>-0.85333869999999901</v>
      </c>
      <c r="P3840">
        <v>-0.38797759999999998</v>
      </c>
      <c r="Q3840">
        <v>0.128471</v>
      </c>
      <c r="R3840">
        <v>-0.91267140000000002</v>
      </c>
      <c r="S3840">
        <v>-0.6640625</v>
      </c>
      <c r="T3840">
        <v>-0.30278249999999901</v>
      </c>
      <c r="U3840">
        <v>-3.0551759999999999</v>
      </c>
      <c r="V3840">
        <v>-0.14801919999999999</v>
      </c>
      <c r="W3840">
        <v>0.139551799999999</v>
      </c>
      <c r="X3840">
        <v>0.97908919999999999</v>
      </c>
      <c r="Y3840">
        <v>-0.32864490000000002</v>
      </c>
      <c r="Z3840">
        <v>7.3810120000000007E-2</v>
      </c>
      <c r="AA3840">
        <v>0.94156499999999999</v>
      </c>
      <c r="AB3840">
        <v>30</v>
      </c>
      <c r="AC3840">
        <v>-2.3070999999999899</v>
      </c>
      <c r="AD3840">
        <v>-1.1201488942640001</v>
      </c>
      <c r="AE3840">
        <v>-11.0418</v>
      </c>
      <c r="AF3840">
        <v>-3.74907498399693</v>
      </c>
      <c r="AG3840">
        <v>-1.1201488942640001</v>
      </c>
      <c r="AH3840">
        <v>10.5221510839886</v>
      </c>
      <c r="AI3840">
        <v>95.726531776686599</v>
      </c>
      <c r="AJ3840">
        <v>109.61114067560599</v>
      </c>
      <c r="AK3840">
        <v>11.2261284606597</v>
      </c>
      <c r="AL3840">
        <v>81.978088518569194</v>
      </c>
      <c r="AM3840">
        <v>98.596903732665595</v>
      </c>
      <c r="AN3840">
        <v>1.00000002500425</v>
      </c>
    </row>
    <row r="3841" spans="1:40" x14ac:dyDescent="0.25">
      <c r="A3841" t="str">
        <f>"20190312164345324"</f>
        <v>20190312164345324</v>
      </c>
      <c r="B3841" t="str">
        <f>"1552380225318241"</f>
        <v>1552380225318241</v>
      </c>
      <c r="C3841" t="s">
        <v>40</v>
      </c>
      <c r="D3841">
        <v>4.2935309999999998</v>
      </c>
      <c r="E3841">
        <v>0.42678080000000002</v>
      </c>
      <c r="F3841" t="s">
        <v>42</v>
      </c>
      <c r="G3841">
        <v>-420.5976</v>
      </c>
      <c r="H3841" s="1">
        <v>-2.7373620000000001E-6</v>
      </c>
      <c r="I3841">
        <v>115.5993</v>
      </c>
      <c r="J3841">
        <v>-418.4058</v>
      </c>
      <c r="K3841">
        <v>1.12008</v>
      </c>
      <c r="L3841">
        <v>126.76220000000001</v>
      </c>
      <c r="M3841">
        <v>-0.51059279999999996</v>
      </c>
      <c r="N3841">
        <v>0</v>
      </c>
      <c r="O3841">
        <v>-0.85969329999999999</v>
      </c>
      <c r="P3841">
        <v>-0.37726090000000001</v>
      </c>
      <c r="Q3841">
        <v>0.1283329</v>
      </c>
      <c r="R3841">
        <v>-0.91717230000000005</v>
      </c>
      <c r="S3841">
        <v>-0.62680049999999998</v>
      </c>
      <c r="T3841">
        <v>-0.30024420000000002</v>
      </c>
      <c r="U3841">
        <v>-3.062881</v>
      </c>
      <c r="V3841">
        <v>-0.14740899999999901</v>
      </c>
      <c r="W3841">
        <v>0.13943939999999999</v>
      </c>
      <c r="X3841">
        <v>0.97919730000000005</v>
      </c>
      <c r="Y3841">
        <v>-0.32846920000000002</v>
      </c>
      <c r="Z3841">
        <v>7.3981229999999995E-2</v>
      </c>
      <c r="AA3841">
        <v>0.94161280000000003</v>
      </c>
      <c r="AB3841">
        <v>30</v>
      </c>
      <c r="AC3841">
        <v>-2.1918000000000002</v>
      </c>
      <c r="AD3841">
        <v>-1.1200827373619999</v>
      </c>
      <c r="AE3841">
        <v>-11.1629</v>
      </c>
      <c r="AF3841">
        <v>-3.7792080851895702</v>
      </c>
      <c r="AG3841">
        <v>-1.1200827373619999</v>
      </c>
      <c r="AH3841">
        <v>10.614083113728601</v>
      </c>
      <c r="AI3841">
        <v>95.677365200732893</v>
      </c>
      <c r="AJ3841">
        <v>109.598577627536</v>
      </c>
      <c r="AK3841">
        <v>11.3223566201934</v>
      </c>
      <c r="AL3841">
        <v>81.9845924016563</v>
      </c>
      <c r="AM3841">
        <v>98.561058636305901</v>
      </c>
      <c r="AN3841">
        <v>1.0000000559403199</v>
      </c>
    </row>
    <row r="3842" spans="1:40" x14ac:dyDescent="0.25">
      <c r="A3842" t="str">
        <f>"20190312164345347"</f>
        <v>20190312164345347</v>
      </c>
      <c r="B3842" t="str">
        <f>"1552380225338737"</f>
        <v>1552380225338737</v>
      </c>
      <c r="C3842" t="s">
        <v>40</v>
      </c>
      <c r="D3842">
        <v>4.3146050000000002</v>
      </c>
      <c r="E3842">
        <v>0.42710819999999999</v>
      </c>
      <c r="F3842" t="s">
        <v>42</v>
      </c>
      <c r="G3842">
        <v>-420.62270000000001</v>
      </c>
      <c r="H3842" s="1">
        <v>-2.5934149999999998E-6</v>
      </c>
      <c r="I3842">
        <v>115.2482</v>
      </c>
      <c r="J3842">
        <v>-418.55160000000001</v>
      </c>
      <c r="K3842">
        <v>1.120015</v>
      </c>
      <c r="L3842">
        <v>126.4918</v>
      </c>
      <c r="M3842">
        <v>-0.4998302</v>
      </c>
      <c r="N3842">
        <v>0</v>
      </c>
      <c r="O3842">
        <v>-0.86599499999999996</v>
      </c>
      <c r="P3842">
        <v>-0.3663361</v>
      </c>
      <c r="Q3842">
        <v>0.12785859999999999</v>
      </c>
      <c r="R3842">
        <v>-0.92165660000000005</v>
      </c>
      <c r="S3842">
        <v>-0.5910339</v>
      </c>
      <c r="T3842">
        <v>-0.29860910000000002</v>
      </c>
      <c r="U3842">
        <v>-3.0695950000000001</v>
      </c>
      <c r="V3842">
        <v>-0.1468286</v>
      </c>
      <c r="W3842">
        <v>0.138988</v>
      </c>
      <c r="X3842">
        <v>0.97934860000000001</v>
      </c>
      <c r="Y3842">
        <v>-0.32765109999999997</v>
      </c>
      <c r="Z3842">
        <v>7.4382489999999996E-2</v>
      </c>
      <c r="AA3842">
        <v>0.94186619999999999</v>
      </c>
      <c r="AB3842">
        <v>30</v>
      </c>
      <c r="AC3842">
        <v>-2.0710999999999999</v>
      </c>
      <c r="AD3842">
        <v>-1.1200175934150001</v>
      </c>
      <c r="AE3842">
        <v>-11.243600000000001</v>
      </c>
      <c r="AF3842">
        <v>-3.7903769546140702</v>
      </c>
      <c r="AG3842">
        <v>-1.1200175934150001</v>
      </c>
      <c r="AH3842">
        <v>10.6708865970507</v>
      </c>
      <c r="AI3842">
        <v>95.648516341153694</v>
      </c>
      <c r="AJ3842">
        <v>109.555410386337</v>
      </c>
      <c r="AK3842">
        <v>11.3793329169484</v>
      </c>
      <c r="AL3842">
        <v>82.010709518154897</v>
      </c>
      <c r="AM3842">
        <v>98.5265492725309</v>
      </c>
      <c r="AN3842">
        <v>0.99999999112196003</v>
      </c>
    </row>
    <row r="3843" spans="1:40" x14ac:dyDescent="0.25">
      <c r="A3843" t="str">
        <f>"20190312164345369"</f>
        <v>20190312164345369</v>
      </c>
      <c r="B3843" t="str">
        <f>"1552380225358257"</f>
        <v>1552380225358257</v>
      </c>
      <c r="C3843" t="s">
        <v>40</v>
      </c>
      <c r="D3843">
        <v>4.3622969999999999</v>
      </c>
      <c r="E3843">
        <v>0.42745490000000003</v>
      </c>
      <c r="F3843" t="s">
        <v>42</v>
      </c>
      <c r="G3843">
        <v>-420.63580000000002</v>
      </c>
      <c r="H3843" s="1">
        <v>-2.4784209999999998E-6</v>
      </c>
      <c r="I3843">
        <v>114.97199999999999</v>
      </c>
      <c r="J3843">
        <v>-418.68810000000002</v>
      </c>
      <c r="K3843">
        <v>1.119955</v>
      </c>
      <c r="L3843">
        <v>126.23139999999999</v>
      </c>
      <c r="M3843">
        <v>-0.4895041</v>
      </c>
      <c r="N3843">
        <v>0</v>
      </c>
      <c r="O3843">
        <v>-0.87187399999999904</v>
      </c>
      <c r="P3843">
        <v>-0.3559985</v>
      </c>
      <c r="Q3843">
        <v>0.1281485</v>
      </c>
      <c r="R3843">
        <v>-0.92565830000000004</v>
      </c>
      <c r="S3843">
        <v>-0.55639649999999996</v>
      </c>
      <c r="T3843">
        <v>-0.29900149999999998</v>
      </c>
      <c r="U3843">
        <v>-3.0753330000000001</v>
      </c>
      <c r="V3843">
        <v>-0.14611660000000001</v>
      </c>
      <c r="W3843">
        <v>0.1392997</v>
      </c>
      <c r="X3843">
        <v>0.97941080000000003</v>
      </c>
      <c r="Y3843">
        <v>-0.32700960000000001</v>
      </c>
      <c r="Z3843">
        <v>7.5236929999999994E-2</v>
      </c>
      <c r="AA3843">
        <v>0.94202129999999995</v>
      </c>
      <c r="AB3843">
        <v>30</v>
      </c>
      <c r="AC3843">
        <v>-1.94769999999999</v>
      </c>
      <c r="AD3843">
        <v>-1.119957478421</v>
      </c>
      <c r="AE3843">
        <v>-11.2593999999999</v>
      </c>
      <c r="AF3843">
        <v>-3.7775069869287901</v>
      </c>
      <c r="AG3843">
        <v>-1.119957478421</v>
      </c>
      <c r="AH3843">
        <v>10.6688868312996</v>
      </c>
      <c r="AI3843">
        <v>95.651282496874003</v>
      </c>
      <c r="AJ3843">
        <v>109.49740406912299</v>
      </c>
      <c r="AK3843">
        <v>11.3731706225153</v>
      </c>
      <c r="AL3843">
        <v>81.992674987269496</v>
      </c>
      <c r="AM3843">
        <v>98.485274753940303</v>
      </c>
      <c r="AN3843">
        <v>0.99999999118614402</v>
      </c>
    </row>
    <row r="3844" spans="1:40" x14ac:dyDescent="0.25">
      <c r="A3844" t="str">
        <f>"20190312164345414"</f>
        <v>20190312164345414</v>
      </c>
      <c r="B3844" t="str">
        <f>"1552380225409008"</f>
        <v>1552380225409008</v>
      </c>
      <c r="C3844" t="s">
        <v>40</v>
      </c>
      <c r="D3844">
        <v>4.4206960000000004</v>
      </c>
      <c r="E3844">
        <v>0.42866120000000002</v>
      </c>
      <c r="F3844" t="s">
        <v>42</v>
      </c>
      <c r="G3844">
        <v>-420.66</v>
      </c>
      <c r="H3844" s="1">
        <v>-2.3493300000000001E-6</v>
      </c>
      <c r="I3844">
        <v>114.6561</v>
      </c>
      <c r="J3844">
        <v>-418.95030000000003</v>
      </c>
      <c r="K3844">
        <v>1.119869</v>
      </c>
      <c r="L3844">
        <v>125.7093</v>
      </c>
      <c r="M3844">
        <v>-0.46887509999999999</v>
      </c>
      <c r="N3844">
        <v>0</v>
      </c>
      <c r="O3844">
        <v>-0.88313969999999897</v>
      </c>
      <c r="P3844">
        <v>-0.3370319</v>
      </c>
      <c r="Q3844">
        <v>0.12948200000000001</v>
      </c>
      <c r="R3844">
        <v>-0.93254729999999997</v>
      </c>
      <c r="S3844">
        <v>-0.52474980000000004</v>
      </c>
      <c r="T3844">
        <v>-0.29803780000000002</v>
      </c>
      <c r="U3844">
        <v>-3.080368</v>
      </c>
      <c r="V3844">
        <v>-0.1429889</v>
      </c>
      <c r="W3844">
        <v>0.14070429999999901</v>
      </c>
      <c r="X3844">
        <v>0.97967159999999998</v>
      </c>
      <c r="Y3844">
        <v>-0.31444329999999998</v>
      </c>
      <c r="Z3844">
        <v>7.6708869999999998E-2</v>
      </c>
      <c r="AA3844">
        <v>0.94617180000000001</v>
      </c>
      <c r="AB3844">
        <v>30</v>
      </c>
      <c r="AC3844">
        <v>-1.70969999999999</v>
      </c>
      <c r="AD3844">
        <v>-1.1198713493299901</v>
      </c>
      <c r="AE3844">
        <v>-11.0532</v>
      </c>
      <c r="AF3844">
        <v>-3.63661345333042</v>
      </c>
      <c r="AG3844">
        <v>-1.1198713493299901</v>
      </c>
      <c r="AH3844">
        <v>10.459461906302</v>
      </c>
      <c r="AI3844">
        <v>95.774663831370702</v>
      </c>
      <c r="AJ3844">
        <v>109.171871920516</v>
      </c>
      <c r="AK3844">
        <v>11.1301128753206</v>
      </c>
      <c r="AL3844">
        <v>81.911396784149105</v>
      </c>
      <c r="AM3844">
        <v>98.304024019678096</v>
      </c>
      <c r="AN3844">
        <v>0.99999998470412899</v>
      </c>
    </row>
    <row r="3845" spans="1:40" x14ac:dyDescent="0.25">
      <c r="A3845" t="str">
        <f>"20190312164345438"</f>
        <v>20190312164345438</v>
      </c>
      <c r="B3845" t="str">
        <f>"1552380225428529"</f>
        <v>1552380225428529</v>
      </c>
      <c r="C3845" t="s">
        <v>40</v>
      </c>
      <c r="D3845">
        <v>4.4536119999999997</v>
      </c>
      <c r="E3845">
        <v>0.42918650000000003</v>
      </c>
      <c r="F3845" t="s">
        <v>42</v>
      </c>
      <c r="G3845">
        <v>-420.75529999999998</v>
      </c>
      <c r="H3845" s="1">
        <v>-2.0345140000000001E-6</v>
      </c>
      <c r="I3845">
        <v>113.8631</v>
      </c>
      <c r="J3845">
        <v>-419.09300000000002</v>
      </c>
      <c r="K3845">
        <v>1.1198239999999999</v>
      </c>
      <c r="L3845">
        <v>125.4119</v>
      </c>
      <c r="M3845">
        <v>-0.45714860000000002</v>
      </c>
      <c r="N3845">
        <v>0</v>
      </c>
      <c r="O3845">
        <v>-0.88926669999999997</v>
      </c>
      <c r="P3845">
        <v>-0.32640150000000001</v>
      </c>
      <c r="Q3845">
        <v>0.12935579999999999</v>
      </c>
      <c r="R3845">
        <v>-0.93633809999999995</v>
      </c>
      <c r="S3845">
        <v>-0.47045900000000002</v>
      </c>
      <c r="T3845">
        <v>-0.29187299999999999</v>
      </c>
      <c r="U3845">
        <v>-3.0874790000000001</v>
      </c>
      <c r="V3845">
        <v>-0.1411559</v>
      </c>
      <c r="W3845">
        <v>0.14061879999999999</v>
      </c>
      <c r="X3845">
        <v>0.97994970000000003</v>
      </c>
      <c r="Y3845">
        <v>-0.31844149999999999</v>
      </c>
      <c r="Z3845">
        <v>7.5826340000000006E-2</v>
      </c>
      <c r="AA3845">
        <v>0.94490499999999999</v>
      </c>
      <c r="AB3845">
        <v>30</v>
      </c>
      <c r="AC3845">
        <v>-1.6622999999999499</v>
      </c>
      <c r="AD3845">
        <v>-1.1198260345140001</v>
      </c>
      <c r="AE3845">
        <v>-11.5488</v>
      </c>
      <c r="AF3845">
        <v>-3.7670086184336</v>
      </c>
      <c r="AG3845">
        <v>-1.1198260345140001</v>
      </c>
      <c r="AH3845">
        <v>10.930410815898499</v>
      </c>
      <c r="AI3845">
        <v>95.532391696089306</v>
      </c>
      <c r="AJ3845">
        <v>109.01577409139399</v>
      </c>
      <c r="AK3845">
        <v>11.6154313257511</v>
      </c>
      <c r="AL3845">
        <v>81.916345093591801</v>
      </c>
      <c r="AM3845">
        <v>98.196734575471197</v>
      </c>
      <c r="AN3845">
        <v>1.0000000247741601</v>
      </c>
    </row>
    <row r="3846" spans="1:40" x14ac:dyDescent="0.25">
      <c r="A3846" t="str">
        <f>"20190312164345459"</f>
        <v>20190312164345459</v>
      </c>
      <c r="B3846" t="str">
        <f>"1552380225449025"</f>
        <v>1552380225449025</v>
      </c>
      <c r="C3846" t="s">
        <v>40</v>
      </c>
      <c r="D3846">
        <v>4.394711</v>
      </c>
      <c r="E3846">
        <v>0.42988460000000001</v>
      </c>
      <c r="F3846" t="s">
        <v>42</v>
      </c>
      <c r="G3846">
        <v>-420.7731</v>
      </c>
      <c r="H3846" s="1">
        <v>-1.9071680000000001E-6</v>
      </c>
      <c r="I3846">
        <v>113.5552</v>
      </c>
      <c r="J3846">
        <v>-419.2088</v>
      </c>
      <c r="K3846">
        <v>1.1197859999999999</v>
      </c>
      <c r="L3846">
        <v>125.1627</v>
      </c>
      <c r="M3846">
        <v>-0.4473298</v>
      </c>
      <c r="N3846">
        <v>0</v>
      </c>
      <c r="O3846">
        <v>-0.8942466</v>
      </c>
      <c r="P3846">
        <v>-0.31834780000000001</v>
      </c>
      <c r="Q3846">
        <v>0.12879360000000001</v>
      </c>
      <c r="R3846">
        <v>-0.93918420000000002</v>
      </c>
      <c r="S3846">
        <v>-0.43807980000000002</v>
      </c>
      <c r="T3846">
        <v>-0.29199309999999901</v>
      </c>
      <c r="U3846">
        <v>-3.091599</v>
      </c>
      <c r="V3846">
        <v>-0.13878869999999999</v>
      </c>
      <c r="W3846">
        <v>0.1401066</v>
      </c>
      <c r="X3846">
        <v>0.98036109999999999</v>
      </c>
      <c r="Y3846">
        <v>-0.31788359999999999</v>
      </c>
      <c r="Z3846">
        <v>7.6497129999999997E-2</v>
      </c>
      <c r="AA3846">
        <v>0.94503870000000001</v>
      </c>
      <c r="AB3846">
        <v>30</v>
      </c>
      <c r="AC3846">
        <v>-1.5643</v>
      </c>
      <c r="AD3846">
        <v>-1.1197879071679999</v>
      </c>
      <c r="AE3846">
        <v>-11.6075</v>
      </c>
      <c r="AF3846">
        <v>-3.7595614324031001</v>
      </c>
      <c r="AG3846">
        <v>-1.1197879071679999</v>
      </c>
      <c r="AH3846">
        <v>10.9805696306275</v>
      </c>
      <c r="AI3846">
        <v>95.510878557618099</v>
      </c>
      <c r="AJ3846">
        <v>108.90033698019801</v>
      </c>
      <c r="AK3846">
        <v>11.660237413282401</v>
      </c>
      <c r="AL3846">
        <v>81.945985424024997</v>
      </c>
      <c r="AM3846">
        <v>98.057757976049999</v>
      </c>
      <c r="AN3846">
        <v>1.00000002450222</v>
      </c>
    </row>
    <row r="3847" spans="1:40" x14ac:dyDescent="0.25">
      <c r="A3847" t="str">
        <f>"20190312164345480"</f>
        <v>20190312164345480</v>
      </c>
      <c r="B3847" t="str">
        <f>"1552380225468783"</f>
        <v>1552380225468783</v>
      </c>
      <c r="C3847" t="s">
        <v>40</v>
      </c>
      <c r="D3847">
        <v>4.4914800000000001</v>
      </c>
      <c r="E3847">
        <v>0.4305599</v>
      </c>
      <c r="F3847" t="s">
        <v>42</v>
      </c>
      <c r="G3847">
        <v>-420.79689999999999</v>
      </c>
      <c r="H3847" s="1">
        <v>-1.8465799999999999E-6</v>
      </c>
      <c r="I3847">
        <v>113.3993</v>
      </c>
      <c r="J3847">
        <v>-419.32060000000001</v>
      </c>
      <c r="K3847">
        <v>1.1197520000000001</v>
      </c>
      <c r="L3847">
        <v>124.9149</v>
      </c>
      <c r="M3847">
        <v>-0.43756430000000002</v>
      </c>
      <c r="N3847">
        <v>0</v>
      </c>
      <c r="O3847">
        <v>-0.89906569999999997</v>
      </c>
      <c r="P3847">
        <v>-0.3098167</v>
      </c>
      <c r="Q3847">
        <v>0.1283077</v>
      </c>
      <c r="R3847">
        <v>-0.94209920000000003</v>
      </c>
      <c r="S3847">
        <v>-0.417572</v>
      </c>
      <c r="T3847">
        <v>-0.29443989999999998</v>
      </c>
      <c r="U3847">
        <v>-3.0931090000000001</v>
      </c>
      <c r="V3847">
        <v>-0.13700699999999999</v>
      </c>
      <c r="W3847">
        <v>0.13964760000000001</v>
      </c>
      <c r="X3847">
        <v>0.98067709999999997</v>
      </c>
      <c r="Y3847">
        <v>-0.31378030000000001</v>
      </c>
      <c r="Z3847">
        <v>7.7857570000000001E-2</v>
      </c>
      <c r="AA3847">
        <v>0.94629810000000003</v>
      </c>
      <c r="AB3847">
        <v>30</v>
      </c>
      <c r="AC3847">
        <v>-1.47629999999998</v>
      </c>
      <c r="AD3847">
        <v>-1.1197538465799901</v>
      </c>
      <c r="AE3847">
        <v>-11.515599999999999</v>
      </c>
      <c r="AF3847">
        <v>-3.6777186391122898</v>
      </c>
      <c r="AG3847">
        <v>-1.1197538465799901</v>
      </c>
      <c r="AH3847">
        <v>10.8990713128923</v>
      </c>
      <c r="AI3847">
        <v>95.559987640089702</v>
      </c>
      <c r="AJ3847">
        <v>108.646150510233</v>
      </c>
      <c r="AK3847">
        <v>11.557214999683801</v>
      </c>
      <c r="AL3847">
        <v>81.972544878515095</v>
      </c>
      <c r="AM3847">
        <v>97.953118672702402</v>
      </c>
      <c r="AN3847">
        <v>0.99999997234958404</v>
      </c>
    </row>
    <row r="3848" spans="1:40" x14ac:dyDescent="0.25">
      <c r="A3848" t="str">
        <f>"20190312164345503"</f>
        <v>20190312164345503</v>
      </c>
      <c r="B3848" t="str">
        <f>"1552380225499040"</f>
        <v>1552380225499040</v>
      </c>
      <c r="C3848" t="s">
        <v>40</v>
      </c>
      <c r="D3848">
        <v>4.5682830000000001</v>
      </c>
      <c r="E3848">
        <v>0.4311431</v>
      </c>
      <c r="F3848" t="s">
        <v>42</v>
      </c>
      <c r="G3848">
        <v>-420.80579999999998</v>
      </c>
      <c r="H3848" s="1">
        <v>-1.7851690000000001E-6</v>
      </c>
      <c r="I3848">
        <v>113.25060000000001</v>
      </c>
      <c r="J3848">
        <v>-419.4409</v>
      </c>
      <c r="K3848">
        <v>1.119715</v>
      </c>
      <c r="L3848">
        <v>124.63979999999999</v>
      </c>
      <c r="M3848">
        <v>-0.42671680000000001</v>
      </c>
      <c r="N3848">
        <v>0</v>
      </c>
      <c r="O3848">
        <v>-0.90426519999999999</v>
      </c>
      <c r="P3848">
        <v>-0.29990230000000001</v>
      </c>
      <c r="Q3848">
        <v>0.1285181</v>
      </c>
      <c r="R3848">
        <v>-0.94527360000000005</v>
      </c>
      <c r="S3848">
        <v>-0.39410400000000001</v>
      </c>
      <c r="T3848">
        <v>-0.2971375</v>
      </c>
      <c r="U3848">
        <v>-3.0952449999999998</v>
      </c>
      <c r="V3848">
        <v>-0.13549220000000001</v>
      </c>
      <c r="W3848">
        <v>0.1398672</v>
      </c>
      <c r="X3848">
        <v>0.98085630000000001</v>
      </c>
      <c r="Y3848">
        <v>-0.30950850000000002</v>
      </c>
      <c r="Z3848">
        <v>7.9338759999999994E-2</v>
      </c>
      <c r="AA3848">
        <v>0.94758109999999995</v>
      </c>
      <c r="AB3848">
        <v>30</v>
      </c>
      <c r="AC3848">
        <v>-1.36489999999997</v>
      </c>
      <c r="AD3848">
        <v>-1.119716785169</v>
      </c>
      <c r="AE3848">
        <v>-11.389199999999899</v>
      </c>
      <c r="AF3848">
        <v>-3.5918988755733201</v>
      </c>
      <c r="AG3848">
        <v>-1.119716785169</v>
      </c>
      <c r="AH3848">
        <v>10.7797472285297</v>
      </c>
      <c r="AI3848">
        <v>95.628074675144205</v>
      </c>
      <c r="AJ3848">
        <v>108.42848973524499</v>
      </c>
      <c r="AK3848">
        <v>11.417462656927301</v>
      </c>
      <c r="AL3848">
        <v>81.959838447711803</v>
      </c>
      <c r="AM3848">
        <v>97.864873738941597</v>
      </c>
      <c r="AN3848">
        <v>1.00000002557318</v>
      </c>
    </row>
    <row r="3849" spans="1:40" x14ac:dyDescent="0.25">
      <c r="A3849" t="str">
        <f>"20190312164345525"</f>
        <v>20190312164345525</v>
      </c>
      <c r="B3849" t="str">
        <f>"1552380225518559"</f>
        <v>1552380225518559</v>
      </c>
      <c r="C3849" t="s">
        <v>40</v>
      </c>
      <c r="D3849">
        <v>4.7928620000000004</v>
      </c>
      <c r="E3849">
        <v>0.44515919999999998</v>
      </c>
      <c r="F3849" t="s">
        <v>42</v>
      </c>
      <c r="G3849">
        <v>-420.8159</v>
      </c>
      <c r="H3849" s="1">
        <v>-1.6829790000000001E-6</v>
      </c>
      <c r="I3849">
        <v>113.0061</v>
      </c>
      <c r="J3849">
        <v>-419.55680000000001</v>
      </c>
      <c r="K3849">
        <v>1.1196870000000001</v>
      </c>
      <c r="L3849">
        <v>124.3659</v>
      </c>
      <c r="M3849">
        <v>-0.41591669999999997</v>
      </c>
      <c r="N3849">
        <v>0</v>
      </c>
      <c r="O3849">
        <v>-0.90928390000000003</v>
      </c>
      <c r="P3849">
        <v>-0.2902864</v>
      </c>
      <c r="Q3849">
        <v>0.12895709999999999</v>
      </c>
      <c r="R3849">
        <v>-0.94821109999999997</v>
      </c>
      <c r="S3849">
        <v>-0.36614989999999997</v>
      </c>
      <c r="T3849">
        <v>-0.29818270000000002</v>
      </c>
      <c r="U3849">
        <v>-3.098068</v>
      </c>
      <c r="V3849">
        <v>-0.133744</v>
      </c>
      <c r="W3849">
        <v>0.14031379999999999</v>
      </c>
      <c r="X3849">
        <v>0.98103240000000003</v>
      </c>
      <c r="Y3849">
        <v>-0.30672120000000003</v>
      </c>
      <c r="Z3849">
        <v>8.0329529999999996E-2</v>
      </c>
      <c r="AA3849">
        <v>0.94840349999999995</v>
      </c>
      <c r="AB3849">
        <v>30</v>
      </c>
      <c r="AC3849">
        <v>-1.2590999999999799</v>
      </c>
      <c r="AD3849">
        <v>-1.119688682979</v>
      </c>
      <c r="AE3849">
        <v>-11.3597999999999</v>
      </c>
      <c r="AF3849">
        <v>-3.5462039302041499</v>
      </c>
      <c r="AG3849">
        <v>-1.119688682979</v>
      </c>
      <c r="AH3849">
        <v>10.750956292506</v>
      </c>
      <c r="AI3849">
        <v>95.648534941244094</v>
      </c>
      <c r="AJ3849">
        <v>108.255144035406</v>
      </c>
      <c r="AK3849">
        <v>11.375953861754301</v>
      </c>
      <c r="AL3849">
        <v>81.933995057303207</v>
      </c>
      <c r="AM3849">
        <v>97.7632655368336</v>
      </c>
      <c r="AN3849">
        <v>0.99999999492809999</v>
      </c>
    </row>
    <row r="3850" spans="1:40" x14ac:dyDescent="0.25">
      <c r="A3850" t="str">
        <f>"20190312164345546"</f>
        <v>20190312164345546</v>
      </c>
      <c r="B3850" t="str">
        <f>"1552380225539056"</f>
        <v>1552380225539056</v>
      </c>
      <c r="C3850" t="s">
        <v>40</v>
      </c>
      <c r="D3850">
        <v>4.6748890000000003</v>
      </c>
      <c r="E3850">
        <v>0.45122449999999997</v>
      </c>
      <c r="F3850" t="s">
        <v>42</v>
      </c>
      <c r="G3850">
        <v>-420.93779999999998</v>
      </c>
      <c r="H3850" s="1">
        <v>-2.4514419999999998E-6</v>
      </c>
      <c r="I3850">
        <v>114.7218</v>
      </c>
      <c r="J3850">
        <v>-419.66469999999998</v>
      </c>
      <c r="K3850">
        <v>1.1196619999999999</v>
      </c>
      <c r="L3850">
        <v>124.1019</v>
      </c>
      <c r="M3850">
        <v>-0.40550180000000002</v>
      </c>
      <c r="N3850">
        <v>0</v>
      </c>
      <c r="O3850">
        <v>-0.91397669999999998</v>
      </c>
      <c r="P3850">
        <v>-0.28081780000000001</v>
      </c>
      <c r="Q3850">
        <v>0.12886689999999901</v>
      </c>
      <c r="R3850">
        <v>-0.95107039999999998</v>
      </c>
      <c r="S3850">
        <v>-0.44070429999999999</v>
      </c>
      <c r="T3850">
        <v>-0.35730450000000002</v>
      </c>
      <c r="U3850">
        <v>-3.0775299999999999</v>
      </c>
      <c r="V3850">
        <v>-0.13230890000000001</v>
      </c>
      <c r="W3850">
        <v>0.1402246</v>
      </c>
      <c r="X3850">
        <v>0.98123970000000005</v>
      </c>
      <c r="Y3850">
        <v>-0.27256849999999999</v>
      </c>
      <c r="Z3850">
        <v>9.7972539999999997E-2</v>
      </c>
      <c r="AA3850">
        <v>0.95713519999999996</v>
      </c>
      <c r="AB3850">
        <v>30</v>
      </c>
      <c r="AC3850">
        <v>-1.2730999999999899</v>
      </c>
      <c r="AD3850">
        <v>-1.119664451442</v>
      </c>
      <c r="AE3850">
        <v>-9.3801000000000005</v>
      </c>
      <c r="AF3850">
        <v>-2.6039172631915899</v>
      </c>
      <c r="AG3850">
        <v>-1.119664451442</v>
      </c>
      <c r="AH3850">
        <v>8.9649891487797895</v>
      </c>
      <c r="AI3850">
        <v>96.839175770941296</v>
      </c>
      <c r="AJ3850">
        <v>106.196152256521</v>
      </c>
      <c r="AK3850">
        <v>9.4023967175986307</v>
      </c>
      <c r="AL3850">
        <v>81.939156640224695</v>
      </c>
      <c r="AM3850">
        <v>97.679360543637301</v>
      </c>
      <c r="AN3850">
        <v>0.99999996616022901</v>
      </c>
    </row>
    <row r="3851" spans="1:40" x14ac:dyDescent="0.25">
      <c r="A3851" t="str">
        <f>"20190312164345569"</f>
        <v>20190312164345569</v>
      </c>
      <c r="B3851" t="str">
        <f>"1552380225558576"</f>
        <v>1552380225558576</v>
      </c>
      <c r="C3851" t="s">
        <v>40</v>
      </c>
      <c r="D3851">
        <v>4.7707189999999997</v>
      </c>
      <c r="E3851">
        <v>0.44809100000000002</v>
      </c>
      <c r="F3851" t="s">
        <v>42</v>
      </c>
      <c r="G3851">
        <v>-421.30220000000003</v>
      </c>
      <c r="H3851" s="1">
        <v>-1.860713E-6</v>
      </c>
      <c r="I3851">
        <v>113.11879999999999</v>
      </c>
      <c r="J3851">
        <v>-419.77370000000002</v>
      </c>
      <c r="K3851">
        <v>1.1196330000000001</v>
      </c>
      <c r="L3851">
        <v>123.8267</v>
      </c>
      <c r="M3851">
        <v>-0.39464169999999998</v>
      </c>
      <c r="N3851">
        <v>0</v>
      </c>
      <c r="O3851">
        <v>-0.91871910000000001</v>
      </c>
      <c r="P3851">
        <v>-0.2707697</v>
      </c>
      <c r="Q3851">
        <v>0.12862169999999901</v>
      </c>
      <c r="R3851">
        <v>-0.95401270000000005</v>
      </c>
      <c r="S3851">
        <v>-0.4564819</v>
      </c>
      <c r="T3851">
        <v>-0.31213770000000002</v>
      </c>
      <c r="U3851">
        <v>-3.0618439999999998</v>
      </c>
      <c r="V3851">
        <v>-0.131025</v>
      </c>
      <c r="W3851">
        <v>0.13997100000000001</v>
      </c>
      <c r="X3851">
        <v>0.98144819999999999</v>
      </c>
      <c r="Y3851">
        <v>-0.25545699999999999</v>
      </c>
      <c r="Z3851">
        <v>8.7059289999999998E-2</v>
      </c>
      <c r="AA3851">
        <v>0.96289270000000005</v>
      </c>
      <c r="AB3851">
        <v>30</v>
      </c>
      <c r="AC3851">
        <v>-1.5285</v>
      </c>
      <c r="AD3851">
        <v>-1.119634860713</v>
      </c>
      <c r="AE3851">
        <v>-10.7079</v>
      </c>
      <c r="AF3851">
        <v>-2.7919077362628602</v>
      </c>
      <c r="AG3851">
        <v>-1.119634860713</v>
      </c>
      <c r="AH3851">
        <v>10.331178489222401</v>
      </c>
      <c r="AI3851">
        <v>95.972637164546001</v>
      </c>
      <c r="AJ3851">
        <v>105.122443002742</v>
      </c>
      <c r="AK3851">
        <v>10.760184942894799</v>
      </c>
      <c r="AL3851">
        <v>81.953831856659505</v>
      </c>
      <c r="AM3851">
        <v>97.604121176204103</v>
      </c>
      <c r="AN3851">
        <v>1.0000000003746199</v>
      </c>
    </row>
    <row r="3852" spans="1:40" x14ac:dyDescent="0.25">
      <c r="A3852" t="str">
        <f>"20190312164345591"</f>
        <v>20190312164345591</v>
      </c>
      <c r="B3852" t="str">
        <f>"1552380225588832"</f>
        <v>1552380225588832</v>
      </c>
      <c r="C3852" t="s">
        <v>40</v>
      </c>
      <c r="D3852">
        <v>4.803191</v>
      </c>
      <c r="E3852">
        <v>0.45192100000000002</v>
      </c>
      <c r="F3852" t="s">
        <v>42</v>
      </c>
      <c r="G3852">
        <v>-420.95850000000002</v>
      </c>
      <c r="H3852" s="1">
        <v>-2.42205E-6</v>
      </c>
      <c r="I3852">
        <v>114.6405</v>
      </c>
      <c r="J3852">
        <v>-419.87799999999999</v>
      </c>
      <c r="K3852">
        <v>1.119599</v>
      </c>
      <c r="L3852">
        <v>123.5539</v>
      </c>
      <c r="M3852">
        <v>-0.38388329999999998</v>
      </c>
      <c r="N3852">
        <v>0</v>
      </c>
      <c r="O3852">
        <v>-0.92326710000000001</v>
      </c>
      <c r="P3852">
        <v>-0.26131189999999999</v>
      </c>
      <c r="Q3852">
        <v>0.12890699999999999</v>
      </c>
      <c r="R3852">
        <v>-0.95660829999999997</v>
      </c>
      <c r="S3852">
        <v>-0.39755249999999998</v>
      </c>
      <c r="T3852">
        <v>-0.37569580000000002</v>
      </c>
      <c r="U3852">
        <v>-3.0824579999999999</v>
      </c>
      <c r="V3852">
        <v>-0.1292538</v>
      </c>
      <c r="W3852">
        <v>0.1402562</v>
      </c>
      <c r="X3852">
        <v>0.98164229999999997</v>
      </c>
      <c r="Y3852">
        <v>-0.26336900000000002</v>
      </c>
      <c r="Z3852">
        <v>0.10467410000000001</v>
      </c>
      <c r="AA3852">
        <v>0.9589995</v>
      </c>
      <c r="AB3852">
        <v>30</v>
      </c>
      <c r="AC3852">
        <v>-1.08049999999997</v>
      </c>
      <c r="AD3852">
        <v>-1.1196014220499999</v>
      </c>
      <c r="AE3852">
        <v>-8.9133999999999904</v>
      </c>
      <c r="AF3852">
        <v>-2.3872520928007201</v>
      </c>
      <c r="AG3852">
        <v>-1.1196014220499999</v>
      </c>
      <c r="AH3852">
        <v>8.5127830989509796</v>
      </c>
      <c r="AI3852">
        <v>97.2172268184042</v>
      </c>
      <c r="AJ3852">
        <v>105.665166887208</v>
      </c>
      <c r="AK3852">
        <v>8.9117874743860099</v>
      </c>
      <c r="AL3852">
        <v>81.9373281004289</v>
      </c>
      <c r="AM3852">
        <v>97.501040710645896</v>
      </c>
      <c r="AN3852">
        <v>0.99999997580108402</v>
      </c>
    </row>
    <row r="3853" spans="1:40" x14ac:dyDescent="0.25">
      <c r="A3853" t="str">
        <f>"20190312164345615"</f>
        <v>20190312164345615</v>
      </c>
      <c r="B3853" t="str">
        <f>"1552380225608352"</f>
        <v>1552380225608352</v>
      </c>
      <c r="C3853" t="s">
        <v>40</v>
      </c>
      <c r="D3853">
        <v>4.5490810000000002</v>
      </c>
      <c r="E3853">
        <v>0.45245560000000001</v>
      </c>
      <c r="F3853" t="s">
        <v>42</v>
      </c>
      <c r="G3853">
        <v>-421.14530000000002</v>
      </c>
      <c r="H3853" s="1">
        <v>-2.0841559999999999E-6</v>
      </c>
      <c r="I3853">
        <v>113.73699999999999</v>
      </c>
      <c r="J3853">
        <v>-419.98340000000002</v>
      </c>
      <c r="K3853">
        <v>1.1195550000000001</v>
      </c>
      <c r="L3853">
        <v>123.2687</v>
      </c>
      <c r="M3853">
        <v>-0.37265480000000001</v>
      </c>
      <c r="N3853">
        <v>0</v>
      </c>
      <c r="O3853">
        <v>-0.92785700000000004</v>
      </c>
      <c r="P3853">
        <v>-0.2514171</v>
      </c>
      <c r="Q3853">
        <v>0.12920709999999999</v>
      </c>
      <c r="R3853">
        <v>-0.95921590000000001</v>
      </c>
      <c r="S3853">
        <v>-0.39694210000000002</v>
      </c>
      <c r="T3853">
        <v>-0.3506862</v>
      </c>
      <c r="U3853">
        <v>-3.0749050000000002</v>
      </c>
      <c r="V3853">
        <v>-0.12745819999999999</v>
      </c>
      <c r="W3853">
        <v>0.14055509999999999</v>
      </c>
      <c r="X3853">
        <v>0.9818344</v>
      </c>
      <c r="Y3853">
        <v>-0.25145980000000001</v>
      </c>
      <c r="Z3853">
        <v>9.8973859999999997E-2</v>
      </c>
      <c r="AA3853">
        <v>0.96279389999999998</v>
      </c>
      <c r="AB3853">
        <v>30</v>
      </c>
      <c r="AC3853">
        <v>-1.1618999999999999</v>
      </c>
      <c r="AD3853">
        <v>-1.1195570841560001</v>
      </c>
      <c r="AE3853">
        <v>-9.5316999999999794</v>
      </c>
      <c r="AF3853">
        <v>-2.4410329515865201</v>
      </c>
      <c r="AG3853">
        <v>-1.1195570841560001</v>
      </c>
      <c r="AH3853">
        <v>9.1535820215225296</v>
      </c>
      <c r="AI3853">
        <v>96.739845703753105</v>
      </c>
      <c r="AJ3853">
        <v>104.93187151012199</v>
      </c>
      <c r="AK3853">
        <v>9.5393979768199006</v>
      </c>
      <c r="AL3853">
        <v>81.920031724284001</v>
      </c>
      <c r="AM3853">
        <v>97.396566792334795</v>
      </c>
      <c r="AN3853">
        <v>1.0000000589533</v>
      </c>
    </row>
    <row r="3854" spans="1:40" x14ac:dyDescent="0.25">
      <c r="A3854" t="str">
        <f>"20190312164345638"</f>
        <v>20190312164345638</v>
      </c>
      <c r="B3854" t="str">
        <f>"1552380225628848"</f>
        <v>1552380225628848</v>
      </c>
      <c r="C3854" t="s">
        <v>40</v>
      </c>
      <c r="D3854">
        <v>4.5456519999999996</v>
      </c>
      <c r="E3854">
        <v>0.45329839999999999</v>
      </c>
      <c r="F3854" t="s">
        <v>42</v>
      </c>
      <c r="G3854">
        <v>-421.16699999999997</v>
      </c>
      <c r="H3854" s="1">
        <v>-1.9325659999999998E-6</v>
      </c>
      <c r="I3854">
        <v>113.3702</v>
      </c>
      <c r="J3854">
        <v>-420.08390000000003</v>
      </c>
      <c r="K3854">
        <v>1.1195079999999999</v>
      </c>
      <c r="L3854">
        <v>122.9863</v>
      </c>
      <c r="M3854">
        <v>-0.36157610000000001</v>
      </c>
      <c r="N3854">
        <v>0</v>
      </c>
      <c r="O3854">
        <v>-0.93223100000000003</v>
      </c>
      <c r="P3854">
        <v>-0.2417436</v>
      </c>
      <c r="Q3854">
        <v>0.12961600000000001</v>
      </c>
      <c r="R3854">
        <v>-0.96164439999999995</v>
      </c>
      <c r="S3854">
        <v>-0.36804199999999998</v>
      </c>
      <c r="T3854">
        <v>-0.3481321</v>
      </c>
      <c r="U3854">
        <v>-3.0779879999999999</v>
      </c>
      <c r="V3854">
        <v>-0.1256205</v>
      </c>
      <c r="W3854">
        <v>0.1409639</v>
      </c>
      <c r="X3854">
        <v>0.98201260000000001</v>
      </c>
      <c r="Y3854">
        <v>-0.24895200000000001</v>
      </c>
      <c r="Z3854">
        <v>9.8974759999999995E-2</v>
      </c>
      <c r="AA3854">
        <v>0.96344540000000001</v>
      </c>
      <c r="AB3854">
        <v>30</v>
      </c>
      <c r="AC3854">
        <v>-1.08309999999994</v>
      </c>
      <c r="AD3854">
        <v>-1.1195099325659901</v>
      </c>
      <c r="AE3854">
        <v>-9.6160999999999994</v>
      </c>
      <c r="AF3854">
        <v>-2.4349205256359099</v>
      </c>
      <c r="AG3854">
        <v>-1.1195099325659901</v>
      </c>
      <c r="AH3854">
        <v>9.2334436105615705</v>
      </c>
      <c r="AI3854">
        <v>96.686673924173306</v>
      </c>
      <c r="AJ3854">
        <v>104.772964116344</v>
      </c>
      <c r="AK3854">
        <v>9.6145005780174202</v>
      </c>
      <c r="AL3854">
        <v>81.896373502868599</v>
      </c>
      <c r="AM3854">
        <v>97.289769624556399</v>
      </c>
      <c r="AN3854">
        <v>1.0000000388410999</v>
      </c>
    </row>
    <row r="3855" spans="1:40" x14ac:dyDescent="0.25">
      <c r="A3855" t="str">
        <f>"20190312164345682"</f>
        <v>20190312164345682</v>
      </c>
      <c r="B3855" t="str">
        <f>"1552380225678623"</f>
        <v>1552380225678623</v>
      </c>
      <c r="C3855" t="s">
        <v>40</v>
      </c>
      <c r="D3855">
        <v>4.7738459999999998</v>
      </c>
      <c r="E3855">
        <v>0.45536799999999999</v>
      </c>
      <c r="F3855" t="s">
        <v>42</v>
      </c>
      <c r="G3855">
        <v>-421.18970000000002</v>
      </c>
      <c r="H3855" s="1">
        <v>-1.801539E-6</v>
      </c>
      <c r="I3855">
        <v>113.05070000000001</v>
      </c>
      <c r="J3855">
        <v>-420.26710000000003</v>
      </c>
      <c r="K3855">
        <v>1.1193839999999999</v>
      </c>
      <c r="L3855">
        <v>122.44240000000001</v>
      </c>
      <c r="M3855">
        <v>-0.34040799999999999</v>
      </c>
      <c r="N3855">
        <v>0</v>
      </c>
      <c r="O3855">
        <v>-0.94016889999999997</v>
      </c>
      <c r="P3855">
        <v>-0.22489629999999999</v>
      </c>
      <c r="Q3855">
        <v>0.1311631</v>
      </c>
      <c r="R3855">
        <v>-0.96551439999999999</v>
      </c>
      <c r="S3855">
        <v>-0.342804</v>
      </c>
      <c r="T3855">
        <v>-0.34706890000000001</v>
      </c>
      <c r="U3855">
        <v>-3.0802309999999999</v>
      </c>
      <c r="V3855">
        <v>-0.12049260000000001</v>
      </c>
      <c r="W3855">
        <v>0.14255699999999999</v>
      </c>
      <c r="X3855">
        <v>0.98242510000000005</v>
      </c>
      <c r="Y3855">
        <v>-0.23491300000000001</v>
      </c>
      <c r="Z3855">
        <v>0.1001534</v>
      </c>
      <c r="AA3855">
        <v>0.96684289999999995</v>
      </c>
      <c r="AB3855">
        <v>30</v>
      </c>
      <c r="AC3855">
        <v>-0.92259999999998799</v>
      </c>
      <c r="AD3855">
        <v>-1.1193858015389999</v>
      </c>
      <c r="AE3855">
        <v>-9.3917000000000002</v>
      </c>
      <c r="AF3855">
        <v>-2.2975220238645799</v>
      </c>
      <c r="AG3855">
        <v>-1.1193858015389999</v>
      </c>
      <c r="AH3855">
        <v>9.0178976973574407</v>
      </c>
      <c r="AI3855">
        <v>96.858974410528702</v>
      </c>
      <c r="AJ3855">
        <v>104.29336999835</v>
      </c>
      <c r="AK3855">
        <v>9.3730523791790699</v>
      </c>
      <c r="AL3855">
        <v>81.804164221774897</v>
      </c>
      <c r="AM3855">
        <v>96.992298976624397</v>
      </c>
      <c r="AN3855">
        <v>1.00000002100688</v>
      </c>
    </row>
    <row r="3856" spans="1:40" x14ac:dyDescent="0.25">
      <c r="A3856" t="str">
        <f>"20190312164345704"</f>
        <v>20190312164345704</v>
      </c>
      <c r="B3856" t="str">
        <f>"1552380225698143"</f>
        <v>1552380225698143</v>
      </c>
      <c r="C3856" t="s">
        <v>40</v>
      </c>
      <c r="D3856">
        <v>4.8444589999999996</v>
      </c>
      <c r="E3856">
        <v>0.4560052</v>
      </c>
      <c r="F3856" t="s">
        <v>42</v>
      </c>
      <c r="G3856">
        <v>-421.26310000000001</v>
      </c>
      <c r="H3856" s="1">
        <v>-1.510786E-6</v>
      </c>
      <c r="I3856">
        <v>112.3274</v>
      </c>
      <c r="J3856">
        <v>-420.35489999999999</v>
      </c>
      <c r="K3856">
        <v>1.1193139999999999</v>
      </c>
      <c r="L3856">
        <v>122.166</v>
      </c>
      <c r="M3856">
        <v>-0.32975529999999997</v>
      </c>
      <c r="N3856">
        <v>0</v>
      </c>
      <c r="O3856">
        <v>-0.94395890000000005</v>
      </c>
      <c r="P3856">
        <v>-0.21648600000000001</v>
      </c>
      <c r="Q3856">
        <v>0.13125200000000001</v>
      </c>
      <c r="R3856">
        <v>-0.96742300000000003</v>
      </c>
      <c r="S3856">
        <v>-0.3035583</v>
      </c>
      <c r="T3856">
        <v>-0.34115770000000001</v>
      </c>
      <c r="U3856">
        <v>-3.0827789999999999</v>
      </c>
      <c r="V3856">
        <v>-0.1179002</v>
      </c>
      <c r="W3856">
        <v>0.1426693</v>
      </c>
      <c r="X3856">
        <v>0.98272320000000002</v>
      </c>
      <c r="Y3856">
        <v>-0.23617009999999999</v>
      </c>
      <c r="Z3856">
        <v>9.9044649999999998E-2</v>
      </c>
      <c r="AA3856">
        <v>0.96665080000000003</v>
      </c>
      <c r="AB3856">
        <v>30</v>
      </c>
      <c r="AC3856">
        <v>-0.90820000000002199</v>
      </c>
      <c r="AD3856">
        <v>-1.119315510786</v>
      </c>
      <c r="AE3856">
        <v>-9.8385999999999996</v>
      </c>
      <c r="AF3856">
        <v>-2.35701999024575</v>
      </c>
      <c r="AG3856">
        <v>-1.119315510786</v>
      </c>
      <c r="AH3856">
        <v>9.4662043135263794</v>
      </c>
      <c r="AI3856">
        <v>96.545494067942201</v>
      </c>
      <c r="AJ3856">
        <v>103.98193555976199</v>
      </c>
      <c r="AK3856">
        <v>9.8192379822738598</v>
      </c>
      <c r="AL3856">
        <v>81.797662765133097</v>
      </c>
      <c r="AM3856">
        <v>96.841245481073102</v>
      </c>
      <c r="AN3856">
        <v>0.99999993707038304</v>
      </c>
    </row>
    <row r="3857" spans="1:40" x14ac:dyDescent="0.25">
      <c r="A3857" t="str">
        <f>"20190312164345726"</f>
        <v>20190312164345726</v>
      </c>
      <c r="B3857" t="str">
        <f>"1552380225718643"</f>
        <v>1552380225718643</v>
      </c>
      <c r="C3857" t="s">
        <v>40</v>
      </c>
      <c r="D3857">
        <v>4.8977459999999997</v>
      </c>
      <c r="E3857">
        <v>0.45548230000000001</v>
      </c>
      <c r="F3857" t="s">
        <v>42</v>
      </c>
      <c r="G3857">
        <v>-421.29430000000002</v>
      </c>
      <c r="H3857" s="1">
        <v>-1.320122E-6</v>
      </c>
      <c r="I3857">
        <v>111.86360000000001</v>
      </c>
      <c r="J3857">
        <v>-420.44189999999998</v>
      </c>
      <c r="K3857">
        <v>1.1192409999999999</v>
      </c>
      <c r="L3857">
        <v>121.8811</v>
      </c>
      <c r="M3857">
        <v>-0.31883790000000001</v>
      </c>
      <c r="N3857">
        <v>0</v>
      </c>
      <c r="O3857">
        <v>-0.94770279999999996</v>
      </c>
      <c r="P3857">
        <v>-0.2079356</v>
      </c>
      <c r="Q3857">
        <v>0.13104260000000001</v>
      </c>
      <c r="R3857">
        <v>-0.96932450000000003</v>
      </c>
      <c r="S3857">
        <v>-0.28118900000000002</v>
      </c>
      <c r="T3857">
        <v>-0.33501320000000001</v>
      </c>
      <c r="U3857">
        <v>-3.083542</v>
      </c>
      <c r="V3857">
        <v>-0.1152093</v>
      </c>
      <c r="W3857">
        <v>0.14248620000000001</v>
      </c>
      <c r="X3857">
        <v>0.98306890000000002</v>
      </c>
      <c r="Y3857">
        <v>-0.23191419999999999</v>
      </c>
      <c r="Z3857">
        <v>9.7940849999999996E-2</v>
      </c>
      <c r="AA3857">
        <v>0.96779300000000001</v>
      </c>
      <c r="AB3857">
        <v>30</v>
      </c>
      <c r="AC3857">
        <v>-0.85240000000004501</v>
      </c>
      <c r="AD3857">
        <v>-1.1192423201220001</v>
      </c>
      <c r="AE3857">
        <v>-10.017499999999901</v>
      </c>
      <c r="AF3857">
        <v>-2.3571639177171302</v>
      </c>
      <c r="AG3857">
        <v>-1.1192423201220001</v>
      </c>
      <c r="AH3857">
        <v>9.6468171959705806</v>
      </c>
      <c r="AI3857">
        <v>96.430449575634199</v>
      </c>
      <c r="AJ3857">
        <v>103.730961027109</v>
      </c>
      <c r="AK3857">
        <v>9.9934982422880001</v>
      </c>
      <c r="AL3857">
        <v>81.808262271006697</v>
      </c>
      <c r="AM3857">
        <v>96.6842040802008</v>
      </c>
      <c r="AN3857">
        <v>0.999999981072069</v>
      </c>
    </row>
    <row r="3858" spans="1:40" x14ac:dyDescent="0.25">
      <c r="A3858" t="str">
        <f>"20190312164345748"</f>
        <v>20190312164345748</v>
      </c>
      <c r="B3858" t="str">
        <f>"1552380225738160"</f>
        <v>1552380225738160</v>
      </c>
      <c r="C3858" t="s">
        <v>40</v>
      </c>
      <c r="D3858">
        <v>4.5885369999999996</v>
      </c>
      <c r="E3858">
        <v>0.4548953</v>
      </c>
      <c r="F3858" t="s">
        <v>42</v>
      </c>
      <c r="G3858">
        <v>-421.2833</v>
      </c>
      <c r="H3858" s="1">
        <v>-1.149676E-6</v>
      </c>
      <c r="I3858">
        <v>111.4731</v>
      </c>
      <c r="J3858">
        <v>-420.52179999999998</v>
      </c>
      <c r="K3858">
        <v>1.119164</v>
      </c>
      <c r="L3858">
        <v>121.60899999999999</v>
      </c>
      <c r="M3858">
        <v>-0.3085078</v>
      </c>
      <c r="N3858">
        <v>0</v>
      </c>
      <c r="O3858">
        <v>-0.95111690000000004</v>
      </c>
      <c r="P3858">
        <v>-0.20008680000000001</v>
      </c>
      <c r="Q3858">
        <v>0.13059889999999999</v>
      </c>
      <c r="R3858">
        <v>-0.97103519999999999</v>
      </c>
      <c r="S3858">
        <v>-0.2495117</v>
      </c>
      <c r="T3858">
        <v>-0.3318894</v>
      </c>
      <c r="U3858">
        <v>-3.0862880000000001</v>
      </c>
      <c r="V3858">
        <v>-0.1124424</v>
      </c>
      <c r="W3858">
        <v>0.1420708</v>
      </c>
      <c r="X3858">
        <v>0.98344929999999997</v>
      </c>
      <c r="Y3858">
        <v>-0.23126369999999999</v>
      </c>
      <c r="Z3858">
        <v>9.7539940000000006E-2</v>
      </c>
      <c r="AA3858">
        <v>0.96798919999999999</v>
      </c>
      <c r="AB3858">
        <v>30</v>
      </c>
      <c r="AC3858">
        <v>-0.76150000000001195</v>
      </c>
      <c r="AD3858">
        <v>-1.119165149676</v>
      </c>
      <c r="AE3858">
        <v>-10.1358999999999</v>
      </c>
      <c r="AF3858">
        <v>-2.3741856331237199</v>
      </c>
      <c r="AG3858">
        <v>-1.119165149676</v>
      </c>
      <c r="AH3858">
        <v>9.7580408520276798</v>
      </c>
      <c r="AI3858">
        <v>96.358833518476402</v>
      </c>
      <c r="AJ3858">
        <v>103.674678333155</v>
      </c>
      <c r="AK3858">
        <v>10.104882449718099</v>
      </c>
      <c r="AL3858">
        <v>81.832307431982798</v>
      </c>
      <c r="AM3858">
        <v>96.522573336073194</v>
      </c>
      <c r="AN3858">
        <v>0.99999996560044402</v>
      </c>
    </row>
    <row r="3859" spans="1:40" x14ac:dyDescent="0.25">
      <c r="A3859" t="str">
        <f>"20190312164345771"</f>
        <v>20190312164345771</v>
      </c>
      <c r="B3859" t="str">
        <f>"1552380225768416"</f>
        <v>1552380225768416</v>
      </c>
      <c r="C3859" t="s">
        <v>40</v>
      </c>
      <c r="D3859">
        <v>4.7063370000000004</v>
      </c>
      <c r="E3859">
        <v>0.45401469999999999</v>
      </c>
      <c r="F3859" t="s">
        <v>42</v>
      </c>
      <c r="G3859">
        <v>-421.26670000000001</v>
      </c>
      <c r="H3859" s="1">
        <v>-9.8246269999999992E-7</v>
      </c>
      <c r="I3859">
        <v>111.0936</v>
      </c>
      <c r="J3859">
        <v>-420.6019</v>
      </c>
      <c r="K3859">
        <v>1.119067</v>
      </c>
      <c r="L3859">
        <v>121.3254</v>
      </c>
      <c r="M3859">
        <v>-0.29786069999999998</v>
      </c>
      <c r="N3859">
        <v>0</v>
      </c>
      <c r="O3859">
        <v>-0.95450559999999995</v>
      </c>
      <c r="P3859">
        <v>-0.1927355</v>
      </c>
      <c r="Q3859">
        <v>0.1303328</v>
      </c>
      <c r="R3859">
        <v>-0.97255650000000005</v>
      </c>
      <c r="S3859">
        <v>-0.21878049999999999</v>
      </c>
      <c r="T3859">
        <v>-0.32872610000000002</v>
      </c>
      <c r="U3859">
        <v>-3.0886230000000001</v>
      </c>
      <c r="V3859">
        <v>-0.10885690000000001</v>
      </c>
      <c r="W3859">
        <v>0.1418471</v>
      </c>
      <c r="X3859">
        <v>0.98388489999999995</v>
      </c>
      <c r="Y3859">
        <v>-0.23002320000000001</v>
      </c>
      <c r="Z3859">
        <v>9.7128640000000002E-2</v>
      </c>
      <c r="AA3859">
        <v>0.96832609999999997</v>
      </c>
      <c r="AB3859">
        <v>30</v>
      </c>
      <c r="AC3859">
        <v>-0.66480000000001305</v>
      </c>
      <c r="AD3859">
        <v>-1.1190679824626999</v>
      </c>
      <c r="AE3859">
        <v>-10.2318</v>
      </c>
      <c r="AF3859">
        <v>-2.3849259105362601</v>
      </c>
      <c r="AG3859">
        <v>-1.1190679824626999</v>
      </c>
      <c r="AH3859">
        <v>9.8480071156454798</v>
      </c>
      <c r="AI3859">
        <v>96.302291427479005</v>
      </c>
      <c r="AJ3859">
        <v>103.61342262225099</v>
      </c>
      <c r="AK3859">
        <v>10.1942841287617</v>
      </c>
      <c r="AL3859">
        <v>81.845255588360303</v>
      </c>
      <c r="AM3859">
        <v>96.313519659142202</v>
      </c>
      <c r="AN3859">
        <v>0.999999960452014</v>
      </c>
    </row>
    <row r="3860" spans="1:40" x14ac:dyDescent="0.25">
      <c r="A3860" t="str">
        <f>"20190312164345792"</f>
        <v>20190312164345792</v>
      </c>
      <c r="B3860" t="str">
        <f>"1552380225788911"</f>
        <v>1552380225788911</v>
      </c>
      <c r="C3860" t="s">
        <v>40</v>
      </c>
      <c r="D3860">
        <v>4.8409110000000002</v>
      </c>
      <c r="E3860">
        <v>0.45377840000000003</v>
      </c>
      <c r="F3860" t="s">
        <v>42</v>
      </c>
      <c r="G3860">
        <v>-421.23200000000003</v>
      </c>
      <c r="H3860" s="1">
        <v>-8.8945940000000002E-7</v>
      </c>
      <c r="I3860">
        <v>110.89830000000001</v>
      </c>
      <c r="J3860">
        <v>-420.67779999999999</v>
      </c>
      <c r="K3860">
        <v>1.1189549999999999</v>
      </c>
      <c r="L3860">
        <v>121.045</v>
      </c>
      <c r="M3860">
        <v>-0.28747529999999999</v>
      </c>
      <c r="N3860">
        <v>0</v>
      </c>
      <c r="O3860">
        <v>-0.95768589999999998</v>
      </c>
      <c r="P3860">
        <v>-0.18513859999999999</v>
      </c>
      <c r="Q3860">
        <v>0.130410199999999</v>
      </c>
      <c r="R3860">
        <v>-0.97402120000000003</v>
      </c>
      <c r="S3860">
        <v>-0.1868591</v>
      </c>
      <c r="T3860">
        <v>-0.33185819999999999</v>
      </c>
      <c r="U3860">
        <v>-3.092117</v>
      </c>
      <c r="V3860">
        <v>-0.1058014</v>
      </c>
      <c r="W3860">
        <v>0.1419552</v>
      </c>
      <c r="X3860">
        <v>0.98420260000000004</v>
      </c>
      <c r="Y3860">
        <v>-0.22948959999999999</v>
      </c>
      <c r="Z3860">
        <v>9.8475010000000002E-2</v>
      </c>
      <c r="AA3860">
        <v>0.96831670000000003</v>
      </c>
      <c r="AB3860">
        <v>30</v>
      </c>
      <c r="AC3860">
        <v>-0.55419999999998004</v>
      </c>
      <c r="AD3860">
        <v>-1.1189558894593901</v>
      </c>
      <c r="AE3860">
        <v>-10.1466999999999</v>
      </c>
      <c r="AF3860">
        <v>-2.3578209479685399</v>
      </c>
      <c r="AG3860">
        <v>-1.1189558894593901</v>
      </c>
      <c r="AH3860">
        <v>9.7593049396929299</v>
      </c>
      <c r="AI3860">
        <v>96.359304418759507</v>
      </c>
      <c r="AJ3860">
        <v>103.582231739062</v>
      </c>
      <c r="AK3860">
        <v>10.102248007802499</v>
      </c>
      <c r="AL3860">
        <v>81.838998812418694</v>
      </c>
      <c r="AM3860">
        <v>96.135711499822094</v>
      </c>
      <c r="AN3860">
        <v>0.99999998644788002</v>
      </c>
    </row>
    <row r="3861" spans="1:40" x14ac:dyDescent="0.25">
      <c r="A3861" t="str">
        <f>"20190312164345839"</f>
        <v>20190312164345839</v>
      </c>
      <c r="B3861" t="str">
        <f>"1552380225828929"</f>
        <v>1552380225828929</v>
      </c>
      <c r="C3861" t="s">
        <v>40</v>
      </c>
      <c r="D3861">
        <v>4.912083</v>
      </c>
      <c r="E3861">
        <v>0.45407950000000002</v>
      </c>
      <c r="F3861" t="s">
        <v>42</v>
      </c>
      <c r="G3861">
        <v>-421.22</v>
      </c>
      <c r="H3861" s="1">
        <v>-7.5169519999999904E-7</v>
      </c>
      <c r="I3861">
        <v>110.5847</v>
      </c>
      <c r="J3861">
        <v>-420.82670000000002</v>
      </c>
      <c r="K3861">
        <v>1.118665</v>
      </c>
      <c r="L3861">
        <v>120.45910000000001</v>
      </c>
      <c r="M3861">
        <v>-0.26627849999999997</v>
      </c>
      <c r="N3861">
        <v>0</v>
      </c>
      <c r="O3861">
        <v>-0.9637966</v>
      </c>
      <c r="P3861">
        <v>-0.17057520000000001</v>
      </c>
      <c r="Q3861">
        <v>0.1303397</v>
      </c>
      <c r="R3861">
        <v>-0.9766861</v>
      </c>
      <c r="S3861">
        <v>-0.16036989999999901</v>
      </c>
      <c r="T3861">
        <v>-0.33095229999999998</v>
      </c>
      <c r="U3861">
        <v>-3.093842</v>
      </c>
      <c r="V3861">
        <v>-9.8667030000000003E-2</v>
      </c>
      <c r="W3861">
        <v>0.14196510000000001</v>
      </c>
      <c r="X3861">
        <v>0.98494199999999998</v>
      </c>
      <c r="Y3861">
        <v>-0.21629789999999999</v>
      </c>
      <c r="Z3861">
        <v>9.9304240000000002E-2</v>
      </c>
      <c r="AA3861">
        <v>0.97126409999999996</v>
      </c>
      <c r="AB3861">
        <v>30</v>
      </c>
      <c r="AC3861">
        <v>-0.39330000000000997</v>
      </c>
      <c r="AD3861">
        <v>-1.1186657516951899</v>
      </c>
      <c r="AE3861">
        <v>-9.8743999999999996</v>
      </c>
      <c r="AF3861">
        <v>-2.2220217479364099</v>
      </c>
      <c r="AG3861">
        <v>-1.1186657516951899</v>
      </c>
      <c r="AH3861">
        <v>9.5008184906135504</v>
      </c>
      <c r="AI3861">
        <v>96.540420556985396</v>
      </c>
      <c r="AJ3861">
        <v>103.16355345173599</v>
      </c>
      <c r="AK3861">
        <v>9.8211173347996699</v>
      </c>
      <c r="AL3861">
        <v>81.838425956983002</v>
      </c>
      <c r="AM3861">
        <v>95.7205472416844</v>
      </c>
      <c r="AN3861">
        <v>1.00000000789551</v>
      </c>
    </row>
    <row r="3862" spans="1:40" x14ac:dyDescent="0.25">
      <c r="A3862" t="str">
        <f>"20190312164345861"</f>
        <v>20190312164345861</v>
      </c>
      <c r="B3862" t="str">
        <f>"1552380225848447"</f>
        <v>1552380225848447</v>
      </c>
      <c r="C3862" t="s">
        <v>40</v>
      </c>
      <c r="D3862">
        <v>4.6111089999999999</v>
      </c>
      <c r="E3862">
        <v>0.45424989999999998</v>
      </c>
      <c r="F3862" t="s">
        <v>42</v>
      </c>
      <c r="G3862">
        <v>-421.21409999999997</v>
      </c>
      <c r="H3862" s="1">
        <v>-5.3693589999999999E-7</v>
      </c>
      <c r="I3862">
        <v>110.0877</v>
      </c>
      <c r="J3862">
        <v>-420.89229999999998</v>
      </c>
      <c r="K3862">
        <v>1.118511</v>
      </c>
      <c r="L3862">
        <v>120.1836</v>
      </c>
      <c r="M3862">
        <v>-0.25658330000000001</v>
      </c>
      <c r="N3862">
        <v>0</v>
      </c>
      <c r="O3862">
        <v>-0.9664239</v>
      </c>
      <c r="P3862">
        <v>-0.1644139</v>
      </c>
      <c r="Q3862">
        <v>0.1297923</v>
      </c>
      <c r="R3862">
        <v>-0.97781490000000004</v>
      </c>
      <c r="S3862">
        <v>-0.1156311</v>
      </c>
      <c r="T3862">
        <v>-0.33393509999999998</v>
      </c>
      <c r="U3862">
        <v>-3.0959780000000001</v>
      </c>
      <c r="V3862">
        <v>-9.492958E-2</v>
      </c>
      <c r="W3862">
        <v>0.1414629</v>
      </c>
      <c r="X3862">
        <v>0.98538150000000002</v>
      </c>
      <c r="Y3862">
        <v>-0.2205329</v>
      </c>
      <c r="Z3862">
        <v>0.1005182</v>
      </c>
      <c r="AA3862">
        <v>0.9701862</v>
      </c>
      <c r="AB3862">
        <v>30</v>
      </c>
      <c r="AC3862">
        <v>-0.32179999999999598</v>
      </c>
      <c r="AD3862">
        <v>-1.11851153693589</v>
      </c>
      <c r="AE3862">
        <v>-10.0959</v>
      </c>
      <c r="AF3862">
        <v>-2.2520466735505602</v>
      </c>
      <c r="AG3862">
        <v>-1.11851153693589</v>
      </c>
      <c r="AH3862">
        <v>9.7212232392432405</v>
      </c>
      <c r="AI3862">
        <v>96.395600414072405</v>
      </c>
      <c r="AJ3862">
        <v>103.043221275081</v>
      </c>
      <c r="AK3862">
        <v>10.041163455761</v>
      </c>
      <c r="AL3862">
        <v>81.867493508851496</v>
      </c>
      <c r="AM3862">
        <v>95.502773022400305</v>
      </c>
      <c r="AN3862">
        <v>1.00000003888881</v>
      </c>
    </row>
    <row r="3863" spans="1:40" x14ac:dyDescent="0.25">
      <c r="A3863" t="str">
        <f>"20190312164345883"</f>
        <v>20190312164345883</v>
      </c>
      <c r="B3863" t="str">
        <f>"1552380225878704"</f>
        <v>1552380225878704</v>
      </c>
      <c r="C3863" t="s">
        <v>40</v>
      </c>
      <c r="D3863">
        <v>4.6195779999999997</v>
      </c>
      <c r="E3863">
        <v>0.4547715</v>
      </c>
      <c r="F3863" t="s">
        <v>42</v>
      </c>
      <c r="G3863">
        <v>-421.21260000000001</v>
      </c>
      <c r="H3863" s="1">
        <v>-4.3848759999999998E-7</v>
      </c>
      <c r="I3863">
        <v>109.8591</v>
      </c>
      <c r="J3863">
        <v>-420.95679999999999</v>
      </c>
      <c r="K3863">
        <v>1.1183510000000001</v>
      </c>
      <c r="L3863">
        <v>119.8999</v>
      </c>
      <c r="M3863">
        <v>-0.246804</v>
      </c>
      <c r="N3863">
        <v>0</v>
      </c>
      <c r="O3863">
        <v>-0.96896859999999996</v>
      </c>
      <c r="P3863">
        <v>-0.15793940000000001</v>
      </c>
      <c r="Q3863">
        <v>0.12919949999999999</v>
      </c>
      <c r="R3863">
        <v>-0.9789601</v>
      </c>
      <c r="S3863">
        <v>-9.6069340000000003E-2</v>
      </c>
      <c r="T3863">
        <v>-0.3354548</v>
      </c>
      <c r="U3863">
        <v>-3.0964360000000002</v>
      </c>
      <c r="V3863">
        <v>-9.143772E-2</v>
      </c>
      <c r="W3863">
        <v>0.1409039</v>
      </c>
      <c r="X3863">
        <v>0.98579170000000005</v>
      </c>
      <c r="Y3863">
        <v>-0.21680469999999999</v>
      </c>
      <c r="Z3863">
        <v>0.101419</v>
      </c>
      <c r="AA3863">
        <v>0.97093249999999998</v>
      </c>
      <c r="AB3863">
        <v>30</v>
      </c>
      <c r="AC3863">
        <v>-0.25580000000002201</v>
      </c>
      <c r="AD3863">
        <v>-1.1183514384876001</v>
      </c>
      <c r="AE3863">
        <v>-10.040800000000001</v>
      </c>
      <c r="AF3863">
        <v>-2.2031429828539602</v>
      </c>
      <c r="AG3863">
        <v>-1.1183514384876001</v>
      </c>
      <c r="AH3863">
        <v>9.6733448022629602</v>
      </c>
      <c r="AI3863">
        <v>96.431516326085799</v>
      </c>
      <c r="AJ3863">
        <v>102.83048392704001</v>
      </c>
      <c r="AK3863">
        <v>9.9838944608972007</v>
      </c>
      <c r="AL3863">
        <v>81.899845759871496</v>
      </c>
      <c r="AM3863">
        <v>95.299342428963101</v>
      </c>
      <c r="AN3863">
        <v>1.0000000207314399</v>
      </c>
    </row>
    <row r="3864" spans="1:40" x14ac:dyDescent="0.25">
      <c r="A3864" t="str">
        <f>"20190312164345906"</f>
        <v>20190312164345906</v>
      </c>
      <c r="B3864" t="str">
        <f>"1552380225899199"</f>
        <v>1552380225899199</v>
      </c>
      <c r="C3864" t="s">
        <v>40</v>
      </c>
      <c r="D3864">
        <v>4.856134</v>
      </c>
      <c r="E3864">
        <v>0.45516499999999999</v>
      </c>
      <c r="F3864" t="s">
        <v>42</v>
      </c>
      <c r="G3864">
        <v>-421.22500000000002</v>
      </c>
      <c r="H3864" s="1">
        <v>-4.8982120000000003E-6</v>
      </c>
      <c r="I3864">
        <v>109.4755</v>
      </c>
      <c r="J3864">
        <v>-421.02199999999999</v>
      </c>
      <c r="K3864">
        <v>1.1181859999999999</v>
      </c>
      <c r="L3864">
        <v>119.6001</v>
      </c>
      <c r="M3864">
        <v>-0.23668169999999999</v>
      </c>
      <c r="N3864">
        <v>0</v>
      </c>
      <c r="O3864">
        <v>-0.97149209999999997</v>
      </c>
      <c r="P3864">
        <v>-0.15120420000000001</v>
      </c>
      <c r="Q3864">
        <v>0.12891340000000001</v>
      </c>
      <c r="R3864">
        <v>-0.98006110000000002</v>
      </c>
      <c r="S3864">
        <v>-7.9620360000000001E-2</v>
      </c>
      <c r="T3864">
        <v>-0.3320882</v>
      </c>
      <c r="U3864">
        <v>-3.095459</v>
      </c>
      <c r="V3864">
        <v>-8.7871179999999993E-2</v>
      </c>
      <c r="W3864">
        <v>0.140649</v>
      </c>
      <c r="X3864">
        <v>0.98615240000000004</v>
      </c>
      <c r="Y3864">
        <v>-0.21176249999999999</v>
      </c>
      <c r="Z3864">
        <v>0.10091120000000001</v>
      </c>
      <c r="AA3864">
        <v>0.97209749999999995</v>
      </c>
      <c r="AB3864">
        <v>30</v>
      </c>
      <c r="AC3864">
        <v>-0.20300000000003099</v>
      </c>
      <c r="AD3864">
        <v>-1.1181908982119999</v>
      </c>
      <c r="AE3864">
        <v>-10.124599999999999</v>
      </c>
      <c r="AF3864">
        <v>-2.1728054779075601</v>
      </c>
      <c r="AG3864">
        <v>-1.1181908982119999</v>
      </c>
      <c r="AH3864">
        <v>9.7658564411934599</v>
      </c>
      <c r="AI3864">
        <v>96.377316684994994</v>
      </c>
      <c r="AJ3864">
        <v>102.543427852357</v>
      </c>
      <c r="AK3864">
        <v>10.0669452446941</v>
      </c>
      <c r="AL3864">
        <v>81.914597359104604</v>
      </c>
      <c r="AM3864">
        <v>95.091896870044906</v>
      </c>
      <c r="AN3864">
        <v>1.0000000207506701</v>
      </c>
    </row>
    <row r="3865" spans="1:40" x14ac:dyDescent="0.25">
      <c r="A3865" t="str">
        <f>"20190312164345927"</f>
        <v>20190312164345927</v>
      </c>
      <c r="B3865" t="str">
        <f>"1552380225918720"</f>
        <v>1552380225918720</v>
      </c>
      <c r="C3865" t="s">
        <v>40</v>
      </c>
      <c r="D3865">
        <v>4.7702660000000003</v>
      </c>
      <c r="E3865">
        <v>0.45560010000000001</v>
      </c>
      <c r="F3865" t="s">
        <v>42</v>
      </c>
      <c r="G3865">
        <v>-421.22829999999999</v>
      </c>
      <c r="H3865" s="1">
        <v>-4.7518139999999999E-6</v>
      </c>
      <c r="I3865">
        <v>109.09269999999999</v>
      </c>
      <c r="J3865">
        <v>-421.07799999999997</v>
      </c>
      <c r="K3865">
        <v>1.11805</v>
      </c>
      <c r="L3865">
        <v>119.33069999999999</v>
      </c>
      <c r="M3865">
        <v>-0.22773119999999999</v>
      </c>
      <c r="N3865">
        <v>0</v>
      </c>
      <c r="O3865">
        <v>-0.97362990000000005</v>
      </c>
      <c r="P3865">
        <v>-0.14617479999999999</v>
      </c>
      <c r="Q3865">
        <v>0.12916369999999999</v>
      </c>
      <c r="R3865">
        <v>-0.98079050000000001</v>
      </c>
      <c r="S3865">
        <v>-6.0760500000000002E-2</v>
      </c>
      <c r="T3865">
        <v>-0.32936729999999997</v>
      </c>
      <c r="U3865">
        <v>-3.094986</v>
      </c>
      <c r="V3865">
        <v>-8.3797490000000002E-2</v>
      </c>
      <c r="W3865">
        <v>0.14094219999999999</v>
      </c>
      <c r="X3865">
        <v>0.98646500000000004</v>
      </c>
      <c r="Y3865">
        <v>-0.2086836</v>
      </c>
      <c r="Z3865">
        <v>0.1004874</v>
      </c>
      <c r="AA3865">
        <v>0.97280699999999998</v>
      </c>
      <c r="AB3865">
        <v>30</v>
      </c>
      <c r="AC3865">
        <v>-0.15029999999995799</v>
      </c>
      <c r="AD3865">
        <v>-1.118054751814</v>
      </c>
      <c r="AE3865">
        <v>-10.238</v>
      </c>
      <c r="AF3865">
        <v>-2.1596255612933799</v>
      </c>
      <c r="AG3865">
        <v>-1.118054751814</v>
      </c>
      <c r="AH3865">
        <v>9.8853008492293402</v>
      </c>
      <c r="AI3865">
        <v>96.305408471403794</v>
      </c>
      <c r="AJ3865">
        <v>102.323687032655</v>
      </c>
      <c r="AK3865">
        <v>10.180039384639899</v>
      </c>
      <c r="AL3865">
        <v>81.897628713389295</v>
      </c>
      <c r="AM3865">
        <v>94.855462292492405</v>
      </c>
      <c r="AN3865">
        <v>0.99999995964806898</v>
      </c>
    </row>
    <row r="3866" spans="1:40" x14ac:dyDescent="0.25">
      <c r="A3866" t="str">
        <f>"20190312164345949"</f>
        <v>20190312164345949</v>
      </c>
      <c r="B3866" t="str">
        <f>"1552380225939216"</f>
        <v>1552380225939216</v>
      </c>
      <c r="C3866" t="s">
        <v>40</v>
      </c>
      <c r="D3866">
        <v>4.8157920000000001</v>
      </c>
      <c r="E3866">
        <v>0.4560111</v>
      </c>
      <c r="F3866" t="s">
        <v>42</v>
      </c>
      <c r="G3866">
        <v>-421.24029999999999</v>
      </c>
      <c r="H3866" s="1">
        <v>-4.6155159999999997E-6</v>
      </c>
      <c r="I3866">
        <v>108.7323</v>
      </c>
      <c r="J3866">
        <v>-421.13380000000001</v>
      </c>
      <c r="K3866">
        <v>1.11792</v>
      </c>
      <c r="L3866">
        <v>119.0496</v>
      </c>
      <c r="M3866">
        <v>-0.21853729999999999</v>
      </c>
      <c r="N3866">
        <v>0</v>
      </c>
      <c r="O3866">
        <v>-0.97573580000000004</v>
      </c>
      <c r="P3866">
        <v>-0.14051920000000001</v>
      </c>
      <c r="Q3866">
        <v>0.1282459</v>
      </c>
      <c r="R3866">
        <v>-0.98173730000000003</v>
      </c>
      <c r="S3866">
        <v>-4.73938E-2</v>
      </c>
      <c r="T3866">
        <v>-0.32646540000000002</v>
      </c>
      <c r="U3866">
        <v>-3.094681</v>
      </c>
      <c r="V3866">
        <v>-8.013671E-2</v>
      </c>
      <c r="W3866">
        <v>0.1400546</v>
      </c>
      <c r="X3866">
        <v>0.98689559999999998</v>
      </c>
      <c r="Y3866">
        <v>-0.20365469999999999</v>
      </c>
      <c r="Z3866">
        <v>0.1000103</v>
      </c>
      <c r="AA3866">
        <v>0.97392129999999999</v>
      </c>
      <c r="AB3866">
        <v>30</v>
      </c>
      <c r="AC3866">
        <v>-0.106499999999982</v>
      </c>
      <c r="AD3866">
        <v>-1.1179246155159901</v>
      </c>
      <c r="AE3866">
        <v>-10.317299999999999</v>
      </c>
      <c r="AF3866">
        <v>-2.1260353781725101</v>
      </c>
      <c r="AG3866">
        <v>-1.1179246155159901</v>
      </c>
      <c r="AH3866">
        <v>9.9740573221588793</v>
      </c>
      <c r="AI3866">
        <v>96.255816904788205</v>
      </c>
      <c r="AJ3866">
        <v>102.03288528317201</v>
      </c>
      <c r="AK3866">
        <v>10.259220308626199</v>
      </c>
      <c r="AL3866">
        <v>81.948994714772098</v>
      </c>
      <c r="AM3866">
        <v>94.642277820872494</v>
      </c>
      <c r="AN3866">
        <v>1.00000005428507</v>
      </c>
    </row>
    <row r="3867" spans="1:40" x14ac:dyDescent="0.25">
      <c r="A3867" t="str">
        <f>"20190312164345972"</f>
        <v>20190312164345972</v>
      </c>
      <c r="B3867" t="str">
        <f>"1552380225968495"</f>
        <v>1552380225968495</v>
      </c>
      <c r="C3867" t="s">
        <v>40</v>
      </c>
      <c r="D3867">
        <v>4.8783349999999999</v>
      </c>
      <c r="E3867">
        <v>0.45662920000000001</v>
      </c>
      <c r="F3867" t="s">
        <v>42</v>
      </c>
      <c r="G3867">
        <v>-421.24310000000003</v>
      </c>
      <c r="H3867" s="1">
        <v>-4.5124939999999998E-6</v>
      </c>
      <c r="I3867">
        <v>108.4627</v>
      </c>
      <c r="J3867">
        <v>-421.18900000000002</v>
      </c>
      <c r="K3867">
        <v>1.1177870000000001</v>
      </c>
      <c r="L3867">
        <v>118.7578</v>
      </c>
      <c r="M3867">
        <v>-0.2091423</v>
      </c>
      <c r="N3867">
        <v>0</v>
      </c>
      <c r="O3867">
        <v>-0.97779349999999998</v>
      </c>
      <c r="P3867">
        <v>-0.1343974</v>
      </c>
      <c r="Q3867">
        <v>0.1268997</v>
      </c>
      <c r="R3867">
        <v>-0.98276859999999999</v>
      </c>
      <c r="S3867">
        <v>-3.1951899999999998E-2</v>
      </c>
      <c r="T3867">
        <v>-0.32670179999999999</v>
      </c>
      <c r="U3867">
        <v>-3.0939179999999999</v>
      </c>
      <c r="V3867">
        <v>-7.6758240000000005E-2</v>
      </c>
      <c r="W3867">
        <v>0.1387283</v>
      </c>
      <c r="X3867">
        <v>0.98735130000000004</v>
      </c>
      <c r="Y3867">
        <v>-0.1990933</v>
      </c>
      <c r="Z3867">
        <v>0.1004811</v>
      </c>
      <c r="AA3867">
        <v>0.9748156</v>
      </c>
      <c r="AB3867">
        <v>30</v>
      </c>
      <c r="AC3867">
        <v>-5.4100000000005297E-2</v>
      </c>
      <c r="AD3867">
        <v>-1.1177915124940001</v>
      </c>
      <c r="AE3867">
        <v>-10.2951</v>
      </c>
      <c r="AF3867">
        <v>-2.07595877670125</v>
      </c>
      <c r="AG3867">
        <v>-1.1177915124940001</v>
      </c>
      <c r="AH3867">
        <v>9.9612746426199195</v>
      </c>
      <c r="AI3867">
        <v>96.269004379010696</v>
      </c>
      <c r="AJ3867">
        <v>101.77211035081</v>
      </c>
      <c r="AK3867">
        <v>10.2365060061365</v>
      </c>
      <c r="AL3867">
        <v>82.025734696584294</v>
      </c>
      <c r="AM3867">
        <v>94.445322754028794</v>
      </c>
      <c r="AN3867">
        <v>0.99999997912023797</v>
      </c>
    </row>
    <row r="3868" spans="1:40" x14ac:dyDescent="0.25">
      <c r="A3868" t="str">
        <f>"20190312164345995"</f>
        <v>20190312164345995</v>
      </c>
      <c r="B3868" t="str">
        <f>"1552380225988991"</f>
        <v>1552380225988991</v>
      </c>
      <c r="C3868" t="s">
        <v>40</v>
      </c>
      <c r="D3868">
        <v>4.780176</v>
      </c>
      <c r="E3868">
        <v>0.45713300000000001</v>
      </c>
      <c r="F3868" t="s">
        <v>42</v>
      </c>
      <c r="G3868">
        <v>-421.24599999999998</v>
      </c>
      <c r="H3868" s="1">
        <v>-4.4432820000000002E-6</v>
      </c>
      <c r="I3868">
        <v>108.2899</v>
      </c>
      <c r="J3868">
        <v>-421.24290000000002</v>
      </c>
      <c r="K3868">
        <v>1.117659</v>
      </c>
      <c r="L3868">
        <v>118.4577</v>
      </c>
      <c r="M3868">
        <v>-0.19963639999999999</v>
      </c>
      <c r="N3868">
        <v>0</v>
      </c>
      <c r="O3868">
        <v>-0.97977939999999997</v>
      </c>
      <c r="P3868">
        <v>-0.12773370000000001</v>
      </c>
      <c r="Q3868">
        <v>0.12625720000000001</v>
      </c>
      <c r="R3868">
        <v>-0.98373980000000005</v>
      </c>
      <c r="S3868">
        <v>-1.6845699999999901E-2</v>
      </c>
      <c r="T3868">
        <v>-0.3302735</v>
      </c>
      <c r="U3868">
        <v>-3.0929259999999998</v>
      </c>
      <c r="V3868">
        <v>-7.3817750000000001E-2</v>
      </c>
      <c r="W3868">
        <v>0.13809260000000001</v>
      </c>
      <c r="X3868">
        <v>0.9876646</v>
      </c>
      <c r="Y3868">
        <v>-0.19433249999999999</v>
      </c>
      <c r="Z3868">
        <v>0.1019671</v>
      </c>
      <c r="AA3868">
        <v>0.97562159999999998</v>
      </c>
      <c r="AB3868">
        <v>30</v>
      </c>
      <c r="AC3868">
        <v>-3.0999999999607999E-3</v>
      </c>
      <c r="AD3868">
        <v>-1.1176634432820001</v>
      </c>
      <c r="AE3868">
        <v>-10.1678</v>
      </c>
      <c r="AF3868">
        <v>-2.0028061805063202</v>
      </c>
      <c r="AG3868">
        <v>-1.1176634432820001</v>
      </c>
      <c r="AH3868">
        <v>9.84475254137881</v>
      </c>
      <c r="AI3868">
        <v>96.348053214340197</v>
      </c>
      <c r="AJ3868">
        <v>101.49926587199199</v>
      </c>
      <c r="AK3868">
        <v>10.1083904144086</v>
      </c>
      <c r="AL3868">
        <v>82.062511725327695</v>
      </c>
      <c r="AM3868">
        <v>94.274322031705395</v>
      </c>
      <c r="AN3868">
        <v>0.999999994241491</v>
      </c>
    </row>
    <row r="3869" spans="1:40" x14ac:dyDescent="0.25">
      <c r="A3869" t="str">
        <f>"20190312164346017"</f>
        <v>20190312164346017</v>
      </c>
      <c r="B3869" t="str">
        <f>"1552380226008512"</f>
        <v>1552380226008512</v>
      </c>
      <c r="C3869" t="s">
        <v>40</v>
      </c>
      <c r="D3869">
        <v>4.8084910000000001</v>
      </c>
      <c r="E3869">
        <v>0.45737860000000002</v>
      </c>
      <c r="F3869" t="s">
        <v>42</v>
      </c>
      <c r="G3869">
        <v>-421.24380000000002</v>
      </c>
      <c r="H3869" s="1">
        <v>-4.307936E-6</v>
      </c>
      <c r="I3869">
        <v>108.0048</v>
      </c>
      <c r="J3869">
        <v>-421.29</v>
      </c>
      <c r="K3869">
        <v>1.1175440000000001</v>
      </c>
      <c r="L3869">
        <v>118.1811</v>
      </c>
      <c r="M3869">
        <v>-0.1910037</v>
      </c>
      <c r="N3869">
        <v>0</v>
      </c>
      <c r="O3869">
        <v>-0.98149989999999998</v>
      </c>
      <c r="P3869">
        <v>-0.12279229999999999</v>
      </c>
      <c r="Q3869">
        <v>0.12656210000000001</v>
      </c>
      <c r="R3869">
        <v>-0.98432949999999997</v>
      </c>
      <c r="S3869">
        <v>-2.7465820000000001E-4</v>
      </c>
      <c r="T3869">
        <v>-0.33060630000000002</v>
      </c>
      <c r="U3869">
        <v>-3.09198</v>
      </c>
      <c r="V3869">
        <v>-7.0034089999999993E-2</v>
      </c>
      <c r="W3869">
        <v>0.13842090000000001</v>
      </c>
      <c r="X3869">
        <v>0.98789419999999994</v>
      </c>
      <c r="Y3869">
        <v>-0.1909236</v>
      </c>
      <c r="Z3869">
        <v>0.1024089</v>
      </c>
      <c r="AA3869">
        <v>0.97624820000000001</v>
      </c>
      <c r="AB3869">
        <v>30</v>
      </c>
      <c r="AC3869">
        <v>4.6199999999998902E-2</v>
      </c>
      <c r="AD3869">
        <v>-1.117548307936</v>
      </c>
      <c r="AE3869">
        <v>-10.1762999999999</v>
      </c>
      <c r="AF3869">
        <v>-1.9655267785110599</v>
      </c>
      <c r="AG3869">
        <v>-1.117548307936</v>
      </c>
      <c r="AH3869">
        <v>9.8611643202585899</v>
      </c>
      <c r="AI3869">
        <v>96.341939087212197</v>
      </c>
      <c r="AJ3869">
        <v>101.272462195209</v>
      </c>
      <c r="AK3869">
        <v>10.1170534983638</v>
      </c>
      <c r="AL3869">
        <v>82.043519449010006</v>
      </c>
      <c r="AM3869">
        <v>94.055045383143593</v>
      </c>
      <c r="AN3869">
        <v>1.0000000348562801</v>
      </c>
    </row>
    <row r="3870" spans="1:40" x14ac:dyDescent="0.25">
      <c r="A3870" t="str">
        <f>"20190312164346040"</f>
        <v>20190312164346040</v>
      </c>
      <c r="B3870" t="str">
        <f>"1552380226029008"</f>
        <v>1552380226029008</v>
      </c>
      <c r="C3870" t="s">
        <v>40</v>
      </c>
      <c r="D3870">
        <v>4.7580349999999996</v>
      </c>
      <c r="E3870">
        <v>0.47084399999999998</v>
      </c>
      <c r="F3870" t="s">
        <v>42</v>
      </c>
      <c r="G3870">
        <v>-421.24380000000002</v>
      </c>
      <c r="H3870" s="1">
        <v>-4.150697E-6</v>
      </c>
      <c r="I3870">
        <v>107.6722</v>
      </c>
      <c r="J3870">
        <v>-421.33819999999997</v>
      </c>
      <c r="K3870">
        <v>1.11741</v>
      </c>
      <c r="L3870">
        <v>117.8837</v>
      </c>
      <c r="M3870">
        <v>-0.1818642</v>
      </c>
      <c r="N3870">
        <v>0</v>
      </c>
      <c r="O3870">
        <v>-0.98323519999999998</v>
      </c>
      <c r="P3870">
        <v>-0.1170897</v>
      </c>
      <c r="Q3870">
        <v>0.1270395</v>
      </c>
      <c r="R3870">
        <v>-0.98496249999999996</v>
      </c>
      <c r="S3870">
        <v>1.3610840000000001E-2</v>
      </c>
      <c r="T3870">
        <v>-0.32878469999999999</v>
      </c>
      <c r="U3870">
        <v>-3.091736</v>
      </c>
      <c r="V3870">
        <v>-6.6511139999999996E-2</v>
      </c>
      <c r="W3870">
        <v>0.13891199999999901</v>
      </c>
      <c r="X3870">
        <v>0.98806870000000002</v>
      </c>
      <c r="Y3870">
        <v>-0.1861746</v>
      </c>
      <c r="Z3870">
        <v>0.1021807</v>
      </c>
      <c r="AA3870">
        <v>0.97718890000000003</v>
      </c>
      <c r="AB3870">
        <v>30</v>
      </c>
      <c r="AC3870">
        <v>9.4399999999950496E-2</v>
      </c>
      <c r="AD3870">
        <v>-1.1174141506969999</v>
      </c>
      <c r="AE3870">
        <v>-10.211499999999999</v>
      </c>
      <c r="AF3870">
        <v>-1.9270205980905299</v>
      </c>
      <c r="AG3870">
        <v>-1.1174141506969999</v>
      </c>
      <c r="AH3870">
        <v>9.9054101856777006</v>
      </c>
      <c r="AI3870">
        <v>96.318762543593493</v>
      </c>
      <c r="AJ3870">
        <v>101.008939403353</v>
      </c>
      <c r="AK3870">
        <v>10.152791424833399</v>
      </c>
      <c r="AL3870">
        <v>82.015106849851804</v>
      </c>
      <c r="AM3870">
        <v>93.851014964983307</v>
      </c>
      <c r="AN3870">
        <v>1.00000001570389</v>
      </c>
    </row>
    <row r="3871" spans="1:40" x14ac:dyDescent="0.25">
      <c r="A3871" t="str">
        <f>"20190312164346063"</f>
        <v>20190312164346063</v>
      </c>
      <c r="B3871" t="str">
        <f>"1552380226059264"</f>
        <v>1552380226059264</v>
      </c>
      <c r="C3871" t="s">
        <v>40</v>
      </c>
      <c r="D3871">
        <v>4.7716969999999996</v>
      </c>
      <c r="E3871">
        <v>0.46932829999999898</v>
      </c>
      <c r="F3871" t="s">
        <v>42</v>
      </c>
      <c r="G3871">
        <v>-421.6146</v>
      </c>
      <c r="H3871" s="1">
        <v>-3.7596559999999998E-6</v>
      </c>
      <c r="I3871">
        <v>106.63630000000001</v>
      </c>
      <c r="J3871">
        <v>-421.38339999999999</v>
      </c>
      <c r="K3871">
        <v>1.1172690000000001</v>
      </c>
      <c r="L3871">
        <v>117.5873</v>
      </c>
      <c r="M3871">
        <v>-0.172931</v>
      </c>
      <c r="N3871">
        <v>0</v>
      </c>
      <c r="O3871">
        <v>-0.98484649999999996</v>
      </c>
      <c r="P3871">
        <v>-0.1115198</v>
      </c>
      <c r="Q3871">
        <v>0.12709089999999901</v>
      </c>
      <c r="R3871">
        <v>-0.98560199999999998</v>
      </c>
      <c r="S3871">
        <v>-7.5592039999999999E-2</v>
      </c>
      <c r="T3871">
        <v>-0.305618</v>
      </c>
      <c r="U3871">
        <v>-3.0762330000000002</v>
      </c>
      <c r="V3871">
        <v>-6.3072630000000005E-2</v>
      </c>
      <c r="W3871">
        <v>0.13897999999999999</v>
      </c>
      <c r="X3871">
        <v>0.98828459999999996</v>
      </c>
      <c r="Y3871">
        <v>-0.148809</v>
      </c>
      <c r="Z3871">
        <v>9.6067890000000003E-2</v>
      </c>
      <c r="AA3871">
        <v>0.98418839999999996</v>
      </c>
      <c r="AB3871">
        <v>30</v>
      </c>
      <c r="AC3871">
        <v>-0.23120000000000099</v>
      </c>
      <c r="AD3871">
        <v>-1.1172727596559999</v>
      </c>
      <c r="AE3871">
        <v>-10.950999999999899</v>
      </c>
      <c r="AF3871">
        <v>-1.64905691216976</v>
      </c>
      <c r="AG3871">
        <v>-1.1172727596559999</v>
      </c>
      <c r="AH3871">
        <v>10.7144901295891</v>
      </c>
      <c r="AI3871">
        <v>95.884314326472193</v>
      </c>
      <c r="AJ3871">
        <v>98.749682147712207</v>
      </c>
      <c r="AK3871">
        <v>10.8980725752817</v>
      </c>
      <c r="AL3871">
        <v>82.011172639583606</v>
      </c>
      <c r="AM3871">
        <v>93.651682004374393</v>
      </c>
      <c r="AN3871">
        <v>1.00000002382613</v>
      </c>
    </row>
    <row r="3872" spans="1:40" x14ac:dyDescent="0.25">
      <c r="A3872" t="str">
        <f>"20190312164346084"</f>
        <v>20190312164346084</v>
      </c>
      <c r="B3872" t="str">
        <f>"1552380226078784"</f>
        <v>1552380226078784</v>
      </c>
      <c r="C3872" t="s">
        <v>40</v>
      </c>
      <c r="D3872">
        <v>4.7725410000000004</v>
      </c>
      <c r="E3872">
        <v>0.45687640000000002</v>
      </c>
      <c r="F3872" t="s">
        <v>42</v>
      </c>
      <c r="G3872">
        <v>-421.55610000000001</v>
      </c>
      <c r="H3872" s="1">
        <v>-3.4382240000000002E-6</v>
      </c>
      <c r="I3872">
        <v>105.9892</v>
      </c>
      <c r="J3872">
        <v>-421.42380000000003</v>
      </c>
      <c r="K3872">
        <v>1.1171199999999999</v>
      </c>
      <c r="L3872">
        <v>117.30719999999999</v>
      </c>
      <c r="M3872">
        <v>-0.1646637</v>
      </c>
      <c r="N3872">
        <v>0</v>
      </c>
      <c r="O3872">
        <v>-0.98626349999999996</v>
      </c>
      <c r="P3872">
        <v>-0.1066141</v>
      </c>
      <c r="Q3872">
        <v>0.1270589</v>
      </c>
      <c r="R3872">
        <v>-0.98614930000000001</v>
      </c>
      <c r="S3872">
        <v>-4.5806880000000001E-2</v>
      </c>
      <c r="T3872">
        <v>-0.29640149999999998</v>
      </c>
      <c r="U3872">
        <v>-3.0768589999999998</v>
      </c>
      <c r="V3872">
        <v>-5.9644959999999997E-2</v>
      </c>
      <c r="W3872">
        <v>0.13896910000000001</v>
      </c>
      <c r="X3872">
        <v>0.98849889999999996</v>
      </c>
      <c r="Y3872">
        <v>-0.15003839999999999</v>
      </c>
      <c r="Z3872">
        <v>9.3381140000000001E-2</v>
      </c>
      <c r="AA3872">
        <v>0.98426029999999998</v>
      </c>
      <c r="AB3872">
        <v>30</v>
      </c>
      <c r="AC3872">
        <v>-0.13229999999998601</v>
      </c>
      <c r="AD3872">
        <v>-1.1171234382240001</v>
      </c>
      <c r="AE3872">
        <v>-11.3179999999999</v>
      </c>
      <c r="AF3872">
        <v>-1.7166071134993399</v>
      </c>
      <c r="AG3872">
        <v>-1.1171234382240001</v>
      </c>
      <c r="AH3872">
        <v>11.077362460142799</v>
      </c>
      <c r="AI3872">
        <v>95.691186511244695</v>
      </c>
      <c r="AJ3872">
        <v>98.808793056655404</v>
      </c>
      <c r="AK3872">
        <v>11.2651082476702</v>
      </c>
      <c r="AL3872">
        <v>82.011803121176499</v>
      </c>
      <c r="AM3872">
        <v>93.452979227039194</v>
      </c>
      <c r="AN3872">
        <v>1.0000000036547101</v>
      </c>
    </row>
    <row r="3873" spans="1:40" x14ac:dyDescent="0.25">
      <c r="A3873" t="str">
        <f>"20190312164346107"</f>
        <v>20190312164346107</v>
      </c>
      <c r="B3873" t="str">
        <f>"1552380226099280"</f>
        <v>1552380226099280</v>
      </c>
      <c r="C3873" t="s">
        <v>40</v>
      </c>
      <c r="D3873">
        <v>4.7818480000000001</v>
      </c>
      <c r="E3873">
        <v>0.45748699999999998</v>
      </c>
      <c r="F3873" t="s">
        <v>42</v>
      </c>
      <c r="G3873">
        <v>-421.15989999999999</v>
      </c>
      <c r="H3873" s="1">
        <v>-3.1576329999999999E-6</v>
      </c>
      <c r="I3873">
        <v>105.6186</v>
      </c>
      <c r="J3873">
        <v>-421.46449999999999</v>
      </c>
      <c r="K3873">
        <v>1.1169739999999999</v>
      </c>
      <c r="L3873">
        <v>117.0068</v>
      </c>
      <c r="M3873">
        <v>-0.15596389999999999</v>
      </c>
      <c r="N3873">
        <v>0</v>
      </c>
      <c r="O3873">
        <v>-0.98767729999999998</v>
      </c>
      <c r="P3873">
        <v>-0.1019574</v>
      </c>
      <c r="Q3873">
        <v>0.12704649999999901</v>
      </c>
      <c r="R3873">
        <v>-0.98664280000000004</v>
      </c>
      <c r="S3873">
        <v>6.9702150000000004E-2</v>
      </c>
      <c r="T3873">
        <v>-0.29510180000000003</v>
      </c>
      <c r="U3873">
        <v>-3.0876769999999998</v>
      </c>
      <c r="V3873">
        <v>-5.5540260000000001E-2</v>
      </c>
      <c r="W3873">
        <v>0.1389852</v>
      </c>
      <c r="X3873">
        <v>0.9887357</v>
      </c>
      <c r="Y3873">
        <v>-0.178125799999999</v>
      </c>
      <c r="Z3873">
        <v>9.2622590000000005E-2</v>
      </c>
      <c r="AA3873">
        <v>0.97963889999999998</v>
      </c>
      <c r="AB3873">
        <v>30</v>
      </c>
      <c r="AC3873">
        <v>0.30459999999999299</v>
      </c>
      <c r="AD3873">
        <v>-1.1169771576330001</v>
      </c>
      <c r="AE3873">
        <v>-11.3881999999999</v>
      </c>
      <c r="AF3873">
        <v>-2.0573918133739602</v>
      </c>
      <c r="AG3873">
        <v>-1.1169771576330001</v>
      </c>
      <c r="AH3873">
        <v>11.0946504693334</v>
      </c>
      <c r="AI3873">
        <v>95.653260720667305</v>
      </c>
      <c r="AJ3873">
        <v>100.505591255781</v>
      </c>
      <c r="AK3873">
        <v>11.338949161235901</v>
      </c>
      <c r="AL3873">
        <v>82.010871150825693</v>
      </c>
      <c r="AM3873">
        <v>93.215097568114402</v>
      </c>
      <c r="AN3873">
        <v>0.99999994537719705</v>
      </c>
    </row>
    <row r="3874" spans="1:40" x14ac:dyDescent="0.25">
      <c r="A3874" t="str">
        <f>"20190312164346128"</f>
        <v>20190312164346128</v>
      </c>
      <c r="B3874" t="str">
        <f>"1552380226118800"</f>
        <v>1552380226118800</v>
      </c>
      <c r="C3874" t="s">
        <v>40</v>
      </c>
      <c r="D3874">
        <v>4.6235350000000004</v>
      </c>
      <c r="E3874">
        <v>0.45684780000000003</v>
      </c>
      <c r="F3874" t="s">
        <v>42</v>
      </c>
      <c r="G3874">
        <v>-421.1465</v>
      </c>
      <c r="H3874" s="1">
        <v>-2.7079119999999998E-6</v>
      </c>
      <c r="I3874">
        <v>104.6748</v>
      </c>
      <c r="J3874">
        <v>-421.49930000000001</v>
      </c>
      <c r="K3874">
        <v>1.1168400000000001</v>
      </c>
      <c r="L3874">
        <v>116.7353</v>
      </c>
      <c r="M3874">
        <v>-0.1482715</v>
      </c>
      <c r="N3874">
        <v>0</v>
      </c>
      <c r="O3874">
        <v>-0.98886209999999997</v>
      </c>
      <c r="P3874">
        <v>-9.8438929999999994E-2</v>
      </c>
      <c r="Q3874">
        <v>0.1275829</v>
      </c>
      <c r="R3874">
        <v>-0.986931</v>
      </c>
      <c r="S3874">
        <v>7.9559329999999998E-2</v>
      </c>
      <c r="T3874">
        <v>-0.27940979999999999</v>
      </c>
      <c r="U3874">
        <v>-3.0848239999999998</v>
      </c>
      <c r="V3874">
        <v>-5.1313169999999998E-2</v>
      </c>
      <c r="W3874">
        <v>0.1395527</v>
      </c>
      <c r="X3874">
        <v>0.98888419999999999</v>
      </c>
      <c r="Y3874">
        <v>-0.173625799999999</v>
      </c>
      <c r="Z3874">
        <v>8.8011649999999997E-2</v>
      </c>
      <c r="AA3874">
        <v>0.9808711</v>
      </c>
      <c r="AB3874">
        <v>30</v>
      </c>
      <c r="AC3874">
        <v>0.352800000000002</v>
      </c>
      <c r="AD3874">
        <v>-1.116842707912</v>
      </c>
      <c r="AE3874">
        <v>-12.0604999999999</v>
      </c>
      <c r="AF3874">
        <v>-2.1191210431160998</v>
      </c>
      <c r="AG3874">
        <v>-1.116842707912</v>
      </c>
      <c r="AH3874">
        <v>11.7739746127868</v>
      </c>
      <c r="AI3874">
        <v>95.333494410489905</v>
      </c>
      <c r="AJ3874">
        <v>100.203057458153</v>
      </c>
      <c r="AK3874">
        <v>12.0151774773468</v>
      </c>
      <c r="AL3874">
        <v>81.978036073345606</v>
      </c>
      <c r="AM3874">
        <v>92.970412093347505</v>
      </c>
      <c r="AN3874">
        <v>0.999999979251189</v>
      </c>
    </row>
    <row r="3875" spans="1:40" x14ac:dyDescent="0.25">
      <c r="A3875" t="str">
        <f>"20190312164346151"</f>
        <v>20190312164346151</v>
      </c>
      <c r="B3875" t="str">
        <f>"1552380226149056"</f>
        <v>1552380226149056</v>
      </c>
      <c r="C3875" t="s">
        <v>40</v>
      </c>
      <c r="D3875">
        <v>4.5934929999999996</v>
      </c>
      <c r="E3875">
        <v>0.45724350000000002</v>
      </c>
      <c r="F3875" t="s">
        <v>42</v>
      </c>
      <c r="G3875">
        <v>-421.11610000000002</v>
      </c>
      <c r="H3875" s="1">
        <v>-2.5870399999999998E-6</v>
      </c>
      <c r="I3875">
        <v>104.4362</v>
      </c>
      <c r="J3875">
        <v>-421.53530000000001</v>
      </c>
      <c r="K3875">
        <v>1.1166689999999999</v>
      </c>
      <c r="L3875">
        <v>116.4372</v>
      </c>
      <c r="M3875">
        <v>-0.14005419999999999</v>
      </c>
      <c r="N3875">
        <v>0</v>
      </c>
      <c r="O3875">
        <v>-0.99006039999999995</v>
      </c>
      <c r="P3875">
        <v>-9.4892019999999994E-2</v>
      </c>
      <c r="Q3875">
        <v>0.12696660000000001</v>
      </c>
      <c r="R3875">
        <v>-0.98735790000000001</v>
      </c>
      <c r="S3875">
        <v>9.6130370000000007E-2</v>
      </c>
      <c r="T3875">
        <v>-0.28018609999999999</v>
      </c>
      <c r="U3875">
        <v>-3.0855260000000002</v>
      </c>
      <c r="V3875">
        <v>-4.6588810000000001E-2</v>
      </c>
      <c r="W3875">
        <v>0.1389734</v>
      </c>
      <c r="X3875">
        <v>0.98919959999999996</v>
      </c>
      <c r="Y3875">
        <v>-0.17070360000000001</v>
      </c>
      <c r="Z3875">
        <v>8.8412779999999996E-2</v>
      </c>
      <c r="AA3875">
        <v>0.98134779999999999</v>
      </c>
      <c r="AB3875">
        <v>30</v>
      </c>
      <c r="AC3875">
        <v>0.41919999999998903</v>
      </c>
      <c r="AD3875">
        <v>-1.1166715870399999</v>
      </c>
      <c r="AE3875">
        <v>-12.000999999999999</v>
      </c>
      <c r="AF3875">
        <v>-2.0780273644007101</v>
      </c>
      <c r="AG3875">
        <v>-1.1166715870399999</v>
      </c>
      <c r="AH3875">
        <v>11.722610668911599</v>
      </c>
      <c r="AI3875">
        <v>95.3584168996165</v>
      </c>
      <c r="AJ3875">
        <v>100.052204588885</v>
      </c>
      <c r="AK3875">
        <v>11.957623261141</v>
      </c>
      <c r="AL3875">
        <v>82.0115541923103</v>
      </c>
      <c r="AM3875">
        <v>92.696494338231105</v>
      </c>
      <c r="AN3875">
        <v>0.99999998588246797</v>
      </c>
    </row>
    <row r="3876" spans="1:40" x14ac:dyDescent="0.25">
      <c r="A3876" t="str">
        <f>"20190312164346174"</f>
        <v>20190312164346174</v>
      </c>
      <c r="B3876" t="str">
        <f>"1552380226168576"</f>
        <v>1552380226168576</v>
      </c>
      <c r="C3876" t="s">
        <v>40</v>
      </c>
      <c r="D3876">
        <v>4.726502</v>
      </c>
      <c r="E3876">
        <v>0.45795079999999999</v>
      </c>
      <c r="F3876" t="s">
        <v>42</v>
      </c>
      <c r="G3876">
        <v>-421.12569999999999</v>
      </c>
      <c r="H3876" s="1">
        <v>-2.491476E-6</v>
      </c>
      <c r="I3876">
        <v>104.2286</v>
      </c>
      <c r="J3876">
        <v>-421.56810000000002</v>
      </c>
      <c r="K3876">
        <v>1.1164769999999999</v>
      </c>
      <c r="L3876">
        <v>116.14700000000001</v>
      </c>
      <c r="M3876">
        <v>-0.13231799999999999</v>
      </c>
      <c r="N3876">
        <v>0</v>
      </c>
      <c r="O3876">
        <v>-0.99112469999999997</v>
      </c>
      <c r="P3876">
        <v>-9.2633939999999998E-2</v>
      </c>
      <c r="Q3876">
        <v>0.1264953</v>
      </c>
      <c r="R3876">
        <v>-0.98763270000000003</v>
      </c>
      <c r="S3876">
        <v>0.1034851</v>
      </c>
      <c r="T3876">
        <v>-0.28214129999999998</v>
      </c>
      <c r="U3876">
        <v>-3.084641</v>
      </c>
      <c r="V3876">
        <v>-4.105106E-2</v>
      </c>
      <c r="W3876">
        <v>0.13855209999999901</v>
      </c>
      <c r="X3876">
        <v>0.98950400000000005</v>
      </c>
      <c r="Y3876">
        <v>-0.16535050000000001</v>
      </c>
      <c r="Z3876">
        <v>8.9233309999999996E-2</v>
      </c>
      <c r="AA3876">
        <v>0.98218970000000005</v>
      </c>
      <c r="AB3876">
        <v>30</v>
      </c>
      <c r="AC3876">
        <v>0.44240000000002</v>
      </c>
      <c r="AD3876">
        <v>-1.1164794914759999</v>
      </c>
      <c r="AE3876">
        <v>-11.9184</v>
      </c>
      <c r="AF3876">
        <v>-1.99814712320706</v>
      </c>
      <c r="AG3876">
        <v>-1.1164794914759999</v>
      </c>
      <c r="AH3876">
        <v>11.6529276911879</v>
      </c>
      <c r="AI3876">
        <v>95.394605931107407</v>
      </c>
      <c r="AJ3876">
        <v>99.729978127209407</v>
      </c>
      <c r="AK3876">
        <v>11.8755986020462</v>
      </c>
      <c r="AL3876">
        <v>82.035928985628999</v>
      </c>
      <c r="AM3876">
        <v>92.375639187296599</v>
      </c>
      <c r="AN3876">
        <v>1.00000001997876</v>
      </c>
    </row>
    <row r="3877" spans="1:40" x14ac:dyDescent="0.25">
      <c r="A3877" t="str">
        <f>"20190312164346196"</f>
        <v>20190312164346196</v>
      </c>
      <c r="B3877" t="str">
        <f>"1552380226189072"</f>
        <v>1552380226189072</v>
      </c>
      <c r="C3877" t="s">
        <v>40</v>
      </c>
      <c r="D3877">
        <v>4.6455380000000002</v>
      </c>
      <c r="E3877">
        <v>0.45830799999999999</v>
      </c>
      <c r="F3877" t="s">
        <v>42</v>
      </c>
      <c r="G3877">
        <v>-421.14699999999999</v>
      </c>
      <c r="H3877" s="1">
        <v>-2.4364329999999999E-6</v>
      </c>
      <c r="I3877">
        <v>104.1002</v>
      </c>
      <c r="J3877">
        <v>-421.6</v>
      </c>
      <c r="K3877">
        <v>1.1162459999999901</v>
      </c>
      <c r="L3877">
        <v>115.8464</v>
      </c>
      <c r="M3877">
        <v>-0.1246028</v>
      </c>
      <c r="N3877">
        <v>0</v>
      </c>
      <c r="O3877">
        <v>-0.99212489999999998</v>
      </c>
      <c r="P3877">
        <v>-9.0245850000000002E-2</v>
      </c>
      <c r="Q3877">
        <v>0.12593080000000001</v>
      </c>
      <c r="R3877">
        <v>-0.98792590000000002</v>
      </c>
      <c r="S3877">
        <v>0.1078186</v>
      </c>
      <c r="T3877">
        <v>-0.28584890000000002</v>
      </c>
      <c r="U3877">
        <v>-3.0843050000000001</v>
      </c>
      <c r="V3877">
        <v>-3.5657679999999997E-2</v>
      </c>
      <c r="W3877">
        <v>0.13803260000000001</v>
      </c>
      <c r="X3877">
        <v>0.98978560000000004</v>
      </c>
      <c r="Y3877">
        <v>-0.1590522</v>
      </c>
      <c r="Z3877">
        <v>9.0589619999999996E-2</v>
      </c>
      <c r="AA3877">
        <v>0.98310520000000001</v>
      </c>
      <c r="AB3877">
        <v>30</v>
      </c>
      <c r="AC3877">
        <v>0.45300000000003099</v>
      </c>
      <c r="AD3877">
        <v>-1.1162484364330001</v>
      </c>
      <c r="AE3877">
        <v>-11.7462</v>
      </c>
      <c r="AF3877">
        <v>-1.8960993824338901</v>
      </c>
      <c r="AG3877">
        <v>-1.1162484364330001</v>
      </c>
      <c r="AH3877">
        <v>11.494542879851601</v>
      </c>
      <c r="AI3877">
        <v>95.473161236759296</v>
      </c>
      <c r="AJ3877">
        <v>99.366957895344598</v>
      </c>
      <c r="AK3877">
        <v>11.703235426866099</v>
      </c>
      <c r="AL3877">
        <v>82.065982769061307</v>
      </c>
      <c r="AM3877">
        <v>92.063226025173293</v>
      </c>
      <c r="AN3877">
        <v>1.00000000138655</v>
      </c>
    </row>
    <row r="3878" spans="1:40" x14ac:dyDescent="0.25">
      <c r="A3878" t="str">
        <f>"20190312164346218"</f>
        <v>20190312164346218</v>
      </c>
      <c r="B3878" t="str">
        <f>"1552380226208592"</f>
        <v>1552380226208592</v>
      </c>
      <c r="C3878" t="s">
        <v>40</v>
      </c>
      <c r="D3878">
        <v>4.7728159999999997</v>
      </c>
      <c r="E3878">
        <v>0.45927750000000001</v>
      </c>
      <c r="F3878" t="s">
        <v>42</v>
      </c>
      <c r="G3878">
        <v>-421.15989999999999</v>
      </c>
      <c r="H3878" s="1">
        <v>-2.3373460000000001E-6</v>
      </c>
      <c r="I3878">
        <v>103.88330000000001</v>
      </c>
      <c r="J3878">
        <v>-421.6277</v>
      </c>
      <c r="K3878">
        <v>1.1160019999999999</v>
      </c>
      <c r="L3878">
        <v>115.5684</v>
      </c>
      <c r="M3878">
        <v>-0.11777840000000001</v>
      </c>
      <c r="N3878">
        <v>0</v>
      </c>
      <c r="O3878">
        <v>-0.99295880000000003</v>
      </c>
      <c r="P3878">
        <v>-8.8324799999999995E-2</v>
      </c>
      <c r="Q3878">
        <v>0.12544469999999999</v>
      </c>
      <c r="R3878">
        <v>-0.98816110000000001</v>
      </c>
      <c r="S3878">
        <v>0.1134338</v>
      </c>
      <c r="T3878">
        <v>-0.2877325</v>
      </c>
      <c r="U3878">
        <v>-3.0836939999999999</v>
      </c>
      <c r="V3878">
        <v>-3.068796E-2</v>
      </c>
      <c r="W3878">
        <v>0.13758589999999901</v>
      </c>
      <c r="X3878">
        <v>0.99001430000000001</v>
      </c>
      <c r="Y3878">
        <v>-0.15405469999999999</v>
      </c>
      <c r="Z3878">
        <v>9.1349200000000005E-2</v>
      </c>
      <c r="AA3878">
        <v>0.98383050000000005</v>
      </c>
      <c r="AB3878">
        <v>30</v>
      </c>
      <c r="AC3878">
        <v>0.46780000000001098</v>
      </c>
      <c r="AD3878">
        <v>-1.116004337346</v>
      </c>
      <c r="AE3878">
        <v>-11.685099999999901</v>
      </c>
      <c r="AF3878">
        <v>-1.8242930850999901</v>
      </c>
      <c r="AG3878">
        <v>-1.116004337346</v>
      </c>
      <c r="AH3878">
        <v>11.4444327410628</v>
      </c>
      <c r="AI3878">
        <v>95.500578919884603</v>
      </c>
      <c r="AJ3878">
        <v>99.057001005152401</v>
      </c>
      <c r="AK3878">
        <v>11.642532014387101</v>
      </c>
      <c r="AL3878">
        <v>82.091823114359798</v>
      </c>
      <c r="AM3878">
        <v>91.775456946794804</v>
      </c>
      <c r="AN3878">
        <v>0.99999997248613004</v>
      </c>
    </row>
    <row r="3879" spans="1:40" x14ac:dyDescent="0.25">
      <c r="A3879" t="str">
        <f>"20190312164346240"</f>
        <v>20190312164346240</v>
      </c>
      <c r="B3879" t="str">
        <f>"1552380226229088"</f>
        <v>1552380226229088</v>
      </c>
      <c r="C3879" t="s">
        <v>40</v>
      </c>
      <c r="D3879">
        <v>4.8055269999999997</v>
      </c>
      <c r="E3879">
        <v>0.45997860000000002</v>
      </c>
      <c r="F3879" t="s">
        <v>42</v>
      </c>
      <c r="G3879">
        <v>-421.19760000000002</v>
      </c>
      <c r="H3879" s="1">
        <v>-2.2583719999999999E-6</v>
      </c>
      <c r="I3879">
        <v>103.69499999999999</v>
      </c>
      <c r="J3879">
        <v>-421.65589999999997</v>
      </c>
      <c r="K3879">
        <v>1.115731</v>
      </c>
      <c r="L3879">
        <v>115.26819999999999</v>
      </c>
      <c r="M3879">
        <v>-0.11075739999999901</v>
      </c>
      <c r="N3879">
        <v>0</v>
      </c>
      <c r="O3879">
        <v>-0.99376739999999997</v>
      </c>
      <c r="P3879">
        <v>-8.7302759999999993E-2</v>
      </c>
      <c r="Q3879">
        <v>0.12551960000000001</v>
      </c>
      <c r="R3879">
        <v>-0.98824290000000004</v>
      </c>
      <c r="S3879">
        <v>0.11166379999999999</v>
      </c>
      <c r="T3879">
        <v>-0.2897497</v>
      </c>
      <c r="U3879">
        <v>-3.082703</v>
      </c>
      <c r="V3879">
        <v>-2.461091E-2</v>
      </c>
      <c r="W3879">
        <v>0.1377082</v>
      </c>
      <c r="X3879">
        <v>0.99016700000000002</v>
      </c>
      <c r="Y3879">
        <v>-0.14651210000000001</v>
      </c>
      <c r="Z3879">
        <v>9.2181299999999994E-2</v>
      </c>
      <c r="AA3879">
        <v>0.98490449999999996</v>
      </c>
      <c r="AB3879">
        <v>30</v>
      </c>
      <c r="AC3879">
        <v>0.45829999999995102</v>
      </c>
      <c r="AD3879">
        <v>-1.1157332583720001</v>
      </c>
      <c r="AE3879">
        <v>-11.5732</v>
      </c>
      <c r="AF3879">
        <v>-1.72142511653788</v>
      </c>
      <c r="AG3879">
        <v>-1.1157332583720001</v>
      </c>
      <c r="AH3879">
        <v>11.345933331808199</v>
      </c>
      <c r="AI3879">
        <v>95.553131805666993</v>
      </c>
      <c r="AJ3879">
        <v>98.627220668306904</v>
      </c>
      <c r="AK3879">
        <v>11.529890212205901</v>
      </c>
      <c r="AL3879">
        <v>82.084748452308801</v>
      </c>
      <c r="AM3879">
        <v>91.423811336907505</v>
      </c>
      <c r="AN3879">
        <v>0.99999996656363299</v>
      </c>
    </row>
    <row r="3880" spans="1:40" x14ac:dyDescent="0.25">
      <c r="A3880" t="str">
        <f>"20190312164346264"</f>
        <v>20190312164346264</v>
      </c>
      <c r="B3880" t="str">
        <f>"1552380226258368"</f>
        <v>1552380226258368</v>
      </c>
      <c r="C3880" t="s">
        <v>40</v>
      </c>
      <c r="D3880">
        <v>4.8216510000000001</v>
      </c>
      <c r="E3880">
        <v>0.46104909999999999</v>
      </c>
      <c r="F3880" t="s">
        <v>42</v>
      </c>
      <c r="G3880">
        <v>-421.2278</v>
      </c>
      <c r="H3880" s="1">
        <v>-2.0802340000000001E-6</v>
      </c>
      <c r="I3880">
        <v>103.30119999999999</v>
      </c>
      <c r="J3880">
        <v>-421.68239999999997</v>
      </c>
      <c r="K3880">
        <v>1.115437</v>
      </c>
      <c r="L3880">
        <v>114.96559999999999</v>
      </c>
      <c r="M3880">
        <v>-0.10410899999999999</v>
      </c>
      <c r="N3880">
        <v>0</v>
      </c>
      <c r="O3880">
        <v>-0.99448650000000005</v>
      </c>
      <c r="P3880">
        <v>-8.6570049999999996E-2</v>
      </c>
      <c r="Q3880">
        <v>0.12576999999999999</v>
      </c>
      <c r="R3880">
        <v>-0.98827509999999996</v>
      </c>
      <c r="S3880">
        <v>0.11026</v>
      </c>
      <c r="T3880">
        <v>-0.28734150000000003</v>
      </c>
      <c r="U3880">
        <v>-3.0819239999999999</v>
      </c>
      <c r="V3880">
        <v>-1.8613919999999999E-2</v>
      </c>
      <c r="W3880">
        <v>0.1379987</v>
      </c>
      <c r="X3880">
        <v>0.99025750000000001</v>
      </c>
      <c r="Y3880">
        <v>-0.13945650000000001</v>
      </c>
      <c r="Z3880">
        <v>9.1592670000000001E-2</v>
      </c>
      <c r="AA3880">
        <v>0.9859831</v>
      </c>
      <c r="AB3880">
        <v>30</v>
      </c>
      <c r="AC3880">
        <v>0.45459999999996997</v>
      </c>
      <c r="AD3880">
        <v>-1.115439080234</v>
      </c>
      <c r="AE3880">
        <v>-11.664400000000001</v>
      </c>
      <c r="AF3880">
        <v>-1.65151456821711</v>
      </c>
      <c r="AG3880">
        <v>-1.115439080234</v>
      </c>
      <c r="AH3880">
        <v>11.4491331937065</v>
      </c>
      <c r="AI3880">
        <v>95.507864997473206</v>
      </c>
      <c r="AJ3880">
        <v>98.2081835572844</v>
      </c>
      <c r="AK3880">
        <v>11.6212888957283</v>
      </c>
      <c r="AL3880">
        <v>82.067943994298105</v>
      </c>
      <c r="AM3880">
        <v>91.076864830039298</v>
      </c>
      <c r="AN3880">
        <v>1.0000000177628501</v>
      </c>
    </row>
    <row r="3881" spans="1:40" x14ac:dyDescent="0.25">
      <c r="A3881" t="str">
        <f>"20190312164346286"</f>
        <v>20190312164346286</v>
      </c>
      <c r="B3881" t="str">
        <f>"1552380226278864"</f>
        <v>1552380226278864</v>
      </c>
      <c r="C3881" t="s">
        <v>40</v>
      </c>
      <c r="D3881">
        <v>4.6981549999999999</v>
      </c>
      <c r="E3881">
        <v>0.46143699999999999</v>
      </c>
      <c r="F3881" t="s">
        <v>42</v>
      </c>
      <c r="G3881">
        <v>-421.27359999999999</v>
      </c>
      <c r="H3881" s="1">
        <v>-1.9610010000000002E-6</v>
      </c>
      <c r="I3881">
        <v>103.0232</v>
      </c>
      <c r="J3881">
        <v>-421.70679999999999</v>
      </c>
      <c r="K3881">
        <v>1.1151549999999999</v>
      </c>
      <c r="L3881">
        <v>114.6686</v>
      </c>
      <c r="M3881">
        <v>-9.7955970000000003E-2</v>
      </c>
      <c r="N3881">
        <v>0</v>
      </c>
      <c r="O3881">
        <v>-0.995112</v>
      </c>
      <c r="P3881">
        <v>-8.5646470000000002E-2</v>
      </c>
      <c r="Q3881">
        <v>0.12661120000000001</v>
      </c>
      <c r="R3881">
        <v>-0.98824800000000002</v>
      </c>
      <c r="S3881">
        <v>0.1054688</v>
      </c>
      <c r="T3881">
        <v>-0.28781099999999998</v>
      </c>
      <c r="U3881">
        <v>-3.0814509999999999</v>
      </c>
      <c r="V3881">
        <v>-1.331077E-2</v>
      </c>
      <c r="W3881">
        <v>0.13885810000000001</v>
      </c>
      <c r="X3881">
        <v>0.99022279999999996</v>
      </c>
      <c r="Y3881">
        <v>-0.13180140000000001</v>
      </c>
      <c r="Z3881">
        <v>9.1893340000000004E-2</v>
      </c>
      <c r="AA3881">
        <v>0.98700759999999998</v>
      </c>
      <c r="AB3881">
        <v>30</v>
      </c>
      <c r="AC3881">
        <v>0.43319999999999897</v>
      </c>
      <c r="AD3881">
        <v>-1.1151569610009999</v>
      </c>
      <c r="AE3881">
        <v>-11.645399999999899</v>
      </c>
      <c r="AF3881">
        <v>-1.5576781974327001</v>
      </c>
      <c r="AG3881">
        <v>-1.1151569610009999</v>
      </c>
      <c r="AH3881">
        <v>11.442169485482699</v>
      </c>
      <c r="AI3881">
        <v>95.515922581499893</v>
      </c>
      <c r="AJ3881">
        <v>97.752297274497494</v>
      </c>
      <c r="AK3881">
        <v>11.601430038962301</v>
      </c>
      <c r="AL3881">
        <v>82.018224956448606</v>
      </c>
      <c r="AM3881">
        <v>90.770134774624296</v>
      </c>
      <c r="AN3881">
        <v>0.99999997108672001</v>
      </c>
    </row>
    <row r="3882" spans="1:40" x14ac:dyDescent="0.25">
      <c r="A3882" t="str">
        <f>"20190312164346308"</f>
        <v>20190312164346308</v>
      </c>
      <c r="B3882" t="str">
        <f>"1552380226298384"</f>
        <v>1552380226298384</v>
      </c>
      <c r="C3882" t="s">
        <v>40</v>
      </c>
      <c r="D3882">
        <v>4.753317</v>
      </c>
      <c r="E3882">
        <v>0.46160980000000001</v>
      </c>
      <c r="F3882" t="s">
        <v>42</v>
      </c>
      <c r="G3882">
        <v>-421.29410000000001</v>
      </c>
      <c r="H3882" s="1">
        <v>-1.731E-6</v>
      </c>
      <c r="I3882">
        <v>102.52509999999999</v>
      </c>
      <c r="J3882">
        <v>-421.7285</v>
      </c>
      <c r="K3882">
        <v>1.1149209999999901</v>
      </c>
      <c r="L3882">
        <v>114.3884</v>
      </c>
      <c r="M3882">
        <v>-9.2430349999999994E-2</v>
      </c>
      <c r="N3882">
        <v>0</v>
      </c>
      <c r="O3882">
        <v>-0.99564129999999995</v>
      </c>
      <c r="P3882">
        <v>-8.5466379999999995E-2</v>
      </c>
      <c r="Q3882">
        <v>0.12687970000000001</v>
      </c>
      <c r="R3882">
        <v>-0.98822920000000003</v>
      </c>
      <c r="S3882">
        <v>0.1047058</v>
      </c>
      <c r="T3882">
        <v>-0.28293220000000002</v>
      </c>
      <c r="U3882">
        <v>-3.080994</v>
      </c>
      <c r="V3882">
        <v>-7.9052900000000006E-3</v>
      </c>
      <c r="W3882">
        <v>0.1391452</v>
      </c>
      <c r="X3882">
        <v>0.99024049999999997</v>
      </c>
      <c r="Y3882">
        <v>-0.12606220000000001</v>
      </c>
      <c r="Z3882">
        <v>9.0468960000000001E-2</v>
      </c>
      <c r="AA3882">
        <v>0.98788849999999995</v>
      </c>
      <c r="AB3882">
        <v>30</v>
      </c>
      <c r="AC3882">
        <v>0.43439999999998202</v>
      </c>
      <c r="AD3882">
        <v>-1.1149227309999901</v>
      </c>
      <c r="AE3882">
        <v>-11.863300000000001</v>
      </c>
      <c r="AF3882">
        <v>-1.51578401318667</v>
      </c>
      <c r="AG3882">
        <v>-1.1149227309999901</v>
      </c>
      <c r="AH3882">
        <v>11.669421337386201</v>
      </c>
      <c r="AI3882">
        <v>95.412405823571106</v>
      </c>
      <c r="AJ3882">
        <v>97.400921271046002</v>
      </c>
      <c r="AK3882">
        <v>11.8201543230272</v>
      </c>
      <c r="AL3882">
        <v>82.001614830273297</v>
      </c>
      <c r="AM3882">
        <v>90.457394068426794</v>
      </c>
      <c r="AN3882">
        <v>1.00000006406663</v>
      </c>
    </row>
    <row r="3883" spans="1:40" x14ac:dyDescent="0.25">
      <c r="A3883" t="str">
        <f>"20190312164346330"</f>
        <v>20190312164346330</v>
      </c>
      <c r="B3883" t="str">
        <f>"1552380226318880"</f>
        <v>1552380226318880</v>
      </c>
      <c r="C3883" t="s">
        <v>40</v>
      </c>
      <c r="D3883">
        <v>4.7438969999999996</v>
      </c>
      <c r="E3883">
        <v>0.4619781</v>
      </c>
      <c r="F3883" t="s">
        <v>42</v>
      </c>
      <c r="G3883">
        <v>-421.31909999999999</v>
      </c>
      <c r="H3883" s="1">
        <v>-1.6235020000000001E-6</v>
      </c>
      <c r="I3883">
        <v>102.28360000000001</v>
      </c>
      <c r="J3883">
        <v>-421.74979999999999</v>
      </c>
      <c r="K3883">
        <v>1.1147049999999901</v>
      </c>
      <c r="L3883">
        <v>114.0962</v>
      </c>
      <c r="M3883">
        <v>-8.6946800000000005E-2</v>
      </c>
      <c r="N3883">
        <v>0</v>
      </c>
      <c r="O3883">
        <v>-0.99613569999999996</v>
      </c>
      <c r="P3883">
        <v>-8.5173990000000005E-2</v>
      </c>
      <c r="Q3883">
        <v>0.1269574</v>
      </c>
      <c r="R3883">
        <v>-0.98824460000000003</v>
      </c>
      <c r="S3883">
        <v>0.1042175</v>
      </c>
      <c r="T3883">
        <v>-0.2837981</v>
      </c>
      <c r="U3883">
        <v>-3.081207</v>
      </c>
      <c r="V3883">
        <v>-2.6629890000000002E-3</v>
      </c>
      <c r="W3883">
        <v>0.13923640000000001</v>
      </c>
      <c r="X3883">
        <v>0.99025560000000001</v>
      </c>
      <c r="Y3883">
        <v>-0.1204384</v>
      </c>
      <c r="Z3883">
        <v>9.0837440000000005E-2</v>
      </c>
      <c r="AA3883">
        <v>0.98855610000000005</v>
      </c>
      <c r="AB3883">
        <v>30</v>
      </c>
      <c r="AC3883">
        <v>0.43070000000000103</v>
      </c>
      <c r="AD3883">
        <v>-1.11470662350199</v>
      </c>
      <c r="AE3883">
        <v>-11.8125999999999</v>
      </c>
      <c r="AF3883">
        <v>-1.44337937348134</v>
      </c>
      <c r="AG3883">
        <v>-1.11470662350199</v>
      </c>
      <c r="AH3883">
        <v>11.627007253844999</v>
      </c>
      <c r="AI3883">
        <v>95.434869067317806</v>
      </c>
      <c r="AJ3883">
        <v>97.076507990703703</v>
      </c>
      <c r="AK3883">
        <v>11.769163630149601</v>
      </c>
      <c r="AL3883">
        <v>81.996337653653399</v>
      </c>
      <c r="AM3883">
        <v>90.154079070886993</v>
      </c>
      <c r="AN3883">
        <v>1.0000000099633599</v>
      </c>
    </row>
    <row r="3884" spans="1:40" x14ac:dyDescent="0.25">
      <c r="A3884" t="str">
        <f>"20190312164346353"</f>
        <v>20190312164346353</v>
      </c>
      <c r="B3884" t="str">
        <f>"1552380226349136"</f>
        <v>1552380226349136</v>
      </c>
      <c r="C3884" t="s">
        <v>40</v>
      </c>
      <c r="D3884">
        <v>4.7591539999999997</v>
      </c>
      <c r="E3884">
        <v>0.46223750000000002</v>
      </c>
      <c r="F3884" t="s">
        <v>42</v>
      </c>
      <c r="G3884">
        <v>-421.3492</v>
      </c>
      <c r="H3884" s="1">
        <v>-1.514964E-6</v>
      </c>
      <c r="I3884">
        <v>102.0371</v>
      </c>
      <c r="J3884">
        <v>-421.77</v>
      </c>
      <c r="K3884">
        <v>1.1145039999999999</v>
      </c>
      <c r="L3884">
        <v>113.7989</v>
      </c>
      <c r="M3884">
        <v>-8.1638009999999997E-2</v>
      </c>
      <c r="N3884">
        <v>0</v>
      </c>
      <c r="O3884">
        <v>-0.99658550000000001</v>
      </c>
      <c r="P3884">
        <v>-8.4771009999999994E-2</v>
      </c>
      <c r="Q3884">
        <v>0.127252</v>
      </c>
      <c r="R3884">
        <v>-0.98824140000000005</v>
      </c>
      <c r="S3884">
        <v>0.102356</v>
      </c>
      <c r="T3884">
        <v>-0.28480719999999998</v>
      </c>
      <c r="U3884">
        <v>-3.0811000000000002</v>
      </c>
      <c r="V3884">
        <v>2.287266E-3</v>
      </c>
      <c r="W3884">
        <v>0.139534299999999</v>
      </c>
      <c r="X3884">
        <v>0.99021459999999994</v>
      </c>
      <c r="Y3884">
        <v>-0.1145505</v>
      </c>
      <c r="Z3884">
        <v>9.1255790000000003E-2</v>
      </c>
      <c r="AA3884">
        <v>0.98921720000000002</v>
      </c>
      <c r="AB3884">
        <v>30</v>
      </c>
      <c r="AC3884">
        <v>0.42079999999998502</v>
      </c>
      <c r="AD3884">
        <v>-1.114505514964</v>
      </c>
      <c r="AE3884">
        <v>-11.761799999999999</v>
      </c>
      <c r="AF3884">
        <v>-1.3674163594134701</v>
      </c>
      <c r="AG3884">
        <v>-1.114505514964</v>
      </c>
      <c r="AH3884">
        <v>11.584297977218901</v>
      </c>
      <c r="AI3884">
        <v>95.457755162669798</v>
      </c>
      <c r="AJ3884">
        <v>96.732070728768804</v>
      </c>
      <c r="AK3884">
        <v>11.717845777610901</v>
      </c>
      <c r="AL3884">
        <v>81.979100926218607</v>
      </c>
      <c r="AM3884">
        <v>89.867654490904201</v>
      </c>
      <c r="AN3884">
        <v>1.0000000032577001</v>
      </c>
    </row>
    <row r="3885" spans="1:40" x14ac:dyDescent="0.25">
      <c r="A3885" t="str">
        <f>"20190312164346375"</f>
        <v>20190312164346375</v>
      </c>
      <c r="B3885" t="str">
        <f>"1552380226368656"</f>
        <v>1552380226368656</v>
      </c>
      <c r="C3885" t="s">
        <v>40</v>
      </c>
      <c r="D3885">
        <v>4.8218579999999998</v>
      </c>
      <c r="E3885">
        <v>0.46237679999999998</v>
      </c>
      <c r="F3885" t="s">
        <v>42</v>
      </c>
      <c r="G3885">
        <v>-421.36880000000002</v>
      </c>
      <c r="H3885" s="1">
        <v>-1.3750880000000001E-6</v>
      </c>
      <c r="I3885">
        <v>101.73009999999999</v>
      </c>
      <c r="J3885">
        <v>-421.78890000000001</v>
      </c>
      <c r="K3885">
        <v>1.1143209999999999</v>
      </c>
      <c r="L3885">
        <v>113.4996</v>
      </c>
      <c r="M3885">
        <v>-7.653915E-2</v>
      </c>
      <c r="N3885">
        <v>0</v>
      </c>
      <c r="O3885">
        <v>-0.99699070000000001</v>
      </c>
      <c r="P3885">
        <v>-8.4061869999999997E-2</v>
      </c>
      <c r="Q3885">
        <v>0.12836819999999999</v>
      </c>
      <c r="R3885">
        <v>-0.98815759999999997</v>
      </c>
      <c r="S3885">
        <v>0.10241699999999999</v>
      </c>
      <c r="T3885">
        <v>-0.28452850000000002</v>
      </c>
      <c r="U3885">
        <v>-3.0811000000000002</v>
      </c>
      <c r="V3885">
        <v>6.7162460000000004E-3</v>
      </c>
      <c r="W3885">
        <v>0.14064009999999999</v>
      </c>
      <c r="X3885">
        <v>0.99003799999999997</v>
      </c>
      <c r="Y3885">
        <v>-0.1094873</v>
      </c>
      <c r="Z3885">
        <v>9.1249220000000006E-2</v>
      </c>
      <c r="AA3885">
        <v>0.98979090000000003</v>
      </c>
      <c r="AB3885">
        <v>30</v>
      </c>
      <c r="AC3885">
        <v>0.42009999999998998</v>
      </c>
      <c r="AD3885">
        <v>-1.11432237508799</v>
      </c>
      <c r="AE3885">
        <v>-11.769500000000001</v>
      </c>
      <c r="AF3885">
        <v>-1.3080525977069899</v>
      </c>
      <c r="AG3885">
        <v>-1.11432237508799</v>
      </c>
      <c r="AH3885">
        <v>11.598971516889501</v>
      </c>
      <c r="AI3885">
        <v>95.453252696488406</v>
      </c>
      <c r="AJ3885">
        <v>96.434241213658893</v>
      </c>
      <c r="AK3885">
        <v>11.725564216855499</v>
      </c>
      <c r="AL3885">
        <v>81.915112189814096</v>
      </c>
      <c r="AM3885">
        <v>89.611321336078603</v>
      </c>
      <c r="AN3885">
        <v>0.99999999356617097</v>
      </c>
    </row>
    <row r="3886" spans="1:40" x14ac:dyDescent="0.25">
      <c r="A3886" t="str">
        <f>"20190312164346397"</f>
        <v>20190312164346397</v>
      </c>
      <c r="B3886" t="str">
        <f>"1552380226389152"</f>
        <v>1552380226389152</v>
      </c>
      <c r="C3886" t="s">
        <v>40</v>
      </c>
      <c r="D3886">
        <v>4.8611610000000001</v>
      </c>
      <c r="E3886">
        <v>0.4627233</v>
      </c>
      <c r="F3886" t="s">
        <v>42</v>
      </c>
      <c r="G3886">
        <v>-421.37759999999997</v>
      </c>
      <c r="H3886" s="1">
        <v>-1.1756940000000001E-6</v>
      </c>
      <c r="I3886">
        <v>101.30329999999999</v>
      </c>
      <c r="J3886">
        <v>-421.80619999999999</v>
      </c>
      <c r="K3886">
        <v>1.114141</v>
      </c>
      <c r="L3886">
        <v>113.2086</v>
      </c>
      <c r="M3886">
        <v>-7.1786509999999998E-2</v>
      </c>
      <c r="N3886">
        <v>0</v>
      </c>
      <c r="O3886">
        <v>-0.99734489999999998</v>
      </c>
      <c r="P3886">
        <v>-8.4248130000000004E-2</v>
      </c>
      <c r="Q3886">
        <v>0.12912589999999999</v>
      </c>
      <c r="R3886">
        <v>-0.98804320000000001</v>
      </c>
      <c r="S3886">
        <v>0.1039124</v>
      </c>
      <c r="T3886">
        <v>-0.28153050000000002</v>
      </c>
      <c r="U3886">
        <v>-3.0813600000000001</v>
      </c>
      <c r="V3886">
        <v>1.169253E-2</v>
      </c>
      <c r="W3886">
        <v>0.14139399999999999</v>
      </c>
      <c r="X3886">
        <v>0.9898844</v>
      </c>
      <c r="Y3886">
        <v>-0.1052288</v>
      </c>
      <c r="Z3886">
        <v>9.0356599999999995E-2</v>
      </c>
      <c r="AA3886">
        <v>0.99033459999999995</v>
      </c>
      <c r="AB3886">
        <v>30</v>
      </c>
      <c r="AC3886">
        <v>0.42860000000001702</v>
      </c>
      <c r="AD3886">
        <v>-1.114142175694</v>
      </c>
      <c r="AE3886">
        <v>-11.9053</v>
      </c>
      <c r="AF3886">
        <v>-1.2710804316373401</v>
      </c>
      <c r="AG3886">
        <v>-1.114142175694</v>
      </c>
      <c r="AH3886">
        <v>11.741115405849101</v>
      </c>
      <c r="AI3886">
        <v>95.389397583548003</v>
      </c>
      <c r="AJ3886">
        <v>96.178715818137505</v>
      </c>
      <c r="AK3886">
        <v>11.8621561794144</v>
      </c>
      <c r="AL3886">
        <v>81.871481377684702</v>
      </c>
      <c r="AM3886">
        <v>89.3232528300518</v>
      </c>
      <c r="AN3886">
        <v>1.0000000519285701</v>
      </c>
    </row>
    <row r="3887" spans="1:40" x14ac:dyDescent="0.25">
      <c r="A3887" t="str">
        <f>"20190312164346418"</f>
        <v>20190312164346418</v>
      </c>
      <c r="B3887" t="str">
        <f>"1552380226408672"</f>
        <v>1552380226408672</v>
      </c>
      <c r="C3887" t="s">
        <v>40</v>
      </c>
      <c r="D3887">
        <v>4.7513889999999996</v>
      </c>
      <c r="E3887">
        <v>0.46292670000000002</v>
      </c>
      <c r="F3887" t="s">
        <v>42</v>
      </c>
      <c r="G3887">
        <v>-421.40519999999998</v>
      </c>
      <c r="H3887" s="1">
        <v>-1.011485E-6</v>
      </c>
      <c r="I3887">
        <v>100.9404</v>
      </c>
      <c r="J3887">
        <v>-421.8218</v>
      </c>
      <c r="K3887">
        <v>1.1139709999999901</v>
      </c>
      <c r="L3887">
        <v>112.9247</v>
      </c>
      <c r="M3887">
        <v>-6.7322430000000003E-2</v>
      </c>
      <c r="N3887">
        <v>0</v>
      </c>
      <c r="O3887">
        <v>-0.9976566</v>
      </c>
      <c r="P3887">
        <v>-8.3973729999999996E-2</v>
      </c>
      <c r="Q3887">
        <v>0.13045909999999999</v>
      </c>
      <c r="R3887">
        <v>-0.98789119999999997</v>
      </c>
      <c r="S3887">
        <v>0.10070800000000001</v>
      </c>
      <c r="T3887">
        <v>-0.27984520000000002</v>
      </c>
      <c r="U3887">
        <v>-3.081467</v>
      </c>
      <c r="V3887">
        <v>1.5911580000000002E-2</v>
      </c>
      <c r="W3887">
        <v>0.1427165</v>
      </c>
      <c r="X3887">
        <v>0.98963570000000001</v>
      </c>
      <c r="Y3887">
        <v>-9.9748580000000003E-2</v>
      </c>
      <c r="Z3887">
        <v>8.9886339999999995E-2</v>
      </c>
      <c r="AA3887">
        <v>0.9909443</v>
      </c>
      <c r="AB3887">
        <v>30</v>
      </c>
      <c r="AC3887">
        <v>0.41660000000001601</v>
      </c>
      <c r="AD3887">
        <v>-1.11397201148499</v>
      </c>
      <c r="AE3887">
        <v>-11.984299999999999</v>
      </c>
      <c r="AF3887">
        <v>-1.2120671693949301</v>
      </c>
      <c r="AG3887">
        <v>-1.11397201148499</v>
      </c>
      <c r="AH3887">
        <v>11.8269940857794</v>
      </c>
      <c r="AI3887">
        <v>95.352881662303403</v>
      </c>
      <c r="AJ3887">
        <v>95.851421483779305</v>
      </c>
      <c r="AK3887">
        <v>11.941014595525701</v>
      </c>
      <c r="AL3887">
        <v>81.794930949655594</v>
      </c>
      <c r="AM3887">
        <v>89.078865249570001</v>
      </c>
      <c r="AN3887">
        <v>0.99999999823241803</v>
      </c>
    </row>
    <row r="3888" spans="1:40" x14ac:dyDescent="0.25">
      <c r="A3888" t="str">
        <f>"20190312164346441"</f>
        <v>20190312164346441</v>
      </c>
      <c r="B3888" t="str">
        <f>"1552380226438929"</f>
        <v>1552380226438929</v>
      </c>
      <c r="C3888" t="s">
        <v>40</v>
      </c>
      <c r="D3888">
        <v>4.8166320000000002</v>
      </c>
      <c r="E3888">
        <v>0.46337729999999999</v>
      </c>
      <c r="F3888" t="s">
        <v>42</v>
      </c>
      <c r="G3888">
        <v>-421.41579999999999</v>
      </c>
      <c r="H3888" s="1">
        <v>-7.8984949999999898E-7</v>
      </c>
      <c r="I3888">
        <v>100.46559999999999</v>
      </c>
      <c r="J3888">
        <v>-421.83710000000002</v>
      </c>
      <c r="K3888">
        <v>1.1138220000000001</v>
      </c>
      <c r="L3888">
        <v>112.62520000000001</v>
      </c>
      <c r="M3888">
        <v>-6.2771430000000003E-2</v>
      </c>
      <c r="N3888">
        <v>0</v>
      </c>
      <c r="O3888">
        <v>-0.99795409999999996</v>
      </c>
      <c r="P3888">
        <v>-8.3925550000000002E-2</v>
      </c>
      <c r="Q3888">
        <v>0.13209849999999901</v>
      </c>
      <c r="R3888">
        <v>-0.98767760000000004</v>
      </c>
      <c r="S3888">
        <v>0.1004333</v>
      </c>
      <c r="T3888">
        <v>-0.27553529999999998</v>
      </c>
      <c r="U3888">
        <v>-3.081696</v>
      </c>
      <c r="V3888">
        <v>2.043797E-2</v>
      </c>
      <c r="W3888">
        <v>0.14434029999999901</v>
      </c>
      <c r="X3888">
        <v>0.989317</v>
      </c>
      <c r="Y3888">
        <v>-9.5122670000000006E-2</v>
      </c>
      <c r="Z3888">
        <v>8.8566439999999996E-2</v>
      </c>
      <c r="AA3888">
        <v>0.9915178</v>
      </c>
      <c r="AB3888">
        <v>30</v>
      </c>
      <c r="AC3888">
        <v>0.42130000000002998</v>
      </c>
      <c r="AD3888">
        <v>-1.1138227898494999</v>
      </c>
      <c r="AE3888">
        <v>-12.159599999999999</v>
      </c>
      <c r="AF3888">
        <v>-1.17396231796335</v>
      </c>
      <c r="AG3888">
        <v>-1.1138227898494999</v>
      </c>
      <c r="AH3888">
        <v>12.008531207625801</v>
      </c>
      <c r="AI3888">
        <v>95.274171999765002</v>
      </c>
      <c r="AJ3888">
        <v>95.583532589750703</v>
      </c>
      <c r="AK3888">
        <v>12.117079288991601</v>
      </c>
      <c r="AL3888">
        <v>81.700920532781197</v>
      </c>
      <c r="AM3888">
        <v>88.816513940968207</v>
      </c>
      <c r="AN3888">
        <v>0.99999997965540499</v>
      </c>
    </row>
    <row r="3889" spans="1:40" x14ac:dyDescent="0.25">
      <c r="A3889" t="str">
        <f>"20190312164346465"</f>
        <v>20190312164346465</v>
      </c>
      <c r="B3889" t="str">
        <f>"1552380226458448"</f>
        <v>1552380226458448</v>
      </c>
      <c r="C3889" t="s">
        <v>40</v>
      </c>
      <c r="D3889">
        <v>4.7344569999999999</v>
      </c>
      <c r="E3889">
        <v>0.46357480000000001</v>
      </c>
      <c r="F3889" t="s">
        <v>42</v>
      </c>
      <c r="G3889">
        <v>-421.43599999999998</v>
      </c>
      <c r="H3889" s="1">
        <v>-5.6761260000000005E-7</v>
      </c>
      <c r="I3889">
        <v>99.984120000000004</v>
      </c>
      <c r="J3889">
        <v>-421.85160000000002</v>
      </c>
      <c r="K3889">
        <v>1.1136870000000001</v>
      </c>
      <c r="L3889">
        <v>112.31440000000001</v>
      </c>
      <c r="M3889">
        <v>-5.8205029999999998E-2</v>
      </c>
      <c r="N3889">
        <v>0</v>
      </c>
      <c r="O3889">
        <v>-0.99823119999999999</v>
      </c>
      <c r="P3889">
        <v>-8.3376720000000001E-2</v>
      </c>
      <c r="Q3889">
        <v>0.13309609999999999</v>
      </c>
      <c r="R3889">
        <v>-0.98759019999999997</v>
      </c>
      <c r="S3889">
        <v>9.7808839999999994E-2</v>
      </c>
      <c r="T3889">
        <v>-0.2715651</v>
      </c>
      <c r="U3889">
        <v>-3.0820620000000001</v>
      </c>
      <c r="V3889">
        <v>2.4467050000000001E-2</v>
      </c>
      <c r="W3889">
        <v>0.145317</v>
      </c>
      <c r="X3889">
        <v>0.98908260000000003</v>
      </c>
      <c r="Y3889">
        <v>-8.9723239999999996E-2</v>
      </c>
      <c r="Z3889">
        <v>8.7349449999999995E-2</v>
      </c>
      <c r="AA3889">
        <v>0.99212889999999998</v>
      </c>
      <c r="AB3889">
        <v>30</v>
      </c>
      <c r="AC3889">
        <v>0.41560000000003999</v>
      </c>
      <c r="AD3889">
        <v>-1.1136875676125999</v>
      </c>
      <c r="AE3889">
        <v>-12.33028</v>
      </c>
      <c r="AF3889">
        <v>-1.1234773868632499</v>
      </c>
      <c r="AG3889">
        <v>-1.1136875676125999</v>
      </c>
      <c r="AH3889">
        <v>12.1858820425358</v>
      </c>
      <c r="AI3889">
        <v>95.199917275638796</v>
      </c>
      <c r="AJ3889">
        <v>95.267493611852203</v>
      </c>
      <c r="AK3889">
        <v>12.288133405511299</v>
      </c>
      <c r="AL3889">
        <v>81.644363855463695</v>
      </c>
      <c r="AM3889">
        <v>88.582956708556694</v>
      </c>
      <c r="AN3889">
        <v>1.00000002832373</v>
      </c>
    </row>
    <row r="3890" spans="1:40" x14ac:dyDescent="0.25">
      <c r="A3890" t="str">
        <f>"20190312164346487"</f>
        <v>20190312164346487</v>
      </c>
      <c r="B3890" t="str">
        <f>"1552380226478944"</f>
        <v>1552380226478944</v>
      </c>
      <c r="C3890" t="s">
        <v>40</v>
      </c>
      <c r="D3890">
        <v>4.7471949999999996</v>
      </c>
      <c r="E3890">
        <v>0.46380260000000001</v>
      </c>
      <c r="F3890" t="s">
        <v>42</v>
      </c>
      <c r="G3890">
        <v>-421.44380000000001</v>
      </c>
      <c r="H3890" s="1">
        <v>-4.5127470000000002E-6</v>
      </c>
      <c r="I3890">
        <v>99.49512</v>
      </c>
      <c r="J3890">
        <v>-421.86430000000001</v>
      </c>
      <c r="K3890">
        <v>1.11359599999999</v>
      </c>
      <c r="L3890">
        <v>112.0181</v>
      </c>
      <c r="M3890">
        <v>-5.3947330000000002E-2</v>
      </c>
      <c r="N3890">
        <v>0</v>
      </c>
      <c r="O3890">
        <v>-0.99847079999999999</v>
      </c>
      <c r="P3890">
        <v>-8.2829369999999999E-2</v>
      </c>
      <c r="Q3890">
        <v>0.133525</v>
      </c>
      <c r="R3890">
        <v>-0.98757819999999996</v>
      </c>
      <c r="S3890">
        <v>9.8052979999999998E-2</v>
      </c>
      <c r="T3890">
        <v>-0.26775739999999998</v>
      </c>
      <c r="U3890">
        <v>-3.0820470000000002</v>
      </c>
      <c r="V3890">
        <v>2.8177029999999999E-2</v>
      </c>
      <c r="W3890">
        <v>0.14572979999999899</v>
      </c>
      <c r="X3890">
        <v>0.98892310000000005</v>
      </c>
      <c r="Y3890">
        <v>-8.5556980000000005E-2</v>
      </c>
      <c r="Z3890">
        <v>8.6181140000000003E-2</v>
      </c>
      <c r="AA3890">
        <v>0.99259900000000001</v>
      </c>
      <c r="AB3890">
        <v>30</v>
      </c>
      <c r="AC3890">
        <v>0.42050000000000398</v>
      </c>
      <c r="AD3890">
        <v>-1.1136005127469999</v>
      </c>
      <c r="AE3890">
        <v>-12.52298</v>
      </c>
      <c r="AF3890">
        <v>-1.08693281746517</v>
      </c>
      <c r="AG3890">
        <v>-1.1136005127469999</v>
      </c>
      <c r="AH3890">
        <v>12.3842356365497</v>
      </c>
      <c r="AI3890">
        <v>95.118691779519295</v>
      </c>
      <c r="AJ3890">
        <v>95.015851731919199</v>
      </c>
      <c r="AK3890">
        <v>12.481619340184199</v>
      </c>
      <c r="AL3890">
        <v>81.620457506452198</v>
      </c>
      <c r="AM3890">
        <v>88.367933531858398</v>
      </c>
      <c r="AN3890">
        <v>1.00000000867063</v>
      </c>
    </row>
    <row r="3891" spans="1:40" x14ac:dyDescent="0.25">
      <c r="A3891" t="str">
        <f>"20190312164346508"</f>
        <v>20190312164346508</v>
      </c>
      <c r="B3891" t="str">
        <f>"1552380226498464"</f>
        <v>1552380226498464</v>
      </c>
      <c r="C3891" t="s">
        <v>40</v>
      </c>
      <c r="D3891">
        <v>4.8446449999999999</v>
      </c>
      <c r="E3891">
        <v>0.46394350000000001</v>
      </c>
      <c r="F3891" t="s">
        <v>42</v>
      </c>
      <c r="G3891">
        <v>-421.45870000000002</v>
      </c>
      <c r="H3891" s="1">
        <v>-4.3919990000000002E-6</v>
      </c>
      <c r="I3891">
        <v>99.132509999999996</v>
      </c>
      <c r="J3891">
        <v>-421.875</v>
      </c>
      <c r="K3891">
        <v>1.113526</v>
      </c>
      <c r="L3891">
        <v>111.7458</v>
      </c>
      <c r="M3891">
        <v>-5.0100440000000003E-2</v>
      </c>
      <c r="N3891">
        <v>0</v>
      </c>
      <c r="O3891">
        <v>-0.99867169999999905</v>
      </c>
      <c r="P3891">
        <v>-8.2141489999999998E-2</v>
      </c>
      <c r="Q3891">
        <v>0.1337747</v>
      </c>
      <c r="R3891">
        <v>-0.98760179999999997</v>
      </c>
      <c r="S3891">
        <v>9.7015379999999998E-2</v>
      </c>
      <c r="T3891">
        <v>-0.26634200000000002</v>
      </c>
      <c r="U3891">
        <v>-3.0818789999999998</v>
      </c>
      <c r="V3891">
        <v>3.1327519999999998E-2</v>
      </c>
      <c r="W3891">
        <v>0.1459666</v>
      </c>
      <c r="X3891">
        <v>0.98879340000000004</v>
      </c>
      <c r="Y3891">
        <v>-8.1387039999999994E-2</v>
      </c>
      <c r="Z3891">
        <v>8.5774950000000003E-2</v>
      </c>
      <c r="AA3891">
        <v>0.9929848</v>
      </c>
      <c r="AB3891">
        <v>30</v>
      </c>
      <c r="AC3891">
        <v>0.41629999999997802</v>
      </c>
      <c r="AD3891">
        <v>-1.1135303919990001</v>
      </c>
      <c r="AE3891">
        <v>-12.613289999999999</v>
      </c>
      <c r="AF3891">
        <v>-1.0396602062190301</v>
      </c>
      <c r="AG3891">
        <v>-1.1135303919990001</v>
      </c>
      <c r="AH3891">
        <v>12.479433459786501</v>
      </c>
      <c r="AI3891">
        <v>95.081444372934001</v>
      </c>
      <c r="AJ3891">
        <v>94.762307644610402</v>
      </c>
      <c r="AK3891">
        <v>12.5720763104406</v>
      </c>
      <c r="AL3891">
        <v>81.606743355623394</v>
      </c>
      <c r="AM3891">
        <v>88.185329247140999</v>
      </c>
      <c r="AN3891">
        <v>1.00000002485423</v>
      </c>
    </row>
    <row r="3892" spans="1:40" x14ac:dyDescent="0.25">
      <c r="A3892" t="str">
        <f>"20190312164346530"</f>
        <v>20190312164346530</v>
      </c>
      <c r="B3892" t="str">
        <f>"1552380226518961"</f>
        <v>1552380226518961</v>
      </c>
      <c r="C3892" t="s">
        <v>40</v>
      </c>
      <c r="D3892">
        <v>4.8068140000000001</v>
      </c>
      <c r="E3892">
        <v>0.46404899999999999</v>
      </c>
      <c r="F3892" t="s">
        <v>42</v>
      </c>
      <c r="G3892">
        <v>-421.46050000000002</v>
      </c>
      <c r="H3892" s="1">
        <v>-4.2765399999999999E-6</v>
      </c>
      <c r="I3892">
        <v>98.792280000000005</v>
      </c>
      <c r="J3892">
        <v>-421.8854</v>
      </c>
      <c r="K3892">
        <v>1.1134710000000001</v>
      </c>
      <c r="L3892">
        <v>111.4498</v>
      </c>
      <c r="M3892">
        <v>-4.5981859999999999E-2</v>
      </c>
      <c r="N3892">
        <v>0</v>
      </c>
      <c r="O3892">
        <v>-0.99887000000000004</v>
      </c>
      <c r="P3892">
        <v>-8.1098169999999997E-2</v>
      </c>
      <c r="Q3892">
        <v>0.13500470000000001</v>
      </c>
      <c r="R3892">
        <v>-0.98752070000000003</v>
      </c>
      <c r="S3892">
        <v>9.8602289999999995E-2</v>
      </c>
      <c r="T3892">
        <v>-0.264918599999999</v>
      </c>
      <c r="U3892">
        <v>-3.0817570000000001</v>
      </c>
      <c r="V3892">
        <v>3.4385789999999999E-2</v>
      </c>
      <c r="W3892">
        <v>0.14717829999999901</v>
      </c>
      <c r="X3892">
        <v>0.9885121</v>
      </c>
      <c r="Y3892">
        <v>-7.7789839999999999E-2</v>
      </c>
      <c r="Z3892">
        <v>8.5360290000000005E-2</v>
      </c>
      <c r="AA3892">
        <v>0.99330879999999999</v>
      </c>
      <c r="AB3892">
        <v>30</v>
      </c>
      <c r="AC3892">
        <v>0.42489999999997902</v>
      </c>
      <c r="AD3892">
        <v>-1.11347527653999</v>
      </c>
      <c r="AE3892">
        <v>-12.6575199999999</v>
      </c>
      <c r="AF3892">
        <v>-0.99878829402620495</v>
      </c>
      <c r="AG3892">
        <v>-1.11347527653999</v>
      </c>
      <c r="AH3892">
        <v>12.527752308882</v>
      </c>
      <c r="AI3892">
        <v>95.063159866323801</v>
      </c>
      <c r="AJ3892">
        <v>94.558324954219898</v>
      </c>
      <c r="AK3892">
        <v>12.616734251003599</v>
      </c>
      <c r="AL3892">
        <v>81.536559888252796</v>
      </c>
      <c r="AM3892">
        <v>88.007746621068193</v>
      </c>
      <c r="AN3892">
        <v>1.00000000319561</v>
      </c>
    </row>
    <row r="3893" spans="1:40" x14ac:dyDescent="0.25">
      <c r="A3893" t="str">
        <f>"20190312164346553"</f>
        <v>20190312164346553</v>
      </c>
      <c r="B3893" t="str">
        <f>"1552380226549216"</f>
        <v>1552380226549216</v>
      </c>
      <c r="C3893" t="s">
        <v>40</v>
      </c>
      <c r="D3893">
        <v>4.7811579999999996</v>
      </c>
      <c r="E3893">
        <v>0.46416099999999999</v>
      </c>
      <c r="F3893" t="s">
        <v>42</v>
      </c>
      <c r="G3893">
        <v>-421.44909999999999</v>
      </c>
      <c r="H3893" s="1">
        <v>-4.0979220000000004E-6</v>
      </c>
      <c r="I3893">
        <v>98.273380000000003</v>
      </c>
      <c r="J3893">
        <v>-421.89490000000001</v>
      </c>
      <c r="K3893">
        <v>1.1134139999999999</v>
      </c>
      <c r="L3893">
        <v>111.1481</v>
      </c>
      <c r="M3893">
        <v>-4.184467E-2</v>
      </c>
      <c r="N3893">
        <v>0</v>
      </c>
      <c r="O3893">
        <v>-0.9990523</v>
      </c>
      <c r="P3893">
        <v>-8.0080899999999997E-2</v>
      </c>
      <c r="Q3893">
        <v>0.1366733</v>
      </c>
      <c r="R3893">
        <v>-0.98737410000000003</v>
      </c>
      <c r="S3893">
        <v>0.1020508</v>
      </c>
      <c r="T3893">
        <v>-0.26043630000000001</v>
      </c>
      <c r="U3893">
        <v>-3.0818940000000001</v>
      </c>
      <c r="V3893">
        <v>3.7484469999999999E-2</v>
      </c>
      <c r="W3893">
        <v>0.14882509999999999</v>
      </c>
      <c r="X3893">
        <v>0.98815280000000005</v>
      </c>
      <c r="Y3893">
        <v>-7.4773480000000003E-2</v>
      </c>
      <c r="Z3893">
        <v>8.3953799999999995E-2</v>
      </c>
      <c r="AA3893">
        <v>0.99366030000000005</v>
      </c>
      <c r="AB3893">
        <v>30</v>
      </c>
      <c r="AC3893">
        <v>0.44580000000001901</v>
      </c>
      <c r="AD3893">
        <v>-1.1134180979220001</v>
      </c>
      <c r="AE3893">
        <v>-12.8747199999999</v>
      </c>
      <c r="AF3893">
        <v>-0.97688919366507598</v>
      </c>
      <c r="AG3893">
        <v>-1.1134180979220001</v>
      </c>
      <c r="AH3893">
        <v>12.7495469734334</v>
      </c>
      <c r="AI3893">
        <v>94.976465798477605</v>
      </c>
      <c r="AJ3893">
        <v>94.381526534318994</v>
      </c>
      <c r="AK3893">
        <v>12.8353013359744</v>
      </c>
      <c r="AL3893">
        <v>81.441154263435706</v>
      </c>
      <c r="AM3893">
        <v>87.827590378108994</v>
      </c>
      <c r="AN3893">
        <v>0.99999997601451496</v>
      </c>
    </row>
    <row r="3894" spans="1:40" x14ac:dyDescent="0.25">
      <c r="A3894" t="str">
        <f>"20190312164346575"</f>
        <v>20190312164346575</v>
      </c>
      <c r="B3894" t="str">
        <f>"1552380226568736"</f>
        <v>1552380226568736</v>
      </c>
      <c r="C3894" t="s">
        <v>40</v>
      </c>
      <c r="D3894">
        <v>4.8169269999999997</v>
      </c>
      <c r="E3894">
        <v>0.46424700000000002</v>
      </c>
      <c r="F3894" t="s">
        <v>42</v>
      </c>
      <c r="G3894">
        <v>-421.43369999999999</v>
      </c>
      <c r="H3894" s="1">
        <v>-3.8259530000000001E-6</v>
      </c>
      <c r="I3894">
        <v>97.618260000000006</v>
      </c>
      <c r="J3894">
        <v>-421.90309999999999</v>
      </c>
      <c r="K3894">
        <v>1.1133630000000001</v>
      </c>
      <c r="L3894">
        <v>110.8493</v>
      </c>
      <c r="M3894">
        <v>-3.7804940000000002E-2</v>
      </c>
      <c r="N3894">
        <v>0</v>
      </c>
      <c r="O3894">
        <v>-0.99921409999999999</v>
      </c>
      <c r="P3894">
        <v>-7.9477880000000001E-2</v>
      </c>
      <c r="Q3894">
        <v>0.13841489999999901</v>
      </c>
      <c r="R3894">
        <v>-0.98718050000000002</v>
      </c>
      <c r="S3894">
        <v>0.1050415</v>
      </c>
      <c r="T3894">
        <v>-0.25362689999999999</v>
      </c>
      <c r="U3894">
        <v>-3.081985</v>
      </c>
      <c r="V3894">
        <v>4.0899289999999998E-2</v>
      </c>
      <c r="W3894">
        <v>0.1505445</v>
      </c>
      <c r="X3894">
        <v>0.98775679999999999</v>
      </c>
      <c r="Y3894">
        <v>-7.170957E-2</v>
      </c>
      <c r="Z3894">
        <v>8.1798990000000002E-2</v>
      </c>
      <c r="AA3894">
        <v>0.99406570000000005</v>
      </c>
      <c r="AB3894">
        <v>30</v>
      </c>
      <c r="AC3894">
        <v>0.46940000000000698</v>
      </c>
      <c r="AD3894">
        <v>-1.1133668259530001</v>
      </c>
      <c r="AE3894">
        <v>-13.23104</v>
      </c>
      <c r="AF3894">
        <v>-0.96249183615848499</v>
      </c>
      <c r="AG3894">
        <v>-1.1133668259530001</v>
      </c>
      <c r="AH3894">
        <v>13.1111115918398</v>
      </c>
      <c r="AI3894">
        <v>94.840823149778601</v>
      </c>
      <c r="AJ3894">
        <v>94.198574260183705</v>
      </c>
      <c r="AK3894">
        <v>13.193453808517299</v>
      </c>
      <c r="AL3894">
        <v>81.341517100096794</v>
      </c>
      <c r="AM3894">
        <v>87.628951915902107</v>
      </c>
      <c r="AN3894">
        <v>0.99999994717449503</v>
      </c>
    </row>
    <row r="3895" spans="1:40" x14ac:dyDescent="0.25">
      <c r="A3895" t="str">
        <f>"20190312164346598"</f>
        <v>20190312164346598</v>
      </c>
      <c r="B3895" t="str">
        <f>"1552380226589232"</f>
        <v>1552380226589232</v>
      </c>
      <c r="C3895" t="s">
        <v>40</v>
      </c>
      <c r="D3895">
        <v>4.8495949999999999</v>
      </c>
      <c r="E3895">
        <v>0.46433340000000001</v>
      </c>
      <c r="F3895" t="s">
        <v>42</v>
      </c>
      <c r="G3895">
        <v>-421.41820000000001</v>
      </c>
      <c r="H3895" s="1">
        <v>-3.543162E-6</v>
      </c>
      <c r="I3895">
        <v>96.968689999999995</v>
      </c>
      <c r="J3895">
        <v>-421.91</v>
      </c>
      <c r="K3895">
        <v>1.113297</v>
      </c>
      <c r="L3895">
        <v>110.5594</v>
      </c>
      <c r="M3895">
        <v>-3.3952309999999999E-2</v>
      </c>
      <c r="N3895">
        <v>0</v>
      </c>
      <c r="O3895">
        <v>-0.99935260000000004</v>
      </c>
      <c r="P3895">
        <v>-7.9126959999999996E-2</v>
      </c>
      <c r="Q3895">
        <v>0.1406744</v>
      </c>
      <c r="R3895">
        <v>-0.98688889999999996</v>
      </c>
      <c r="S3895">
        <v>0.107666</v>
      </c>
      <c r="T3895">
        <v>-0.2472308</v>
      </c>
      <c r="U3895">
        <v>-3.0822910000000001</v>
      </c>
      <c r="V3895">
        <v>4.437874E-2</v>
      </c>
      <c r="W3895">
        <v>0.15278050000000001</v>
      </c>
      <c r="X3895">
        <v>0.98726320000000001</v>
      </c>
      <c r="Y3895">
        <v>-6.8711709999999995E-2</v>
      </c>
      <c r="Z3895">
        <v>7.976548E-2</v>
      </c>
      <c r="AA3895">
        <v>0.99444259999999995</v>
      </c>
      <c r="AB3895">
        <v>30</v>
      </c>
      <c r="AC3895">
        <v>0.49180000000001201</v>
      </c>
      <c r="AD3895">
        <v>-1.113300543162</v>
      </c>
      <c r="AE3895">
        <v>-13.5907099999999</v>
      </c>
      <c r="AF3895">
        <v>-0.94664117283542204</v>
      </c>
      <c r="AG3895">
        <v>-1.113300543162</v>
      </c>
      <c r="AH3895">
        <v>13.475865735726099</v>
      </c>
      <c r="AI3895">
        <v>94.711174148099204</v>
      </c>
      <c r="AJ3895">
        <v>94.018264347916798</v>
      </c>
      <c r="AK3895">
        <v>13.5548708934032</v>
      </c>
      <c r="AL3895">
        <v>81.211904763334303</v>
      </c>
      <c r="AM3895">
        <v>87.426214247706298</v>
      </c>
      <c r="AN3895">
        <v>0.999999989909238</v>
      </c>
    </row>
    <row r="3896" spans="1:40" x14ac:dyDescent="0.25">
      <c r="A3896" t="str">
        <f>"20190312164346620"</f>
        <v>20190312164346620</v>
      </c>
      <c r="B3896" t="str">
        <f>"1552380226608752"</f>
        <v>1552380226608752</v>
      </c>
      <c r="C3896" t="s">
        <v>40</v>
      </c>
      <c r="D3896">
        <v>4.7370900000000002</v>
      </c>
      <c r="E3896">
        <v>0.46428599999999998</v>
      </c>
      <c r="F3896" t="s">
        <v>42</v>
      </c>
      <c r="G3896">
        <v>-421.39819999999997</v>
      </c>
      <c r="H3896" s="1">
        <v>-3.2052459999999998E-6</v>
      </c>
      <c r="I3896">
        <v>96.193439999999995</v>
      </c>
      <c r="J3896">
        <v>-421.91609999999997</v>
      </c>
      <c r="K3896">
        <v>1.113218</v>
      </c>
      <c r="L3896">
        <v>110.2598</v>
      </c>
      <c r="M3896">
        <v>-3.0064730000000001E-2</v>
      </c>
      <c r="N3896">
        <v>0</v>
      </c>
      <c r="O3896">
        <v>-0.99947759999999997</v>
      </c>
      <c r="P3896">
        <v>-7.8276890000000002E-2</v>
      </c>
      <c r="Q3896">
        <v>0.14181079999999999</v>
      </c>
      <c r="R3896">
        <v>-0.98679399999999995</v>
      </c>
      <c r="S3896">
        <v>0.10983279999999999</v>
      </c>
      <c r="T3896">
        <v>-0.23889540000000001</v>
      </c>
      <c r="U3896">
        <v>-3.082687</v>
      </c>
      <c r="V3896">
        <v>4.739848E-2</v>
      </c>
      <c r="W3896">
        <v>0.1538911</v>
      </c>
      <c r="X3896">
        <v>0.98695029999999995</v>
      </c>
      <c r="Y3896">
        <v>-6.5531839999999994E-2</v>
      </c>
      <c r="Z3896">
        <v>7.7104400000000003E-2</v>
      </c>
      <c r="AA3896">
        <v>0.9948671</v>
      </c>
      <c r="AB3896">
        <v>30</v>
      </c>
      <c r="AC3896">
        <v>0.51789999999999703</v>
      </c>
      <c r="AD3896">
        <v>-1.113221205246</v>
      </c>
      <c r="AE3896">
        <v>-14.06636</v>
      </c>
      <c r="AF3896">
        <v>-0.93475026380623405</v>
      </c>
      <c r="AG3896">
        <v>-1.113221205246</v>
      </c>
      <c r="AH3896">
        <v>13.957130240532599</v>
      </c>
      <c r="AI3896">
        <v>94.550109372344195</v>
      </c>
      <c r="AJ3896">
        <v>93.831545890656898</v>
      </c>
      <c r="AK3896">
        <v>14.0326228502972</v>
      </c>
      <c r="AL3896">
        <v>81.147510555771305</v>
      </c>
      <c r="AM3896">
        <v>87.250471608346501</v>
      </c>
      <c r="AN3896">
        <v>0.99999999061780498</v>
      </c>
    </row>
    <row r="3897" spans="1:40" x14ac:dyDescent="0.25">
      <c r="A3897" t="str">
        <f>"20190312164346642"</f>
        <v>20190312164346642</v>
      </c>
      <c r="B3897" t="str">
        <f>"1552380226639009"</f>
        <v>1552380226639009</v>
      </c>
      <c r="C3897" t="s">
        <v>40</v>
      </c>
      <c r="D3897">
        <v>4.8016730000000001</v>
      </c>
      <c r="E3897">
        <v>0.44320219999999999</v>
      </c>
      <c r="F3897" t="s">
        <v>42</v>
      </c>
      <c r="G3897">
        <v>-421.37029999999999</v>
      </c>
      <c r="H3897" s="1">
        <v>-2.9415889999999998E-6</v>
      </c>
      <c r="I3897">
        <v>95.596130000000002</v>
      </c>
      <c r="J3897">
        <v>-421.92099999999999</v>
      </c>
      <c r="K3897">
        <v>1.1131249999999999</v>
      </c>
      <c r="L3897">
        <v>109.96259999999999</v>
      </c>
      <c r="M3897">
        <v>-2.633375E-2</v>
      </c>
      <c r="N3897">
        <v>0</v>
      </c>
      <c r="O3897">
        <v>-0.99958349999999996</v>
      </c>
      <c r="P3897">
        <v>-7.7219460000000004E-2</v>
      </c>
      <c r="Q3897">
        <v>0.1422969</v>
      </c>
      <c r="R3897">
        <v>-0.98680749999999995</v>
      </c>
      <c r="S3897">
        <v>0.1147461</v>
      </c>
      <c r="T3897">
        <v>-0.23404159999999999</v>
      </c>
      <c r="U3897">
        <v>-3.0828700000000002</v>
      </c>
      <c r="V3897">
        <v>5.0062410000000002E-2</v>
      </c>
      <c r="W3897">
        <v>0.15434289999999901</v>
      </c>
      <c r="X3897">
        <v>0.98674819999999996</v>
      </c>
      <c r="Y3897">
        <v>-6.3392809999999994E-2</v>
      </c>
      <c r="Z3897">
        <v>7.5557399999999997E-2</v>
      </c>
      <c r="AA3897">
        <v>0.99512429999999996</v>
      </c>
      <c r="AB3897">
        <v>30</v>
      </c>
      <c r="AC3897">
        <v>0.55070000000000596</v>
      </c>
      <c r="AD3897">
        <v>-1.1131279415890001</v>
      </c>
      <c r="AE3897">
        <v>-14.3664699999999</v>
      </c>
      <c r="AF3897">
        <v>-0.92332353278237</v>
      </c>
      <c r="AG3897">
        <v>-1.1131279415890001</v>
      </c>
      <c r="AH3897">
        <v>14.2614936979931</v>
      </c>
      <c r="AI3897">
        <v>94.453674654823104</v>
      </c>
      <c r="AJ3897">
        <v>93.704297244605598</v>
      </c>
      <c r="AK3897">
        <v>14.334635769995501</v>
      </c>
      <c r="AL3897">
        <v>81.121311330130396</v>
      </c>
      <c r="AM3897">
        <v>87.095603995762303</v>
      </c>
      <c r="AN3897">
        <v>0.99999999293932895</v>
      </c>
    </row>
    <row r="3898" spans="1:40" x14ac:dyDescent="0.25">
      <c r="A3898" t="str">
        <f>"20190312164346666"</f>
        <v>20190312164346666</v>
      </c>
      <c r="B3898" t="str">
        <f>"1552380226658529"</f>
        <v>1552380226658529</v>
      </c>
      <c r="C3898" t="s">
        <v>40</v>
      </c>
      <c r="D3898">
        <v>4.7103190000000001</v>
      </c>
      <c r="E3898">
        <v>0.43213400000000002</v>
      </c>
      <c r="F3898" t="s">
        <v>42</v>
      </c>
      <c r="G3898">
        <v>-419.79669999999999</v>
      </c>
      <c r="H3898" s="1">
        <v>-2.977695E-6</v>
      </c>
      <c r="I3898">
        <v>86.489779999999996</v>
      </c>
      <c r="J3898">
        <v>-421.92520000000002</v>
      </c>
      <c r="K3898">
        <v>1.1130059999999999</v>
      </c>
      <c r="L3898">
        <v>109.6452</v>
      </c>
      <c r="M3898">
        <v>-2.2518839999999998E-2</v>
      </c>
      <c r="N3898">
        <v>0</v>
      </c>
      <c r="O3898">
        <v>-0.99967729999999999</v>
      </c>
      <c r="P3898">
        <v>-7.5948829999999995E-2</v>
      </c>
      <c r="Q3898">
        <v>0.1420227</v>
      </c>
      <c r="R3898">
        <v>-0.98694570000000004</v>
      </c>
      <c r="S3898">
        <v>0.2790222</v>
      </c>
      <c r="T3898">
        <v>-0.146203799999999</v>
      </c>
      <c r="U3898">
        <v>-3.0830380000000002</v>
      </c>
      <c r="V3898">
        <v>5.2607080000000001E-2</v>
      </c>
      <c r="W3898">
        <v>0.1540282</v>
      </c>
      <c r="X3898">
        <v>0.98666500000000001</v>
      </c>
      <c r="Y3898">
        <v>-0.1124397</v>
      </c>
      <c r="Z3898">
        <v>4.7104460000000001E-2</v>
      </c>
      <c r="AA3898">
        <v>0.99254140000000002</v>
      </c>
      <c r="AB3898">
        <v>30</v>
      </c>
      <c r="AC3898">
        <v>2.12850000000003</v>
      </c>
      <c r="AD3898">
        <v>-1.1130089776949901</v>
      </c>
      <c r="AE3898">
        <v>-23.1554199999999</v>
      </c>
      <c r="AF3898">
        <v>-2.6433732651533899</v>
      </c>
      <c r="AG3898">
        <v>-1.1130089776949901</v>
      </c>
      <c r="AH3898">
        <v>23.048806388802198</v>
      </c>
      <c r="AI3898">
        <v>92.746644915278097</v>
      </c>
      <c r="AJ3898">
        <v>96.542434455993401</v>
      </c>
      <c r="AK3898">
        <v>23.226572867124599</v>
      </c>
      <c r="AL3898">
        <v>81.139560661113606</v>
      </c>
      <c r="AM3898">
        <v>86.9479891557462</v>
      </c>
      <c r="AN3898">
        <v>1.00000000674318</v>
      </c>
    </row>
    <row r="3899" spans="1:40" x14ac:dyDescent="0.25">
      <c r="A3899" t="str">
        <f>"20190312164346688"</f>
        <v>20190312164346688</v>
      </c>
      <c r="B3899" t="str">
        <f>"1552380226679024"</f>
        <v>1552380226679024</v>
      </c>
      <c r="C3899" t="s">
        <v>40</v>
      </c>
      <c r="D3899">
        <v>4.7750909999999998</v>
      </c>
      <c r="E3899">
        <v>0.43224089999999998</v>
      </c>
      <c r="F3899" t="s">
        <v>42</v>
      </c>
      <c r="G3899">
        <v>-419.23700000000002</v>
      </c>
      <c r="H3899" s="1">
        <v>-3.4283540000000001E-6</v>
      </c>
      <c r="I3899">
        <v>87.308850000000007</v>
      </c>
      <c r="J3899">
        <v>-421.9282</v>
      </c>
      <c r="K3899">
        <v>1.1128899999999999</v>
      </c>
      <c r="L3899">
        <v>109.3518</v>
      </c>
      <c r="M3899">
        <v>-1.9127600000000002E-2</v>
      </c>
      <c r="N3899">
        <v>0</v>
      </c>
      <c r="O3899">
        <v>-0.99974819999999998</v>
      </c>
      <c r="P3899">
        <v>-7.4530559999999996E-2</v>
      </c>
      <c r="Q3899">
        <v>0.14108289999999901</v>
      </c>
      <c r="R3899">
        <v>-0.98718819999999996</v>
      </c>
      <c r="S3899">
        <v>0.37194820000000001</v>
      </c>
      <c r="T3899">
        <v>-0.15399689999999999</v>
      </c>
      <c r="U3899">
        <v>-3.0904690000000001</v>
      </c>
      <c r="V3899">
        <v>5.458441E-2</v>
      </c>
      <c r="W3899">
        <v>0.15304999999999999</v>
      </c>
      <c r="X3899">
        <v>0.98670979999999997</v>
      </c>
      <c r="Y3899">
        <v>-0.13831540000000001</v>
      </c>
      <c r="Z3899">
        <v>4.9337430000000002E-2</v>
      </c>
      <c r="AA3899">
        <v>0.9891586</v>
      </c>
      <c r="AB3899">
        <v>30</v>
      </c>
      <c r="AC3899">
        <v>2.69120000000003</v>
      </c>
      <c r="AD3899">
        <v>-1.112893428354</v>
      </c>
      <c r="AE3899">
        <v>-22.042949999999902</v>
      </c>
      <c r="AF3899">
        <v>-3.10456805412786</v>
      </c>
      <c r="AG3899">
        <v>-1.112893428354</v>
      </c>
      <c r="AH3899">
        <v>21.932352735847001</v>
      </c>
      <c r="AI3899">
        <v>92.876192963576699</v>
      </c>
      <c r="AJ3899">
        <v>98.056804535860294</v>
      </c>
      <c r="AK3899">
        <v>22.1789307928764</v>
      </c>
      <c r="AL3899">
        <v>81.196279833998403</v>
      </c>
      <c r="AM3899">
        <v>86.833646642044698</v>
      </c>
      <c r="AN3899">
        <v>0.99999999486554403</v>
      </c>
    </row>
    <row r="3900" spans="1:40" x14ac:dyDescent="0.25">
      <c r="A3900" t="str">
        <f>"20190312164346709"</f>
        <v>20190312164346709</v>
      </c>
      <c r="B3900" t="str">
        <f>"1552380226698544"</f>
        <v>1552380226698544</v>
      </c>
      <c r="C3900" t="s">
        <v>40</v>
      </c>
      <c r="D3900">
        <v>4.7069939999999999</v>
      </c>
      <c r="E3900">
        <v>0.427097</v>
      </c>
      <c r="F3900" t="s">
        <v>42</v>
      </c>
      <c r="G3900">
        <v>-419.40350000000001</v>
      </c>
      <c r="H3900" s="1">
        <v>-3.9572059999999997E-6</v>
      </c>
      <c r="I3900">
        <v>88.610479999999995</v>
      </c>
      <c r="J3900">
        <v>-421.93029999999999</v>
      </c>
      <c r="K3900">
        <v>1.1127750000000001</v>
      </c>
      <c r="L3900">
        <v>109.07989999999999</v>
      </c>
      <c r="M3900">
        <v>-1.6120880000000001E-2</v>
      </c>
      <c r="N3900">
        <v>0</v>
      </c>
      <c r="O3900">
        <v>-0.99980190000000002</v>
      </c>
      <c r="P3900">
        <v>-7.2549130000000003E-2</v>
      </c>
      <c r="Q3900">
        <v>0.14053460000000001</v>
      </c>
      <c r="R3900">
        <v>-0.98741440000000003</v>
      </c>
      <c r="S3900">
        <v>0.37625120000000001</v>
      </c>
      <c r="T3900">
        <v>-0.165853</v>
      </c>
      <c r="U3900">
        <v>-3.0910489999999999</v>
      </c>
      <c r="V3900">
        <v>5.5614599999999903E-2</v>
      </c>
      <c r="W3900">
        <v>0.152454799999999</v>
      </c>
      <c r="X3900">
        <v>0.98674439999999997</v>
      </c>
      <c r="Y3900">
        <v>-0.1366484</v>
      </c>
      <c r="Z3900">
        <v>5.312157E-2</v>
      </c>
      <c r="AA3900">
        <v>0.98919429999999997</v>
      </c>
      <c r="AB3900">
        <v>30</v>
      </c>
      <c r="AC3900">
        <v>2.5267999999999802</v>
      </c>
      <c r="AD3900">
        <v>-1.1127789572059901</v>
      </c>
      <c r="AE3900">
        <v>-20.4694199999999</v>
      </c>
      <c r="AF3900">
        <v>-2.84818813743414</v>
      </c>
      <c r="AG3900">
        <v>-1.1127789572059901</v>
      </c>
      <c r="AH3900">
        <v>20.366735518109401</v>
      </c>
      <c r="AI3900">
        <v>93.097284539875602</v>
      </c>
      <c r="AJ3900">
        <v>97.960905624732604</v>
      </c>
      <c r="AK3900">
        <v>20.595008335478799</v>
      </c>
      <c r="AL3900">
        <v>81.230787116463503</v>
      </c>
      <c r="AM3900">
        <v>86.774124918730905</v>
      </c>
      <c r="AN3900">
        <v>0.99999998035377902</v>
      </c>
    </row>
    <row r="3901" spans="1:40" x14ac:dyDescent="0.25">
      <c r="A3901" t="str">
        <f>"20190312164346731"</f>
        <v>20190312164346731</v>
      </c>
      <c r="B3901" t="str">
        <f>"1552380226719041"</f>
        <v>1552380226719041</v>
      </c>
      <c r="C3901" t="s">
        <v>40</v>
      </c>
      <c r="D3901">
        <v>4.7330969999999999</v>
      </c>
      <c r="E3901">
        <v>0.42782320000000001</v>
      </c>
      <c r="F3901" t="s">
        <v>42</v>
      </c>
      <c r="G3901">
        <v>-419.8562</v>
      </c>
      <c r="H3901" s="1">
        <v>-1.95293E-6</v>
      </c>
      <c r="I3901">
        <v>94.125649999999993</v>
      </c>
      <c r="J3901">
        <v>-421.93169999999998</v>
      </c>
      <c r="K3901">
        <v>1.112643</v>
      </c>
      <c r="L3901">
        <v>108.7831</v>
      </c>
      <c r="M3901">
        <v>-1.301569E-2</v>
      </c>
      <c r="N3901">
        <v>0</v>
      </c>
      <c r="O3901">
        <v>-0.9998475</v>
      </c>
      <c r="P3901">
        <v>-7.107571E-2</v>
      </c>
      <c r="Q3901">
        <v>0.14021249999999999</v>
      </c>
      <c r="R3901">
        <v>-0.98756710000000003</v>
      </c>
      <c r="S3901">
        <v>0.4303284</v>
      </c>
      <c r="T3901">
        <v>-0.23087929999999901</v>
      </c>
      <c r="U3901">
        <v>-3.1027070000000001</v>
      </c>
      <c r="V3901">
        <v>5.7257219999999998E-2</v>
      </c>
      <c r="W3901">
        <v>0.1520764</v>
      </c>
      <c r="X3901">
        <v>0.9867089</v>
      </c>
      <c r="Y3901">
        <v>-0.14988989999999999</v>
      </c>
      <c r="Z3901">
        <v>7.3428850000000004E-2</v>
      </c>
      <c r="AA3901">
        <v>0.98597219999999997</v>
      </c>
      <c r="AB3901">
        <v>30</v>
      </c>
      <c r="AC3901">
        <v>2.0754999999999701</v>
      </c>
      <c r="AD3901">
        <v>-1.11264495293</v>
      </c>
      <c r="AE3901">
        <v>-14.657450000000001</v>
      </c>
      <c r="AF3901">
        <v>-2.2533844656000102</v>
      </c>
      <c r="AG3901">
        <v>-1.11264495293</v>
      </c>
      <c r="AH3901">
        <v>14.547015669148299</v>
      </c>
      <c r="AI3901">
        <v>94.322463940501606</v>
      </c>
      <c r="AJ3901">
        <v>98.805336752169296</v>
      </c>
      <c r="AK3901">
        <v>14.7624992877065</v>
      </c>
      <c r="AL3901">
        <v>81.252724127732407</v>
      </c>
      <c r="AM3901">
        <v>86.678937204602803</v>
      </c>
      <c r="AN3901">
        <v>1.00000003700914</v>
      </c>
    </row>
    <row r="3902" spans="1:40" x14ac:dyDescent="0.25">
      <c r="A3902" t="str">
        <f>"20190312164346755"</f>
        <v>20190312164346755</v>
      </c>
      <c r="B3902" t="str">
        <f>"1552380226748324"</f>
        <v>1552380226748324</v>
      </c>
      <c r="C3902" t="s">
        <v>40</v>
      </c>
      <c r="D3902">
        <v>4.6764950000000001</v>
      </c>
      <c r="E3902">
        <v>0.42839290000000002</v>
      </c>
      <c r="F3902" t="s">
        <v>42</v>
      </c>
      <c r="G3902">
        <v>-419.8852</v>
      </c>
      <c r="H3902" s="1">
        <v>-1.8941880000000001E-6</v>
      </c>
      <c r="I3902">
        <v>94.000720000000001</v>
      </c>
      <c r="J3902">
        <v>-421.93239999999997</v>
      </c>
      <c r="K3902">
        <v>1.1124889999999901</v>
      </c>
      <c r="L3902">
        <v>108.47280000000001</v>
      </c>
      <c r="M3902">
        <v>-9.9735099999999997E-3</v>
      </c>
      <c r="N3902">
        <v>0</v>
      </c>
      <c r="O3902">
        <v>-0.99988339999999998</v>
      </c>
      <c r="P3902">
        <v>-6.9173139999999994E-2</v>
      </c>
      <c r="Q3902">
        <v>0.14043520000000001</v>
      </c>
      <c r="R3902">
        <v>-0.98767099999999997</v>
      </c>
      <c r="S3902">
        <v>0.42941279999999998</v>
      </c>
      <c r="T3902">
        <v>-0.23346839999999999</v>
      </c>
      <c r="U3902">
        <v>-3.1018219999999999</v>
      </c>
      <c r="V3902">
        <v>5.8413449999999999E-2</v>
      </c>
      <c r="W3902">
        <v>0.15222669999999999</v>
      </c>
      <c r="X3902">
        <v>0.98661790000000005</v>
      </c>
      <c r="Y3902">
        <v>-0.14662510000000001</v>
      </c>
      <c r="Z3902">
        <v>7.429231E-2</v>
      </c>
      <c r="AA3902">
        <v>0.98639829999999995</v>
      </c>
      <c r="AB3902">
        <v>30</v>
      </c>
      <c r="AC3902">
        <v>2.0471999999999699</v>
      </c>
      <c r="AD3902">
        <v>-1.1124908941879901</v>
      </c>
      <c r="AE3902">
        <v>-14.47208</v>
      </c>
      <c r="AF3902">
        <v>-2.1788226676620899</v>
      </c>
      <c r="AG3902">
        <v>-1.1124908941879901</v>
      </c>
      <c r="AH3902">
        <v>14.3677044867901</v>
      </c>
      <c r="AI3902">
        <v>94.377723116583596</v>
      </c>
      <c r="AJ3902">
        <v>98.623046065962299</v>
      </c>
      <c r="AK3902">
        <v>14.574492664463399</v>
      </c>
      <c r="AL3902">
        <v>81.244010713328905</v>
      </c>
      <c r="AM3902">
        <v>86.611715874165597</v>
      </c>
      <c r="AN3902">
        <v>0.99999998996710104</v>
      </c>
    </row>
    <row r="3903" spans="1:40" x14ac:dyDescent="0.25">
      <c r="A3903" t="str">
        <f>"20190312164346777"</f>
        <v>20190312164346777</v>
      </c>
      <c r="B3903" t="str">
        <f>"1552380226768824"</f>
        <v>1552380226768824</v>
      </c>
      <c r="C3903" t="s">
        <v>40</v>
      </c>
      <c r="D3903">
        <v>4.6973269999999996</v>
      </c>
      <c r="E3903">
        <v>0.43558200000000002</v>
      </c>
      <c r="F3903" t="s">
        <v>42</v>
      </c>
      <c r="G3903">
        <v>-419.81580000000002</v>
      </c>
      <c r="H3903" s="1">
        <v>-1.5784119999999999E-6</v>
      </c>
      <c r="I3903">
        <v>93.235929999999996</v>
      </c>
      <c r="J3903">
        <v>-421.9325</v>
      </c>
      <c r="K3903">
        <v>1.112328</v>
      </c>
      <c r="L3903">
        <v>108.17019999999999</v>
      </c>
      <c r="M3903">
        <v>-7.2167759999999899E-3</v>
      </c>
      <c r="N3903">
        <v>0</v>
      </c>
      <c r="O3903">
        <v>-0.99990769999999995</v>
      </c>
      <c r="P3903">
        <v>-6.7451520000000001E-2</v>
      </c>
      <c r="Q3903">
        <v>0.1402542</v>
      </c>
      <c r="R3903">
        <v>-0.98781560000000002</v>
      </c>
      <c r="S3903">
        <v>0.43060300000000001</v>
      </c>
      <c r="T3903">
        <v>-0.22632479999999999</v>
      </c>
      <c r="U3903">
        <v>-3.099777</v>
      </c>
      <c r="V3903">
        <v>5.9474510000000001E-2</v>
      </c>
      <c r="W3903">
        <v>0.15196279999999901</v>
      </c>
      <c r="X3903">
        <v>0.98659520000000001</v>
      </c>
      <c r="Y3903">
        <v>-0.14437990000000001</v>
      </c>
      <c r="Z3903">
        <v>7.209074E-2</v>
      </c>
      <c r="AA3903">
        <v>0.98689280000000001</v>
      </c>
      <c r="AB3903">
        <v>30</v>
      </c>
      <c r="AC3903">
        <v>2.1166999999999798</v>
      </c>
      <c r="AD3903">
        <v>-1.112329578412</v>
      </c>
      <c r="AE3903">
        <v>-14.9342699999999</v>
      </c>
      <c r="AF3903">
        <v>-2.21239766986485</v>
      </c>
      <c r="AG3903">
        <v>-1.112329578412</v>
      </c>
      <c r="AH3903">
        <v>14.8379116544479</v>
      </c>
      <c r="AI3903">
        <v>94.240475996668593</v>
      </c>
      <c r="AJ3903">
        <v>98.480573165364405</v>
      </c>
      <c r="AK3903">
        <v>15.043124768672101</v>
      </c>
      <c r="AL3903">
        <v>81.259309134033302</v>
      </c>
      <c r="AM3903">
        <v>86.550237003330594</v>
      </c>
      <c r="AN3903">
        <v>0.99999999929330996</v>
      </c>
    </row>
    <row r="3904" spans="1:40" x14ac:dyDescent="0.25">
      <c r="A3904" t="str">
        <f>"20190312164346798"</f>
        <v>20190312164346798</v>
      </c>
      <c r="B3904" t="str">
        <f>"1552380226788336"</f>
        <v>1552380226788336</v>
      </c>
      <c r="C3904" t="s">
        <v>40</v>
      </c>
      <c r="D3904">
        <v>4.7251580000000004</v>
      </c>
      <c r="E3904">
        <v>0.43591150000000001</v>
      </c>
      <c r="F3904" t="s">
        <v>42</v>
      </c>
      <c r="G3904">
        <v>-419.505</v>
      </c>
      <c r="H3904" s="1">
        <v>-3.7148669999999999E-6</v>
      </c>
      <c r="I3904">
        <v>88.087540000000004</v>
      </c>
      <c r="J3904">
        <v>-421.93189999999998</v>
      </c>
      <c r="K3904">
        <v>1.1121570000000001</v>
      </c>
      <c r="L3904">
        <v>107.8905</v>
      </c>
      <c r="M3904">
        <v>-4.8701439999999999E-3</v>
      </c>
      <c r="N3904">
        <v>0</v>
      </c>
      <c r="O3904">
        <v>-0.99992259999999999</v>
      </c>
      <c r="P3904">
        <v>-6.5857250000000006E-2</v>
      </c>
      <c r="Q3904">
        <v>0.1395091</v>
      </c>
      <c r="R3904">
        <v>-0.98802829999999997</v>
      </c>
      <c r="S3904">
        <v>0.37310789999999999</v>
      </c>
      <c r="T3904">
        <v>-0.17096810000000001</v>
      </c>
      <c r="U3904">
        <v>-3.0867460000000002</v>
      </c>
      <c r="V3904">
        <v>6.0259859999999998E-2</v>
      </c>
      <c r="W3904">
        <v>0.15113089999999901</v>
      </c>
      <c r="X3904">
        <v>0.98667530000000003</v>
      </c>
      <c r="Y3904">
        <v>-0.12465370000000001</v>
      </c>
      <c r="Z3904">
        <v>5.488722E-2</v>
      </c>
      <c r="AA3904">
        <v>0.99068100000000003</v>
      </c>
      <c r="AB3904">
        <v>30</v>
      </c>
      <c r="AC3904">
        <v>2.4268999999999799</v>
      </c>
      <c r="AD3904">
        <v>-1.1121607148670001</v>
      </c>
      <c r="AE3904">
        <v>-19.802959999999999</v>
      </c>
      <c r="AF3904">
        <v>-2.51550406272258</v>
      </c>
      <c r="AG3904">
        <v>-1.1121607148670001</v>
      </c>
      <c r="AH3904">
        <v>19.729596749982399</v>
      </c>
      <c r="AI3904">
        <v>93.200504036095694</v>
      </c>
      <c r="AJ3904">
        <v>97.265952658380698</v>
      </c>
      <c r="AK3904">
        <v>19.9203827790076</v>
      </c>
      <c r="AL3904">
        <v>81.307530222398995</v>
      </c>
      <c r="AM3904">
        <v>86.505078755219799</v>
      </c>
      <c r="AN3904">
        <v>0.99999997364605897</v>
      </c>
    </row>
    <row r="3905" spans="1:40" x14ac:dyDescent="0.25">
      <c r="A3905" t="str">
        <f>"20190312164346820"</f>
        <v>20190312164346820</v>
      </c>
      <c r="B3905" t="str">
        <f>"1552380226808832"</f>
        <v>1552380226808832</v>
      </c>
      <c r="C3905" t="s">
        <v>40</v>
      </c>
      <c r="D3905">
        <v>4.6745950000000001</v>
      </c>
      <c r="E3905">
        <v>0.43621110000000002</v>
      </c>
      <c r="F3905" t="s">
        <v>42</v>
      </c>
      <c r="G3905">
        <v>-419.49369999999999</v>
      </c>
      <c r="H3905" s="1">
        <v>-3.6169890000000002E-6</v>
      </c>
      <c r="I3905">
        <v>87.85472</v>
      </c>
      <c r="J3905">
        <v>-421.93090000000001</v>
      </c>
      <c r="K3905">
        <v>1.1119589999999999</v>
      </c>
      <c r="L3905">
        <v>107.59059999999999</v>
      </c>
      <c r="M3905">
        <v>-2.5751530000000002E-3</v>
      </c>
      <c r="N3905">
        <v>0</v>
      </c>
      <c r="O3905">
        <v>-0.99993209999999999</v>
      </c>
      <c r="P3905">
        <v>-6.4480300000000004E-2</v>
      </c>
      <c r="Q3905">
        <v>0.13865039999999901</v>
      </c>
      <c r="R3905">
        <v>-0.98824009999999995</v>
      </c>
      <c r="S3905">
        <v>0.3754883</v>
      </c>
      <c r="T3905">
        <v>-0.17127590000000001</v>
      </c>
      <c r="U3905">
        <v>-3.0855709999999998</v>
      </c>
      <c r="V3905">
        <v>6.1220139999999999E-2</v>
      </c>
      <c r="W3905">
        <v>0.15017349999999999</v>
      </c>
      <c r="X3905">
        <v>0.98676240000000004</v>
      </c>
      <c r="Y3905">
        <v>-0.12317359999999999</v>
      </c>
      <c r="Z3905">
        <v>5.500973E-2</v>
      </c>
      <c r="AA3905">
        <v>0.9908593</v>
      </c>
      <c r="AB3905">
        <v>30</v>
      </c>
      <c r="AC3905">
        <v>2.43720000000001</v>
      </c>
      <c r="AD3905">
        <v>-1.111962616989</v>
      </c>
      <c r="AE3905">
        <v>-19.735879999999899</v>
      </c>
      <c r="AF3905">
        <v>-2.4802629269304601</v>
      </c>
      <c r="AG3905">
        <v>-1.111962616989</v>
      </c>
      <c r="AH3905">
        <v>19.668040763739</v>
      </c>
      <c r="AI3905">
        <v>93.210486025011903</v>
      </c>
      <c r="AJ3905">
        <v>97.187416330222504</v>
      </c>
      <c r="AK3905">
        <v>19.854973999791302</v>
      </c>
      <c r="AL3905">
        <v>81.363018817890307</v>
      </c>
      <c r="AM3905">
        <v>86.449838861648303</v>
      </c>
      <c r="AN3905">
        <v>1.00000000984881</v>
      </c>
    </row>
    <row r="3906" spans="1:40" x14ac:dyDescent="0.25">
      <c r="A3906" t="str">
        <f>"20190312164346843"</f>
        <v>20190312164346843</v>
      </c>
      <c r="B3906" t="str">
        <f>"1552380226839089"</f>
        <v>1552380226839089</v>
      </c>
      <c r="C3906" t="s">
        <v>40</v>
      </c>
      <c r="D3906">
        <v>4.6859989999999998</v>
      </c>
      <c r="E3906">
        <v>0.43641590000000002</v>
      </c>
      <c r="F3906" t="s">
        <v>42</v>
      </c>
      <c r="G3906">
        <v>-419.59289999999999</v>
      </c>
      <c r="H3906" s="1">
        <v>-3.8929090000000001E-6</v>
      </c>
      <c r="I3906">
        <v>88.538919999999905</v>
      </c>
      <c r="J3906">
        <v>-421.92939999999999</v>
      </c>
      <c r="K3906">
        <v>1.1117589999999999</v>
      </c>
      <c r="L3906">
        <v>107.28489999999999</v>
      </c>
      <c r="M3906">
        <v>-4.9883700000000002E-4</v>
      </c>
      <c r="N3906">
        <v>0</v>
      </c>
      <c r="O3906">
        <v>-0.9999363</v>
      </c>
      <c r="P3906">
        <v>-6.3241160000000005E-2</v>
      </c>
      <c r="Q3906">
        <v>0.13753029999999999</v>
      </c>
      <c r="R3906">
        <v>-0.98847680000000004</v>
      </c>
      <c r="S3906">
        <v>0.3786621</v>
      </c>
      <c r="T3906">
        <v>-0.18009720000000001</v>
      </c>
      <c r="U3906">
        <v>-3.0856780000000001</v>
      </c>
      <c r="V3906">
        <v>6.2106509999999997E-2</v>
      </c>
      <c r="W3906">
        <v>0.14894769999999999</v>
      </c>
      <c r="X3906">
        <v>0.98689280000000001</v>
      </c>
      <c r="Y3906">
        <v>-0.1220936</v>
      </c>
      <c r="Z3906">
        <v>5.7832210000000002E-2</v>
      </c>
      <c r="AA3906">
        <v>0.9908323</v>
      </c>
      <c r="AB3906">
        <v>30</v>
      </c>
      <c r="AC3906">
        <v>2.3365</v>
      </c>
      <c r="AD3906">
        <v>-1.111762892909</v>
      </c>
      <c r="AE3906">
        <v>-18.745979999999999</v>
      </c>
      <c r="AF3906">
        <v>-2.3377547178893798</v>
      </c>
      <c r="AG3906">
        <v>-1.111762892909</v>
      </c>
      <c r="AH3906">
        <v>18.680113799094901</v>
      </c>
      <c r="AI3906">
        <v>93.379688263442006</v>
      </c>
      <c r="AJ3906">
        <v>97.133292541428503</v>
      </c>
      <c r="AK3906">
        <v>18.858625755823201</v>
      </c>
      <c r="AL3906">
        <v>81.434050982080706</v>
      </c>
      <c r="AM3906">
        <v>86.399047121138096</v>
      </c>
      <c r="AN3906">
        <v>1.0000000173057499</v>
      </c>
    </row>
    <row r="3907" spans="1:40" x14ac:dyDescent="0.25">
      <c r="A3907" t="str">
        <f>"20190312164346866"</f>
        <v>20190312164346866</v>
      </c>
      <c r="B3907" t="str">
        <f>"1552380226858608"</f>
        <v>1552380226858608</v>
      </c>
      <c r="C3907" t="s">
        <v>40</v>
      </c>
      <c r="D3907">
        <v>4.6918350000000002</v>
      </c>
      <c r="E3907">
        <v>0.43243870000000001</v>
      </c>
      <c r="F3907" t="s">
        <v>42</v>
      </c>
      <c r="G3907">
        <v>-419.61419999999998</v>
      </c>
      <c r="H3907" s="1">
        <v>-3.9057550000000002E-6</v>
      </c>
      <c r="I3907">
        <v>88.577669999999998</v>
      </c>
      <c r="J3907">
        <v>-421.92739999999998</v>
      </c>
      <c r="K3907">
        <v>1.1115619999999999</v>
      </c>
      <c r="L3907">
        <v>106.9734</v>
      </c>
      <c r="M3907">
        <v>1.373081E-3</v>
      </c>
      <c r="N3907">
        <v>0</v>
      </c>
      <c r="O3907">
        <v>-0.99993659999999995</v>
      </c>
      <c r="P3907">
        <v>-6.1837110000000001E-2</v>
      </c>
      <c r="Q3907">
        <v>0.13619589999999901</v>
      </c>
      <c r="R3907">
        <v>-0.98875029999999997</v>
      </c>
      <c r="S3907">
        <v>0.38177489999999997</v>
      </c>
      <c r="T3907">
        <v>-0.18333479999999999</v>
      </c>
      <c r="U3907">
        <v>-3.0849000000000002</v>
      </c>
      <c r="V3907">
        <v>6.2625650000000005E-2</v>
      </c>
      <c r="W3907">
        <v>0.1475023</v>
      </c>
      <c r="X3907">
        <v>0.98707710000000004</v>
      </c>
      <c r="Y3907">
        <v>-0.12124310000000001</v>
      </c>
      <c r="Z3907">
        <v>5.8882360000000002E-2</v>
      </c>
      <c r="AA3907">
        <v>0.9908749</v>
      </c>
      <c r="AB3907">
        <v>30</v>
      </c>
      <c r="AC3907">
        <v>2.3131999999999899</v>
      </c>
      <c r="AD3907">
        <v>-1.111565905755</v>
      </c>
      <c r="AE3907">
        <v>-18.39573</v>
      </c>
      <c r="AF3907">
        <v>-2.2797431703055402</v>
      </c>
      <c r="AG3907">
        <v>-1.111565905755</v>
      </c>
      <c r="AH3907">
        <v>18.332993477475899</v>
      </c>
      <c r="AI3907">
        <v>93.443254013388696</v>
      </c>
      <c r="AJ3907">
        <v>97.088453168101395</v>
      </c>
      <c r="AK3907">
        <v>18.507605396986499</v>
      </c>
      <c r="AL3907">
        <v>81.517791619670703</v>
      </c>
      <c r="AM3907">
        <v>86.369703566073497</v>
      </c>
      <c r="AN3907">
        <v>1.0000000509438101</v>
      </c>
    </row>
    <row r="3908" spans="1:40" x14ac:dyDescent="0.25">
      <c r="A3908" t="str">
        <f>"20190312164346888"</f>
        <v>20190312164346888</v>
      </c>
      <c r="B3908" t="str">
        <f>"1552380226879104"</f>
        <v>1552380226879104</v>
      </c>
      <c r="C3908" t="s">
        <v>40</v>
      </c>
      <c r="D3908">
        <v>4.6551600000000004</v>
      </c>
      <c r="E3908">
        <v>0.43332540000000003</v>
      </c>
      <c r="F3908" t="s">
        <v>42</v>
      </c>
      <c r="G3908">
        <v>-419.94220000000001</v>
      </c>
      <c r="H3908" s="1">
        <v>-1.214133E-6</v>
      </c>
      <c r="I3908">
        <v>92.439049999999995</v>
      </c>
      <c r="J3908">
        <v>-421.92529999999999</v>
      </c>
      <c r="K3908">
        <v>1.1113949999999999</v>
      </c>
      <c r="L3908">
        <v>106.6824</v>
      </c>
      <c r="M3908">
        <v>2.9463359999999999E-3</v>
      </c>
      <c r="N3908">
        <v>0</v>
      </c>
      <c r="O3908">
        <v>-0.99993379999999998</v>
      </c>
      <c r="P3908">
        <v>-6.1172110000000002E-2</v>
      </c>
      <c r="Q3908">
        <v>0.135321</v>
      </c>
      <c r="R3908">
        <v>-0.98891150000000005</v>
      </c>
      <c r="S3908">
        <v>0.42248540000000001</v>
      </c>
      <c r="T3908">
        <v>-0.2365613</v>
      </c>
      <c r="U3908">
        <v>-3.0931700000000002</v>
      </c>
      <c r="V3908">
        <v>6.3573980000000002E-2</v>
      </c>
      <c r="W3908">
        <v>0.1465303</v>
      </c>
      <c r="X3908">
        <v>0.98716119999999996</v>
      </c>
      <c r="Y3908">
        <v>-0.132023</v>
      </c>
      <c r="Z3908">
        <v>7.5572879999999995E-2</v>
      </c>
      <c r="AA3908">
        <v>0.98836159999999995</v>
      </c>
      <c r="AB3908">
        <v>30</v>
      </c>
      <c r="AC3908">
        <v>1.9830999999999701</v>
      </c>
      <c r="AD3908">
        <v>-1.1113962141329901</v>
      </c>
      <c r="AE3908">
        <v>-14.24335</v>
      </c>
      <c r="AF3908">
        <v>-1.92959806766464</v>
      </c>
      <c r="AG3908">
        <v>-1.1113962141329901</v>
      </c>
      <c r="AH3908">
        <v>14.164530023571199</v>
      </c>
      <c r="AI3908">
        <v>94.445532486609494</v>
      </c>
      <c r="AJ3908">
        <v>97.757506462364205</v>
      </c>
      <c r="AK3908">
        <v>14.338495773133699</v>
      </c>
      <c r="AL3908">
        <v>81.574094533741601</v>
      </c>
      <c r="AM3908">
        <v>86.315194019268802</v>
      </c>
      <c r="AN3908">
        <v>1.00000000726828</v>
      </c>
    </row>
    <row r="3909" spans="1:40" x14ac:dyDescent="0.25">
      <c r="A3909" t="str">
        <f>"20190312164346910"</f>
        <v>20190312164346910</v>
      </c>
      <c r="B3909" t="str">
        <f>"1552380226898625"</f>
        <v>1552380226898625</v>
      </c>
      <c r="C3909" t="s">
        <v>40</v>
      </c>
      <c r="D3909">
        <v>4.6688939999999999</v>
      </c>
      <c r="E3909">
        <v>0.43377700000000002</v>
      </c>
      <c r="F3909" t="s">
        <v>42</v>
      </c>
      <c r="G3909">
        <v>-420.00659999999999</v>
      </c>
      <c r="H3909" s="1">
        <v>-1.2565609999999999E-6</v>
      </c>
      <c r="I3909">
        <v>92.514099999999999</v>
      </c>
      <c r="J3909">
        <v>-421.9228</v>
      </c>
      <c r="K3909">
        <v>1.111253</v>
      </c>
      <c r="L3909">
        <v>106.38679999999999</v>
      </c>
      <c r="M3909">
        <v>4.3708430000000001E-3</v>
      </c>
      <c r="N3909">
        <v>0</v>
      </c>
      <c r="O3909">
        <v>-0.99992979999999998</v>
      </c>
      <c r="P3909">
        <v>-6.1262079999999997E-2</v>
      </c>
      <c r="Q3909">
        <v>0.13527890000000001</v>
      </c>
      <c r="R3909">
        <v>-0.98891200000000001</v>
      </c>
      <c r="S3909">
        <v>0.41882320000000001</v>
      </c>
      <c r="T3909">
        <v>-0.24260319999999999</v>
      </c>
      <c r="U3909">
        <v>-3.0927579999999999</v>
      </c>
      <c r="V3909">
        <v>6.5121869999999998E-2</v>
      </c>
      <c r="W3909">
        <v>0.1463901</v>
      </c>
      <c r="X3909">
        <v>0.98708110000000004</v>
      </c>
      <c r="Y3909">
        <v>-0.12945909999999999</v>
      </c>
      <c r="Z3909">
        <v>7.7520350000000002E-2</v>
      </c>
      <c r="AA3909">
        <v>0.98854989999999998</v>
      </c>
      <c r="AB3909">
        <v>30</v>
      </c>
      <c r="AC3909">
        <v>1.9161999999999999</v>
      </c>
      <c r="AD3909">
        <v>-1.111254256561</v>
      </c>
      <c r="AE3909">
        <v>-13.872699999999901</v>
      </c>
      <c r="AF3909">
        <v>-1.8439323626578801</v>
      </c>
      <c r="AG3909">
        <v>-1.111254256561</v>
      </c>
      <c r="AH3909">
        <v>13.7940893532041</v>
      </c>
      <c r="AI3909">
        <v>94.565376276332699</v>
      </c>
      <c r="AJ3909">
        <v>97.613907101495997</v>
      </c>
      <c r="AK3909">
        <v>13.961084258214401</v>
      </c>
      <c r="AL3909">
        <v>81.582214979911697</v>
      </c>
      <c r="AM3909">
        <v>86.225427756830797</v>
      </c>
      <c r="AN3909">
        <v>1.0000000086537499</v>
      </c>
    </row>
    <row r="3910" spans="1:40" x14ac:dyDescent="0.25">
      <c r="A3910" t="str">
        <f>"20190312164346932"</f>
        <v>20190312164346932</v>
      </c>
      <c r="B3910" t="str">
        <f>"1552380226928881"</f>
        <v>1552380226928881</v>
      </c>
      <c r="C3910" t="s">
        <v>40</v>
      </c>
      <c r="D3910">
        <v>4.6747860000000001</v>
      </c>
      <c r="E3910">
        <v>0.43403340000000001</v>
      </c>
      <c r="F3910" t="s">
        <v>42</v>
      </c>
      <c r="G3910">
        <v>-419.9973</v>
      </c>
      <c r="H3910" s="1">
        <v>-1.0493620000000001E-6</v>
      </c>
      <c r="I3910">
        <v>92.036839999999998</v>
      </c>
      <c r="J3910">
        <v>-421.91989999999998</v>
      </c>
      <c r="K3910">
        <v>1.1111040000000001</v>
      </c>
      <c r="L3910">
        <v>106.08410000000001</v>
      </c>
      <c r="M3910">
        <v>5.65242E-3</v>
      </c>
      <c r="N3910">
        <v>0</v>
      </c>
      <c r="O3910">
        <v>-0.99992429999999999</v>
      </c>
      <c r="P3910">
        <v>-6.1629249999999997E-2</v>
      </c>
      <c r="Q3910">
        <v>0.1360529</v>
      </c>
      <c r="R3910">
        <v>-0.98878350000000004</v>
      </c>
      <c r="S3910">
        <v>0.41488649999999999</v>
      </c>
      <c r="T3910">
        <v>-0.23945140000000001</v>
      </c>
      <c r="U3910">
        <v>-3.0921020000000001</v>
      </c>
      <c r="V3910">
        <v>6.6801349999999995E-2</v>
      </c>
      <c r="W3910">
        <v>0.14706089999999999</v>
      </c>
      <c r="X3910">
        <v>0.9868692</v>
      </c>
      <c r="Y3910">
        <v>-0.12698960000000001</v>
      </c>
      <c r="Z3910">
        <v>7.6553209999999997E-2</v>
      </c>
      <c r="AA3910">
        <v>0.98894550000000003</v>
      </c>
      <c r="AB3910">
        <v>30</v>
      </c>
      <c r="AC3910">
        <v>1.9225999999999801</v>
      </c>
      <c r="AD3910">
        <v>-1.1111050493619901</v>
      </c>
      <c r="AE3910">
        <v>-14.04726</v>
      </c>
      <c r="AF3910">
        <v>-1.8319130298117701</v>
      </c>
      <c r="AG3910">
        <v>-1.1111050493619901</v>
      </c>
      <c r="AH3910">
        <v>13.9720954360356</v>
      </c>
      <c r="AI3910">
        <v>94.508348527150801</v>
      </c>
      <c r="AJ3910">
        <v>97.469571978183197</v>
      </c>
      <c r="AK3910">
        <v>14.1354133527533</v>
      </c>
      <c r="AL3910">
        <v>81.543361008311507</v>
      </c>
      <c r="AM3910">
        <v>86.127545858485902</v>
      </c>
      <c r="AN3910">
        <v>1.0000000732896299</v>
      </c>
    </row>
    <row r="3911" spans="1:40" x14ac:dyDescent="0.25">
      <c r="A3911" t="str">
        <f>"20190312164346956"</f>
        <v>20190312164346956</v>
      </c>
      <c r="B3911" t="str">
        <f>"1552380226948400"</f>
        <v>1552380226948400</v>
      </c>
      <c r="C3911" t="s">
        <v>40</v>
      </c>
      <c r="D3911">
        <v>4.678274</v>
      </c>
      <c r="E3911">
        <v>0.43438939999999998</v>
      </c>
      <c r="F3911" t="s">
        <v>42</v>
      </c>
      <c r="G3911">
        <v>-419.95729999999998</v>
      </c>
      <c r="H3911" s="1">
        <v>-7.401699E-7</v>
      </c>
      <c r="I3911">
        <v>91.340479999999999</v>
      </c>
      <c r="J3911">
        <v>-421.91680000000002</v>
      </c>
      <c r="K3911">
        <v>1.1109579999999999</v>
      </c>
      <c r="L3911">
        <v>105.7702</v>
      </c>
      <c r="M3911">
        <v>6.808461E-3</v>
      </c>
      <c r="N3911">
        <v>0</v>
      </c>
      <c r="O3911">
        <v>-0.99991819999999998</v>
      </c>
      <c r="P3911">
        <v>-6.2340350000000003E-2</v>
      </c>
      <c r="Q3911">
        <v>0.13600429999999999</v>
      </c>
      <c r="R3911">
        <v>-0.9887456</v>
      </c>
      <c r="S3911">
        <v>0.41156009999999998</v>
      </c>
      <c r="T3911">
        <v>-0.23300029999999999</v>
      </c>
      <c r="U3911">
        <v>-3.0917659999999998</v>
      </c>
      <c r="V3911">
        <v>6.8705169999999996E-2</v>
      </c>
      <c r="W3911">
        <v>0.1469076</v>
      </c>
      <c r="X3911">
        <v>0.98676129999999995</v>
      </c>
      <c r="Y3911">
        <v>-0.1248317</v>
      </c>
      <c r="Z3911">
        <v>7.4525149999999998E-2</v>
      </c>
      <c r="AA3911">
        <v>0.98937509999999995</v>
      </c>
      <c r="AB3911">
        <v>30</v>
      </c>
      <c r="AC3911">
        <v>1.95950000000004</v>
      </c>
      <c r="AD3911">
        <v>-1.1109587401698999</v>
      </c>
      <c r="AE3911">
        <v>-14.42972</v>
      </c>
      <c r="AF3911">
        <v>-1.8504345732109799</v>
      </c>
      <c r="AG3911">
        <v>-1.1109587401698999</v>
      </c>
      <c r="AH3911">
        <v>14.359153089402</v>
      </c>
      <c r="AI3911">
        <v>94.387983216735606</v>
      </c>
      <c r="AJ3911">
        <v>97.343118987792295</v>
      </c>
      <c r="AK3911">
        <v>14.520455050616601</v>
      </c>
      <c r="AL3911">
        <v>81.552240726088499</v>
      </c>
      <c r="AM3911">
        <v>86.017098139095097</v>
      </c>
      <c r="AN3911">
        <v>1.0000000532500799</v>
      </c>
    </row>
    <row r="3912" spans="1:40" x14ac:dyDescent="0.25">
      <c r="A3912" t="str">
        <f>"20190312164346976"</f>
        <v>20190312164346976</v>
      </c>
      <c r="B3912" t="str">
        <f>"1552380226968896"</f>
        <v>1552380226968896</v>
      </c>
      <c r="C3912" t="s">
        <v>40</v>
      </c>
      <c r="D3912">
        <v>4.6790529999999997</v>
      </c>
      <c r="E3912">
        <v>0.43476039999999999</v>
      </c>
      <c r="F3912" t="s">
        <v>42</v>
      </c>
      <c r="G3912">
        <v>-419.94389999999999</v>
      </c>
      <c r="H3912" s="1">
        <v>-5.0877850000000005E-7</v>
      </c>
      <c r="I3912">
        <v>90.795550000000006</v>
      </c>
      <c r="J3912">
        <v>-421.91379999999998</v>
      </c>
      <c r="K3912">
        <v>1.1108129999999901</v>
      </c>
      <c r="L3912">
        <v>105.48609999999999</v>
      </c>
      <c r="M3912">
        <v>7.7059449999999996E-3</v>
      </c>
      <c r="N3912">
        <v>0</v>
      </c>
      <c r="O3912">
        <v>-0.99991209999999997</v>
      </c>
      <c r="P3912">
        <v>-6.2670320000000002E-2</v>
      </c>
      <c r="Q3912">
        <v>0.1351675</v>
      </c>
      <c r="R3912">
        <v>-0.98883889999999997</v>
      </c>
      <c r="S3912">
        <v>0.40728760000000003</v>
      </c>
      <c r="T3912">
        <v>-0.22934599999999999</v>
      </c>
      <c r="U3912">
        <v>-3.09137</v>
      </c>
      <c r="V3912">
        <v>6.9970920000000006E-2</v>
      </c>
      <c r="W3912">
        <v>0.14597739999999901</v>
      </c>
      <c r="X3912">
        <v>0.98681030000000003</v>
      </c>
      <c r="Y3912">
        <v>-0.1226247</v>
      </c>
      <c r="Z3912">
        <v>7.3388019999999998E-2</v>
      </c>
      <c r="AA3912">
        <v>0.98973599999999995</v>
      </c>
      <c r="AB3912">
        <v>30</v>
      </c>
      <c r="AC3912">
        <v>1.96989999999999</v>
      </c>
      <c r="AD3912">
        <v>-1.1108135087784901</v>
      </c>
      <c r="AE3912">
        <v>-14.690549999999901</v>
      </c>
      <c r="AF3912">
        <v>-1.8462608018454001</v>
      </c>
      <c r="AG3912">
        <v>-1.1108135087784901</v>
      </c>
      <c r="AH3912">
        <v>14.6231634470717</v>
      </c>
      <c r="AI3912">
        <v>94.309908865407095</v>
      </c>
      <c r="AJ3912">
        <v>97.195856629709596</v>
      </c>
      <c r="AK3912">
        <v>14.781051884067301</v>
      </c>
      <c r="AL3912">
        <v>81.606117224900999</v>
      </c>
      <c r="AM3912">
        <v>85.944164875259901</v>
      </c>
      <c r="AN3912">
        <v>0.99999994957124605</v>
      </c>
    </row>
    <row r="3913" spans="1:40" x14ac:dyDescent="0.25">
      <c r="A3913" t="str">
        <f>"20190312164347000"</f>
        <v>20190312164347000</v>
      </c>
      <c r="B3913" t="str">
        <f>"1552380226988416"</f>
        <v>1552380226988416</v>
      </c>
      <c r="C3913" t="s">
        <v>40</v>
      </c>
      <c r="D3913">
        <v>4.6262879999999997</v>
      </c>
      <c r="E3913">
        <v>0.43512529999999999</v>
      </c>
      <c r="F3913" t="s">
        <v>42</v>
      </c>
      <c r="G3913">
        <v>-419.9753</v>
      </c>
      <c r="H3913" s="1">
        <v>-4.4414660000000002E-7</v>
      </c>
      <c r="I3913">
        <v>90.639719999999997</v>
      </c>
      <c r="J3913">
        <v>-421.91050000000001</v>
      </c>
      <c r="K3913">
        <v>1.1106780000000001</v>
      </c>
      <c r="L3913">
        <v>105.1829</v>
      </c>
      <c r="M3913">
        <v>8.5148250000000002E-3</v>
      </c>
      <c r="N3913">
        <v>0</v>
      </c>
      <c r="O3913">
        <v>-0.99990650000000003</v>
      </c>
      <c r="P3913">
        <v>-6.3078309999999999E-2</v>
      </c>
      <c r="Q3913">
        <v>0.1350933</v>
      </c>
      <c r="R3913">
        <v>-0.98882340000000002</v>
      </c>
      <c r="S3913">
        <v>0.40359499999999998</v>
      </c>
      <c r="T3913">
        <v>-0.23127210000000001</v>
      </c>
      <c r="U3913">
        <v>-3.0910340000000001</v>
      </c>
      <c r="V3913">
        <v>7.1227449999999998E-2</v>
      </c>
      <c r="W3913">
        <v>0.1458053</v>
      </c>
      <c r="X3913">
        <v>0.98674589999999995</v>
      </c>
      <c r="Y3913">
        <v>-0.1206671</v>
      </c>
      <c r="Z3913">
        <v>7.4022760000000007E-2</v>
      </c>
      <c r="AA3913">
        <v>0.98992930000000001</v>
      </c>
      <c r="AB3913">
        <v>30</v>
      </c>
      <c r="AC3913">
        <v>1.9352</v>
      </c>
      <c r="AD3913">
        <v>-1.1106784441466</v>
      </c>
      <c r="AE3913">
        <v>-14.54318</v>
      </c>
      <c r="AF3913">
        <v>-1.80096864617784</v>
      </c>
      <c r="AG3913">
        <v>-1.1106784441466</v>
      </c>
      <c r="AH3913">
        <v>14.476167690296499</v>
      </c>
      <c r="AI3913">
        <v>94.353966589897496</v>
      </c>
      <c r="AJ3913">
        <v>97.091685155073904</v>
      </c>
      <c r="AK3913">
        <v>14.629987206706399</v>
      </c>
      <c r="AL3913">
        <v>81.616084924928401</v>
      </c>
      <c r="AM3913">
        <v>85.871311754978294</v>
      </c>
      <c r="AN3913">
        <v>1.0000000031542</v>
      </c>
    </row>
    <row r="3914" spans="1:40" x14ac:dyDescent="0.25">
      <c r="A3914" t="str">
        <f>"20190312164347022"</f>
        <v>20190312164347022</v>
      </c>
      <c r="B3914" t="str">
        <f>"1552380227018673"</f>
        <v>1552380227018673</v>
      </c>
      <c r="C3914" t="s">
        <v>40</v>
      </c>
      <c r="D3914">
        <v>4.6171069999999999</v>
      </c>
      <c r="E3914">
        <v>0.43543140000000002</v>
      </c>
      <c r="F3914" t="s">
        <v>42</v>
      </c>
      <c r="G3914">
        <v>-420.0009</v>
      </c>
      <c r="H3914" s="1">
        <v>-3.3962670000000002E-7</v>
      </c>
      <c r="I3914">
        <v>90.380260000000007</v>
      </c>
      <c r="J3914">
        <v>-421.90719999999999</v>
      </c>
      <c r="K3914">
        <v>1.1105309999999999</v>
      </c>
      <c r="L3914">
        <v>104.8837</v>
      </c>
      <c r="M3914">
        <v>9.1547060000000003E-3</v>
      </c>
      <c r="N3914">
        <v>0</v>
      </c>
      <c r="O3914">
        <v>-0.9999017</v>
      </c>
      <c r="P3914">
        <v>-6.3699599999999995E-2</v>
      </c>
      <c r="Q3914">
        <v>0.13553479999999901</v>
      </c>
      <c r="R3914">
        <v>-0.98872320000000002</v>
      </c>
      <c r="S3914">
        <v>0.39877319999999999</v>
      </c>
      <c r="T3914">
        <v>-0.2319283</v>
      </c>
      <c r="U3914">
        <v>-3.0910340000000001</v>
      </c>
      <c r="V3914">
        <v>7.2526930000000003E-2</v>
      </c>
      <c r="W3914">
        <v>0.14615049999999999</v>
      </c>
      <c r="X3914">
        <v>0.98660020000000004</v>
      </c>
      <c r="Y3914">
        <v>-0.1185108</v>
      </c>
      <c r="Z3914">
        <v>7.4248060000000005E-2</v>
      </c>
      <c r="AA3914">
        <v>0.99017290000000002</v>
      </c>
      <c r="AB3914">
        <v>30</v>
      </c>
      <c r="AC3914">
        <v>1.9062999999999799</v>
      </c>
      <c r="AD3914">
        <v>-1.1105313396267</v>
      </c>
      <c r="AE3914">
        <v>-14.503439999999999</v>
      </c>
      <c r="AF3914">
        <v>-1.76327538004151</v>
      </c>
      <c r="AG3914">
        <v>-1.1105313396267</v>
      </c>
      <c r="AH3914">
        <v>14.437077710225401</v>
      </c>
      <c r="AI3914">
        <v>94.366334768635895</v>
      </c>
      <c r="AJ3914">
        <v>96.963344095271495</v>
      </c>
      <c r="AK3914">
        <v>14.5866936875099</v>
      </c>
      <c r="AL3914">
        <v>81.596092564456299</v>
      </c>
      <c r="AM3914">
        <v>85.795636636126801</v>
      </c>
      <c r="AN3914">
        <v>1.00000003943275</v>
      </c>
    </row>
    <row r="3915" spans="1:40" x14ac:dyDescent="0.25">
      <c r="A3915" t="str">
        <f>"20190312164347046"</f>
        <v>20190312164347046</v>
      </c>
      <c r="B3915" t="str">
        <f>"1552380227039168"</f>
        <v>1552380227039168</v>
      </c>
      <c r="C3915" t="s">
        <v>40</v>
      </c>
      <c r="D3915">
        <v>4.5447559999999996</v>
      </c>
      <c r="E3915">
        <v>0.43707509999999999</v>
      </c>
      <c r="F3915" t="s">
        <v>42</v>
      </c>
      <c r="G3915">
        <v>-420.0188</v>
      </c>
      <c r="H3915" s="1">
        <v>-2.000864E-7</v>
      </c>
      <c r="I3915">
        <v>90.043869999999998</v>
      </c>
      <c r="J3915">
        <v>-421.90359999999998</v>
      </c>
      <c r="K3915">
        <v>1.1103860000000001</v>
      </c>
      <c r="L3915">
        <v>104.56480000000001</v>
      </c>
      <c r="M3915">
        <v>9.6561609999999999E-3</v>
      </c>
      <c r="N3915">
        <v>0</v>
      </c>
      <c r="O3915">
        <v>-0.9998977</v>
      </c>
      <c r="P3915">
        <v>-6.4325560000000004E-2</v>
      </c>
      <c r="Q3915">
        <v>0.13566239999999999</v>
      </c>
      <c r="R3915">
        <v>-0.98866489999999996</v>
      </c>
      <c r="S3915">
        <v>0.39337159999999999</v>
      </c>
      <c r="T3915">
        <v>-0.2313347</v>
      </c>
      <c r="U3915">
        <v>-3.091278</v>
      </c>
      <c r="V3915">
        <v>7.3696349999999994E-2</v>
      </c>
      <c r="W3915">
        <v>0.1461817</v>
      </c>
      <c r="X3915">
        <v>0.98650890000000002</v>
      </c>
      <c r="Y3915">
        <v>-0.11630210000000001</v>
      </c>
      <c r="Z3915">
        <v>7.4070639999999993E-2</v>
      </c>
      <c r="AA3915">
        <v>0.99044810000000005</v>
      </c>
      <c r="AB3915">
        <v>30</v>
      </c>
      <c r="AC3915">
        <v>1.88479999999998</v>
      </c>
      <c r="AD3915">
        <v>-1.1103862000864</v>
      </c>
      <c r="AE3915">
        <v>-14.52093</v>
      </c>
      <c r="AF3915">
        <v>-1.73451360448166</v>
      </c>
      <c r="AG3915">
        <v>-1.1103862000864</v>
      </c>
      <c r="AH3915">
        <v>14.4553289470532</v>
      </c>
      <c r="AI3915">
        <v>94.361386588773101</v>
      </c>
      <c r="AJ3915">
        <v>96.842281593735095</v>
      </c>
      <c r="AK3915">
        <v>14.6013023366064</v>
      </c>
      <c r="AL3915">
        <v>81.594285411630395</v>
      </c>
      <c r="AM3915">
        <v>85.727700806038897</v>
      </c>
      <c r="AN3915">
        <v>1.00000002559871</v>
      </c>
    </row>
    <row r="3916" spans="1:40" x14ac:dyDescent="0.25">
      <c r="A3916" t="str">
        <f>"20190312164347067"</f>
        <v>20190312164347067</v>
      </c>
      <c r="B3916" t="str">
        <f>"1552380227058689"</f>
        <v>1552380227058689</v>
      </c>
      <c r="C3916" t="s">
        <v>40</v>
      </c>
      <c r="D3916">
        <v>4.607094</v>
      </c>
      <c r="E3916">
        <v>0.46602759999999999</v>
      </c>
      <c r="F3916" t="s">
        <v>42</v>
      </c>
      <c r="G3916">
        <v>-420.12619999999998</v>
      </c>
      <c r="H3916" s="1">
        <v>-2.3063250000000001E-7</v>
      </c>
      <c r="I3916">
        <v>90.048429999999996</v>
      </c>
      <c r="J3916">
        <v>-421.90010000000001</v>
      </c>
      <c r="K3916">
        <v>1.11026</v>
      </c>
      <c r="L3916">
        <v>104.2602</v>
      </c>
      <c r="M3916">
        <v>1.000642E-2</v>
      </c>
      <c r="N3916">
        <v>0</v>
      </c>
      <c r="O3916">
        <v>-0.99989470000000003</v>
      </c>
      <c r="P3916">
        <v>-6.433034E-2</v>
      </c>
      <c r="Q3916">
        <v>0.13507139999999901</v>
      </c>
      <c r="R3916">
        <v>-0.98874550000000005</v>
      </c>
      <c r="S3916">
        <v>0.3785095</v>
      </c>
      <c r="T3916">
        <v>-0.2364713</v>
      </c>
      <c r="U3916">
        <v>-3.0914609999999998</v>
      </c>
      <c r="V3916">
        <v>7.4089390000000005E-2</v>
      </c>
      <c r="W3916">
        <v>0.1455071</v>
      </c>
      <c r="X3916">
        <v>0.98657919999999999</v>
      </c>
      <c r="Y3916">
        <v>-0.1112416</v>
      </c>
      <c r="Z3916">
        <v>7.5745439999999997E-2</v>
      </c>
      <c r="AA3916">
        <v>0.99090259999999997</v>
      </c>
      <c r="AB3916">
        <v>30</v>
      </c>
      <c r="AC3916">
        <v>1.77390000000002</v>
      </c>
      <c r="AD3916">
        <v>-1.1102602306325</v>
      </c>
      <c r="AE3916">
        <v>-14.2117699999999</v>
      </c>
      <c r="AF3916">
        <v>-1.6218478711353199</v>
      </c>
      <c r="AG3916">
        <v>-1.1102602306325</v>
      </c>
      <c r="AH3916">
        <v>14.1438123679408</v>
      </c>
      <c r="AI3916">
        <v>94.459294589234105</v>
      </c>
      <c r="AJ3916">
        <v>96.541442549638802</v>
      </c>
      <c r="AK3916">
        <v>14.279723267498699</v>
      </c>
      <c r="AL3916">
        <v>81.633354979624698</v>
      </c>
      <c r="AM3916">
        <v>85.705305565367098</v>
      </c>
      <c r="AN3916">
        <v>1.00000003586681</v>
      </c>
    </row>
    <row r="3917" spans="1:40" x14ac:dyDescent="0.25">
      <c r="A3917" t="str">
        <f>"20190312164347099"</f>
        <v>20190312164347099</v>
      </c>
      <c r="B3917" t="str">
        <f>"1552380227088945"</f>
        <v>1552380227088945</v>
      </c>
      <c r="C3917" t="s">
        <v>40</v>
      </c>
      <c r="D3917">
        <v>4.3207649999999997</v>
      </c>
      <c r="E3917">
        <v>0.46674589999999999</v>
      </c>
      <c r="F3917" t="s">
        <v>42</v>
      </c>
      <c r="G3917">
        <v>-421.267</v>
      </c>
      <c r="H3917" s="1">
        <v>-9.4815480000000002E-7</v>
      </c>
      <c r="I3917">
        <v>91.01343</v>
      </c>
      <c r="J3917">
        <v>-421.89530000000002</v>
      </c>
      <c r="K3917">
        <v>1.110087</v>
      </c>
      <c r="L3917">
        <v>103.8194</v>
      </c>
      <c r="M3917">
        <v>1.030413E-2</v>
      </c>
      <c r="N3917">
        <v>0</v>
      </c>
      <c r="O3917">
        <v>-0.99989280000000003</v>
      </c>
      <c r="P3917">
        <v>-6.3562980000000005E-2</v>
      </c>
      <c r="Q3917">
        <v>0.13298589999999999</v>
      </c>
      <c r="R3917">
        <v>-0.98907769999999995</v>
      </c>
      <c r="S3917">
        <v>0.1471558</v>
      </c>
      <c r="T3917">
        <v>-0.25806010000000001</v>
      </c>
      <c r="U3917">
        <v>-3.0789789999999999</v>
      </c>
      <c r="V3917">
        <v>7.3672749999999995E-2</v>
      </c>
      <c r="W3917">
        <v>0.143309299999999</v>
      </c>
      <c r="X3917">
        <v>0.98693200000000003</v>
      </c>
      <c r="Y3917">
        <v>-3.727726E-2</v>
      </c>
      <c r="Z3917">
        <v>8.343776E-2</v>
      </c>
      <c r="AA3917">
        <v>0.99581549999999996</v>
      </c>
      <c r="AB3917">
        <v>30</v>
      </c>
      <c r="AC3917">
        <v>0.62830000000002395</v>
      </c>
      <c r="AD3917">
        <v>-1.1100879481548001</v>
      </c>
      <c r="AE3917">
        <v>-12.80597</v>
      </c>
      <c r="AF3917">
        <v>-0.49261236186657698</v>
      </c>
      <c r="AG3917">
        <v>-1.1100879481548001</v>
      </c>
      <c r="AH3917">
        <v>12.7164385560011</v>
      </c>
      <c r="AI3917">
        <v>94.985296488967606</v>
      </c>
      <c r="AJ3917">
        <v>92.218428014930296</v>
      </c>
      <c r="AK3917">
        <v>12.7743012231689</v>
      </c>
      <c r="AL3917">
        <v>81.760613277057004</v>
      </c>
      <c r="AM3917">
        <v>85.730888063304604</v>
      </c>
      <c r="AN3917">
        <v>1.00000000109152</v>
      </c>
    </row>
    <row r="3918" spans="1:40" x14ac:dyDescent="0.25">
      <c r="A3918" t="str">
        <f>"20190312164347123"</f>
        <v>20190312164347123</v>
      </c>
      <c r="B3918" t="str">
        <f>"1552380227119201"</f>
        <v>1552380227119201</v>
      </c>
      <c r="C3918" t="s">
        <v>40</v>
      </c>
      <c r="D3918">
        <v>4.509989</v>
      </c>
      <c r="E3918">
        <v>0.46594350000000001</v>
      </c>
      <c r="F3918" t="s">
        <v>42</v>
      </c>
      <c r="G3918">
        <v>-421.27980000000002</v>
      </c>
      <c r="H3918" s="1">
        <v>-6.7323669999999905E-7</v>
      </c>
      <c r="I3918">
        <v>90.364660000000001</v>
      </c>
      <c r="J3918">
        <v>-421.892</v>
      </c>
      <c r="K3918">
        <v>1.109988</v>
      </c>
      <c r="L3918">
        <v>103.5196</v>
      </c>
      <c r="M3918">
        <v>1.0360970000000001E-2</v>
      </c>
      <c r="N3918">
        <v>0</v>
      </c>
      <c r="O3918">
        <v>-0.99989280000000003</v>
      </c>
      <c r="P3918">
        <v>-6.3027029999999998E-2</v>
      </c>
      <c r="Q3918">
        <v>0.13207859999999999</v>
      </c>
      <c r="R3918">
        <v>-0.98923349999999999</v>
      </c>
      <c r="S3918">
        <v>0.1407166</v>
      </c>
      <c r="T3918">
        <v>-0.25380770000000002</v>
      </c>
      <c r="U3918">
        <v>-3.076263</v>
      </c>
      <c r="V3918">
        <v>7.322729E-2</v>
      </c>
      <c r="W3918">
        <v>0.1423333</v>
      </c>
      <c r="X3918">
        <v>0.98710640000000005</v>
      </c>
      <c r="Y3918">
        <v>-3.5187299999999998E-2</v>
      </c>
      <c r="Z3918">
        <v>8.2151089999999996E-2</v>
      </c>
      <c r="AA3918">
        <v>0.99599850000000001</v>
      </c>
      <c r="AB3918">
        <v>30</v>
      </c>
      <c r="AC3918">
        <v>0.61219999999997299</v>
      </c>
      <c r="AD3918">
        <v>-1.1099886732366999</v>
      </c>
      <c r="AE3918">
        <v>-13.1549399999999</v>
      </c>
      <c r="AF3918">
        <v>-0.47250509563075399</v>
      </c>
      <c r="AG3918">
        <v>-1.1099886732366999</v>
      </c>
      <c r="AH3918">
        <v>13.067740314286</v>
      </c>
      <c r="AI3918">
        <v>94.851958724616196</v>
      </c>
      <c r="AJ3918">
        <v>92.070806280333699</v>
      </c>
      <c r="AK3918">
        <v>13.123306475188601</v>
      </c>
      <c r="AL3918">
        <v>81.817113363066696</v>
      </c>
      <c r="AM3918">
        <v>85.757353520560898</v>
      </c>
      <c r="AN3918">
        <v>1.00000002460529</v>
      </c>
    </row>
    <row r="3919" spans="1:40" x14ac:dyDescent="0.25">
      <c r="A3919" t="str">
        <f>"20190312164347145"</f>
        <v>20190312164347145</v>
      </c>
      <c r="B3919" t="str">
        <f>"1552380227138724"</f>
        <v>1552380227138724</v>
      </c>
      <c r="C3919" t="s">
        <v>40</v>
      </c>
      <c r="D3919">
        <v>4.1542199999999996</v>
      </c>
      <c r="E3919">
        <v>0.46531879999999998</v>
      </c>
      <c r="F3919" t="s">
        <v>42</v>
      </c>
      <c r="G3919">
        <v>-421.22890000000001</v>
      </c>
      <c r="H3919" s="1">
        <v>-4.672507E-7</v>
      </c>
      <c r="I3919">
        <v>89.916079999999994</v>
      </c>
      <c r="J3919">
        <v>-421.88869999999997</v>
      </c>
      <c r="K3919">
        <v>1.10989</v>
      </c>
      <c r="L3919">
        <v>103.2017</v>
      </c>
      <c r="M3919">
        <v>1.028021E-2</v>
      </c>
      <c r="N3919">
        <v>0</v>
      </c>
      <c r="O3919">
        <v>-0.99989410000000001</v>
      </c>
      <c r="P3919">
        <v>-6.2310259999999999E-2</v>
      </c>
      <c r="Q3919">
        <v>0.1330249</v>
      </c>
      <c r="R3919">
        <v>-0.98915229999999998</v>
      </c>
      <c r="S3919">
        <v>0.14993290000000001</v>
      </c>
      <c r="T3919">
        <v>-0.25096479999999999</v>
      </c>
      <c r="U3919">
        <v>-3.0757140000000001</v>
      </c>
      <c r="V3919">
        <v>7.2466569999999994E-2</v>
      </c>
      <c r="W3919">
        <v>0.14321059999999999</v>
      </c>
      <c r="X3919">
        <v>0.98703560000000001</v>
      </c>
      <c r="Y3919">
        <v>-3.8257439999999997E-2</v>
      </c>
      <c r="Z3919">
        <v>8.1241229999999998E-2</v>
      </c>
      <c r="AA3919">
        <v>0.99595990000000001</v>
      </c>
      <c r="AB3919">
        <v>30</v>
      </c>
      <c r="AC3919">
        <v>0.65979999999996097</v>
      </c>
      <c r="AD3919">
        <v>-1.1098904672507</v>
      </c>
      <c r="AE3919">
        <v>-13.2856199999999</v>
      </c>
      <c r="AF3919">
        <v>-0.519561791739232</v>
      </c>
      <c r="AG3919">
        <v>-1.1098904672507</v>
      </c>
      <c r="AH3919">
        <v>13.1998056062403</v>
      </c>
      <c r="AI3919">
        <v>94.802642330368002</v>
      </c>
      <c r="AJ3919">
        <v>92.254073987358893</v>
      </c>
      <c r="AK3919">
        <v>13.256570798938199</v>
      </c>
      <c r="AL3919">
        <v>81.766327116214001</v>
      </c>
      <c r="AM3919">
        <v>85.80096961113</v>
      </c>
      <c r="AN3919">
        <v>0.99999997769364202</v>
      </c>
    </row>
    <row r="3920" spans="1:40" x14ac:dyDescent="0.25">
      <c r="A3920" t="str">
        <f>"20190312164347167"</f>
        <v>20190312164347167</v>
      </c>
      <c r="B3920" t="str">
        <f>"1552380227159217"</f>
        <v>1552380227159217</v>
      </c>
      <c r="C3920" t="s">
        <v>40</v>
      </c>
      <c r="D3920">
        <v>4.1114949999999997</v>
      </c>
      <c r="E3920">
        <v>0.46490350000000003</v>
      </c>
      <c r="F3920" t="s">
        <v>42</v>
      </c>
      <c r="G3920">
        <v>-421.17700000000002</v>
      </c>
      <c r="H3920" s="1">
        <v>-4.3697739999999998E-6</v>
      </c>
      <c r="I3920">
        <v>89.214069999999893</v>
      </c>
      <c r="J3920">
        <v>-421.88569999999999</v>
      </c>
      <c r="K3920">
        <v>1.1097999999999999</v>
      </c>
      <c r="L3920">
        <v>102.9064</v>
      </c>
      <c r="M3920">
        <v>1.010575E-2</v>
      </c>
      <c r="N3920">
        <v>0</v>
      </c>
      <c r="O3920">
        <v>-0.99989649999999997</v>
      </c>
      <c r="P3920">
        <v>-6.092065E-2</v>
      </c>
      <c r="Q3920">
        <v>0.1338269</v>
      </c>
      <c r="R3920">
        <v>-0.98913110000000004</v>
      </c>
      <c r="S3920">
        <v>0.1564941</v>
      </c>
      <c r="T3920">
        <v>-0.24404000000000001</v>
      </c>
      <c r="U3920">
        <v>-3.0755620000000001</v>
      </c>
      <c r="V3920">
        <v>7.0937940000000005E-2</v>
      </c>
      <c r="W3920">
        <v>0.14395289999999999</v>
      </c>
      <c r="X3920">
        <v>0.98703870000000005</v>
      </c>
      <c r="Y3920">
        <v>-4.0562699999999903E-2</v>
      </c>
      <c r="Z3920">
        <v>7.9010150000000001E-2</v>
      </c>
      <c r="AA3920">
        <v>0.99604820000000005</v>
      </c>
      <c r="AB3920">
        <v>31</v>
      </c>
      <c r="AC3920">
        <v>0.70870000000002098</v>
      </c>
      <c r="AD3920">
        <v>-1.1098043697740001</v>
      </c>
      <c r="AE3920">
        <v>-13.69233</v>
      </c>
      <c r="AF3920">
        <v>-0.56657308051392097</v>
      </c>
      <c r="AG3920">
        <v>-1.1098043697740001</v>
      </c>
      <c r="AH3920">
        <v>13.609622329755901</v>
      </c>
      <c r="AI3920">
        <v>94.657884972777495</v>
      </c>
      <c r="AJ3920">
        <v>92.383865747202407</v>
      </c>
      <c r="AK3920">
        <v>13.666546409145401</v>
      </c>
      <c r="AL3920">
        <v>81.723351446084806</v>
      </c>
      <c r="AM3920">
        <v>85.889251089160595</v>
      </c>
      <c r="AN3920">
        <v>1.00000001202377</v>
      </c>
    </row>
    <row r="3921" spans="1:40" x14ac:dyDescent="0.25">
      <c r="A3921" t="str">
        <f>"20190312164347189"</f>
        <v>20190312164347189</v>
      </c>
      <c r="B3921" t="str">
        <f>"1552380227178737"</f>
        <v>1552380227178737</v>
      </c>
      <c r="C3921" t="s">
        <v>40</v>
      </c>
      <c r="D3921">
        <v>4.1199490000000001</v>
      </c>
      <c r="E3921">
        <v>0.46458700000000003</v>
      </c>
      <c r="F3921" t="s">
        <v>42</v>
      </c>
      <c r="G3921">
        <v>-421.12119999999999</v>
      </c>
      <c r="H3921" s="1">
        <v>-4.1100779999999996E-6</v>
      </c>
      <c r="I3921">
        <v>88.480029999999999</v>
      </c>
      <c r="J3921">
        <v>-421.88290000000001</v>
      </c>
      <c r="K3921">
        <v>1.1096999999999999</v>
      </c>
      <c r="L3921">
        <v>102.60380000000001</v>
      </c>
      <c r="M3921">
        <v>9.8227090000000006E-3</v>
      </c>
      <c r="N3921">
        <v>0</v>
      </c>
      <c r="O3921">
        <v>-0.99989950000000005</v>
      </c>
      <c r="P3921">
        <v>-5.9983450000000001E-2</v>
      </c>
      <c r="Q3921">
        <v>0.13426850000000001</v>
      </c>
      <c r="R3921">
        <v>-0.98912789999999995</v>
      </c>
      <c r="S3921">
        <v>0.16296389999999999</v>
      </c>
      <c r="T3921">
        <v>-0.23655699999999999</v>
      </c>
      <c r="U3921">
        <v>-3.0750120000000001</v>
      </c>
      <c r="V3921">
        <v>6.97546E-2</v>
      </c>
      <c r="W3921">
        <v>0.14433509999999999</v>
      </c>
      <c r="X3921">
        <v>0.98706719999999903</v>
      </c>
      <c r="Y3921">
        <v>-4.2954369999999999E-2</v>
      </c>
      <c r="Z3921">
        <v>7.6607830000000002E-2</v>
      </c>
      <c r="AA3921">
        <v>0.99613560000000001</v>
      </c>
      <c r="AB3921">
        <v>31</v>
      </c>
      <c r="AC3921">
        <v>0.76170000000001803</v>
      </c>
      <c r="AD3921">
        <v>-1.1097041100780001</v>
      </c>
      <c r="AE3921">
        <v>-14.12377</v>
      </c>
      <c r="AF3921">
        <v>-0.61911147676831801</v>
      </c>
      <c r="AG3921">
        <v>-1.1097041100780001</v>
      </c>
      <c r="AH3921">
        <v>14.044124575704499</v>
      </c>
      <c r="AI3921">
        <v>94.513504914288504</v>
      </c>
      <c r="AJ3921">
        <v>92.524153278080504</v>
      </c>
      <c r="AK3921">
        <v>14.1014955707009</v>
      </c>
      <c r="AL3921">
        <v>81.701221721156898</v>
      </c>
      <c r="AM3921">
        <v>85.9577109755148</v>
      </c>
      <c r="AN3921">
        <v>0.99999999131450401</v>
      </c>
    </row>
    <row r="3922" spans="1:40" x14ac:dyDescent="0.25">
      <c r="A3922" t="str">
        <f>"20190312164347211"</f>
        <v>20190312164347211</v>
      </c>
      <c r="B3922" t="str">
        <f>"1552380227208993"</f>
        <v>1552380227208993</v>
      </c>
      <c r="C3922" t="s">
        <v>40</v>
      </c>
      <c r="D3922">
        <v>4.3687329999999998</v>
      </c>
      <c r="E3922">
        <v>0.46460459999999898</v>
      </c>
      <c r="F3922" t="s">
        <v>42</v>
      </c>
      <c r="G3922">
        <v>-421.08600000000001</v>
      </c>
      <c r="H3922" s="1">
        <v>-3.8801210000000003E-6</v>
      </c>
      <c r="I3922">
        <v>87.960219999999893</v>
      </c>
      <c r="J3922">
        <v>-421.8802</v>
      </c>
      <c r="K3922">
        <v>1.1095980000000001</v>
      </c>
      <c r="L3922">
        <v>102.2984</v>
      </c>
      <c r="M3922">
        <v>9.4259200000000008E-3</v>
      </c>
      <c r="N3922">
        <v>0</v>
      </c>
      <c r="O3922">
        <v>-0.99990420000000002</v>
      </c>
      <c r="P3922">
        <v>-5.9798619999999997E-2</v>
      </c>
      <c r="Q3922">
        <v>0.13430039999999999</v>
      </c>
      <c r="R3922">
        <v>-0.98913510000000004</v>
      </c>
      <c r="S3922">
        <v>0.1673279</v>
      </c>
      <c r="T3922">
        <v>-0.23300650000000001</v>
      </c>
      <c r="U3922">
        <v>-3.074738</v>
      </c>
      <c r="V3922">
        <v>6.9210649999999999E-2</v>
      </c>
      <c r="W3922">
        <v>0.1443111</v>
      </c>
      <c r="X3922">
        <v>0.98710900000000001</v>
      </c>
      <c r="Y3922">
        <v>-4.4769969999999999E-2</v>
      </c>
      <c r="Z3922">
        <v>7.5465870000000004E-2</v>
      </c>
      <c r="AA3922">
        <v>0.99614290000000005</v>
      </c>
      <c r="AB3922">
        <v>31</v>
      </c>
      <c r="AC3922">
        <v>0.79419999999998903</v>
      </c>
      <c r="AD3922">
        <v>-1.1096018801209999</v>
      </c>
      <c r="AE3922">
        <v>-14.338179999999999</v>
      </c>
      <c r="AF3922">
        <v>-0.65509593606050198</v>
      </c>
      <c r="AG3922">
        <v>-1.1096018801209999</v>
      </c>
      <c r="AH3922">
        <v>14.259889723888</v>
      </c>
      <c r="AI3922">
        <v>94.444710227125995</v>
      </c>
      <c r="AJ3922">
        <v>92.630305112515202</v>
      </c>
      <c r="AK3922">
        <v>14.317989452268</v>
      </c>
      <c r="AL3922">
        <v>81.702611380780496</v>
      </c>
      <c r="AM3922">
        <v>85.989298963598699</v>
      </c>
      <c r="AN3922">
        <v>0.99999999276881602</v>
      </c>
    </row>
    <row r="3923" spans="1:40" x14ac:dyDescent="0.25">
      <c r="A3923" t="str">
        <f>"20190312164347234"</f>
        <v>20190312164347234</v>
      </c>
      <c r="B3923" t="str">
        <f>"1552380227228516"</f>
        <v>1552380227228516</v>
      </c>
      <c r="C3923" t="s">
        <v>40</v>
      </c>
      <c r="D3923">
        <v>4.0024430000000004</v>
      </c>
      <c r="E3923">
        <v>0.46464230000000001</v>
      </c>
      <c r="F3923" t="s">
        <v>42</v>
      </c>
      <c r="G3923">
        <v>-421.06799999999998</v>
      </c>
      <c r="H3923" s="1">
        <v>-3.6258929999999999E-6</v>
      </c>
      <c r="I3923">
        <v>87.378780000000006</v>
      </c>
      <c r="J3923">
        <v>-421.87759999999997</v>
      </c>
      <c r="K3923">
        <v>1.109491</v>
      </c>
      <c r="L3923">
        <v>101.9753</v>
      </c>
      <c r="M3923">
        <v>8.8938160000000006E-3</v>
      </c>
      <c r="N3923">
        <v>0</v>
      </c>
      <c r="O3923">
        <v>-0.9999093</v>
      </c>
      <c r="P3923">
        <v>-5.9289590000000003E-2</v>
      </c>
      <c r="Q3923">
        <v>0.13394829999999999</v>
      </c>
      <c r="R3923">
        <v>-0.98921360000000003</v>
      </c>
      <c r="S3923">
        <v>0.16735839999999999</v>
      </c>
      <c r="T3923">
        <v>-0.22862850000000001</v>
      </c>
      <c r="U3923">
        <v>-3.0741269999999998</v>
      </c>
      <c r="V3923">
        <v>6.8209019999999995E-2</v>
      </c>
      <c r="W3923">
        <v>0.1439086</v>
      </c>
      <c r="X3923">
        <v>0.98723749999999999</v>
      </c>
      <c r="Y3923">
        <v>-4.5327859999999998E-2</v>
      </c>
      <c r="Z3923">
        <v>7.4069990000000002E-2</v>
      </c>
      <c r="AA3923">
        <v>0.99622239999999995</v>
      </c>
      <c r="AB3923">
        <v>31</v>
      </c>
      <c r="AC3923">
        <v>0.80959999999993204</v>
      </c>
      <c r="AD3923">
        <v>-1.1094946258930001</v>
      </c>
      <c r="AE3923">
        <v>-14.5965199999999</v>
      </c>
      <c r="AF3923">
        <v>-0.67584972121014997</v>
      </c>
      <c r="AG3923">
        <v>-1.1094946258930001</v>
      </c>
      <c r="AH3923">
        <v>14.5195119634307</v>
      </c>
      <c r="AI3923">
        <v>94.365002408118798</v>
      </c>
      <c r="AJ3923">
        <v>92.665062426934</v>
      </c>
      <c r="AK3923">
        <v>14.577516209106101</v>
      </c>
      <c r="AL3923">
        <v>81.725916409367002</v>
      </c>
      <c r="AM3923">
        <v>86.047670139134695</v>
      </c>
      <c r="AN3923">
        <v>1.0000000184847799</v>
      </c>
    </row>
    <row r="3924" spans="1:40" x14ac:dyDescent="0.25">
      <c r="A3924" t="str">
        <f>"20190312164347257"</f>
        <v>20190312164347257</v>
      </c>
      <c r="B3924" t="str">
        <f>"1552380227249009"</f>
        <v>1552380227249009</v>
      </c>
      <c r="C3924" t="s">
        <v>40</v>
      </c>
      <c r="D3924">
        <v>3.9714809999999998</v>
      </c>
      <c r="E3924">
        <v>0.46473900000000001</v>
      </c>
      <c r="F3924" t="s">
        <v>42</v>
      </c>
      <c r="G3924">
        <v>-421.05540000000002</v>
      </c>
      <c r="H3924" s="1">
        <v>-3.4623319999999999E-6</v>
      </c>
      <c r="I3924">
        <v>87.005300000000005</v>
      </c>
      <c r="J3924">
        <v>-421.87540000000001</v>
      </c>
      <c r="K3924">
        <v>1.109407</v>
      </c>
      <c r="L3924">
        <v>101.6649</v>
      </c>
      <c r="M3924">
        <v>8.2908919999999994E-3</v>
      </c>
      <c r="N3924">
        <v>0</v>
      </c>
      <c r="O3924">
        <v>-0.99991450000000004</v>
      </c>
      <c r="P3924">
        <v>-5.885932E-2</v>
      </c>
      <c r="Q3924">
        <v>0.13379929999999901</v>
      </c>
      <c r="R3924">
        <v>-0.989259</v>
      </c>
      <c r="S3924">
        <v>0.16882320000000001</v>
      </c>
      <c r="T3924">
        <v>-0.22780529999999999</v>
      </c>
      <c r="U3924">
        <v>-3.0737000000000001</v>
      </c>
      <c r="V3924">
        <v>6.7210939999999997E-2</v>
      </c>
      <c r="W3924">
        <v>0.1437118</v>
      </c>
      <c r="X3924">
        <v>0.98733459999999995</v>
      </c>
      <c r="Y3924">
        <v>-4.6412109999999999E-2</v>
      </c>
      <c r="Z3924">
        <v>7.3812699999999995E-2</v>
      </c>
      <c r="AA3924">
        <v>0.99619159999999995</v>
      </c>
      <c r="AB3924">
        <v>31</v>
      </c>
      <c r="AC3924">
        <v>0.81999999999999296</v>
      </c>
      <c r="AD3924">
        <v>-1.109410462332</v>
      </c>
      <c r="AE3924">
        <v>-14.6595999999999</v>
      </c>
      <c r="AF3924">
        <v>-0.69445955456652197</v>
      </c>
      <c r="AG3924">
        <v>-1.109410462332</v>
      </c>
      <c r="AH3924">
        <v>14.5826381875412</v>
      </c>
      <c r="AI3924">
        <v>94.345632474748399</v>
      </c>
      <c r="AJ3924">
        <v>92.726499993407401</v>
      </c>
      <c r="AK3924">
        <v>14.641256850270601</v>
      </c>
      <c r="AL3924">
        <v>81.737310522489594</v>
      </c>
      <c r="AM3924">
        <v>86.105705819476299</v>
      </c>
      <c r="AN3924">
        <v>1.00000000213604</v>
      </c>
    </row>
    <row r="3925" spans="1:40" x14ac:dyDescent="0.25">
      <c r="A3925" t="str">
        <f>"20190312164347280"</f>
        <v>20190312164347280</v>
      </c>
      <c r="B3925" t="str">
        <f>"1552380227268529"</f>
        <v>1552380227268529</v>
      </c>
      <c r="C3925" t="s">
        <v>40</v>
      </c>
      <c r="D3925">
        <v>3.9968349999999999</v>
      </c>
      <c r="E3925">
        <v>0.46480670000000002</v>
      </c>
      <c r="F3925" t="s">
        <v>42</v>
      </c>
      <c r="G3925">
        <v>-421.0564</v>
      </c>
      <c r="H3925" s="1">
        <v>-3.3305710000000002E-6</v>
      </c>
      <c r="I3925">
        <v>86.697569999999999</v>
      </c>
      <c r="J3925">
        <v>-421.87349999999998</v>
      </c>
      <c r="K3925">
        <v>1.109334</v>
      </c>
      <c r="L3925">
        <v>101.3642</v>
      </c>
      <c r="M3925">
        <v>7.6387080000000001E-3</v>
      </c>
      <c r="N3925">
        <v>0</v>
      </c>
      <c r="O3925">
        <v>-0.99992020000000004</v>
      </c>
      <c r="P3925">
        <v>-5.7910799999999998E-2</v>
      </c>
      <c r="Q3925">
        <v>0.133507399999999</v>
      </c>
      <c r="R3925">
        <v>-0.98935439999999997</v>
      </c>
      <c r="S3925">
        <v>0.16818239999999901</v>
      </c>
      <c r="T3925">
        <v>-0.2278067</v>
      </c>
      <c r="U3925">
        <v>-3.0733950000000001</v>
      </c>
      <c r="V3925">
        <v>6.5640210000000004E-2</v>
      </c>
      <c r="W3925">
        <v>0.14337820000000001</v>
      </c>
      <c r="X3925">
        <v>0.9874887</v>
      </c>
      <c r="Y3925">
        <v>-4.6861930000000003E-2</v>
      </c>
      <c r="Z3925">
        <v>7.3820659999999996E-2</v>
      </c>
      <c r="AA3925">
        <v>0.99616990000000005</v>
      </c>
      <c r="AB3925">
        <v>31</v>
      </c>
      <c r="AC3925">
        <v>0.81709999999998195</v>
      </c>
      <c r="AD3925">
        <v>-1.1093373305709999</v>
      </c>
      <c r="AE3925">
        <v>-14.6666299999999</v>
      </c>
      <c r="AF3925">
        <v>-0.70103820210346701</v>
      </c>
      <c r="AG3925">
        <v>-1.1093373305709999</v>
      </c>
      <c r="AH3925">
        <v>14.589238207597401</v>
      </c>
      <c r="AI3925">
        <v>94.343300174962096</v>
      </c>
      <c r="AJ3925">
        <v>92.751045532165193</v>
      </c>
      <c r="AK3925">
        <v>14.648138289619901</v>
      </c>
      <c r="AL3925">
        <v>81.756623889336893</v>
      </c>
      <c r="AM3925">
        <v>86.197037557158893</v>
      </c>
      <c r="AN3925">
        <v>0.99999993901588502</v>
      </c>
    </row>
    <row r="3926" spans="1:40" x14ac:dyDescent="0.25">
      <c r="A3926" t="str">
        <f>"20190312164347300"</f>
        <v>20190312164347300</v>
      </c>
      <c r="B3926" t="str">
        <f>"1552380227289025"</f>
        <v>1552380227289025</v>
      </c>
      <c r="C3926" t="s">
        <v>40</v>
      </c>
      <c r="D3926">
        <v>3.993938</v>
      </c>
      <c r="E3926">
        <v>0.46481499999999998</v>
      </c>
      <c r="F3926" t="s">
        <v>42</v>
      </c>
      <c r="G3926">
        <v>-421.05119999999999</v>
      </c>
      <c r="H3926" s="1">
        <v>-3.2018910000000002E-6</v>
      </c>
      <c r="I3926">
        <v>86.400829999999999</v>
      </c>
      <c r="J3926">
        <v>-421.87189999999998</v>
      </c>
      <c r="K3926">
        <v>1.109283</v>
      </c>
      <c r="L3926">
        <v>101.06829999999999</v>
      </c>
      <c r="M3926">
        <v>6.9513129999999998E-3</v>
      </c>
      <c r="N3926">
        <v>0</v>
      </c>
      <c r="O3926">
        <v>-0.99992559999999997</v>
      </c>
      <c r="P3926">
        <v>-5.7983439999999997E-2</v>
      </c>
      <c r="Q3926">
        <v>0.1328984</v>
      </c>
      <c r="R3926">
        <v>-0.98943230000000004</v>
      </c>
      <c r="S3926">
        <v>0.16888429999999999</v>
      </c>
      <c r="T3926">
        <v>-0.22781609999999999</v>
      </c>
      <c r="U3926">
        <v>-3.0729060000000001</v>
      </c>
      <c r="V3926">
        <v>6.5049270000000006E-2</v>
      </c>
      <c r="W3926">
        <v>0.14273350000000001</v>
      </c>
      <c r="X3926">
        <v>0.98762119999999998</v>
      </c>
      <c r="Y3926">
        <v>-4.7784029999999998E-2</v>
      </c>
      <c r="Z3926">
        <v>7.3833819999999994E-2</v>
      </c>
      <c r="AA3926">
        <v>0.99612509999999999</v>
      </c>
      <c r="AB3926">
        <v>31</v>
      </c>
      <c r="AC3926">
        <v>0.820699999999987</v>
      </c>
      <c r="AD3926">
        <v>-1.1092862018909999</v>
      </c>
      <c r="AE3926">
        <v>-14.6674699999999</v>
      </c>
      <c r="AF3926">
        <v>-0.71464205790445401</v>
      </c>
      <c r="AG3926">
        <v>-1.1092862018909999</v>
      </c>
      <c r="AH3926">
        <v>14.5896322637289</v>
      </c>
      <c r="AI3926">
        <v>94.342788920085397</v>
      </c>
      <c r="AJ3926">
        <v>92.804270360243095</v>
      </c>
      <c r="AK3926">
        <v>14.6491842346074</v>
      </c>
      <c r="AL3926">
        <v>81.793946424204904</v>
      </c>
      <c r="AM3926">
        <v>86.231679591248806</v>
      </c>
      <c r="AN3926">
        <v>0.99999994711960905</v>
      </c>
    </row>
    <row r="3927" spans="1:40" x14ac:dyDescent="0.25">
      <c r="A3927" t="str">
        <f>"20190312164347324"</f>
        <v>20190312164347324</v>
      </c>
      <c r="B3927" t="str">
        <f>"1552380227319282"</f>
        <v>1552380227319282</v>
      </c>
      <c r="C3927" t="s">
        <v>40</v>
      </c>
      <c r="D3927">
        <v>4.0381679999999998</v>
      </c>
      <c r="E3927">
        <v>0.48108649999999997</v>
      </c>
      <c r="F3927" t="s">
        <v>42</v>
      </c>
      <c r="G3927">
        <v>-421.05070000000001</v>
      </c>
      <c r="H3927" s="1">
        <v>-3.07111E-6</v>
      </c>
      <c r="I3927">
        <v>86.096269999999905</v>
      </c>
      <c r="J3927">
        <v>-421.87040000000002</v>
      </c>
      <c r="K3927">
        <v>1.1092409999999999</v>
      </c>
      <c r="L3927">
        <v>100.753</v>
      </c>
      <c r="M3927">
        <v>6.1883160000000001E-3</v>
      </c>
      <c r="N3927">
        <v>0</v>
      </c>
      <c r="O3927">
        <v>-0.99993069999999895</v>
      </c>
      <c r="P3927">
        <v>-5.7971950000000001E-2</v>
      </c>
      <c r="Q3927">
        <v>0.13293469999999999</v>
      </c>
      <c r="R3927">
        <v>-0.98942799999999997</v>
      </c>
      <c r="S3927">
        <v>0.1685181</v>
      </c>
      <c r="T3927">
        <v>-0.2276416</v>
      </c>
      <c r="U3927">
        <v>-3.072479</v>
      </c>
      <c r="V3927">
        <v>6.4294820000000003E-2</v>
      </c>
      <c r="W3927">
        <v>0.14273729999999901</v>
      </c>
      <c r="X3927">
        <v>0.9876701</v>
      </c>
      <c r="Y3927">
        <v>-4.8435600000000002E-2</v>
      </c>
      <c r="Z3927">
        <v>7.3787389999999994E-2</v>
      </c>
      <c r="AA3927">
        <v>0.99609709999999996</v>
      </c>
      <c r="AB3927">
        <v>31</v>
      </c>
      <c r="AC3927">
        <v>0.81970000000001098</v>
      </c>
      <c r="AD3927">
        <v>-1.10924407111</v>
      </c>
      <c r="AE3927">
        <v>-14.6567299999999</v>
      </c>
      <c r="AF3927">
        <v>-0.72484055494764099</v>
      </c>
      <c r="AG3927">
        <v>-1.10924407111</v>
      </c>
      <c r="AH3927">
        <v>14.578282510367201</v>
      </c>
      <c r="AI3927">
        <v>94.345835331528093</v>
      </c>
      <c r="AJ3927">
        <v>92.846434922418396</v>
      </c>
      <c r="AK3927">
        <v>14.638378912689401</v>
      </c>
      <c r="AL3927">
        <v>81.793726831614705</v>
      </c>
      <c r="AM3927">
        <v>86.275445209832796</v>
      </c>
      <c r="AN3927">
        <v>0.99999999356206604</v>
      </c>
    </row>
    <row r="3928" spans="1:40" x14ac:dyDescent="0.25">
      <c r="A3928" t="str">
        <f>"20190312164347346"</f>
        <v>20190312164347346</v>
      </c>
      <c r="B3928" t="str">
        <f>"1552380227338801"</f>
        <v>1552380227338801</v>
      </c>
      <c r="C3928" t="s">
        <v>40</v>
      </c>
      <c r="D3928">
        <v>3.9678879999999999</v>
      </c>
      <c r="E3928">
        <v>0.48382849999999999</v>
      </c>
      <c r="F3928" t="s">
        <v>42</v>
      </c>
      <c r="G3928">
        <v>-421.66419999999999</v>
      </c>
      <c r="H3928" s="1">
        <v>-1.5422560000000001E-6</v>
      </c>
      <c r="I3928">
        <v>82.151949999999999</v>
      </c>
      <c r="J3928">
        <v>-421.86930000000001</v>
      </c>
      <c r="K3928">
        <v>1.109216</v>
      </c>
      <c r="L3928">
        <v>100.4397</v>
      </c>
      <c r="M3928">
        <v>5.41729E-3</v>
      </c>
      <c r="N3928">
        <v>0</v>
      </c>
      <c r="O3928">
        <v>-0.99993580000000004</v>
      </c>
      <c r="P3928">
        <v>-5.7997569999999998E-2</v>
      </c>
      <c r="Q3928">
        <v>0.13301859999999999</v>
      </c>
      <c r="R3928">
        <v>-0.9894153</v>
      </c>
      <c r="S3928">
        <v>3.3905030000000003E-2</v>
      </c>
      <c r="T3928">
        <v>-0.18239079999999999</v>
      </c>
      <c r="U3928">
        <v>-3.0585330000000002</v>
      </c>
      <c r="V3928">
        <v>6.3565220000000006E-2</v>
      </c>
      <c r="W3928">
        <v>0.142793899999999</v>
      </c>
      <c r="X3928">
        <v>0.98770919999999895</v>
      </c>
      <c r="Y3928">
        <v>-5.6476670000000003E-3</v>
      </c>
      <c r="Z3928">
        <v>5.952408E-2</v>
      </c>
      <c r="AA3928">
        <v>0.99821090000000001</v>
      </c>
      <c r="AB3928">
        <v>31</v>
      </c>
      <c r="AC3928">
        <v>0.20510000000001499</v>
      </c>
      <c r="AD3928">
        <v>-1.109217542256</v>
      </c>
      <c r="AE3928">
        <v>-18.287749999999999</v>
      </c>
      <c r="AF3928">
        <v>-0.105633476611579</v>
      </c>
      <c r="AG3928">
        <v>-1.109217542256</v>
      </c>
      <c r="AH3928">
        <v>18.221566659612002</v>
      </c>
      <c r="AI3928">
        <v>93.483459635871597</v>
      </c>
      <c r="AJ3928">
        <v>90.332149518139005</v>
      </c>
      <c r="AK3928">
        <v>18.255602250216601</v>
      </c>
      <c r="AL3928">
        <v>81.790450789408197</v>
      </c>
      <c r="AM3928">
        <v>86.317738852893001</v>
      </c>
      <c r="AN3928">
        <v>1.0000000494177399</v>
      </c>
    </row>
    <row r="3929" spans="1:40" x14ac:dyDescent="0.25">
      <c r="A3929" t="str">
        <f>"20190312164347368"</f>
        <v>20190312164347368</v>
      </c>
      <c r="B3929" t="str">
        <f>"1552380227358321"</f>
        <v>1552380227358321</v>
      </c>
      <c r="C3929" t="s">
        <v>40</v>
      </c>
      <c r="D3929">
        <v>3.964324</v>
      </c>
      <c r="E3929">
        <v>0.51405769999999995</v>
      </c>
      <c r="F3929" t="s">
        <v>42</v>
      </c>
      <c r="G3929">
        <v>-421.79950000000002</v>
      </c>
      <c r="H3929" s="1">
        <v>-1.6581419999999999E-6</v>
      </c>
      <c r="I3929">
        <v>82.338160000000002</v>
      </c>
      <c r="J3929">
        <v>-421.86829999999998</v>
      </c>
      <c r="K3929">
        <v>1.109197</v>
      </c>
      <c r="L3929">
        <v>100.1397</v>
      </c>
      <c r="M3929">
        <v>4.6771460000000001E-3</v>
      </c>
      <c r="N3929">
        <v>0</v>
      </c>
      <c r="O3929">
        <v>-0.99993960000000004</v>
      </c>
      <c r="P3929">
        <v>-5.8385180000000002E-2</v>
      </c>
      <c r="Q3929">
        <v>0.13257759999999999</v>
      </c>
      <c r="R3929">
        <v>-0.98945179999999999</v>
      </c>
      <c r="S3929">
        <v>1.177979E-2</v>
      </c>
      <c r="T3929">
        <v>-0.18738569999999999</v>
      </c>
      <c r="U3929">
        <v>-3.0579830000000001</v>
      </c>
      <c r="V3929">
        <v>6.3224790000000003E-2</v>
      </c>
      <c r="W3929">
        <v>0.14233090000000001</v>
      </c>
      <c r="X3929">
        <v>0.98779790000000001</v>
      </c>
      <c r="Y3929">
        <v>8.3248339999999999E-4</v>
      </c>
      <c r="Z3929">
        <v>6.116158E-2</v>
      </c>
      <c r="AA3929">
        <v>0.99812749999999995</v>
      </c>
      <c r="AB3929">
        <v>31</v>
      </c>
      <c r="AC3929">
        <v>6.8799999999953301E-2</v>
      </c>
      <c r="AD3929">
        <v>-1.1091986581419999</v>
      </c>
      <c r="AE3929">
        <v>-17.801539999999999</v>
      </c>
      <c r="AF3929">
        <v>1.4409330233782901E-2</v>
      </c>
      <c r="AG3929">
        <v>-1.1091986581419999</v>
      </c>
      <c r="AH3929">
        <v>17.732821679939601</v>
      </c>
      <c r="AI3929">
        <v>93.579221144948406</v>
      </c>
      <c r="AJ3929">
        <v>89.953442625138905</v>
      </c>
      <c r="AK3929">
        <v>17.767484178255501</v>
      </c>
      <c r="AL3929">
        <v>81.817252704209295</v>
      </c>
      <c r="AM3929">
        <v>86.337733743581296</v>
      </c>
      <c r="AN3929">
        <v>1.0000000752048701</v>
      </c>
    </row>
    <row r="3930" spans="1:40" x14ac:dyDescent="0.25">
      <c r="A3930" t="str">
        <f>"20190312164347390"</f>
        <v>20190312164347390</v>
      </c>
      <c r="B3930" t="str">
        <f>"1552380227378818"</f>
        <v>1552380227378818</v>
      </c>
      <c r="C3930" t="s">
        <v>40</v>
      </c>
      <c r="D3930">
        <v>3.985026</v>
      </c>
      <c r="E3930">
        <v>0.51424939999999997</v>
      </c>
      <c r="F3930" t="s">
        <v>42</v>
      </c>
      <c r="G3930">
        <v>-423.44630000000001</v>
      </c>
      <c r="H3930" s="1">
        <v>-9.6485669999999991E-7</v>
      </c>
      <c r="I3930">
        <v>79.700739999999996</v>
      </c>
      <c r="J3930">
        <v>-421.86759999999998</v>
      </c>
      <c r="K3930">
        <v>1.109183</v>
      </c>
      <c r="L3930">
        <v>99.829589999999996</v>
      </c>
      <c r="M3930">
        <v>3.9152639999999999E-3</v>
      </c>
      <c r="N3930">
        <v>0</v>
      </c>
      <c r="O3930">
        <v>-0.99994300000000003</v>
      </c>
      <c r="P3930">
        <v>-5.8976840000000003E-2</v>
      </c>
      <c r="Q3930">
        <v>0.1321947</v>
      </c>
      <c r="R3930">
        <v>-0.98946789999999996</v>
      </c>
      <c r="S3930">
        <v>-0.23471069999999999</v>
      </c>
      <c r="T3930">
        <v>-0.16499049999999901</v>
      </c>
      <c r="U3930">
        <v>-3.0402529999999999</v>
      </c>
      <c r="V3930">
        <v>6.3065479999999993E-2</v>
      </c>
      <c r="W3930">
        <v>0.14192779999999999</v>
      </c>
      <c r="X3930">
        <v>0.98786600000000002</v>
      </c>
      <c r="Y3930">
        <v>8.0762860000000006E-2</v>
      </c>
      <c r="Z3930">
        <v>5.4019690000000002E-2</v>
      </c>
      <c r="AA3930">
        <v>0.99526840000000005</v>
      </c>
      <c r="AB3930">
        <v>31</v>
      </c>
      <c r="AC3930">
        <v>-1.57870000000002</v>
      </c>
      <c r="AD3930">
        <v>-1.1091839648566999</v>
      </c>
      <c r="AE3930">
        <v>-20.12885</v>
      </c>
      <c r="AF3930">
        <v>1.65251441234298</v>
      </c>
      <c r="AG3930">
        <v>-1.1091839648566999</v>
      </c>
      <c r="AH3930">
        <v>20.0619691964339</v>
      </c>
      <c r="AI3930">
        <v>93.1538814046921</v>
      </c>
      <c r="AJ3930">
        <v>85.2911485482025</v>
      </c>
      <c r="AK3930">
        <v>20.160448928274299</v>
      </c>
      <c r="AL3930">
        <v>81.840584841298906</v>
      </c>
      <c r="AM3930">
        <v>86.347187828589497</v>
      </c>
      <c r="AN3930">
        <v>0.99999999456823496</v>
      </c>
    </row>
    <row r="3931" spans="1:40" x14ac:dyDescent="0.25">
      <c r="A3931" t="str">
        <f>"20190312164347413"</f>
        <v>20190312164347413</v>
      </c>
      <c r="B3931" t="str">
        <f>"1552380227409075"</f>
        <v>1552380227409075</v>
      </c>
      <c r="C3931" t="s">
        <v>40</v>
      </c>
      <c r="D3931">
        <v>4.3308019999999896</v>
      </c>
      <c r="E3931">
        <v>0.51423419999999997</v>
      </c>
      <c r="F3931" t="s">
        <v>42</v>
      </c>
      <c r="G3931">
        <v>-423.49959999999999</v>
      </c>
      <c r="H3931" s="1">
        <v>-4.7539119999999998E-6</v>
      </c>
      <c r="I3931">
        <v>79.132230000000007</v>
      </c>
      <c r="J3931">
        <v>-421.86720000000003</v>
      </c>
      <c r="K3931">
        <v>1.10917</v>
      </c>
      <c r="L3931">
        <v>99.512270000000001</v>
      </c>
      <c r="M3931">
        <v>3.140444E-3</v>
      </c>
      <c r="N3931">
        <v>0</v>
      </c>
      <c r="O3931">
        <v>-0.99994590000000005</v>
      </c>
      <c r="P3931">
        <v>-5.9748620000000002E-2</v>
      </c>
      <c r="Q3931">
        <v>0.1319688</v>
      </c>
      <c r="R3931">
        <v>-0.98945179999999999</v>
      </c>
      <c r="S3931">
        <v>-0.23965449999999999</v>
      </c>
      <c r="T3931">
        <v>-0.16288529999999901</v>
      </c>
      <c r="U3931">
        <v>-3.0394290000000002</v>
      </c>
      <c r="V3931">
        <v>6.3072920000000005E-2</v>
      </c>
      <c r="W3931">
        <v>0.14168420000000001</v>
      </c>
      <c r="X3931">
        <v>0.98790049999999996</v>
      </c>
      <c r="Y3931">
        <v>8.1623169999999995E-2</v>
      </c>
      <c r="Z3931">
        <v>5.334175E-2</v>
      </c>
      <c r="AA3931">
        <v>0.99523479999999998</v>
      </c>
      <c r="AB3931">
        <v>31</v>
      </c>
      <c r="AC3931">
        <v>-1.6323999999999601</v>
      </c>
      <c r="AD3931">
        <v>-1.109174753912</v>
      </c>
      <c r="AE3931">
        <v>-20.380039999999902</v>
      </c>
      <c r="AF3931">
        <v>1.6914193689117401</v>
      </c>
      <c r="AG3931">
        <v>-1.109174753912</v>
      </c>
      <c r="AH3931">
        <v>20.315022607362199</v>
      </c>
      <c r="AI3931">
        <v>93.114419909727204</v>
      </c>
      <c r="AJ3931">
        <v>85.240557414295694</v>
      </c>
      <c r="AK3931">
        <v>20.4154674610669</v>
      </c>
      <c r="AL3931">
        <v>81.854684638226502</v>
      </c>
      <c r="AM3931">
        <v>86.346885298729106</v>
      </c>
      <c r="AN3931">
        <v>1.0000000018335999</v>
      </c>
    </row>
    <row r="3932" spans="1:40" x14ac:dyDescent="0.25">
      <c r="A3932" t="str">
        <f>"20190312164347435"</f>
        <v>20190312164347435</v>
      </c>
      <c r="B3932" t="str">
        <f>"1552380227428596"</f>
        <v>1552380227428596</v>
      </c>
      <c r="C3932" t="s">
        <v>40</v>
      </c>
      <c r="D3932">
        <v>4.4043570000000001</v>
      </c>
      <c r="E3932">
        <v>0.51424289999999995</v>
      </c>
      <c r="F3932" t="s">
        <v>42</v>
      </c>
      <c r="G3932">
        <v>-423.50209999999998</v>
      </c>
      <c r="H3932" s="1">
        <v>-4.7294199999999997E-6</v>
      </c>
      <c r="I3932">
        <v>79.058930000000004</v>
      </c>
      <c r="J3932">
        <v>-421.86689999999999</v>
      </c>
      <c r="K3932">
        <v>1.1091629999999999</v>
      </c>
      <c r="L3932">
        <v>99.199070000000006</v>
      </c>
      <c r="M3932">
        <v>2.3801690000000001E-3</v>
      </c>
      <c r="N3932">
        <v>0</v>
      </c>
      <c r="O3932">
        <v>-0.99994799999999995</v>
      </c>
      <c r="P3932">
        <v>-5.9981470000000002E-2</v>
      </c>
      <c r="Q3932">
        <v>0.132208299999999</v>
      </c>
      <c r="R3932">
        <v>-0.9894058</v>
      </c>
      <c r="S3932">
        <v>-0.24295040000000001</v>
      </c>
      <c r="T3932">
        <v>-0.1648201</v>
      </c>
      <c r="U3932">
        <v>-3.039307</v>
      </c>
      <c r="V3932">
        <v>6.2555940000000004E-2</v>
      </c>
      <c r="W3932">
        <v>0.14190939999999999</v>
      </c>
      <c r="X3932">
        <v>0.98790100000000003</v>
      </c>
      <c r="Y3932">
        <v>8.1938319999999995E-2</v>
      </c>
      <c r="Z3932">
        <v>5.3972829999999999E-2</v>
      </c>
      <c r="AA3932">
        <v>0.99517489999999997</v>
      </c>
      <c r="AB3932">
        <v>31</v>
      </c>
      <c r="AC3932">
        <v>-1.63519999999999</v>
      </c>
      <c r="AD3932">
        <v>-1.10916772942</v>
      </c>
      <c r="AE3932">
        <v>-20.140139999999899</v>
      </c>
      <c r="AF3932">
        <v>1.6780784148399499</v>
      </c>
      <c r="AG3932">
        <v>-1.10916772942</v>
      </c>
      <c r="AH3932">
        <v>20.075700265972799</v>
      </c>
      <c r="AI3932">
        <v>93.151367116489695</v>
      </c>
      <c r="AJ3932">
        <v>85.221894047950101</v>
      </c>
      <c r="AK3932">
        <v>20.176222178284998</v>
      </c>
      <c r="AL3932">
        <v>81.841649535311205</v>
      </c>
      <c r="AM3932">
        <v>86.376749952881795</v>
      </c>
      <c r="AN3932">
        <v>0.99999995461932001</v>
      </c>
    </row>
    <row r="3933" spans="1:40" x14ac:dyDescent="0.25">
      <c r="A3933" t="str">
        <f>"20190312164347457"</f>
        <v>20190312164347457</v>
      </c>
      <c r="B3933" t="str">
        <f>"1552380227449089"</f>
        <v>1552380227449089</v>
      </c>
      <c r="C3933" t="s">
        <v>40</v>
      </c>
      <c r="D3933">
        <v>4.3347119999999997</v>
      </c>
      <c r="E3933">
        <v>0.51442120000000002</v>
      </c>
      <c r="F3933" t="s">
        <v>42</v>
      </c>
      <c r="G3933">
        <v>-423.52710000000002</v>
      </c>
      <c r="H3933" s="1">
        <v>-4.557185E-6</v>
      </c>
      <c r="I3933">
        <v>78.539769999999905</v>
      </c>
      <c r="J3933">
        <v>-421.86689999999999</v>
      </c>
      <c r="K3933">
        <v>1.1091569999999999</v>
      </c>
      <c r="L3933">
        <v>98.891720000000007</v>
      </c>
      <c r="M3933">
        <v>1.636813E-3</v>
      </c>
      <c r="N3933">
        <v>0</v>
      </c>
      <c r="O3933">
        <v>-0.99995000000000001</v>
      </c>
      <c r="P3933">
        <v>-5.9890119999999998E-2</v>
      </c>
      <c r="Q3933">
        <v>0.1322612</v>
      </c>
      <c r="R3933">
        <v>-0.98940410000000001</v>
      </c>
      <c r="S3933">
        <v>-0.24423220000000001</v>
      </c>
      <c r="T3933">
        <v>-0.16316620000000001</v>
      </c>
      <c r="U3933">
        <v>-3.0391240000000002</v>
      </c>
      <c r="V3933">
        <v>6.1730819999999999E-2</v>
      </c>
      <c r="W3933">
        <v>0.14195139999999901</v>
      </c>
      <c r="X3933">
        <v>0.98794689999999996</v>
      </c>
      <c r="Y3933">
        <v>8.1621520000000003E-2</v>
      </c>
      <c r="Z3933">
        <v>5.3435910000000003E-2</v>
      </c>
      <c r="AA3933">
        <v>0.9952299</v>
      </c>
      <c r="AB3933">
        <v>31</v>
      </c>
      <c r="AC3933">
        <v>-1.6602000000000301</v>
      </c>
      <c r="AD3933">
        <v>-1.109161557185</v>
      </c>
      <c r="AE3933">
        <v>-20.351949999999999</v>
      </c>
      <c r="AF3933">
        <v>1.6885297085395401</v>
      </c>
      <c r="AG3933">
        <v>-1.109161557185</v>
      </c>
      <c r="AH3933">
        <v>20.289341250186801</v>
      </c>
      <c r="AI3933">
        <v>93.118326730808107</v>
      </c>
      <c r="AJ3933">
        <v>85.242664836477005</v>
      </c>
      <c r="AK3933">
        <v>20.389672393226199</v>
      </c>
      <c r="AL3933">
        <v>81.839218757276896</v>
      </c>
      <c r="AM3933">
        <v>86.4245819166253</v>
      </c>
      <c r="AN3933">
        <v>0.99999998565972104</v>
      </c>
    </row>
    <row r="3934" spans="1:40" x14ac:dyDescent="0.25">
      <c r="A3934" t="str">
        <f>"20190312164347480"</f>
        <v>20190312164347480</v>
      </c>
      <c r="B3934" t="str">
        <f>"1552380227468609"</f>
        <v>1552380227468609</v>
      </c>
      <c r="C3934" t="s">
        <v>40</v>
      </c>
      <c r="D3934">
        <v>4.2192299999999996</v>
      </c>
      <c r="E3934">
        <v>0.50847600000000004</v>
      </c>
      <c r="F3934" t="s">
        <v>42</v>
      </c>
      <c r="G3934">
        <v>-423.55009999999999</v>
      </c>
      <c r="H3934" s="1">
        <v>-4.4208269999999998E-6</v>
      </c>
      <c r="I3934">
        <v>78.127110000000002</v>
      </c>
      <c r="J3934">
        <v>-421.86720000000003</v>
      </c>
      <c r="K3934">
        <v>1.109154</v>
      </c>
      <c r="L3934">
        <v>98.584689999999995</v>
      </c>
      <c r="M3934">
        <v>8.9554839999999897E-4</v>
      </c>
      <c r="N3934">
        <v>0</v>
      </c>
      <c r="O3934">
        <v>-0.99995089999999998</v>
      </c>
      <c r="P3934">
        <v>-5.8809750000000001E-2</v>
      </c>
      <c r="Q3934">
        <v>0.13270470000000001</v>
      </c>
      <c r="R3934">
        <v>-0.98940969999999995</v>
      </c>
      <c r="S3934">
        <v>-0.2463379</v>
      </c>
      <c r="T3934">
        <v>-0.1623262</v>
      </c>
      <c r="U3934">
        <v>-3.03891</v>
      </c>
      <c r="V3934">
        <v>5.9918880000000001E-2</v>
      </c>
      <c r="W3934">
        <v>0.14238709999999999</v>
      </c>
      <c r="X3934">
        <v>0.98799579999999998</v>
      </c>
      <c r="Y3934">
        <v>8.1574629999999995E-2</v>
      </c>
      <c r="Z3934">
        <v>5.3164040000000003E-2</v>
      </c>
      <c r="AA3934">
        <v>0.99524829999999997</v>
      </c>
      <c r="AB3934">
        <v>31</v>
      </c>
      <c r="AC3934">
        <v>-1.6828999999999601</v>
      </c>
      <c r="AD3934">
        <v>-1.109158420827</v>
      </c>
      <c r="AE3934">
        <v>-20.45758</v>
      </c>
      <c r="AF3934">
        <v>1.6962682463812999</v>
      </c>
      <c r="AG3934">
        <v>-1.109158420827</v>
      </c>
      <c r="AH3934">
        <v>20.3965113514422</v>
      </c>
      <c r="AI3934">
        <v>93.101980129521806</v>
      </c>
      <c r="AJ3934">
        <v>85.245957975122096</v>
      </c>
      <c r="AK3934">
        <v>20.496956693023598</v>
      </c>
      <c r="AL3934">
        <v>81.813999172855105</v>
      </c>
      <c r="AM3934">
        <v>86.5294395287019</v>
      </c>
      <c r="AN3934">
        <v>1.00000002962225</v>
      </c>
    </row>
    <row r="3935" spans="1:40" x14ac:dyDescent="0.25">
      <c r="A3935" t="str">
        <f>"20190312164347502"</f>
        <v>20190312164347502</v>
      </c>
      <c r="B3935" t="str">
        <f>"1552380227498865"</f>
        <v>1552380227498865</v>
      </c>
      <c r="C3935" t="s">
        <v>40</v>
      </c>
      <c r="D3935">
        <v>4.685829</v>
      </c>
      <c r="E3935">
        <v>0.51449520000000004</v>
      </c>
      <c r="F3935" t="s">
        <v>42</v>
      </c>
      <c r="G3935">
        <v>-422.95080000000002</v>
      </c>
      <c r="H3935" s="1">
        <v>-1.6104399999999999E-6</v>
      </c>
      <c r="I3935">
        <v>81.512919999999994</v>
      </c>
      <c r="J3935">
        <v>-421.86759999999998</v>
      </c>
      <c r="K3935">
        <v>1.1091549999999999</v>
      </c>
      <c r="L3935">
        <v>98.275630000000007</v>
      </c>
      <c r="M3935">
        <v>1.495158E-4</v>
      </c>
      <c r="N3935">
        <v>0</v>
      </c>
      <c r="O3935">
        <v>-0.99995140000000005</v>
      </c>
      <c r="P3935">
        <v>-5.7627619999999997E-2</v>
      </c>
      <c r="Q3935">
        <v>0.1337795</v>
      </c>
      <c r="R3935">
        <v>-0.98933459999999995</v>
      </c>
      <c r="S3935">
        <v>-0.19342039999999999</v>
      </c>
      <c r="T3935">
        <v>-0.1979737</v>
      </c>
      <c r="U3935">
        <v>-3.0471499999999998</v>
      </c>
      <c r="V3935">
        <v>5.8001049999999998E-2</v>
      </c>
      <c r="W3935">
        <v>0.14345550000000001</v>
      </c>
      <c r="X3935">
        <v>0.98795569999999999</v>
      </c>
      <c r="Y3935">
        <v>6.3364829999999997E-2</v>
      </c>
      <c r="Z3935">
        <v>6.4703460000000004E-2</v>
      </c>
      <c r="AA3935">
        <v>0.99589070000000002</v>
      </c>
      <c r="AB3935">
        <v>31</v>
      </c>
      <c r="AC3935">
        <v>-1.0832000000000299</v>
      </c>
      <c r="AD3935">
        <v>-1.1091566104399999</v>
      </c>
      <c r="AE3935">
        <v>-16.762709999999998</v>
      </c>
      <c r="AF3935">
        <v>1.0809932572899501</v>
      </c>
      <c r="AG3935">
        <v>-1.1091566104399999</v>
      </c>
      <c r="AH3935">
        <v>16.6897802255884</v>
      </c>
      <c r="AI3935">
        <v>93.794201143175897</v>
      </c>
      <c r="AJ3935">
        <v>86.294141826261594</v>
      </c>
      <c r="AK3935">
        <v>16.761489754411102</v>
      </c>
      <c r="AL3935">
        <v>81.752149448622902</v>
      </c>
      <c r="AM3935">
        <v>86.640127421322106</v>
      </c>
      <c r="AN3935">
        <v>1.0000000337219199</v>
      </c>
    </row>
    <row r="3936" spans="1:40" x14ac:dyDescent="0.25">
      <c r="A3936" t="str">
        <f>"20190312164347525"</f>
        <v>20190312164347525</v>
      </c>
      <c r="B3936" t="str">
        <f>"1552380227518388"</f>
        <v>1552380227518388</v>
      </c>
      <c r="C3936" t="s">
        <v>40</v>
      </c>
      <c r="D3936">
        <v>4.4258160000000002</v>
      </c>
      <c r="E3936">
        <v>0.5139705</v>
      </c>
      <c r="F3936" t="s">
        <v>41</v>
      </c>
      <c r="G3936">
        <v>-421.94779999999997</v>
      </c>
      <c r="H3936">
        <v>1.0546</v>
      </c>
      <c r="I3936">
        <v>97.269530000000003</v>
      </c>
      <c r="J3936">
        <v>-421.86829999999998</v>
      </c>
      <c r="K3936">
        <v>1.1091569999999999</v>
      </c>
      <c r="L3936">
        <v>97.951629999999994</v>
      </c>
      <c r="M3936">
        <v>-6.3282759999999996E-4</v>
      </c>
      <c r="N3936">
        <v>0</v>
      </c>
      <c r="O3936">
        <v>-0.99995120000000004</v>
      </c>
      <c r="P3936">
        <v>-5.6177020000000001E-2</v>
      </c>
      <c r="Q3936">
        <v>0.13489949999999901</v>
      </c>
      <c r="R3936">
        <v>-0.98926559999999997</v>
      </c>
      <c r="S3936">
        <v>-0.24151610000000001</v>
      </c>
      <c r="T3936">
        <v>-0.164881</v>
      </c>
      <c r="U3936">
        <v>-3.0405880000000001</v>
      </c>
      <c r="V3936">
        <v>5.577878E-2</v>
      </c>
      <c r="W3936">
        <v>0.14457149999999999</v>
      </c>
      <c r="X3936">
        <v>0.98792089999999999</v>
      </c>
      <c r="Y3936">
        <v>7.8435000000000005E-2</v>
      </c>
      <c r="Z3936">
        <v>5.3978940000000003E-2</v>
      </c>
      <c r="AA3936">
        <v>0.99545680000000003</v>
      </c>
      <c r="AB3936">
        <v>31</v>
      </c>
      <c r="AC3936">
        <v>-7.9499999999995893E-2</v>
      </c>
      <c r="AD3936">
        <v>-5.4556999999999897E-2</v>
      </c>
      <c r="AE3936">
        <v>-0.68210000000000504</v>
      </c>
      <c r="AF3936">
        <v>7.8572387622265594E-2</v>
      </c>
      <c r="AG3936">
        <v>-5.4556999999999897E-2</v>
      </c>
      <c r="AH3936">
        <v>0.677871666563575</v>
      </c>
      <c r="AI3936">
        <v>94.570933542796794</v>
      </c>
      <c r="AJ3936">
        <v>83.388326726311604</v>
      </c>
      <c r="AK3936">
        <v>0.68458752740270001</v>
      </c>
      <c r="AL3936">
        <v>81.687533066311204</v>
      </c>
      <c r="AM3936">
        <v>86.7684667979333</v>
      </c>
      <c r="AN3936">
        <v>0.99999994778367196</v>
      </c>
    </row>
    <row r="3937" spans="1:40" x14ac:dyDescent="0.25">
      <c r="A3937" t="str">
        <f>"20190312164347547"</f>
        <v>20190312164347547</v>
      </c>
      <c r="B3937" t="str">
        <f>"1552380227538881"</f>
        <v>1552380227538881</v>
      </c>
      <c r="C3937" t="s">
        <v>40</v>
      </c>
      <c r="D3937">
        <v>4.2868430000000002</v>
      </c>
      <c r="E3937">
        <v>0.51401989999999997</v>
      </c>
      <c r="F3937" t="s">
        <v>41</v>
      </c>
      <c r="G3937">
        <v>-421.9427</v>
      </c>
      <c r="H3937">
        <v>1.055507</v>
      </c>
      <c r="I3937">
        <v>96.985820000000004</v>
      </c>
      <c r="J3937">
        <v>-421.86919999999998</v>
      </c>
      <c r="K3937">
        <v>1.109145</v>
      </c>
      <c r="L3937">
        <v>97.645259999999993</v>
      </c>
      <c r="M3937">
        <v>-1.3725460000000001E-3</v>
      </c>
      <c r="N3937">
        <v>0</v>
      </c>
      <c r="O3937">
        <v>-0.99995049999999996</v>
      </c>
      <c r="P3937">
        <v>-5.4843570000000001E-2</v>
      </c>
      <c r="Q3937">
        <v>0.1353837</v>
      </c>
      <c r="R3937">
        <v>-0.9892744</v>
      </c>
      <c r="S3937">
        <v>-0.233429</v>
      </c>
      <c r="T3937">
        <v>-0.16900470000000001</v>
      </c>
      <c r="U3937">
        <v>-3.0423580000000001</v>
      </c>
      <c r="V3937">
        <v>5.3714739999999997E-2</v>
      </c>
      <c r="W3937">
        <v>0.1450533</v>
      </c>
      <c r="X3937">
        <v>0.98796470000000003</v>
      </c>
      <c r="Y3937">
        <v>7.5015719999999994E-2</v>
      </c>
      <c r="Z3937">
        <v>5.5305790000000001E-2</v>
      </c>
      <c r="AA3937">
        <v>0.99564750000000002</v>
      </c>
      <c r="AB3937">
        <v>31</v>
      </c>
      <c r="AC3937">
        <v>-7.3500000000024102E-2</v>
      </c>
      <c r="AD3937">
        <v>-5.3637999999999998E-2</v>
      </c>
      <c r="AE3937">
        <v>-0.65944000000000302</v>
      </c>
      <c r="AF3937">
        <v>7.2123462341887004E-2</v>
      </c>
      <c r="AG3937">
        <v>-5.3637999999999998E-2</v>
      </c>
      <c r="AH3937">
        <v>0.65525828100102101</v>
      </c>
      <c r="AI3937">
        <v>94.651703829619294</v>
      </c>
      <c r="AJ3937">
        <v>83.718809338247993</v>
      </c>
      <c r="AK3937">
        <v>0.66139416665449602</v>
      </c>
      <c r="AL3937">
        <v>81.659634237472204</v>
      </c>
      <c r="AM3937">
        <v>86.887944701195295</v>
      </c>
      <c r="AN3937">
        <v>0.99999999079012303</v>
      </c>
    </row>
    <row r="3938" spans="1:40" x14ac:dyDescent="0.25">
      <c r="A3938" t="str">
        <f>"20190312164347568"</f>
        <v>20190312164347568</v>
      </c>
      <c r="B3938" t="str">
        <f>"1552380227558402"</f>
        <v>1552380227558402</v>
      </c>
      <c r="C3938" t="s">
        <v>40</v>
      </c>
      <c r="D3938">
        <v>4.2209099999999999</v>
      </c>
      <c r="E3938">
        <v>0.51325480000000001</v>
      </c>
      <c r="F3938" t="s">
        <v>42</v>
      </c>
      <c r="G3938">
        <v>-423.37270000000001</v>
      </c>
      <c r="H3938" s="1">
        <v>-4.2832669999999999E-6</v>
      </c>
      <c r="I3938">
        <v>77.815349999999995</v>
      </c>
      <c r="J3938">
        <v>-421.87040000000002</v>
      </c>
      <c r="K3938">
        <v>1.109138</v>
      </c>
      <c r="L3938">
        <v>97.332639999999998</v>
      </c>
      <c r="M3938">
        <v>-2.127E-3</v>
      </c>
      <c r="N3938">
        <v>0</v>
      </c>
      <c r="O3938">
        <v>-0.99994930000000004</v>
      </c>
      <c r="P3938">
        <v>-5.4184580000000003E-2</v>
      </c>
      <c r="Q3938">
        <v>0.13594479999999901</v>
      </c>
      <c r="R3938">
        <v>-0.9892339</v>
      </c>
      <c r="S3938">
        <v>-0.2307129</v>
      </c>
      <c r="T3938">
        <v>-0.17020629999999901</v>
      </c>
      <c r="U3938">
        <v>-3.0430299999999999</v>
      </c>
      <c r="V3938">
        <v>5.2310799999999998E-2</v>
      </c>
      <c r="W3938">
        <v>0.145611299999999</v>
      </c>
      <c r="X3938">
        <v>0.987958</v>
      </c>
      <c r="Y3938">
        <v>7.3361339999999997E-2</v>
      </c>
      <c r="Z3938">
        <v>5.5690780000000002E-2</v>
      </c>
      <c r="AA3938">
        <v>0.99574929999999995</v>
      </c>
      <c r="AB3938">
        <v>31</v>
      </c>
      <c r="AC3938">
        <v>-1.50229999999999</v>
      </c>
      <c r="AD3938">
        <v>-1.1091422832669999</v>
      </c>
      <c r="AE3938">
        <v>-19.517289999999999</v>
      </c>
      <c r="AF3938">
        <v>1.45610651372359</v>
      </c>
      <c r="AG3938">
        <v>-1.1091422832669999</v>
      </c>
      <c r="AH3938">
        <v>19.4579719625143</v>
      </c>
      <c r="AI3938">
        <v>93.253363426564306</v>
      </c>
      <c r="AJ3938">
        <v>85.720337951533693</v>
      </c>
      <c r="AK3938">
        <v>19.543876679866599</v>
      </c>
      <c r="AL3938">
        <v>81.627320525442798</v>
      </c>
      <c r="AM3938">
        <v>86.969110165385402</v>
      </c>
      <c r="AN3938">
        <v>1.00000004012416</v>
      </c>
    </row>
    <row r="3939" spans="1:40" x14ac:dyDescent="0.25">
      <c r="A3939" t="str">
        <f>"20190312164347591"</f>
        <v>20190312164347591</v>
      </c>
      <c r="B3939" t="str">
        <f>"1552380227578623"</f>
        <v>1552380227578623</v>
      </c>
      <c r="C3939" t="s">
        <v>40</v>
      </c>
      <c r="D3939">
        <v>4.2986430000000002</v>
      </c>
      <c r="E3939">
        <v>0.51292059999999995</v>
      </c>
      <c r="F3939" t="s">
        <v>41</v>
      </c>
      <c r="G3939">
        <v>-421.93669999999997</v>
      </c>
      <c r="H3939">
        <v>1.054295</v>
      </c>
      <c r="I3939">
        <v>96.429119999999998</v>
      </c>
      <c r="J3939">
        <v>-421.87180000000001</v>
      </c>
      <c r="K3939">
        <v>1.109135</v>
      </c>
      <c r="L3939">
        <v>97.025940000000006</v>
      </c>
      <c r="M3939">
        <v>-2.8672189999999998E-3</v>
      </c>
      <c r="N3939">
        <v>0</v>
      </c>
      <c r="O3939">
        <v>-0.99994760000000005</v>
      </c>
      <c r="P3939">
        <v>-5.438399E-2</v>
      </c>
      <c r="Q3939">
        <v>0.13625019999999999</v>
      </c>
      <c r="R3939">
        <v>-0.98918090000000003</v>
      </c>
      <c r="S3939">
        <v>-0.22244259999999999</v>
      </c>
      <c r="T3939">
        <v>-0.18486810000000001</v>
      </c>
      <c r="U3939">
        <v>-3.045868</v>
      </c>
      <c r="V3939">
        <v>5.1778980000000002E-2</v>
      </c>
      <c r="W3939">
        <v>0.14591319999999999</v>
      </c>
      <c r="X3939">
        <v>0.98794139999999997</v>
      </c>
      <c r="Y3939">
        <v>6.9843840000000004E-2</v>
      </c>
      <c r="Z3939">
        <v>6.0428719999999998E-2</v>
      </c>
      <c r="AA3939">
        <v>0.995726</v>
      </c>
      <c r="AB3939">
        <v>31</v>
      </c>
      <c r="AC3939">
        <v>-6.4899999999965902E-2</v>
      </c>
      <c r="AD3939">
        <v>-5.484E-2</v>
      </c>
      <c r="AE3939">
        <v>-0.59682000000000801</v>
      </c>
      <c r="AF3939">
        <v>6.2665521572584607E-2</v>
      </c>
      <c r="AG3939">
        <v>-5.484E-2</v>
      </c>
      <c r="AH3939">
        <v>0.59206313972248903</v>
      </c>
      <c r="AI3939">
        <v>95.262707144611497</v>
      </c>
      <c r="AJ3939">
        <v>83.958158404612902</v>
      </c>
      <c r="AK3939">
        <v>0.59789058749240698</v>
      </c>
      <c r="AL3939">
        <v>81.609835575734706</v>
      </c>
      <c r="AM3939">
        <v>86.999816938745099</v>
      </c>
      <c r="AN3939">
        <v>0.99999996726901896</v>
      </c>
    </row>
    <row r="3940" spans="1:40" x14ac:dyDescent="0.25">
      <c r="A3940" t="str">
        <f>"20190312164347613"</f>
        <v>20190312164347613</v>
      </c>
      <c r="B3940" t="str">
        <f>"1552380227608878"</f>
        <v>1552380227608878</v>
      </c>
      <c r="C3940" t="s">
        <v>40</v>
      </c>
      <c r="D3940">
        <v>4.3093629999999896</v>
      </c>
      <c r="E3940">
        <v>0.51249709999999904</v>
      </c>
      <c r="F3940" t="s">
        <v>41</v>
      </c>
      <c r="G3940">
        <v>-421.9357</v>
      </c>
      <c r="H3940">
        <v>1.0539130000000001</v>
      </c>
      <c r="I3940">
        <v>96.14855</v>
      </c>
      <c r="J3940">
        <v>-421.87349999999998</v>
      </c>
      <c r="K3940">
        <v>1.1091279999999999</v>
      </c>
      <c r="L3940">
        <v>96.705600000000004</v>
      </c>
      <c r="M3940">
        <v>-3.6401990000000002E-3</v>
      </c>
      <c r="N3940">
        <v>0</v>
      </c>
      <c r="O3940">
        <v>-0.99994519999999998</v>
      </c>
      <c r="P3940">
        <v>-5.5153630000000002E-2</v>
      </c>
      <c r="Q3940">
        <v>0.1361251</v>
      </c>
      <c r="R3940">
        <v>-0.98915569999999997</v>
      </c>
      <c r="S3940">
        <v>-0.22076419999999999</v>
      </c>
      <c r="T3940">
        <v>-0.19177540000000001</v>
      </c>
      <c r="U3940">
        <v>-3.0470890000000002</v>
      </c>
      <c r="V3940">
        <v>5.178427E-2</v>
      </c>
      <c r="W3940">
        <v>0.14578540000000001</v>
      </c>
      <c r="X3940">
        <v>0.98795999999999995</v>
      </c>
      <c r="Y3940">
        <v>6.8488129999999994E-2</v>
      </c>
      <c r="Z3940">
        <v>6.2656829999999997E-2</v>
      </c>
      <c r="AA3940">
        <v>0.99568239999999997</v>
      </c>
      <c r="AB3940">
        <v>31</v>
      </c>
      <c r="AC3940">
        <v>-6.22000000000184E-2</v>
      </c>
      <c r="AD3940">
        <v>-5.5215000000000201E-2</v>
      </c>
      <c r="AE3940">
        <v>-0.55705000000000304</v>
      </c>
      <c r="AF3940">
        <v>5.9593430967443801E-2</v>
      </c>
      <c r="AG3940">
        <v>-5.5215000000000201E-2</v>
      </c>
      <c r="AH3940">
        <v>0.55191701446121599</v>
      </c>
      <c r="AI3940">
        <v>95.680189836471001</v>
      </c>
      <c r="AJ3940">
        <v>83.837343807005993</v>
      </c>
      <c r="AK3940">
        <v>0.55786419861042702</v>
      </c>
      <c r="AL3940">
        <v>81.617237209377194</v>
      </c>
      <c r="AM3940">
        <v>86.999567371082804</v>
      </c>
      <c r="AN3940">
        <v>0.99999997753629599</v>
      </c>
    </row>
    <row r="3941" spans="1:40" x14ac:dyDescent="0.25">
      <c r="A3941" t="str">
        <f>"20190312164347636"</f>
        <v>20190312164347636</v>
      </c>
      <c r="B3941" t="str">
        <f>"1552380227628402"</f>
        <v>1552380227628402</v>
      </c>
      <c r="C3941" t="s">
        <v>40</v>
      </c>
      <c r="D3941">
        <v>4.3644860000000003</v>
      </c>
      <c r="E3941">
        <v>0.51225299999999996</v>
      </c>
      <c r="F3941" t="s">
        <v>41</v>
      </c>
      <c r="G3941">
        <v>-421.93430000000001</v>
      </c>
      <c r="H3941">
        <v>1.0546789999999999</v>
      </c>
      <c r="I3941">
        <v>95.866020000000006</v>
      </c>
      <c r="J3941">
        <v>-421.87540000000001</v>
      </c>
      <c r="K3941">
        <v>1.109127</v>
      </c>
      <c r="L3941">
        <v>96.390050000000002</v>
      </c>
      <c r="M3941">
        <v>-4.4015449999999998E-3</v>
      </c>
      <c r="N3941">
        <v>0</v>
      </c>
      <c r="O3941">
        <v>-0.99994190000000005</v>
      </c>
      <c r="P3941">
        <v>-5.5465279999999999E-2</v>
      </c>
      <c r="Q3941">
        <v>0.13618659999999999</v>
      </c>
      <c r="R3941">
        <v>-0.98912940000000005</v>
      </c>
      <c r="S3941">
        <v>-0.22036739999999999</v>
      </c>
      <c r="T3941">
        <v>-0.1976649</v>
      </c>
      <c r="U3941">
        <v>-3.0477910000000001</v>
      </c>
      <c r="V3941">
        <v>5.1343399999999997E-2</v>
      </c>
      <c r="W3941">
        <v>0.145844899999999</v>
      </c>
      <c r="X3941">
        <v>0.98797429999999997</v>
      </c>
      <c r="Y3941">
        <v>6.7574309999999999E-2</v>
      </c>
      <c r="Z3941">
        <v>6.4560359999999997E-2</v>
      </c>
      <c r="AA3941">
        <v>0.99562320000000004</v>
      </c>
      <c r="AB3941">
        <v>31</v>
      </c>
      <c r="AC3941">
        <v>-5.8899999999994103E-2</v>
      </c>
      <c r="AD3941">
        <v>-5.4447999999999802E-2</v>
      </c>
      <c r="AE3941">
        <v>-0.52403000000000999</v>
      </c>
      <c r="AF3941">
        <v>5.5995802918181098E-2</v>
      </c>
      <c r="AG3941">
        <v>-5.4447999999999802E-2</v>
      </c>
      <c r="AH3941">
        <v>0.51875373551239501</v>
      </c>
      <c r="AI3941">
        <v>95.957427805432204</v>
      </c>
      <c r="AJ3941">
        <v>83.839179227443594</v>
      </c>
      <c r="AK3941">
        <v>0.52460037433890105</v>
      </c>
      <c r="AL3941">
        <v>81.613791879386994</v>
      </c>
      <c r="AM3941">
        <v>87.025108721357199</v>
      </c>
      <c r="AN3941">
        <v>1.00000004852002</v>
      </c>
    </row>
    <row r="3942" spans="1:40" x14ac:dyDescent="0.25">
      <c r="A3942" t="str">
        <f>"20190312164347658"</f>
        <v>20190312164347658</v>
      </c>
      <c r="B3942" t="str">
        <f>"1552380227648895"</f>
        <v>1552380227648895</v>
      </c>
      <c r="C3942" t="s">
        <v>40</v>
      </c>
      <c r="D3942">
        <v>4.5913370000000002</v>
      </c>
      <c r="E3942">
        <v>0.51251359999999901</v>
      </c>
      <c r="F3942" t="s">
        <v>42</v>
      </c>
      <c r="G3942">
        <v>-423.08949999999999</v>
      </c>
      <c r="H3942" s="1">
        <v>-8.4121469999999995E-7</v>
      </c>
      <c r="I3942">
        <v>79.633790000000005</v>
      </c>
      <c r="J3942">
        <v>-421.8775</v>
      </c>
      <c r="K3942">
        <v>1.109124</v>
      </c>
      <c r="L3942">
        <v>96.075130000000001</v>
      </c>
      <c r="M3942">
        <v>-5.1603309999999998E-3</v>
      </c>
      <c r="N3942">
        <v>0</v>
      </c>
      <c r="O3942">
        <v>-0.99993829999999995</v>
      </c>
      <c r="P3942">
        <v>-5.5687809999999997E-2</v>
      </c>
      <c r="Q3942">
        <v>0.13705699999999901</v>
      </c>
      <c r="R3942">
        <v>-0.98899689999999996</v>
      </c>
      <c r="S3942">
        <v>-0.2208862</v>
      </c>
      <c r="T3942">
        <v>-0.20177729999999999</v>
      </c>
      <c r="U3942">
        <v>-3.0483699999999998</v>
      </c>
      <c r="V3942">
        <v>5.0817599999999997E-2</v>
      </c>
      <c r="W3942">
        <v>0.14671329999999999</v>
      </c>
      <c r="X3942">
        <v>0.9878728</v>
      </c>
      <c r="Y3942">
        <v>6.6965880000000005E-2</v>
      </c>
      <c r="Z3942">
        <v>6.5885920000000001E-2</v>
      </c>
      <c r="AA3942">
        <v>0.9955775</v>
      </c>
      <c r="AB3942">
        <v>31</v>
      </c>
      <c r="AC3942">
        <v>-1.21199999999998</v>
      </c>
      <c r="AD3942">
        <v>-1.1091248412146999</v>
      </c>
      <c r="AE3942">
        <v>-16.441339999999901</v>
      </c>
      <c r="AF3942">
        <v>1.1220583496751499</v>
      </c>
      <c r="AG3942">
        <v>-1.1091248412146999</v>
      </c>
      <c r="AH3942">
        <v>16.373267168669901</v>
      </c>
      <c r="AI3942">
        <v>93.8662544388079</v>
      </c>
      <c r="AJ3942">
        <v>86.079655434371205</v>
      </c>
      <c r="AK3942">
        <v>16.449104858019499</v>
      </c>
      <c r="AL3942">
        <v>81.563494321593396</v>
      </c>
      <c r="AM3942">
        <v>87.055218244134196</v>
      </c>
      <c r="AN3942">
        <v>0.99999994492324296</v>
      </c>
    </row>
    <row r="3943" spans="1:40" x14ac:dyDescent="0.25">
      <c r="A3943" t="str">
        <f>"20190312164347681"</f>
        <v>20190312164347681</v>
      </c>
      <c r="B3943" t="str">
        <f>"1552380227669391"</f>
        <v>1552380227669391</v>
      </c>
      <c r="C3943" t="s">
        <v>40</v>
      </c>
      <c r="D3943">
        <v>4.3520370000000002</v>
      </c>
      <c r="E3943">
        <v>0.51243399999999995</v>
      </c>
      <c r="F3943" t="s">
        <v>42</v>
      </c>
      <c r="G3943">
        <v>-423.12189999999998</v>
      </c>
      <c r="H3943" s="1">
        <v>-4.7393669999999996E-6</v>
      </c>
      <c r="I3943">
        <v>79.286360000000002</v>
      </c>
      <c r="J3943">
        <v>-421.87990000000002</v>
      </c>
      <c r="K3943">
        <v>1.1091299999999999</v>
      </c>
      <c r="L3943">
        <v>95.762569999999997</v>
      </c>
      <c r="M3943">
        <v>-5.9110769999999998E-3</v>
      </c>
      <c r="N3943">
        <v>0</v>
      </c>
      <c r="O3943">
        <v>-0.99993430000000005</v>
      </c>
      <c r="P3943">
        <v>-5.5773759999999999E-2</v>
      </c>
      <c r="Q3943">
        <v>0.1375837</v>
      </c>
      <c r="R3943">
        <v>-0.98891899999999999</v>
      </c>
      <c r="S3943">
        <v>-0.22595209999999999</v>
      </c>
      <c r="T3943">
        <v>-0.20140079999999999</v>
      </c>
      <c r="U3943">
        <v>-3.048584</v>
      </c>
      <c r="V3943">
        <v>5.016222E-2</v>
      </c>
      <c r="W3943">
        <v>0.14723919999999999</v>
      </c>
      <c r="X3943">
        <v>0.98782809999999999</v>
      </c>
      <c r="Y3943">
        <v>6.7857940000000005E-2</v>
      </c>
      <c r="Z3943">
        <v>6.5752550000000007E-2</v>
      </c>
      <c r="AA3943">
        <v>0.99552600000000002</v>
      </c>
      <c r="AB3943">
        <v>31</v>
      </c>
      <c r="AC3943">
        <v>-1.24199999999996</v>
      </c>
      <c r="AD3943">
        <v>-1.1091347393669999</v>
      </c>
      <c r="AE3943">
        <v>-16.476209999999899</v>
      </c>
      <c r="AF3943">
        <v>1.13944708443635</v>
      </c>
      <c r="AG3943">
        <v>-1.1091347393669999</v>
      </c>
      <c r="AH3943">
        <v>16.409323290758199</v>
      </c>
      <c r="AI3943">
        <v>93.857579082603195</v>
      </c>
      <c r="AJ3943">
        <v>86.0278142124629</v>
      </c>
      <c r="AK3943">
        <v>16.486188473656401</v>
      </c>
      <c r="AL3943">
        <v>81.533032052900396</v>
      </c>
      <c r="AM3943">
        <v>87.092999376005693</v>
      </c>
      <c r="AN3943">
        <v>0.99999999274078899</v>
      </c>
    </row>
    <row r="3944" spans="1:40" x14ac:dyDescent="0.25">
      <c r="A3944" t="str">
        <f>"20190312164347704"</f>
        <v>20190312164347704</v>
      </c>
      <c r="B3944" t="str">
        <f>"1552380227698671"</f>
        <v>1552380227698671</v>
      </c>
      <c r="C3944" t="s">
        <v>40</v>
      </c>
      <c r="D3944">
        <v>4.3796920000000004</v>
      </c>
      <c r="E3944">
        <v>0.51211390000000001</v>
      </c>
      <c r="F3944" t="s">
        <v>42</v>
      </c>
      <c r="G3944">
        <v>-423.12709999999998</v>
      </c>
      <c r="H3944" s="1">
        <v>-4.6355080000000001E-6</v>
      </c>
      <c r="I3944">
        <v>78.978449999999995</v>
      </c>
      <c r="J3944">
        <v>-421.88260000000002</v>
      </c>
      <c r="K3944">
        <v>1.109132</v>
      </c>
      <c r="L3944">
        <v>95.438019999999995</v>
      </c>
      <c r="M3944">
        <v>-6.6879849999999996E-3</v>
      </c>
      <c r="N3944">
        <v>0</v>
      </c>
      <c r="O3944">
        <v>-0.99992950000000003</v>
      </c>
      <c r="P3944">
        <v>-5.5728439999999997E-2</v>
      </c>
      <c r="Q3944">
        <v>0.1387263</v>
      </c>
      <c r="R3944">
        <v>-0.98876200000000003</v>
      </c>
      <c r="S3944">
        <v>-0.2265625</v>
      </c>
      <c r="T3944">
        <v>-0.2014756</v>
      </c>
      <c r="U3944">
        <v>-3.0488590000000002</v>
      </c>
      <c r="V3944">
        <v>4.935109E-2</v>
      </c>
      <c r="W3944">
        <v>0.14838090000000001</v>
      </c>
      <c r="X3944">
        <v>0.98769810000000002</v>
      </c>
      <c r="Y3944">
        <v>6.7274249999999994E-2</v>
      </c>
      <c r="Z3944">
        <v>6.5771339999999998E-2</v>
      </c>
      <c r="AA3944">
        <v>0.99556429999999996</v>
      </c>
      <c r="AB3944">
        <v>31</v>
      </c>
      <c r="AC3944">
        <v>-1.24449999999995</v>
      </c>
      <c r="AD3944">
        <v>-1.1091366355079999</v>
      </c>
      <c r="AE3944">
        <v>-16.459569999999999</v>
      </c>
      <c r="AF3944">
        <v>1.1292867821395101</v>
      </c>
      <c r="AG3944">
        <v>-1.1091366355079999</v>
      </c>
      <c r="AH3944">
        <v>16.393508810799801</v>
      </c>
      <c r="AI3944">
        <v>93.861442220923294</v>
      </c>
      <c r="AJ3944">
        <v>86.059335937369099</v>
      </c>
      <c r="AK3944">
        <v>16.4697481414353</v>
      </c>
      <c r="AL3944">
        <v>81.466890831035997</v>
      </c>
      <c r="AM3944">
        <v>87.139551473531995</v>
      </c>
      <c r="AN3944">
        <v>0.99999997915630301</v>
      </c>
    </row>
    <row r="3945" spans="1:40" x14ac:dyDescent="0.25">
      <c r="A3945" t="str">
        <f>"20190312164347726"</f>
        <v>20190312164347726</v>
      </c>
      <c r="B3945" t="str">
        <f>"1552380227719166"</f>
        <v>1552380227719166</v>
      </c>
      <c r="C3945" t="s">
        <v>40</v>
      </c>
      <c r="D3945">
        <v>4.4037430000000004</v>
      </c>
      <c r="E3945">
        <v>0.51214280000000001</v>
      </c>
      <c r="F3945" t="s">
        <v>41</v>
      </c>
      <c r="G3945">
        <v>-421.95429999999999</v>
      </c>
      <c r="H3945">
        <v>1.044233</v>
      </c>
      <c r="I3945">
        <v>94.464550000000003</v>
      </c>
      <c r="J3945">
        <v>-421.8854</v>
      </c>
      <c r="K3945">
        <v>1.1091329999999999</v>
      </c>
      <c r="L3945">
        <v>95.122410000000002</v>
      </c>
      <c r="M3945">
        <v>-7.4412849999999997E-3</v>
      </c>
      <c r="N3945">
        <v>0</v>
      </c>
      <c r="O3945">
        <v>-0.99992420000000004</v>
      </c>
      <c r="P3945">
        <v>-5.5298989999999999E-2</v>
      </c>
      <c r="Q3945">
        <v>0.14004659999999999</v>
      </c>
      <c r="R3945">
        <v>-0.98860000000000003</v>
      </c>
      <c r="S3945">
        <v>-0.22412109999999999</v>
      </c>
      <c r="T3945">
        <v>-0.2033346</v>
      </c>
      <c r="U3945">
        <v>-3.0499879999999999</v>
      </c>
      <c r="V3945">
        <v>4.8179689999999997E-2</v>
      </c>
      <c r="W3945">
        <v>0.14970159999999999</v>
      </c>
      <c r="X3945">
        <v>0.98755660000000001</v>
      </c>
      <c r="Y3945">
        <v>6.5699880000000002E-2</v>
      </c>
      <c r="Z3945">
        <v>6.6356029999999996E-2</v>
      </c>
      <c r="AA3945">
        <v>0.99563069999999998</v>
      </c>
      <c r="AB3945">
        <v>32</v>
      </c>
      <c r="AC3945">
        <v>-6.8899999999985001E-2</v>
      </c>
      <c r="AD3945">
        <v>-6.4899999999999902E-2</v>
      </c>
      <c r="AE3945">
        <v>-0.657859999999999</v>
      </c>
      <c r="AF3945">
        <v>6.3392264614087798E-2</v>
      </c>
      <c r="AG3945">
        <v>-6.4899999999999902E-2</v>
      </c>
      <c r="AH3945">
        <v>0.65207706048220004</v>
      </c>
      <c r="AI3945">
        <v>95.657326093685299</v>
      </c>
      <c r="AJ3945">
        <v>84.447387262730203</v>
      </c>
      <c r="AK3945">
        <v>0.65835786774368299</v>
      </c>
      <c r="AL3945">
        <v>81.390365277968598</v>
      </c>
      <c r="AM3945">
        <v>87.206938933748106</v>
      </c>
      <c r="AN3945">
        <v>0.99999994488730604</v>
      </c>
    </row>
    <row r="3946" spans="1:40" x14ac:dyDescent="0.25">
      <c r="A3946" t="str">
        <f>"20190312164347747"</f>
        <v>20190312164347747</v>
      </c>
      <c r="B3946" t="str">
        <f>"1552380227738686"</f>
        <v>1552380227738686</v>
      </c>
      <c r="C3946" t="s">
        <v>40</v>
      </c>
      <c r="D3946">
        <v>4.4674659999999999</v>
      </c>
      <c r="E3946">
        <v>0.5122042</v>
      </c>
      <c r="F3946" t="s">
        <v>41</v>
      </c>
      <c r="G3946">
        <v>-421.95490000000001</v>
      </c>
      <c r="H3946">
        <v>1.0468900000000001</v>
      </c>
      <c r="I3946">
        <v>94.179590000000005</v>
      </c>
      <c r="J3946">
        <v>-421.88839999999999</v>
      </c>
      <c r="K3946">
        <v>1.10914</v>
      </c>
      <c r="L3946">
        <v>94.822659999999999</v>
      </c>
      <c r="M3946">
        <v>-8.1545760000000002E-3</v>
      </c>
      <c r="N3946">
        <v>0</v>
      </c>
      <c r="O3946">
        <v>-0.99991819999999998</v>
      </c>
      <c r="P3946">
        <v>-5.5304010000000001E-2</v>
      </c>
      <c r="Q3946">
        <v>0.14151520000000001</v>
      </c>
      <c r="R3946">
        <v>-0.98838990000000004</v>
      </c>
      <c r="S3946">
        <v>-0.22406010000000001</v>
      </c>
      <c r="T3946">
        <v>-0.201403</v>
      </c>
      <c r="U3946">
        <v>-3.0505680000000002</v>
      </c>
      <c r="V3946">
        <v>4.7483209999999998E-2</v>
      </c>
      <c r="W3946">
        <v>0.15116959999999999</v>
      </c>
      <c r="X3946">
        <v>0.98736670000000004</v>
      </c>
      <c r="Y3946">
        <v>6.4957500000000001E-2</v>
      </c>
      <c r="Z3946">
        <v>6.5717120000000004E-2</v>
      </c>
      <c r="AA3946">
        <v>0.99572179999999999</v>
      </c>
      <c r="AB3946">
        <v>32</v>
      </c>
      <c r="AC3946">
        <v>-6.6500000000019099E-2</v>
      </c>
      <c r="AD3946">
        <v>-6.2250000000000097E-2</v>
      </c>
      <c r="AE3946">
        <v>-0.64306999999999404</v>
      </c>
      <c r="AF3946">
        <v>6.0690884894328001E-2</v>
      </c>
      <c r="AG3946">
        <v>-6.2250000000000097E-2</v>
      </c>
      <c r="AH3946">
        <v>0.63767878308715098</v>
      </c>
      <c r="AI3946">
        <v>95.5506047581801</v>
      </c>
      <c r="AJ3946">
        <v>84.563267796924606</v>
      </c>
      <c r="AK3946">
        <v>0.64357802666713704</v>
      </c>
      <c r="AL3946">
        <v>81.305286912028095</v>
      </c>
      <c r="AM3946">
        <v>87.246723920773803</v>
      </c>
      <c r="AN3946">
        <v>0.99999995173247502</v>
      </c>
    </row>
    <row r="3947" spans="1:40" x14ac:dyDescent="0.25">
      <c r="A3947" t="str">
        <f>"20190312164347769"</f>
        <v>20190312164347769</v>
      </c>
      <c r="B3947" t="str">
        <f>"1552380227759183"</f>
        <v>1552380227759183</v>
      </c>
      <c r="C3947" t="s">
        <v>40</v>
      </c>
      <c r="D3947">
        <v>4.468019</v>
      </c>
      <c r="E3947">
        <v>0.51222109999999998</v>
      </c>
      <c r="F3947" t="s">
        <v>41</v>
      </c>
      <c r="G3947">
        <v>-421.95729999999998</v>
      </c>
      <c r="H3947">
        <v>1.0487839999999999</v>
      </c>
      <c r="I3947">
        <v>93.894329999999997</v>
      </c>
      <c r="J3947">
        <v>-421.89170000000001</v>
      </c>
      <c r="K3947">
        <v>1.1091519999999999</v>
      </c>
      <c r="L3947">
        <v>94.503450000000001</v>
      </c>
      <c r="M3947">
        <v>-8.9110470000000001E-3</v>
      </c>
      <c r="N3947">
        <v>0</v>
      </c>
      <c r="O3947">
        <v>-0.99991180000000002</v>
      </c>
      <c r="P3947">
        <v>-5.4976329999999997E-2</v>
      </c>
      <c r="Q3947">
        <v>0.14242109999999999</v>
      </c>
      <c r="R3947">
        <v>-0.9882784</v>
      </c>
      <c r="S3947">
        <v>-0.22500609999999999</v>
      </c>
      <c r="T3947">
        <v>-0.19836029999999999</v>
      </c>
      <c r="U3947">
        <v>-3.051056</v>
      </c>
      <c r="V3947">
        <v>4.6409779999999998E-2</v>
      </c>
      <c r="W3947">
        <v>0.1520764</v>
      </c>
      <c r="X3947">
        <v>0.98727849999999995</v>
      </c>
      <c r="Y3947">
        <v>6.4502799999999999E-2</v>
      </c>
      <c r="Z3947">
        <v>6.4717810000000001E-2</v>
      </c>
      <c r="AA3947">
        <v>0.99581679999999995</v>
      </c>
      <c r="AB3947">
        <v>32</v>
      </c>
      <c r="AC3947">
        <v>-6.5599999999960801E-2</v>
      </c>
      <c r="AD3947">
        <v>-6.0368000000000199E-2</v>
      </c>
      <c r="AE3947">
        <v>-0.60911999999999</v>
      </c>
      <c r="AF3947">
        <v>5.9590635945909201E-2</v>
      </c>
      <c r="AG3947">
        <v>-6.0368000000000199E-2</v>
      </c>
      <c r="AH3947">
        <v>0.60381760111879201</v>
      </c>
      <c r="AI3947">
        <v>95.681879510920098</v>
      </c>
      <c r="AJ3947">
        <v>84.3637423577254</v>
      </c>
      <c r="AK3947">
        <v>0.60974669719260499</v>
      </c>
      <c r="AL3947">
        <v>81.252723517940794</v>
      </c>
      <c r="AM3947">
        <v>87.308633285116898</v>
      </c>
      <c r="AN3947">
        <v>0.99999996783942802</v>
      </c>
    </row>
    <row r="3948" spans="1:40" x14ac:dyDescent="0.25">
      <c r="A3948" t="str">
        <f>"20190312164347793"</f>
        <v>20190312164347793</v>
      </c>
      <c r="B3948" t="str">
        <f>"1552380227788463"</f>
        <v>1552380227788463</v>
      </c>
      <c r="C3948" t="s">
        <v>40</v>
      </c>
      <c r="D3948">
        <v>4.5225989999999996</v>
      </c>
      <c r="E3948">
        <v>0.51249800000000001</v>
      </c>
      <c r="F3948" t="s">
        <v>41</v>
      </c>
      <c r="G3948">
        <v>-421.9579</v>
      </c>
      <c r="H3948">
        <v>1.0514129999999999</v>
      </c>
      <c r="I3948">
        <v>93.607990000000001</v>
      </c>
      <c r="J3948">
        <v>-421.8954</v>
      </c>
      <c r="K3948">
        <v>1.1091530000000001</v>
      </c>
      <c r="L3948">
        <v>94.181120000000007</v>
      </c>
      <c r="M3948">
        <v>-9.6722570000000001E-3</v>
      </c>
      <c r="N3948">
        <v>0</v>
      </c>
      <c r="O3948">
        <v>-0.99990509999999999</v>
      </c>
      <c r="P3948">
        <v>-5.4953059999999998E-2</v>
      </c>
      <c r="Q3948">
        <v>0.14289569999999999</v>
      </c>
      <c r="R3948">
        <v>-0.98821150000000002</v>
      </c>
      <c r="S3948">
        <v>-0.2247314</v>
      </c>
      <c r="T3948">
        <v>-0.19674620000000001</v>
      </c>
      <c r="U3948">
        <v>-3.0514220000000001</v>
      </c>
      <c r="V3948">
        <v>4.5635090000000003E-2</v>
      </c>
      <c r="W3948">
        <v>0.15255239999999901</v>
      </c>
      <c r="X3948">
        <v>0.98724120000000004</v>
      </c>
      <c r="Y3948">
        <v>6.3647709999999996E-2</v>
      </c>
      <c r="Z3948">
        <v>6.4187010000000003E-2</v>
      </c>
      <c r="AA3948">
        <v>0.99590610000000002</v>
      </c>
      <c r="AB3948">
        <v>32</v>
      </c>
      <c r="AC3948">
        <v>-6.25E-2</v>
      </c>
      <c r="AD3948">
        <v>-5.7740000000000097E-2</v>
      </c>
      <c r="AE3948">
        <v>-0.57312999999999104</v>
      </c>
      <c r="AF3948">
        <v>5.6387763564150602E-2</v>
      </c>
      <c r="AG3948">
        <v>-5.7740000000000097E-2</v>
      </c>
      <c r="AH3948">
        <v>0.56801042850115702</v>
      </c>
      <c r="AI3948">
        <v>95.776154629112</v>
      </c>
      <c r="AJ3948">
        <v>84.330684972098894</v>
      </c>
      <c r="AK3948">
        <v>0.57371537748768298</v>
      </c>
      <c r="AL3948">
        <v>81.225128962496399</v>
      </c>
      <c r="AM3948">
        <v>87.353394357567694</v>
      </c>
      <c r="AN3948">
        <v>0.99999999158125397</v>
      </c>
    </row>
    <row r="3949" spans="1:40" x14ac:dyDescent="0.25">
      <c r="A3949" t="str">
        <f>"20190312164347815"</f>
        <v>20190312164347815</v>
      </c>
      <c r="B3949" t="str">
        <f>"1552380227808958"</f>
        <v>1552380227808958</v>
      </c>
      <c r="C3949" t="s">
        <v>40</v>
      </c>
      <c r="D3949">
        <v>4.5959529999999997</v>
      </c>
      <c r="E3949">
        <v>0.51256709999999905</v>
      </c>
      <c r="F3949" t="s">
        <v>41</v>
      </c>
      <c r="G3949">
        <v>-421.96010000000001</v>
      </c>
      <c r="H3949">
        <v>1.0547169999999999</v>
      </c>
      <c r="I3949">
        <v>93.316969999999998</v>
      </c>
      <c r="J3949">
        <v>-421.89929999999998</v>
      </c>
      <c r="K3949">
        <v>1.1091489999999999</v>
      </c>
      <c r="L3949">
        <v>93.850830000000002</v>
      </c>
      <c r="M3949">
        <v>-1.044833E-2</v>
      </c>
      <c r="N3949">
        <v>0</v>
      </c>
      <c r="O3949">
        <v>-0.99989700000000004</v>
      </c>
      <c r="P3949">
        <v>-5.479796E-2</v>
      </c>
      <c r="Q3949">
        <v>0.1431277</v>
      </c>
      <c r="R3949">
        <v>-0.98818620000000001</v>
      </c>
      <c r="S3949">
        <v>-0.2278442</v>
      </c>
      <c r="T3949">
        <v>-0.1921834</v>
      </c>
      <c r="U3949">
        <v>-3.0509029999999999</v>
      </c>
      <c r="V3949">
        <v>4.47129E-2</v>
      </c>
      <c r="W3949">
        <v>0.15278710000000001</v>
      </c>
      <c r="X3949">
        <v>0.98724710000000004</v>
      </c>
      <c r="Y3949">
        <v>6.3903059999999998E-2</v>
      </c>
      <c r="Z3949">
        <v>6.2711340000000004E-2</v>
      </c>
      <c r="AA3949">
        <v>0.99598379999999997</v>
      </c>
      <c r="AB3949">
        <v>32</v>
      </c>
      <c r="AC3949">
        <v>-6.0800000000028803E-2</v>
      </c>
      <c r="AD3949">
        <v>-5.4432000000000001E-2</v>
      </c>
      <c r="AE3949">
        <v>-0.533860000000004</v>
      </c>
      <c r="AF3949">
        <v>5.4657537362981297E-2</v>
      </c>
      <c r="AG3949">
        <v>-5.4432000000000001E-2</v>
      </c>
      <c r="AH3949">
        <v>0.52903685591911598</v>
      </c>
      <c r="AI3949">
        <v>95.843539303369297</v>
      </c>
      <c r="AJ3949">
        <v>84.101404143868905</v>
      </c>
      <c r="AK3949">
        <v>0.53463097921404601</v>
      </c>
      <c r="AL3949">
        <v>81.211522109909794</v>
      </c>
      <c r="AM3949">
        <v>87.406818455957193</v>
      </c>
      <c r="AN3949">
        <v>0.99999998890561403</v>
      </c>
    </row>
    <row r="3950" spans="1:40" x14ac:dyDescent="0.25">
      <c r="A3950" t="str">
        <f>"20190312164347837"</f>
        <v>20190312164347837</v>
      </c>
      <c r="B3950" t="str">
        <f>"1552380227828479"</f>
        <v>1552380227828479</v>
      </c>
      <c r="C3950" t="s">
        <v>40</v>
      </c>
      <c r="D3950">
        <v>4.5305780000000002</v>
      </c>
      <c r="E3950">
        <v>0.51260740000000005</v>
      </c>
      <c r="F3950" t="s">
        <v>42</v>
      </c>
      <c r="G3950">
        <v>-423.2088</v>
      </c>
      <c r="H3950" s="1">
        <v>-3.7351099999999999E-6</v>
      </c>
      <c r="I3950">
        <v>76.30556</v>
      </c>
      <c r="J3950">
        <v>-421.9033</v>
      </c>
      <c r="K3950">
        <v>1.1091439999999999</v>
      </c>
      <c r="L3950">
        <v>93.543580000000006</v>
      </c>
      <c r="M3950">
        <v>-1.116291E-2</v>
      </c>
      <c r="N3950">
        <v>0</v>
      </c>
      <c r="O3950">
        <v>-0.99988940000000004</v>
      </c>
      <c r="P3950">
        <v>-5.4703309999999998E-2</v>
      </c>
      <c r="Q3950">
        <v>0.14377579999999901</v>
      </c>
      <c r="R3950">
        <v>-0.98809749999999996</v>
      </c>
      <c r="S3950">
        <v>-0.22772220000000001</v>
      </c>
      <c r="T3950">
        <v>-0.19288520000000001</v>
      </c>
      <c r="U3950">
        <v>-3.0511780000000002</v>
      </c>
      <c r="V3950">
        <v>4.3912590000000001E-2</v>
      </c>
      <c r="W3950">
        <v>0.15343689999999999</v>
      </c>
      <c r="X3950">
        <v>0.98718229999999996</v>
      </c>
      <c r="Y3950">
        <v>6.3142530000000002E-2</v>
      </c>
      <c r="Z3950">
        <v>6.2934690000000001E-2</v>
      </c>
      <c r="AA3950">
        <v>0.99601819999999996</v>
      </c>
      <c r="AB3950">
        <v>32</v>
      </c>
      <c r="AC3950">
        <v>-1.3054999999999899</v>
      </c>
      <c r="AD3950">
        <v>-1.1091477351100001</v>
      </c>
      <c r="AE3950">
        <v>-17.238019999999999</v>
      </c>
      <c r="AF3950">
        <v>1.1084201630597701</v>
      </c>
      <c r="AG3950">
        <v>-1.1091477351100001</v>
      </c>
      <c r="AH3950">
        <v>17.1807962663297</v>
      </c>
      <c r="AI3950">
        <v>93.686099518261202</v>
      </c>
      <c r="AJ3950">
        <v>86.308674807816999</v>
      </c>
      <c r="AK3950">
        <v>17.2522046214768</v>
      </c>
      <c r="AL3950">
        <v>81.173847583723699</v>
      </c>
      <c r="AM3950">
        <v>87.453004824898898</v>
      </c>
      <c r="AN3950">
        <v>1.0000000456377001</v>
      </c>
    </row>
    <row r="3951" spans="1:40" x14ac:dyDescent="0.25">
      <c r="A3951" t="str">
        <f>"20190312164347860"</f>
        <v>20190312164347860</v>
      </c>
      <c r="B3951" t="str">
        <f>"1552380227848975"</f>
        <v>1552380227848975</v>
      </c>
      <c r="C3951" t="s">
        <v>40</v>
      </c>
      <c r="D3951">
        <v>4.5449359999999999</v>
      </c>
      <c r="E3951">
        <v>0.51267220000000002</v>
      </c>
      <c r="F3951" t="s">
        <v>42</v>
      </c>
      <c r="G3951">
        <v>-423.21480000000003</v>
      </c>
      <c r="H3951" s="1">
        <v>-3.5973089999999999E-6</v>
      </c>
      <c r="I3951">
        <v>75.980639999999994</v>
      </c>
      <c r="J3951">
        <v>-421.90769999999998</v>
      </c>
      <c r="K3951">
        <v>1.1091489999999999</v>
      </c>
      <c r="L3951">
        <v>93.217740000000006</v>
      </c>
      <c r="M3951">
        <v>-1.190777E-2</v>
      </c>
      <c r="N3951">
        <v>0</v>
      </c>
      <c r="O3951">
        <v>-0.99988049999999995</v>
      </c>
      <c r="P3951">
        <v>-5.4937090000000001E-2</v>
      </c>
      <c r="Q3951">
        <v>0.14405379999999901</v>
      </c>
      <c r="R3951">
        <v>-0.98804389999999997</v>
      </c>
      <c r="S3951">
        <v>-0.22787479999999999</v>
      </c>
      <c r="T3951">
        <v>-0.19271530000000001</v>
      </c>
      <c r="U3951">
        <v>-3.0515750000000001</v>
      </c>
      <c r="V3951">
        <v>4.340832E-2</v>
      </c>
      <c r="W3951">
        <v>0.1537172</v>
      </c>
      <c r="X3951">
        <v>0.98716090000000001</v>
      </c>
      <c r="Y3951">
        <v>6.243928E-2</v>
      </c>
      <c r="Z3951">
        <v>6.2871839999999998E-2</v>
      </c>
      <c r="AA3951">
        <v>0.99606649999999997</v>
      </c>
      <c r="AB3951">
        <v>32</v>
      </c>
      <c r="AC3951">
        <v>-1.3071000000000399</v>
      </c>
      <c r="AD3951">
        <v>-1.109152597309</v>
      </c>
      <c r="AE3951">
        <v>-17.237099999999899</v>
      </c>
      <c r="AF3951">
        <v>1.09722482062074</v>
      </c>
      <c r="AG3951">
        <v>-1.109152597309</v>
      </c>
      <c r="AH3951">
        <v>17.180712919519401</v>
      </c>
      <c r="AI3951">
        <v>93.6862865197986</v>
      </c>
      <c r="AJ3951">
        <v>86.345838977820804</v>
      </c>
      <c r="AK3951">
        <v>17.2514062677234</v>
      </c>
      <c r="AL3951">
        <v>81.157593922806498</v>
      </c>
      <c r="AM3951">
        <v>87.482160862775203</v>
      </c>
      <c r="AN3951">
        <v>0.99999995115493501</v>
      </c>
    </row>
    <row r="3952" spans="1:40" x14ac:dyDescent="0.25">
      <c r="A3952" t="str">
        <f>"20190312164347883"</f>
        <v>20190312164347883</v>
      </c>
      <c r="B3952" t="str">
        <f>"1552380227879231"</f>
        <v>1552380227879231</v>
      </c>
      <c r="C3952" t="s">
        <v>40</v>
      </c>
      <c r="D3952">
        <v>4.6181099999999997</v>
      </c>
      <c r="E3952">
        <v>0.51261909999999999</v>
      </c>
      <c r="F3952" t="s">
        <v>42</v>
      </c>
      <c r="G3952">
        <v>-423.2199</v>
      </c>
      <c r="H3952" s="1">
        <v>-3.4883160000000001E-6</v>
      </c>
      <c r="I3952">
        <v>75.723389999999995</v>
      </c>
      <c r="J3952">
        <v>-421.91210000000001</v>
      </c>
      <c r="K3952">
        <v>1.1091599999999999</v>
      </c>
      <c r="L3952">
        <v>92.897090000000006</v>
      </c>
      <c r="M3952">
        <v>-1.2620309999999999E-2</v>
      </c>
      <c r="N3952">
        <v>0</v>
      </c>
      <c r="O3952">
        <v>-0.99987210000000004</v>
      </c>
      <c r="P3952">
        <v>-5.5075649999999997E-2</v>
      </c>
      <c r="Q3952">
        <v>0.14335999999999999</v>
      </c>
      <c r="R3952">
        <v>-0.98813740000000005</v>
      </c>
      <c r="S3952">
        <v>-0.22891239999999999</v>
      </c>
      <c r="T3952">
        <v>-0.19348509999999999</v>
      </c>
      <c r="U3952">
        <v>-3.0517880000000002</v>
      </c>
      <c r="V3952">
        <v>4.2835329999999998E-2</v>
      </c>
      <c r="W3952">
        <v>0.15302829999999901</v>
      </c>
      <c r="X3952">
        <v>0.98729299999999998</v>
      </c>
      <c r="Y3952">
        <v>6.2058479999999999E-2</v>
      </c>
      <c r="Z3952">
        <v>6.3116740000000005E-2</v>
      </c>
      <c r="AA3952">
        <v>0.99607480000000004</v>
      </c>
      <c r="AB3952">
        <v>32</v>
      </c>
      <c r="AC3952">
        <v>-1.3077999999999801</v>
      </c>
      <c r="AD3952">
        <v>-1.109163488316</v>
      </c>
      <c r="AE3952">
        <v>-17.173699999999901</v>
      </c>
      <c r="AF3952">
        <v>1.08644229587305</v>
      </c>
      <c r="AG3952">
        <v>-1.109163488316</v>
      </c>
      <c r="AH3952">
        <v>17.117847127518999</v>
      </c>
      <c r="AI3952">
        <v>93.699915704560496</v>
      </c>
      <c r="AJ3952">
        <v>86.368399879613804</v>
      </c>
      <c r="AK3952">
        <v>17.188114811903802</v>
      </c>
      <c r="AL3952">
        <v>81.1975379918389</v>
      </c>
      <c r="AM3952">
        <v>87.515686449569898</v>
      </c>
      <c r="AN3952">
        <v>0.99999999697304898</v>
      </c>
    </row>
    <row r="3953" spans="1:40" x14ac:dyDescent="0.25">
      <c r="A3953" t="str">
        <f>"20190312164347905"</f>
        <v>20190312164347905</v>
      </c>
      <c r="B3953" t="str">
        <f>"1552380227898751"</f>
        <v>1552380227898751</v>
      </c>
      <c r="C3953" t="s">
        <v>40</v>
      </c>
      <c r="D3953">
        <v>4.6218130000000004</v>
      </c>
      <c r="E3953">
        <v>0.51257900000000001</v>
      </c>
      <c r="F3953" t="s">
        <v>41</v>
      </c>
      <c r="G3953">
        <v>-421.98680000000002</v>
      </c>
      <c r="H3953">
        <v>1.0448230000000001</v>
      </c>
      <c r="I3953">
        <v>91.903540000000007</v>
      </c>
      <c r="J3953">
        <v>-421.91699999999997</v>
      </c>
      <c r="K3953">
        <v>1.10917</v>
      </c>
      <c r="L3953">
        <v>92.575990000000004</v>
      </c>
      <c r="M3953">
        <v>-1.33086E-2</v>
      </c>
      <c r="N3953">
        <v>0</v>
      </c>
      <c r="O3953">
        <v>-0.99986299999999995</v>
      </c>
      <c r="P3953">
        <v>-5.5274070000000002E-2</v>
      </c>
      <c r="Q3953">
        <v>0.14271500000000001</v>
      </c>
      <c r="R3953">
        <v>-0.98821939999999997</v>
      </c>
      <c r="S3953">
        <v>-0.22857669999999999</v>
      </c>
      <c r="T3953">
        <v>-0.19763530000000001</v>
      </c>
      <c r="U3953">
        <v>-3.0519409999999998</v>
      </c>
      <c r="V3953">
        <v>4.2344850000000003E-2</v>
      </c>
      <c r="W3953">
        <v>0.15238840000000001</v>
      </c>
      <c r="X3953">
        <v>0.98741310000000004</v>
      </c>
      <c r="Y3953">
        <v>6.1252309999999997E-2</v>
      </c>
      <c r="Z3953">
        <v>6.4462790000000006E-2</v>
      </c>
      <c r="AA3953">
        <v>0.99603850000000005</v>
      </c>
      <c r="AB3953">
        <v>32</v>
      </c>
      <c r="AC3953">
        <v>-6.98000000000433E-2</v>
      </c>
      <c r="AD3953">
        <v>-6.4346999999999904E-2</v>
      </c>
      <c r="AE3953">
        <v>-0.67244999999999699</v>
      </c>
      <c r="AF3953">
        <v>6.0297775903551697E-2</v>
      </c>
      <c r="AG3953">
        <v>-6.4346999999999904E-2</v>
      </c>
      <c r="AH3953">
        <v>0.66727455507309097</v>
      </c>
      <c r="AI3953">
        <v>95.485932010799502</v>
      </c>
      <c r="AJ3953">
        <v>84.836532864073803</v>
      </c>
      <c r="AK3953">
        <v>0.67307628842197798</v>
      </c>
      <c r="AL3953">
        <v>81.234636446763204</v>
      </c>
      <c r="AM3953">
        <v>87.5443960539138</v>
      </c>
      <c r="AN3953">
        <v>0.99999997041384503</v>
      </c>
    </row>
    <row r="3954" spans="1:40" x14ac:dyDescent="0.25">
      <c r="A3954" t="str">
        <f>"20190312164347927"</f>
        <v>20190312164347927</v>
      </c>
      <c r="B3954" t="str">
        <f>"1552380227918271"</f>
        <v>1552380227918271</v>
      </c>
      <c r="C3954" t="s">
        <v>40</v>
      </c>
      <c r="D3954">
        <v>4.620082</v>
      </c>
      <c r="E3954">
        <v>0.51254279999999997</v>
      </c>
      <c r="F3954" t="s">
        <v>41</v>
      </c>
      <c r="G3954">
        <v>-421.98930000000001</v>
      </c>
      <c r="H3954">
        <v>1.0459639999999999</v>
      </c>
      <c r="I3954">
        <v>91.616640000000004</v>
      </c>
      <c r="J3954">
        <v>-421.92180000000002</v>
      </c>
      <c r="K3954">
        <v>1.109183</v>
      </c>
      <c r="L3954">
        <v>92.265050000000002</v>
      </c>
      <c r="M3954">
        <v>-1.395484E-2</v>
      </c>
      <c r="N3954">
        <v>0</v>
      </c>
      <c r="O3954">
        <v>-0.99985429999999997</v>
      </c>
      <c r="P3954">
        <v>-5.563096E-2</v>
      </c>
      <c r="Q3954">
        <v>0.14211550000000001</v>
      </c>
      <c r="R3954">
        <v>-0.98828579999999999</v>
      </c>
      <c r="S3954">
        <v>-0.2294312</v>
      </c>
      <c r="T3954">
        <v>-0.20107439999999999</v>
      </c>
      <c r="U3954">
        <v>-3.051971</v>
      </c>
      <c r="V3954">
        <v>4.2054479999999998E-2</v>
      </c>
      <c r="W3954">
        <v>0.15179319999999999</v>
      </c>
      <c r="X3954">
        <v>0.98751719999999998</v>
      </c>
      <c r="Y3954">
        <v>6.0878330000000001E-2</v>
      </c>
      <c r="Z3954">
        <v>6.5578269999999994E-2</v>
      </c>
      <c r="AA3954">
        <v>0.9959886</v>
      </c>
      <c r="AB3954">
        <v>32</v>
      </c>
      <c r="AC3954">
        <v>-6.7499999999995397E-2</v>
      </c>
      <c r="AD3954">
        <v>-6.3219000000000095E-2</v>
      </c>
      <c r="AE3954">
        <v>-0.64840999999999804</v>
      </c>
      <c r="AF3954">
        <v>5.7900037014298397E-2</v>
      </c>
      <c r="AG3954">
        <v>-6.3219000000000095E-2</v>
      </c>
      <c r="AH3954">
        <v>0.643239796921109</v>
      </c>
      <c r="AI3954">
        <v>95.590667407657094</v>
      </c>
      <c r="AJ3954">
        <v>84.856488349951604</v>
      </c>
      <c r="AK3954">
        <v>0.64892718589250498</v>
      </c>
      <c r="AL3954">
        <v>81.269140446969899</v>
      </c>
      <c r="AM3954">
        <v>87.561471164292698</v>
      </c>
      <c r="AN3954">
        <v>0.99999998757507502</v>
      </c>
    </row>
    <row r="3955" spans="1:40" x14ac:dyDescent="0.25">
      <c r="A3955" t="str">
        <f>"20190312164347949"</f>
        <v>20190312164347949</v>
      </c>
      <c r="B3955" t="str">
        <f>"1552380227938767"</f>
        <v>1552380227938767</v>
      </c>
      <c r="C3955" t="s">
        <v>40</v>
      </c>
      <c r="D3955">
        <v>4.6145589999999999</v>
      </c>
      <c r="E3955">
        <v>0.51255090000000003</v>
      </c>
      <c r="F3955" t="s">
        <v>41</v>
      </c>
      <c r="G3955">
        <v>-421.99270000000001</v>
      </c>
      <c r="H3955">
        <v>1.0467690000000001</v>
      </c>
      <c r="I3955">
        <v>91.329350000000005</v>
      </c>
      <c r="J3955">
        <v>-421.92689999999999</v>
      </c>
      <c r="K3955">
        <v>1.1092010000000001</v>
      </c>
      <c r="L3955">
        <v>91.946929999999995</v>
      </c>
      <c r="M3955">
        <v>-1.4591069999999999E-2</v>
      </c>
      <c r="N3955">
        <v>0</v>
      </c>
      <c r="O3955">
        <v>-0.99984519999999999</v>
      </c>
      <c r="P3955">
        <v>-5.5796220000000001E-2</v>
      </c>
      <c r="Q3955">
        <v>0.14174529999999999</v>
      </c>
      <c r="R3955">
        <v>-0.98832969999999998</v>
      </c>
      <c r="S3955">
        <v>-0.2307739</v>
      </c>
      <c r="T3955">
        <v>-0.20354559999999999</v>
      </c>
      <c r="U3955">
        <v>-3.0518190000000001</v>
      </c>
      <c r="V3955">
        <v>4.1582960000000002E-2</v>
      </c>
      <c r="W3955">
        <v>0.1514279</v>
      </c>
      <c r="X3955">
        <v>0.98759330000000001</v>
      </c>
      <c r="Y3955">
        <v>6.0678650000000001E-2</v>
      </c>
      <c r="Z3955">
        <v>6.6382399999999994E-2</v>
      </c>
      <c r="AA3955">
        <v>0.99594749999999999</v>
      </c>
      <c r="AB3955">
        <v>32</v>
      </c>
      <c r="AC3955">
        <v>-6.58000000000242E-2</v>
      </c>
      <c r="AD3955">
        <v>-6.2432000000000001E-2</v>
      </c>
      <c r="AE3955">
        <v>-0.61758000000000302</v>
      </c>
      <c r="AF3955">
        <v>5.6213383464792599E-2</v>
      </c>
      <c r="AG3955">
        <v>-6.2432000000000001E-2</v>
      </c>
      <c r="AH3955">
        <v>0.61228737384310405</v>
      </c>
      <c r="AI3955">
        <v>95.7978375713638</v>
      </c>
      <c r="AJ3955">
        <v>84.754446918619806</v>
      </c>
      <c r="AK3955">
        <v>0.61802388891712401</v>
      </c>
      <c r="AL3955">
        <v>81.290315821146507</v>
      </c>
      <c r="AM3955">
        <v>87.588965376513798</v>
      </c>
      <c r="AN3955">
        <v>1.0000000388328301</v>
      </c>
    </row>
    <row r="3956" spans="1:40" x14ac:dyDescent="0.25">
      <c r="A3956" t="str">
        <f>"20190312164347970"</f>
        <v>20190312164347970</v>
      </c>
      <c r="B3956" t="str">
        <f>"1552380227959263"</f>
        <v>1552380227959263</v>
      </c>
      <c r="C3956" t="s">
        <v>40</v>
      </c>
      <c r="D3956">
        <v>4.6203339999999997</v>
      </c>
      <c r="E3956">
        <v>0.51253950000000004</v>
      </c>
      <c r="F3956" t="s">
        <v>41</v>
      </c>
      <c r="G3956">
        <v>-421.99599999999998</v>
      </c>
      <c r="H3956">
        <v>1.0480670000000001</v>
      </c>
      <c r="I3956">
        <v>91.041269999999997</v>
      </c>
      <c r="J3956">
        <v>-421.93209999999999</v>
      </c>
      <c r="K3956">
        <v>1.1092169999999999</v>
      </c>
      <c r="L3956">
        <v>91.631619999999998</v>
      </c>
      <c r="M3956">
        <v>-1.519565E-2</v>
      </c>
      <c r="N3956">
        <v>0</v>
      </c>
      <c r="O3956">
        <v>-0.99983630000000001</v>
      </c>
      <c r="P3956">
        <v>-5.611348E-2</v>
      </c>
      <c r="Q3956">
        <v>0.14149690000000001</v>
      </c>
      <c r="R3956">
        <v>-0.98834739999999999</v>
      </c>
      <c r="S3956">
        <v>-0.23168949999999999</v>
      </c>
      <c r="T3956">
        <v>-0.20600750000000001</v>
      </c>
      <c r="U3956">
        <v>-3.0519099999999999</v>
      </c>
      <c r="V3956">
        <v>4.1295159999999997E-2</v>
      </c>
      <c r="W3956">
        <v>0.1511837</v>
      </c>
      <c r="X3956">
        <v>0.98764280000000004</v>
      </c>
      <c r="Y3956">
        <v>6.0365879999999997E-2</v>
      </c>
      <c r="Z3956">
        <v>6.7178669999999996E-2</v>
      </c>
      <c r="AA3956">
        <v>0.9959131</v>
      </c>
      <c r="AB3956">
        <v>32</v>
      </c>
      <c r="AC3956">
        <v>-6.3899999999989604E-2</v>
      </c>
      <c r="AD3956">
        <v>-6.1149999999999802E-2</v>
      </c>
      <c r="AE3956">
        <v>-0.59035000000000004</v>
      </c>
      <c r="AF3956">
        <v>5.4345100953010997E-2</v>
      </c>
      <c r="AG3956">
        <v>-6.1149999999999802E-2</v>
      </c>
      <c r="AH3956">
        <v>0.58504837839926704</v>
      </c>
      <c r="AI3956">
        <v>95.941567240282794</v>
      </c>
      <c r="AJ3956">
        <v>84.693028084472601</v>
      </c>
      <c r="AK3956">
        <v>0.590740482416099</v>
      </c>
      <c r="AL3956">
        <v>81.304470517388793</v>
      </c>
      <c r="AM3956">
        <v>87.605752774283502</v>
      </c>
      <c r="AN3956">
        <v>1.0000000508884701</v>
      </c>
    </row>
    <row r="3957" spans="1:40" x14ac:dyDescent="0.25">
      <c r="A3957" t="str">
        <f>"20190312164347994"</f>
        <v>20190312164347994</v>
      </c>
      <c r="B3957" t="str">
        <f>"1552380227988542"</f>
        <v>1552380227988542</v>
      </c>
      <c r="C3957" t="s">
        <v>40</v>
      </c>
      <c r="D3957">
        <v>4.662623</v>
      </c>
      <c r="E3957">
        <v>0.51243050000000001</v>
      </c>
      <c r="F3957" t="s">
        <v>41</v>
      </c>
      <c r="G3957">
        <v>-421.99930000000001</v>
      </c>
      <c r="H3957">
        <v>1.0493220000000001</v>
      </c>
      <c r="I3957">
        <v>90.752930000000006</v>
      </c>
      <c r="J3957">
        <v>-421.93779999999998</v>
      </c>
      <c r="K3957">
        <v>1.109235</v>
      </c>
      <c r="L3957">
        <v>91.297489999999996</v>
      </c>
      <c r="M3957">
        <v>-1.5809210000000001E-2</v>
      </c>
      <c r="N3957">
        <v>0</v>
      </c>
      <c r="O3957">
        <v>-0.99982649999999995</v>
      </c>
      <c r="P3957">
        <v>-5.5925750000000003E-2</v>
      </c>
      <c r="Q3957">
        <v>0.1420921</v>
      </c>
      <c r="R3957">
        <v>-0.9882725</v>
      </c>
      <c r="S3957">
        <v>-0.23315429999999901</v>
      </c>
      <c r="T3957">
        <v>-0.2080282</v>
      </c>
      <c r="U3957">
        <v>-3.0519099999999999</v>
      </c>
      <c r="V3957">
        <v>4.0495629999999998E-2</v>
      </c>
      <c r="W3957">
        <v>0.1517828</v>
      </c>
      <c r="X3957">
        <v>0.98758400000000002</v>
      </c>
      <c r="Y3957">
        <v>6.0225210000000001E-2</v>
      </c>
      <c r="Z3957">
        <v>6.7832669999999998E-2</v>
      </c>
      <c r="AA3957">
        <v>0.99587729999999997</v>
      </c>
      <c r="AB3957">
        <v>32</v>
      </c>
      <c r="AC3957">
        <v>-6.1500000000023598E-2</v>
      </c>
      <c r="AD3957">
        <v>-5.9913000000000098E-2</v>
      </c>
      <c r="AE3957">
        <v>-0.54455999999998905</v>
      </c>
      <c r="AF3957">
        <v>5.2258233295098003E-2</v>
      </c>
      <c r="AG3957">
        <v>-5.9913000000000098E-2</v>
      </c>
      <c r="AH3957">
        <v>0.53902177496332504</v>
      </c>
      <c r="AI3957">
        <v>96.313109909575203</v>
      </c>
      <c r="AJ3957">
        <v>84.462472905086599</v>
      </c>
      <c r="AK3957">
        <v>0.54485315856727701</v>
      </c>
      <c r="AL3957">
        <v>81.269743732176707</v>
      </c>
      <c r="AM3957">
        <v>87.651916600889805</v>
      </c>
      <c r="AN3957">
        <v>1.0000000357404599</v>
      </c>
    </row>
    <row r="3958" spans="1:40" x14ac:dyDescent="0.25">
      <c r="A3958" t="str">
        <f>"20190312164348016"</f>
        <v>20190312164348016</v>
      </c>
      <c r="B3958" t="str">
        <f>"1552380228009050"</f>
        <v>1552380228009050</v>
      </c>
      <c r="C3958" t="s">
        <v>40</v>
      </c>
      <c r="D3958">
        <v>4.6176879999999896</v>
      </c>
      <c r="E3958">
        <v>0.51242410000000005</v>
      </c>
      <c r="F3958" t="s">
        <v>41</v>
      </c>
      <c r="G3958">
        <v>-422.00170000000003</v>
      </c>
      <c r="H3958">
        <v>1.0523439999999999</v>
      </c>
      <c r="I3958">
        <v>90.462580000000003</v>
      </c>
      <c r="J3958">
        <v>-421.94349999999997</v>
      </c>
      <c r="K3958">
        <v>1.1092580000000001</v>
      </c>
      <c r="L3958">
        <v>90.973479999999995</v>
      </c>
      <c r="M3958">
        <v>-1.6381369999999999E-2</v>
      </c>
      <c r="N3958">
        <v>0</v>
      </c>
      <c r="O3958">
        <v>-0.99981710000000001</v>
      </c>
      <c r="P3958">
        <v>-5.554137E-2</v>
      </c>
      <c r="Q3958">
        <v>0.14291999999999999</v>
      </c>
      <c r="R3958">
        <v>-0.98817460000000001</v>
      </c>
      <c r="S3958">
        <v>-0.23242189999999999</v>
      </c>
      <c r="T3958">
        <v>-0.2080034</v>
      </c>
      <c r="U3958">
        <v>-3.052368</v>
      </c>
      <c r="V3958">
        <v>3.954154E-2</v>
      </c>
      <c r="W3958">
        <v>0.15261459999999999</v>
      </c>
      <c r="X3958">
        <v>0.98749439999999999</v>
      </c>
      <c r="Y3958">
        <v>5.940513E-2</v>
      </c>
      <c r="Z3958">
        <v>6.7815879999999995E-2</v>
      </c>
      <c r="AA3958">
        <v>0.99592780000000003</v>
      </c>
      <c r="AB3958">
        <v>32</v>
      </c>
      <c r="AC3958">
        <v>-5.82000000000562E-2</v>
      </c>
      <c r="AD3958">
        <v>-5.6914000000000103E-2</v>
      </c>
      <c r="AE3958">
        <v>-0.51090000000000602</v>
      </c>
      <c r="AF3958">
        <v>4.9219557868610903E-2</v>
      </c>
      <c r="AG3958">
        <v>-5.6914000000000103E-2</v>
      </c>
      <c r="AH3958">
        <v>0.50559095346235305</v>
      </c>
      <c r="AI3958">
        <v>96.392736448641799</v>
      </c>
      <c r="AJ3958">
        <v>84.439745211325402</v>
      </c>
      <c r="AK3958">
        <v>0.51115944723320195</v>
      </c>
      <c r="AL3958">
        <v>81.221522747625798</v>
      </c>
      <c r="AM3958">
        <v>87.706970627820397</v>
      </c>
      <c r="AN3958">
        <v>0.99999996977504502</v>
      </c>
    </row>
    <row r="3959" spans="1:40" x14ac:dyDescent="0.25">
      <c r="A3959" t="str">
        <f>"20190312164348038"</f>
        <v>20190312164348038</v>
      </c>
      <c r="B3959" t="str">
        <f>"1552380228028559"</f>
        <v>1552380228028559</v>
      </c>
      <c r="C3959" t="s">
        <v>40</v>
      </c>
      <c r="D3959">
        <v>4.6469129999999996</v>
      </c>
      <c r="E3959">
        <v>0.51241859999999995</v>
      </c>
      <c r="F3959" t="s">
        <v>41</v>
      </c>
      <c r="G3959">
        <v>-422.005</v>
      </c>
      <c r="H3959">
        <v>1.05453</v>
      </c>
      <c r="I3959">
        <v>90.162229999999994</v>
      </c>
      <c r="J3959">
        <v>-421.94909999999999</v>
      </c>
      <c r="K3959">
        <v>1.109278</v>
      </c>
      <c r="L3959">
        <v>90.659940000000006</v>
      </c>
      <c r="M3959">
        <v>-1.6917330000000001E-2</v>
      </c>
      <c r="N3959">
        <v>0</v>
      </c>
      <c r="O3959">
        <v>-0.99980829999999998</v>
      </c>
      <c r="P3959">
        <v>-5.5021830000000001E-2</v>
      </c>
      <c r="Q3959">
        <v>0.14376839999999999</v>
      </c>
      <c r="R3959">
        <v>-0.98808059999999998</v>
      </c>
      <c r="S3959">
        <v>-0.23080439999999999</v>
      </c>
      <c r="T3959">
        <v>-0.20594499999999999</v>
      </c>
      <c r="U3959">
        <v>-3.0527039999999999</v>
      </c>
      <c r="V3959">
        <v>3.8488849999999998E-2</v>
      </c>
      <c r="W3959">
        <v>0.15346660000000001</v>
      </c>
      <c r="X3959">
        <v>0.98740399999999995</v>
      </c>
      <c r="Y3959">
        <v>5.8340469999999998E-2</v>
      </c>
      <c r="Z3959">
        <v>6.7143069999999999E-2</v>
      </c>
      <c r="AA3959">
        <v>0.99603620000000004</v>
      </c>
      <c r="AB3959">
        <v>32</v>
      </c>
      <c r="AC3959">
        <v>-5.59000000000082E-2</v>
      </c>
      <c r="AD3959">
        <v>-5.4747999999999998E-2</v>
      </c>
      <c r="AE3959">
        <v>-0.49770999999999699</v>
      </c>
      <c r="AF3959">
        <v>4.6911114729850698E-2</v>
      </c>
      <c r="AG3959">
        <v>-5.4747999999999998E-2</v>
      </c>
      <c r="AH3959">
        <v>0.49269714378554202</v>
      </c>
      <c r="AI3959">
        <v>96.312321027286998</v>
      </c>
      <c r="AJ3959">
        <v>84.561099631884602</v>
      </c>
      <c r="AK3959">
        <v>0.49794424555729899</v>
      </c>
      <c r="AL3959">
        <v>81.172125311002603</v>
      </c>
      <c r="AM3959">
        <v>87.767749801528893</v>
      </c>
      <c r="AN3959">
        <v>1.0000000240529401</v>
      </c>
    </row>
    <row r="3960" spans="1:40" x14ac:dyDescent="0.25">
      <c r="A3960" t="str">
        <f>"20190312164348060"</f>
        <v>20190312164348060</v>
      </c>
      <c r="B3960" t="str">
        <f>"1552380228049055"</f>
        <v>1552380228049055</v>
      </c>
      <c r="C3960" t="s">
        <v>40</v>
      </c>
      <c r="D3960">
        <v>4.653715</v>
      </c>
      <c r="E3960">
        <v>0.51235770000000003</v>
      </c>
      <c r="F3960" t="s">
        <v>42</v>
      </c>
      <c r="G3960">
        <v>-423.18680000000001</v>
      </c>
      <c r="H3960" s="1">
        <v>-2.7994759999999998E-6</v>
      </c>
      <c r="I3960">
        <v>74.138210000000001</v>
      </c>
      <c r="J3960">
        <v>-421.95510000000002</v>
      </c>
      <c r="K3960">
        <v>1.109294</v>
      </c>
      <c r="L3960">
        <v>90.340299999999999</v>
      </c>
      <c r="M3960">
        <v>-1.745002E-2</v>
      </c>
      <c r="N3960">
        <v>0</v>
      </c>
      <c r="O3960">
        <v>-0.9997994</v>
      </c>
      <c r="P3960">
        <v>-5.3834220000000002E-2</v>
      </c>
      <c r="Q3960">
        <v>0.1441809</v>
      </c>
      <c r="R3960">
        <v>-0.98808629999999997</v>
      </c>
      <c r="S3960">
        <v>-0.22872919999999999</v>
      </c>
      <c r="T3960">
        <v>-0.2049996</v>
      </c>
      <c r="U3960">
        <v>-3.0532840000000001</v>
      </c>
      <c r="V3960">
        <v>3.6770099999999903E-2</v>
      </c>
      <c r="W3960">
        <v>0.15388450000000001</v>
      </c>
      <c r="X3960">
        <v>0.98740439999999996</v>
      </c>
      <c r="Y3960">
        <v>5.7122760000000002E-2</v>
      </c>
      <c r="Z3960">
        <v>6.6826739999999996E-2</v>
      </c>
      <c r="AA3960">
        <v>0.99612809999999896</v>
      </c>
      <c r="AB3960">
        <v>32</v>
      </c>
      <c r="AC3960">
        <v>-1.23169999999998</v>
      </c>
      <c r="AD3960">
        <v>-1.1092967994759999</v>
      </c>
      <c r="AE3960">
        <v>-16.202089999999998</v>
      </c>
      <c r="AF3960">
        <v>0.94437055586548202</v>
      </c>
      <c r="AG3960">
        <v>-1.1092967994759999</v>
      </c>
      <c r="AH3960">
        <v>16.145866032612702</v>
      </c>
      <c r="AI3960">
        <v>93.923627906509495</v>
      </c>
      <c r="AJ3960">
        <v>86.652587701192303</v>
      </c>
      <c r="AK3960">
        <v>16.211457833248399</v>
      </c>
      <c r="AL3960">
        <v>81.147893032402607</v>
      </c>
      <c r="AM3960">
        <v>87.867339366076195</v>
      </c>
      <c r="AN3960">
        <v>0.99999996436680905</v>
      </c>
    </row>
    <row r="3961" spans="1:40" x14ac:dyDescent="0.25">
      <c r="A3961" t="str">
        <f>"20190312164348085"</f>
        <v>20190312164348085</v>
      </c>
      <c r="B3961" t="str">
        <f>"1552380228079312"</f>
        <v>1552380228079312</v>
      </c>
      <c r="C3961" t="s">
        <v>40</v>
      </c>
      <c r="D3961">
        <v>4.5376329999999996</v>
      </c>
      <c r="E3961">
        <v>0.46247630000000001</v>
      </c>
      <c r="F3961" t="s">
        <v>42</v>
      </c>
      <c r="G3961">
        <v>-423.1782</v>
      </c>
      <c r="H3961" s="1">
        <v>-2.6452600000000001E-6</v>
      </c>
      <c r="I3961">
        <v>73.784099999999995</v>
      </c>
      <c r="J3961">
        <v>-421.96159999999998</v>
      </c>
      <c r="K3961">
        <v>1.109308</v>
      </c>
      <c r="L3961">
        <v>90.001009999999994</v>
      </c>
      <c r="M3961">
        <v>-1.8004630000000001E-2</v>
      </c>
      <c r="N3961">
        <v>0</v>
      </c>
      <c r="O3961">
        <v>-0.99978909999999999</v>
      </c>
      <c r="P3961">
        <v>-5.2818690000000001E-2</v>
      </c>
      <c r="Q3961">
        <v>0.14429600000000001</v>
      </c>
      <c r="R3961">
        <v>-0.98812390000000005</v>
      </c>
      <c r="S3961">
        <v>-0.22558590000000001</v>
      </c>
      <c r="T3961">
        <v>-0.20460639999999999</v>
      </c>
      <c r="U3961">
        <v>-3.053741</v>
      </c>
      <c r="V3961">
        <v>3.520206E-2</v>
      </c>
      <c r="W3961">
        <v>0.15400510000000001</v>
      </c>
      <c r="X3961">
        <v>0.98744279999999995</v>
      </c>
      <c r="Y3961">
        <v>5.5538700000000003E-2</v>
      </c>
      <c r="Z3961">
        <v>6.6693749999999996E-2</v>
      </c>
      <c r="AA3961">
        <v>0.99622659999999996</v>
      </c>
      <c r="AB3961">
        <v>32</v>
      </c>
      <c r="AC3961">
        <v>-1.2166000000000201</v>
      </c>
      <c r="AD3961">
        <v>-1.1093106452599999</v>
      </c>
      <c r="AE3961">
        <v>-16.216909999999999</v>
      </c>
      <c r="AF3961">
        <v>0.92012771049451803</v>
      </c>
      <c r="AG3961">
        <v>-1.1093106452599999</v>
      </c>
      <c r="AH3961">
        <v>16.160989507232301</v>
      </c>
      <c r="AI3961">
        <v>93.920365905302305</v>
      </c>
      <c r="AJ3961">
        <v>86.741376527967205</v>
      </c>
      <c r="AK3961">
        <v>16.225128257249001</v>
      </c>
      <c r="AL3961">
        <v>81.140900290855399</v>
      </c>
      <c r="AM3961">
        <v>87.958286111529006</v>
      </c>
      <c r="AN3961">
        <v>1.0000000195630401</v>
      </c>
    </row>
    <row r="3962" spans="1:40" x14ac:dyDescent="0.25">
      <c r="A3962" t="str">
        <f>"20190312164348106"</f>
        <v>20190312164348106</v>
      </c>
      <c r="B3962" t="str">
        <f>"1552380228098831"</f>
        <v>1552380228098831</v>
      </c>
      <c r="C3962" t="s">
        <v>40</v>
      </c>
      <c r="D3962">
        <v>4.7300789999999999</v>
      </c>
      <c r="E3962">
        <v>0.45575179999999998</v>
      </c>
      <c r="F3962" t="s">
        <v>42</v>
      </c>
      <c r="G3962">
        <v>-421.14049999999997</v>
      </c>
      <c r="H3962" s="1">
        <v>-2.929351E-6</v>
      </c>
      <c r="I3962">
        <v>75.710139999999996</v>
      </c>
      <c r="J3962">
        <v>-421.96789999999999</v>
      </c>
      <c r="K3962">
        <v>1.1093120000000001</v>
      </c>
      <c r="L3962">
        <v>89.68347</v>
      </c>
      <c r="M3962">
        <v>-1.8518150000000001E-2</v>
      </c>
      <c r="N3962">
        <v>0</v>
      </c>
      <c r="O3962">
        <v>-0.99978009999999995</v>
      </c>
      <c r="P3962">
        <v>-5.1367490000000002E-2</v>
      </c>
      <c r="Q3962">
        <v>0.1443729</v>
      </c>
      <c r="R3962">
        <v>-0.9881894</v>
      </c>
      <c r="S3962">
        <v>0.17700199999999999</v>
      </c>
      <c r="T3962">
        <v>-0.23911560000000001</v>
      </c>
      <c r="U3962">
        <v>-3.080444</v>
      </c>
      <c r="V3962">
        <v>3.3239890000000001E-2</v>
      </c>
      <c r="W3962">
        <v>0.1540871</v>
      </c>
      <c r="X3962">
        <v>0.98749799999999999</v>
      </c>
      <c r="Y3962">
        <v>-7.5672669999999997E-2</v>
      </c>
      <c r="Z3962">
        <v>7.719674E-2</v>
      </c>
      <c r="AA3962">
        <v>0.99414000000000002</v>
      </c>
      <c r="AB3962">
        <v>32</v>
      </c>
      <c r="AC3962">
        <v>0.82740000000001102</v>
      </c>
      <c r="AD3962">
        <v>-1.1093149293510001</v>
      </c>
      <c r="AE3962">
        <v>-13.973330000000001</v>
      </c>
      <c r="AF3962">
        <v>-1.07925267886428</v>
      </c>
      <c r="AG3962">
        <v>-1.1093149293510001</v>
      </c>
      <c r="AH3962">
        <v>13.8685107192041</v>
      </c>
      <c r="AI3962">
        <v>94.559513108350004</v>
      </c>
      <c r="AJ3962">
        <v>94.449810700807603</v>
      </c>
      <c r="AK3962">
        <v>13.9546033811784</v>
      </c>
      <c r="AL3962">
        <v>81.136145215053503</v>
      </c>
      <c r="AM3962">
        <v>88.072110929792004</v>
      </c>
      <c r="AN3962">
        <v>1.00000001233881</v>
      </c>
    </row>
    <row r="3963" spans="1:40" x14ac:dyDescent="0.25">
      <c r="A3963" t="str">
        <f>"20190312164348128"</f>
        <v>20190312164348128</v>
      </c>
      <c r="B3963" t="str">
        <f>"1552380228119326"</f>
        <v>1552380228119326</v>
      </c>
      <c r="C3963" t="s">
        <v>40</v>
      </c>
      <c r="D3963">
        <v>4.7237749999999998</v>
      </c>
      <c r="E3963">
        <v>0.45424589999999998</v>
      </c>
      <c r="F3963" t="s">
        <v>42</v>
      </c>
      <c r="G3963">
        <v>-420.78539999999998</v>
      </c>
      <c r="H3963" s="1">
        <v>-2.1552900000000001E-6</v>
      </c>
      <c r="I3963">
        <v>74.125990000000002</v>
      </c>
      <c r="J3963">
        <v>-421.9742</v>
      </c>
      <c r="K3963">
        <v>1.1093150000000001</v>
      </c>
      <c r="L3963">
        <v>89.368799999999993</v>
      </c>
      <c r="M3963">
        <v>-1.9024490000000002E-2</v>
      </c>
      <c r="N3963">
        <v>0</v>
      </c>
      <c r="O3963">
        <v>-0.9997703</v>
      </c>
      <c r="P3963">
        <v>-4.9907689999999998E-2</v>
      </c>
      <c r="Q3963">
        <v>0.14446049999999999</v>
      </c>
      <c r="R3963">
        <v>-0.98825099999999999</v>
      </c>
      <c r="S3963">
        <v>0.23410030000000001</v>
      </c>
      <c r="T3963">
        <v>-0.21962490000000001</v>
      </c>
      <c r="U3963">
        <v>-3.0801090000000002</v>
      </c>
      <c r="V3963">
        <v>3.1277119999999999E-2</v>
      </c>
      <c r="W3963">
        <v>0.1541804</v>
      </c>
      <c r="X3963">
        <v>0.98754750000000002</v>
      </c>
      <c r="Y3963">
        <v>-9.4551789999999997E-2</v>
      </c>
      <c r="Z3963">
        <v>7.0843359999999994E-2</v>
      </c>
      <c r="AA3963">
        <v>0.99299599999999999</v>
      </c>
      <c r="AB3963">
        <v>32</v>
      </c>
      <c r="AC3963">
        <v>1.1888000000000101</v>
      </c>
      <c r="AD3963">
        <v>-1.1093171552900001</v>
      </c>
      <c r="AE3963">
        <v>-15.242809999999899</v>
      </c>
      <c r="AF3963">
        <v>-1.47084255622253</v>
      </c>
      <c r="AG3963">
        <v>-1.1093171552900001</v>
      </c>
      <c r="AH3963">
        <v>15.137742714887199</v>
      </c>
      <c r="AI3963">
        <v>94.171655486755498</v>
      </c>
      <c r="AJ3963">
        <v>95.549662324994102</v>
      </c>
      <c r="AK3963">
        <v>15.2494333297449</v>
      </c>
      <c r="AL3963">
        <v>81.130734391565596</v>
      </c>
      <c r="AM3963">
        <v>88.185962558591697</v>
      </c>
      <c r="AN3963">
        <v>0.99999995936795105</v>
      </c>
    </row>
    <row r="3964" spans="1:40" x14ac:dyDescent="0.25">
      <c r="A3964" t="str">
        <f>"20190312164348149"</f>
        <v>20190312164348149</v>
      </c>
      <c r="B3964" t="str">
        <f>"1552380228138848"</f>
        <v>1552380228138848</v>
      </c>
      <c r="C3964" t="s">
        <v>40</v>
      </c>
      <c r="D3964">
        <v>4.9718549999999997</v>
      </c>
      <c r="E3964">
        <v>0.45348280000000002</v>
      </c>
      <c r="F3964" t="s">
        <v>42</v>
      </c>
      <c r="G3964">
        <v>-420.7303</v>
      </c>
      <c r="H3964" s="1">
        <v>-2.137683E-6</v>
      </c>
      <c r="I3964">
        <v>74.119129999999998</v>
      </c>
      <c r="J3964">
        <v>-421.98070000000001</v>
      </c>
      <c r="K3964">
        <v>1.1093090000000001</v>
      </c>
      <c r="L3964">
        <v>89.053919999999906</v>
      </c>
      <c r="M3964">
        <v>-1.953069E-2</v>
      </c>
      <c r="N3964">
        <v>0</v>
      </c>
      <c r="O3964">
        <v>-0.99976069999999995</v>
      </c>
      <c r="P3964">
        <v>-4.897112E-2</v>
      </c>
      <c r="Q3964">
        <v>0.14381959999999999</v>
      </c>
      <c r="R3964">
        <v>-0.98839189999999999</v>
      </c>
      <c r="S3964">
        <v>0.25131229999999999</v>
      </c>
      <c r="T3964">
        <v>-0.22413159999999999</v>
      </c>
      <c r="U3964">
        <v>-3.0811160000000002</v>
      </c>
      <c r="V3964">
        <v>2.9835750000000001E-2</v>
      </c>
      <c r="W3964">
        <v>0.15354479999999901</v>
      </c>
      <c r="X3964">
        <v>0.98769119999999999</v>
      </c>
      <c r="Y3964">
        <v>-0.10053429999999999</v>
      </c>
      <c r="Z3964">
        <v>7.2228029999999999E-2</v>
      </c>
      <c r="AA3964">
        <v>0.99230839999999998</v>
      </c>
      <c r="AB3964">
        <v>32</v>
      </c>
      <c r="AC3964">
        <v>1.2504000000000099</v>
      </c>
      <c r="AD3964">
        <v>-1.109311137683</v>
      </c>
      <c r="AE3964">
        <v>-14.9347899999999</v>
      </c>
      <c r="AF3964">
        <v>-1.5334610667753601</v>
      </c>
      <c r="AG3964">
        <v>-1.109311137683</v>
      </c>
      <c r="AH3964">
        <v>14.826290371712799</v>
      </c>
      <c r="AI3964">
        <v>94.256307571619502</v>
      </c>
      <c r="AJ3964">
        <v>95.905020391155901</v>
      </c>
      <c r="AK3964">
        <v>14.9466036352693</v>
      </c>
      <c r="AL3964">
        <v>81.1675912003127</v>
      </c>
      <c r="AM3964">
        <v>88.269759943030294</v>
      </c>
      <c r="AN3964">
        <v>1.00000004207127</v>
      </c>
    </row>
    <row r="3965" spans="1:40" x14ac:dyDescent="0.25">
      <c r="A3965" t="str">
        <f>"20190312164348173"</f>
        <v>20190312164348173</v>
      </c>
      <c r="B3965" t="str">
        <f>"1552380228169103"</f>
        <v>1552380228169103</v>
      </c>
      <c r="C3965" t="s">
        <v>40</v>
      </c>
      <c r="D3965">
        <v>4.7949140000000003</v>
      </c>
      <c r="E3965">
        <v>0.45323980000000003</v>
      </c>
      <c r="F3965" t="s">
        <v>42</v>
      </c>
      <c r="G3965">
        <v>-420.71179999999998</v>
      </c>
      <c r="H3965" s="1">
        <v>-2.0939910000000002E-6</v>
      </c>
      <c r="I3965">
        <v>74.028790000000001</v>
      </c>
      <c r="J3965">
        <v>-421.98759999999999</v>
      </c>
      <c r="K3965">
        <v>1.1093090000000001</v>
      </c>
      <c r="L3965">
        <v>88.725399999999993</v>
      </c>
      <c r="M3965">
        <v>-2.0059540000000001E-2</v>
      </c>
      <c r="N3965">
        <v>0</v>
      </c>
      <c r="O3965">
        <v>-0.99975020000000003</v>
      </c>
      <c r="P3965">
        <v>-4.7993679999999997E-2</v>
      </c>
      <c r="Q3965">
        <v>0.14322869999999999</v>
      </c>
      <c r="R3965">
        <v>-0.98852569999999995</v>
      </c>
      <c r="S3965">
        <v>0.26022339999999999</v>
      </c>
      <c r="T3965">
        <v>-0.22748660000000001</v>
      </c>
      <c r="U3965">
        <v>-3.081207</v>
      </c>
      <c r="V3965">
        <v>2.8331450000000001E-2</v>
      </c>
      <c r="W3965">
        <v>0.1529596</v>
      </c>
      <c r="X3965">
        <v>0.98782619999999999</v>
      </c>
      <c r="Y3965">
        <v>-0.1039014</v>
      </c>
      <c r="Z3965">
        <v>7.3278670000000004E-2</v>
      </c>
      <c r="AA3965">
        <v>0.9918844</v>
      </c>
      <c r="AB3965">
        <v>32</v>
      </c>
      <c r="AC3965">
        <v>1.2758</v>
      </c>
      <c r="AD3965">
        <v>-1.109311093991</v>
      </c>
      <c r="AE3965">
        <v>-14.6966099999999</v>
      </c>
      <c r="AF3965">
        <v>-1.5615347680210601</v>
      </c>
      <c r="AG3965">
        <v>-1.109311093991</v>
      </c>
      <c r="AH3965">
        <v>14.585581834338599</v>
      </c>
      <c r="AI3965">
        <v>94.324656572727505</v>
      </c>
      <c r="AJ3965">
        <v>96.110819270808307</v>
      </c>
      <c r="AK3965">
        <v>14.710817767247899</v>
      </c>
      <c r="AL3965">
        <v>81.20152073989</v>
      </c>
      <c r="AM3965">
        <v>88.357172908360795</v>
      </c>
      <c r="AN3965">
        <v>0.99999995584885004</v>
      </c>
    </row>
    <row r="3966" spans="1:40" x14ac:dyDescent="0.25">
      <c r="A3966" t="str">
        <f>"20190312164348196"</f>
        <v>20190312164348196</v>
      </c>
      <c r="B3966" t="str">
        <f>"1552380228188623"</f>
        <v>1552380228188623</v>
      </c>
      <c r="C3966" t="s">
        <v>40</v>
      </c>
      <c r="D3966">
        <v>4.6477209999999998</v>
      </c>
      <c r="E3966">
        <v>0.45336159999999998</v>
      </c>
      <c r="F3966" t="s">
        <v>42</v>
      </c>
      <c r="G3966">
        <v>-420.70589999999999</v>
      </c>
      <c r="H3966" s="1">
        <v>-2.0012410000000001E-6</v>
      </c>
      <c r="I3966">
        <v>73.816230000000004</v>
      </c>
      <c r="J3966">
        <v>-421.99509999999998</v>
      </c>
      <c r="K3966">
        <v>1.109307</v>
      </c>
      <c r="L3966">
        <v>88.384190000000004</v>
      </c>
      <c r="M3966">
        <v>-2.060996E-2</v>
      </c>
      <c r="N3966">
        <v>0</v>
      </c>
      <c r="O3966">
        <v>-0.99973900000000004</v>
      </c>
      <c r="P3966">
        <v>-4.7395439999999997E-2</v>
      </c>
      <c r="Q3966">
        <v>0.1426365</v>
      </c>
      <c r="R3966">
        <v>-0.98863990000000002</v>
      </c>
      <c r="S3966">
        <v>0.26486209999999999</v>
      </c>
      <c r="T3966">
        <v>-0.22923099999999999</v>
      </c>
      <c r="U3966">
        <v>-3.0808719999999998</v>
      </c>
      <c r="V3966">
        <v>2.7185419999999998E-2</v>
      </c>
      <c r="W3966">
        <v>0.15237239999999999</v>
      </c>
      <c r="X3966">
        <v>0.98794919999999997</v>
      </c>
      <c r="Y3966">
        <v>-0.105937</v>
      </c>
      <c r="Z3966">
        <v>7.3831599999999997E-2</v>
      </c>
      <c r="AA3966">
        <v>0.99162810000000001</v>
      </c>
      <c r="AB3966">
        <v>32</v>
      </c>
      <c r="AC3966">
        <v>1.2891999999999899</v>
      </c>
      <c r="AD3966">
        <v>-1.1093090012410001</v>
      </c>
      <c r="AE3966">
        <v>-14.567959999999999</v>
      </c>
      <c r="AF3966">
        <v>-1.58009498122393</v>
      </c>
      <c r="AG3966">
        <v>-1.1093090012410001</v>
      </c>
      <c r="AH3966">
        <v>14.4551284998777</v>
      </c>
      <c r="AI3966">
        <v>94.362481304901806</v>
      </c>
      <c r="AJ3966">
        <v>96.238253255385203</v>
      </c>
      <c r="AK3966">
        <v>14.5834840335874</v>
      </c>
      <c r="AL3966">
        <v>81.235564348414499</v>
      </c>
      <c r="AM3966">
        <v>88.423788515559494</v>
      </c>
      <c r="AN3966">
        <v>1.00000000856148</v>
      </c>
    </row>
    <row r="3967" spans="1:40" x14ac:dyDescent="0.25">
      <c r="A3967" t="str">
        <f>"20190312164348218"</f>
        <v>20190312164348218</v>
      </c>
      <c r="B3967" t="str">
        <f>"1552380228209119"</f>
        <v>1552380228209119</v>
      </c>
      <c r="C3967" t="s">
        <v>40</v>
      </c>
      <c r="D3967">
        <v>4.7864639999999996</v>
      </c>
      <c r="E3967">
        <v>0.4533064</v>
      </c>
      <c r="F3967" t="s">
        <v>42</v>
      </c>
      <c r="G3967">
        <v>-420.7192</v>
      </c>
      <c r="H3967" s="1">
        <v>-1.902905E-6</v>
      </c>
      <c r="I3967">
        <v>73.578769999999906</v>
      </c>
      <c r="J3967">
        <v>-422.00229999999999</v>
      </c>
      <c r="K3967">
        <v>1.109299</v>
      </c>
      <c r="L3967">
        <v>88.057159999999996</v>
      </c>
      <c r="M3967">
        <v>-2.1136789999999999E-2</v>
      </c>
      <c r="N3967">
        <v>0</v>
      </c>
      <c r="O3967">
        <v>-0.99972780000000006</v>
      </c>
      <c r="P3967">
        <v>-4.6161580000000001E-2</v>
      </c>
      <c r="Q3967">
        <v>0.14229939999999999</v>
      </c>
      <c r="R3967">
        <v>-0.98874680000000004</v>
      </c>
      <c r="S3967">
        <v>0.2654724</v>
      </c>
      <c r="T3967">
        <v>-0.2308096</v>
      </c>
      <c r="U3967">
        <v>-3.080505</v>
      </c>
      <c r="V3967">
        <v>2.5427490000000001E-2</v>
      </c>
      <c r="W3967">
        <v>0.1520406</v>
      </c>
      <c r="X3967">
        <v>0.98804709999999996</v>
      </c>
      <c r="Y3967">
        <v>-0.1066627</v>
      </c>
      <c r="Z3967">
        <v>7.4341210000000005E-2</v>
      </c>
      <c r="AA3967">
        <v>0.99151219999999995</v>
      </c>
      <c r="AB3967">
        <v>32</v>
      </c>
      <c r="AC3967">
        <v>1.2830999999999899</v>
      </c>
      <c r="AD3967">
        <v>-1.1093009029050001</v>
      </c>
      <c r="AE3967">
        <v>-14.478389999999999</v>
      </c>
      <c r="AF3967">
        <v>-1.5796541987529999</v>
      </c>
      <c r="AG3967">
        <v>-1.1093009029050001</v>
      </c>
      <c r="AH3967">
        <v>14.3643675300202</v>
      </c>
      <c r="AI3967">
        <v>94.3895935709198</v>
      </c>
      <c r="AJ3967">
        <v>96.275618689298497</v>
      </c>
      <c r="AK3967">
        <v>14.4934782029133</v>
      </c>
      <c r="AL3967">
        <v>81.254799004779301</v>
      </c>
      <c r="AM3967">
        <v>88.525812829820296</v>
      </c>
      <c r="AN3967">
        <v>0.99999998655723499</v>
      </c>
    </row>
    <row r="3968" spans="1:40" x14ac:dyDescent="0.25">
      <c r="A3968" t="str">
        <f>"20190312164348239"</f>
        <v>20190312164348239</v>
      </c>
      <c r="B3968" t="str">
        <f>"1552380228228640"</f>
        <v>1552380228228640</v>
      </c>
      <c r="C3968" t="s">
        <v>40</v>
      </c>
      <c r="D3968">
        <v>4.8613019999999896</v>
      </c>
      <c r="E3968">
        <v>0.45331450000000001</v>
      </c>
      <c r="F3968" t="s">
        <v>42</v>
      </c>
      <c r="G3968">
        <v>-420.70420000000001</v>
      </c>
      <c r="H3968" s="1">
        <v>-1.745827E-6</v>
      </c>
      <c r="I3968">
        <v>73.221919999999997</v>
      </c>
      <c r="J3968">
        <v>-422.0093</v>
      </c>
      <c r="K3968">
        <v>1.109305</v>
      </c>
      <c r="L3968">
        <v>87.74915</v>
      </c>
      <c r="M3968">
        <v>-2.1630880000000002E-2</v>
      </c>
      <c r="N3968">
        <v>0</v>
      </c>
      <c r="O3968">
        <v>-0.99971730000000003</v>
      </c>
      <c r="P3968">
        <v>-4.497466E-2</v>
      </c>
      <c r="Q3968">
        <v>0.1419888</v>
      </c>
      <c r="R3968">
        <v>-0.98884620000000001</v>
      </c>
      <c r="S3968">
        <v>0.26950069999999998</v>
      </c>
      <c r="T3968">
        <v>-0.230296</v>
      </c>
      <c r="U3968">
        <v>-3.0798649999999999</v>
      </c>
      <c r="V3968">
        <v>2.374882E-2</v>
      </c>
      <c r="W3968">
        <v>0.1517404</v>
      </c>
      <c r="X3968">
        <v>0.98813499999999999</v>
      </c>
      <c r="Y3968">
        <v>-0.1084598</v>
      </c>
      <c r="Z3968">
        <v>7.4179419999999996E-2</v>
      </c>
      <c r="AA3968">
        <v>0.99132940000000003</v>
      </c>
      <c r="AB3968">
        <v>33</v>
      </c>
      <c r="AC3968">
        <v>1.3050999999999799</v>
      </c>
      <c r="AD3968">
        <v>-1.1093067458270001</v>
      </c>
      <c r="AE3968">
        <v>-14.527229999999999</v>
      </c>
      <c r="AF3968">
        <v>-1.60973558351974</v>
      </c>
      <c r="AG3968">
        <v>-1.1093067458270001</v>
      </c>
      <c r="AH3968">
        <v>14.412234941921101</v>
      </c>
      <c r="AI3968">
        <v>94.374272485689403</v>
      </c>
      <c r="AJ3968">
        <v>96.373082886204898</v>
      </c>
      <c r="AK3968">
        <v>14.544219680901399</v>
      </c>
      <c r="AL3968">
        <v>81.2722009355398</v>
      </c>
      <c r="AM3968">
        <v>88.623219247345403</v>
      </c>
      <c r="AN3968">
        <v>0.99999996683427494</v>
      </c>
    </row>
    <row r="3969" spans="1:40" x14ac:dyDescent="0.25">
      <c r="A3969" t="str">
        <f>"20190312164348262"</f>
        <v>20190312164348262</v>
      </c>
      <c r="B3969" t="str">
        <f>"1552380228258895"</f>
        <v>1552380228258895</v>
      </c>
      <c r="C3969" t="s">
        <v>40</v>
      </c>
      <c r="D3969">
        <v>4.8309430000000004</v>
      </c>
      <c r="E3969">
        <v>0.4533991</v>
      </c>
      <c r="F3969" t="s">
        <v>42</v>
      </c>
      <c r="G3969">
        <v>-420.74759999999998</v>
      </c>
      <c r="H3969" s="1">
        <v>-1.8774090000000001E-6</v>
      </c>
      <c r="I3969">
        <v>73.501719999999906</v>
      </c>
      <c r="J3969">
        <v>-422.01690000000002</v>
      </c>
      <c r="K3969">
        <v>1.109307</v>
      </c>
      <c r="L3969">
        <v>87.423369999999906</v>
      </c>
      <c r="M3969">
        <v>-2.2149220000000001E-2</v>
      </c>
      <c r="N3969">
        <v>0</v>
      </c>
      <c r="O3969">
        <v>-0.99970559999999997</v>
      </c>
      <c r="P3969">
        <v>-4.3487489999999997E-2</v>
      </c>
      <c r="Q3969">
        <v>0.14151040000000001</v>
      </c>
      <c r="R3969">
        <v>-0.98898109999999995</v>
      </c>
      <c r="S3969">
        <v>0.27282709999999999</v>
      </c>
      <c r="T3969">
        <v>-0.23986299999999999</v>
      </c>
      <c r="U3969">
        <v>-3.0806879999999999</v>
      </c>
      <c r="V3969">
        <v>2.1744289999999999E-2</v>
      </c>
      <c r="W3969">
        <v>0.15127560000000001</v>
      </c>
      <c r="X3969">
        <v>0.98825240000000003</v>
      </c>
      <c r="Y3969">
        <v>-0.10999390000000001</v>
      </c>
      <c r="Z3969">
        <v>7.7210929999999997E-2</v>
      </c>
      <c r="AA3969">
        <v>0.99092880000000005</v>
      </c>
      <c r="AB3969">
        <v>33</v>
      </c>
      <c r="AC3969">
        <v>1.2693000000000401</v>
      </c>
      <c r="AD3969">
        <v>-1.1093088774089901</v>
      </c>
      <c r="AE3969">
        <v>-13.92165</v>
      </c>
      <c r="AF3969">
        <v>-1.56748705512416</v>
      </c>
      <c r="AG3969">
        <v>-1.1093088774089901</v>
      </c>
      <c r="AH3969">
        <v>13.8032012902906</v>
      </c>
      <c r="AI3969">
        <v>94.5655422496245</v>
      </c>
      <c r="AJ3969">
        <v>96.478735747710999</v>
      </c>
      <c r="AK3969">
        <v>13.936138192259699</v>
      </c>
      <c r="AL3969">
        <v>81.299143006316797</v>
      </c>
      <c r="AM3969">
        <v>88.739537535992298</v>
      </c>
      <c r="AN3969">
        <v>0.99999996370436095</v>
      </c>
    </row>
    <row r="3970" spans="1:40" x14ac:dyDescent="0.25">
      <c r="A3970" t="str">
        <f>"20190312164348285"</f>
        <v>20190312164348285</v>
      </c>
      <c r="B3970" t="str">
        <f>"1552380228279391"</f>
        <v>1552380228279391</v>
      </c>
      <c r="C3970" t="s">
        <v>40</v>
      </c>
      <c r="D3970">
        <v>4.8537400000000002</v>
      </c>
      <c r="E3970">
        <v>0.45370369999999999</v>
      </c>
      <c r="F3970" t="s">
        <v>42</v>
      </c>
      <c r="G3970">
        <v>-420.78449999999998</v>
      </c>
      <c r="H3970" s="1">
        <v>-1.985835E-6</v>
      </c>
      <c r="I3970">
        <v>73.731539999999995</v>
      </c>
      <c r="J3970">
        <v>-422.0249</v>
      </c>
      <c r="K3970">
        <v>1.1093170000000001</v>
      </c>
      <c r="L3970">
        <v>87.086879999999994</v>
      </c>
      <c r="M3970">
        <v>-2.2673720000000001E-2</v>
      </c>
      <c r="N3970">
        <v>0</v>
      </c>
      <c r="O3970">
        <v>-0.99969390000000002</v>
      </c>
      <c r="P3970">
        <v>-4.2618459999999997E-2</v>
      </c>
      <c r="Q3970">
        <v>0.1414156</v>
      </c>
      <c r="R3970">
        <v>-0.98903269999999999</v>
      </c>
      <c r="S3970">
        <v>0.27734379999999997</v>
      </c>
      <c r="T3970">
        <v>-0.2496487</v>
      </c>
      <c r="U3970">
        <v>-3.0813290000000002</v>
      </c>
      <c r="V3970">
        <v>2.0352970000000001E-2</v>
      </c>
      <c r="W3970">
        <v>0.15119929999999901</v>
      </c>
      <c r="X3970">
        <v>0.9882938</v>
      </c>
      <c r="Y3970">
        <v>-0.1119161</v>
      </c>
      <c r="Z3970">
        <v>8.0309000000000005E-2</v>
      </c>
      <c r="AA3970">
        <v>0.99046719999999999</v>
      </c>
      <c r="AB3970">
        <v>33</v>
      </c>
      <c r="AC3970">
        <v>1.2404000000000199</v>
      </c>
      <c r="AD3970">
        <v>-1.1093189858349899</v>
      </c>
      <c r="AE3970">
        <v>-13.35534</v>
      </c>
      <c r="AF3970">
        <v>-1.5324289474364801</v>
      </c>
      <c r="AG3970">
        <v>-1.1093189858349899</v>
      </c>
      <c r="AH3970">
        <v>13.2332613992705</v>
      </c>
      <c r="AI3970">
        <v>94.760129714888507</v>
      </c>
      <c r="AJ3970">
        <v>96.6055044461732</v>
      </c>
      <c r="AK3970">
        <v>13.367802151165201</v>
      </c>
      <c r="AL3970">
        <v>81.303566331067103</v>
      </c>
      <c r="AM3970">
        <v>88.820214733196394</v>
      </c>
      <c r="AN3970">
        <v>1.0000000534133699</v>
      </c>
    </row>
    <row r="3971" spans="1:40" x14ac:dyDescent="0.25">
      <c r="A3971" t="str">
        <f>"20190312164348308"</f>
        <v>20190312164348308</v>
      </c>
      <c r="B3971" t="str">
        <f>"1552380228298911"</f>
        <v>1552380228298911</v>
      </c>
      <c r="C3971" t="s">
        <v>40</v>
      </c>
      <c r="D3971">
        <v>4.8616469999999996</v>
      </c>
      <c r="E3971">
        <v>0.45384819999999998</v>
      </c>
      <c r="F3971" t="s">
        <v>42</v>
      </c>
      <c r="G3971">
        <v>-420.81200000000001</v>
      </c>
      <c r="H3971" s="1">
        <v>-1.93489E-6</v>
      </c>
      <c r="I3971">
        <v>73.595780000000005</v>
      </c>
      <c r="J3971">
        <v>-422.03320000000002</v>
      </c>
      <c r="K3971">
        <v>1.1093189999999999</v>
      </c>
      <c r="L3971">
        <v>86.742739999999998</v>
      </c>
      <c r="M3971">
        <v>-2.3199170000000002E-2</v>
      </c>
      <c r="N3971">
        <v>0</v>
      </c>
      <c r="O3971">
        <v>-0.9996815</v>
      </c>
      <c r="P3971">
        <v>-4.1943370000000001E-2</v>
      </c>
      <c r="Q3971">
        <v>0.1418857</v>
      </c>
      <c r="R3971">
        <v>-0.98899409999999999</v>
      </c>
      <c r="S3971">
        <v>0.27703860000000002</v>
      </c>
      <c r="T3971">
        <v>-0.25337280000000001</v>
      </c>
      <c r="U3971">
        <v>-3.0814210000000002</v>
      </c>
      <c r="V3971">
        <v>1.9156659999999999E-2</v>
      </c>
      <c r="W3971">
        <v>0.15168899999999999</v>
      </c>
      <c r="X3971">
        <v>0.98824259999999997</v>
      </c>
      <c r="Y3971">
        <v>-0.11232979999999999</v>
      </c>
      <c r="Z3971">
        <v>8.1493620000000003E-2</v>
      </c>
      <c r="AA3971">
        <v>0.99032359999999997</v>
      </c>
      <c r="AB3971">
        <v>33</v>
      </c>
      <c r="AC3971">
        <v>1.22120000000006</v>
      </c>
      <c r="AD3971">
        <v>-1.1093209348899999</v>
      </c>
      <c r="AE3971">
        <v>-13.146959999999901</v>
      </c>
      <c r="AF3971">
        <v>-1.51518944802603</v>
      </c>
      <c r="AG3971">
        <v>-1.1093209348899999</v>
      </c>
      <c r="AH3971">
        <v>13.0231608396598</v>
      </c>
      <c r="AI3971">
        <v>94.836271011293505</v>
      </c>
      <c r="AJ3971">
        <v>96.636284257296893</v>
      </c>
      <c r="AK3971">
        <v>13.157853558071</v>
      </c>
      <c r="AL3971">
        <v>81.275180573994405</v>
      </c>
      <c r="AM3971">
        <v>88.889484909448001</v>
      </c>
      <c r="AN3971">
        <v>0.99999998339905705</v>
      </c>
    </row>
    <row r="3972" spans="1:40" x14ac:dyDescent="0.25">
      <c r="A3972" t="str">
        <f>"20190312164348330"</f>
        <v>20190312164348330</v>
      </c>
      <c r="B3972" t="str">
        <f>"1552380228319408"</f>
        <v>1552380228319408</v>
      </c>
      <c r="C3972" t="s">
        <v>40</v>
      </c>
      <c r="D3972">
        <v>4.671195</v>
      </c>
      <c r="E3972">
        <v>0.45392090000000002</v>
      </c>
      <c r="F3972" t="s">
        <v>42</v>
      </c>
      <c r="G3972">
        <v>-420.8073</v>
      </c>
      <c r="H3972" s="1">
        <v>-1.747253E-6</v>
      </c>
      <c r="I3972">
        <v>73.161289999999994</v>
      </c>
      <c r="J3972">
        <v>-422.041</v>
      </c>
      <c r="K3972">
        <v>1.109327</v>
      </c>
      <c r="L3972">
        <v>86.426509999999993</v>
      </c>
      <c r="M3972">
        <v>-2.366658E-2</v>
      </c>
      <c r="N3972">
        <v>0</v>
      </c>
      <c r="O3972">
        <v>-0.99967050000000002</v>
      </c>
      <c r="P3972">
        <v>-4.113211E-2</v>
      </c>
      <c r="Q3972">
        <v>0.14186470000000001</v>
      </c>
      <c r="R3972">
        <v>-0.98903160000000001</v>
      </c>
      <c r="S3972">
        <v>0.27813719999999997</v>
      </c>
      <c r="T3972">
        <v>-0.25167790000000001</v>
      </c>
      <c r="U3972">
        <v>-3.081299</v>
      </c>
      <c r="V3972">
        <v>1.7878560000000002E-2</v>
      </c>
      <c r="W3972">
        <v>0.15168809999999999</v>
      </c>
      <c r="X3972">
        <v>0.98826670000000005</v>
      </c>
      <c r="Y3972">
        <v>-0.11315210000000001</v>
      </c>
      <c r="Z3972">
        <v>8.0948839999999994E-2</v>
      </c>
      <c r="AA3972">
        <v>0.99027469999999995</v>
      </c>
      <c r="AB3972">
        <v>33</v>
      </c>
      <c r="AC3972">
        <v>1.23369999999999</v>
      </c>
      <c r="AD3972">
        <v>-1.109328747253</v>
      </c>
      <c r="AE3972">
        <v>-13.2652199999999</v>
      </c>
      <c r="AF3972">
        <v>-1.53665792424116</v>
      </c>
      <c r="AG3972">
        <v>-1.109328747253</v>
      </c>
      <c r="AH3972">
        <v>13.141191036581301</v>
      </c>
      <c r="AI3972">
        <v>94.792746790246596</v>
      </c>
      <c r="AJ3972">
        <v>96.669561310447705</v>
      </c>
      <c r="AK3972">
        <v>13.277154428021801</v>
      </c>
      <c r="AL3972">
        <v>81.275232858723797</v>
      </c>
      <c r="AM3972">
        <v>88.963585130506999</v>
      </c>
      <c r="AN3972">
        <v>0.99999999645908599</v>
      </c>
    </row>
    <row r="3973" spans="1:40" x14ac:dyDescent="0.25">
      <c r="A3973" t="str">
        <f>"20190312164348351"</f>
        <v>20190312164348351</v>
      </c>
      <c r="B3973" t="str">
        <f>"1552380228348687"</f>
        <v>1552380228348687</v>
      </c>
      <c r="C3973" t="s">
        <v>40</v>
      </c>
      <c r="D3973">
        <v>4.8163159999999996</v>
      </c>
      <c r="E3973">
        <v>0.45407259999999999</v>
      </c>
      <c r="F3973" t="s">
        <v>42</v>
      </c>
      <c r="G3973">
        <v>-420.80950000000001</v>
      </c>
      <c r="H3973" s="1">
        <v>-1.616763E-6</v>
      </c>
      <c r="I3973">
        <v>72.855739999999997</v>
      </c>
      <c r="J3973">
        <v>-422.04910000000001</v>
      </c>
      <c r="K3973">
        <v>1.109345</v>
      </c>
      <c r="L3973">
        <v>86.105869999999996</v>
      </c>
      <c r="M3973">
        <v>-2.411597E-2</v>
      </c>
      <c r="N3973">
        <v>0</v>
      </c>
      <c r="O3973">
        <v>-0.99965950000000003</v>
      </c>
      <c r="P3973">
        <v>-4.0738120000000003E-2</v>
      </c>
      <c r="Q3973">
        <v>0.14181079999999999</v>
      </c>
      <c r="R3973">
        <v>-0.98905560000000003</v>
      </c>
      <c r="S3973">
        <v>0.27960210000000002</v>
      </c>
      <c r="T3973">
        <v>-0.2518553</v>
      </c>
      <c r="U3973">
        <v>-3.0810240000000002</v>
      </c>
      <c r="V3973">
        <v>1.7033679999999999E-2</v>
      </c>
      <c r="W3973">
        <v>0.15165789999999901</v>
      </c>
      <c r="X3973">
        <v>0.98828629999999995</v>
      </c>
      <c r="Y3973">
        <v>-0.1140731</v>
      </c>
      <c r="Z3973">
        <v>8.1005350000000004E-2</v>
      </c>
      <c r="AA3973">
        <v>0.9901643</v>
      </c>
      <c r="AB3973">
        <v>33</v>
      </c>
      <c r="AC3973">
        <v>1.23959999999999</v>
      </c>
      <c r="AD3973">
        <v>-1.1093466167629999</v>
      </c>
      <c r="AE3973">
        <v>-13.25013</v>
      </c>
      <c r="AF3973">
        <v>-1.5480380489043299</v>
      </c>
      <c r="AG3973">
        <v>-1.1093466167629999</v>
      </c>
      <c r="AH3973">
        <v>13.125176208863</v>
      </c>
      <c r="AI3973">
        <v>94.798085723371202</v>
      </c>
      <c r="AJ3973">
        <v>96.726627196025007</v>
      </c>
      <c r="AK3973">
        <v>13.2626287828123</v>
      </c>
      <c r="AL3973">
        <v>81.276983807943495</v>
      </c>
      <c r="AM3973">
        <v>89.012572217354403</v>
      </c>
      <c r="AN3973">
        <v>1.00000003782722</v>
      </c>
    </row>
    <row r="3974" spans="1:40" x14ac:dyDescent="0.25">
      <c r="A3974" t="str">
        <f>"20190312164348375"</f>
        <v>20190312164348375</v>
      </c>
      <c r="B3974" t="str">
        <f>"1552380228369184"</f>
        <v>1552380228369184</v>
      </c>
      <c r="C3974" t="s">
        <v>40</v>
      </c>
      <c r="D3974">
        <v>4.8128479999999998</v>
      </c>
      <c r="E3974">
        <v>0.45416050000000002</v>
      </c>
      <c r="F3974" t="s">
        <v>42</v>
      </c>
      <c r="G3974">
        <v>-420.81990000000002</v>
      </c>
      <c r="H3974" s="1">
        <v>-1.5040130000000001E-6</v>
      </c>
      <c r="I3974">
        <v>72.586460000000002</v>
      </c>
      <c r="J3974">
        <v>-422.05759999999998</v>
      </c>
      <c r="K3974">
        <v>1.109369</v>
      </c>
      <c r="L3974">
        <v>85.77252</v>
      </c>
      <c r="M3974">
        <v>-2.45463E-2</v>
      </c>
      <c r="N3974">
        <v>0</v>
      </c>
      <c r="O3974">
        <v>-0.99964869999999995</v>
      </c>
      <c r="P3974">
        <v>-4.058987E-2</v>
      </c>
      <c r="Q3974">
        <v>0.14147779999999999</v>
      </c>
      <c r="R3974">
        <v>-0.98910909999999996</v>
      </c>
      <c r="S3974">
        <v>0.2801208</v>
      </c>
      <c r="T3974">
        <v>-0.25281350000000002</v>
      </c>
      <c r="U3974">
        <v>-3.080994</v>
      </c>
      <c r="V3974">
        <v>1.6448790000000001E-2</v>
      </c>
      <c r="W3974">
        <v>0.15135009999999999</v>
      </c>
      <c r="X3974">
        <v>0.98834339999999998</v>
      </c>
      <c r="Y3974">
        <v>-0.1146648</v>
      </c>
      <c r="Z3974">
        <v>8.1307599999999994E-2</v>
      </c>
      <c r="AA3974">
        <v>0.99007120000000004</v>
      </c>
      <c r="AB3974">
        <v>33</v>
      </c>
      <c r="AC3974">
        <v>1.2376999999999601</v>
      </c>
      <c r="AD3974">
        <v>-1.109370504013</v>
      </c>
      <c r="AE3974">
        <v>-13.1860599999999</v>
      </c>
      <c r="AF3974">
        <v>-1.5501358454921701</v>
      </c>
      <c r="AG3974">
        <v>-1.109370504013</v>
      </c>
      <c r="AH3974">
        <v>13.060069588907099</v>
      </c>
      <c r="AI3974">
        <v>94.821576617995206</v>
      </c>
      <c r="AJ3974">
        <v>96.768926545051599</v>
      </c>
      <c r="AK3974">
        <v>13.1984484588814</v>
      </c>
      <c r="AL3974">
        <v>81.294825470872297</v>
      </c>
      <c r="AM3974">
        <v>89.046526494860402</v>
      </c>
      <c r="AN3974">
        <v>1.0000000458930101</v>
      </c>
    </row>
    <row r="3975" spans="1:40" x14ac:dyDescent="0.25">
      <c r="A3975" t="str">
        <f>"20190312164348408"</f>
        <v>20190312164348408</v>
      </c>
      <c r="B3975" t="str">
        <f>"1552380228398463"</f>
        <v>1552380228398463</v>
      </c>
      <c r="C3975" t="s">
        <v>40</v>
      </c>
      <c r="D3975">
        <v>4.6463140000000003</v>
      </c>
      <c r="E3975">
        <v>0.45428499999999999</v>
      </c>
      <c r="F3975" t="s">
        <v>42</v>
      </c>
      <c r="G3975">
        <v>-420.83139999999997</v>
      </c>
      <c r="H3975" s="1">
        <v>-1.3912769999999999E-6</v>
      </c>
      <c r="I3975">
        <v>72.316569999999999</v>
      </c>
      <c r="J3975">
        <v>-422.07010000000002</v>
      </c>
      <c r="K3975">
        <v>1.1094329999999999</v>
      </c>
      <c r="L3975">
        <v>85.285060000000001</v>
      </c>
      <c r="M3975">
        <v>-2.5080930000000001E-2</v>
      </c>
      <c r="N3975">
        <v>0</v>
      </c>
      <c r="O3975">
        <v>-0.9996353</v>
      </c>
      <c r="P3975">
        <v>-4.0254480000000002E-2</v>
      </c>
      <c r="Q3975">
        <v>0.1420131</v>
      </c>
      <c r="R3975">
        <v>-0.98904630000000004</v>
      </c>
      <c r="S3975">
        <v>0.2807617</v>
      </c>
      <c r="T3975">
        <v>-0.25400109999999998</v>
      </c>
      <c r="U3975">
        <v>-3.0808719999999998</v>
      </c>
      <c r="V3975">
        <v>1.5566119999999999E-2</v>
      </c>
      <c r="W3975">
        <v>0.15192610000000001</v>
      </c>
      <c r="X3975">
        <v>0.98826930000000002</v>
      </c>
      <c r="Y3975">
        <v>-0.115401</v>
      </c>
      <c r="Z3975">
        <v>8.1684320000000005E-2</v>
      </c>
      <c r="AA3975">
        <v>0.98995469999999997</v>
      </c>
      <c r="AB3975">
        <v>33</v>
      </c>
      <c r="AC3975">
        <v>1.2387000000000501</v>
      </c>
      <c r="AD3975">
        <v>-1.1094343912769999</v>
      </c>
      <c r="AE3975">
        <v>-12.968489999999999</v>
      </c>
      <c r="AF3975">
        <v>-1.55233030506238</v>
      </c>
      <c r="AG3975">
        <v>-1.1094343912769999</v>
      </c>
      <c r="AH3975">
        <v>12.8402186455861</v>
      </c>
      <c r="AI3975">
        <v>94.902744147966899</v>
      </c>
      <c r="AJ3975">
        <v>96.893372916397894</v>
      </c>
      <c r="AK3975">
        <v>12.981209069690699</v>
      </c>
      <c r="AL3975">
        <v>81.261436831793105</v>
      </c>
      <c r="AM3975">
        <v>89.097615158844803</v>
      </c>
      <c r="AN3975">
        <v>1.00000002663777</v>
      </c>
    </row>
    <row r="3976" spans="1:40" x14ac:dyDescent="0.25">
      <c r="A3976" t="str">
        <f>"20190312164348429"</f>
        <v>20190312164348429</v>
      </c>
      <c r="B3976" t="str">
        <f>"1552380228418959"</f>
        <v>1552380228418959</v>
      </c>
      <c r="C3976" t="s">
        <v>40</v>
      </c>
      <c r="D3976">
        <v>4.6686129999999997</v>
      </c>
      <c r="E3976">
        <v>0.45301590000000003</v>
      </c>
      <c r="F3976" t="s">
        <v>42</v>
      </c>
      <c r="G3976">
        <v>-420.83510000000001</v>
      </c>
      <c r="H3976" s="1">
        <v>-1.1478729999999999E-6</v>
      </c>
      <c r="I3976">
        <v>71.746889999999993</v>
      </c>
      <c r="J3976">
        <v>-422.07839999999999</v>
      </c>
      <c r="K3976">
        <v>1.1094850000000001</v>
      </c>
      <c r="L3976">
        <v>84.967219999999998</v>
      </c>
      <c r="M3976">
        <v>-2.5360170000000001E-2</v>
      </c>
      <c r="N3976">
        <v>0</v>
      </c>
      <c r="O3976">
        <v>-0.99962799999999996</v>
      </c>
      <c r="P3976">
        <v>-3.9895050000000001E-2</v>
      </c>
      <c r="Q3976">
        <v>0.14214679999999999</v>
      </c>
      <c r="R3976">
        <v>-0.98904159999999997</v>
      </c>
      <c r="S3976">
        <v>0.28106690000000001</v>
      </c>
      <c r="T3976">
        <v>-0.25247809999999998</v>
      </c>
      <c r="U3976">
        <v>-3.0809329999999999</v>
      </c>
      <c r="V3976">
        <v>1.491426E-2</v>
      </c>
      <c r="W3976">
        <v>0.15208769999999999</v>
      </c>
      <c r="X3976">
        <v>0.98825450000000004</v>
      </c>
      <c r="Y3976">
        <v>-0.11577759999999999</v>
      </c>
      <c r="Z3976">
        <v>8.1193199999999993E-2</v>
      </c>
      <c r="AA3976">
        <v>0.98995109999999997</v>
      </c>
      <c r="AB3976">
        <v>33</v>
      </c>
      <c r="AC3976">
        <v>1.2432999999999701</v>
      </c>
      <c r="AD3976">
        <v>-1.109486147873</v>
      </c>
      <c r="AE3976">
        <v>-13.220329999999899</v>
      </c>
      <c r="AF3976">
        <v>-1.5672454132215099</v>
      </c>
      <c r="AG3976">
        <v>-1.109486147873</v>
      </c>
      <c r="AH3976">
        <v>13.0931388941744</v>
      </c>
      <c r="AI3976">
        <v>94.809388432351099</v>
      </c>
      <c r="AJ3976">
        <v>96.825813791598307</v>
      </c>
      <c r="AK3976">
        <v>13.2331970362316</v>
      </c>
      <c r="AL3976">
        <v>81.252069005706403</v>
      </c>
      <c r="AM3976">
        <v>89.135385381307202</v>
      </c>
      <c r="AN3976">
        <v>1.00000003020644</v>
      </c>
    </row>
    <row r="3977" spans="1:40" x14ac:dyDescent="0.25">
      <c r="A3977" t="str">
        <f>"20190312164348452"</f>
        <v>20190312164348452</v>
      </c>
      <c r="B3977" t="str">
        <f>"1552380228449215"</f>
        <v>1552380228449215</v>
      </c>
      <c r="C3977" t="s">
        <v>40</v>
      </c>
      <c r="D3977">
        <v>4.5886139999999997</v>
      </c>
      <c r="E3977">
        <v>0.45303860000000001</v>
      </c>
      <c r="F3977" t="s">
        <v>42</v>
      </c>
      <c r="G3977">
        <v>-421.09</v>
      </c>
      <c r="H3977" s="1">
        <v>-2.4812719999999999E-6</v>
      </c>
      <c r="I3977">
        <v>74.696960000000004</v>
      </c>
      <c r="J3977">
        <v>-422.08699999999999</v>
      </c>
      <c r="K3977">
        <v>1.109532</v>
      </c>
      <c r="L3977">
        <v>84.640810000000002</v>
      </c>
      <c r="M3977">
        <v>-2.5590419999999999E-2</v>
      </c>
      <c r="N3977">
        <v>0</v>
      </c>
      <c r="O3977">
        <v>-0.99962150000000005</v>
      </c>
      <c r="P3977">
        <v>-3.9477209999999999E-2</v>
      </c>
      <c r="Q3977">
        <v>0.1423644</v>
      </c>
      <c r="R3977">
        <v>-0.98902670000000004</v>
      </c>
      <c r="S3977">
        <v>0.29769899999999999</v>
      </c>
      <c r="T3977">
        <v>-0.33416220000000002</v>
      </c>
      <c r="U3977">
        <v>-3.0932620000000002</v>
      </c>
      <c r="V3977">
        <v>1.4252000000000001E-2</v>
      </c>
      <c r="W3977">
        <v>0.1523342</v>
      </c>
      <c r="X3977">
        <v>0.9882263</v>
      </c>
      <c r="Y3977">
        <v>-0.12069340000000001</v>
      </c>
      <c r="Z3977">
        <v>0.1067149</v>
      </c>
      <c r="AA3977">
        <v>0.98693719999999996</v>
      </c>
      <c r="AB3977">
        <v>33</v>
      </c>
      <c r="AC3977">
        <v>0.99700000000001399</v>
      </c>
      <c r="AD3977">
        <v>-1.1095344812720001</v>
      </c>
      <c r="AE3977">
        <v>-9.9438499999999905</v>
      </c>
      <c r="AF3977">
        <v>-1.23591957036989</v>
      </c>
      <c r="AG3977">
        <v>-1.1095344812720001</v>
      </c>
      <c r="AH3977">
        <v>9.7943512979219491</v>
      </c>
      <c r="AI3977">
        <v>96.412665770701096</v>
      </c>
      <c r="AJ3977">
        <v>97.191968954270905</v>
      </c>
      <c r="AK3977">
        <v>9.9341774343254095</v>
      </c>
      <c r="AL3977">
        <v>81.237779035994905</v>
      </c>
      <c r="AM3977">
        <v>89.173749126383299</v>
      </c>
      <c r="AN3977">
        <v>1.0000000240026601</v>
      </c>
    </row>
    <row r="3978" spans="1:40" x14ac:dyDescent="0.25">
      <c r="A3978" t="str">
        <f>"20190312164348474"</f>
        <v>20190312164348474</v>
      </c>
      <c r="B3978" t="str">
        <f>"1552380228468735"</f>
        <v>1552380228468735</v>
      </c>
      <c r="C3978" t="s">
        <v>40</v>
      </c>
      <c r="D3978">
        <v>4.6809690000000002</v>
      </c>
      <c r="E3978">
        <v>0.45229510000000001</v>
      </c>
      <c r="F3978" t="s">
        <v>42</v>
      </c>
      <c r="G3978">
        <v>-421.04969999999997</v>
      </c>
      <c r="H3978" s="1">
        <v>-2.1148940000000001E-6</v>
      </c>
      <c r="I3978">
        <v>73.867900000000006</v>
      </c>
      <c r="J3978">
        <v>-422.09589999999997</v>
      </c>
      <c r="K3978">
        <v>1.109588</v>
      </c>
      <c r="L3978">
        <v>84.299440000000004</v>
      </c>
      <c r="M3978">
        <v>-2.5761429999999998E-2</v>
      </c>
      <c r="N3978">
        <v>0</v>
      </c>
      <c r="O3978">
        <v>-0.99961719999999998</v>
      </c>
      <c r="P3978">
        <v>-3.9029630000000003E-2</v>
      </c>
      <c r="Q3978">
        <v>0.14250299999999999</v>
      </c>
      <c r="R3978">
        <v>-0.98902489999999998</v>
      </c>
      <c r="S3978">
        <v>0.29760740000000002</v>
      </c>
      <c r="T3978">
        <v>-0.31835160000000001</v>
      </c>
      <c r="U3978">
        <v>-3.0910030000000002</v>
      </c>
      <c r="V3978">
        <v>1.3616400000000001E-2</v>
      </c>
      <c r="W3978">
        <v>0.15250569999999999</v>
      </c>
      <c r="X3978">
        <v>0.9882088</v>
      </c>
      <c r="Y3978">
        <v>-0.1209525</v>
      </c>
      <c r="Z3978">
        <v>0.1017908</v>
      </c>
      <c r="AA3978">
        <v>0.98742549999999996</v>
      </c>
      <c r="AB3978">
        <v>33</v>
      </c>
      <c r="AC3978">
        <v>1.04619999999999</v>
      </c>
      <c r="AD3978">
        <v>-1.1095901148939999</v>
      </c>
      <c r="AE3978">
        <v>-10.431539999999901</v>
      </c>
      <c r="AF3978">
        <v>-1.3000352853514601</v>
      </c>
      <c r="AG3978">
        <v>-1.1095901148939999</v>
      </c>
      <c r="AH3978">
        <v>10.285905583939501</v>
      </c>
      <c r="AI3978">
        <v>96.108735569133103</v>
      </c>
      <c r="AJ3978">
        <v>97.203417010261902</v>
      </c>
      <c r="AK3978">
        <v>10.426942775710801</v>
      </c>
      <c r="AL3978">
        <v>81.227836549676496</v>
      </c>
      <c r="AM3978">
        <v>89.210578893211306</v>
      </c>
      <c r="AN3978">
        <v>1.00000001363944</v>
      </c>
    </row>
    <row r="3979" spans="1:40" x14ac:dyDescent="0.25">
      <c r="A3979" t="str">
        <f>"20190312164348499"</f>
        <v>20190312164348499</v>
      </c>
      <c r="B3979" t="str">
        <f>"1552380228489232"</f>
        <v>1552380228489232</v>
      </c>
      <c r="C3979" t="s">
        <v>40</v>
      </c>
      <c r="D3979">
        <v>4.8387729999999998</v>
      </c>
      <c r="E3979">
        <v>0.46540740000000003</v>
      </c>
      <c r="F3979" t="s">
        <v>42</v>
      </c>
      <c r="G3979">
        <v>-421.05720000000002</v>
      </c>
      <c r="H3979" s="1">
        <v>-2.0719910000000002E-6</v>
      </c>
      <c r="I3979">
        <v>73.763260000000002</v>
      </c>
      <c r="J3979">
        <v>-422.10550000000001</v>
      </c>
      <c r="K3979">
        <v>1.1096520000000001</v>
      </c>
      <c r="L3979">
        <v>83.932859999999906</v>
      </c>
      <c r="M3979">
        <v>-2.5872139999999998E-2</v>
      </c>
      <c r="N3979">
        <v>0</v>
      </c>
      <c r="O3979">
        <v>-0.9996138</v>
      </c>
      <c r="P3979">
        <v>-3.8930319999999997E-2</v>
      </c>
      <c r="Q3979">
        <v>0.14287729999999901</v>
      </c>
      <c r="R3979">
        <v>-0.98897480000000004</v>
      </c>
      <c r="S3979">
        <v>0.3048401</v>
      </c>
      <c r="T3979">
        <v>-0.32564959999999998</v>
      </c>
      <c r="U3979">
        <v>-3.0922239999999999</v>
      </c>
      <c r="V3979">
        <v>1.338863E-2</v>
      </c>
      <c r="W3979">
        <v>0.1529181</v>
      </c>
      <c r="X3979">
        <v>0.98814820000000003</v>
      </c>
      <c r="Y3979">
        <v>-0.12329</v>
      </c>
      <c r="Z3979">
        <v>0.1040315</v>
      </c>
      <c r="AA3979">
        <v>0.98690279999999997</v>
      </c>
      <c r="AB3979">
        <v>33</v>
      </c>
      <c r="AC3979">
        <v>1.04829999999998</v>
      </c>
      <c r="AD3979">
        <v>-1.109654071991</v>
      </c>
      <c r="AE3979">
        <v>-10.1695999999999</v>
      </c>
      <c r="AF3979">
        <v>-1.2958061925364499</v>
      </c>
      <c r="AG3979">
        <v>-1.109654071991</v>
      </c>
      <c r="AH3979">
        <v>10.0210161087748</v>
      </c>
      <c r="AI3979">
        <v>96.267016173110093</v>
      </c>
      <c r="AJ3979">
        <v>97.367967528378799</v>
      </c>
      <c r="AK3979">
        <v>10.165195999115101</v>
      </c>
      <c r="AL3979">
        <v>81.203927504311196</v>
      </c>
      <c r="AM3979">
        <v>89.223734804966</v>
      </c>
      <c r="AN3979">
        <v>1.00000003294206</v>
      </c>
    </row>
    <row r="3980" spans="1:40" x14ac:dyDescent="0.25">
      <c r="A3980" t="str">
        <f>"20190312164348523"</f>
        <v>20190312164348523</v>
      </c>
      <c r="B3980" t="str">
        <f>"1552380228518512"</f>
        <v>1552380228518512</v>
      </c>
      <c r="C3980" t="s">
        <v>40</v>
      </c>
      <c r="D3980">
        <v>4.7226339999999896</v>
      </c>
      <c r="E3980">
        <v>0.46665099999999998</v>
      </c>
      <c r="F3980" t="s">
        <v>42</v>
      </c>
      <c r="G3980">
        <v>-421.22239999999999</v>
      </c>
      <c r="H3980" s="1">
        <v>-5.8470850000000001E-7</v>
      </c>
      <c r="I3980">
        <v>70.193889999999996</v>
      </c>
      <c r="J3980">
        <v>-422.11439999999999</v>
      </c>
      <c r="K3980">
        <v>1.109702</v>
      </c>
      <c r="L3980">
        <v>83.592559999999906</v>
      </c>
      <c r="M3980">
        <v>-2.5921980000000001E-2</v>
      </c>
      <c r="N3980">
        <v>0</v>
      </c>
      <c r="O3980">
        <v>-0.9996121</v>
      </c>
      <c r="P3980">
        <v>-3.8797739999999997E-2</v>
      </c>
      <c r="Q3980">
        <v>0.14280880000000001</v>
      </c>
      <c r="R3980">
        <v>-0.98899000000000004</v>
      </c>
      <c r="S3980">
        <v>0.1977844</v>
      </c>
      <c r="T3980">
        <v>-0.24853130000000001</v>
      </c>
      <c r="U3980">
        <v>-3.0771480000000002</v>
      </c>
      <c r="V3980">
        <v>1.3189950000000001E-2</v>
      </c>
      <c r="W3980">
        <v>0.15288560000000001</v>
      </c>
      <c r="X3980">
        <v>0.98815589999999998</v>
      </c>
      <c r="Y3980">
        <v>-8.9784299999999997E-2</v>
      </c>
      <c r="Z3980">
        <v>8.0219159999999998E-2</v>
      </c>
      <c r="AA3980">
        <v>0.99272539999999998</v>
      </c>
      <c r="AB3980">
        <v>33</v>
      </c>
      <c r="AC3980">
        <v>0.89199999999999502</v>
      </c>
      <c r="AD3980">
        <v>-1.1097025847085</v>
      </c>
      <c r="AE3980">
        <v>-13.3986699999999</v>
      </c>
      <c r="AF3980">
        <v>-1.2306340603155399</v>
      </c>
      <c r="AG3980">
        <v>-1.1097025847085</v>
      </c>
      <c r="AH3980">
        <v>13.2803495193552</v>
      </c>
      <c r="AI3980">
        <v>94.756241202672996</v>
      </c>
      <c r="AJ3980">
        <v>95.294239346762296</v>
      </c>
      <c r="AK3980">
        <v>13.383332297046</v>
      </c>
      <c r="AL3980">
        <v>81.205811765905906</v>
      </c>
      <c r="AM3980">
        <v>89.235258739039494</v>
      </c>
      <c r="AN3980">
        <v>1.0000000320865801</v>
      </c>
    </row>
    <row r="3981" spans="1:40" x14ac:dyDescent="0.25">
      <c r="A3981" t="str">
        <f>"20190312164348539"</f>
        <v>20190312164348539</v>
      </c>
      <c r="B3981" t="str">
        <f>"1552380228529247"</f>
        <v>1552380228529247</v>
      </c>
      <c r="C3981" t="s">
        <v>40</v>
      </c>
      <c r="D3981">
        <v>4.9210859999999998</v>
      </c>
      <c r="E3981">
        <v>0.466943</v>
      </c>
      <c r="F3981" t="s">
        <v>42</v>
      </c>
      <c r="G3981">
        <v>-421.24619999999999</v>
      </c>
      <c r="H3981" s="1">
        <v>-4.466994E-6</v>
      </c>
      <c r="I3981">
        <v>69.463669999999993</v>
      </c>
      <c r="J3981">
        <v>-422.12119999999999</v>
      </c>
      <c r="K3981">
        <v>1.109729</v>
      </c>
      <c r="L3981">
        <v>83.331299999999999</v>
      </c>
      <c r="M3981">
        <v>-2.5933080000000001E-2</v>
      </c>
      <c r="N3981">
        <v>0</v>
      </c>
      <c r="O3981">
        <v>-0.99961160000000004</v>
      </c>
      <c r="P3981">
        <v>-3.8417769999999997E-2</v>
      </c>
      <c r="Q3981">
        <v>0.14281179999999999</v>
      </c>
      <c r="R3981">
        <v>-0.98900440000000001</v>
      </c>
      <c r="S3981">
        <v>0.18899540000000001</v>
      </c>
      <c r="T3981">
        <v>-0.2415717</v>
      </c>
      <c r="U3981">
        <v>-3.0757140000000001</v>
      </c>
      <c r="V3981">
        <v>1.2788239999999999E-2</v>
      </c>
      <c r="W3981">
        <v>0.15291479999999999</v>
      </c>
      <c r="X3981">
        <v>0.98815660000000005</v>
      </c>
      <c r="Y3981">
        <v>-8.7009699999999995E-2</v>
      </c>
      <c r="Z3981">
        <v>7.8039330000000004E-2</v>
      </c>
      <c r="AA3981">
        <v>0.99314610000000003</v>
      </c>
      <c r="AB3981">
        <v>33</v>
      </c>
      <c r="AC3981">
        <v>0.875</v>
      </c>
      <c r="AD3981">
        <v>-1.109733466994</v>
      </c>
      <c r="AE3981">
        <v>-13.86763</v>
      </c>
      <c r="AF3981">
        <v>-1.2265315444624301</v>
      </c>
      <c r="AG3981">
        <v>-1.109733466994</v>
      </c>
      <c r="AH3981">
        <v>13.752554546285401</v>
      </c>
      <c r="AI3981">
        <v>94.595206111207204</v>
      </c>
      <c r="AJ3981">
        <v>95.0964815338656</v>
      </c>
      <c r="AK3981">
        <v>13.8516657679098</v>
      </c>
      <c r="AL3981">
        <v>81.204118278127496</v>
      </c>
      <c r="AM3981">
        <v>89.2585474023372</v>
      </c>
      <c r="AN3981">
        <v>0.99999997063244805</v>
      </c>
    </row>
    <row r="3982" spans="1:40" x14ac:dyDescent="0.25">
      <c r="A3982" t="str">
        <f>"20190312164348567"</f>
        <v>20190312164348567</v>
      </c>
      <c r="B3982" t="str">
        <f>"1552380228558527"</f>
        <v>1552380228558527</v>
      </c>
      <c r="C3982" t="s">
        <v>40</v>
      </c>
      <c r="D3982">
        <v>4.5565089999999904</v>
      </c>
      <c r="E3982">
        <v>0.46757349999999998</v>
      </c>
      <c r="F3982" t="s">
        <v>42</v>
      </c>
      <c r="G3982">
        <v>-421.25009999999997</v>
      </c>
      <c r="H3982" s="1">
        <v>-4.2993069999999996E-6</v>
      </c>
      <c r="I3982">
        <v>68.968890000000002</v>
      </c>
      <c r="J3982">
        <v>-422.13139999999999</v>
      </c>
      <c r="K3982">
        <v>1.1097600000000001</v>
      </c>
      <c r="L3982">
        <v>82.936679999999996</v>
      </c>
      <c r="M3982">
        <v>-2.5915150000000001E-2</v>
      </c>
      <c r="N3982">
        <v>0</v>
      </c>
      <c r="O3982">
        <v>-0.99961160000000004</v>
      </c>
      <c r="P3982">
        <v>-3.7848649999999998E-2</v>
      </c>
      <c r="Q3982">
        <v>0.1418005</v>
      </c>
      <c r="R3982">
        <v>-0.98917160000000004</v>
      </c>
      <c r="S3982">
        <v>0.18649289999999999</v>
      </c>
      <c r="T3982">
        <v>-0.23758599999999999</v>
      </c>
      <c r="U3982">
        <v>-3.0748899999999999</v>
      </c>
      <c r="V3982">
        <v>1.2220200000000001E-2</v>
      </c>
      <c r="W3982">
        <v>0.15194260000000001</v>
      </c>
      <c r="X3982">
        <v>0.98831380000000002</v>
      </c>
      <c r="Y3982">
        <v>-8.6208750000000001E-2</v>
      </c>
      <c r="Z3982">
        <v>7.6784489999999997E-2</v>
      </c>
      <c r="AA3982">
        <v>0.99331369999999997</v>
      </c>
      <c r="AB3982">
        <v>33</v>
      </c>
      <c r="AC3982">
        <v>0.88130000000000996</v>
      </c>
      <c r="AD3982">
        <v>-1.109764299307</v>
      </c>
      <c r="AE3982">
        <v>-13.967790000000001</v>
      </c>
      <c r="AF3982">
        <v>-1.2352337897963599</v>
      </c>
      <c r="AG3982">
        <v>-1.109764299307</v>
      </c>
      <c r="AH3982">
        <v>13.8531559069627</v>
      </c>
      <c r="AI3982">
        <v>94.562111223829504</v>
      </c>
      <c r="AJ3982">
        <v>95.095373805664195</v>
      </c>
      <c r="AK3982">
        <v>13.9523226703687</v>
      </c>
      <c r="AL3982">
        <v>81.260480351538703</v>
      </c>
      <c r="AM3982">
        <v>89.291591186633894</v>
      </c>
      <c r="AN3982">
        <v>1.0000000271266101</v>
      </c>
    </row>
    <row r="3983" spans="1:40" x14ac:dyDescent="0.25">
      <c r="A3983" t="str">
        <f>"20190312164348585"</f>
        <v>20190312164348585</v>
      </c>
      <c r="B3983" t="str">
        <f>"1552380228579023"</f>
        <v>1552380228579023</v>
      </c>
      <c r="C3983" t="s">
        <v>40</v>
      </c>
      <c r="D3983">
        <v>4.6125350000000003</v>
      </c>
      <c r="E3983">
        <v>0.46778370000000002</v>
      </c>
      <c r="F3983" t="s">
        <v>42</v>
      </c>
      <c r="G3983">
        <v>-421.25880000000001</v>
      </c>
      <c r="H3983" s="1">
        <v>-4.0677619999999996E-6</v>
      </c>
      <c r="I3983">
        <v>68.290409999999994</v>
      </c>
      <c r="J3983">
        <v>-422.1388</v>
      </c>
      <c r="K3983">
        <v>1.10978</v>
      </c>
      <c r="L3983">
        <v>82.653440000000003</v>
      </c>
      <c r="M3983">
        <v>-2.588064E-2</v>
      </c>
      <c r="N3983">
        <v>0</v>
      </c>
      <c r="O3983">
        <v>-0.9996121</v>
      </c>
      <c r="P3983">
        <v>-3.7116639999999999E-2</v>
      </c>
      <c r="Q3983">
        <v>0.14063589999999901</v>
      </c>
      <c r="R3983">
        <v>-0.98936539999999995</v>
      </c>
      <c r="S3983">
        <v>0.1831055</v>
      </c>
      <c r="T3983">
        <v>-0.23286309999999999</v>
      </c>
      <c r="U3983">
        <v>-3.073242</v>
      </c>
      <c r="V3983">
        <v>1.150954E-2</v>
      </c>
      <c r="W3983">
        <v>0.150809</v>
      </c>
      <c r="X3983">
        <v>0.98849589999999998</v>
      </c>
      <c r="Y3983">
        <v>-8.5122260000000005E-2</v>
      </c>
      <c r="Z3983">
        <v>7.5313039999999998E-2</v>
      </c>
      <c r="AA3983">
        <v>0.99352010000000002</v>
      </c>
      <c r="AB3983">
        <v>33</v>
      </c>
      <c r="AC3983">
        <v>0.87999999999999501</v>
      </c>
      <c r="AD3983">
        <v>-1.1097840677619999</v>
      </c>
      <c r="AE3983">
        <v>-14.36303</v>
      </c>
      <c r="AF3983">
        <v>-1.2440499047906199</v>
      </c>
      <c r="AG3983">
        <v>-1.1097840677619999</v>
      </c>
      <c r="AH3983">
        <v>14.250681830371899</v>
      </c>
      <c r="AI3983">
        <v>94.436166669459894</v>
      </c>
      <c r="AJ3983">
        <v>94.989134176681205</v>
      </c>
      <c r="AK3983">
        <v>14.3478644220371</v>
      </c>
      <c r="AL3983">
        <v>81.326187670298907</v>
      </c>
      <c r="AM3983">
        <v>89.332907432469</v>
      </c>
      <c r="AN3983">
        <v>0.99999998415441005</v>
      </c>
    </row>
    <row r="3984" spans="1:40" x14ac:dyDescent="0.25">
      <c r="A3984" t="str">
        <f>"20190312164348608"</f>
        <v>20190312164348608</v>
      </c>
      <c r="B3984" t="str">
        <f>"1552380228598544"</f>
        <v>1552380228598544</v>
      </c>
      <c r="C3984" t="s">
        <v>40</v>
      </c>
      <c r="D3984">
        <v>4.716691</v>
      </c>
      <c r="E3984">
        <v>0.46828370000000002</v>
      </c>
      <c r="F3984" t="s">
        <v>42</v>
      </c>
      <c r="G3984">
        <v>-421.28570000000002</v>
      </c>
      <c r="H3984" s="1">
        <v>-4.1048470000000003E-6</v>
      </c>
      <c r="I3984">
        <v>68.378879999999995</v>
      </c>
      <c r="J3984">
        <v>-422.14710000000002</v>
      </c>
      <c r="K3984">
        <v>1.109804</v>
      </c>
      <c r="L3984">
        <v>82.331540000000004</v>
      </c>
      <c r="M3984">
        <v>-2.5825130000000002E-2</v>
      </c>
      <c r="N3984">
        <v>0</v>
      </c>
      <c r="O3984">
        <v>-0.99961350000000004</v>
      </c>
      <c r="P3984">
        <v>-3.6068210000000003E-2</v>
      </c>
      <c r="Q3984">
        <v>0.14006830000000001</v>
      </c>
      <c r="R3984">
        <v>-0.98948480000000005</v>
      </c>
      <c r="S3984">
        <v>0.18365480000000001</v>
      </c>
      <c r="T3984">
        <v>-0.2389193</v>
      </c>
      <c r="U3984">
        <v>-3.0730900000000001</v>
      </c>
      <c r="V3984">
        <v>1.0505280000000001E-2</v>
      </c>
      <c r="W3984">
        <v>0.15027389999999999</v>
      </c>
      <c r="X3984">
        <v>0.98858860000000004</v>
      </c>
      <c r="Y3984">
        <v>-8.523791E-2</v>
      </c>
      <c r="Z3984">
        <v>7.7263319999999996E-2</v>
      </c>
      <c r="AA3984">
        <v>0.99336040000000003</v>
      </c>
      <c r="AB3984">
        <v>33</v>
      </c>
      <c r="AC3984">
        <v>0.86140000000000305</v>
      </c>
      <c r="AD3984">
        <v>-1.1098081048469901</v>
      </c>
      <c r="AE3984">
        <v>-13.9526599999999</v>
      </c>
      <c r="AF3984">
        <v>-1.2138106767416801</v>
      </c>
      <c r="AG3984">
        <v>-1.1098081048469901</v>
      </c>
      <c r="AH3984">
        <v>13.8385382613671</v>
      </c>
      <c r="AI3984">
        <v>94.567669567799001</v>
      </c>
      <c r="AJ3984">
        <v>95.012718546861194</v>
      </c>
      <c r="AK3984">
        <v>13.935930238052901</v>
      </c>
      <c r="AL3984">
        <v>81.357200320602203</v>
      </c>
      <c r="AM3984">
        <v>89.391166809303002</v>
      </c>
      <c r="AN3984">
        <v>1.0000000129895199</v>
      </c>
    </row>
    <row r="3985" spans="1:40" x14ac:dyDescent="0.25">
      <c r="A3985" t="str">
        <f>"20190312164348629"</f>
        <v>20190312164348629</v>
      </c>
      <c r="B3985" t="str">
        <f>"1552380228619040"</f>
        <v>1552380228619040</v>
      </c>
      <c r="C3985" t="s">
        <v>40</v>
      </c>
      <c r="D3985">
        <v>4.7103250000000001</v>
      </c>
      <c r="E3985">
        <v>0.46844659999999999</v>
      </c>
      <c r="F3985" t="s">
        <v>42</v>
      </c>
      <c r="G3985">
        <v>-421.30579999999998</v>
      </c>
      <c r="H3985" s="1">
        <v>-4.0282099999999997E-6</v>
      </c>
      <c r="I3985">
        <v>68.169079999999994</v>
      </c>
      <c r="J3985">
        <v>-422.15550000000002</v>
      </c>
      <c r="K3985">
        <v>1.1098220000000001</v>
      </c>
      <c r="L3985">
        <v>82.003999999999905</v>
      </c>
      <c r="M3985">
        <v>-2.575889E-2</v>
      </c>
      <c r="N3985">
        <v>0</v>
      </c>
      <c r="O3985">
        <v>-0.99961469999999997</v>
      </c>
      <c r="P3985">
        <v>-3.5178260000000003E-2</v>
      </c>
      <c r="Q3985">
        <v>0.13935910000000001</v>
      </c>
      <c r="R3985">
        <v>-0.98961690000000002</v>
      </c>
      <c r="S3985">
        <v>0.18252560000000001</v>
      </c>
      <c r="T3985">
        <v>-0.2407773</v>
      </c>
      <c r="U3985">
        <v>-3.0726010000000001</v>
      </c>
      <c r="V3985">
        <v>9.6709599999999993E-3</v>
      </c>
      <c r="W3985">
        <v>0.14959549999999999</v>
      </c>
      <c r="X3985">
        <v>0.98870000000000002</v>
      </c>
      <c r="Y3985">
        <v>-8.4814710000000001E-2</v>
      </c>
      <c r="Z3985">
        <v>7.7875269999999996E-2</v>
      </c>
      <c r="AA3985">
        <v>0.99334880000000003</v>
      </c>
      <c r="AB3985">
        <v>33</v>
      </c>
      <c r="AC3985">
        <v>0.84970000000004098</v>
      </c>
      <c r="AD3985">
        <v>-1.1098260282100001</v>
      </c>
      <c r="AE3985">
        <v>-13.834919999999901</v>
      </c>
      <c r="AF3985">
        <v>-1.1981281417975</v>
      </c>
      <c r="AG3985">
        <v>-1.1098260282100001</v>
      </c>
      <c r="AH3985">
        <v>13.720479264805601</v>
      </c>
      <c r="AI3985">
        <v>94.6070327732495</v>
      </c>
      <c r="AJ3985">
        <v>94.990641194716702</v>
      </c>
      <c r="AK3985">
        <v>13.817336071508899</v>
      </c>
      <c r="AL3985">
        <v>81.396514207664296</v>
      </c>
      <c r="AM3985">
        <v>89.439579729905105</v>
      </c>
      <c r="AN3985">
        <v>1.00000001554378</v>
      </c>
    </row>
    <row r="3986" spans="1:40" x14ac:dyDescent="0.25">
      <c r="A3986" t="str">
        <f>"20190312164348652"</f>
        <v>20190312164348652</v>
      </c>
      <c r="B3986" t="str">
        <f>"1552380228649295"</f>
        <v>1552380228649295</v>
      </c>
      <c r="C3986" t="s">
        <v>40</v>
      </c>
      <c r="D3986">
        <v>4.6642650000000003</v>
      </c>
      <c r="E3986">
        <v>0.4686708</v>
      </c>
      <c r="F3986" t="s">
        <v>42</v>
      </c>
      <c r="G3986">
        <v>-421.30869999999999</v>
      </c>
      <c r="H3986" s="1">
        <v>-3.8687400000000002E-6</v>
      </c>
      <c r="I3986">
        <v>67.795550000000006</v>
      </c>
      <c r="J3986">
        <v>-422.16399999999999</v>
      </c>
      <c r="K3986">
        <v>1.1098399999999999</v>
      </c>
      <c r="L3986">
        <v>81.671229999999994</v>
      </c>
      <c r="M3986">
        <v>-2.568575E-2</v>
      </c>
      <c r="N3986">
        <v>0</v>
      </c>
      <c r="O3986">
        <v>-0.99961639999999996</v>
      </c>
      <c r="P3986">
        <v>-3.3742759999999997E-2</v>
      </c>
      <c r="Q3986">
        <v>0.13895339999999901</v>
      </c>
      <c r="R3986">
        <v>-0.98972400000000005</v>
      </c>
      <c r="S3986">
        <v>0.18307499999999999</v>
      </c>
      <c r="T3986">
        <v>-0.23993490000000001</v>
      </c>
      <c r="U3986">
        <v>-3.0717469999999998</v>
      </c>
      <c r="V3986">
        <v>8.3003450000000006E-3</v>
      </c>
      <c r="W3986">
        <v>0.14922070000000001</v>
      </c>
      <c r="X3986">
        <v>0.98876909999999896</v>
      </c>
      <c r="Y3986">
        <v>-8.4936349999999994E-2</v>
      </c>
      <c r="Z3986">
        <v>7.7625299999999994E-2</v>
      </c>
      <c r="AA3986">
        <v>0.99335799999999996</v>
      </c>
      <c r="AB3986">
        <v>33</v>
      </c>
      <c r="AC3986">
        <v>0.85529999999999895</v>
      </c>
      <c r="AD3986">
        <v>-1.1098438687400001</v>
      </c>
      <c r="AE3986">
        <v>-13.875679999999999</v>
      </c>
      <c r="AF3986">
        <v>-1.2037720781244401</v>
      </c>
      <c r="AG3986">
        <v>-1.1098438687400001</v>
      </c>
      <c r="AH3986">
        <v>13.761424787113601</v>
      </c>
      <c r="AI3986">
        <v>94.5933977229531</v>
      </c>
      <c r="AJ3986">
        <v>94.999187734580801</v>
      </c>
      <c r="AK3986">
        <v>13.8584859490652</v>
      </c>
      <c r="AL3986">
        <v>81.418232504505596</v>
      </c>
      <c r="AM3986">
        <v>89.5190347612305</v>
      </c>
      <c r="AN3986">
        <v>1.0000000230752</v>
      </c>
    </row>
    <row r="3987" spans="1:40" x14ac:dyDescent="0.25">
      <c r="A3987" t="str">
        <f>"20190312164348676"</f>
        <v>20190312164348676</v>
      </c>
      <c r="B3987" t="str">
        <f>"1552380228668815"</f>
        <v>1552380228668815</v>
      </c>
      <c r="C3987" t="s">
        <v>40</v>
      </c>
      <c r="D3987">
        <v>4.6185729999999996</v>
      </c>
      <c r="E3987">
        <v>0.48979060000000002</v>
      </c>
      <c r="F3987" t="s">
        <v>42</v>
      </c>
      <c r="G3987">
        <v>-421.3193</v>
      </c>
      <c r="H3987" s="1">
        <v>-3.8299579999999999E-6</v>
      </c>
      <c r="I3987">
        <v>67.698549999999997</v>
      </c>
      <c r="J3987">
        <v>-422.17290000000003</v>
      </c>
      <c r="K3987">
        <v>1.1098589999999999</v>
      </c>
      <c r="L3987">
        <v>81.322109999999995</v>
      </c>
      <c r="M3987">
        <v>-2.56054E-2</v>
      </c>
      <c r="N3987">
        <v>0</v>
      </c>
      <c r="O3987">
        <v>-0.99961809999999995</v>
      </c>
      <c r="P3987">
        <v>-3.2813160000000001E-2</v>
      </c>
      <c r="Q3987">
        <v>0.1385603</v>
      </c>
      <c r="R3987">
        <v>-0.98981059999999998</v>
      </c>
      <c r="S3987">
        <v>0.18569949999999999</v>
      </c>
      <c r="T3987">
        <v>-0.24398739999999999</v>
      </c>
      <c r="U3987">
        <v>-3.0717469999999998</v>
      </c>
      <c r="V3987">
        <v>7.4444769999999997E-3</v>
      </c>
      <c r="W3987">
        <v>0.1488614</v>
      </c>
      <c r="X3987">
        <v>0.98882999999999999</v>
      </c>
      <c r="Y3987">
        <v>-8.5695740000000006E-2</v>
      </c>
      <c r="Z3987">
        <v>7.892391E-2</v>
      </c>
      <c r="AA3987">
        <v>0.99319049999999998</v>
      </c>
      <c r="AB3987">
        <v>33</v>
      </c>
      <c r="AC3987">
        <v>0.853600000000028</v>
      </c>
      <c r="AD3987">
        <v>-1.109862829958</v>
      </c>
      <c r="AE3987">
        <v>-13.6235599999999</v>
      </c>
      <c r="AF3987">
        <v>-1.1942804618712299</v>
      </c>
      <c r="AG3987">
        <v>-1.109862829958</v>
      </c>
      <c r="AH3987">
        <v>13.5079361562867</v>
      </c>
      <c r="AI3987">
        <v>94.678915629869294</v>
      </c>
      <c r="AJ3987">
        <v>95.052567950569397</v>
      </c>
      <c r="AK3987">
        <v>13.6059707674699</v>
      </c>
      <c r="AL3987">
        <v>81.439050797442405</v>
      </c>
      <c r="AM3987">
        <v>89.568652797309795</v>
      </c>
      <c r="AN3987">
        <v>0.99999995277387999</v>
      </c>
    </row>
    <row r="3988" spans="1:40" x14ac:dyDescent="0.25">
      <c r="A3988" t="str">
        <f>"20190312164348698"</f>
        <v>20190312164348698</v>
      </c>
      <c r="B3988" t="str">
        <f>"1552380228689312"</f>
        <v>1552380228689312</v>
      </c>
      <c r="C3988" t="s">
        <v>40</v>
      </c>
      <c r="D3988">
        <v>4.8110629999999999</v>
      </c>
      <c r="E3988">
        <v>0.49315219999999999</v>
      </c>
      <c r="F3988" t="s">
        <v>42</v>
      </c>
      <c r="G3988">
        <v>-422.08359999999999</v>
      </c>
      <c r="H3988" s="1">
        <v>-4.403276E-6</v>
      </c>
      <c r="I3988">
        <v>68.839950000000002</v>
      </c>
      <c r="J3988">
        <v>-422.18130000000002</v>
      </c>
      <c r="K3988">
        <v>1.109874</v>
      </c>
      <c r="L3988">
        <v>80.992339999999999</v>
      </c>
      <c r="M3988">
        <v>-2.552743E-2</v>
      </c>
      <c r="N3988">
        <v>0</v>
      </c>
      <c r="O3988">
        <v>-0.99961949999999999</v>
      </c>
      <c r="P3988">
        <v>-3.1469110000000002E-2</v>
      </c>
      <c r="Q3988">
        <v>0.1391377</v>
      </c>
      <c r="R3988">
        <v>-0.98977269999999995</v>
      </c>
      <c r="S3988">
        <v>2.1972660000000001E-2</v>
      </c>
      <c r="T3988">
        <v>-0.27295629999999999</v>
      </c>
      <c r="U3988">
        <v>-3.0698240000000001</v>
      </c>
      <c r="V3988">
        <v>6.1765049999999997E-3</v>
      </c>
      <c r="W3988">
        <v>0.14946679999999901</v>
      </c>
      <c r="X3988">
        <v>0.9887475</v>
      </c>
      <c r="Y3988">
        <v>-3.2655160000000003E-2</v>
      </c>
      <c r="Z3988">
        <v>8.8498499999999994E-2</v>
      </c>
      <c r="AA3988">
        <v>0.99554089999999995</v>
      </c>
      <c r="AB3988">
        <v>33</v>
      </c>
      <c r="AC3988">
        <v>9.7700000000031595E-2</v>
      </c>
      <c r="AD3988">
        <v>-1.1098784032760001</v>
      </c>
      <c r="AE3988">
        <v>-12.152389999999899</v>
      </c>
      <c r="AF3988">
        <v>-0.40453034190005599</v>
      </c>
      <c r="AG3988">
        <v>-1.1098784032760001</v>
      </c>
      <c r="AH3988">
        <v>12.045468300484499</v>
      </c>
      <c r="AI3988">
        <v>95.261461562435201</v>
      </c>
      <c r="AJ3988">
        <v>91.923476347750395</v>
      </c>
      <c r="AK3988">
        <v>12.1032549938251</v>
      </c>
      <c r="AL3988">
        <v>81.403972287438904</v>
      </c>
      <c r="AM3988">
        <v>89.642089547069901</v>
      </c>
      <c r="AN3988">
        <v>1.0000000461362499</v>
      </c>
    </row>
    <row r="3989" spans="1:40" x14ac:dyDescent="0.25">
      <c r="A3989" t="str">
        <f>"20190312164348720"</f>
        <v>20190312164348720</v>
      </c>
      <c r="B3989" t="str">
        <f>"1552380228708832"</f>
        <v>1552380228708832</v>
      </c>
      <c r="C3989" t="s">
        <v>40</v>
      </c>
      <c r="D3989">
        <v>4.5843809999999996</v>
      </c>
      <c r="E3989">
        <v>0.49441390000000002</v>
      </c>
      <c r="F3989" t="s">
        <v>42</v>
      </c>
      <c r="G3989">
        <v>-422.19310000000002</v>
      </c>
      <c r="H3989" s="1">
        <v>-3.8671120000000001E-6</v>
      </c>
      <c r="I3989">
        <v>67.243259999999907</v>
      </c>
      <c r="J3989">
        <v>-422.18959999999998</v>
      </c>
      <c r="K3989">
        <v>1.1098779999999999</v>
      </c>
      <c r="L3989">
        <v>80.663269999999997</v>
      </c>
      <c r="M3989">
        <v>-2.544882E-2</v>
      </c>
      <c r="N3989">
        <v>0</v>
      </c>
      <c r="O3989">
        <v>-0.9996216</v>
      </c>
      <c r="P3989">
        <v>-3.0349339999999999E-2</v>
      </c>
      <c r="Q3989">
        <v>0.1397987</v>
      </c>
      <c r="R3989">
        <v>-0.98971500000000001</v>
      </c>
      <c r="S3989">
        <v>-2.6245119999999999E-3</v>
      </c>
      <c r="T3989">
        <v>-0.2474751</v>
      </c>
      <c r="U3989">
        <v>-3.0657040000000002</v>
      </c>
      <c r="V3989">
        <v>5.1348419999999997E-3</v>
      </c>
      <c r="W3989">
        <v>0.150153799999999</v>
      </c>
      <c r="X3989">
        <v>0.98864929999999995</v>
      </c>
      <c r="Y3989">
        <v>-2.4597150000000002E-2</v>
      </c>
      <c r="Z3989">
        <v>8.0410789999999996E-2</v>
      </c>
      <c r="AA3989">
        <v>0.99645830000000002</v>
      </c>
      <c r="AB3989">
        <v>33</v>
      </c>
      <c r="AC3989">
        <v>-3.5000000000309198E-3</v>
      </c>
      <c r="AD3989">
        <v>-1.1098818671120001</v>
      </c>
      <c r="AE3989">
        <v>-13.42001</v>
      </c>
      <c r="AF3989">
        <v>-0.33574670598220302</v>
      </c>
      <c r="AG3989">
        <v>-1.1098818671120001</v>
      </c>
      <c r="AH3989">
        <v>13.3246135983029</v>
      </c>
      <c r="AI3989">
        <v>94.759991508274695</v>
      </c>
      <c r="AJ3989">
        <v>91.443403923116506</v>
      </c>
      <c r="AK3989">
        <v>13.374972566461601</v>
      </c>
      <c r="AL3989">
        <v>81.364160267863099</v>
      </c>
      <c r="AM3989">
        <v>89.702420130507093</v>
      </c>
      <c r="AN3989">
        <v>0.99999998432364701</v>
      </c>
    </row>
    <row r="3990" spans="1:40" x14ac:dyDescent="0.25">
      <c r="A3990" t="str">
        <f>"20190312164348742"</f>
        <v>20190312164348742</v>
      </c>
      <c r="B3990" t="str">
        <f>"1552380228739087"</f>
        <v>1552380228739087</v>
      </c>
      <c r="C3990" t="s">
        <v>40</v>
      </c>
      <c r="D3990">
        <v>4.5862759999999998</v>
      </c>
      <c r="E3990">
        <v>0.49552479999999899</v>
      </c>
      <c r="F3990" t="s">
        <v>42</v>
      </c>
      <c r="G3990">
        <v>-422.23180000000002</v>
      </c>
      <c r="H3990" s="1">
        <v>-3.6946909999999999E-6</v>
      </c>
      <c r="I3990">
        <v>66.817309999999907</v>
      </c>
      <c r="J3990">
        <v>-422.1977</v>
      </c>
      <c r="K3990">
        <v>1.109883</v>
      </c>
      <c r="L3990">
        <v>80.342959999999906</v>
      </c>
      <c r="M3990">
        <v>-2.537327E-2</v>
      </c>
      <c r="N3990">
        <v>0</v>
      </c>
      <c r="O3990">
        <v>-0.99962309999999999</v>
      </c>
      <c r="P3990">
        <v>-2.927041E-2</v>
      </c>
      <c r="Q3990">
        <v>0.13955479999999901</v>
      </c>
      <c r="R3990">
        <v>-0.98978180000000004</v>
      </c>
      <c r="S3990">
        <v>-9.3383790000000008E-3</v>
      </c>
      <c r="T3990">
        <v>-0.24573719999999999</v>
      </c>
      <c r="U3990">
        <v>-3.0656129999999999</v>
      </c>
      <c r="V3990">
        <v>4.128339E-3</v>
      </c>
      <c r="W3990">
        <v>0.1499336</v>
      </c>
      <c r="X3990">
        <v>0.98868750000000005</v>
      </c>
      <c r="Y3990">
        <v>-2.2339100000000001E-2</v>
      </c>
      <c r="Z3990">
        <v>7.9854259999999996E-2</v>
      </c>
      <c r="AA3990">
        <v>0.9965562</v>
      </c>
      <c r="AB3990">
        <v>33</v>
      </c>
      <c r="AC3990">
        <v>-3.41000000000235E-2</v>
      </c>
      <c r="AD3990">
        <v>-1.109886694691</v>
      </c>
      <c r="AE3990">
        <v>-13.525650000000001</v>
      </c>
      <c r="AF3990">
        <v>-0.30705227731440499</v>
      </c>
      <c r="AG3990">
        <v>-1.109886694691</v>
      </c>
      <c r="AH3990">
        <v>13.431718242501701</v>
      </c>
      <c r="AI3990">
        <v>94.722491937004904</v>
      </c>
      <c r="AJ3990">
        <v>91.309567071992404</v>
      </c>
      <c r="AK3990">
        <v>13.4809934545645</v>
      </c>
      <c r="AL3990">
        <v>81.3769218330076</v>
      </c>
      <c r="AM3990">
        <v>89.760758554741301</v>
      </c>
      <c r="AN3990">
        <v>1.00000005012405</v>
      </c>
    </row>
    <row r="3991" spans="1:40" x14ac:dyDescent="0.25">
      <c r="A3991" t="str">
        <f>"20190312164348765"</f>
        <v>20190312164348765</v>
      </c>
      <c r="B3991" t="str">
        <f>"1552380228758608"</f>
        <v>1552380228758608</v>
      </c>
      <c r="C3991" t="s">
        <v>40</v>
      </c>
      <c r="D3991">
        <v>4.5876279999999996</v>
      </c>
      <c r="E3991">
        <v>0.49609540000000002</v>
      </c>
      <c r="F3991" t="s">
        <v>41</v>
      </c>
      <c r="G3991">
        <v>-422.20339999999999</v>
      </c>
      <c r="H3991">
        <v>1.0302880000000001</v>
      </c>
      <c r="I3991">
        <v>79.325789999999998</v>
      </c>
      <c r="J3991">
        <v>-422.20639999999997</v>
      </c>
      <c r="K3991">
        <v>1.10988</v>
      </c>
      <c r="L3991">
        <v>79.997439999999997</v>
      </c>
      <c r="M3991">
        <v>-2.529269E-2</v>
      </c>
      <c r="N3991">
        <v>0</v>
      </c>
      <c r="O3991">
        <v>-0.99962479999999998</v>
      </c>
      <c r="P3991">
        <v>-2.7806589999999999E-2</v>
      </c>
      <c r="Q3991">
        <v>0.1392929</v>
      </c>
      <c r="R3991">
        <v>-0.98986099999999999</v>
      </c>
      <c r="S3991">
        <v>-1.5991209999999999E-2</v>
      </c>
      <c r="T3991">
        <v>-0.23983160000000001</v>
      </c>
      <c r="U3991">
        <v>-3.0643310000000001</v>
      </c>
      <c r="V3991">
        <v>2.7420719999999999E-3</v>
      </c>
      <c r="W3991">
        <v>0.14969499999999999</v>
      </c>
      <c r="X3991">
        <v>0.98872839999999995</v>
      </c>
      <c r="Y3991">
        <v>-2.0092869999999999E-2</v>
      </c>
      <c r="Z3991">
        <v>7.7981159999999994E-2</v>
      </c>
      <c r="AA3991">
        <v>0.99675230000000004</v>
      </c>
      <c r="AB3991">
        <v>33</v>
      </c>
      <c r="AC3991">
        <v>2.9999999999858998E-3</v>
      </c>
      <c r="AD3991">
        <v>-7.9592000000000093E-2</v>
      </c>
      <c r="AE3991">
        <v>-0.67164999999999897</v>
      </c>
      <c r="AF3991">
        <v>-1.9711022542836101E-2</v>
      </c>
      <c r="AG3991">
        <v>-7.9592000000000093E-2</v>
      </c>
      <c r="AH3991">
        <v>0.66206222322241604</v>
      </c>
      <c r="AI3991">
        <v>96.852096409898294</v>
      </c>
      <c r="AJ3991">
        <v>91.705315389601296</v>
      </c>
      <c r="AK3991">
        <v>0.66712052755996998</v>
      </c>
      <c r="AL3991">
        <v>81.390748048532998</v>
      </c>
      <c r="AM3991">
        <v>89.841100195030293</v>
      </c>
      <c r="AN3991">
        <v>0.999999980475206</v>
      </c>
    </row>
    <row r="3992" spans="1:40" x14ac:dyDescent="0.25">
      <c r="A3992" t="str">
        <f>"20190312164348786"</f>
        <v>20190312164348786</v>
      </c>
      <c r="B3992" t="str">
        <f>"1552380228779104"</f>
        <v>1552380228779104</v>
      </c>
      <c r="C3992" t="s">
        <v>40</v>
      </c>
      <c r="D3992">
        <v>4.5386110000000004</v>
      </c>
      <c r="E3992">
        <v>0.49661880000000003</v>
      </c>
      <c r="F3992" t="s">
        <v>41</v>
      </c>
      <c r="G3992">
        <v>-422.21230000000003</v>
      </c>
      <c r="H3992">
        <v>1.034716</v>
      </c>
      <c r="I3992">
        <v>79.017380000000003</v>
      </c>
      <c r="J3992">
        <v>-422.21460000000002</v>
      </c>
      <c r="K3992">
        <v>1.109883</v>
      </c>
      <c r="L3992">
        <v>79.668909999999997</v>
      </c>
      <c r="M3992">
        <v>-2.5217719999999999E-2</v>
      </c>
      <c r="N3992">
        <v>0</v>
      </c>
      <c r="O3992">
        <v>-0.99962669999999998</v>
      </c>
      <c r="P3992">
        <v>-2.6648100000000001E-2</v>
      </c>
      <c r="Q3992">
        <v>0.13927779999999901</v>
      </c>
      <c r="R3992">
        <v>-0.98989510000000003</v>
      </c>
      <c r="S3992">
        <v>-1.7578130000000001E-2</v>
      </c>
      <c r="T3992">
        <v>-0.23497589999999999</v>
      </c>
      <c r="U3992">
        <v>-3.0632929999999998</v>
      </c>
      <c r="V3992">
        <v>1.6566860000000001E-3</v>
      </c>
      <c r="W3992">
        <v>0.14969969999999999</v>
      </c>
      <c r="X3992">
        <v>0.98873009999999995</v>
      </c>
      <c r="Y3992">
        <v>-1.9499099999999998E-2</v>
      </c>
      <c r="Z3992">
        <v>7.6437950000000005E-2</v>
      </c>
      <c r="AA3992">
        <v>0.99688359999999998</v>
      </c>
      <c r="AB3992">
        <v>33</v>
      </c>
      <c r="AC3992">
        <v>2.29999999999108E-3</v>
      </c>
      <c r="AD3992">
        <v>-7.5166999999999901E-2</v>
      </c>
      <c r="AE3992">
        <v>-0.65152999999999395</v>
      </c>
      <c r="AF3992">
        <v>-1.8484251063979201E-2</v>
      </c>
      <c r="AG3992">
        <v>-7.5166999999999901E-2</v>
      </c>
      <c r="AH3992">
        <v>0.64271025979512098</v>
      </c>
      <c r="AI3992">
        <v>96.667887121081094</v>
      </c>
      <c r="AJ3992">
        <v>91.647363965945104</v>
      </c>
      <c r="AK3992">
        <v>0.64735478948742498</v>
      </c>
      <c r="AL3992">
        <v>81.390475665460102</v>
      </c>
      <c r="AM3992">
        <v>89.903997029171904</v>
      </c>
      <c r="AN3992">
        <v>0.99999997771730098</v>
      </c>
    </row>
    <row r="3993" spans="1:40" x14ac:dyDescent="0.25">
      <c r="A3993" t="str">
        <f>"20190312164348808"</f>
        <v>20190312164348808</v>
      </c>
      <c r="B3993" t="str">
        <f>"1552380228798623"</f>
        <v>1552380228798623</v>
      </c>
      <c r="C3993" t="s">
        <v>40</v>
      </c>
      <c r="D3993">
        <v>4.5561089999999904</v>
      </c>
      <c r="E3993">
        <v>0.49672769999999999</v>
      </c>
      <c r="F3993" t="s">
        <v>42</v>
      </c>
      <c r="G3993">
        <v>-422.30119999999999</v>
      </c>
      <c r="H3993" s="1">
        <v>-2.9131900000000001E-6</v>
      </c>
      <c r="I3993">
        <v>64.952539999999999</v>
      </c>
      <c r="J3993">
        <v>-422.22269999999997</v>
      </c>
      <c r="K3993">
        <v>1.1098840000000001</v>
      </c>
      <c r="L3993">
        <v>79.344639999999998</v>
      </c>
      <c r="M3993">
        <v>-2.514394E-2</v>
      </c>
      <c r="N3993">
        <v>0</v>
      </c>
      <c r="O3993">
        <v>-0.99962810000000002</v>
      </c>
      <c r="P3993">
        <v>-2.515964E-2</v>
      </c>
      <c r="Q3993">
        <v>0.13959099999999999</v>
      </c>
      <c r="R3993">
        <v>-0.98988940000000003</v>
      </c>
      <c r="S3993">
        <v>-1.8035889999999999E-2</v>
      </c>
      <c r="T3993">
        <v>-0.2309804</v>
      </c>
      <c r="U3993">
        <v>-3.0626530000000001</v>
      </c>
      <c r="V3993">
        <v>2.414668E-4</v>
      </c>
      <c r="W3993">
        <v>0.1500302</v>
      </c>
      <c r="X3993">
        <v>0.98868140000000004</v>
      </c>
      <c r="Y3993">
        <v>-1.9274550000000001E-2</v>
      </c>
      <c r="Z3993">
        <v>7.5161580000000006E-2</v>
      </c>
      <c r="AA3993">
        <v>0.99698509999999996</v>
      </c>
      <c r="AB3993">
        <v>33</v>
      </c>
      <c r="AC3993">
        <v>-7.8500000000019499E-2</v>
      </c>
      <c r="AD3993">
        <v>-1.10988691319</v>
      </c>
      <c r="AE3993">
        <v>-14.392099999999999</v>
      </c>
      <c r="AF3993">
        <v>-0.28174356385140897</v>
      </c>
      <c r="AG3993">
        <v>-1.10988691319</v>
      </c>
      <c r="AH3993">
        <v>14.3044549583354</v>
      </c>
      <c r="AI3993">
        <v>94.435850541746106</v>
      </c>
      <c r="AJ3993">
        <v>91.128363868035606</v>
      </c>
      <c r="AK3993">
        <v>14.3502146343143</v>
      </c>
      <c r="AL3993">
        <v>81.371323433795695</v>
      </c>
      <c r="AM3993">
        <v>89.986006585885505</v>
      </c>
      <c r="AN3993">
        <v>1.0000000149621</v>
      </c>
    </row>
    <row r="3994" spans="1:40" x14ac:dyDescent="0.25">
      <c r="A3994" t="str">
        <f>"20190312164348831"</f>
        <v>20190312164348831</v>
      </c>
      <c r="B3994" t="str">
        <f>"1552380228819120"</f>
        <v>1552380228819120</v>
      </c>
      <c r="C3994" t="s">
        <v>40</v>
      </c>
      <c r="D3994">
        <v>4.5102140000000004</v>
      </c>
      <c r="E3994">
        <v>0.49706729999999999</v>
      </c>
      <c r="F3994" t="s">
        <v>42</v>
      </c>
      <c r="G3994">
        <v>-422.29149999999998</v>
      </c>
      <c r="H3994" s="1">
        <v>-2.884252E-6</v>
      </c>
      <c r="I3994">
        <v>64.891130000000004</v>
      </c>
      <c r="J3994">
        <v>-422.23110000000003</v>
      </c>
      <c r="K3994">
        <v>1.1098840000000001</v>
      </c>
      <c r="L3994">
        <v>79.008790000000005</v>
      </c>
      <c r="M3994">
        <v>-2.5068170000000001E-2</v>
      </c>
      <c r="N3994">
        <v>0</v>
      </c>
      <c r="O3994">
        <v>-0.99963029999999997</v>
      </c>
      <c r="P3994">
        <v>-2.3346309999999999E-2</v>
      </c>
      <c r="Q3994">
        <v>0.1400217</v>
      </c>
      <c r="R3994">
        <v>-0.98987360000000002</v>
      </c>
      <c r="S3994">
        <v>-1.45874E-2</v>
      </c>
      <c r="T3994">
        <v>-0.23524239999999999</v>
      </c>
      <c r="U3994">
        <v>-3.0634459999999999</v>
      </c>
      <c r="V3994">
        <v>-1.4965460000000001E-3</v>
      </c>
      <c r="W3994">
        <v>0.1504781</v>
      </c>
      <c r="X3994">
        <v>0.98861220000000005</v>
      </c>
      <c r="Y3994">
        <v>-2.0323020000000001E-2</v>
      </c>
      <c r="Z3994">
        <v>7.6520320000000003E-2</v>
      </c>
      <c r="AA3994">
        <v>0.99686090000000005</v>
      </c>
      <c r="AB3994">
        <v>33</v>
      </c>
      <c r="AC3994">
        <v>-6.0399999999958702E-2</v>
      </c>
      <c r="AD3994">
        <v>-1.109886884252</v>
      </c>
      <c r="AE3994">
        <v>-14.117660000000001</v>
      </c>
      <c r="AF3994">
        <v>-0.29173940361428702</v>
      </c>
      <c r="AG3994">
        <v>-1.109886884252</v>
      </c>
      <c r="AH3994">
        <v>14.0280367812944</v>
      </c>
      <c r="AI3994">
        <v>94.522797991061196</v>
      </c>
      <c r="AJ3994">
        <v>91.191401731027</v>
      </c>
      <c r="AK3994">
        <v>14.074898817142699</v>
      </c>
      <c r="AL3994">
        <v>81.345365752975994</v>
      </c>
      <c r="AM3994">
        <v>90.086733406840906</v>
      </c>
      <c r="AN3994">
        <v>0.99999999010919005</v>
      </c>
    </row>
    <row r="3995" spans="1:40" x14ac:dyDescent="0.25">
      <c r="A3995" t="str">
        <f>"20190312164348854"</f>
        <v>20190312164348854</v>
      </c>
      <c r="B3995" t="str">
        <f>"1552380228849376"</f>
        <v>1552380228849376</v>
      </c>
      <c r="C3995" t="s">
        <v>40</v>
      </c>
      <c r="D3995">
        <v>4.503965</v>
      </c>
      <c r="E3995">
        <v>0.49752170000000001</v>
      </c>
      <c r="F3995" t="s">
        <v>42</v>
      </c>
      <c r="G3995">
        <v>-422.29239999999999</v>
      </c>
      <c r="H3995" s="1">
        <v>-2.6368880000000002E-6</v>
      </c>
      <c r="I3995">
        <v>64.313929999999999</v>
      </c>
      <c r="J3995">
        <v>-422.2396</v>
      </c>
      <c r="K3995">
        <v>1.10989</v>
      </c>
      <c r="L3995">
        <v>78.666690000000003</v>
      </c>
      <c r="M3995">
        <v>-2.4991019999999999E-2</v>
      </c>
      <c r="N3995">
        <v>0</v>
      </c>
      <c r="O3995">
        <v>-0.99963190000000002</v>
      </c>
      <c r="P3995">
        <v>-2.1454810000000001E-2</v>
      </c>
      <c r="Q3995">
        <v>0.14053879999999999</v>
      </c>
      <c r="R3995">
        <v>-0.98984289999999997</v>
      </c>
      <c r="S3995">
        <v>-1.2786870000000001E-2</v>
      </c>
      <c r="T3995">
        <v>-0.23135339999999999</v>
      </c>
      <c r="U3995">
        <v>-3.06311</v>
      </c>
      <c r="V3995">
        <v>-3.3102409999999998E-3</v>
      </c>
      <c r="W3995">
        <v>0.1510164</v>
      </c>
      <c r="X3995">
        <v>0.98852569999999995</v>
      </c>
      <c r="Y3995">
        <v>-2.0830899999999999E-2</v>
      </c>
      <c r="Z3995">
        <v>7.5270660000000003E-2</v>
      </c>
      <c r="AA3995">
        <v>0.99694559999999999</v>
      </c>
      <c r="AB3995">
        <v>33</v>
      </c>
      <c r="AC3995">
        <v>-5.2799999999990598E-2</v>
      </c>
      <c r="AD3995">
        <v>-1.109892636888</v>
      </c>
      <c r="AE3995">
        <v>-14.35276</v>
      </c>
      <c r="AF3995">
        <v>-0.30410810621374101</v>
      </c>
      <c r="AG3995">
        <v>-1.109892636888</v>
      </c>
      <c r="AH3995">
        <v>14.264299011358</v>
      </c>
      <c r="AI3995">
        <v>94.4481634359704</v>
      </c>
      <c r="AJ3995">
        <v>91.221333892796196</v>
      </c>
      <c r="AK3995">
        <v>14.310645327556401</v>
      </c>
      <c r="AL3995">
        <v>81.314166860934193</v>
      </c>
      <c r="AM3995">
        <v>90.1918636303987</v>
      </c>
      <c r="AN3995">
        <v>0.99999998516246302</v>
      </c>
    </row>
    <row r="3996" spans="1:40" x14ac:dyDescent="0.25">
      <c r="A3996" t="str">
        <f>"20190312164348876"</f>
        <v>20190312164348876</v>
      </c>
      <c r="B3996" t="str">
        <f>"1552380228868896"</f>
        <v>1552380228868896</v>
      </c>
      <c r="C3996" t="s">
        <v>40</v>
      </c>
      <c r="D3996">
        <v>4.8184879999999897</v>
      </c>
      <c r="E3996">
        <v>0.49786829999999999</v>
      </c>
      <c r="F3996" t="s">
        <v>42</v>
      </c>
      <c r="G3996">
        <v>-422.2937</v>
      </c>
      <c r="H3996" s="1">
        <v>-2.3885090000000001E-6</v>
      </c>
      <c r="I3996">
        <v>63.73415</v>
      </c>
      <c r="J3996">
        <v>-422.24790000000002</v>
      </c>
      <c r="K3996">
        <v>1.109901</v>
      </c>
      <c r="L3996">
        <v>78.327730000000003</v>
      </c>
      <c r="M3996">
        <v>-2.4914530000000001E-2</v>
      </c>
      <c r="N3996">
        <v>0</v>
      </c>
      <c r="O3996">
        <v>-0.99963360000000001</v>
      </c>
      <c r="P3996">
        <v>-1.895469E-2</v>
      </c>
      <c r="Q3996">
        <v>0.14090820000000001</v>
      </c>
      <c r="R3996">
        <v>-0.98984159999999999</v>
      </c>
      <c r="S3996">
        <v>-1.1108399999999999E-2</v>
      </c>
      <c r="T3996">
        <v>-0.227654</v>
      </c>
      <c r="U3996">
        <v>-3.0628660000000001</v>
      </c>
      <c r="V3996">
        <v>-5.7341179999999999E-3</v>
      </c>
      <c r="W3996">
        <v>0.15140519999999999</v>
      </c>
      <c r="X3996">
        <v>0.98845510000000003</v>
      </c>
      <c r="Y3996">
        <v>-2.1300070000000001E-2</v>
      </c>
      <c r="Z3996">
        <v>7.4079519999999996E-2</v>
      </c>
      <c r="AA3996">
        <v>0.99702480000000004</v>
      </c>
      <c r="AB3996">
        <v>33</v>
      </c>
      <c r="AC3996">
        <v>-4.5799999999985602E-2</v>
      </c>
      <c r="AD3996">
        <v>-1.1099033885089999</v>
      </c>
      <c r="AE3996">
        <v>-14.593579999999999</v>
      </c>
      <c r="AF3996">
        <v>-0.31599895847492898</v>
      </c>
      <c r="AG3996">
        <v>-1.1099033885089999</v>
      </c>
      <c r="AH3996">
        <v>14.5062835056703</v>
      </c>
      <c r="AI3996">
        <v>94.374251101468104</v>
      </c>
      <c r="AJ3996">
        <v>91.247910509762207</v>
      </c>
      <c r="AK3996">
        <v>14.5521133180189</v>
      </c>
      <c r="AL3996">
        <v>81.2916308240533</v>
      </c>
      <c r="AM3996">
        <v>90.332374303376199</v>
      </c>
      <c r="AN3996">
        <v>0.99999994970614203</v>
      </c>
    </row>
    <row r="3997" spans="1:40" x14ac:dyDescent="0.25">
      <c r="A3997" t="str">
        <f>"20190312164348900"</f>
        <v>20190312164348900</v>
      </c>
      <c r="B3997" t="str">
        <f>"1552380228889136"</f>
        <v>1552380228889136</v>
      </c>
      <c r="C3997" t="s">
        <v>40</v>
      </c>
      <c r="D3997">
        <v>4.5001759999999997</v>
      </c>
      <c r="E3997">
        <v>0.49823879999999998</v>
      </c>
      <c r="F3997" t="s">
        <v>42</v>
      </c>
      <c r="G3997">
        <v>-422.2765</v>
      </c>
      <c r="H3997" s="1">
        <v>-2.1778160000000002E-6</v>
      </c>
      <c r="I3997">
        <v>63.253720000000001</v>
      </c>
      <c r="J3997">
        <v>-422.2568</v>
      </c>
      <c r="K3997">
        <v>1.1099079999999999</v>
      </c>
      <c r="L3997">
        <v>77.968140000000005</v>
      </c>
      <c r="M3997">
        <v>-2.4833339999999999E-2</v>
      </c>
      <c r="N3997">
        <v>0</v>
      </c>
      <c r="O3997">
        <v>-0.9996353</v>
      </c>
      <c r="P3997">
        <v>-1.69014E-2</v>
      </c>
      <c r="Q3997">
        <v>0.1412263</v>
      </c>
      <c r="R3997">
        <v>-0.98983339999999997</v>
      </c>
      <c r="S3997">
        <v>-5.7983399999999999E-3</v>
      </c>
      <c r="T3997">
        <v>-0.22551299999999999</v>
      </c>
      <c r="U3997">
        <v>-3.0627749999999998</v>
      </c>
      <c r="V3997">
        <v>-7.70622699999999E-3</v>
      </c>
      <c r="W3997">
        <v>0.151742299999999</v>
      </c>
      <c r="X3997">
        <v>0.98838999999999999</v>
      </c>
      <c r="Y3997">
        <v>-2.2947209999999999E-2</v>
      </c>
      <c r="Z3997">
        <v>7.3387839999999996E-2</v>
      </c>
      <c r="AA3997">
        <v>0.99703940000000002</v>
      </c>
      <c r="AB3997">
        <v>33</v>
      </c>
      <c r="AC3997">
        <v>-1.97000000000002E-2</v>
      </c>
      <c r="AD3997">
        <v>-1.1099101778160001</v>
      </c>
      <c r="AE3997">
        <v>-14.71442</v>
      </c>
      <c r="AF3997">
        <v>-0.34377884496571798</v>
      </c>
      <c r="AG3997">
        <v>-1.1099101778160001</v>
      </c>
      <c r="AH3997">
        <v>14.6271469511739</v>
      </c>
      <c r="AI3997">
        <v>94.338103710249996</v>
      </c>
      <c r="AJ3997">
        <v>91.346363129008296</v>
      </c>
      <c r="AK3997">
        <v>14.6732243364675</v>
      </c>
      <c r="AL3997">
        <v>81.272090666141196</v>
      </c>
      <c r="AM3997">
        <v>90.446711658907404</v>
      </c>
      <c r="AN3997">
        <v>0.99999995182193102</v>
      </c>
    </row>
    <row r="3998" spans="1:40" x14ac:dyDescent="0.25">
      <c r="A3998" t="str">
        <f>"20190312164348923"</f>
        <v>20190312164348923</v>
      </c>
      <c r="B3998" t="str">
        <f>"1552380228919391"</f>
        <v>1552380228919391</v>
      </c>
      <c r="C3998" t="s">
        <v>40</v>
      </c>
      <c r="D3998">
        <v>4.511946</v>
      </c>
      <c r="E3998">
        <v>0.49853700000000001</v>
      </c>
      <c r="F3998" t="s">
        <v>42</v>
      </c>
      <c r="G3998">
        <v>-422.2704</v>
      </c>
      <c r="H3998" s="1">
        <v>-1.949351E-6</v>
      </c>
      <c r="I3998">
        <v>62.72495</v>
      </c>
      <c r="J3998">
        <v>-422.26499999999999</v>
      </c>
      <c r="K3998">
        <v>1.109909</v>
      </c>
      <c r="L3998">
        <v>77.636020000000002</v>
      </c>
      <c r="M3998">
        <v>-2.4758260000000001E-2</v>
      </c>
      <c r="N3998">
        <v>0</v>
      </c>
      <c r="O3998">
        <v>-0.99963670000000004</v>
      </c>
      <c r="P3998">
        <v>-1.4579E-2</v>
      </c>
      <c r="Q3998">
        <v>0.142062299999999</v>
      </c>
      <c r="R3998">
        <v>-0.98975029999999997</v>
      </c>
      <c r="S3998">
        <v>-2.7160639999999998E-3</v>
      </c>
      <c r="T3998">
        <v>-0.222998</v>
      </c>
      <c r="U3998">
        <v>-3.062592</v>
      </c>
      <c r="V3998">
        <v>-9.952051E-3</v>
      </c>
      <c r="W3998">
        <v>0.15259300000000001</v>
      </c>
      <c r="X3998">
        <v>0.98823899999999998</v>
      </c>
      <c r="Y3998">
        <v>-2.3875400000000001E-2</v>
      </c>
      <c r="Z3998">
        <v>7.2577520000000006E-2</v>
      </c>
      <c r="AA3998">
        <v>0.99707699999999999</v>
      </c>
      <c r="AB3998">
        <v>33</v>
      </c>
      <c r="AC3998">
        <v>-5.4000000000087303E-3</v>
      </c>
      <c r="AD3998">
        <v>-1.109910949351</v>
      </c>
      <c r="AE3998">
        <v>-14.91107</v>
      </c>
      <c r="AF3998">
        <v>-0.36179021192226801</v>
      </c>
      <c r="AG3998">
        <v>-1.109910949351</v>
      </c>
      <c r="AH3998">
        <v>14.8244955126883</v>
      </c>
      <c r="AI3998">
        <v>94.280480402792506</v>
      </c>
      <c r="AJ3998">
        <v>91.398019802116096</v>
      </c>
      <c r="AK3998">
        <v>14.8703887534472</v>
      </c>
      <c r="AL3998">
        <v>81.222775218315803</v>
      </c>
      <c r="AM3998">
        <v>90.576977072397398</v>
      </c>
      <c r="AN3998">
        <v>0.99999999404455298</v>
      </c>
    </row>
    <row r="3999" spans="1:40" x14ac:dyDescent="0.25">
      <c r="A3999" t="str">
        <f>"20190312164348943"</f>
        <v>20190312164348943</v>
      </c>
      <c r="B3999" t="str">
        <f>"1552380228938912"</f>
        <v>1552380228938912</v>
      </c>
      <c r="C3999" t="s">
        <v>40</v>
      </c>
      <c r="D3999">
        <v>4.594633</v>
      </c>
      <c r="E3999">
        <v>0.47227619999999998</v>
      </c>
      <c r="F3999" t="s">
        <v>42</v>
      </c>
      <c r="G3999">
        <v>-422.25279999999998</v>
      </c>
      <c r="H3999" s="1">
        <v>-1.752388E-6</v>
      </c>
      <c r="I3999">
        <v>62.276730000000001</v>
      </c>
      <c r="J3999">
        <v>-422.27280000000002</v>
      </c>
      <c r="K3999">
        <v>1.109907</v>
      </c>
      <c r="L3999">
        <v>77.319429999999997</v>
      </c>
      <c r="M3999">
        <v>-2.4686619999999999E-2</v>
      </c>
      <c r="N3999">
        <v>0</v>
      </c>
      <c r="O3999">
        <v>-0.99963840000000004</v>
      </c>
      <c r="P3999">
        <v>-1.1858479999999999E-2</v>
      </c>
      <c r="Q3999">
        <v>0.14205619999999999</v>
      </c>
      <c r="R3999">
        <v>-0.98978759999999999</v>
      </c>
      <c r="S3999">
        <v>2.4414060000000001E-3</v>
      </c>
      <c r="T3999">
        <v>-0.22133459999999999</v>
      </c>
      <c r="U3999">
        <v>-3.062897</v>
      </c>
      <c r="V3999">
        <v>-1.260172E-2</v>
      </c>
      <c r="W3999">
        <v>0.1526005</v>
      </c>
      <c r="X3999">
        <v>0.98820759999999996</v>
      </c>
      <c r="Y3999">
        <v>-2.5482790000000002E-2</v>
      </c>
      <c r="Z3999">
        <v>7.2030579999999997E-2</v>
      </c>
      <c r="AA3999">
        <v>0.99707690000000004</v>
      </c>
      <c r="AB3999">
        <v>34</v>
      </c>
      <c r="AC3999">
        <v>2.0000000000038601E-2</v>
      </c>
      <c r="AD3999">
        <v>-1.109908752388</v>
      </c>
      <c r="AE3999">
        <v>-15.0427</v>
      </c>
      <c r="AF3999">
        <v>-0.38924933160168201</v>
      </c>
      <c r="AG3999">
        <v>-1.109908752388</v>
      </c>
      <c r="AH3999">
        <v>14.956198977465</v>
      </c>
      <c r="AI3999">
        <v>94.2427439357118</v>
      </c>
      <c r="AJ3999">
        <v>91.490840718213306</v>
      </c>
      <c r="AK3999">
        <v>15.0023764895534</v>
      </c>
      <c r="AL3999">
        <v>81.222340357075296</v>
      </c>
      <c r="AM3999">
        <v>90.730601785290901</v>
      </c>
      <c r="AN3999">
        <v>0.99999998832248405</v>
      </c>
    </row>
    <row r="4000" spans="1:40" x14ac:dyDescent="0.25">
      <c r="A4000" t="str">
        <f>"20190312164348966"</f>
        <v>20190312164348966</v>
      </c>
      <c r="B4000" t="str">
        <f>"1552380228959407"</f>
        <v>1552380228959407</v>
      </c>
      <c r="C4000" t="s">
        <v>40</v>
      </c>
      <c r="D4000">
        <v>4.4313640000000003</v>
      </c>
      <c r="E4000">
        <v>0.46753319999999998</v>
      </c>
      <c r="F4000" t="s">
        <v>42</v>
      </c>
      <c r="G4000">
        <v>-421.22579999999999</v>
      </c>
      <c r="H4000" s="1">
        <v>-1.704856E-6</v>
      </c>
      <c r="I4000">
        <v>62.802880000000002</v>
      </c>
      <c r="J4000">
        <v>-422.2808</v>
      </c>
      <c r="K4000">
        <v>1.1099110000000001</v>
      </c>
      <c r="L4000">
        <v>76.990169999999907</v>
      </c>
      <c r="M4000">
        <v>-2.4612229999999999E-2</v>
      </c>
      <c r="N4000">
        <v>0</v>
      </c>
      <c r="O4000">
        <v>-0.99963999999999997</v>
      </c>
      <c r="P4000">
        <v>-8.5107329999999995E-3</v>
      </c>
      <c r="Q4000">
        <v>0.14258899999999999</v>
      </c>
      <c r="R4000">
        <v>-0.98974549999999994</v>
      </c>
      <c r="S4000">
        <v>0.2212219</v>
      </c>
      <c r="T4000">
        <v>-0.23451720000000001</v>
      </c>
      <c r="U4000">
        <v>-3.0672609999999998</v>
      </c>
      <c r="V4000">
        <v>-1.5874280000000001E-2</v>
      </c>
      <c r="W4000">
        <v>0.15314520000000001</v>
      </c>
      <c r="X4000">
        <v>0.98807619999999896</v>
      </c>
      <c r="Y4000">
        <v>-9.6256949999999994E-2</v>
      </c>
      <c r="Z4000">
        <v>7.5925939999999997E-2</v>
      </c>
      <c r="AA4000">
        <v>0.99245649999999996</v>
      </c>
      <c r="AB4000">
        <v>34</v>
      </c>
      <c r="AC4000">
        <v>1.0549999999999999</v>
      </c>
      <c r="AD4000">
        <v>-1.109912704856</v>
      </c>
      <c r="AE4000">
        <v>-14.1872899999999</v>
      </c>
      <c r="AF4000">
        <v>-1.39538779960913</v>
      </c>
      <c r="AG4000">
        <v>-1.109912704856</v>
      </c>
      <c r="AH4000">
        <v>14.0713757912152</v>
      </c>
      <c r="AI4000">
        <v>94.488078390485995</v>
      </c>
      <c r="AJ4000">
        <v>95.663220210198602</v>
      </c>
      <c r="AK4000">
        <v>14.1838862792006</v>
      </c>
      <c r="AL4000">
        <v>81.190760348764897</v>
      </c>
      <c r="AM4000">
        <v>90.920425980946305</v>
      </c>
      <c r="AN4000">
        <v>1.00000001102749</v>
      </c>
    </row>
    <row r="4001" spans="1:40" x14ac:dyDescent="0.25">
      <c r="A4001" t="str">
        <f>"20190312164348989"</f>
        <v>20190312164348989</v>
      </c>
      <c r="B4001" t="str">
        <f>"1552380228978563"</f>
        <v>1552380228978563</v>
      </c>
      <c r="C4001" t="s">
        <v>40</v>
      </c>
      <c r="D4001">
        <v>4.5689419999999998</v>
      </c>
      <c r="E4001">
        <v>0.46597169999999999</v>
      </c>
      <c r="F4001" t="s">
        <v>42</v>
      </c>
      <c r="G4001">
        <v>-421.01010000000002</v>
      </c>
      <c r="H4001" s="1">
        <v>-1.525345E-6</v>
      </c>
      <c r="I4001">
        <v>62.5182</v>
      </c>
      <c r="J4001">
        <v>-422.28919999999999</v>
      </c>
      <c r="K4001">
        <v>1.109912</v>
      </c>
      <c r="L4001">
        <v>76.647829999999999</v>
      </c>
      <c r="M4001">
        <v>-2.4535009999999999E-2</v>
      </c>
      <c r="N4001">
        <v>0</v>
      </c>
      <c r="O4001">
        <v>-0.99964219999999904</v>
      </c>
      <c r="P4001">
        <v>-4.2888129999999998E-3</v>
      </c>
      <c r="Q4001">
        <v>0.1433044</v>
      </c>
      <c r="R4001">
        <v>-0.98966989999999999</v>
      </c>
      <c r="S4001">
        <v>0.26931759999999999</v>
      </c>
      <c r="T4001">
        <v>-0.2352427</v>
      </c>
      <c r="U4001">
        <v>-3.067291</v>
      </c>
      <c r="V4001">
        <v>-2.0016570000000001E-2</v>
      </c>
      <c r="W4001">
        <v>0.15387039999999999</v>
      </c>
      <c r="X4001">
        <v>0.98788830000000005</v>
      </c>
      <c r="Y4001">
        <v>-0.11162900000000001</v>
      </c>
      <c r="Z4001">
        <v>7.6050359999999997E-2</v>
      </c>
      <c r="AA4001">
        <v>0.99083569999999999</v>
      </c>
      <c r="AB4001">
        <v>34</v>
      </c>
      <c r="AC4001">
        <v>1.2790999999999699</v>
      </c>
      <c r="AD4001">
        <v>-1.1099135253450001</v>
      </c>
      <c r="AE4001">
        <v>-14.129630000000001</v>
      </c>
      <c r="AF4001">
        <v>-1.6155177587104099</v>
      </c>
      <c r="AG4001">
        <v>-1.1099135253450001</v>
      </c>
      <c r="AH4001">
        <v>14.008256950313999</v>
      </c>
      <c r="AI4001">
        <v>94.500535056098201</v>
      </c>
      <c r="AJ4001">
        <v>96.578636470021806</v>
      </c>
      <c r="AK4001">
        <v>14.144718747591799</v>
      </c>
      <c r="AL4001">
        <v>81.148711209996904</v>
      </c>
      <c r="AM4001">
        <v>91.1607669332451</v>
      </c>
      <c r="AN4001">
        <v>1.0000000281738</v>
      </c>
    </row>
    <row r="4002" spans="1:40" x14ac:dyDescent="0.25">
      <c r="A4002" t="str">
        <f>"20190312164349009"</f>
        <v>20190312164349009</v>
      </c>
      <c r="B4002" t="str">
        <f>"1552380228999059"</f>
        <v>1552380228999059</v>
      </c>
      <c r="C4002" t="s">
        <v>40</v>
      </c>
      <c r="D4002">
        <v>4.4167110000000003</v>
      </c>
      <c r="E4002">
        <v>0.46537030000000001</v>
      </c>
      <c r="F4002" t="s">
        <v>42</v>
      </c>
      <c r="G4002">
        <v>-420.90820000000002</v>
      </c>
      <c r="H4002" s="1">
        <v>-1.382527E-6</v>
      </c>
      <c r="I4002">
        <v>62.248539999999998</v>
      </c>
      <c r="J4002">
        <v>-422.29680000000002</v>
      </c>
      <c r="K4002">
        <v>1.1099209999999999</v>
      </c>
      <c r="L4002">
        <v>76.332610000000003</v>
      </c>
      <c r="M4002">
        <v>-2.4463479999999999E-2</v>
      </c>
      <c r="N4002">
        <v>0</v>
      </c>
      <c r="O4002">
        <v>-0.99964339999999996</v>
      </c>
      <c r="P4002">
        <v>5.72487E-4</v>
      </c>
      <c r="Q4002">
        <v>0.14430999999999999</v>
      </c>
      <c r="R4002">
        <v>-0.98953250000000004</v>
      </c>
      <c r="S4002">
        <v>0.29412840000000001</v>
      </c>
      <c r="T4002">
        <v>-0.23639489999999999</v>
      </c>
      <c r="U4002">
        <v>-3.0668329999999999</v>
      </c>
      <c r="V4002">
        <v>-2.4802100000000001E-2</v>
      </c>
      <c r="W4002">
        <v>0.154883299999999</v>
      </c>
      <c r="X4002">
        <v>0.98762139999999998</v>
      </c>
      <c r="Y4002">
        <v>-0.1195136</v>
      </c>
      <c r="Z4002">
        <v>7.6368899999999906E-2</v>
      </c>
      <c r="AA4002">
        <v>0.98989110000000002</v>
      </c>
      <c r="AB4002">
        <v>34</v>
      </c>
      <c r="AC4002">
        <v>1.3885999999999901</v>
      </c>
      <c r="AD4002">
        <v>-1.1099223825269999</v>
      </c>
      <c r="AE4002">
        <v>-14.084069999999899</v>
      </c>
      <c r="AF4002">
        <v>-1.7221569435567901</v>
      </c>
      <c r="AG4002">
        <v>-1.1099223825269999</v>
      </c>
      <c r="AH4002">
        <v>13.9600180733692</v>
      </c>
      <c r="AI4002">
        <v>94.511806981294399</v>
      </c>
      <c r="AJ4002">
        <v>97.032676844999301</v>
      </c>
      <c r="AK4002">
        <v>14.1095661464933</v>
      </c>
      <c r="AL4002">
        <v>81.089971946493407</v>
      </c>
      <c r="AM4002">
        <v>91.438564445132698</v>
      </c>
      <c r="AN4002">
        <v>1.0000000052606299</v>
      </c>
    </row>
    <row r="4003" spans="1:40" x14ac:dyDescent="0.25">
      <c r="A4003" t="str">
        <f>"20190312164349033"</f>
        <v>20190312164349033</v>
      </c>
      <c r="B4003" t="str">
        <f>"1552380229029315"</f>
        <v>1552380229029315</v>
      </c>
      <c r="C4003" t="s">
        <v>40</v>
      </c>
      <c r="D4003">
        <v>4.5167630000000001</v>
      </c>
      <c r="E4003">
        <v>0.46543370000000001</v>
      </c>
      <c r="F4003" t="s">
        <v>42</v>
      </c>
      <c r="G4003">
        <v>-420.8098</v>
      </c>
      <c r="H4003" s="1">
        <v>-1.1643799999999999E-6</v>
      </c>
      <c r="I4003">
        <v>61.80106</v>
      </c>
      <c r="J4003">
        <v>-422.30509999999998</v>
      </c>
      <c r="K4003">
        <v>1.1099270000000001</v>
      </c>
      <c r="L4003">
        <v>75.990049999999997</v>
      </c>
      <c r="M4003">
        <v>-2.438597E-2</v>
      </c>
      <c r="N4003">
        <v>0</v>
      </c>
      <c r="O4003">
        <v>-0.99964549999999996</v>
      </c>
      <c r="P4003">
        <v>6.316225E-3</v>
      </c>
      <c r="Q4003">
        <v>0.1455234</v>
      </c>
      <c r="R4003">
        <v>-0.98933490000000002</v>
      </c>
      <c r="S4003">
        <v>0.31372070000000002</v>
      </c>
      <c r="T4003">
        <v>-0.23415900000000001</v>
      </c>
      <c r="U4003">
        <v>-3.0657040000000002</v>
      </c>
      <c r="V4003">
        <v>-3.0462949999999999E-2</v>
      </c>
      <c r="W4003">
        <v>0.15610560000000001</v>
      </c>
      <c r="X4003">
        <v>0.98727050000000005</v>
      </c>
      <c r="Y4003">
        <v>-0.1257392</v>
      </c>
      <c r="Z4003">
        <v>7.5625699999999907E-2</v>
      </c>
      <c r="AA4003">
        <v>0.98917659999999996</v>
      </c>
      <c r="AB4003">
        <v>34</v>
      </c>
      <c r="AC4003">
        <v>1.4952999999999801</v>
      </c>
      <c r="AD4003">
        <v>-1.1099281643799901</v>
      </c>
      <c r="AE4003">
        <v>-14.188989999999899</v>
      </c>
      <c r="AF4003">
        <v>-1.82981350982625</v>
      </c>
      <c r="AG4003">
        <v>-1.1099281643799901</v>
      </c>
      <c r="AH4003">
        <v>14.063194811424699</v>
      </c>
      <c r="AI4003">
        <v>94.475109693224894</v>
      </c>
      <c r="AJ4003">
        <v>97.413315090903495</v>
      </c>
      <c r="AK4003">
        <v>14.2251047909993</v>
      </c>
      <c r="AL4003">
        <v>81.019076905310101</v>
      </c>
      <c r="AM4003">
        <v>91.767342248578203</v>
      </c>
      <c r="AN4003">
        <v>0.99999999492215597</v>
      </c>
    </row>
    <row r="4004" spans="1:40" x14ac:dyDescent="0.25">
      <c r="A4004" t="str">
        <f>"20190312164349055"</f>
        <v>20190312164349055</v>
      </c>
      <c r="B4004" t="str">
        <f>"1552380229048834"</f>
        <v>1552380229048834</v>
      </c>
      <c r="C4004" t="s">
        <v>40</v>
      </c>
      <c r="D4004">
        <v>4.5720679999999998</v>
      </c>
      <c r="E4004">
        <v>0.46554269999999998</v>
      </c>
      <c r="F4004" t="s">
        <v>42</v>
      </c>
      <c r="G4004">
        <v>-420.70979999999997</v>
      </c>
      <c r="H4004" s="1">
        <v>-8.7472439999999996E-7</v>
      </c>
      <c r="I4004">
        <v>61.18788</v>
      </c>
      <c r="J4004">
        <v>-422.31330000000003</v>
      </c>
      <c r="K4004">
        <v>1.1099270000000001</v>
      </c>
      <c r="L4004">
        <v>75.649839999999998</v>
      </c>
      <c r="M4004">
        <v>-2.4308929999999999E-2</v>
      </c>
      <c r="N4004">
        <v>0</v>
      </c>
      <c r="O4004">
        <v>-0.99964719999999996</v>
      </c>
      <c r="P4004">
        <v>1.227289E-2</v>
      </c>
      <c r="Q4004">
        <v>0.14555119999999999</v>
      </c>
      <c r="R4004">
        <v>-0.98927489999999996</v>
      </c>
      <c r="S4004">
        <v>0.33023069999999999</v>
      </c>
      <c r="T4004">
        <v>-0.22975329999999999</v>
      </c>
      <c r="U4004">
        <v>-3.0640260000000001</v>
      </c>
      <c r="V4004">
        <v>-3.6340150000000002E-2</v>
      </c>
      <c r="W4004">
        <v>0.1561466</v>
      </c>
      <c r="X4004">
        <v>0.98706510000000003</v>
      </c>
      <c r="Y4004">
        <v>-0.13099910000000001</v>
      </c>
      <c r="Z4004">
        <v>7.4205080000000007E-2</v>
      </c>
      <c r="AA4004">
        <v>0.98860139999999996</v>
      </c>
      <c r="AB4004">
        <v>34</v>
      </c>
      <c r="AC4004">
        <v>1.6035000000000501</v>
      </c>
      <c r="AD4004">
        <v>-1.1099278747243999</v>
      </c>
      <c r="AE4004">
        <v>-14.4619599999999</v>
      </c>
      <c r="AF4004">
        <v>-1.9432935009165799</v>
      </c>
      <c r="AG4004">
        <v>-1.1099278747243999</v>
      </c>
      <c r="AH4004">
        <v>14.335291041636699</v>
      </c>
      <c r="AI4004">
        <v>94.387394326454896</v>
      </c>
      <c r="AJ4004">
        <v>97.719962449879105</v>
      </c>
      <c r="AK4004">
        <v>14.5089247970421</v>
      </c>
      <c r="AL4004">
        <v>81.016698110902993</v>
      </c>
      <c r="AM4004">
        <v>92.1084700953474</v>
      </c>
      <c r="AN4004">
        <v>0.99999993941579401</v>
      </c>
    </row>
    <row r="4005" spans="1:40" x14ac:dyDescent="0.25">
      <c r="A4005" t="str">
        <f>"20190312164349078"</f>
        <v>20190312164349078</v>
      </c>
      <c r="B4005" t="str">
        <f>"1552380229069331"</f>
        <v>1552380229069331</v>
      </c>
      <c r="C4005" t="s">
        <v>40</v>
      </c>
      <c r="D4005">
        <v>4.3665690000000001</v>
      </c>
      <c r="E4005">
        <v>0.46600000000000003</v>
      </c>
      <c r="F4005" t="s">
        <v>42</v>
      </c>
      <c r="G4005">
        <v>-420.63490000000002</v>
      </c>
      <c r="H4005" s="1">
        <v>-7.1049740000000001E-7</v>
      </c>
      <c r="I4005">
        <v>60.851520000000001</v>
      </c>
      <c r="J4005">
        <v>-422.32150000000001</v>
      </c>
      <c r="K4005">
        <v>1.109923</v>
      </c>
      <c r="L4005">
        <v>75.307859999999906</v>
      </c>
      <c r="M4005">
        <v>-2.423117E-2</v>
      </c>
      <c r="N4005">
        <v>0</v>
      </c>
      <c r="O4005">
        <v>-0.9996486</v>
      </c>
      <c r="P4005">
        <v>1.861726E-2</v>
      </c>
      <c r="Q4005">
        <v>0.14488229999999999</v>
      </c>
      <c r="R4005">
        <v>-0.98927379999999998</v>
      </c>
      <c r="S4005">
        <v>0.34728999999999999</v>
      </c>
      <c r="T4005">
        <v>-0.2296619</v>
      </c>
      <c r="U4005">
        <v>-3.0620120000000002</v>
      </c>
      <c r="V4005">
        <v>-4.2605610000000002E-2</v>
      </c>
      <c r="W4005">
        <v>0.1554914</v>
      </c>
      <c r="X4005">
        <v>0.98691799999999996</v>
      </c>
      <c r="Y4005">
        <v>-0.13643060000000001</v>
      </c>
      <c r="Z4005">
        <v>7.4174340000000005E-2</v>
      </c>
      <c r="AA4005">
        <v>0.98786879999999999</v>
      </c>
      <c r="AB4005">
        <v>34</v>
      </c>
      <c r="AC4005">
        <v>1.6865999999999901</v>
      </c>
      <c r="AD4005">
        <v>-1.10992371049739</v>
      </c>
      <c r="AE4005">
        <v>-14.4563399999999</v>
      </c>
      <c r="AF4005">
        <v>-2.0246443788698398</v>
      </c>
      <c r="AG4005">
        <v>-1.10992371049739</v>
      </c>
      <c r="AH4005">
        <v>14.3278982257305</v>
      </c>
      <c r="AI4005">
        <v>94.386220515336703</v>
      </c>
      <c r="AJ4005">
        <v>98.043090516445702</v>
      </c>
      <c r="AK4005">
        <v>14.5127455386948</v>
      </c>
      <c r="AL4005">
        <v>81.054702839559994</v>
      </c>
      <c r="AM4005">
        <v>92.471944822066305</v>
      </c>
      <c r="AN4005">
        <v>0.999999976100715</v>
      </c>
    </row>
    <row r="4006" spans="1:40" x14ac:dyDescent="0.25">
      <c r="A4006" t="str">
        <f>"20190312164349099"</f>
        <v>20190312164349099</v>
      </c>
      <c r="B4006" t="str">
        <f>"1552380229088861"</f>
        <v>1552380229088861</v>
      </c>
      <c r="C4006" t="s">
        <v>40</v>
      </c>
      <c r="D4006">
        <v>4.4888659999999998</v>
      </c>
      <c r="E4006">
        <v>0.46636689999999997</v>
      </c>
      <c r="F4006" t="s">
        <v>42</v>
      </c>
      <c r="G4006">
        <v>-420.58460000000002</v>
      </c>
      <c r="H4006" s="1">
        <v>-6.3133290000000001E-7</v>
      </c>
      <c r="I4006">
        <v>60.698180000000001</v>
      </c>
      <c r="J4006">
        <v>-422.32940000000002</v>
      </c>
      <c r="K4006">
        <v>1.109926</v>
      </c>
      <c r="L4006">
        <v>74.979100000000003</v>
      </c>
      <c r="M4006">
        <v>-2.4156690000000001E-2</v>
      </c>
      <c r="N4006">
        <v>0</v>
      </c>
      <c r="O4006">
        <v>-0.99965029999999999</v>
      </c>
      <c r="P4006">
        <v>2.570923E-2</v>
      </c>
      <c r="Q4006">
        <v>0.14450189999999999</v>
      </c>
      <c r="R4006">
        <v>-0.98917049999999995</v>
      </c>
      <c r="S4006">
        <v>0.36376950000000002</v>
      </c>
      <c r="T4006">
        <v>-0.23245260000000001</v>
      </c>
      <c r="U4006">
        <v>-3.059723</v>
      </c>
      <c r="V4006">
        <v>-4.9619290000000003E-2</v>
      </c>
      <c r="W4006">
        <v>0.15512590000000001</v>
      </c>
      <c r="X4006">
        <v>0.98664779999999996</v>
      </c>
      <c r="Y4006">
        <v>-0.14167929999999901</v>
      </c>
      <c r="Z4006">
        <v>7.5075260000000005E-2</v>
      </c>
      <c r="AA4006">
        <v>0.98706159999999998</v>
      </c>
      <c r="AB4006">
        <v>34</v>
      </c>
      <c r="AC4006">
        <v>1.7447999999999899</v>
      </c>
      <c r="AD4006">
        <v>-1.1099266313328999</v>
      </c>
      <c r="AE4006">
        <v>-14.280919999999901</v>
      </c>
      <c r="AF4006">
        <v>-2.0769292366833501</v>
      </c>
      <c r="AG4006">
        <v>-1.1099266313328999</v>
      </c>
      <c r="AH4006">
        <v>14.150382216954799</v>
      </c>
      <c r="AI4006">
        <v>94.437626859791706</v>
      </c>
      <c r="AJ4006">
        <v>98.3499951205646</v>
      </c>
      <c r="AK4006">
        <v>14.3449952620084</v>
      </c>
      <c r="AL4006">
        <v>81.075901889572094</v>
      </c>
      <c r="AM4006">
        <v>92.879024051962602</v>
      </c>
      <c r="AN4006">
        <v>1.0000000000178699</v>
      </c>
    </row>
    <row r="4007" spans="1:40" x14ac:dyDescent="0.25">
      <c r="A4007" t="str">
        <f>"20190312164349123"</f>
        <v>20190312164349123</v>
      </c>
      <c r="B4007" t="str">
        <f>"1552380229119118"</f>
        <v>1552380229119118</v>
      </c>
      <c r="C4007" t="s">
        <v>40</v>
      </c>
      <c r="D4007">
        <v>4.4396599999999999</v>
      </c>
      <c r="E4007">
        <v>0.46716249999999998</v>
      </c>
      <c r="F4007" t="s">
        <v>42</v>
      </c>
      <c r="G4007">
        <v>-420.49610000000001</v>
      </c>
      <c r="H4007" s="1">
        <v>-4.5315540000000001E-7</v>
      </c>
      <c r="I4007">
        <v>60.337719999999997</v>
      </c>
      <c r="J4007">
        <v>-422.33760000000001</v>
      </c>
      <c r="K4007">
        <v>1.1099300000000001</v>
      </c>
      <c r="L4007">
        <v>74.637879999999996</v>
      </c>
      <c r="M4007">
        <v>-2.4079039999999999E-2</v>
      </c>
      <c r="N4007">
        <v>0</v>
      </c>
      <c r="O4007">
        <v>-0.99965199999999999</v>
      </c>
      <c r="P4007">
        <v>3.2781619999999997E-2</v>
      </c>
      <c r="Q4007">
        <v>0.14476240000000001</v>
      </c>
      <c r="R4007">
        <v>-0.98892349999999996</v>
      </c>
      <c r="S4007">
        <v>0.38275150000000002</v>
      </c>
      <c r="T4007">
        <v>-0.23172329999999999</v>
      </c>
      <c r="U4007">
        <v>-3.0567319999999998</v>
      </c>
      <c r="V4007">
        <v>-5.6607159999999997E-2</v>
      </c>
      <c r="W4007">
        <v>0.1554024</v>
      </c>
      <c r="X4007">
        <v>0.98622799999999999</v>
      </c>
      <c r="Y4007">
        <v>-0.14775439999999901</v>
      </c>
      <c r="Z4007">
        <v>7.4852180000000004E-2</v>
      </c>
      <c r="AA4007">
        <v>0.98618749999999999</v>
      </c>
      <c r="AB4007">
        <v>34</v>
      </c>
      <c r="AC4007">
        <v>1.8414999999999899</v>
      </c>
      <c r="AD4007">
        <v>-1.1099304531554</v>
      </c>
      <c r="AE4007">
        <v>-14.30016</v>
      </c>
      <c r="AF4007">
        <v>-2.17244604926525</v>
      </c>
      <c r="AG4007">
        <v>-1.1099304531554</v>
      </c>
      <c r="AH4007">
        <v>14.1677103029888</v>
      </c>
      <c r="AI4007">
        <v>94.4279868315366</v>
      </c>
      <c r="AJ4007">
        <v>98.717709062887096</v>
      </c>
      <c r="AK4007">
        <v>14.376212389820401</v>
      </c>
      <c r="AL4007">
        <v>81.059864878109806</v>
      </c>
      <c r="AM4007">
        <v>93.285038199648696</v>
      </c>
      <c r="AN4007">
        <v>0.99999997223651205</v>
      </c>
    </row>
    <row r="4008" spans="1:40" x14ac:dyDescent="0.25">
      <c r="A4008" t="str">
        <f>"20190312164349144"</f>
        <v>20190312164349144</v>
      </c>
      <c r="B4008" t="str">
        <f>"1552380229138637"</f>
        <v>1552380229138637</v>
      </c>
      <c r="C4008" t="s">
        <v>40</v>
      </c>
      <c r="D4008">
        <v>4.5372760000000003</v>
      </c>
      <c r="E4008">
        <v>0.46792050000000002</v>
      </c>
      <c r="F4008" t="s">
        <v>42</v>
      </c>
      <c r="G4008">
        <v>-420.40789999999998</v>
      </c>
      <c r="H4008" s="1">
        <v>-2.185058E-7</v>
      </c>
      <c r="I4008">
        <v>59.84543</v>
      </c>
      <c r="J4008">
        <v>-422.34559999999999</v>
      </c>
      <c r="K4008">
        <v>1.1099300000000001</v>
      </c>
      <c r="L4008">
        <v>74.302189999999996</v>
      </c>
      <c r="M4008">
        <v>-2.4003219999999999E-2</v>
      </c>
      <c r="N4008">
        <v>0</v>
      </c>
      <c r="O4008">
        <v>-0.99965340000000003</v>
      </c>
      <c r="P4008">
        <v>4.0554260000000002E-2</v>
      </c>
      <c r="Q4008">
        <v>0.14561250000000001</v>
      </c>
      <c r="R4008">
        <v>-0.98851009999999995</v>
      </c>
      <c r="S4008">
        <v>0.39837650000000002</v>
      </c>
      <c r="T4008">
        <v>-0.2291492</v>
      </c>
      <c r="U4008">
        <v>-3.0539550000000002</v>
      </c>
      <c r="V4008">
        <v>-6.4292940000000007E-2</v>
      </c>
      <c r="W4008">
        <v>0.15626479999999901</v>
      </c>
      <c r="X4008">
        <v>0.98562050000000001</v>
      </c>
      <c r="Y4008">
        <v>-0.15276039999999999</v>
      </c>
      <c r="Z4008">
        <v>7.4039779999999999E-2</v>
      </c>
      <c r="AA4008">
        <v>0.98548590000000003</v>
      </c>
      <c r="AB4008">
        <v>34</v>
      </c>
      <c r="AC4008">
        <v>1.9377</v>
      </c>
      <c r="AD4008">
        <v>-1.10993021850579</v>
      </c>
      <c r="AE4008">
        <v>-14.4567599999999</v>
      </c>
      <c r="AF4008">
        <v>-2.2710203701334799</v>
      </c>
      <c r="AG4008">
        <v>-1.10993021850579</v>
      </c>
      <c r="AH4008">
        <v>14.3231422530373</v>
      </c>
      <c r="AI4008">
        <v>94.376657461597105</v>
      </c>
      <c r="AJ4008">
        <v>99.009589728550196</v>
      </c>
      <c r="AK4008">
        <v>14.5444794548398</v>
      </c>
      <c r="AL4008">
        <v>81.009842312234795</v>
      </c>
      <c r="AM4008">
        <v>93.732169316613096</v>
      </c>
      <c r="AN4008">
        <v>1.00000001993656</v>
      </c>
    </row>
    <row r="4009" spans="1:40" x14ac:dyDescent="0.25">
      <c r="A4009" t="str">
        <f>"20190312164349166"</f>
        <v>20190312164349166</v>
      </c>
      <c r="B4009" t="str">
        <f>"1552380229159133"</f>
        <v>1552380229159133</v>
      </c>
      <c r="C4009" t="s">
        <v>40</v>
      </c>
      <c r="D4009">
        <v>4.408093</v>
      </c>
      <c r="E4009">
        <v>0.46890959999999998</v>
      </c>
      <c r="F4009" t="s">
        <v>42</v>
      </c>
      <c r="G4009">
        <v>-420.3023</v>
      </c>
      <c r="H4009" s="1">
        <v>-4.2506719999999999E-6</v>
      </c>
      <c r="I4009">
        <v>59.32</v>
      </c>
      <c r="J4009">
        <v>-422.3535</v>
      </c>
      <c r="K4009">
        <v>1.1099410000000001</v>
      </c>
      <c r="L4009">
        <v>73.968199999999996</v>
      </c>
      <c r="M4009">
        <v>-2.392826E-2</v>
      </c>
      <c r="N4009">
        <v>0</v>
      </c>
      <c r="O4009">
        <v>-0.99965530000000002</v>
      </c>
      <c r="P4009">
        <v>4.9037310000000001E-2</v>
      </c>
      <c r="Q4009">
        <v>0.1461874</v>
      </c>
      <c r="R4009">
        <v>-0.98804119999999995</v>
      </c>
      <c r="S4009">
        <v>0.41610720000000001</v>
      </c>
      <c r="T4009">
        <v>-0.2260355</v>
      </c>
      <c r="U4009">
        <v>-3.0510860000000002</v>
      </c>
      <c r="V4009">
        <v>-7.2688820000000001E-2</v>
      </c>
      <c r="W4009">
        <v>0.1568493</v>
      </c>
      <c r="X4009">
        <v>0.98494400000000004</v>
      </c>
      <c r="Y4009">
        <v>-0.1584391</v>
      </c>
      <c r="Z4009">
        <v>7.3046390000000003E-2</v>
      </c>
      <c r="AA4009">
        <v>0.98466299999999995</v>
      </c>
      <c r="AB4009">
        <v>34</v>
      </c>
      <c r="AC4009">
        <v>2.0511999999999899</v>
      </c>
      <c r="AD4009">
        <v>-1.109945250672</v>
      </c>
      <c r="AE4009">
        <v>-14.6481999999999</v>
      </c>
      <c r="AF4009">
        <v>-2.3876934401049699</v>
      </c>
      <c r="AG4009">
        <v>-1.109945250672</v>
      </c>
      <c r="AH4009">
        <v>14.5131941756826</v>
      </c>
      <c r="AI4009">
        <v>94.315583611321998</v>
      </c>
      <c r="AJ4009">
        <v>99.3425435910587</v>
      </c>
      <c r="AK4009">
        <v>14.750114020050001</v>
      </c>
      <c r="AL4009">
        <v>80.975934861892199</v>
      </c>
      <c r="AM4009">
        <v>94.220774158807401</v>
      </c>
      <c r="AN4009">
        <v>1.0000000252997401</v>
      </c>
    </row>
    <row r="4010" spans="1:40" x14ac:dyDescent="0.25">
      <c r="A4010" t="str">
        <f>"20190312164349188"</f>
        <v>20190312164349188</v>
      </c>
      <c r="B4010" t="str">
        <f>"1552380229178653"</f>
        <v>1552380229178653</v>
      </c>
      <c r="C4010" t="s">
        <v>40</v>
      </c>
      <c r="D4010">
        <v>4.5971820000000001</v>
      </c>
      <c r="E4010">
        <v>0.48048760000000001</v>
      </c>
      <c r="F4010" t="s">
        <v>42</v>
      </c>
      <c r="G4010">
        <v>-420.19110000000001</v>
      </c>
      <c r="H4010" s="1">
        <v>-4.0067430000000002E-6</v>
      </c>
      <c r="I4010">
        <v>58.810369999999899</v>
      </c>
      <c r="J4010">
        <v>-422.36130000000003</v>
      </c>
      <c r="K4010">
        <v>1.109947</v>
      </c>
      <c r="L4010">
        <v>73.63937</v>
      </c>
      <c r="M4010">
        <v>-2.3854230000000001E-2</v>
      </c>
      <c r="N4010">
        <v>0</v>
      </c>
      <c r="O4010">
        <v>-0.99965669999999995</v>
      </c>
      <c r="P4010">
        <v>5.8209419999999998E-2</v>
      </c>
      <c r="Q4010">
        <v>0.1469375</v>
      </c>
      <c r="R4010">
        <v>-0.98743170000000002</v>
      </c>
      <c r="S4010">
        <v>0.4347839</v>
      </c>
      <c r="T4010">
        <v>-0.22317480000000001</v>
      </c>
      <c r="U4010">
        <v>-3.0477599999999998</v>
      </c>
      <c r="V4010">
        <v>-8.1770529999999994E-2</v>
      </c>
      <c r="W4010">
        <v>0.15760739999999901</v>
      </c>
      <c r="X4010">
        <v>0.9841105</v>
      </c>
      <c r="Y4010">
        <v>-0.16443489999999999</v>
      </c>
      <c r="Z4010">
        <v>7.2138720000000003E-2</v>
      </c>
      <c r="AA4010">
        <v>0.98374649999999997</v>
      </c>
      <c r="AB4010">
        <v>34</v>
      </c>
      <c r="AC4010">
        <v>2.1702000000000199</v>
      </c>
      <c r="AD4010">
        <v>-1.1099510067430001</v>
      </c>
      <c r="AE4010">
        <v>-14.829000000000001</v>
      </c>
      <c r="AF4010">
        <v>-2.5095724186311701</v>
      </c>
      <c r="AG4010">
        <v>-1.1099510067430001</v>
      </c>
      <c r="AH4010">
        <v>14.692419752482801</v>
      </c>
      <c r="AI4010">
        <v>94.258803661304498</v>
      </c>
      <c r="AJ4010">
        <v>99.692994483654701</v>
      </c>
      <c r="AK4010">
        <v>14.94647594401</v>
      </c>
      <c r="AL4010">
        <v>80.931951598454205</v>
      </c>
      <c r="AM4010">
        <v>94.749841186260696</v>
      </c>
      <c r="AN4010">
        <v>0.99999999416074503</v>
      </c>
    </row>
    <row r="4011" spans="1:40" x14ac:dyDescent="0.25">
      <c r="A4011" t="str">
        <f>"20190312164349210"</f>
        <v>20190312164349210</v>
      </c>
      <c r="B4011" t="str">
        <f>"1552380229199149"</f>
        <v>1552380229199149</v>
      </c>
      <c r="C4011" t="s">
        <v>40</v>
      </c>
      <c r="D4011">
        <v>4.6335879999999996</v>
      </c>
      <c r="E4011">
        <v>0.4813096</v>
      </c>
      <c r="F4011" t="s">
        <v>42</v>
      </c>
      <c r="G4011">
        <v>-420.26530000000002</v>
      </c>
      <c r="H4011" s="1">
        <v>-2.969236E-6</v>
      </c>
      <c r="I4011">
        <v>56.345910000000003</v>
      </c>
      <c r="J4011">
        <v>-422.36930000000001</v>
      </c>
      <c r="K4011">
        <v>1.1099490000000001</v>
      </c>
      <c r="L4011">
        <v>73.300259999999994</v>
      </c>
      <c r="M4011">
        <v>-2.377779E-2</v>
      </c>
      <c r="N4011">
        <v>0</v>
      </c>
      <c r="O4011">
        <v>-0.99965839999999995</v>
      </c>
      <c r="P4011">
        <v>6.6579239999999998E-2</v>
      </c>
      <c r="Q4011">
        <v>0.14856900000000001</v>
      </c>
      <c r="R4011">
        <v>-0.98665879999999995</v>
      </c>
      <c r="S4011">
        <v>0.3691101</v>
      </c>
      <c r="T4011">
        <v>-0.19547010000000001</v>
      </c>
      <c r="U4011">
        <v>-3.0455019999999999</v>
      </c>
      <c r="V4011">
        <v>-9.0044230000000003E-2</v>
      </c>
      <c r="W4011">
        <v>0.15924959999999999</v>
      </c>
      <c r="X4011">
        <v>0.98312339999999998</v>
      </c>
      <c r="Y4011">
        <v>-0.14364759999999999</v>
      </c>
      <c r="Z4011">
        <v>6.3460790000000003E-2</v>
      </c>
      <c r="AA4011">
        <v>0.98759209999999997</v>
      </c>
      <c r="AB4011">
        <v>34</v>
      </c>
      <c r="AC4011">
        <v>2.1039999999999801</v>
      </c>
      <c r="AD4011">
        <v>-1.109951969236</v>
      </c>
      <c r="AE4011">
        <v>-16.954349999999899</v>
      </c>
      <c r="AF4011">
        <v>-2.4960301789001802</v>
      </c>
      <c r="AG4011">
        <v>-1.109951969236</v>
      </c>
      <c r="AH4011">
        <v>16.828492495755999</v>
      </c>
      <c r="AI4011">
        <v>93.732855883202703</v>
      </c>
      <c r="AJ4011">
        <v>98.436697553168003</v>
      </c>
      <c r="AK4011">
        <v>17.048762996408499</v>
      </c>
      <c r="AL4011">
        <v>80.836657066064006</v>
      </c>
      <c r="AM4011">
        <v>95.233117523873702</v>
      </c>
      <c r="AN4011">
        <v>1.000000009042</v>
      </c>
    </row>
    <row r="4012" spans="1:40" x14ac:dyDescent="0.25">
      <c r="A4012" t="str">
        <f>"20190312164349234"</f>
        <v>20190312164349234</v>
      </c>
      <c r="B4012" t="str">
        <f>"1552380229228433"</f>
        <v>1552380229228433</v>
      </c>
      <c r="C4012" t="s">
        <v>40</v>
      </c>
      <c r="D4012">
        <v>4.3868879999999999</v>
      </c>
      <c r="E4012">
        <v>0.482823</v>
      </c>
      <c r="F4012" t="s">
        <v>42</v>
      </c>
      <c r="G4012">
        <v>-420.19189999999998</v>
      </c>
      <c r="H4012" s="1">
        <v>-2.9158979999999998E-6</v>
      </c>
      <c r="I4012">
        <v>56.267090000000003</v>
      </c>
      <c r="J4012">
        <v>-422.37740000000002</v>
      </c>
      <c r="K4012">
        <v>1.10996299999999</v>
      </c>
      <c r="L4012">
        <v>72.953280000000007</v>
      </c>
      <c r="M4012">
        <v>-2.3699439999999999E-2</v>
      </c>
      <c r="N4012">
        <v>0</v>
      </c>
      <c r="O4012">
        <v>-0.99966010000000005</v>
      </c>
      <c r="P4012">
        <v>7.4114410000000006E-2</v>
      </c>
      <c r="Q4012">
        <v>0.1501825</v>
      </c>
      <c r="R4012">
        <v>-0.98587670000000005</v>
      </c>
      <c r="S4012">
        <v>0.38912960000000002</v>
      </c>
      <c r="T4012">
        <v>-0.19836999999999999</v>
      </c>
      <c r="U4012">
        <v>-3.0441590000000001</v>
      </c>
      <c r="V4012">
        <v>-9.7482349999999995E-2</v>
      </c>
      <c r="W4012">
        <v>0.1608773</v>
      </c>
      <c r="X4012">
        <v>0.98214849999999998</v>
      </c>
      <c r="Y4012">
        <v>-0.15000720000000001</v>
      </c>
      <c r="Z4012">
        <v>6.4370060000000007E-2</v>
      </c>
      <c r="AA4012">
        <v>0.9865872</v>
      </c>
      <c r="AB4012">
        <v>34</v>
      </c>
      <c r="AC4012">
        <v>2.1855000000000402</v>
      </c>
      <c r="AD4012">
        <v>-1.10996591589799</v>
      </c>
      <c r="AE4012">
        <v>-16.68619</v>
      </c>
      <c r="AF4012">
        <v>-2.5691860853197301</v>
      </c>
      <c r="AG4012">
        <v>-1.10996591589799</v>
      </c>
      <c r="AH4012">
        <v>16.557673972275801</v>
      </c>
      <c r="AI4012">
        <v>93.789943222254607</v>
      </c>
      <c r="AJ4012">
        <v>98.820014105293097</v>
      </c>
      <c r="AK4012">
        <v>16.792537296300299</v>
      </c>
      <c r="AL4012">
        <v>80.742178448467897</v>
      </c>
      <c r="AM4012">
        <v>95.668281121154607</v>
      </c>
      <c r="AN4012">
        <v>0.99999999513453097</v>
      </c>
    </row>
    <row r="4013" spans="1:40" x14ac:dyDescent="0.25">
      <c r="A4013" t="str">
        <f>"20190312164349256"</f>
        <v>20190312164349256</v>
      </c>
      <c r="B4013" t="str">
        <f>"1552380229248926"</f>
        <v>1552380229248926</v>
      </c>
      <c r="C4013" t="s">
        <v>40</v>
      </c>
      <c r="D4013">
        <v>4.3639929999999998</v>
      </c>
      <c r="E4013">
        <v>0.48421940000000002</v>
      </c>
      <c r="F4013" t="s">
        <v>42</v>
      </c>
      <c r="G4013">
        <v>-420.18880000000001</v>
      </c>
      <c r="H4013" s="1">
        <v>-2.9253030000000001E-6</v>
      </c>
      <c r="I4013">
        <v>56.290959999999998</v>
      </c>
      <c r="J4013">
        <v>-422.3854</v>
      </c>
      <c r="K4013">
        <v>1.10997099999999</v>
      </c>
      <c r="L4013">
        <v>72.614109999999997</v>
      </c>
      <c r="M4013">
        <v>-2.3622779999999999E-2</v>
      </c>
      <c r="N4013">
        <v>0</v>
      </c>
      <c r="O4013">
        <v>-0.99966129999999997</v>
      </c>
      <c r="P4013">
        <v>8.0838359999999998E-2</v>
      </c>
      <c r="Q4013">
        <v>0.15073780000000001</v>
      </c>
      <c r="R4013">
        <v>-0.985263</v>
      </c>
      <c r="S4013">
        <v>0.39981080000000002</v>
      </c>
      <c r="T4013">
        <v>-0.2027632</v>
      </c>
      <c r="U4013">
        <v>-3.043793</v>
      </c>
      <c r="V4013">
        <v>-0.10411430000000001</v>
      </c>
      <c r="W4013">
        <v>0.16145419999999999</v>
      </c>
      <c r="X4013">
        <v>0.98137289999999999</v>
      </c>
      <c r="Y4013">
        <v>-0.15333840000000001</v>
      </c>
      <c r="Z4013">
        <v>6.5765809999999994E-2</v>
      </c>
      <c r="AA4013">
        <v>0.98598280000000005</v>
      </c>
      <c r="AB4013">
        <v>34</v>
      </c>
      <c r="AC4013">
        <v>2.1965999999999801</v>
      </c>
      <c r="AD4013">
        <v>-1.1099739253030001</v>
      </c>
      <c r="AE4013">
        <v>-16.323149999999998</v>
      </c>
      <c r="AF4013">
        <v>-2.56993611483073</v>
      </c>
      <c r="AG4013">
        <v>-1.1099739253030001</v>
      </c>
      <c r="AH4013">
        <v>16.1931561909038</v>
      </c>
      <c r="AI4013">
        <v>93.8729343691396</v>
      </c>
      <c r="AJ4013">
        <v>99.017920717025802</v>
      </c>
      <c r="AK4013">
        <v>16.433347838227299</v>
      </c>
      <c r="AL4013">
        <v>80.708686802616</v>
      </c>
      <c r="AM4013">
        <v>96.055883228236993</v>
      </c>
      <c r="AN4013">
        <v>1.00000000750826</v>
      </c>
    </row>
    <row r="4014" spans="1:40" x14ac:dyDescent="0.25">
      <c r="A4014" t="str">
        <f>"20190312164349278"</f>
        <v>20190312164349278</v>
      </c>
      <c r="B4014" t="str">
        <f>"1552380229268445"</f>
        <v>1552380229268445</v>
      </c>
      <c r="C4014" t="s">
        <v>40</v>
      </c>
      <c r="D4014">
        <v>4.5293080000000003</v>
      </c>
      <c r="E4014">
        <v>0.48563220000000001</v>
      </c>
      <c r="F4014" t="s">
        <v>42</v>
      </c>
      <c r="G4014">
        <v>-420.1198</v>
      </c>
      <c r="H4014" s="1">
        <v>-2.6662169999999998E-6</v>
      </c>
      <c r="I4014">
        <v>55.729799999999997</v>
      </c>
      <c r="J4014">
        <v>-422.3931</v>
      </c>
      <c r="K4014">
        <v>1.109985</v>
      </c>
      <c r="L4014">
        <v>72.284790000000001</v>
      </c>
      <c r="M4014">
        <v>-2.354844E-2</v>
      </c>
      <c r="N4014">
        <v>0</v>
      </c>
      <c r="O4014">
        <v>-0.99966270000000002</v>
      </c>
      <c r="P4014">
        <v>8.609E-2</v>
      </c>
      <c r="Q4014">
        <v>0.15057309999999999</v>
      </c>
      <c r="R4014">
        <v>-0.98484340000000004</v>
      </c>
      <c r="S4014">
        <v>0.4081726</v>
      </c>
      <c r="T4014">
        <v>-0.1999785</v>
      </c>
      <c r="U4014">
        <v>-3.0419619999999998</v>
      </c>
      <c r="V4014">
        <v>-0.10928160000000001</v>
      </c>
      <c r="W4014">
        <v>0.1613154</v>
      </c>
      <c r="X4014">
        <v>0.98083379999999998</v>
      </c>
      <c r="Y4014">
        <v>-0.15601209999999999</v>
      </c>
      <c r="Z4014">
        <v>6.4879870000000006E-2</v>
      </c>
      <c r="AA4014">
        <v>0.985622</v>
      </c>
      <c r="AB4014">
        <v>34</v>
      </c>
      <c r="AC4014">
        <v>2.2732999999999999</v>
      </c>
      <c r="AD4014">
        <v>-1.1099876662170001</v>
      </c>
      <c r="AE4014">
        <v>-16.55499</v>
      </c>
      <c r="AF4014">
        <v>-2.6508407861990699</v>
      </c>
      <c r="AG4014">
        <v>-1.1099876662170001</v>
      </c>
      <c r="AH4014">
        <v>16.424393386040201</v>
      </c>
      <c r="AI4014">
        <v>93.817018556389698</v>
      </c>
      <c r="AJ4014">
        <v>99.168280226038902</v>
      </c>
      <c r="AK4014">
        <v>16.673923581219</v>
      </c>
      <c r="AL4014">
        <v>80.716745343920905</v>
      </c>
      <c r="AM4014">
        <v>96.357505910186106</v>
      </c>
      <c r="AN4014">
        <v>1.0000000347990701</v>
      </c>
    </row>
    <row r="4015" spans="1:40" x14ac:dyDescent="0.25">
      <c r="A4015" t="str">
        <f>"20190312164349301"</f>
        <v>20190312164349301</v>
      </c>
      <c r="B4015" t="str">
        <f>"1552380229298701"</f>
        <v>1552380229298701</v>
      </c>
      <c r="C4015" t="s">
        <v>40</v>
      </c>
      <c r="D4015">
        <v>4.7952870000000001</v>
      </c>
      <c r="E4015">
        <v>0.4868112</v>
      </c>
      <c r="F4015" t="s">
        <v>42</v>
      </c>
      <c r="G4015">
        <v>-420.11959999999999</v>
      </c>
      <c r="H4015" s="1">
        <v>-2.592786E-6</v>
      </c>
      <c r="I4015">
        <v>55.558770000000003</v>
      </c>
      <c r="J4015">
        <v>-422.40129999999999</v>
      </c>
      <c r="K4015">
        <v>1.1099840000000001</v>
      </c>
      <c r="L4015">
        <v>71.929569999999998</v>
      </c>
      <c r="M4015">
        <v>-2.3467869999999998E-2</v>
      </c>
      <c r="N4015">
        <v>0</v>
      </c>
      <c r="O4015">
        <v>-0.99966440000000001</v>
      </c>
      <c r="P4015">
        <v>9.0271950000000004E-2</v>
      </c>
      <c r="Q4015">
        <v>0.14984059999999999</v>
      </c>
      <c r="R4015">
        <v>-0.98458049999999997</v>
      </c>
      <c r="S4015">
        <v>0.41333009999999898</v>
      </c>
      <c r="T4015">
        <v>-0.2018026</v>
      </c>
      <c r="U4015">
        <v>-3.0408940000000002</v>
      </c>
      <c r="V4015">
        <v>-0.11337700000000001</v>
      </c>
      <c r="W4015">
        <v>0.16062219999999999</v>
      </c>
      <c r="X4015">
        <v>0.98048259999999998</v>
      </c>
      <c r="Y4015">
        <v>-0.15761439999999999</v>
      </c>
      <c r="Z4015">
        <v>6.547625E-2</v>
      </c>
      <c r="AA4015">
        <v>0.98532770000000003</v>
      </c>
      <c r="AB4015">
        <v>34</v>
      </c>
      <c r="AC4015">
        <v>2.2816999999999998</v>
      </c>
      <c r="AD4015">
        <v>-1.109986592786</v>
      </c>
      <c r="AE4015">
        <v>-16.370799999999999</v>
      </c>
      <c r="AF4015">
        <v>-2.65331699635699</v>
      </c>
      <c r="AG4015">
        <v>-1.109986592786</v>
      </c>
      <c r="AH4015">
        <v>16.239506914374299</v>
      </c>
      <c r="AI4015">
        <v>93.859129284992093</v>
      </c>
      <c r="AJ4015">
        <v>99.279368005468896</v>
      </c>
      <c r="AK4015">
        <v>16.492232903440701</v>
      </c>
      <c r="AL4015">
        <v>80.756987064969707</v>
      </c>
      <c r="AM4015">
        <v>96.596037999521997</v>
      </c>
      <c r="AN4015">
        <v>0.99999998208229901</v>
      </c>
    </row>
    <row r="4016" spans="1:40" x14ac:dyDescent="0.25">
      <c r="A4016" t="str">
        <f>"20190312164349327"</f>
        <v>20190312164349327</v>
      </c>
      <c r="B4016" t="str">
        <f>"1552380229319198"</f>
        <v>1552380229319198</v>
      </c>
      <c r="C4016" t="s">
        <v>40</v>
      </c>
      <c r="D4016">
        <v>4.3885269999999998</v>
      </c>
      <c r="E4016">
        <v>0.49996059999999998</v>
      </c>
      <c r="F4016" t="s">
        <v>42</v>
      </c>
      <c r="G4016">
        <v>-420.17</v>
      </c>
      <c r="H4016" s="1">
        <v>-2.665862E-6</v>
      </c>
      <c r="I4016">
        <v>55.697850000000003</v>
      </c>
      <c r="J4016">
        <v>-422.40989999999999</v>
      </c>
      <c r="K4016">
        <v>1.1099939999999999</v>
      </c>
      <c r="L4016">
        <v>71.557429999999997</v>
      </c>
      <c r="M4016">
        <v>-2.3384370000000002E-2</v>
      </c>
      <c r="N4016">
        <v>0</v>
      </c>
      <c r="O4016">
        <v>-0.99966529999999998</v>
      </c>
      <c r="P4016">
        <v>9.4368759999999996E-2</v>
      </c>
      <c r="Q4016">
        <v>0.15000649999999999</v>
      </c>
      <c r="R4016">
        <v>-0.98417120000000002</v>
      </c>
      <c r="S4016">
        <v>0.41793819999999998</v>
      </c>
      <c r="T4016">
        <v>-0.20790610000000001</v>
      </c>
      <c r="U4016">
        <v>-3.0402830000000001</v>
      </c>
      <c r="V4016">
        <v>-0.117381</v>
      </c>
      <c r="W4016">
        <v>0.16083729999999999</v>
      </c>
      <c r="X4016">
        <v>0.97997610000000002</v>
      </c>
      <c r="Y4016">
        <v>-0.15900629999999999</v>
      </c>
      <c r="Z4016">
        <v>6.7446690000000004E-2</v>
      </c>
      <c r="AA4016">
        <v>0.98497100000000004</v>
      </c>
      <c r="AB4016">
        <v>34</v>
      </c>
      <c r="AC4016">
        <v>2.2398999999999698</v>
      </c>
      <c r="AD4016">
        <v>-1.109996665862</v>
      </c>
      <c r="AE4016">
        <v>-15.859579999999999</v>
      </c>
      <c r="AF4016">
        <v>-2.5977005272769098</v>
      </c>
      <c r="AG4016">
        <v>-1.109996665862</v>
      </c>
      <c r="AH4016">
        <v>15.7273276672686</v>
      </c>
      <c r="AI4016">
        <v>93.983310458140807</v>
      </c>
      <c r="AJ4016">
        <v>99.378930151945696</v>
      </c>
      <c r="AK4016">
        <v>15.9790167463857</v>
      </c>
      <c r="AL4016">
        <v>80.744500997086305</v>
      </c>
      <c r="AM4016">
        <v>96.830315986972394</v>
      </c>
      <c r="AN4016">
        <v>1.00000004640174</v>
      </c>
    </row>
    <row r="4017" spans="1:40" x14ac:dyDescent="0.25">
      <c r="A4017" t="str">
        <f>"20190312164349348"</f>
        <v>20190312164349348</v>
      </c>
      <c r="B4017" t="str">
        <f>"1552380229338717"</f>
        <v>1552380229338717</v>
      </c>
      <c r="C4017" t="s">
        <v>40</v>
      </c>
      <c r="D4017">
        <v>4.6216080000000002</v>
      </c>
      <c r="E4017">
        <v>0.50111660000000002</v>
      </c>
      <c r="F4017" t="s">
        <v>42</v>
      </c>
      <c r="G4017">
        <v>-420.52710000000002</v>
      </c>
      <c r="H4017" s="1">
        <v>-1.982604E-6</v>
      </c>
      <c r="I4017">
        <v>53.883659999999999</v>
      </c>
      <c r="J4017">
        <v>-422.41789999999997</v>
      </c>
      <c r="K4017">
        <v>1.109998</v>
      </c>
      <c r="L4017">
        <v>71.213679999999997</v>
      </c>
      <c r="M4017">
        <v>-2.3307060000000001E-2</v>
      </c>
      <c r="N4017">
        <v>0</v>
      </c>
      <c r="O4017">
        <v>-0.99966679999999997</v>
      </c>
      <c r="P4017">
        <v>9.7102869999999994E-2</v>
      </c>
      <c r="Q4017">
        <v>0.15058009999999999</v>
      </c>
      <c r="R4017">
        <v>-0.98381759999999996</v>
      </c>
      <c r="S4017">
        <v>0.32452389999999998</v>
      </c>
      <c r="T4017">
        <v>-0.19132160000000001</v>
      </c>
      <c r="U4017">
        <v>-3.0462950000000002</v>
      </c>
      <c r="V4017">
        <v>-0.120030399999999</v>
      </c>
      <c r="W4017">
        <v>0.1614575</v>
      </c>
      <c r="X4017">
        <v>0.97955300000000001</v>
      </c>
      <c r="Y4017">
        <v>-0.1288744</v>
      </c>
      <c r="Z4017">
        <v>6.2218889999999999E-2</v>
      </c>
      <c r="AA4017">
        <v>0.98970709999999995</v>
      </c>
      <c r="AB4017">
        <v>34</v>
      </c>
      <c r="AC4017">
        <v>1.8907999999999501</v>
      </c>
      <c r="AD4017">
        <v>-1.1099999826039999</v>
      </c>
      <c r="AE4017">
        <v>-17.330020000000001</v>
      </c>
      <c r="AF4017">
        <v>-2.2849592278725401</v>
      </c>
      <c r="AG4017">
        <v>-1.1099999826039999</v>
      </c>
      <c r="AH4017">
        <v>17.2114608415452</v>
      </c>
      <c r="AI4017">
        <v>93.657997636910494</v>
      </c>
      <c r="AJ4017">
        <v>97.562252910397504</v>
      </c>
      <c r="AK4017">
        <v>17.397917201046301</v>
      </c>
      <c r="AL4017">
        <v>80.708494678674796</v>
      </c>
      <c r="AM4017">
        <v>96.985963472400499</v>
      </c>
      <c r="AN4017">
        <v>0.99999995051970303</v>
      </c>
    </row>
    <row r="4018" spans="1:40" x14ac:dyDescent="0.25">
      <c r="A4018" t="str">
        <f>"20190312164349390"</f>
        <v>20190312164349390</v>
      </c>
      <c r="B4018" t="str">
        <f>"1552380229378734"</f>
        <v>1552380229378734</v>
      </c>
      <c r="C4018" t="s">
        <v>40</v>
      </c>
      <c r="D4018">
        <v>4.4161789999999996</v>
      </c>
      <c r="E4018">
        <v>0.50247759999999997</v>
      </c>
      <c r="F4018" t="s">
        <v>42</v>
      </c>
      <c r="G4018">
        <v>-420.54520000000002</v>
      </c>
      <c r="H4018" s="1">
        <v>-1.8335920000000001E-6</v>
      </c>
      <c r="I4018">
        <v>53.525120000000001</v>
      </c>
      <c r="J4018">
        <v>-422.4323</v>
      </c>
      <c r="K4018">
        <v>1.109999</v>
      </c>
      <c r="L4018">
        <v>70.586849999999998</v>
      </c>
      <c r="M4018">
        <v>-2.3166300000000001E-2</v>
      </c>
      <c r="N4018">
        <v>0</v>
      </c>
      <c r="O4018">
        <v>-0.99966889999999997</v>
      </c>
      <c r="P4018">
        <v>0.10025679999999999</v>
      </c>
      <c r="Q4018">
        <v>0.14884169999999999</v>
      </c>
      <c r="R4018">
        <v>-0.98376589999999997</v>
      </c>
      <c r="S4018">
        <v>0.32257079999999999</v>
      </c>
      <c r="T4018">
        <v>-0.191193</v>
      </c>
      <c r="U4018">
        <v>-3.046783</v>
      </c>
      <c r="V4018">
        <v>-0.1230446</v>
      </c>
      <c r="W4018">
        <v>0.15981409999999999</v>
      </c>
      <c r="X4018">
        <v>0.9794486</v>
      </c>
      <c r="Y4018">
        <v>-0.12809100000000001</v>
      </c>
      <c r="Z4018">
        <v>6.2172909999999998E-2</v>
      </c>
      <c r="AA4018">
        <v>0.98981169999999996</v>
      </c>
      <c r="AB4018">
        <v>34</v>
      </c>
      <c r="AC4018">
        <v>1.88709999999997</v>
      </c>
      <c r="AD4018">
        <v>-1.110000833592</v>
      </c>
      <c r="AE4018">
        <v>-17.061730000000001</v>
      </c>
      <c r="AF4018">
        <v>-2.2723737666493098</v>
      </c>
      <c r="AG4018">
        <v>-1.110000833592</v>
      </c>
      <c r="AH4018">
        <v>16.942587190639699</v>
      </c>
      <c r="AI4018">
        <v>93.715227814134096</v>
      </c>
      <c r="AJ4018">
        <v>97.639037037725501</v>
      </c>
      <c r="AK4018">
        <v>17.1302961182333</v>
      </c>
      <c r="AL4018">
        <v>80.803894282598705</v>
      </c>
      <c r="AM4018">
        <v>97.160351449190898</v>
      </c>
      <c r="AN4018">
        <v>1.00000004009496</v>
      </c>
    </row>
    <row r="4019" spans="1:40" x14ac:dyDescent="0.25">
      <c r="A4019" t="str">
        <f>"20190312164349412"</f>
        <v>20190312164349412</v>
      </c>
      <c r="B4019" t="str">
        <f>"1552380229408990"</f>
        <v>1552380229408990</v>
      </c>
      <c r="C4019" t="s">
        <v>40</v>
      </c>
      <c r="D4019">
        <v>4.3659089999999896</v>
      </c>
      <c r="E4019">
        <v>0.50328329999999999</v>
      </c>
      <c r="F4019" t="s">
        <v>42</v>
      </c>
      <c r="G4019">
        <v>-420.6474</v>
      </c>
      <c r="H4019" s="1">
        <v>-1.9166980000000002E-6</v>
      </c>
      <c r="I4019">
        <v>53.655459999999998</v>
      </c>
      <c r="J4019">
        <v>-422.44009999999997</v>
      </c>
      <c r="K4019">
        <v>1.109999</v>
      </c>
      <c r="L4019">
        <v>70.24924</v>
      </c>
      <c r="M4019">
        <v>-2.3089999999999999E-2</v>
      </c>
      <c r="N4019">
        <v>0</v>
      </c>
      <c r="O4019">
        <v>-0.99966980000000005</v>
      </c>
      <c r="P4019">
        <v>0.1012627</v>
      </c>
      <c r="Q4019">
        <v>0.1478505</v>
      </c>
      <c r="R4019">
        <v>-0.98381220000000003</v>
      </c>
      <c r="S4019">
        <v>0.32122800000000001</v>
      </c>
      <c r="T4019">
        <v>-0.1997573</v>
      </c>
      <c r="U4019">
        <v>-3.0469970000000002</v>
      </c>
      <c r="V4019">
        <v>-0.12397569999999999</v>
      </c>
      <c r="W4019">
        <v>0.15887679999999901</v>
      </c>
      <c r="X4019">
        <v>0.97948369999999996</v>
      </c>
      <c r="Y4019">
        <v>-0.12755810000000001</v>
      </c>
      <c r="Z4019">
        <v>6.4945699999999995E-2</v>
      </c>
      <c r="AA4019">
        <v>0.98970250000000004</v>
      </c>
      <c r="AB4019">
        <v>34</v>
      </c>
      <c r="AC4019">
        <v>1.79269999999996</v>
      </c>
      <c r="AD4019">
        <v>-1.1100009166980001</v>
      </c>
      <c r="AE4019">
        <v>-16.593779999999999</v>
      </c>
      <c r="AF4019">
        <v>-2.16581732718925</v>
      </c>
      <c r="AG4019">
        <v>-1.1100009166980001</v>
      </c>
      <c r="AH4019">
        <v>16.4750900475908</v>
      </c>
      <c r="AI4019">
        <v>93.821666788783702</v>
      </c>
      <c r="AJ4019">
        <v>97.489165139359102</v>
      </c>
      <c r="AK4019">
        <v>16.653872186553201</v>
      </c>
      <c r="AL4019">
        <v>80.8582929022554</v>
      </c>
      <c r="AM4019">
        <v>97.213710572852705</v>
      </c>
      <c r="AN4019">
        <v>1.0000000651672001</v>
      </c>
    </row>
    <row r="4020" spans="1:40" x14ac:dyDescent="0.25">
      <c r="A4020" t="str">
        <f>"20190312164349435"</f>
        <v>20190312164349435</v>
      </c>
      <c r="B4020" t="str">
        <f>"1552380229428510"</f>
        <v>1552380229428510</v>
      </c>
      <c r="C4020" t="s">
        <v>40</v>
      </c>
      <c r="D4020">
        <v>4.4151550000000004</v>
      </c>
      <c r="E4020">
        <v>0.50385089999999999</v>
      </c>
      <c r="F4020" t="s">
        <v>42</v>
      </c>
      <c r="G4020">
        <v>-420.71449999999999</v>
      </c>
      <c r="H4020" s="1">
        <v>-1.9460749999999998E-6</v>
      </c>
      <c r="I4020">
        <v>53.682319999999997</v>
      </c>
      <c r="J4020">
        <v>-422.44810000000001</v>
      </c>
      <c r="K4020">
        <v>1.1100129999999999</v>
      </c>
      <c r="L4020">
        <v>69.899050000000003</v>
      </c>
      <c r="M4020">
        <v>-2.3010409999999999E-2</v>
      </c>
      <c r="N4020">
        <v>0</v>
      </c>
      <c r="O4020">
        <v>-0.99967130000000004</v>
      </c>
      <c r="P4020">
        <v>0.1016947</v>
      </c>
      <c r="Q4020">
        <v>0.14836569999999999</v>
      </c>
      <c r="R4020">
        <v>-0.98369030000000002</v>
      </c>
      <c r="S4020">
        <v>0.31741329999999901</v>
      </c>
      <c r="T4020">
        <v>-0.20417859999999999</v>
      </c>
      <c r="U4020">
        <v>-3.0473940000000002</v>
      </c>
      <c r="V4020">
        <v>-0.12432699999999999</v>
      </c>
      <c r="W4020">
        <v>0.15944549999999999</v>
      </c>
      <c r="X4020">
        <v>0.97934670000000001</v>
      </c>
      <c r="Y4020">
        <v>-0.12623039999999999</v>
      </c>
      <c r="Z4020">
        <v>6.6378409999999999E-2</v>
      </c>
      <c r="AA4020">
        <v>0.98977760000000004</v>
      </c>
      <c r="AB4020">
        <v>34</v>
      </c>
      <c r="AC4020">
        <v>1.73360000000002</v>
      </c>
      <c r="AD4020">
        <v>-1.110014946075</v>
      </c>
      <c r="AE4020">
        <v>-16.216729999999998</v>
      </c>
      <c r="AF4020">
        <v>-2.09660628723499</v>
      </c>
      <c r="AG4020">
        <v>-1.110014946075</v>
      </c>
      <c r="AH4020">
        <v>16.097971742699102</v>
      </c>
      <c r="AI4020">
        <v>93.911581311090004</v>
      </c>
      <c r="AJ4020">
        <v>97.420456735930898</v>
      </c>
      <c r="AK4020">
        <v>16.271834110908401</v>
      </c>
      <c r="AL4020">
        <v>80.825287600917804</v>
      </c>
      <c r="AM4020">
        <v>97.234936478922194</v>
      </c>
      <c r="AN4020">
        <v>1.00000001460007</v>
      </c>
    </row>
    <row r="4021" spans="1:40" x14ac:dyDescent="0.25">
      <c r="A4021" t="str">
        <f>"20190312164349457"</f>
        <v>20190312164349457</v>
      </c>
      <c r="B4021" t="str">
        <f>"1552380229449006"</f>
        <v>1552380229449006</v>
      </c>
      <c r="C4021" t="s">
        <v>40</v>
      </c>
      <c r="D4021">
        <v>4.4015199999999997</v>
      </c>
      <c r="E4021">
        <v>0.50651429999999997</v>
      </c>
      <c r="F4021" t="s">
        <v>42</v>
      </c>
      <c r="G4021">
        <v>-421.07080000000002</v>
      </c>
      <c r="H4021" s="1">
        <v>-3.2869019999999999E-6</v>
      </c>
      <c r="I4021">
        <v>56.586840000000002</v>
      </c>
      <c r="J4021">
        <v>-422.45580000000001</v>
      </c>
      <c r="K4021">
        <v>1.110026</v>
      </c>
      <c r="L4021">
        <v>69.560389999999998</v>
      </c>
      <c r="M4021">
        <v>-2.2930880000000001E-2</v>
      </c>
      <c r="N4021">
        <v>0</v>
      </c>
      <c r="O4021">
        <v>-0.99967249999999996</v>
      </c>
      <c r="P4021">
        <v>0.10167030000000001</v>
      </c>
      <c r="Q4021">
        <v>0.14908769999999999</v>
      </c>
      <c r="R4021">
        <v>-0.9835836</v>
      </c>
      <c r="S4021">
        <v>0.31613160000000001</v>
      </c>
      <c r="T4021">
        <v>-0.25477640000000001</v>
      </c>
      <c r="U4021">
        <v>-3.0554809999999999</v>
      </c>
      <c r="V4021">
        <v>-0.1242224</v>
      </c>
      <c r="W4021">
        <v>0.16022310000000001</v>
      </c>
      <c r="X4021">
        <v>0.97923300000000002</v>
      </c>
      <c r="Y4021">
        <v>-0.1253466</v>
      </c>
      <c r="Z4021">
        <v>8.2515690000000003E-2</v>
      </c>
      <c r="AA4021">
        <v>0.98867559999999999</v>
      </c>
      <c r="AB4021">
        <v>34</v>
      </c>
      <c r="AC4021">
        <v>1.38499999999999</v>
      </c>
      <c r="AD4021">
        <v>-1.1100292869020001</v>
      </c>
      <c r="AE4021">
        <v>-12.9735499999999</v>
      </c>
      <c r="AF4021">
        <v>-1.6700616750620501</v>
      </c>
      <c r="AG4021">
        <v>-1.1100292869020001</v>
      </c>
      <c r="AH4021">
        <v>12.8453995102899</v>
      </c>
      <c r="AI4021">
        <v>94.897900395298706</v>
      </c>
      <c r="AJ4021">
        <v>97.407612786826704</v>
      </c>
      <c r="AK4021">
        <v>13.0009830241889</v>
      </c>
      <c r="AL4021">
        <v>80.780153627947996</v>
      </c>
      <c r="AM4021">
        <v>97.229744407618696</v>
      </c>
      <c r="AN4021">
        <v>0.99999995736218406</v>
      </c>
    </row>
    <row r="4022" spans="1:40" x14ac:dyDescent="0.25">
      <c r="A4022" t="str">
        <f>"20190312164349479"</f>
        <v>20190312164349479</v>
      </c>
      <c r="B4022" t="str">
        <f>"1552380229468526"</f>
        <v>1552380229468526</v>
      </c>
      <c r="C4022" t="s">
        <v>40</v>
      </c>
      <c r="D4022">
        <v>4.7546229999999996</v>
      </c>
      <c r="E4022">
        <v>0.50690559999999996</v>
      </c>
      <c r="F4022" t="s">
        <v>42</v>
      </c>
      <c r="G4022">
        <v>-420.8981</v>
      </c>
      <c r="H4022" s="1">
        <v>-1.802165E-6</v>
      </c>
      <c r="I4022">
        <v>53.232950000000002</v>
      </c>
      <c r="J4022">
        <v>-422.46319999999997</v>
      </c>
      <c r="K4022">
        <v>1.1100369999999999</v>
      </c>
      <c r="L4022">
        <v>69.237210000000005</v>
      </c>
      <c r="M4022">
        <v>-2.2848690000000001E-2</v>
      </c>
      <c r="N4022">
        <v>0</v>
      </c>
      <c r="O4022">
        <v>-0.9996739</v>
      </c>
      <c r="P4022">
        <v>0.1009926</v>
      </c>
      <c r="Q4022">
        <v>0.1485117</v>
      </c>
      <c r="R4022">
        <v>-0.98374070000000002</v>
      </c>
      <c r="S4022">
        <v>0.29110720000000001</v>
      </c>
      <c r="T4022">
        <v>-0.2074522</v>
      </c>
      <c r="U4022">
        <v>-3.0514220000000001</v>
      </c>
      <c r="V4022">
        <v>-0.123469</v>
      </c>
      <c r="W4022">
        <v>0.1597025</v>
      </c>
      <c r="X4022">
        <v>0.97941330000000004</v>
      </c>
      <c r="Y4022">
        <v>-0.1174751</v>
      </c>
      <c r="Z4022">
        <v>6.7415039999999996E-2</v>
      </c>
      <c r="AA4022">
        <v>0.99078489999999997</v>
      </c>
      <c r="AB4022">
        <v>34</v>
      </c>
      <c r="AC4022">
        <v>1.56509999999997</v>
      </c>
      <c r="AD4022">
        <v>-1.1100388021650001</v>
      </c>
      <c r="AE4022">
        <v>-16.004259999999999</v>
      </c>
      <c r="AF4022">
        <v>-1.9212366316301399</v>
      </c>
      <c r="AG4022">
        <v>-1.1100388021650001</v>
      </c>
      <c r="AH4022">
        <v>15.888607770307701</v>
      </c>
      <c r="AI4022">
        <v>93.967600819757905</v>
      </c>
      <c r="AJ4022">
        <v>96.894682463669099</v>
      </c>
      <c r="AK4022">
        <v>16.042792562883498</v>
      </c>
      <c r="AL4022">
        <v>80.810370826312493</v>
      </c>
      <c r="AM4022">
        <v>97.185047210157194</v>
      </c>
      <c r="AN4022">
        <v>0.99999994734206799</v>
      </c>
    </row>
    <row r="4023" spans="1:40" x14ac:dyDescent="0.25">
      <c r="A4023" t="str">
        <f>"20190312164349502"</f>
        <v>20190312164349502</v>
      </c>
      <c r="B4023" t="str">
        <f>"1552380229498782"</f>
        <v>1552380229498782</v>
      </c>
      <c r="C4023" t="s">
        <v>40</v>
      </c>
      <c r="D4023">
        <v>4.4109530000000001</v>
      </c>
      <c r="E4023">
        <v>0.51303089999999996</v>
      </c>
      <c r="F4023" t="s">
        <v>42</v>
      </c>
      <c r="G4023">
        <v>-420.94009999999997</v>
      </c>
      <c r="H4023" s="1">
        <v>-1.696998E-6</v>
      </c>
      <c r="I4023">
        <v>52.961779999999997</v>
      </c>
      <c r="J4023">
        <v>-422.47109999999998</v>
      </c>
      <c r="K4023">
        <v>1.110055</v>
      </c>
      <c r="L4023">
        <v>68.884</v>
      </c>
      <c r="M4023">
        <v>-2.27417E-2</v>
      </c>
      <c r="N4023">
        <v>0</v>
      </c>
      <c r="O4023">
        <v>-0.9996756</v>
      </c>
      <c r="P4023">
        <v>9.9737980000000004E-2</v>
      </c>
      <c r="Q4023">
        <v>0.14751310000000001</v>
      </c>
      <c r="R4023">
        <v>-0.98401879999999997</v>
      </c>
      <c r="S4023">
        <v>0.28558349999999999</v>
      </c>
      <c r="T4023">
        <v>-0.20813580000000001</v>
      </c>
      <c r="U4023">
        <v>-3.0516969999999999</v>
      </c>
      <c r="V4023">
        <v>-0.1221206</v>
      </c>
      <c r="W4023">
        <v>0.15876470000000001</v>
      </c>
      <c r="X4023">
        <v>0.97973480000000002</v>
      </c>
      <c r="Y4023">
        <v>-0.1155813</v>
      </c>
      <c r="Z4023">
        <v>6.7643659999999994E-2</v>
      </c>
      <c r="AA4023">
        <v>0.99099210000000004</v>
      </c>
      <c r="AB4023">
        <v>34</v>
      </c>
      <c r="AC4023">
        <v>1.5309999999999999</v>
      </c>
      <c r="AD4023">
        <v>-1.1100566969979999</v>
      </c>
      <c r="AE4023">
        <v>-15.9222199999999</v>
      </c>
      <c r="AF4023">
        <v>-1.88365448133838</v>
      </c>
      <c r="AG4023">
        <v>-1.1100566969979999</v>
      </c>
      <c r="AH4023">
        <v>15.807154529896801</v>
      </c>
      <c r="AI4023">
        <v>93.988869286316401</v>
      </c>
      <c r="AJ4023">
        <v>96.795587748173304</v>
      </c>
      <c r="AK4023">
        <v>15.957647521099499</v>
      </c>
      <c r="AL4023">
        <v>80.864797495033201</v>
      </c>
      <c r="AM4023">
        <v>97.105077991768198</v>
      </c>
      <c r="AN4023">
        <v>0.99999997462074397</v>
      </c>
    </row>
    <row r="4024" spans="1:40" x14ac:dyDescent="0.25">
      <c r="A4024" t="str">
        <f>"20190312164349525"</f>
        <v>20190312164349525</v>
      </c>
      <c r="B4024" t="str">
        <f>"1552380229519277"</f>
        <v>1552380229519277</v>
      </c>
      <c r="C4024" t="s">
        <v>40</v>
      </c>
      <c r="D4024">
        <v>4.418374</v>
      </c>
      <c r="E4024">
        <v>0.5145748</v>
      </c>
      <c r="F4024" t="s">
        <v>42</v>
      </c>
      <c r="G4024">
        <v>-421.33839999999998</v>
      </c>
      <c r="H4024" s="1">
        <v>-2.299694E-6</v>
      </c>
      <c r="I4024">
        <v>54.119630000000001</v>
      </c>
      <c r="J4024">
        <v>-422.4787</v>
      </c>
      <c r="K4024">
        <v>1.110077</v>
      </c>
      <c r="L4024">
        <v>68.545259999999999</v>
      </c>
      <c r="M4024">
        <v>-2.261233E-2</v>
      </c>
      <c r="N4024">
        <v>0</v>
      </c>
      <c r="O4024">
        <v>-0.9996777</v>
      </c>
      <c r="P4024">
        <v>9.8489750000000001E-2</v>
      </c>
      <c r="Q4024">
        <v>0.14728649999999999</v>
      </c>
      <c r="R4024">
        <v>-0.98417849999999996</v>
      </c>
      <c r="S4024">
        <v>0.23471069999999999</v>
      </c>
      <c r="T4024">
        <v>-0.230022</v>
      </c>
      <c r="U4024">
        <v>-3.059418</v>
      </c>
      <c r="V4024">
        <v>-0.1207555</v>
      </c>
      <c r="W4024">
        <v>0.15859670000000001</v>
      </c>
      <c r="X4024">
        <v>0.9799312</v>
      </c>
      <c r="Y4024">
        <v>-9.8807039999999999E-2</v>
      </c>
      <c r="Z4024">
        <v>7.4651949999999995E-2</v>
      </c>
      <c r="AA4024">
        <v>0.99230249999999998</v>
      </c>
      <c r="AB4024">
        <v>34</v>
      </c>
      <c r="AC4024">
        <v>1.1403000000000201</v>
      </c>
      <c r="AD4024">
        <v>-1.1100792996940001</v>
      </c>
      <c r="AE4024">
        <v>-14.4256299999999</v>
      </c>
      <c r="AF4024">
        <v>-1.4576492214789201</v>
      </c>
      <c r="AG4024">
        <v>-1.1100792996940001</v>
      </c>
      <c r="AH4024">
        <v>14.3119312934289</v>
      </c>
      <c r="AI4024">
        <v>94.412429159127001</v>
      </c>
      <c r="AJ4024">
        <v>95.815438384438195</v>
      </c>
      <c r="AK4024">
        <v>14.4287350329929</v>
      </c>
      <c r="AL4024">
        <v>80.874546762286002</v>
      </c>
      <c r="AM4024">
        <v>97.025059484470404</v>
      </c>
      <c r="AN4024">
        <v>0.99999998038228899</v>
      </c>
    </row>
    <row r="4025" spans="1:40" x14ac:dyDescent="0.25">
      <c r="A4025" t="str">
        <f>"20190312164349547"</f>
        <v>20190312164349547</v>
      </c>
      <c r="B4025" t="str">
        <f>"1552380229538798"</f>
        <v>1552380229538798</v>
      </c>
      <c r="C4025" t="s">
        <v>40</v>
      </c>
      <c r="D4025">
        <v>4.3995470000000001</v>
      </c>
      <c r="E4025">
        <v>0.51521439999999996</v>
      </c>
      <c r="F4025" t="s">
        <v>42</v>
      </c>
      <c r="G4025">
        <v>-421.45400000000001</v>
      </c>
      <c r="H4025" s="1">
        <v>-2.3816260000000001E-6</v>
      </c>
      <c r="I4025">
        <v>54.238900000000001</v>
      </c>
      <c r="J4025">
        <v>-422.48649999999998</v>
      </c>
      <c r="K4025">
        <v>1.110098</v>
      </c>
      <c r="L4025">
        <v>68.192539999999994</v>
      </c>
      <c r="M4025">
        <v>-2.245217E-2</v>
      </c>
      <c r="N4025">
        <v>0</v>
      </c>
      <c r="O4025">
        <v>-0.99968029999999997</v>
      </c>
      <c r="P4025">
        <v>9.7905270000000003E-2</v>
      </c>
      <c r="Q4025">
        <v>0.1484722</v>
      </c>
      <c r="R4025">
        <v>-0.98405830000000005</v>
      </c>
      <c r="S4025">
        <v>0.2192993</v>
      </c>
      <c r="T4025">
        <v>-0.23758019999999999</v>
      </c>
      <c r="U4025">
        <v>-3.0618590000000001</v>
      </c>
      <c r="V4025">
        <v>-0.1200204</v>
      </c>
      <c r="W4025">
        <v>0.1598366</v>
      </c>
      <c r="X4025">
        <v>0.97982009999999997</v>
      </c>
      <c r="Y4025">
        <v>-9.3605590000000002E-2</v>
      </c>
      <c r="Z4025">
        <v>7.7063629999999994E-2</v>
      </c>
      <c r="AA4025">
        <v>0.99262240000000002</v>
      </c>
      <c r="AB4025">
        <v>34</v>
      </c>
      <c r="AC4025">
        <v>1.03249999999997</v>
      </c>
      <c r="AD4025">
        <v>-1.110100381626</v>
      </c>
      <c r="AE4025">
        <v>-13.95364</v>
      </c>
      <c r="AF4025">
        <v>-1.33713345495666</v>
      </c>
      <c r="AG4025">
        <v>-1.110100381626</v>
      </c>
      <c r="AH4025">
        <v>13.8398205041859</v>
      </c>
      <c r="AI4025">
        <v>94.564746372209299</v>
      </c>
      <c r="AJ4025">
        <v>95.518500230451707</v>
      </c>
      <c r="AK4025">
        <v>13.9485081754909</v>
      </c>
      <c r="AL4025">
        <v>80.802588262611096</v>
      </c>
      <c r="AM4025">
        <v>96.983501788729896</v>
      </c>
      <c r="AN4025">
        <v>1.0000000317398601</v>
      </c>
    </row>
    <row r="4026" spans="1:40" x14ac:dyDescent="0.25">
      <c r="A4026" t="str">
        <f>"20190312164349569"</f>
        <v>20190312164349569</v>
      </c>
      <c r="B4026" t="str">
        <f>"1552380229559294"</f>
        <v>1552380229559294</v>
      </c>
      <c r="C4026" t="s">
        <v>40</v>
      </c>
      <c r="D4026">
        <v>4.592727</v>
      </c>
      <c r="E4026">
        <v>0.51599790000000001</v>
      </c>
      <c r="F4026" t="s">
        <v>42</v>
      </c>
      <c r="G4026">
        <v>-421.49160000000001</v>
      </c>
      <c r="H4026" s="1">
        <v>-2.2107759999999998E-6</v>
      </c>
      <c r="I4026">
        <v>53.817349999999998</v>
      </c>
      <c r="J4026">
        <v>-422.49340000000001</v>
      </c>
      <c r="K4026">
        <v>1.110136</v>
      </c>
      <c r="L4026">
        <v>67.877809999999997</v>
      </c>
      <c r="M4026">
        <v>-2.2276520000000001E-2</v>
      </c>
      <c r="N4026">
        <v>0</v>
      </c>
      <c r="O4026">
        <v>-0.99968369999999995</v>
      </c>
      <c r="P4026">
        <v>9.7825099999999998E-2</v>
      </c>
      <c r="Q4026">
        <v>0.14851529999999999</v>
      </c>
      <c r="R4026">
        <v>-0.98406000000000005</v>
      </c>
      <c r="S4026">
        <v>0.21200559999999999</v>
      </c>
      <c r="T4026">
        <v>-0.2365507</v>
      </c>
      <c r="U4026">
        <v>-3.063202</v>
      </c>
      <c r="V4026">
        <v>-0.1197766</v>
      </c>
      <c r="W4026">
        <v>0.15992979999999901</v>
      </c>
      <c r="X4026">
        <v>0.97983469999999995</v>
      </c>
      <c r="Y4026">
        <v>-9.1049379999999999E-2</v>
      </c>
      <c r="Z4026">
        <v>7.6714249999999998E-2</v>
      </c>
      <c r="AA4026">
        <v>0.99288719999999997</v>
      </c>
      <c r="AB4026">
        <v>34</v>
      </c>
      <c r="AC4026">
        <v>1.0018</v>
      </c>
      <c r="AD4026">
        <v>-1.1101382107760001</v>
      </c>
      <c r="AE4026">
        <v>-14.060460000000001</v>
      </c>
      <c r="AF4026">
        <v>-1.3066863070647501</v>
      </c>
      <c r="AG4026">
        <v>-1.1101382107760001</v>
      </c>
      <c r="AH4026">
        <v>13.9481410629376</v>
      </c>
      <c r="AI4026">
        <v>94.530846343926399</v>
      </c>
      <c r="AJ4026">
        <v>95.351948826225197</v>
      </c>
      <c r="AK4026">
        <v>14.0531304364438</v>
      </c>
      <c r="AL4026">
        <v>80.797178478369602</v>
      </c>
      <c r="AM4026">
        <v>96.9693528826229</v>
      </c>
      <c r="AN4026">
        <v>1.00000000707984</v>
      </c>
    </row>
    <row r="4027" spans="1:40" x14ac:dyDescent="0.25">
      <c r="A4027" t="str">
        <f>"20190312164349590"</f>
        <v>20190312164349590</v>
      </c>
      <c r="B4027" t="str">
        <f>"1552380229578814"</f>
        <v>1552380229578814</v>
      </c>
      <c r="C4027" t="s">
        <v>40</v>
      </c>
      <c r="D4027">
        <v>4.4614649999999996</v>
      </c>
      <c r="E4027">
        <v>0.51670720000000003</v>
      </c>
      <c r="F4027" t="s">
        <v>42</v>
      </c>
      <c r="G4027">
        <v>-421.5376</v>
      </c>
      <c r="H4027" s="1">
        <v>-2.1560990000000002E-6</v>
      </c>
      <c r="I4027">
        <v>53.661389999999997</v>
      </c>
      <c r="J4027">
        <v>-422.50060000000002</v>
      </c>
      <c r="K4027">
        <v>1.1101780000000001</v>
      </c>
      <c r="L4027">
        <v>67.542689999999993</v>
      </c>
      <c r="M4027">
        <v>-2.2041829999999998E-2</v>
      </c>
      <c r="N4027">
        <v>0</v>
      </c>
      <c r="O4027">
        <v>-0.99968809999999997</v>
      </c>
      <c r="P4027">
        <v>9.7675650000000003E-2</v>
      </c>
      <c r="Q4027">
        <v>0.14766509999999999</v>
      </c>
      <c r="R4027">
        <v>-0.98420260000000004</v>
      </c>
      <c r="S4027">
        <v>0.20602419999999999</v>
      </c>
      <c r="T4027">
        <v>-0.2392794</v>
      </c>
      <c r="U4027">
        <v>-3.064209</v>
      </c>
      <c r="V4027">
        <v>-0.11941309999999999</v>
      </c>
      <c r="W4027">
        <v>0.1591381</v>
      </c>
      <c r="X4027">
        <v>0.98000790000000004</v>
      </c>
      <c r="Y4027">
        <v>-8.8859250000000001E-2</v>
      </c>
      <c r="Z4027">
        <v>7.7582010000000007E-2</v>
      </c>
      <c r="AA4027">
        <v>0.99301819999999996</v>
      </c>
      <c r="AB4027">
        <v>34</v>
      </c>
      <c r="AC4027">
        <v>0.96300000000002195</v>
      </c>
      <c r="AD4027">
        <v>-1.1101801560989999</v>
      </c>
      <c r="AE4027">
        <v>-13.8813</v>
      </c>
      <c r="AF4027">
        <v>-1.2607310045058</v>
      </c>
      <c r="AG4027">
        <v>-1.1101801560989999</v>
      </c>
      <c r="AH4027">
        <v>13.7690506134873</v>
      </c>
      <c r="AI4027">
        <v>94.590589839754202</v>
      </c>
      <c r="AJ4027">
        <v>95.231566955917401</v>
      </c>
      <c r="AK4027">
        <v>13.871146219454801</v>
      </c>
      <c r="AL4027">
        <v>80.843127556699599</v>
      </c>
      <c r="AM4027">
        <v>96.947193239307296</v>
      </c>
      <c r="AN4027">
        <v>0.99999995369281403</v>
      </c>
    </row>
    <row r="4028" spans="1:40" x14ac:dyDescent="0.25">
      <c r="A4028" t="str">
        <f>"20190312164349613"</f>
        <v>20190312164349613</v>
      </c>
      <c r="B4028" t="str">
        <f>"1552380229609070"</f>
        <v>1552380229609070</v>
      </c>
      <c r="C4028" t="s">
        <v>40</v>
      </c>
      <c r="D4028">
        <v>4.4832640000000001</v>
      </c>
      <c r="E4028">
        <v>0.51727609999999902</v>
      </c>
      <c r="F4028" t="s">
        <v>42</v>
      </c>
      <c r="G4028">
        <v>-421.5598</v>
      </c>
      <c r="H4028" s="1">
        <v>-1.9327280000000001E-6</v>
      </c>
      <c r="I4028">
        <v>53.126930000000002</v>
      </c>
      <c r="J4028">
        <v>-422.50810000000001</v>
      </c>
      <c r="K4028">
        <v>1.1102299999999901</v>
      </c>
      <c r="L4028">
        <v>67.191890000000001</v>
      </c>
      <c r="M4028">
        <v>-2.1732810000000002E-2</v>
      </c>
      <c r="N4028">
        <v>0</v>
      </c>
      <c r="O4028">
        <v>-0.99969390000000002</v>
      </c>
      <c r="P4028">
        <v>9.8726549999999996E-2</v>
      </c>
      <c r="Q4028">
        <v>0.1467031</v>
      </c>
      <c r="R4028">
        <v>-0.98424149999999999</v>
      </c>
      <c r="S4028">
        <v>0.1999512</v>
      </c>
      <c r="T4028">
        <v>-0.2359395</v>
      </c>
      <c r="U4028">
        <v>-3.0636899999999998</v>
      </c>
      <c r="V4028">
        <v>-0.1201798</v>
      </c>
      <c r="W4028">
        <v>0.158240299999999</v>
      </c>
      <c r="X4028">
        <v>0.98005960000000003</v>
      </c>
      <c r="Y4028">
        <v>-8.6607900000000002E-2</v>
      </c>
      <c r="Z4028">
        <v>7.6531730000000006E-2</v>
      </c>
      <c r="AA4028">
        <v>0.99329849999999997</v>
      </c>
      <c r="AB4028">
        <v>34</v>
      </c>
      <c r="AC4028">
        <v>0.94830000000001702</v>
      </c>
      <c r="AD4028">
        <v>-1.1102319327279999</v>
      </c>
      <c r="AE4028">
        <v>-14.064959999999999</v>
      </c>
      <c r="AF4028">
        <v>-1.2460396565227601</v>
      </c>
      <c r="AG4028">
        <v>-1.1102319327279999</v>
      </c>
      <c r="AH4028">
        <v>13.9544715543559</v>
      </c>
      <c r="AI4028">
        <v>94.530976406200196</v>
      </c>
      <c r="AJ4028">
        <v>95.102591725703206</v>
      </c>
      <c r="AK4028">
        <v>14.053914263699101</v>
      </c>
      <c r="AL4028">
        <v>80.895228305635996</v>
      </c>
      <c r="AM4028">
        <v>96.990992953953594</v>
      </c>
      <c r="AN4028">
        <v>0.99999999821214502</v>
      </c>
    </row>
    <row r="4029" spans="1:40" x14ac:dyDescent="0.25">
      <c r="A4029" t="str">
        <f>"20190312164349637"</f>
        <v>20190312164349637</v>
      </c>
      <c r="B4029" t="str">
        <f>"1552380229628589"</f>
        <v>1552380229628589</v>
      </c>
      <c r="C4029" t="s">
        <v>40</v>
      </c>
      <c r="D4029">
        <v>4.4756049999999998</v>
      </c>
      <c r="E4029">
        <v>0.51724490000000001</v>
      </c>
      <c r="F4029" t="s">
        <v>42</v>
      </c>
      <c r="G4029">
        <v>-421.57130000000001</v>
      </c>
      <c r="H4029" s="1">
        <v>-1.7732039999999999E-6</v>
      </c>
      <c r="I4029">
        <v>52.74794</v>
      </c>
      <c r="J4029">
        <v>-422.51530000000002</v>
      </c>
      <c r="K4029">
        <v>1.110295</v>
      </c>
      <c r="L4029">
        <v>66.842469999999906</v>
      </c>
      <c r="M4029">
        <v>-2.134575E-2</v>
      </c>
      <c r="N4029">
        <v>0</v>
      </c>
      <c r="O4029">
        <v>-0.99970139999999996</v>
      </c>
      <c r="P4029">
        <v>9.959432E-2</v>
      </c>
      <c r="Q4029">
        <v>0.1455572</v>
      </c>
      <c r="R4029">
        <v>-0.98432470000000005</v>
      </c>
      <c r="S4029">
        <v>0.1986694</v>
      </c>
      <c r="T4029">
        <v>-0.23545240000000001</v>
      </c>
      <c r="U4029">
        <v>-3.063202</v>
      </c>
      <c r="V4029">
        <v>-0.12069249999999999</v>
      </c>
      <c r="W4029">
        <v>0.15715960000000001</v>
      </c>
      <c r="X4029">
        <v>0.98017049999999994</v>
      </c>
      <c r="Y4029">
        <v>-8.5819300000000001E-2</v>
      </c>
      <c r="Z4029">
        <v>7.6391349999999997E-2</v>
      </c>
      <c r="AA4029">
        <v>0.99337779999999998</v>
      </c>
      <c r="AB4029">
        <v>34</v>
      </c>
      <c r="AC4029">
        <v>0.94400000000001605</v>
      </c>
      <c r="AD4029">
        <v>-1.1102967732039899</v>
      </c>
      <c r="AE4029">
        <v>-14.094529999999899</v>
      </c>
      <c r="AF4029">
        <v>-1.23702241492415</v>
      </c>
      <c r="AG4029">
        <v>-1.1102967732039899</v>
      </c>
      <c r="AH4029">
        <v>13.984771361851699</v>
      </c>
      <c r="AI4029">
        <v>94.521795994554395</v>
      </c>
      <c r="AJ4029">
        <v>95.054939621947398</v>
      </c>
      <c r="AK4029">
        <v>14.083210337947801</v>
      </c>
      <c r="AL4029">
        <v>80.957932616653594</v>
      </c>
      <c r="AM4029">
        <v>97.019733880898997</v>
      </c>
      <c r="AN4029">
        <v>1.0000000142493299</v>
      </c>
    </row>
    <row r="4030" spans="1:40" x14ac:dyDescent="0.25">
      <c r="A4030" t="str">
        <f>"20190312164349657"</f>
        <v>20190312164349657</v>
      </c>
      <c r="B4030" t="str">
        <f>"1552380229649086"</f>
        <v>1552380229649086</v>
      </c>
      <c r="C4030" t="s">
        <v>40</v>
      </c>
      <c r="D4030">
        <v>4.4928189999999999</v>
      </c>
      <c r="E4030">
        <v>0.51717389999999996</v>
      </c>
      <c r="F4030" t="s">
        <v>42</v>
      </c>
      <c r="G4030">
        <v>-421.58839999999998</v>
      </c>
      <c r="H4030" s="1">
        <v>-1.7919590000000001E-6</v>
      </c>
      <c r="I4030">
        <v>52.781039999999997</v>
      </c>
      <c r="J4030">
        <v>-422.52170000000001</v>
      </c>
      <c r="K4030">
        <v>1.1103730000000001</v>
      </c>
      <c r="L4030">
        <v>66.521879999999996</v>
      </c>
      <c r="M4030">
        <v>-2.089767E-2</v>
      </c>
      <c r="N4030">
        <v>0</v>
      </c>
      <c r="O4030">
        <v>-0.99970979999999998</v>
      </c>
      <c r="P4030">
        <v>0.100518</v>
      </c>
      <c r="Q4030">
        <v>0.14563609999999999</v>
      </c>
      <c r="R4030">
        <v>-0.98421860000000005</v>
      </c>
      <c r="S4030">
        <v>0.20190430000000001</v>
      </c>
      <c r="T4030">
        <v>-0.24186460000000001</v>
      </c>
      <c r="U4030">
        <v>-3.06311</v>
      </c>
      <c r="V4030">
        <v>-0.12119920000000001</v>
      </c>
      <c r="W4030">
        <v>0.15729479999999901</v>
      </c>
      <c r="X4030">
        <v>0.98008629999999997</v>
      </c>
      <c r="Y4030">
        <v>-8.6408730000000003E-2</v>
      </c>
      <c r="Z4030">
        <v>7.8457799999999994E-2</v>
      </c>
      <c r="AA4030">
        <v>0.99316559999999998</v>
      </c>
      <c r="AB4030">
        <v>34</v>
      </c>
      <c r="AC4030">
        <v>0.93330000000003099</v>
      </c>
      <c r="AD4030">
        <v>-1.1103747919589999</v>
      </c>
      <c r="AE4030">
        <v>-13.74084</v>
      </c>
      <c r="AF4030">
        <v>-1.2123877900428399</v>
      </c>
      <c r="AG4030">
        <v>-1.1103747919589999</v>
      </c>
      <c r="AH4030">
        <v>13.629740268775199</v>
      </c>
      <c r="AI4030">
        <v>94.639195963376096</v>
      </c>
      <c r="AJ4030">
        <v>95.083175197236898</v>
      </c>
      <c r="AK4030">
        <v>13.728533648075301</v>
      </c>
      <c r="AL4030">
        <v>80.950088791748797</v>
      </c>
      <c r="AM4030">
        <v>97.049508258754898</v>
      </c>
      <c r="AN4030">
        <v>1.0000000278176799</v>
      </c>
    </row>
    <row r="4031" spans="1:40" x14ac:dyDescent="0.25">
      <c r="A4031" t="str">
        <f>"20190312164349680"</f>
        <v>20190312164349680</v>
      </c>
      <c r="B4031" t="str">
        <f>"1552380229668605"</f>
        <v>1552380229668605</v>
      </c>
      <c r="C4031" t="s">
        <v>40</v>
      </c>
      <c r="D4031">
        <v>4.5254940000000001</v>
      </c>
      <c r="E4031">
        <v>0.51754209999999901</v>
      </c>
      <c r="F4031" t="s">
        <v>42</v>
      </c>
      <c r="G4031">
        <v>-421.58659999999998</v>
      </c>
      <c r="H4031" s="1">
        <v>-1.6954910000000001E-6</v>
      </c>
      <c r="I4031">
        <v>52.557279999999999</v>
      </c>
      <c r="J4031">
        <v>-422.52809999999999</v>
      </c>
      <c r="K4031">
        <v>1.110474</v>
      </c>
      <c r="L4031">
        <v>66.187010000000001</v>
      </c>
      <c r="M4031">
        <v>-2.0315E-2</v>
      </c>
      <c r="N4031">
        <v>0</v>
      </c>
      <c r="O4031">
        <v>-0.99972110000000003</v>
      </c>
      <c r="P4031">
        <v>0.10120179999999999</v>
      </c>
      <c r="Q4031">
        <v>0.14617169999999999</v>
      </c>
      <c r="R4031">
        <v>-0.98406959999999999</v>
      </c>
      <c r="S4031">
        <v>0.2051086</v>
      </c>
      <c r="T4031">
        <v>-0.2435659</v>
      </c>
      <c r="U4031">
        <v>-3.063202</v>
      </c>
      <c r="V4031">
        <v>-0.1213409</v>
      </c>
      <c r="W4031">
        <v>0.15788759999999999</v>
      </c>
      <c r="X4031">
        <v>0.97997339999999999</v>
      </c>
      <c r="Y4031">
        <v>-8.6857619999999996E-2</v>
      </c>
      <c r="Z4031">
        <v>7.9001070000000007E-2</v>
      </c>
      <c r="AA4031">
        <v>0.99308339999999995</v>
      </c>
      <c r="AB4031">
        <v>34</v>
      </c>
      <c r="AC4031">
        <v>0.94150000000001899</v>
      </c>
      <c r="AD4031">
        <v>-1.110475695491</v>
      </c>
      <c r="AE4031">
        <v>-13.629729999999901</v>
      </c>
      <c r="AF4031">
        <v>-1.21021832240919</v>
      </c>
      <c r="AG4031">
        <v>-1.110475695491</v>
      </c>
      <c r="AH4031">
        <v>13.5184780384637</v>
      </c>
      <c r="AI4031">
        <v>94.677397081148499</v>
      </c>
      <c r="AJ4031">
        <v>95.115668104733501</v>
      </c>
      <c r="AK4031">
        <v>13.6178938582512</v>
      </c>
      <c r="AL4031">
        <v>80.9156936939752</v>
      </c>
      <c r="AM4031">
        <v>97.058472011004</v>
      </c>
      <c r="AN4031">
        <v>0.99999998647706401</v>
      </c>
    </row>
    <row r="4032" spans="1:40" x14ac:dyDescent="0.25">
      <c r="A4032" t="str">
        <f>"20190312164349703"</f>
        <v>20190312164349703</v>
      </c>
      <c r="B4032" t="str">
        <f>"1552380229698862"</f>
        <v>1552380229698862</v>
      </c>
      <c r="C4032" t="s">
        <v>40</v>
      </c>
      <c r="D4032">
        <v>4.5032949999999996</v>
      </c>
      <c r="E4032">
        <v>0.5173548</v>
      </c>
      <c r="F4032" t="s">
        <v>42</v>
      </c>
      <c r="G4032">
        <v>-421.5797</v>
      </c>
      <c r="H4032" s="1">
        <v>-1.4545879999999999E-6</v>
      </c>
      <c r="I4032">
        <v>52</v>
      </c>
      <c r="J4032">
        <v>-422.53449999999998</v>
      </c>
      <c r="K4032">
        <v>1.1105940000000001</v>
      </c>
      <c r="L4032">
        <v>65.837369999999893</v>
      </c>
      <c r="M4032">
        <v>-1.9555039999999999E-2</v>
      </c>
      <c r="N4032">
        <v>0</v>
      </c>
      <c r="O4032">
        <v>-0.99973469999999998</v>
      </c>
      <c r="P4032">
        <v>0.1017332</v>
      </c>
      <c r="Q4032">
        <v>0.14608779999999999</v>
      </c>
      <c r="R4032">
        <v>-0.98402670000000003</v>
      </c>
      <c r="S4032">
        <v>0.20477290000000001</v>
      </c>
      <c r="T4032">
        <v>-0.23976449999999999</v>
      </c>
      <c r="U4032">
        <v>-3.0631409999999999</v>
      </c>
      <c r="V4032">
        <v>-0.1211666</v>
      </c>
      <c r="W4032">
        <v>0.15786359999999999</v>
      </c>
      <c r="X4032">
        <v>0.97999879999999995</v>
      </c>
      <c r="Y4032">
        <v>-8.5999720000000002E-2</v>
      </c>
      <c r="Z4032">
        <v>7.7782089999999998E-2</v>
      </c>
      <c r="AA4032">
        <v>0.99325419999999998</v>
      </c>
      <c r="AB4032">
        <v>34</v>
      </c>
      <c r="AC4032">
        <v>0.954799999999977</v>
      </c>
      <c r="AD4032">
        <v>-1.1105954545879999</v>
      </c>
      <c r="AE4032">
        <v>-13.8373699999999</v>
      </c>
      <c r="AF4032">
        <v>-1.21742258089924</v>
      </c>
      <c r="AG4032">
        <v>-1.1105954545879999</v>
      </c>
      <c r="AH4032">
        <v>13.7280374196007</v>
      </c>
      <c r="AI4032">
        <v>94.607141920129607</v>
      </c>
      <c r="AJ4032">
        <v>95.067816756741607</v>
      </c>
      <c r="AK4032">
        <v>13.826588566894999</v>
      </c>
      <c r="AL4032">
        <v>80.917085964659407</v>
      </c>
      <c r="AM4032">
        <v>97.0482540870035</v>
      </c>
      <c r="AN4032">
        <v>0.99999995458097901</v>
      </c>
    </row>
    <row r="4033" spans="1:40" x14ac:dyDescent="0.25">
      <c r="A4033" t="str">
        <f>"20190312164349728"</f>
        <v>20190312164349728</v>
      </c>
      <c r="B4033" t="str">
        <f>"1552380229719358"</f>
        <v>1552380229719358</v>
      </c>
      <c r="C4033" t="s">
        <v>40</v>
      </c>
      <c r="D4033">
        <v>4.5180400000000001</v>
      </c>
      <c r="E4033">
        <v>0.51721689999999998</v>
      </c>
      <c r="F4033" t="s">
        <v>42</v>
      </c>
      <c r="G4033">
        <v>-421.58330000000001</v>
      </c>
      <c r="H4033" s="1">
        <v>-1.368106E-6</v>
      </c>
      <c r="I4033">
        <v>51.796210000000002</v>
      </c>
      <c r="J4033">
        <v>-422.54070000000002</v>
      </c>
      <c r="K4033">
        <v>1.1107309999999999</v>
      </c>
      <c r="L4033">
        <v>65.471159999999998</v>
      </c>
      <c r="M4033">
        <v>-1.8585460000000002E-2</v>
      </c>
      <c r="N4033">
        <v>0</v>
      </c>
      <c r="O4033">
        <v>-0.99975219999999998</v>
      </c>
      <c r="P4033">
        <v>0.1022216</v>
      </c>
      <c r="Q4033">
        <v>0.1452359</v>
      </c>
      <c r="R4033">
        <v>-0.98410280000000006</v>
      </c>
      <c r="S4033">
        <v>0.2075195</v>
      </c>
      <c r="T4033">
        <v>-0.24228859999999999</v>
      </c>
      <c r="U4033">
        <v>-3.0632320000000002</v>
      </c>
      <c r="V4033">
        <v>-0.1207515</v>
      </c>
      <c r="W4033">
        <v>0.15707950000000001</v>
      </c>
      <c r="X4033">
        <v>0.98017600000000005</v>
      </c>
      <c r="Y4033">
        <v>-8.5913809999999993E-2</v>
      </c>
      <c r="Z4033">
        <v>7.8593689999999994E-2</v>
      </c>
      <c r="AA4033">
        <v>0.99319780000000002</v>
      </c>
      <c r="AB4033">
        <v>34</v>
      </c>
      <c r="AC4033">
        <v>0.95740000000000602</v>
      </c>
      <c r="AD4033">
        <v>-1.110732368106</v>
      </c>
      <c r="AE4033">
        <v>-13.674950000000001</v>
      </c>
      <c r="AF4033">
        <v>-1.20350772992368</v>
      </c>
      <c r="AG4033">
        <v>-1.110732368106</v>
      </c>
      <c r="AH4033">
        <v>13.565731694328599</v>
      </c>
      <c r="AI4033">
        <v>94.662579805068006</v>
      </c>
      <c r="AJ4033">
        <v>95.069822627453505</v>
      </c>
      <c r="AK4033">
        <v>13.664231908602</v>
      </c>
      <c r="AL4033">
        <v>80.962579073908998</v>
      </c>
      <c r="AM4033">
        <v>97.023092170545596</v>
      </c>
      <c r="AN4033">
        <v>0.99999994252424795</v>
      </c>
    </row>
    <row r="4034" spans="1:40" x14ac:dyDescent="0.25">
      <c r="A4034" t="str">
        <f>"20190312164349753"</f>
        <v>20190312164349753</v>
      </c>
      <c r="B4034" t="str">
        <f>"1552380229748638"</f>
        <v>1552380229748638</v>
      </c>
      <c r="C4034" t="s">
        <v>40</v>
      </c>
      <c r="D4034">
        <v>4.5431429999999997</v>
      </c>
      <c r="E4034">
        <v>0.51735180000000003</v>
      </c>
      <c r="F4034" t="s">
        <v>42</v>
      </c>
      <c r="G4034">
        <v>-421.5926</v>
      </c>
      <c r="H4034" s="1">
        <v>-1.3118000000000001E-6</v>
      </c>
      <c r="I4034">
        <v>51.659199999999998</v>
      </c>
      <c r="J4034">
        <v>-422.54680000000002</v>
      </c>
      <c r="K4034">
        <v>1.1108849999999999</v>
      </c>
      <c r="L4034">
        <v>65.080929999999995</v>
      </c>
      <c r="M4034">
        <v>-1.7384299999999998E-2</v>
      </c>
      <c r="N4034">
        <v>0</v>
      </c>
      <c r="O4034">
        <v>-0.99977229999999995</v>
      </c>
      <c r="P4034">
        <v>0.103104</v>
      </c>
      <c r="Q4034">
        <v>0.14418069999999999</v>
      </c>
      <c r="R4034">
        <v>-0.98416570000000003</v>
      </c>
      <c r="S4034">
        <v>0.21026610000000001</v>
      </c>
      <c r="T4034">
        <v>-0.24631739999999999</v>
      </c>
      <c r="U4034">
        <v>-3.0629580000000001</v>
      </c>
      <c r="V4034">
        <v>-0.120505</v>
      </c>
      <c r="W4034">
        <v>0.15609479999999901</v>
      </c>
      <c r="X4034">
        <v>0.98036369999999895</v>
      </c>
      <c r="Y4034">
        <v>-8.5602250000000005E-2</v>
      </c>
      <c r="Z4034">
        <v>7.9900600000000002E-2</v>
      </c>
      <c r="AA4034">
        <v>0.99312040000000001</v>
      </c>
      <c r="AB4034">
        <v>34</v>
      </c>
      <c r="AC4034">
        <v>0.95420000000001404</v>
      </c>
      <c r="AD4034">
        <v>-1.1108863118000001</v>
      </c>
      <c r="AE4034">
        <v>-13.42173</v>
      </c>
      <c r="AF4034">
        <v>-1.17936243669745</v>
      </c>
      <c r="AG4034">
        <v>-1.1108863118000001</v>
      </c>
      <c r="AH4034">
        <v>13.312374254747301</v>
      </c>
      <c r="AI4034">
        <v>94.751621902261803</v>
      </c>
      <c r="AJ4034">
        <v>95.0626985878271</v>
      </c>
      <c r="AK4034">
        <v>13.4106029861933</v>
      </c>
      <c r="AL4034">
        <v>81.019703542726404</v>
      </c>
      <c r="AM4034">
        <v>97.007569518232003</v>
      </c>
      <c r="AN4034">
        <v>1.0000000129448601</v>
      </c>
    </row>
    <row r="4035" spans="1:40" x14ac:dyDescent="0.25">
      <c r="A4035" t="str">
        <f>"20190312164349771"</f>
        <v>20190312164349771</v>
      </c>
      <c r="B4035" t="str">
        <f>"1552380229759373"</f>
        <v>1552380229759373</v>
      </c>
      <c r="C4035" t="s">
        <v>40</v>
      </c>
      <c r="D4035">
        <v>4.6987769999999998</v>
      </c>
      <c r="E4035">
        <v>0.51744179999999995</v>
      </c>
      <c r="F4035" t="s">
        <v>42</v>
      </c>
      <c r="G4035">
        <v>-421.6112</v>
      </c>
      <c r="H4035" s="1">
        <v>-1.256799E-6</v>
      </c>
      <c r="I4035">
        <v>51.51943</v>
      </c>
      <c r="J4035">
        <v>-422.5505</v>
      </c>
      <c r="K4035">
        <v>1.110992</v>
      </c>
      <c r="L4035">
        <v>64.815219999999997</v>
      </c>
      <c r="M4035">
        <v>-1.645013E-2</v>
      </c>
      <c r="N4035">
        <v>0</v>
      </c>
      <c r="O4035">
        <v>-0.99978710000000004</v>
      </c>
      <c r="P4035">
        <v>0.1038113</v>
      </c>
      <c r="Q4035">
        <v>0.14436889999999999</v>
      </c>
      <c r="R4035">
        <v>-0.98406349999999998</v>
      </c>
      <c r="S4035">
        <v>0.21130370000000001</v>
      </c>
      <c r="T4035">
        <v>-0.2508937</v>
      </c>
      <c r="U4035">
        <v>-3.0628660000000001</v>
      </c>
      <c r="V4035">
        <v>-0.1203299</v>
      </c>
      <c r="W4035">
        <v>0.15632789999999999</v>
      </c>
      <c r="X4035">
        <v>0.98034809999999994</v>
      </c>
      <c r="Y4035">
        <v>-8.4999959999999999E-2</v>
      </c>
      <c r="Z4035">
        <v>8.1380800000000003E-2</v>
      </c>
      <c r="AA4035">
        <v>0.99305189999999999</v>
      </c>
      <c r="AB4035">
        <v>34</v>
      </c>
      <c r="AC4035">
        <v>0.93930000000000202</v>
      </c>
      <c r="AD4035">
        <v>-1.110993256799</v>
      </c>
      <c r="AE4035">
        <v>-13.295789999999901</v>
      </c>
      <c r="AF4035">
        <v>-1.14991819623897</v>
      </c>
      <c r="AG4035">
        <v>-1.110993256799</v>
      </c>
      <c r="AH4035">
        <v>13.186920880709099</v>
      </c>
      <c r="AI4035">
        <v>94.797654926591093</v>
      </c>
      <c r="AJ4035">
        <v>94.983666637862498</v>
      </c>
      <c r="AK4035">
        <v>13.2835048157019</v>
      </c>
      <c r="AL4035">
        <v>81.006182210592002</v>
      </c>
      <c r="AM4035">
        <v>96.997598423205602</v>
      </c>
      <c r="AN4035">
        <v>1.0000000471630099</v>
      </c>
    </row>
    <row r="4036" spans="1:40" x14ac:dyDescent="0.25">
      <c r="A4036" t="str">
        <f>"20190312164349791"</f>
        <v>20190312164349791</v>
      </c>
      <c r="B4036" t="str">
        <f>"1552380229788654"</f>
        <v>1552380229788654</v>
      </c>
      <c r="C4036" t="s">
        <v>40</v>
      </c>
      <c r="D4036">
        <v>4.6951010000000002</v>
      </c>
      <c r="E4036">
        <v>0.51735940000000002</v>
      </c>
      <c r="F4036" t="s">
        <v>42</v>
      </c>
      <c r="G4036">
        <v>-421.60539999999997</v>
      </c>
      <c r="H4036" s="1">
        <v>-1.125451E-6</v>
      </c>
      <c r="I4036">
        <v>51.216819999999998</v>
      </c>
      <c r="J4036">
        <v>-422.55459999999999</v>
      </c>
      <c r="K4036">
        <v>1.11113</v>
      </c>
      <c r="L4036">
        <v>64.496579999999994</v>
      </c>
      <c r="M4036">
        <v>-1.518717E-2</v>
      </c>
      <c r="N4036">
        <v>0</v>
      </c>
      <c r="O4036">
        <v>-0.99980599999999997</v>
      </c>
      <c r="P4036">
        <v>0.1043207</v>
      </c>
      <c r="Q4036">
        <v>0.1446635</v>
      </c>
      <c r="R4036">
        <v>-0.98396620000000001</v>
      </c>
      <c r="S4036">
        <v>0.2128601</v>
      </c>
      <c r="T4036">
        <v>-0.25023450000000003</v>
      </c>
      <c r="U4036">
        <v>-3.0628359999999999</v>
      </c>
      <c r="V4036">
        <v>-0.1196459</v>
      </c>
      <c r="W4036">
        <v>0.15667639999999999</v>
      </c>
      <c r="X4036">
        <v>0.98037609999999997</v>
      </c>
      <c r="Y4036">
        <v>-8.4245410000000007E-2</v>
      </c>
      <c r="Z4036">
        <v>8.1172820000000007E-2</v>
      </c>
      <c r="AA4036">
        <v>0.99313320000000005</v>
      </c>
      <c r="AB4036">
        <v>34</v>
      </c>
      <c r="AC4036">
        <v>0.94920000000001803</v>
      </c>
      <c r="AD4036">
        <v>-1.1111311254509999</v>
      </c>
      <c r="AE4036">
        <v>-13.27976</v>
      </c>
      <c r="AF4036">
        <v>-1.1428282578111799</v>
      </c>
      <c r="AG4036">
        <v>-1.1111311254509999</v>
      </c>
      <c r="AH4036">
        <v>13.1720645976882</v>
      </c>
      <c r="AI4036">
        <v>94.803815540914201</v>
      </c>
      <c r="AJ4036">
        <v>94.958651232323106</v>
      </c>
      <c r="AK4036">
        <v>13.268155658209199</v>
      </c>
      <c r="AL4036">
        <v>80.985964781978595</v>
      </c>
      <c r="AM4036">
        <v>96.958015731453202</v>
      </c>
      <c r="AN4036">
        <v>0.99999996657748902</v>
      </c>
    </row>
    <row r="4037" spans="1:40" x14ac:dyDescent="0.25">
      <c r="A4037" t="str">
        <f>"20190312164349815"</f>
        <v>20190312164349815</v>
      </c>
      <c r="B4037" t="str">
        <f>"1552380229809150"</f>
        <v>1552380229809150</v>
      </c>
      <c r="C4037" t="s">
        <v>40</v>
      </c>
      <c r="D4037">
        <v>4.4977850000000004</v>
      </c>
      <c r="E4037">
        <v>0.51713229999999999</v>
      </c>
      <c r="F4037" t="s">
        <v>42</v>
      </c>
      <c r="G4037">
        <v>-421.59390000000002</v>
      </c>
      <c r="H4037" s="1">
        <v>-9.6440259999999994E-7</v>
      </c>
      <c r="I4037">
        <v>50.848550000000003</v>
      </c>
      <c r="J4037">
        <v>-422.55840000000001</v>
      </c>
      <c r="K4037">
        <v>1.1113</v>
      </c>
      <c r="L4037">
        <v>64.142330000000001</v>
      </c>
      <c r="M4037">
        <v>-1.3592190000000001E-2</v>
      </c>
      <c r="N4037">
        <v>0</v>
      </c>
      <c r="O4037">
        <v>-0.99982769999999999</v>
      </c>
      <c r="P4037">
        <v>0.10579570000000001</v>
      </c>
      <c r="Q4037">
        <v>0.14481159999999901</v>
      </c>
      <c r="R4037">
        <v>-0.98378710000000003</v>
      </c>
      <c r="S4037">
        <v>0.2155762</v>
      </c>
      <c r="T4037">
        <v>-0.24934300000000001</v>
      </c>
      <c r="U4037">
        <v>-3.0626829999999998</v>
      </c>
      <c r="V4037">
        <v>-0.1196111</v>
      </c>
      <c r="W4037">
        <v>0.156879399999999</v>
      </c>
      <c r="X4037">
        <v>0.98034790000000005</v>
      </c>
      <c r="Y4037">
        <v>-8.3537340000000002E-2</v>
      </c>
      <c r="Z4037">
        <v>8.0892270000000002E-2</v>
      </c>
      <c r="AA4037">
        <v>0.99321599999999999</v>
      </c>
      <c r="AB4037">
        <v>34</v>
      </c>
      <c r="AC4037">
        <v>0.96449999999998604</v>
      </c>
      <c r="AD4037">
        <v>-1.1113009644026</v>
      </c>
      <c r="AE4037">
        <v>-13.2937799999999</v>
      </c>
      <c r="AF4037">
        <v>-1.13721144447403</v>
      </c>
      <c r="AG4037">
        <v>-1.1113009644026</v>
      </c>
      <c r="AH4037">
        <v>13.1877646435244</v>
      </c>
      <c r="AI4037">
        <v>94.7990703085175</v>
      </c>
      <c r="AJ4037">
        <v>94.9285554397986</v>
      </c>
      <c r="AK4037">
        <v>13.2832742949891</v>
      </c>
      <c r="AL4037">
        <v>80.974188257975499</v>
      </c>
      <c r="AM4037">
        <v>96.956209896789105</v>
      </c>
      <c r="AN4037">
        <v>0.99999998321098904</v>
      </c>
    </row>
    <row r="4038" spans="1:40" x14ac:dyDescent="0.25">
      <c r="A4038" t="str">
        <f>"20190312164349837"</f>
        <v>20190312164349837</v>
      </c>
      <c r="B4038" t="str">
        <f>"1552380229828670"</f>
        <v>1552380229828670</v>
      </c>
      <c r="C4038" t="s">
        <v>40</v>
      </c>
      <c r="D4038">
        <v>4.5458980000000002</v>
      </c>
      <c r="E4038">
        <v>0.51703009999999905</v>
      </c>
      <c r="F4038" t="s">
        <v>42</v>
      </c>
      <c r="G4038">
        <v>-421.57499999999999</v>
      </c>
      <c r="H4038" s="1">
        <v>-8.4254689999999996E-7</v>
      </c>
      <c r="I4038">
        <v>50.576259999999998</v>
      </c>
      <c r="J4038">
        <v>-422.56130000000002</v>
      </c>
      <c r="K4038">
        <v>1.1114679999999999</v>
      </c>
      <c r="L4038">
        <v>63.811340000000001</v>
      </c>
      <c r="M4038">
        <v>-1.191598E-2</v>
      </c>
      <c r="N4038">
        <v>0</v>
      </c>
      <c r="O4038">
        <v>-0.99984790000000001</v>
      </c>
      <c r="P4038">
        <v>0.10731549999999999</v>
      </c>
      <c r="Q4038">
        <v>0.14427110000000001</v>
      </c>
      <c r="R4038">
        <v>-0.98370190000000002</v>
      </c>
      <c r="S4038">
        <v>0.2220154</v>
      </c>
      <c r="T4038">
        <v>-0.2508727</v>
      </c>
      <c r="U4038">
        <v>-3.0625</v>
      </c>
      <c r="V4038">
        <v>-0.11954099999999999</v>
      </c>
      <c r="W4038">
        <v>0.15639059999999999</v>
      </c>
      <c r="X4038">
        <v>0.98043460000000004</v>
      </c>
      <c r="Y4038">
        <v>-8.3945759999999994E-2</v>
      </c>
      <c r="Z4038">
        <v>8.1385239999999998E-2</v>
      </c>
      <c r="AA4038">
        <v>0.99314119999999995</v>
      </c>
      <c r="AB4038">
        <v>34</v>
      </c>
      <c r="AC4038">
        <v>0.98630000000002804</v>
      </c>
      <c r="AD4038">
        <v>-1.1114688425468999</v>
      </c>
      <c r="AE4038">
        <v>-13.23508</v>
      </c>
      <c r="AF4038">
        <v>-1.1359844488326301</v>
      </c>
      <c r="AG4038">
        <v>-1.1114688425468999</v>
      </c>
      <c r="AH4038">
        <v>13.1302968527381</v>
      </c>
      <c r="AI4038">
        <v>94.820583696776893</v>
      </c>
      <c r="AJ4038">
        <v>94.944705125740796</v>
      </c>
      <c r="AK4038">
        <v>13.226130163315499</v>
      </c>
      <c r="AL4038">
        <v>81.0025449427837</v>
      </c>
      <c r="AM4038">
        <v>96.951564241460503</v>
      </c>
      <c r="AN4038">
        <v>1.0000000376632501</v>
      </c>
    </row>
    <row r="4039" spans="1:40" x14ac:dyDescent="0.25">
      <c r="A4039" t="str">
        <f>"20190312164349858"</f>
        <v>20190312164349858</v>
      </c>
      <c r="B4039" t="str">
        <f>"1552380229849167"</f>
        <v>1552380229849167</v>
      </c>
      <c r="C4039" t="s">
        <v>40</v>
      </c>
      <c r="D4039">
        <v>4.5297390000000002</v>
      </c>
      <c r="E4039">
        <v>0.51686279999999996</v>
      </c>
      <c r="F4039" t="s">
        <v>42</v>
      </c>
      <c r="G4039">
        <v>-421.56459999999998</v>
      </c>
      <c r="H4039" s="1">
        <v>-7.7611260000000004E-7</v>
      </c>
      <c r="I4039">
        <v>50.427849999999999</v>
      </c>
      <c r="J4039">
        <v>-422.56360000000001</v>
      </c>
      <c r="K4039">
        <v>1.1116360000000001</v>
      </c>
      <c r="L4039">
        <v>63.485320000000002</v>
      </c>
      <c r="M4039">
        <v>-1.0079080000000001E-2</v>
      </c>
      <c r="N4039">
        <v>0</v>
      </c>
      <c r="O4039">
        <v>-0.99986699999999995</v>
      </c>
      <c r="P4039">
        <v>0.10887769999999999</v>
      </c>
      <c r="Q4039">
        <v>0.14406360000000001</v>
      </c>
      <c r="R4039">
        <v>-0.98356069999999995</v>
      </c>
      <c r="S4039">
        <v>0.22805790000000001</v>
      </c>
      <c r="T4039">
        <v>-0.25430320000000001</v>
      </c>
      <c r="U4039">
        <v>-3.0621339999999999</v>
      </c>
      <c r="V4039">
        <v>-0.1193586</v>
      </c>
      <c r="W4039">
        <v>0.15622710000000001</v>
      </c>
      <c r="X4039">
        <v>0.98048290000000005</v>
      </c>
      <c r="Y4039">
        <v>-8.4066139999999998E-2</v>
      </c>
      <c r="Z4039">
        <v>8.24965E-2</v>
      </c>
      <c r="AA4039">
        <v>0.99303940000000002</v>
      </c>
      <c r="AB4039">
        <v>34</v>
      </c>
      <c r="AC4039">
        <v>0.99900000000002298</v>
      </c>
      <c r="AD4039">
        <v>-1.1116367761126</v>
      </c>
      <c r="AE4039">
        <v>-13.057469999999901</v>
      </c>
      <c r="AF4039">
        <v>-1.12247916169087</v>
      </c>
      <c r="AG4039">
        <v>-1.1116367761126</v>
      </c>
      <c r="AH4039">
        <v>12.9533991746365</v>
      </c>
      <c r="AI4039">
        <v>94.88677588454</v>
      </c>
      <c r="AJ4039">
        <v>94.952604354171001</v>
      </c>
      <c r="AK4039">
        <v>13.0493772252897</v>
      </c>
      <c r="AL4039">
        <v>81.012029491865704</v>
      </c>
      <c r="AM4039">
        <v>96.940722252664301</v>
      </c>
      <c r="AN4039">
        <v>1.00000004968038</v>
      </c>
    </row>
    <row r="4040" spans="1:40" x14ac:dyDescent="0.25">
      <c r="A4040" t="str">
        <f>"20190312164349881"</f>
        <v>20190312164349881</v>
      </c>
      <c r="B4040" t="str">
        <f>"1552380229868686"</f>
        <v>1552380229868686</v>
      </c>
      <c r="C4040" t="s">
        <v>40</v>
      </c>
      <c r="D4040">
        <v>4.5495749999999999</v>
      </c>
      <c r="E4040">
        <v>0.51666880000000004</v>
      </c>
      <c r="F4040" t="s">
        <v>42</v>
      </c>
      <c r="G4040">
        <v>-421.54379999999998</v>
      </c>
      <c r="H4040" s="1">
        <v>-6.7311389999999998E-7</v>
      </c>
      <c r="I4040">
        <v>50.200629999999997</v>
      </c>
      <c r="J4040">
        <v>-422.56490000000002</v>
      </c>
      <c r="K4040">
        <v>1.1118140000000001</v>
      </c>
      <c r="L4040">
        <v>63.151179999999997</v>
      </c>
      <c r="M4040">
        <v>-8.0008730000000004E-3</v>
      </c>
      <c r="N4040">
        <v>0</v>
      </c>
      <c r="O4040">
        <v>-0.99988449999999995</v>
      </c>
      <c r="P4040">
        <v>0.1110535</v>
      </c>
      <c r="Q4040">
        <v>0.14355889999999999</v>
      </c>
      <c r="R4040">
        <v>-0.98339129999999997</v>
      </c>
      <c r="S4040">
        <v>0.2350159</v>
      </c>
      <c r="T4040">
        <v>-0.25619239999999999</v>
      </c>
      <c r="U4040">
        <v>-3.0616460000000001</v>
      </c>
      <c r="V4040">
        <v>-0.1195541</v>
      </c>
      <c r="W4040">
        <v>0.15575799999999901</v>
      </c>
      <c r="X4040">
        <v>0.98053369999999995</v>
      </c>
      <c r="Y4040">
        <v>-8.42469E-2</v>
      </c>
      <c r="Z4040">
        <v>8.3112930000000002E-2</v>
      </c>
      <c r="AA4040">
        <v>0.99297270000000004</v>
      </c>
      <c r="AB4040">
        <v>34</v>
      </c>
      <c r="AC4040">
        <v>1.0211000000000401</v>
      </c>
      <c r="AD4040">
        <v>-1.11181467311389</v>
      </c>
      <c r="AE4040">
        <v>-12.95055</v>
      </c>
      <c r="AF4040">
        <v>-1.1165134112605599</v>
      </c>
      <c r="AG4040">
        <v>-1.11181467311389</v>
      </c>
      <c r="AH4040">
        <v>12.8478568260785</v>
      </c>
      <c r="AI4040">
        <v>94.927402918610397</v>
      </c>
      <c r="AJ4040">
        <v>94.9666799380947</v>
      </c>
      <c r="AK4040">
        <v>12.944116775133301</v>
      </c>
      <c r="AL4040">
        <v>81.039239932701093</v>
      </c>
      <c r="AM4040">
        <v>96.951622802168103</v>
      </c>
      <c r="AN4040">
        <v>1.00000003711324</v>
      </c>
    </row>
    <row r="4041" spans="1:40" x14ac:dyDescent="0.25">
      <c r="A4041" t="str">
        <f>"20190312164349905"</f>
        <v>20190312164349905</v>
      </c>
      <c r="B4041" t="str">
        <f>"1552380229898944"</f>
        <v>1552380229898944</v>
      </c>
      <c r="C4041" t="s">
        <v>40</v>
      </c>
      <c r="D4041">
        <v>4.8056960000000002</v>
      </c>
      <c r="E4041">
        <v>0.51651769999999997</v>
      </c>
      <c r="F4041" t="s">
        <v>42</v>
      </c>
      <c r="G4041">
        <v>-421.51900000000001</v>
      </c>
      <c r="H4041" s="1">
        <v>-5.9720299999999995E-7</v>
      </c>
      <c r="I4041">
        <v>50.039079999999998</v>
      </c>
      <c r="J4041">
        <v>-422.56540000000001</v>
      </c>
      <c r="K4041">
        <v>1.1119920000000001</v>
      </c>
      <c r="L4041">
        <v>62.7973</v>
      </c>
      <c r="M4041">
        <v>-5.5672849999999999E-3</v>
      </c>
      <c r="N4041">
        <v>0</v>
      </c>
      <c r="O4041">
        <v>-0.99990000000000001</v>
      </c>
      <c r="P4041">
        <v>0.1140133</v>
      </c>
      <c r="Q4041">
        <v>0.1420979</v>
      </c>
      <c r="R4041">
        <v>-0.98326449999999999</v>
      </c>
      <c r="S4041">
        <v>0.2441711</v>
      </c>
      <c r="T4041">
        <v>-0.25954899999999997</v>
      </c>
      <c r="U4041">
        <v>-3.0609739999999999</v>
      </c>
      <c r="V4041">
        <v>-0.1201835</v>
      </c>
      <c r="W4041">
        <v>0.1543321</v>
      </c>
      <c r="X4041">
        <v>0.98068219999999995</v>
      </c>
      <c r="Y4041">
        <v>-8.4782969999999999E-2</v>
      </c>
      <c r="Z4041">
        <v>8.4202879999999994E-2</v>
      </c>
      <c r="AA4041">
        <v>0.99283520000000003</v>
      </c>
      <c r="AB4041">
        <v>34</v>
      </c>
      <c r="AC4041">
        <v>1.0464</v>
      </c>
      <c r="AD4041">
        <v>-1.111992597203</v>
      </c>
      <c r="AE4041">
        <v>-12.75822</v>
      </c>
      <c r="AF4041">
        <v>-1.10904963513405</v>
      </c>
      <c r="AG4041">
        <v>-1.111992597203</v>
      </c>
      <c r="AH4041">
        <v>12.6566898341148</v>
      </c>
      <c r="AI4041">
        <v>95.001936606162502</v>
      </c>
      <c r="AJ4041">
        <v>95.007784369015795</v>
      </c>
      <c r="AK4041">
        <v>12.7537569439914</v>
      </c>
      <c r="AL4041">
        <v>81.121937907447801</v>
      </c>
      <c r="AM4041">
        <v>96.986811474019106</v>
      </c>
      <c r="AN4041">
        <v>1.00000002407974</v>
      </c>
    </row>
    <row r="4042" spans="1:40" x14ac:dyDescent="0.25">
      <c r="A4042" t="str">
        <f>"20190312164349929"</f>
        <v>20190312164349929</v>
      </c>
      <c r="B4042" t="str">
        <f>"1552380229918462"</f>
        <v>1552380229918462</v>
      </c>
      <c r="C4042" t="s">
        <v>40</v>
      </c>
      <c r="D4042">
        <v>4.7942869999999997</v>
      </c>
      <c r="E4042">
        <v>0.51603670000000001</v>
      </c>
      <c r="F4042" t="s">
        <v>42</v>
      </c>
      <c r="G4042">
        <v>-421.49950000000001</v>
      </c>
      <c r="H4042" s="1">
        <v>-5.7531089999999996E-7</v>
      </c>
      <c r="I4042">
        <v>50.000160000000001</v>
      </c>
      <c r="J4042">
        <v>-422.56470000000002</v>
      </c>
      <c r="K4042">
        <v>1.112166</v>
      </c>
      <c r="L4042">
        <v>62.430239999999998</v>
      </c>
      <c r="M4042">
        <v>-2.8349730000000002E-3</v>
      </c>
      <c r="N4042">
        <v>0</v>
      </c>
      <c r="O4042">
        <v>-0.99991019999999997</v>
      </c>
      <c r="P4042">
        <v>0.1172812</v>
      </c>
      <c r="Q4042">
        <v>0.14119089999999901</v>
      </c>
      <c r="R4042">
        <v>-0.98301099999999997</v>
      </c>
      <c r="S4042">
        <v>0.25488280000000002</v>
      </c>
      <c r="T4042">
        <v>-0.2658894</v>
      </c>
      <c r="U4042">
        <v>-3.0599370000000001</v>
      </c>
      <c r="V4042">
        <v>-0.1208272</v>
      </c>
      <c r="W4042">
        <v>0.15345619999999999</v>
      </c>
      <c r="X4042">
        <v>0.98074050000000002</v>
      </c>
      <c r="Y4042">
        <v>-8.5524959999999997E-2</v>
      </c>
      <c r="Z4042">
        <v>8.6260180000000006E-2</v>
      </c>
      <c r="AA4042">
        <v>0.99259489999999995</v>
      </c>
      <c r="AB4042">
        <v>34</v>
      </c>
      <c r="AC4042">
        <v>1.0651999999999999</v>
      </c>
      <c r="AD4042">
        <v>-1.1121665753109</v>
      </c>
      <c r="AE4042">
        <v>-12.43008</v>
      </c>
      <c r="AF4042">
        <v>-1.0917612377652799</v>
      </c>
      <c r="AG4042">
        <v>-1.1121665753109</v>
      </c>
      <c r="AH4042">
        <v>12.329028707728799</v>
      </c>
      <c r="AI4042">
        <v>95.134554052497606</v>
      </c>
      <c r="AJ4042">
        <v>95.060461311897797</v>
      </c>
      <c r="AK4042">
        <v>12.427139894904499</v>
      </c>
      <c r="AL4042">
        <v>81.172727875450505</v>
      </c>
      <c r="AM4042">
        <v>97.023446499846003</v>
      </c>
      <c r="AN4042">
        <v>0.99999997295926402</v>
      </c>
    </row>
    <row r="4043" spans="1:40" x14ac:dyDescent="0.25">
      <c r="A4043" t="str">
        <f>"20190312164349949"</f>
        <v>20190312164349949</v>
      </c>
      <c r="B4043" t="str">
        <f>"1552380229938959"</f>
        <v>1552380229938959</v>
      </c>
      <c r="C4043" t="s">
        <v>40</v>
      </c>
      <c r="D4043">
        <v>4.5238149999999999</v>
      </c>
      <c r="E4043">
        <v>0.49610850000000001</v>
      </c>
      <c r="F4043" t="s">
        <v>42</v>
      </c>
      <c r="G4043">
        <v>-421.44420000000002</v>
      </c>
      <c r="H4043" s="1">
        <v>-4.4015949999999998E-7</v>
      </c>
      <c r="I4043">
        <v>49.719369999999998</v>
      </c>
      <c r="J4043">
        <v>-422.56330000000003</v>
      </c>
      <c r="K4043">
        <v>1.1122920000000001</v>
      </c>
      <c r="L4043">
        <v>62.124209999999998</v>
      </c>
      <c r="M4043">
        <v>-4.2968059999999998E-4</v>
      </c>
      <c r="N4043">
        <v>0</v>
      </c>
      <c r="O4043">
        <v>-0.99991319999999995</v>
      </c>
      <c r="P4043">
        <v>0.12060899999999999</v>
      </c>
      <c r="Q4043">
        <v>0.1401095</v>
      </c>
      <c r="R4043">
        <v>-0.98276280000000005</v>
      </c>
      <c r="S4043">
        <v>0.26956180000000002</v>
      </c>
      <c r="T4043">
        <v>-0.26757599999999998</v>
      </c>
      <c r="U4043">
        <v>-3.0581049999999999</v>
      </c>
      <c r="V4043">
        <v>-0.1218331</v>
      </c>
      <c r="W4043">
        <v>0.152398799999999</v>
      </c>
      <c r="X4043">
        <v>0.98078100000000001</v>
      </c>
      <c r="Y4043">
        <v>-8.7902620000000001E-2</v>
      </c>
      <c r="Z4043">
        <v>8.6828509999999998E-2</v>
      </c>
      <c r="AA4043">
        <v>0.99233760000000004</v>
      </c>
      <c r="AB4043">
        <v>34</v>
      </c>
      <c r="AC4043">
        <v>1.1191</v>
      </c>
      <c r="AD4043">
        <v>-1.1122924401595</v>
      </c>
      <c r="AE4043">
        <v>-12.40484</v>
      </c>
      <c r="AF4043">
        <v>-1.11553399896773</v>
      </c>
      <c r="AG4043">
        <v>-1.1122924401595</v>
      </c>
      <c r="AH4043">
        <v>12.306214842053</v>
      </c>
      <c r="AI4043">
        <v>95.143647542890903</v>
      </c>
      <c r="AJ4043">
        <v>95.179592859380094</v>
      </c>
      <c r="AK4043">
        <v>12.4066326742616</v>
      </c>
      <c r="AL4043">
        <v>81.234034092289704</v>
      </c>
      <c r="AM4043">
        <v>97.081036829436997</v>
      </c>
      <c r="AN4043">
        <v>1.0000000342290201</v>
      </c>
    </row>
    <row r="4044" spans="1:40" x14ac:dyDescent="0.25">
      <c r="A4044" t="str">
        <f>"20190312164349973"</f>
        <v>20190312164349973</v>
      </c>
      <c r="B4044" t="str">
        <f>"1552380229969214"</f>
        <v>1552380229969214</v>
      </c>
      <c r="C4044" t="s">
        <v>40</v>
      </c>
      <c r="D4044">
        <v>4.5145499999999998</v>
      </c>
      <c r="E4044">
        <v>0.4959961</v>
      </c>
      <c r="F4044" t="s">
        <v>42</v>
      </c>
      <c r="G4044">
        <v>-420.73390000000001</v>
      </c>
      <c r="H4044" s="1">
        <v>-4.3695679999999996E-6</v>
      </c>
      <c r="I4044">
        <v>49.444420000000001</v>
      </c>
      <c r="J4044">
        <v>-422.56060000000002</v>
      </c>
      <c r="K4044">
        <v>1.11242</v>
      </c>
      <c r="L4044">
        <v>61.777740000000001</v>
      </c>
      <c r="M4044">
        <v>2.4224950000000002E-3</v>
      </c>
      <c r="N4044">
        <v>0</v>
      </c>
      <c r="O4044">
        <v>-0.99990950000000001</v>
      </c>
      <c r="P4044">
        <v>0.12378110000000001</v>
      </c>
      <c r="Q4044">
        <v>0.13921159999999999</v>
      </c>
      <c r="R4044">
        <v>-0.98249609999999998</v>
      </c>
      <c r="S4044">
        <v>0.4381409</v>
      </c>
      <c r="T4044">
        <v>-0.2663972</v>
      </c>
      <c r="U4044">
        <v>-3.036835</v>
      </c>
      <c r="V4044">
        <v>-0.1222438</v>
      </c>
      <c r="W4044">
        <v>0.1515339</v>
      </c>
      <c r="X4044">
        <v>0.98086390000000001</v>
      </c>
      <c r="Y4044">
        <v>-0.139863299999999</v>
      </c>
      <c r="Z4044">
        <v>8.6512130000000007E-2</v>
      </c>
      <c r="AA4044">
        <v>0.98638429999999999</v>
      </c>
      <c r="AB4044">
        <v>34</v>
      </c>
      <c r="AC4044">
        <v>1.82670000000001</v>
      </c>
      <c r="AD4044">
        <v>-1.1124243695680001</v>
      </c>
      <c r="AE4044">
        <v>-12.333320000000001</v>
      </c>
      <c r="AF4044">
        <v>-1.7826235004979201</v>
      </c>
      <c r="AG4044">
        <v>-1.1124243695680001</v>
      </c>
      <c r="AH4044">
        <v>12.240266998763399</v>
      </c>
      <c r="AI4044">
        <v>95.138992175255694</v>
      </c>
      <c r="AJ4044">
        <v>98.286073629433503</v>
      </c>
      <c r="AK4044">
        <v>12.419314422445099</v>
      </c>
      <c r="AL4044">
        <v>81.284171486762503</v>
      </c>
      <c r="AM4044">
        <v>97.104069178696903</v>
      </c>
      <c r="AN4044">
        <v>1.0000000299054199</v>
      </c>
    </row>
    <row r="4045" spans="1:40" x14ac:dyDescent="0.25">
      <c r="A4045" t="str">
        <f>"20190312164349994"</f>
        <v>20190312164349994</v>
      </c>
      <c r="B4045" t="str">
        <f>"1552380229988734"</f>
        <v>1552380229988734</v>
      </c>
      <c r="C4045" t="s">
        <v>40</v>
      </c>
      <c r="D4045">
        <v>4.7439390000000001</v>
      </c>
      <c r="E4045">
        <v>0.49638929999999998</v>
      </c>
      <c r="F4045" t="s">
        <v>42</v>
      </c>
      <c r="G4045">
        <v>-420.68689999999998</v>
      </c>
      <c r="H4045" s="1">
        <v>-4.2517350000000002E-6</v>
      </c>
      <c r="I4045">
        <v>49.122660000000003</v>
      </c>
      <c r="J4045">
        <v>-422.5573</v>
      </c>
      <c r="K4045">
        <v>1.1125240000000001</v>
      </c>
      <c r="L4045">
        <v>61.4621</v>
      </c>
      <c r="M4045">
        <v>5.1227759999999999E-3</v>
      </c>
      <c r="N4045">
        <v>0</v>
      </c>
      <c r="O4045">
        <v>-0.99989859999999997</v>
      </c>
      <c r="P4045">
        <v>0.1265252</v>
      </c>
      <c r="Q4045">
        <v>0.13891149999999999</v>
      </c>
      <c r="R4045">
        <v>-0.98218910000000004</v>
      </c>
      <c r="S4045">
        <v>0.4493103</v>
      </c>
      <c r="T4045">
        <v>-0.26675500000000002</v>
      </c>
      <c r="U4045">
        <v>-3.034637</v>
      </c>
      <c r="V4045">
        <v>-0.1223701</v>
      </c>
      <c r="W4045">
        <v>0.15126389999999901</v>
      </c>
      <c r="X4045">
        <v>0.98088980000000003</v>
      </c>
      <c r="Y4045">
        <v>-0.1408431</v>
      </c>
      <c r="Z4045">
        <v>8.665892E-2</v>
      </c>
      <c r="AA4045">
        <v>0.98623190000000005</v>
      </c>
      <c r="AB4045">
        <v>34</v>
      </c>
      <c r="AC4045">
        <v>1.8704000000000101</v>
      </c>
      <c r="AD4045">
        <v>-1.1125282517349999</v>
      </c>
      <c r="AE4045">
        <v>-12.33944</v>
      </c>
      <c r="AF4045">
        <v>-1.7929106561466599</v>
      </c>
      <c r="AG4045">
        <v>-1.1125282517349999</v>
      </c>
      <c r="AH4045">
        <v>12.2515062420728</v>
      </c>
      <c r="AI4045">
        <v>95.134264452376101</v>
      </c>
      <c r="AJ4045">
        <v>98.325683770742899</v>
      </c>
      <c r="AK4045">
        <v>12.431880506640301</v>
      </c>
      <c r="AL4045">
        <v>81.299821526686799</v>
      </c>
      <c r="AM4045">
        <v>97.111148011363895</v>
      </c>
      <c r="AN4045">
        <v>1.0000000042806301</v>
      </c>
    </row>
    <row r="4046" spans="1:40" x14ac:dyDescent="0.25">
      <c r="A4046" t="str">
        <f>"20190312164350017"</f>
        <v>20190312164350017</v>
      </c>
      <c r="B4046" t="str">
        <f>"1552380230009231"</f>
        <v>1552380230009231</v>
      </c>
      <c r="C4046" t="s">
        <v>40</v>
      </c>
      <c r="D4046">
        <v>4.6584669999999999</v>
      </c>
      <c r="E4046">
        <v>0.4969963</v>
      </c>
      <c r="F4046" t="s">
        <v>42</v>
      </c>
      <c r="G4046">
        <v>-420.60730000000001</v>
      </c>
      <c r="H4046" s="1">
        <v>-3.9605289999999998E-6</v>
      </c>
      <c r="I4046">
        <v>48.44453</v>
      </c>
      <c r="J4046">
        <v>-422.55259999999998</v>
      </c>
      <c r="K4046">
        <v>1.112619</v>
      </c>
      <c r="L4046">
        <v>61.121279999999999</v>
      </c>
      <c r="M4046">
        <v>8.120482E-3</v>
      </c>
      <c r="N4046">
        <v>0</v>
      </c>
      <c r="O4046">
        <v>-0.99987780000000004</v>
      </c>
      <c r="P4046">
        <v>0.1290423</v>
      </c>
      <c r="Q4046">
        <v>0.13841149999999999</v>
      </c>
      <c r="R4046">
        <v>-0.98193189999999997</v>
      </c>
      <c r="S4046">
        <v>0.4542542</v>
      </c>
      <c r="T4046">
        <v>-0.25917099999999998</v>
      </c>
      <c r="U4046">
        <v>-3.0325319999999998</v>
      </c>
      <c r="V4046">
        <v>-0.12197330000000001</v>
      </c>
      <c r="W4046">
        <v>0.15079770000000001</v>
      </c>
      <c r="X4046">
        <v>0.98101099999999997</v>
      </c>
      <c r="Y4046">
        <v>-0.1395777</v>
      </c>
      <c r="Z4046">
        <v>8.4265590000000001E-2</v>
      </c>
      <c r="AA4046">
        <v>0.98661920000000003</v>
      </c>
      <c r="AB4046">
        <v>34</v>
      </c>
      <c r="AC4046">
        <v>1.9452999999999701</v>
      </c>
      <c r="AD4046">
        <v>-1.1126229605289999</v>
      </c>
      <c r="AE4046">
        <v>-12.67675</v>
      </c>
      <c r="AF4046">
        <v>-1.82852363056437</v>
      </c>
      <c r="AG4046">
        <v>-1.1126229605289999</v>
      </c>
      <c r="AH4046">
        <v>12.5973210204104</v>
      </c>
      <c r="AI4046">
        <v>94.995311358856995</v>
      </c>
      <c r="AJ4046">
        <v>98.258904595609494</v>
      </c>
      <c r="AK4046">
        <v>12.777868578565901</v>
      </c>
      <c r="AL4046">
        <v>81.326842803807097</v>
      </c>
      <c r="AM4046">
        <v>97.087457354623297</v>
      </c>
      <c r="AN4046">
        <v>1.00000000717958</v>
      </c>
    </row>
    <row r="4047" spans="1:40" x14ac:dyDescent="0.25">
      <c r="A4047" t="str">
        <f>"20190312164350037"</f>
        <v>20190312164350037</v>
      </c>
      <c r="B4047" t="str">
        <f>"1552380230028750"</f>
        <v>1552380230028750</v>
      </c>
      <c r="C4047" t="s">
        <v>40</v>
      </c>
      <c r="D4047">
        <v>4.337631</v>
      </c>
      <c r="E4047">
        <v>0.49725249999999999</v>
      </c>
      <c r="F4047" t="s">
        <v>42</v>
      </c>
      <c r="G4047">
        <v>-420.5951</v>
      </c>
      <c r="H4047" s="1">
        <v>-3.8114130000000002E-6</v>
      </c>
      <c r="I4047">
        <v>48.104520000000001</v>
      </c>
      <c r="J4047">
        <v>-422.54730000000001</v>
      </c>
      <c r="K4047">
        <v>1.112687</v>
      </c>
      <c r="L4047">
        <v>60.806789999999999</v>
      </c>
      <c r="M4047">
        <v>1.093921E-2</v>
      </c>
      <c r="N4047">
        <v>0</v>
      </c>
      <c r="O4047">
        <v>-0.99985040000000003</v>
      </c>
      <c r="P4047">
        <v>0.1316899</v>
      </c>
      <c r="Q4047">
        <v>0.1374997</v>
      </c>
      <c r="R4047">
        <v>-0.98170860000000004</v>
      </c>
      <c r="S4047">
        <v>0.45593260000000002</v>
      </c>
      <c r="T4047">
        <v>-0.25914670000000001</v>
      </c>
      <c r="U4047">
        <v>-3.0317989999999999</v>
      </c>
      <c r="V4047">
        <v>-0.12187199999999999</v>
      </c>
      <c r="W4047">
        <v>0.14991470000000001</v>
      </c>
      <c r="X4047">
        <v>0.98115889999999994</v>
      </c>
      <c r="Y4047">
        <v>-0.1373549</v>
      </c>
      <c r="Z4047">
        <v>8.4284100000000001E-2</v>
      </c>
      <c r="AA4047">
        <v>0.98692950000000002</v>
      </c>
      <c r="AB4047">
        <v>34</v>
      </c>
      <c r="AC4047">
        <v>1.9521999999999999</v>
      </c>
      <c r="AD4047">
        <v>-1.1126908114129901</v>
      </c>
      <c r="AE4047">
        <v>-12.70227</v>
      </c>
      <c r="AF4047">
        <v>-1.79962733598316</v>
      </c>
      <c r="AG4047">
        <v>-1.1126908114129901</v>
      </c>
      <c r="AH4047">
        <v>12.628202372359199</v>
      </c>
      <c r="AI4047">
        <v>94.985306783650401</v>
      </c>
      <c r="AJ4047">
        <v>98.110530300682797</v>
      </c>
      <c r="AK4047">
        <v>12.804227213989799</v>
      </c>
      <c r="AL4047">
        <v>81.378016617960895</v>
      </c>
      <c r="AM4047">
        <v>97.080574291443099</v>
      </c>
      <c r="AN4047">
        <v>0.99999999435464904</v>
      </c>
    </row>
    <row r="4048" spans="1:40" x14ac:dyDescent="0.25">
      <c r="A4048" t="str">
        <f>"20190312164350059"</f>
        <v>20190312164350059</v>
      </c>
      <c r="B4048" t="str">
        <f>"1552380230049246"</f>
        <v>1552380230049246</v>
      </c>
      <c r="C4048" t="s">
        <v>40</v>
      </c>
      <c r="D4048">
        <v>4.2963360000000002</v>
      </c>
      <c r="E4048">
        <v>0.4970697</v>
      </c>
      <c r="F4048" t="s">
        <v>42</v>
      </c>
      <c r="G4048">
        <v>-420.56849999999997</v>
      </c>
      <c r="H4048" s="1">
        <v>-3.682865E-6</v>
      </c>
      <c r="I4048">
        <v>47.821370000000002</v>
      </c>
      <c r="J4048">
        <v>-422.54070000000002</v>
      </c>
      <c r="K4048">
        <v>1.1127419999999999</v>
      </c>
      <c r="L4048">
        <v>60.471499999999999</v>
      </c>
      <c r="M4048">
        <v>1.397694E-2</v>
      </c>
      <c r="N4048">
        <v>0</v>
      </c>
      <c r="O4048">
        <v>-0.99981200000000003</v>
      </c>
      <c r="P4048">
        <v>0.1347826</v>
      </c>
      <c r="Q4048">
        <v>0.13722609999999999</v>
      </c>
      <c r="R4048">
        <v>-0.98132730000000001</v>
      </c>
      <c r="S4048">
        <v>0.46179199999999998</v>
      </c>
      <c r="T4048">
        <v>-0.2596598</v>
      </c>
      <c r="U4048">
        <v>-3.0303040000000001</v>
      </c>
      <c r="V4048">
        <v>-0.1220019</v>
      </c>
      <c r="W4048">
        <v>0.14967329999999901</v>
      </c>
      <c r="X4048">
        <v>0.98117960000000004</v>
      </c>
      <c r="Y4048">
        <v>-0.13628029999999999</v>
      </c>
      <c r="Z4048">
        <v>8.4480130000000001E-2</v>
      </c>
      <c r="AA4048">
        <v>0.98706170000000004</v>
      </c>
      <c r="AB4048">
        <v>34</v>
      </c>
      <c r="AC4048">
        <v>1.9722000000000399</v>
      </c>
      <c r="AD4048">
        <v>-1.112745682865</v>
      </c>
      <c r="AE4048">
        <v>-12.6501299999999</v>
      </c>
      <c r="AF4048">
        <v>-1.7817222582390699</v>
      </c>
      <c r="AG4048">
        <v>-1.112745682865</v>
      </c>
      <c r="AH4048">
        <v>12.5814228772436</v>
      </c>
      <c r="AI4048">
        <v>95.004613745491895</v>
      </c>
      <c r="AJ4048">
        <v>98.0603622197238</v>
      </c>
      <c r="AK4048">
        <v>12.7555846113092</v>
      </c>
      <c r="AL4048">
        <v>81.392005563647004</v>
      </c>
      <c r="AM4048">
        <v>97.087896539861703</v>
      </c>
      <c r="AN4048">
        <v>0.99999998389632905</v>
      </c>
    </row>
    <row r="4049" spans="1:40" x14ac:dyDescent="0.25">
      <c r="A4049" t="str">
        <f>"20190312164350083"</f>
        <v>20190312164350083</v>
      </c>
      <c r="B4049" t="str">
        <f>"1552380230079502"</f>
        <v>1552380230079502</v>
      </c>
      <c r="C4049" t="s">
        <v>40</v>
      </c>
      <c r="D4049">
        <v>4.224882</v>
      </c>
      <c r="E4049">
        <v>0.49741629999999998</v>
      </c>
      <c r="F4049" t="s">
        <v>42</v>
      </c>
      <c r="G4049">
        <v>-420.5231</v>
      </c>
      <c r="H4049" s="1">
        <v>-3.5569760000000002E-6</v>
      </c>
      <c r="I4049">
        <v>47.556080000000001</v>
      </c>
      <c r="J4049">
        <v>-422.53300000000002</v>
      </c>
      <c r="K4049">
        <v>1.112792</v>
      </c>
      <c r="L4049">
        <v>60.139919999999996</v>
      </c>
      <c r="M4049">
        <v>1.7002710000000001E-2</v>
      </c>
      <c r="N4049">
        <v>0</v>
      </c>
      <c r="O4049">
        <v>-0.99976430000000005</v>
      </c>
      <c r="P4049">
        <v>0.13750129999999999</v>
      </c>
      <c r="Q4049">
        <v>0.13824620000000001</v>
      </c>
      <c r="R4049">
        <v>-0.98080639999999997</v>
      </c>
      <c r="S4049">
        <v>0.47311399999999998</v>
      </c>
      <c r="T4049">
        <v>-0.26093260000000001</v>
      </c>
      <c r="U4049">
        <v>-3.0285950000000001</v>
      </c>
      <c r="V4049">
        <v>-0.1217739</v>
      </c>
      <c r="W4049">
        <v>0.15073029999999901</v>
      </c>
      <c r="X4049">
        <v>0.98104610000000003</v>
      </c>
      <c r="Y4049">
        <v>-0.1369639</v>
      </c>
      <c r="Z4049">
        <v>8.4904389999999996E-2</v>
      </c>
      <c r="AA4049">
        <v>0.98693070000000005</v>
      </c>
      <c r="AB4049">
        <v>34</v>
      </c>
      <c r="AC4049">
        <v>2.0099000000000098</v>
      </c>
      <c r="AD4049">
        <v>-1.112795556976</v>
      </c>
      <c r="AE4049">
        <v>-12.583839999999901</v>
      </c>
      <c r="AF4049">
        <v>-1.7820416911699399</v>
      </c>
      <c r="AG4049">
        <v>-1.112795556976</v>
      </c>
      <c r="AH4049">
        <v>12.520721600029599</v>
      </c>
      <c r="AI4049">
        <v>95.028480790651201</v>
      </c>
      <c r="AJ4049">
        <v>98.100354890918695</v>
      </c>
      <c r="AK4049">
        <v>12.6957652753247</v>
      </c>
      <c r="AL4049">
        <v>81.330748936927606</v>
      </c>
      <c r="AM4049">
        <v>97.075737840734007</v>
      </c>
      <c r="AN4049">
        <v>0.99999997819225395</v>
      </c>
    </row>
    <row r="4050" spans="1:40" x14ac:dyDescent="0.25">
      <c r="A4050" t="str">
        <f>"20190312164350105"</f>
        <v>20190312164350105</v>
      </c>
      <c r="B4050" t="str">
        <f>"1552380230099022"</f>
        <v>1552380230099022</v>
      </c>
      <c r="C4050" t="s">
        <v>40</v>
      </c>
      <c r="D4050">
        <v>4.1268859999999998</v>
      </c>
      <c r="E4050">
        <v>0.49735410000000002</v>
      </c>
      <c r="F4050" t="s">
        <v>42</v>
      </c>
      <c r="G4050">
        <v>-420.42790000000002</v>
      </c>
      <c r="H4050" s="1">
        <v>-3.2195930000000001E-6</v>
      </c>
      <c r="I4050">
        <v>46.828679999999999</v>
      </c>
      <c r="J4050">
        <v>-422.52390000000003</v>
      </c>
      <c r="K4050">
        <v>1.1128340000000001</v>
      </c>
      <c r="L4050">
        <v>59.792760000000001</v>
      </c>
      <c r="M4050">
        <v>2.0182740000000001E-2</v>
      </c>
      <c r="N4050">
        <v>0</v>
      </c>
      <c r="O4050">
        <v>-0.9997045</v>
      </c>
      <c r="P4050">
        <v>0.13899329999999999</v>
      </c>
      <c r="Q4050">
        <v>0.140588299999999</v>
      </c>
      <c r="R4050">
        <v>-0.9802632</v>
      </c>
      <c r="S4050">
        <v>0.47875980000000001</v>
      </c>
      <c r="T4050">
        <v>-0.2530752</v>
      </c>
      <c r="U4050">
        <v>-3.0272830000000002</v>
      </c>
      <c r="V4050">
        <v>-0.12017419999999999</v>
      </c>
      <c r="W4050">
        <v>0.15311839999999999</v>
      </c>
      <c r="X4050">
        <v>0.98087360000000001</v>
      </c>
      <c r="Y4050">
        <v>-0.13570750000000001</v>
      </c>
      <c r="Z4050">
        <v>8.2388589999999998E-2</v>
      </c>
      <c r="AA4050">
        <v>0.98731740000000001</v>
      </c>
      <c r="AB4050">
        <v>33</v>
      </c>
      <c r="AC4050">
        <v>2.0960000000000001</v>
      </c>
      <c r="AD4050">
        <v>-1.1128372195929901</v>
      </c>
      <c r="AE4050">
        <v>-12.9640799999999</v>
      </c>
      <c r="AF4050">
        <v>-1.8208233217613701</v>
      </c>
      <c r="AG4050">
        <v>-1.1128372195929901</v>
      </c>
      <c r="AH4050">
        <v>12.9110340583359</v>
      </c>
      <c r="AI4050">
        <v>94.878267267613097</v>
      </c>
      <c r="AJ4050">
        <v>98.027396187229201</v>
      </c>
      <c r="AK4050">
        <v>13.086199016593399</v>
      </c>
      <c r="AL4050">
        <v>81.192314556740001</v>
      </c>
      <c r="AM4050">
        <v>96.984926387043402</v>
      </c>
      <c r="AN4050">
        <v>1.00000005097057</v>
      </c>
    </row>
    <row r="4051" spans="1:40" x14ac:dyDescent="0.25">
      <c r="A4051" t="str">
        <f>"20190312164350129"</f>
        <v>20190312164350129</v>
      </c>
      <c r="B4051" t="str">
        <f>"1552380230119518"</f>
        <v>1552380230119518</v>
      </c>
      <c r="C4051" t="s">
        <v>40</v>
      </c>
      <c r="D4051">
        <v>4.0597940000000001</v>
      </c>
      <c r="E4051">
        <v>0.49726720000000002</v>
      </c>
      <c r="F4051" t="s">
        <v>42</v>
      </c>
      <c r="G4051">
        <v>-420.3116</v>
      </c>
      <c r="H4051" s="1">
        <v>-2.8362749999999998E-6</v>
      </c>
      <c r="I4051">
        <v>46.007300000000001</v>
      </c>
      <c r="J4051">
        <v>-422.51350000000002</v>
      </c>
      <c r="K4051">
        <v>1.112862</v>
      </c>
      <c r="L4051">
        <v>59.441070000000003</v>
      </c>
      <c r="M4051">
        <v>2.3407250000000001E-2</v>
      </c>
      <c r="N4051">
        <v>0</v>
      </c>
      <c r="O4051">
        <v>-0.99963360000000001</v>
      </c>
      <c r="P4051">
        <v>0.1406858</v>
      </c>
      <c r="Q4051">
        <v>0.1404601</v>
      </c>
      <c r="R4051">
        <v>-0.98003980000000002</v>
      </c>
      <c r="S4051">
        <v>0.48571779999999998</v>
      </c>
      <c r="T4051">
        <v>-0.24432219999999999</v>
      </c>
      <c r="U4051">
        <v>-3.0265810000000002</v>
      </c>
      <c r="V4051">
        <v>-0.1187064</v>
      </c>
      <c r="W4051">
        <v>0.15303820000000001</v>
      </c>
      <c r="X4051">
        <v>0.98106479999999996</v>
      </c>
      <c r="Y4051">
        <v>-0.13479730000000001</v>
      </c>
      <c r="Z4051">
        <v>7.9558039999999997E-2</v>
      </c>
      <c r="AA4051">
        <v>0.9876741</v>
      </c>
      <c r="AB4051">
        <v>33</v>
      </c>
      <c r="AC4051">
        <v>2.2019000000000202</v>
      </c>
      <c r="AD4051">
        <v>-1.112864836275</v>
      </c>
      <c r="AE4051">
        <v>-13.4337699999999</v>
      </c>
      <c r="AF4051">
        <v>-1.8742939113199699</v>
      </c>
      <c r="AG4051">
        <v>-1.112864836275</v>
      </c>
      <c r="AH4051">
        <v>13.3921333967543</v>
      </c>
      <c r="AI4051">
        <v>94.704630111510696</v>
      </c>
      <c r="AJ4051">
        <v>97.967072743726604</v>
      </c>
      <c r="AK4051">
        <v>13.568370673234501</v>
      </c>
      <c r="AL4051">
        <v>81.196964215189894</v>
      </c>
      <c r="AM4051">
        <v>96.899108656121001</v>
      </c>
      <c r="AN4051">
        <v>1.00000002092961</v>
      </c>
    </row>
    <row r="4052" spans="1:40" x14ac:dyDescent="0.25">
      <c r="A4052" t="str">
        <f>"20190312164350150"</f>
        <v>20190312164350150</v>
      </c>
      <c r="B4052" t="str">
        <f>"1552380230139039"</f>
        <v>1552380230139039</v>
      </c>
      <c r="C4052" t="s">
        <v>40</v>
      </c>
      <c r="D4052">
        <v>4.0033289999999999</v>
      </c>
      <c r="E4052">
        <v>0.49718990000000002</v>
      </c>
      <c r="F4052" t="s">
        <v>42</v>
      </c>
      <c r="G4052">
        <v>-420.25229999999999</v>
      </c>
      <c r="H4052" s="1">
        <v>-2.618638E-6</v>
      </c>
      <c r="I4052">
        <v>45.536709999999999</v>
      </c>
      <c r="J4052">
        <v>-422.5034</v>
      </c>
      <c r="K4052">
        <v>1.1128709999999999</v>
      </c>
      <c r="L4052">
        <v>59.12744</v>
      </c>
      <c r="M4052">
        <v>2.6280060000000001E-2</v>
      </c>
      <c r="N4052">
        <v>0</v>
      </c>
      <c r="O4052">
        <v>-0.99956179999999994</v>
      </c>
      <c r="P4052">
        <v>0.1420515</v>
      </c>
      <c r="Q4052">
        <v>0.13874739999999999</v>
      </c>
      <c r="R4052">
        <v>-0.98008720000000005</v>
      </c>
      <c r="S4052">
        <v>0.49197390000000002</v>
      </c>
      <c r="T4052">
        <v>-0.24212629999999999</v>
      </c>
      <c r="U4052">
        <v>-3.0251769999999998</v>
      </c>
      <c r="V4052">
        <v>-0.11723740000000001</v>
      </c>
      <c r="W4052">
        <v>0.151369899999999</v>
      </c>
      <c r="X4052">
        <v>0.98150009999999999</v>
      </c>
      <c r="Y4052">
        <v>-0.1340208</v>
      </c>
      <c r="Z4052">
        <v>7.8866320000000004E-2</v>
      </c>
      <c r="AA4052">
        <v>0.98783529999999997</v>
      </c>
      <c r="AB4052">
        <v>33</v>
      </c>
      <c r="AC4052">
        <v>2.2511000000000001</v>
      </c>
      <c r="AD4052">
        <v>-1.1128736186379999</v>
      </c>
      <c r="AE4052">
        <v>-13.590729999999899</v>
      </c>
      <c r="AF4052">
        <v>-1.88084946922659</v>
      </c>
      <c r="AG4052">
        <v>-1.1128736186379999</v>
      </c>
      <c r="AH4052">
        <v>13.556727522957001</v>
      </c>
      <c r="AI4052">
        <v>94.648567832494905</v>
      </c>
      <c r="AJ4052">
        <v>97.898748044574504</v>
      </c>
      <c r="AK4052">
        <v>13.7317494715222</v>
      </c>
      <c r="AL4052">
        <v>81.293676954261798</v>
      </c>
      <c r="AM4052">
        <v>96.811545655136896</v>
      </c>
      <c r="AN4052">
        <v>0.99999995044238799</v>
      </c>
    </row>
    <row r="4053" spans="1:40" x14ac:dyDescent="0.25">
      <c r="A4053" t="str">
        <f>"20190312164350172"</f>
        <v>20190312164350172</v>
      </c>
      <c r="B4053" t="str">
        <f>"1552380230159535"</f>
        <v>1552380230159535</v>
      </c>
      <c r="C4053" t="s">
        <v>40</v>
      </c>
      <c r="D4053">
        <v>4.0437940000000001</v>
      </c>
      <c r="E4053">
        <v>0.4971527</v>
      </c>
      <c r="F4053" t="s">
        <v>42</v>
      </c>
      <c r="G4053">
        <v>-420.25259999999997</v>
      </c>
      <c r="H4053" s="1">
        <v>-2.5728300000000001E-6</v>
      </c>
      <c r="I4053">
        <v>45.429789999999997</v>
      </c>
      <c r="J4053">
        <v>-422.49209999999999</v>
      </c>
      <c r="K4053">
        <v>1.1128690000000001</v>
      </c>
      <c r="L4053">
        <v>58.811190000000003</v>
      </c>
      <c r="M4053">
        <v>2.917341E-2</v>
      </c>
      <c r="N4053">
        <v>0</v>
      </c>
      <c r="O4053">
        <v>-0.99948119999999996</v>
      </c>
      <c r="P4053">
        <v>0.14380490000000001</v>
      </c>
      <c r="Q4053">
        <v>0.1364089</v>
      </c>
      <c r="R4053">
        <v>-0.98016000000000003</v>
      </c>
      <c r="S4053">
        <v>0.49685669999999998</v>
      </c>
      <c r="T4053">
        <v>-0.2456632</v>
      </c>
      <c r="U4053">
        <v>-3.0237120000000002</v>
      </c>
      <c r="V4053">
        <v>-0.11612840000000001</v>
      </c>
      <c r="W4053">
        <v>0.1490726</v>
      </c>
      <c r="X4053">
        <v>0.98198350000000001</v>
      </c>
      <c r="Y4053">
        <v>-0.13276660000000001</v>
      </c>
      <c r="Z4053">
        <v>8.0035809999999999E-2</v>
      </c>
      <c r="AA4053">
        <v>0.98791059999999997</v>
      </c>
      <c r="AB4053">
        <v>33</v>
      </c>
      <c r="AC4053">
        <v>2.23950000000002</v>
      </c>
      <c r="AD4053">
        <v>-1.1128715728299901</v>
      </c>
      <c r="AE4053">
        <v>-13.381399999999999</v>
      </c>
      <c r="AF4053">
        <v>-1.83577795801328</v>
      </c>
      <c r="AG4053">
        <v>-1.1128715728299901</v>
      </c>
      <c r="AH4053">
        <v>13.3512154736055</v>
      </c>
      <c r="AI4053">
        <v>94.720582511889106</v>
      </c>
      <c r="AJ4053">
        <v>97.829016830517403</v>
      </c>
      <c r="AK4053">
        <v>13.522703815117101</v>
      </c>
      <c r="AL4053">
        <v>81.426813964290801</v>
      </c>
      <c r="AM4053">
        <v>96.744418101202001</v>
      </c>
      <c r="AN4053">
        <v>1.00000001981478</v>
      </c>
    </row>
    <row r="4054" spans="1:40" x14ac:dyDescent="0.25">
      <c r="A4054" t="str">
        <f>"20190312164350194"</f>
        <v>20190312164350194</v>
      </c>
      <c r="B4054" t="str">
        <f>"1552380230188824"</f>
        <v>1552380230188824</v>
      </c>
      <c r="C4054" t="s">
        <v>40</v>
      </c>
      <c r="D4054">
        <v>3.883648</v>
      </c>
      <c r="E4054">
        <v>0.49736350000000001</v>
      </c>
      <c r="F4054" t="s">
        <v>42</v>
      </c>
      <c r="G4054">
        <v>-420.26310000000001</v>
      </c>
      <c r="H4054" s="1">
        <v>-2.5733769999999998E-6</v>
      </c>
      <c r="I4054">
        <v>45.424520000000001</v>
      </c>
      <c r="J4054">
        <v>-422.47919999999999</v>
      </c>
      <c r="K4054">
        <v>1.112865</v>
      </c>
      <c r="L4054">
        <v>58.474820000000001</v>
      </c>
      <c r="M4054">
        <v>3.2247980000000002E-2</v>
      </c>
      <c r="N4054">
        <v>0</v>
      </c>
      <c r="O4054">
        <v>-0.99938629999999995</v>
      </c>
      <c r="P4054">
        <v>0.14577390000000001</v>
      </c>
      <c r="Q4054">
        <v>0.13426070000000001</v>
      </c>
      <c r="R4054">
        <v>-0.98016539999999996</v>
      </c>
      <c r="S4054">
        <v>0.5031738</v>
      </c>
      <c r="T4054">
        <v>-0.25121759999999999</v>
      </c>
      <c r="U4054">
        <v>-3.021881</v>
      </c>
      <c r="V4054">
        <v>-0.1150563</v>
      </c>
      <c r="W4054">
        <v>0.14696329999999999</v>
      </c>
      <c r="X4054">
        <v>0.98242750000000001</v>
      </c>
      <c r="Y4054">
        <v>-0.13179929999999901</v>
      </c>
      <c r="Z4054">
        <v>8.1861890000000007E-2</v>
      </c>
      <c r="AA4054">
        <v>0.9878905</v>
      </c>
      <c r="AB4054">
        <v>33</v>
      </c>
      <c r="AC4054">
        <v>2.21609999999998</v>
      </c>
      <c r="AD4054">
        <v>-1.1128675733769999</v>
      </c>
      <c r="AE4054">
        <v>-13.050299999999901</v>
      </c>
      <c r="AF4054">
        <v>-1.78147047387836</v>
      </c>
      <c r="AG4054">
        <v>-1.1128675733769999</v>
      </c>
      <c r="AH4054">
        <v>13.0229358927115</v>
      </c>
      <c r="AI4054">
        <v>94.839459044751806</v>
      </c>
      <c r="AJ4054">
        <v>97.789419922172996</v>
      </c>
      <c r="AK4054">
        <v>13.191245981742901</v>
      </c>
      <c r="AL4054">
        <v>81.549013693755796</v>
      </c>
      <c r="AM4054">
        <v>96.679726322575803</v>
      </c>
      <c r="AN4054">
        <v>0.99999997823641396</v>
      </c>
    </row>
    <row r="4055" spans="1:40" x14ac:dyDescent="0.25">
      <c r="A4055" t="str">
        <f>"20190312164350217"</f>
        <v>20190312164350217</v>
      </c>
      <c r="B4055" t="str">
        <f>"1552380230209310"</f>
        <v>1552380230209310</v>
      </c>
      <c r="C4055" t="s">
        <v>40</v>
      </c>
      <c r="D4055">
        <v>4.0373590000000004</v>
      </c>
      <c r="E4055">
        <v>0.49726510000000002</v>
      </c>
      <c r="F4055" t="s">
        <v>42</v>
      </c>
      <c r="G4055">
        <v>-420.27690000000001</v>
      </c>
      <c r="H4055" s="1">
        <v>-2.5535129999999999E-6</v>
      </c>
      <c r="I4055">
        <v>45.369660000000003</v>
      </c>
      <c r="J4055">
        <v>-422.46559999999999</v>
      </c>
      <c r="K4055">
        <v>1.1128579999999999</v>
      </c>
      <c r="L4055">
        <v>58.145359999999997</v>
      </c>
      <c r="M4055">
        <v>3.525669E-2</v>
      </c>
      <c r="N4055">
        <v>0</v>
      </c>
      <c r="O4055">
        <v>-0.99928439999999996</v>
      </c>
      <c r="P4055">
        <v>0.14770839999999999</v>
      </c>
      <c r="Q4055">
        <v>0.13221869999999999</v>
      </c>
      <c r="R4055">
        <v>-0.98015339999999995</v>
      </c>
      <c r="S4055">
        <v>0.50756840000000003</v>
      </c>
      <c r="T4055">
        <v>-0.25648330000000003</v>
      </c>
      <c r="U4055">
        <v>-3.0203549999999999</v>
      </c>
      <c r="V4055">
        <v>-0.1140128</v>
      </c>
      <c r="W4055">
        <v>0.144957</v>
      </c>
      <c r="X4055">
        <v>0.98284720000000003</v>
      </c>
      <c r="Y4055">
        <v>-0.1302701</v>
      </c>
      <c r="Z4055">
        <v>8.3593000000000001E-2</v>
      </c>
      <c r="AA4055">
        <v>0.98794839999999995</v>
      </c>
      <c r="AB4055">
        <v>33</v>
      </c>
      <c r="AC4055">
        <v>2.1886999999999799</v>
      </c>
      <c r="AD4055">
        <v>-1.1128605535129901</v>
      </c>
      <c r="AE4055">
        <v>-12.775700000000001</v>
      </c>
      <c r="AF4055">
        <v>-1.72415840696358</v>
      </c>
      <c r="AG4055">
        <v>-1.1128605535129901</v>
      </c>
      <c r="AH4055">
        <v>12.7509372006483</v>
      </c>
      <c r="AI4055">
        <v>94.943191219250807</v>
      </c>
      <c r="AJ4055">
        <v>97.700723952917997</v>
      </c>
      <c r="AK4055">
        <v>12.915013756041599</v>
      </c>
      <c r="AL4055">
        <v>81.665211126654498</v>
      </c>
      <c r="AM4055">
        <v>96.616883128661797</v>
      </c>
      <c r="AN4055">
        <v>1.0000000344803299</v>
      </c>
    </row>
    <row r="4056" spans="1:40" x14ac:dyDescent="0.25">
      <c r="A4056" t="str">
        <f>"20190312164350238"</f>
        <v>20190312164350238</v>
      </c>
      <c r="B4056" t="str">
        <f>"1552380230228831"</f>
        <v>1552380230228831</v>
      </c>
      <c r="C4056" t="s">
        <v>40</v>
      </c>
      <c r="D4056">
        <v>3.8225720000000001</v>
      </c>
      <c r="E4056">
        <v>0.4973168</v>
      </c>
      <c r="F4056" t="s">
        <v>42</v>
      </c>
      <c r="G4056">
        <v>-420.27620000000002</v>
      </c>
      <c r="H4056" s="1">
        <v>-2.5196859999999998E-6</v>
      </c>
      <c r="I4056">
        <v>45.291229999999999</v>
      </c>
      <c r="J4056">
        <v>-422.4511</v>
      </c>
      <c r="K4056">
        <v>1.112843</v>
      </c>
      <c r="L4056">
        <v>57.819850000000002</v>
      </c>
      <c r="M4056">
        <v>3.8218460000000003E-2</v>
      </c>
      <c r="N4056">
        <v>0</v>
      </c>
      <c r="O4056">
        <v>-0.99917529999999999</v>
      </c>
      <c r="P4056">
        <v>0.14952660000000001</v>
      </c>
      <c r="Q4056">
        <v>0.13083729999999999</v>
      </c>
      <c r="R4056">
        <v>-0.98006300000000002</v>
      </c>
      <c r="S4056">
        <v>0.51412959999999996</v>
      </c>
      <c r="T4056">
        <v>-0.26133230000000002</v>
      </c>
      <c r="U4056">
        <v>-3.0185240000000002</v>
      </c>
      <c r="V4056">
        <v>-0.1129034</v>
      </c>
      <c r="W4056">
        <v>0.1436085</v>
      </c>
      <c r="X4056">
        <v>0.98317310000000002</v>
      </c>
      <c r="Y4056">
        <v>-0.12949440000000001</v>
      </c>
      <c r="Z4056">
        <v>8.518771E-2</v>
      </c>
      <c r="AA4056">
        <v>0.98791410000000002</v>
      </c>
      <c r="AB4056">
        <v>33</v>
      </c>
      <c r="AC4056">
        <v>2.1748999999999801</v>
      </c>
      <c r="AD4056">
        <v>-1.1128455196860001</v>
      </c>
      <c r="AE4056">
        <v>-12.52862</v>
      </c>
      <c r="AF4056">
        <v>-1.6815621442436399</v>
      </c>
      <c r="AG4056">
        <v>-1.1128455196860001</v>
      </c>
      <c r="AH4056">
        <v>12.5068051413836</v>
      </c>
      <c r="AI4056">
        <v>95.0396310000162</v>
      </c>
      <c r="AJ4056">
        <v>97.657596740712904</v>
      </c>
      <c r="AK4056">
        <v>12.668316827431299</v>
      </c>
      <c r="AL4056">
        <v>81.743290878220293</v>
      </c>
      <c r="AM4056">
        <v>96.550907060822198</v>
      </c>
      <c r="AN4056">
        <v>0.99999996178370898</v>
      </c>
    </row>
    <row r="4057" spans="1:40" x14ac:dyDescent="0.25">
      <c r="A4057" t="str">
        <f>"20190312164350261"</f>
        <v>20190312164350261</v>
      </c>
      <c r="B4057" t="str">
        <f>"1552380230249329"</f>
        <v>1552380230249329</v>
      </c>
      <c r="C4057" t="s">
        <v>40</v>
      </c>
      <c r="D4057">
        <v>3.8471160000000002</v>
      </c>
      <c r="E4057">
        <v>0.4972589</v>
      </c>
      <c r="F4057" t="s">
        <v>42</v>
      </c>
      <c r="G4057">
        <v>-420.25799999999998</v>
      </c>
      <c r="H4057" s="1">
        <v>-2.4297939999999998E-6</v>
      </c>
      <c r="I4057">
        <v>45.09301</v>
      </c>
      <c r="J4057">
        <v>-422.43560000000002</v>
      </c>
      <c r="K4057">
        <v>1.1128359999999999</v>
      </c>
      <c r="L4057">
        <v>57.491269999999901</v>
      </c>
      <c r="M4057">
        <v>4.1186059999999997E-2</v>
      </c>
      <c r="N4057">
        <v>0</v>
      </c>
      <c r="O4057">
        <v>-0.99905719999999998</v>
      </c>
      <c r="P4057">
        <v>0.1518389</v>
      </c>
      <c r="Q4057">
        <v>0.12974179999999999</v>
      </c>
      <c r="R4057">
        <v>-0.97985319999999998</v>
      </c>
      <c r="S4057">
        <v>0.51989750000000001</v>
      </c>
      <c r="T4057">
        <v>-0.26380350000000002</v>
      </c>
      <c r="U4057">
        <v>-3.016937</v>
      </c>
      <c r="V4057">
        <v>-0.1122837</v>
      </c>
      <c r="W4057">
        <v>0.1425419</v>
      </c>
      <c r="X4057">
        <v>0.98339929999999998</v>
      </c>
      <c r="Y4057">
        <v>-0.12845819999999999</v>
      </c>
      <c r="Z4057">
        <v>8.6008479999999998E-2</v>
      </c>
      <c r="AA4057">
        <v>0.98797829999999998</v>
      </c>
      <c r="AB4057">
        <v>33</v>
      </c>
      <c r="AC4057">
        <v>2.17759999999998</v>
      </c>
      <c r="AD4057">
        <v>-1.1128384297939999</v>
      </c>
      <c r="AE4057">
        <v>-12.398259999999899</v>
      </c>
      <c r="AF4057">
        <v>-1.6521561889479499</v>
      </c>
      <c r="AG4057">
        <v>-1.1128384297939999</v>
      </c>
      <c r="AH4057">
        <v>12.3806740570644</v>
      </c>
      <c r="AI4057">
        <v>95.091342742436694</v>
      </c>
      <c r="AJ4057">
        <v>97.601007480005293</v>
      </c>
      <c r="AK4057">
        <v>12.5399010981256</v>
      </c>
      <c r="AL4057">
        <v>81.805038165060296</v>
      </c>
      <c r="AM4057">
        <v>96.513774934374993</v>
      </c>
      <c r="AN4057">
        <v>1.00000000289089</v>
      </c>
    </row>
    <row r="4058" spans="1:40" x14ac:dyDescent="0.25">
      <c r="A4058" t="str">
        <f>"20190312164350284"</f>
        <v>20190312164350284</v>
      </c>
      <c r="B4058" t="str">
        <f>"1552380230278606"</f>
        <v>1552380230278606</v>
      </c>
      <c r="C4058" t="s">
        <v>40</v>
      </c>
      <c r="D4058">
        <v>3.803823</v>
      </c>
      <c r="E4058">
        <v>0.49710339999999997</v>
      </c>
      <c r="F4058" t="s">
        <v>42</v>
      </c>
      <c r="G4058">
        <v>-420.21730000000002</v>
      </c>
      <c r="H4058" s="1">
        <v>-2.3055159999999998E-6</v>
      </c>
      <c r="I4058">
        <v>44.828560000000003</v>
      </c>
      <c r="J4058">
        <v>-422.41860000000003</v>
      </c>
      <c r="K4058">
        <v>1.1128049999999901</v>
      </c>
      <c r="L4058">
        <v>57.155639999999998</v>
      </c>
      <c r="M4058">
        <v>4.4171269999999999E-2</v>
      </c>
      <c r="N4058">
        <v>0</v>
      </c>
      <c r="O4058">
        <v>-0.99892919999999996</v>
      </c>
      <c r="P4058">
        <v>0.1547047</v>
      </c>
      <c r="Q4058">
        <v>0.12929309999999999</v>
      </c>
      <c r="R4058">
        <v>-0.97946409999999995</v>
      </c>
      <c r="S4058">
        <v>0.52816770000000002</v>
      </c>
      <c r="T4058">
        <v>-0.2649608</v>
      </c>
      <c r="U4058">
        <v>-3.014923</v>
      </c>
      <c r="V4058">
        <v>-0.11220579999999999</v>
      </c>
      <c r="W4058">
        <v>0.14211660000000001</v>
      </c>
      <c r="X4058">
        <v>0.9834697</v>
      </c>
      <c r="Y4058">
        <v>-0.12823010000000001</v>
      </c>
      <c r="Z4058">
        <v>8.6404159999999994E-2</v>
      </c>
      <c r="AA4058">
        <v>0.98797330000000005</v>
      </c>
      <c r="AB4058">
        <v>33</v>
      </c>
      <c r="AC4058">
        <v>2.2012999999999998</v>
      </c>
      <c r="AD4058">
        <v>-1.1128073055159899</v>
      </c>
      <c r="AE4058">
        <v>-12.32708</v>
      </c>
      <c r="AF4058">
        <v>-1.6416320284877399</v>
      </c>
      <c r="AG4058">
        <v>-1.1128073055159899</v>
      </c>
      <c r="AH4058">
        <v>12.3150322919407</v>
      </c>
      <c r="AI4058">
        <v>95.118290122499403</v>
      </c>
      <c r="AJ4058">
        <v>97.592941593509707</v>
      </c>
      <c r="AK4058">
        <v>12.473704989605499</v>
      </c>
      <c r="AL4058">
        <v>81.829656341022101</v>
      </c>
      <c r="AM4058">
        <v>96.508832658493205</v>
      </c>
      <c r="AN4058">
        <v>0.99999996018364401</v>
      </c>
    </row>
    <row r="4059" spans="1:40" x14ac:dyDescent="0.25">
      <c r="A4059" t="str">
        <f>"20190312164350306"</f>
        <v>20190312164350306</v>
      </c>
      <c r="B4059" t="str">
        <f>"1552380230299102"</f>
        <v>1552380230299102</v>
      </c>
      <c r="C4059" t="s">
        <v>40</v>
      </c>
      <c r="D4059">
        <v>3.730108</v>
      </c>
      <c r="E4059">
        <v>0.4972414</v>
      </c>
      <c r="F4059" t="s">
        <v>42</v>
      </c>
      <c r="G4059">
        <v>-420.14980000000003</v>
      </c>
      <c r="H4059" s="1">
        <v>-2.124915E-6</v>
      </c>
      <c r="I4059">
        <v>44.44943</v>
      </c>
      <c r="J4059">
        <v>-422.40050000000002</v>
      </c>
      <c r="K4059">
        <v>1.112751</v>
      </c>
      <c r="L4059">
        <v>56.815769999999901</v>
      </c>
      <c r="M4059">
        <v>4.7127349999999998E-2</v>
      </c>
      <c r="N4059">
        <v>0</v>
      </c>
      <c r="O4059">
        <v>-0.99879430000000002</v>
      </c>
      <c r="P4059">
        <v>0.1585752</v>
      </c>
      <c r="Q4059">
        <v>0.12925780000000001</v>
      </c>
      <c r="R4059">
        <v>-0.97884990000000005</v>
      </c>
      <c r="S4059">
        <v>0.53796390000000005</v>
      </c>
      <c r="T4059">
        <v>-0.26385649999999999</v>
      </c>
      <c r="U4059">
        <v>-3.012756</v>
      </c>
      <c r="V4059">
        <v>-0.1131665</v>
      </c>
      <c r="W4059">
        <v>0.14209869999999999</v>
      </c>
      <c r="X4059">
        <v>0.98336230000000002</v>
      </c>
      <c r="Y4059">
        <v>-0.12853619999999999</v>
      </c>
      <c r="Z4059">
        <v>8.6064109999999999E-2</v>
      </c>
      <c r="AA4059">
        <v>0.98796329999999999</v>
      </c>
      <c r="AB4059">
        <v>33</v>
      </c>
      <c r="AC4059">
        <v>2.2506999999999899</v>
      </c>
      <c r="AD4059">
        <v>-1.112753124915</v>
      </c>
      <c r="AE4059">
        <v>-12.3663399999999</v>
      </c>
      <c r="AF4059">
        <v>-1.65240060568033</v>
      </c>
      <c r="AG4059">
        <v>-1.112753124915</v>
      </c>
      <c r="AH4059">
        <v>12.361794370302601</v>
      </c>
      <c r="AI4059">
        <v>95.098539987312407</v>
      </c>
      <c r="AJ4059">
        <v>97.613593136188499</v>
      </c>
      <c r="AK4059">
        <v>12.5212861692521</v>
      </c>
      <c r="AL4059">
        <v>81.830693231992001</v>
      </c>
      <c r="AM4059">
        <v>96.564787273034199</v>
      </c>
      <c r="AN4059">
        <v>1.00000005516261</v>
      </c>
    </row>
    <row r="4060" spans="1:40" x14ac:dyDescent="0.25">
      <c r="A4060" t="str">
        <f>"20190312164350329"</f>
        <v>20190312164350329</v>
      </c>
      <c r="B4060" t="str">
        <f>"1552380230318622"</f>
        <v>1552380230318622</v>
      </c>
      <c r="C4060" t="s">
        <v>40</v>
      </c>
      <c r="D4060">
        <v>3.7332920000000001</v>
      </c>
      <c r="E4060">
        <v>0.49725989999999998</v>
      </c>
      <c r="F4060" t="s">
        <v>42</v>
      </c>
      <c r="G4060">
        <v>-420.06810000000002</v>
      </c>
      <c r="H4060" s="1">
        <v>-1.9146139999999998E-6</v>
      </c>
      <c r="I4060">
        <v>44.009860000000003</v>
      </c>
      <c r="J4060">
        <v>-422.38170000000002</v>
      </c>
      <c r="K4060">
        <v>1.112695</v>
      </c>
      <c r="L4060">
        <v>56.479709999999997</v>
      </c>
      <c r="M4060">
        <v>4.9984279999999999E-2</v>
      </c>
      <c r="N4060">
        <v>0</v>
      </c>
      <c r="O4060">
        <v>-0.99865499999999996</v>
      </c>
      <c r="P4060">
        <v>0.16200529999999999</v>
      </c>
      <c r="Q4060">
        <v>0.1296581</v>
      </c>
      <c r="R4060">
        <v>-0.97823459999999995</v>
      </c>
      <c r="S4060">
        <v>0.5483093</v>
      </c>
      <c r="T4060">
        <v>-0.2615961</v>
      </c>
      <c r="U4060">
        <v>-3.010529</v>
      </c>
      <c r="V4060">
        <v>-0.1137869</v>
      </c>
      <c r="W4060">
        <v>0.14251829999999999</v>
      </c>
      <c r="X4060">
        <v>0.98322989999999999</v>
      </c>
      <c r="Y4060">
        <v>-0.12912509999999999</v>
      </c>
      <c r="Z4060">
        <v>8.5347240000000005E-2</v>
      </c>
      <c r="AA4060">
        <v>0.98794870000000001</v>
      </c>
      <c r="AB4060">
        <v>33</v>
      </c>
      <c r="AC4060">
        <v>2.3136000000000001</v>
      </c>
      <c r="AD4060">
        <v>-1.112696914614</v>
      </c>
      <c r="AE4060">
        <v>-12.469849999999999</v>
      </c>
      <c r="AF4060">
        <v>-1.6744631564230901</v>
      </c>
      <c r="AG4060">
        <v>-1.112696914614</v>
      </c>
      <c r="AH4060">
        <v>12.473900242123101</v>
      </c>
      <c r="AI4060">
        <v>95.052327291698205</v>
      </c>
      <c r="AJ4060">
        <v>97.645528223916003</v>
      </c>
      <c r="AK4060">
        <v>12.6348766727835</v>
      </c>
      <c r="AL4060">
        <v>81.806404107021194</v>
      </c>
      <c r="AM4060">
        <v>96.601340919239902</v>
      </c>
      <c r="AN4060">
        <v>0.99999998035025395</v>
      </c>
    </row>
    <row r="4061" spans="1:40" x14ac:dyDescent="0.25">
      <c r="A4061" t="str">
        <f>"20190312164350374"</f>
        <v>20190312164350374</v>
      </c>
      <c r="B4061" t="str">
        <f>"1552380230369375"</f>
        <v>1552380230369375</v>
      </c>
      <c r="C4061" t="s">
        <v>40</v>
      </c>
      <c r="D4061">
        <v>3.9184559999999999</v>
      </c>
      <c r="E4061">
        <v>0.49773210000000001</v>
      </c>
      <c r="F4061" t="s">
        <v>42</v>
      </c>
      <c r="G4061">
        <v>-419.97770000000003</v>
      </c>
      <c r="H4061" s="1">
        <v>-1.6885189999999999E-6</v>
      </c>
      <c r="I4061">
        <v>43.538919999999997</v>
      </c>
      <c r="J4061">
        <v>-422.34289999999999</v>
      </c>
      <c r="K4061">
        <v>1.1125689999999999</v>
      </c>
      <c r="L4061">
        <v>55.83081</v>
      </c>
      <c r="M4061">
        <v>5.5231639999999999E-2</v>
      </c>
      <c r="N4061">
        <v>0</v>
      </c>
      <c r="O4061">
        <v>-0.99837830000000005</v>
      </c>
      <c r="P4061">
        <v>0.17059340000000001</v>
      </c>
      <c r="Q4061">
        <v>0.1292662</v>
      </c>
      <c r="R4061">
        <v>-0.97682539999999995</v>
      </c>
      <c r="S4061">
        <v>0.55886840000000004</v>
      </c>
      <c r="T4061">
        <v>-0.25867800000000002</v>
      </c>
      <c r="U4061">
        <v>-3.0084529999999998</v>
      </c>
      <c r="V4061">
        <v>-0.1172103</v>
      </c>
      <c r="W4061">
        <v>0.14215249999999999</v>
      </c>
      <c r="X4061">
        <v>0.98288070000000005</v>
      </c>
      <c r="Y4061">
        <v>-0.12740280000000001</v>
      </c>
      <c r="Z4061">
        <v>8.4406980000000006E-2</v>
      </c>
      <c r="AA4061">
        <v>0.98825300000000005</v>
      </c>
      <c r="AB4061">
        <v>33</v>
      </c>
      <c r="AC4061">
        <v>2.36519999999995</v>
      </c>
      <c r="AD4061">
        <v>-1.1125706885189901</v>
      </c>
      <c r="AE4061">
        <v>-12.291889999999899</v>
      </c>
      <c r="AF4061">
        <v>-1.66943458953146</v>
      </c>
      <c r="AG4061">
        <v>-1.1125706885189901</v>
      </c>
      <c r="AH4061">
        <v>12.306547939285901</v>
      </c>
      <c r="AI4061">
        <v>95.1191351867907</v>
      </c>
      <c r="AJ4061">
        <v>97.725255082398405</v>
      </c>
      <c r="AK4061">
        <v>12.468999461368901</v>
      </c>
      <c r="AL4061">
        <v>81.827578891792399</v>
      </c>
      <c r="AM4061">
        <v>96.800509945417602</v>
      </c>
      <c r="AN4061">
        <v>1.00000002905741</v>
      </c>
    </row>
    <row r="4062" spans="1:40" x14ac:dyDescent="0.25">
      <c r="A4062" t="str">
        <f>"20190312164350396"</f>
        <v>20190312164350396</v>
      </c>
      <c r="B4062" t="str">
        <f>"1552380230388895"</f>
        <v>1552380230388895</v>
      </c>
      <c r="C4062" t="s">
        <v>40</v>
      </c>
      <c r="D4062">
        <v>3.7966150000000001</v>
      </c>
      <c r="E4062">
        <v>0.49774550000000001</v>
      </c>
      <c r="F4062" t="s">
        <v>42</v>
      </c>
      <c r="G4062">
        <v>-419.81650000000002</v>
      </c>
      <c r="H4062" s="1">
        <v>-1.3729940000000001E-6</v>
      </c>
      <c r="I4062">
        <v>42.757390000000001</v>
      </c>
      <c r="J4062">
        <v>-422.32159999999999</v>
      </c>
      <c r="K4062">
        <v>1.1124860000000001</v>
      </c>
      <c r="L4062">
        <v>55.495269999999998</v>
      </c>
      <c r="M4062">
        <v>5.7781249999999999E-2</v>
      </c>
      <c r="N4062">
        <v>0</v>
      </c>
      <c r="O4062">
        <v>-0.99823399999999995</v>
      </c>
      <c r="P4062">
        <v>0.174681</v>
      </c>
      <c r="Q4062">
        <v>0.12942919999999999</v>
      </c>
      <c r="R4062">
        <v>-0.97608139999999999</v>
      </c>
      <c r="S4062">
        <v>0.58044430000000002</v>
      </c>
      <c r="T4062">
        <v>-0.25561669999999997</v>
      </c>
      <c r="U4062">
        <v>-3.0036619999999998</v>
      </c>
      <c r="V4062">
        <v>-0.1187893</v>
      </c>
      <c r="W4062">
        <v>0.14233229999999999</v>
      </c>
      <c r="X4062">
        <v>0.98266509999999996</v>
      </c>
      <c r="Y4062">
        <v>-0.1320192</v>
      </c>
      <c r="Z4062">
        <v>8.3446599999999996E-2</v>
      </c>
      <c r="AA4062">
        <v>0.98772850000000001</v>
      </c>
      <c r="AB4062">
        <v>33</v>
      </c>
      <c r="AC4062">
        <v>2.5050999999999699</v>
      </c>
      <c r="AD4062">
        <v>-1.1124873729939999</v>
      </c>
      <c r="AE4062">
        <v>-12.737879999999899</v>
      </c>
      <c r="AF4062">
        <v>-1.75196728408647</v>
      </c>
      <c r="AG4062">
        <v>-1.1124873729939999</v>
      </c>
      <c r="AH4062">
        <v>12.767594487905599</v>
      </c>
      <c r="AI4062">
        <v>94.933812241519405</v>
      </c>
      <c r="AJ4062">
        <v>97.813321830467402</v>
      </c>
      <c r="AK4062">
        <v>12.9351647274852</v>
      </c>
      <c r="AL4062">
        <v>81.817171375741196</v>
      </c>
      <c r="AM4062">
        <v>96.892745315391494</v>
      </c>
      <c r="AN4062">
        <v>1.0000000400878899</v>
      </c>
    </row>
    <row r="4063" spans="1:40" x14ac:dyDescent="0.25">
      <c r="A4063" t="str">
        <f>"20190312164350417"</f>
        <v>20190312164350417</v>
      </c>
      <c r="B4063" t="str">
        <f>"1552380230409390"</f>
        <v>1552380230409390</v>
      </c>
      <c r="C4063" t="s">
        <v>40</v>
      </c>
      <c r="D4063">
        <v>3.7809840000000001</v>
      </c>
      <c r="E4063">
        <v>0.4980753</v>
      </c>
      <c r="F4063" t="s">
        <v>42</v>
      </c>
      <c r="G4063">
        <v>-419.73099999999999</v>
      </c>
      <c r="H4063" s="1">
        <v>-1.221437E-6</v>
      </c>
      <c r="I4063">
        <v>42.368749999999999</v>
      </c>
      <c r="J4063">
        <v>-422.30149999999998</v>
      </c>
      <c r="K4063">
        <v>1.11239</v>
      </c>
      <c r="L4063">
        <v>55.187159999999999</v>
      </c>
      <c r="M4063">
        <v>6.0001899999999997E-2</v>
      </c>
      <c r="N4063">
        <v>0</v>
      </c>
      <c r="O4063">
        <v>-0.99810299999999996</v>
      </c>
      <c r="P4063">
        <v>0.17843999999999999</v>
      </c>
      <c r="Q4063">
        <v>0.12952130000000001</v>
      </c>
      <c r="R4063">
        <v>-0.9753887</v>
      </c>
      <c r="S4063">
        <v>0.592315699999999</v>
      </c>
      <c r="T4063">
        <v>-0.25435950000000002</v>
      </c>
      <c r="U4063">
        <v>-3.0012509999999999</v>
      </c>
      <c r="V4063">
        <v>-0.1203597</v>
      </c>
      <c r="W4063">
        <v>0.14244179999999901</v>
      </c>
      <c r="X4063">
        <v>0.9824581</v>
      </c>
      <c r="Y4063">
        <v>-0.1337315</v>
      </c>
      <c r="Z4063">
        <v>8.3047170000000003E-2</v>
      </c>
      <c r="AA4063">
        <v>0.98753179999999996</v>
      </c>
      <c r="AB4063">
        <v>33</v>
      </c>
      <c r="AC4063">
        <v>2.57049999999998</v>
      </c>
      <c r="AD4063">
        <v>-1.112391221437</v>
      </c>
      <c r="AE4063">
        <v>-12.81841</v>
      </c>
      <c r="AF4063">
        <v>-1.7837517096717199</v>
      </c>
      <c r="AG4063">
        <v>-1.112391221437</v>
      </c>
      <c r="AH4063">
        <v>12.856481836755099</v>
      </c>
      <c r="AI4063">
        <v>94.898440291053006</v>
      </c>
      <c r="AJ4063">
        <v>97.898983120471598</v>
      </c>
      <c r="AK4063">
        <v>13.027214192224699</v>
      </c>
      <c r="AL4063">
        <v>81.810832748551306</v>
      </c>
      <c r="AM4063">
        <v>96.984430595148297</v>
      </c>
      <c r="AN4063">
        <v>1.0000000210134601</v>
      </c>
    </row>
    <row r="4064" spans="1:40" x14ac:dyDescent="0.25">
      <c r="A4064" t="str">
        <f>"20190312164350439"</f>
        <v>20190312164350439</v>
      </c>
      <c r="B4064" t="str">
        <f>"1552380230428911"</f>
        <v>1552380230428911</v>
      </c>
      <c r="C4064" t="s">
        <v>40</v>
      </c>
      <c r="D4064">
        <v>4.1013419999999998</v>
      </c>
      <c r="E4064">
        <v>0.49820160000000002</v>
      </c>
      <c r="F4064" t="s">
        <v>42</v>
      </c>
      <c r="G4064">
        <v>-419.65960000000001</v>
      </c>
      <c r="H4064" s="1">
        <v>-1.0718329999999999E-6</v>
      </c>
      <c r="I4064">
        <v>41.990490000000001</v>
      </c>
      <c r="J4064">
        <v>-422.27949999999998</v>
      </c>
      <c r="K4064">
        <v>1.1122780000000001</v>
      </c>
      <c r="L4064">
        <v>54.860779999999998</v>
      </c>
      <c r="M4064">
        <v>6.2206860000000003E-2</v>
      </c>
      <c r="N4064">
        <v>0</v>
      </c>
      <c r="O4064">
        <v>-0.99796799999999997</v>
      </c>
      <c r="P4064">
        <v>0.18183450000000001</v>
      </c>
      <c r="Q4064">
        <v>0.12930559999999999</v>
      </c>
      <c r="R4064">
        <v>-0.9747905</v>
      </c>
      <c r="S4064">
        <v>0.60046390000000005</v>
      </c>
      <c r="T4064">
        <v>-0.25283099999999997</v>
      </c>
      <c r="U4064">
        <v>-2.9994200000000002</v>
      </c>
      <c r="V4064">
        <v>-0.12156790000000001</v>
      </c>
      <c r="W4064">
        <v>0.14225399999999999</v>
      </c>
      <c r="X4064">
        <v>0.98233649999999995</v>
      </c>
      <c r="Y4064">
        <v>-0.13424529999999901</v>
      </c>
      <c r="Z4064">
        <v>8.2559530000000006E-2</v>
      </c>
      <c r="AA4064">
        <v>0.98750300000000002</v>
      </c>
      <c r="AB4064">
        <v>33</v>
      </c>
      <c r="AC4064">
        <v>2.6198999999999701</v>
      </c>
      <c r="AD4064">
        <v>-1.112279071833</v>
      </c>
      <c r="AE4064">
        <v>-12.870290000000001</v>
      </c>
      <c r="AF4064">
        <v>-1.80121093374499</v>
      </c>
      <c r="AG4064">
        <v>-1.112279071833</v>
      </c>
      <c r="AH4064">
        <v>12.915723579889701</v>
      </c>
      <c r="AI4064">
        <v>94.875117856167606</v>
      </c>
      <c r="AJ4064">
        <v>97.939194099888795</v>
      </c>
      <c r="AK4064">
        <v>13.0880648360863</v>
      </c>
      <c r="AL4064">
        <v>81.821703234795606</v>
      </c>
      <c r="AM4064">
        <v>97.054703541692703</v>
      </c>
      <c r="AN4064">
        <v>0.99999997702932897</v>
      </c>
    </row>
    <row r="4065" spans="1:40" x14ac:dyDescent="0.25">
      <c r="A4065" t="str">
        <f>"20190312164350462"</f>
        <v>20190312164350462</v>
      </c>
      <c r="B4065" t="str">
        <f>"1552380230449407"</f>
        <v>1552380230449407</v>
      </c>
      <c r="C4065" t="s">
        <v>40</v>
      </c>
      <c r="D4065">
        <v>3.9320390000000001</v>
      </c>
      <c r="E4065">
        <v>0.50950549999999994</v>
      </c>
      <c r="F4065" t="s">
        <v>42</v>
      </c>
      <c r="G4065">
        <v>-419.59989999999999</v>
      </c>
      <c r="H4065" s="1">
        <v>-9.5075609999999996E-7</v>
      </c>
      <c r="I4065">
        <v>41.683579999999999</v>
      </c>
      <c r="J4065">
        <v>-422.25700000000001</v>
      </c>
      <c r="K4065">
        <v>1.1121490000000001</v>
      </c>
      <c r="L4065">
        <v>54.53445</v>
      </c>
      <c r="M4065">
        <v>6.4250769999999999E-2</v>
      </c>
      <c r="N4065">
        <v>0</v>
      </c>
      <c r="O4065">
        <v>-0.99783860000000002</v>
      </c>
      <c r="P4065">
        <v>0.1848042</v>
      </c>
      <c r="Q4065">
        <v>0.1293493</v>
      </c>
      <c r="R4065">
        <v>-0.97422620000000004</v>
      </c>
      <c r="S4065">
        <v>0.60952759999999995</v>
      </c>
      <c r="T4065">
        <v>-0.25301180000000001</v>
      </c>
      <c r="U4065">
        <v>-2.9974370000000001</v>
      </c>
      <c r="V4065">
        <v>-0.12250560000000001</v>
      </c>
      <c r="W4065">
        <v>0.1423305</v>
      </c>
      <c r="X4065">
        <v>0.982209</v>
      </c>
      <c r="Y4065">
        <v>-0.13520950000000001</v>
      </c>
      <c r="Z4065">
        <v>8.2625599999999993E-2</v>
      </c>
      <c r="AA4065">
        <v>0.98736590000000002</v>
      </c>
      <c r="AB4065">
        <v>33</v>
      </c>
      <c r="AC4065">
        <v>2.6570999999999501</v>
      </c>
      <c r="AD4065">
        <v>-1.1121499507560999</v>
      </c>
      <c r="AE4065">
        <v>-12.85087</v>
      </c>
      <c r="AF4065">
        <v>-1.81283126884489</v>
      </c>
      <c r="AG4065">
        <v>-1.1121499507560999</v>
      </c>
      <c r="AH4065">
        <v>12.9023767927183</v>
      </c>
      <c r="AI4065">
        <v>94.878876195537998</v>
      </c>
      <c r="AJ4065">
        <v>97.9979117560937</v>
      </c>
      <c r="AK4065">
        <v>13.0764888874478</v>
      </c>
      <c r="AL4065">
        <v>81.8172757039045</v>
      </c>
      <c r="AM4065">
        <v>97.109477907378604</v>
      </c>
      <c r="AN4065">
        <v>1.0000000564713001</v>
      </c>
    </row>
    <row r="4066" spans="1:40" x14ac:dyDescent="0.25">
      <c r="A4066" t="str">
        <f>"20190312164350485"</f>
        <v>20190312164350485</v>
      </c>
      <c r="B4066" t="str">
        <f>"1552380230478686"</f>
        <v>1552380230478686</v>
      </c>
      <c r="C4066" t="s">
        <v>40</v>
      </c>
      <c r="D4066">
        <v>4.1457090000000001</v>
      </c>
      <c r="E4066">
        <v>0.50661250000000002</v>
      </c>
      <c r="F4066" t="s">
        <v>42</v>
      </c>
      <c r="G4066">
        <v>-419.65949999999998</v>
      </c>
      <c r="H4066" s="1">
        <v>-1.087414E-7</v>
      </c>
      <c r="I4066">
        <v>39.701410000000003</v>
      </c>
      <c r="J4066">
        <v>-422.233</v>
      </c>
      <c r="K4066">
        <v>1.112009</v>
      </c>
      <c r="L4066">
        <v>54.195399999999999</v>
      </c>
      <c r="M4066">
        <v>6.6199889999999997E-2</v>
      </c>
      <c r="N4066">
        <v>0</v>
      </c>
      <c r="O4066">
        <v>-0.99771129999999997</v>
      </c>
      <c r="P4066">
        <v>0.1875193</v>
      </c>
      <c r="Q4066">
        <v>0.1290026</v>
      </c>
      <c r="R4066">
        <v>-0.97375330000000004</v>
      </c>
      <c r="S4066">
        <v>0.52697749999999999</v>
      </c>
      <c r="T4066">
        <v>-0.225636</v>
      </c>
      <c r="U4066">
        <v>-3.009369</v>
      </c>
      <c r="V4066">
        <v>-0.1232727</v>
      </c>
      <c r="W4066">
        <v>0.14201989999999901</v>
      </c>
      <c r="X4066">
        <v>0.98215790000000003</v>
      </c>
      <c r="Y4066">
        <v>-0.10642509999999999</v>
      </c>
      <c r="Z4066">
        <v>7.3752880000000007E-2</v>
      </c>
      <c r="AA4066">
        <v>0.99158170000000001</v>
      </c>
      <c r="AB4066">
        <v>33</v>
      </c>
      <c r="AC4066">
        <v>2.5735000000000201</v>
      </c>
      <c r="AD4066">
        <v>-1.1120091087413999</v>
      </c>
      <c r="AE4066">
        <v>-14.49399</v>
      </c>
      <c r="AF4066">
        <v>-1.59913678912103</v>
      </c>
      <c r="AG4066">
        <v>-1.1120091087413999</v>
      </c>
      <c r="AH4066">
        <v>14.5495460536777</v>
      </c>
      <c r="AI4066">
        <v>94.344508235126398</v>
      </c>
      <c r="AJ4066">
        <v>96.272188614435393</v>
      </c>
      <c r="AK4066">
        <v>14.679342393184101</v>
      </c>
      <c r="AL4066">
        <v>81.835253743350094</v>
      </c>
      <c r="AM4066">
        <v>97.153904259611096</v>
      </c>
      <c r="AN4066">
        <v>0.99999997554685405</v>
      </c>
    </row>
    <row r="4067" spans="1:40" x14ac:dyDescent="0.25">
      <c r="A4067" t="str">
        <f>"20190312164350507"</f>
        <v>20190312164350507</v>
      </c>
      <c r="B4067" t="str">
        <f>"1552380230499182"</f>
        <v>1552380230499182</v>
      </c>
      <c r="C4067" t="s">
        <v>40</v>
      </c>
      <c r="D4067">
        <v>4.2236729999999998</v>
      </c>
      <c r="E4067">
        <v>0.50628490000000004</v>
      </c>
      <c r="F4067" t="s">
        <v>42</v>
      </c>
      <c r="G4067">
        <v>-419.58519999999999</v>
      </c>
      <c r="H4067" s="1">
        <v>-2.120716E-7</v>
      </c>
      <c r="I4067">
        <v>39.946930000000002</v>
      </c>
      <c r="J4067">
        <v>-422.20890000000003</v>
      </c>
      <c r="K4067">
        <v>1.1118790000000001</v>
      </c>
      <c r="L4067">
        <v>53.860719999999901</v>
      </c>
      <c r="M4067">
        <v>6.7993129999999999E-2</v>
      </c>
      <c r="N4067">
        <v>0</v>
      </c>
      <c r="O4067">
        <v>-0.99759039999999999</v>
      </c>
      <c r="P4067">
        <v>0.18993779999999999</v>
      </c>
      <c r="Q4067">
        <v>0.1284411</v>
      </c>
      <c r="R4067">
        <v>-0.97335830000000001</v>
      </c>
      <c r="S4067">
        <v>0.55831909999999996</v>
      </c>
      <c r="T4067">
        <v>-0.23447760000000001</v>
      </c>
      <c r="U4067">
        <v>-3.0044249999999999</v>
      </c>
      <c r="V4067">
        <v>-0.12389840000000001</v>
      </c>
      <c r="W4067">
        <v>0.1414917</v>
      </c>
      <c r="X4067">
        <v>0.98215540000000001</v>
      </c>
      <c r="Y4067">
        <v>-0.11488859999999999</v>
      </c>
      <c r="Z4067">
        <v>7.6629290000000003E-2</v>
      </c>
      <c r="AA4067">
        <v>0.99041840000000003</v>
      </c>
      <c r="AB4067">
        <v>33</v>
      </c>
      <c r="AC4067">
        <v>2.6237000000000399</v>
      </c>
      <c r="AD4067">
        <v>-1.1118792120715999</v>
      </c>
      <c r="AE4067">
        <v>-13.913789999999899</v>
      </c>
      <c r="AF4067">
        <v>-1.66125050940119</v>
      </c>
      <c r="AG4067">
        <v>-1.1118792120715999</v>
      </c>
      <c r="AH4067">
        <v>13.9738231807611</v>
      </c>
      <c r="AI4067">
        <v>94.517687440061096</v>
      </c>
      <c r="AJ4067">
        <v>96.779676197142606</v>
      </c>
      <c r="AK4067">
        <v>14.1160817128692</v>
      </c>
      <c r="AL4067">
        <v>81.865826078140699</v>
      </c>
      <c r="AM4067">
        <v>97.189854667333194</v>
      </c>
      <c r="AN4067">
        <v>0.99999997222030401</v>
      </c>
    </row>
    <row r="4068" spans="1:40" x14ac:dyDescent="0.25">
      <c r="A4068" t="str">
        <f>"20190312164350529"</f>
        <v>20190312164350529</v>
      </c>
      <c r="B4068" t="str">
        <f>"1552380230518704"</f>
        <v>1552380230518704</v>
      </c>
      <c r="C4068" t="s">
        <v>40</v>
      </c>
      <c r="D4068">
        <v>4.0160660000000004</v>
      </c>
      <c r="E4068">
        <v>0.50714429999999999</v>
      </c>
      <c r="F4068" t="s">
        <v>42</v>
      </c>
      <c r="G4068">
        <v>-419.62020000000001</v>
      </c>
      <c r="H4068" s="1">
        <v>-3.0044540000000001E-7</v>
      </c>
      <c r="I4068">
        <v>40.176079999999999</v>
      </c>
      <c r="J4068">
        <v>-422.18549999999999</v>
      </c>
      <c r="K4068">
        <v>1.1117790000000001</v>
      </c>
      <c r="L4068">
        <v>53.542909999999999</v>
      </c>
      <c r="M4068">
        <v>6.9585209999999995E-2</v>
      </c>
      <c r="N4068">
        <v>0</v>
      </c>
      <c r="O4068">
        <v>-0.9974809</v>
      </c>
      <c r="P4068">
        <v>0.19217239999999999</v>
      </c>
      <c r="Q4068">
        <v>0.12761339999999999</v>
      </c>
      <c r="R4068">
        <v>-0.97302880000000003</v>
      </c>
      <c r="S4068">
        <v>0.56814580000000003</v>
      </c>
      <c r="T4068">
        <v>-0.24403079999999999</v>
      </c>
      <c r="U4068">
        <v>-3.0034480000000001</v>
      </c>
      <c r="V4068">
        <v>-0.12454220000000001</v>
      </c>
      <c r="W4068">
        <v>0.14069010000000001</v>
      </c>
      <c r="X4068">
        <v>0.98218919999999998</v>
      </c>
      <c r="Y4068">
        <v>-0.1164463</v>
      </c>
      <c r="Z4068">
        <v>7.9712950000000005E-2</v>
      </c>
      <c r="AA4068">
        <v>0.98999300000000001</v>
      </c>
      <c r="AB4068">
        <v>33</v>
      </c>
      <c r="AC4068">
        <v>2.5652999999999802</v>
      </c>
      <c r="AD4068">
        <v>-1.1117793004454</v>
      </c>
      <c r="AE4068">
        <v>-13.366829999999901</v>
      </c>
      <c r="AF4068">
        <v>-1.6180625144627301</v>
      </c>
      <c r="AG4068">
        <v>-1.1117793004454</v>
      </c>
      <c r="AH4068">
        <v>13.423382549894299</v>
      </c>
      <c r="AI4068">
        <v>94.700789582249797</v>
      </c>
      <c r="AJ4068">
        <v>96.873305556686802</v>
      </c>
      <c r="AK4068">
        <v>13.5661851157359</v>
      </c>
      <c r="AL4068">
        <v>81.9122190431642</v>
      </c>
      <c r="AM4068">
        <v>97.226574491090105</v>
      </c>
      <c r="AN4068">
        <v>1.0000000442077399</v>
      </c>
    </row>
    <row r="4069" spans="1:40" x14ac:dyDescent="0.25">
      <c r="A4069" t="str">
        <f>"20190312164350552"</f>
        <v>20190312164350552</v>
      </c>
      <c r="B4069" t="str">
        <f>"1552380230548959"</f>
        <v>1552380230548959</v>
      </c>
      <c r="C4069" t="s">
        <v>40</v>
      </c>
      <c r="D4069">
        <v>4.0773390000000003</v>
      </c>
      <c r="E4069">
        <v>0.50838819999999996</v>
      </c>
      <c r="F4069" t="s">
        <v>42</v>
      </c>
      <c r="G4069">
        <v>-419.68529999999998</v>
      </c>
      <c r="H4069" s="1">
        <v>-3.4940170000000002E-7</v>
      </c>
      <c r="I4069">
        <v>40.317100000000003</v>
      </c>
      <c r="J4069">
        <v>-422.15989999999999</v>
      </c>
      <c r="K4069">
        <v>1.111688</v>
      </c>
      <c r="L4069">
        <v>53.200839999999999</v>
      </c>
      <c r="M4069">
        <v>7.119557E-2</v>
      </c>
      <c r="N4069">
        <v>0</v>
      </c>
      <c r="O4069">
        <v>-0.99736709999999995</v>
      </c>
      <c r="P4069">
        <v>0.19406490000000001</v>
      </c>
      <c r="Q4069">
        <v>0.12710399999999999</v>
      </c>
      <c r="R4069">
        <v>-0.97271980000000002</v>
      </c>
      <c r="S4069">
        <v>0.56790160000000001</v>
      </c>
      <c r="T4069">
        <v>-0.25253029999999999</v>
      </c>
      <c r="U4069">
        <v>-3.0041199999999999</v>
      </c>
      <c r="V4069">
        <v>-0.1248291</v>
      </c>
      <c r="W4069">
        <v>0.14020569999999999</v>
      </c>
      <c r="X4069">
        <v>0.98222200000000004</v>
      </c>
      <c r="Y4069">
        <v>-0.1146832</v>
      </c>
      <c r="Z4069">
        <v>8.2447649999999997E-2</v>
      </c>
      <c r="AA4069">
        <v>0.98997489999999999</v>
      </c>
      <c r="AB4069">
        <v>33</v>
      </c>
      <c r="AC4069">
        <v>2.4746000000000001</v>
      </c>
      <c r="AD4069">
        <v>-1.11168834940169</v>
      </c>
      <c r="AE4069">
        <v>-12.8837399999999</v>
      </c>
      <c r="AF4069">
        <v>-1.5399096332333599</v>
      </c>
      <c r="AG4069">
        <v>-1.11168834940169</v>
      </c>
      <c r="AH4069">
        <v>12.9343630311221</v>
      </c>
      <c r="AI4069">
        <v>94.878128213711307</v>
      </c>
      <c r="AJ4069">
        <v>96.789431058123498</v>
      </c>
      <c r="AK4069">
        <v>13.073060838441</v>
      </c>
      <c r="AL4069">
        <v>81.940250608796802</v>
      </c>
      <c r="AM4069">
        <v>97.242805998020998</v>
      </c>
      <c r="AN4069">
        <v>0.99999999990165001</v>
      </c>
    </row>
    <row r="4070" spans="1:40" x14ac:dyDescent="0.25">
      <c r="A4070" t="str">
        <f>"20190312164350574"</f>
        <v>20190312164350574</v>
      </c>
      <c r="B4070" t="str">
        <f>"1552380230569455"</f>
        <v>1552380230569455</v>
      </c>
      <c r="C4070" t="s">
        <v>40</v>
      </c>
      <c r="D4070">
        <v>4.094525</v>
      </c>
      <c r="E4070">
        <v>0.50901960000000002</v>
      </c>
      <c r="F4070" t="s">
        <v>42</v>
      </c>
      <c r="G4070">
        <v>-419.73919999999998</v>
      </c>
      <c r="H4070" s="1">
        <v>-3.3409759999999998E-7</v>
      </c>
      <c r="I4070">
        <v>40.303730000000002</v>
      </c>
      <c r="J4070">
        <v>-422.13600000000002</v>
      </c>
      <c r="K4070">
        <v>1.111612</v>
      </c>
      <c r="L4070">
        <v>52.888759999999998</v>
      </c>
      <c r="M4070">
        <v>7.2599360000000002E-2</v>
      </c>
      <c r="N4070">
        <v>0</v>
      </c>
      <c r="O4070">
        <v>-0.99726610000000004</v>
      </c>
      <c r="P4070">
        <v>0.19569719999999999</v>
      </c>
      <c r="Q4070">
        <v>0.12677559999999999</v>
      </c>
      <c r="R4070">
        <v>-0.97243570000000001</v>
      </c>
      <c r="S4070">
        <v>0.56408689999999995</v>
      </c>
      <c r="T4070">
        <v>-0.25906109999999999</v>
      </c>
      <c r="U4070">
        <v>-3.0054630000000002</v>
      </c>
      <c r="V4070">
        <v>-0.1250674</v>
      </c>
      <c r="W4070">
        <v>0.13989550000000001</v>
      </c>
      <c r="X4070">
        <v>0.98223590000000005</v>
      </c>
      <c r="Y4070">
        <v>-0.1119579</v>
      </c>
      <c r="Z4070">
        <v>8.4537940000000006E-2</v>
      </c>
      <c r="AA4070">
        <v>0.9901105</v>
      </c>
      <c r="AB4070">
        <v>33</v>
      </c>
      <c r="AC4070">
        <v>2.3967999999999798</v>
      </c>
      <c r="AD4070">
        <v>-1.1116123340976001</v>
      </c>
      <c r="AE4070">
        <v>-12.5850299999999</v>
      </c>
      <c r="AF4070">
        <v>-1.4656874593753999</v>
      </c>
      <c r="AG4070">
        <v>-1.1116123340976001</v>
      </c>
      <c r="AH4070">
        <v>12.6307426011085</v>
      </c>
      <c r="AI4070">
        <v>94.996200674994597</v>
      </c>
      <c r="AJ4070">
        <v>96.619071298072697</v>
      </c>
      <c r="AK4070">
        <v>12.763995470280699</v>
      </c>
      <c r="AL4070">
        <v>81.958200543390404</v>
      </c>
      <c r="AM4070">
        <v>97.256383750580298</v>
      </c>
      <c r="AN4070">
        <v>0.99999998435590898</v>
      </c>
    </row>
    <row r="4071" spans="1:40" x14ac:dyDescent="0.25">
      <c r="A4071" t="str">
        <f>"20190312164350596"</f>
        <v>20190312164350596</v>
      </c>
      <c r="B4071" t="str">
        <f>"1552380230588974"</f>
        <v>1552380230588974</v>
      </c>
      <c r="C4071" t="s">
        <v>40</v>
      </c>
      <c r="D4071">
        <v>4.1371219999999997</v>
      </c>
      <c r="E4071">
        <v>0.50928200000000001</v>
      </c>
      <c r="F4071" t="s">
        <v>42</v>
      </c>
      <c r="G4071">
        <v>-419.7534</v>
      </c>
      <c r="H4071" s="1">
        <v>-2.8812330000000002E-7</v>
      </c>
      <c r="I4071">
        <v>40.20243</v>
      </c>
      <c r="J4071">
        <v>-422.11099999999999</v>
      </c>
      <c r="K4071">
        <v>1.111564</v>
      </c>
      <c r="L4071">
        <v>52.56644</v>
      </c>
      <c r="M4071">
        <v>7.4010800000000002E-2</v>
      </c>
      <c r="N4071">
        <v>0</v>
      </c>
      <c r="O4071">
        <v>-0.99716210000000005</v>
      </c>
      <c r="P4071">
        <v>0.196878</v>
      </c>
      <c r="Q4071">
        <v>0.1267915</v>
      </c>
      <c r="R4071">
        <v>-0.97219489999999997</v>
      </c>
      <c r="S4071">
        <v>0.56451419999999997</v>
      </c>
      <c r="T4071">
        <v>-0.263374</v>
      </c>
      <c r="U4071">
        <v>-3.0057680000000002</v>
      </c>
      <c r="V4071">
        <v>-0.1248499</v>
      </c>
      <c r="W4071">
        <v>0.13992859999999999</v>
      </c>
      <c r="X4071">
        <v>0.98225890000000005</v>
      </c>
      <c r="Y4071">
        <v>-0.1106472</v>
      </c>
      <c r="Z4071">
        <v>8.5918259999999996E-2</v>
      </c>
      <c r="AA4071">
        <v>0.99013899999999999</v>
      </c>
      <c r="AB4071">
        <v>33</v>
      </c>
      <c r="AC4071">
        <v>2.3575999999999899</v>
      </c>
      <c r="AD4071">
        <v>-1.1115642881233001</v>
      </c>
      <c r="AE4071">
        <v>-12.36401</v>
      </c>
      <c r="AF4071">
        <v>-1.4248630932380699</v>
      </c>
      <c r="AG4071">
        <v>-1.1115642881233001</v>
      </c>
      <c r="AH4071">
        <v>12.407830067353601</v>
      </c>
      <c r="AI4071">
        <v>95.085969307523698</v>
      </c>
      <c r="AJ4071">
        <v>96.550911062412396</v>
      </c>
      <c r="AK4071">
        <v>12.5387422408081</v>
      </c>
      <c r="AL4071">
        <v>81.956285572226406</v>
      </c>
      <c r="AM4071">
        <v>97.243730791129394</v>
      </c>
      <c r="AN4071">
        <v>1.00000002862858</v>
      </c>
    </row>
    <row r="4072" spans="1:40" x14ac:dyDescent="0.25">
      <c r="A4072" t="str">
        <f>"20190312164350618"</f>
        <v>20190312164350618</v>
      </c>
      <c r="B4072" t="str">
        <f>"1552380230609472"</f>
        <v>1552380230609472</v>
      </c>
      <c r="C4072" t="s">
        <v>40</v>
      </c>
      <c r="D4072">
        <v>4.1659410000000001</v>
      </c>
      <c r="E4072">
        <v>0.50973930000000001</v>
      </c>
      <c r="F4072" t="s">
        <v>42</v>
      </c>
      <c r="G4072">
        <v>-419.7294</v>
      </c>
      <c r="H4072" s="1">
        <v>-1.7733340000000001E-7</v>
      </c>
      <c r="I4072">
        <v>39.934249999999999</v>
      </c>
      <c r="J4072">
        <v>-422.08569999999997</v>
      </c>
      <c r="K4072">
        <v>1.1115219999999999</v>
      </c>
      <c r="L4072">
        <v>52.245730000000002</v>
      </c>
      <c r="M4072">
        <v>7.5394660000000002E-2</v>
      </c>
      <c r="N4072">
        <v>0</v>
      </c>
      <c r="O4072">
        <v>-0.99705869999999996</v>
      </c>
      <c r="P4072">
        <v>0.1986356</v>
      </c>
      <c r="Q4072">
        <v>0.12643789999999999</v>
      </c>
      <c r="R4072">
        <v>-0.97188370000000002</v>
      </c>
      <c r="S4072">
        <v>0.5666504</v>
      </c>
      <c r="T4072">
        <v>-0.26446969999999997</v>
      </c>
      <c r="U4072">
        <v>-3.0055239999999999</v>
      </c>
      <c r="V4072">
        <v>-0.12524389999999999</v>
      </c>
      <c r="W4072">
        <v>0.1395844</v>
      </c>
      <c r="X4072">
        <v>0.98225770000000001</v>
      </c>
      <c r="Y4072">
        <v>-0.1099566</v>
      </c>
      <c r="Z4072">
        <v>8.6264199999999999E-2</v>
      </c>
      <c r="AA4072">
        <v>0.99018589999999995</v>
      </c>
      <c r="AB4072">
        <v>33</v>
      </c>
      <c r="AC4072">
        <v>2.3562999999999699</v>
      </c>
      <c r="AD4072">
        <v>-1.1115221773334001</v>
      </c>
      <c r="AE4072">
        <v>-12.31148</v>
      </c>
      <c r="AF4072">
        <v>-1.4101958452524499</v>
      </c>
      <c r="AG4072">
        <v>-1.1115221773334001</v>
      </c>
      <c r="AH4072">
        <v>12.3569379498625</v>
      </c>
      <c r="AI4072">
        <v>95.107022769586095</v>
      </c>
      <c r="AJ4072">
        <v>96.510530353410701</v>
      </c>
      <c r="AK4072">
        <v>12.4867149150376</v>
      </c>
      <c r="AL4072">
        <v>81.976202126768698</v>
      </c>
      <c r="AM4072">
        <v>97.266355314956101</v>
      </c>
      <c r="AN4072">
        <v>1.0000000142099299</v>
      </c>
    </row>
    <row r="4073" spans="1:40" x14ac:dyDescent="0.25">
      <c r="A4073" t="str">
        <f>"20190312164350640"</f>
        <v>20190312164350640</v>
      </c>
      <c r="B4073" t="str">
        <f>"1552380230628991"</f>
        <v>1552380230628991</v>
      </c>
      <c r="C4073" t="s">
        <v>40</v>
      </c>
      <c r="D4073">
        <v>4.1150890000000002</v>
      </c>
      <c r="E4073">
        <v>0.51010109999999997</v>
      </c>
      <c r="F4073" t="s">
        <v>42</v>
      </c>
      <c r="G4073">
        <v>-419.72829999999999</v>
      </c>
      <c r="H4073" s="1">
        <v>-1.149503E-7</v>
      </c>
      <c r="I4073">
        <v>39.773400000000002</v>
      </c>
      <c r="J4073">
        <v>-422.0598</v>
      </c>
      <c r="K4073">
        <v>1.1114930000000001</v>
      </c>
      <c r="L4073">
        <v>51.922849999999997</v>
      </c>
      <c r="M4073">
        <v>7.6779109999999998E-2</v>
      </c>
      <c r="N4073">
        <v>0</v>
      </c>
      <c r="O4073">
        <v>-0.99695319999999998</v>
      </c>
      <c r="P4073">
        <v>0.2004184</v>
      </c>
      <c r="Q4073">
        <v>0.1258647</v>
      </c>
      <c r="R4073">
        <v>-0.97159200000000001</v>
      </c>
      <c r="S4073">
        <v>0.5680847</v>
      </c>
      <c r="T4073">
        <v>-0.26785209999999998</v>
      </c>
      <c r="U4073">
        <v>-3.0055540000000001</v>
      </c>
      <c r="V4073">
        <v>-0.12566479999999999</v>
      </c>
      <c r="W4073">
        <v>0.13901820000000001</v>
      </c>
      <c r="X4073">
        <v>0.98228419999999905</v>
      </c>
      <c r="Y4073">
        <v>-0.1090134</v>
      </c>
      <c r="Z4073">
        <v>8.7345049999999994E-2</v>
      </c>
      <c r="AA4073">
        <v>0.99019539999999995</v>
      </c>
      <c r="AB4073">
        <v>33</v>
      </c>
      <c r="AC4073">
        <v>2.3315000000000001</v>
      </c>
      <c r="AD4073">
        <v>-1.1114931149503</v>
      </c>
      <c r="AE4073">
        <v>-12.1494499999999</v>
      </c>
      <c r="AF4073">
        <v>-1.3805599307238701</v>
      </c>
      <c r="AG4073">
        <v>-1.1114931149503</v>
      </c>
      <c r="AH4073">
        <v>12.194172662329001</v>
      </c>
      <c r="AI4073">
        <v>95.175211886491795</v>
      </c>
      <c r="AJ4073">
        <v>96.459222555124398</v>
      </c>
      <c r="AK4073">
        <v>12.322305368136</v>
      </c>
      <c r="AL4073">
        <v>82.008962098957895</v>
      </c>
      <c r="AM4073">
        <v>97.290318073016707</v>
      </c>
      <c r="AN4073">
        <v>0.99999997572995902</v>
      </c>
    </row>
    <row r="4074" spans="1:40" x14ac:dyDescent="0.25">
      <c r="A4074" t="str">
        <f>"20190312164350664"</f>
        <v>20190312164350664</v>
      </c>
      <c r="B4074" t="str">
        <f>"1552380230659247"</f>
        <v>1552380230659247</v>
      </c>
      <c r="C4074" t="s">
        <v>40</v>
      </c>
      <c r="D4074">
        <v>4.1953050000000003</v>
      </c>
      <c r="E4074">
        <v>0.51046590000000003</v>
      </c>
      <c r="F4074" t="s">
        <v>42</v>
      </c>
      <c r="G4074">
        <v>-419.72629999999998</v>
      </c>
      <c r="H4074" s="1">
        <v>-6.9546299999999996E-8</v>
      </c>
      <c r="I4074">
        <v>39.638469999999998</v>
      </c>
      <c r="J4074">
        <v>-422.03289999999998</v>
      </c>
      <c r="K4074">
        <v>1.111477</v>
      </c>
      <c r="L4074">
        <v>51.593629999999997</v>
      </c>
      <c r="M4074">
        <v>7.8189499999999995E-2</v>
      </c>
      <c r="N4074">
        <v>0</v>
      </c>
      <c r="O4074">
        <v>-0.99684329999999999</v>
      </c>
      <c r="P4074">
        <v>0.2023336</v>
      </c>
      <c r="Q4074">
        <v>0.12549859999999999</v>
      </c>
      <c r="R4074">
        <v>-0.97124219999999895</v>
      </c>
      <c r="S4074">
        <v>0.57083130000000004</v>
      </c>
      <c r="T4074">
        <v>-0.27190999999999999</v>
      </c>
      <c r="U4074">
        <v>-3.005188</v>
      </c>
      <c r="V4074">
        <v>-0.12620010000000001</v>
      </c>
      <c r="W4074">
        <v>0.13865459999999999</v>
      </c>
      <c r="X4074">
        <v>0.982267</v>
      </c>
      <c r="Y4074">
        <v>-0.1084812</v>
      </c>
      <c r="Z4074">
        <v>8.8649019999999995E-2</v>
      </c>
      <c r="AA4074">
        <v>0.99013799999999996</v>
      </c>
      <c r="AB4074">
        <v>33</v>
      </c>
      <c r="AC4074">
        <v>2.3066</v>
      </c>
      <c r="AD4074">
        <v>-1.1114770695463001</v>
      </c>
      <c r="AE4074">
        <v>-11.955159999999999</v>
      </c>
      <c r="AF4074">
        <v>-1.3534020008569201</v>
      </c>
      <c r="AG4074">
        <v>-1.1114770695463001</v>
      </c>
      <c r="AH4074">
        <v>11.9989307634036</v>
      </c>
      <c r="AI4074">
        <v>95.259122759909403</v>
      </c>
      <c r="AJ4074">
        <v>96.435395175105697</v>
      </c>
      <c r="AK4074">
        <v>12.1260635705494</v>
      </c>
      <c r="AL4074">
        <v>82.029998861814207</v>
      </c>
      <c r="AM4074">
        <v>97.321163560176601</v>
      </c>
      <c r="AN4074">
        <v>1.00000001131508</v>
      </c>
    </row>
    <row r="4075" spans="1:40" x14ac:dyDescent="0.25">
      <c r="A4075" t="str">
        <f>"20190312164350686"</f>
        <v>20190312164350686</v>
      </c>
      <c r="B4075" t="str">
        <f>"1552380230678770"</f>
        <v>1552380230678770</v>
      </c>
      <c r="C4075" t="s">
        <v>40</v>
      </c>
      <c r="D4075">
        <v>4.4968059999999896</v>
      </c>
      <c r="E4075">
        <v>0.51107290000000005</v>
      </c>
      <c r="F4075" t="s">
        <v>50</v>
      </c>
      <c r="G4075">
        <v>-419.714</v>
      </c>
      <c r="H4075" s="1">
        <v>-1.5474420000000001E-7</v>
      </c>
      <c r="I4075">
        <v>39.472439999999999</v>
      </c>
      <c r="J4075">
        <v>-422.00490000000002</v>
      </c>
      <c r="K4075">
        <v>1.1114630000000001</v>
      </c>
      <c r="L4075">
        <v>51.257019999999997</v>
      </c>
      <c r="M4075">
        <v>7.9637739999999999E-2</v>
      </c>
      <c r="N4075">
        <v>0</v>
      </c>
      <c r="O4075">
        <v>-0.99672890000000003</v>
      </c>
      <c r="P4075">
        <v>0.20437359999999999</v>
      </c>
      <c r="Q4075">
        <v>0.12567</v>
      </c>
      <c r="R4075">
        <v>-0.97079309999999996</v>
      </c>
      <c r="S4075">
        <v>0.57482909999999998</v>
      </c>
      <c r="T4075">
        <v>-0.27551940000000003</v>
      </c>
      <c r="U4075">
        <v>-3.0046689999999998</v>
      </c>
      <c r="V4075">
        <v>-0.1268349</v>
      </c>
      <c r="W4075">
        <v>0.13882510000000001</v>
      </c>
      <c r="X4075">
        <v>0.98216119999999996</v>
      </c>
      <c r="Y4075">
        <v>-0.10832</v>
      </c>
      <c r="Z4075">
        <v>8.9805709999999997E-2</v>
      </c>
      <c r="AA4075">
        <v>0.99005140000000003</v>
      </c>
      <c r="AB4075">
        <v>33</v>
      </c>
      <c r="AC4075">
        <v>2.2909000000000201</v>
      </c>
      <c r="AD4075">
        <v>-1.11146315474419</v>
      </c>
      <c r="AE4075">
        <v>-11.78458</v>
      </c>
      <c r="AF4075">
        <v>-1.3336053769024201</v>
      </c>
      <c r="AG4075">
        <v>-1.11146315474419</v>
      </c>
      <c r="AH4075">
        <v>11.8282184407821</v>
      </c>
      <c r="AI4075">
        <v>95.334551564908494</v>
      </c>
      <c r="AJ4075">
        <v>96.432805690707198</v>
      </c>
      <c r="AK4075">
        <v>11.9549406158506</v>
      </c>
      <c r="AL4075">
        <v>82.020134935422604</v>
      </c>
      <c r="AM4075">
        <v>97.358371158986103</v>
      </c>
      <c r="AN4075">
        <v>1.0000000615167199</v>
      </c>
    </row>
    <row r="4076" spans="1:40" x14ac:dyDescent="0.25">
      <c r="A4076" t="str">
        <f>"20190312164350707"</f>
        <v>20190312164350707</v>
      </c>
      <c r="B4076" t="str">
        <f>"1552380230698843"</f>
        <v>1552380230698843</v>
      </c>
      <c r="C4076" t="s">
        <v>40</v>
      </c>
      <c r="D4076">
        <v>4.4074650000000002</v>
      </c>
      <c r="E4076">
        <v>0.48902639999999997</v>
      </c>
      <c r="F4076" t="s">
        <v>50</v>
      </c>
      <c r="G4076">
        <v>-419.6814</v>
      </c>
      <c r="H4076" s="1">
        <v>-3.6922919999999999E-7</v>
      </c>
      <c r="I4076">
        <v>39.14864</v>
      </c>
      <c r="J4076">
        <v>-421.97859999999997</v>
      </c>
      <c r="K4076">
        <v>1.11145</v>
      </c>
      <c r="L4076">
        <v>50.946010000000001</v>
      </c>
      <c r="M4076">
        <v>8.0983559999999996E-2</v>
      </c>
      <c r="N4076">
        <v>0</v>
      </c>
      <c r="O4076">
        <v>-0.99662050000000002</v>
      </c>
      <c r="P4076">
        <v>0.20662929999999999</v>
      </c>
      <c r="Q4076">
        <v>0.1261285</v>
      </c>
      <c r="R4076">
        <v>-0.97025589999999995</v>
      </c>
      <c r="S4076">
        <v>0.57656859999999999</v>
      </c>
      <c r="T4076">
        <v>-0.27579890000000001</v>
      </c>
      <c r="U4076">
        <v>-3.004578</v>
      </c>
      <c r="V4076">
        <v>-0.12779649999999901</v>
      </c>
      <c r="W4076">
        <v>0.13927890000000001</v>
      </c>
      <c r="X4076">
        <v>0.98197219999999996</v>
      </c>
      <c r="Y4076">
        <v>-0.1075347</v>
      </c>
      <c r="Z4076">
        <v>8.9883169999999998E-2</v>
      </c>
      <c r="AA4076">
        <v>0.99012990000000001</v>
      </c>
      <c r="AB4076">
        <v>33</v>
      </c>
      <c r="AC4076">
        <v>2.2971999999999699</v>
      </c>
      <c r="AD4076">
        <v>-1.1114503692291999</v>
      </c>
      <c r="AE4076">
        <v>-11.7973699999999</v>
      </c>
      <c r="AF4076">
        <v>-1.3228572916325201</v>
      </c>
      <c r="AG4076">
        <v>-1.1114503692291999</v>
      </c>
      <c r="AH4076">
        <v>11.8433865891629</v>
      </c>
      <c r="AI4076">
        <v>95.328315428232997</v>
      </c>
      <c r="AJ4076">
        <v>96.373284877792997</v>
      </c>
      <c r="AK4076">
        <v>11.968754289300399</v>
      </c>
      <c r="AL4076">
        <v>81.993878377086801</v>
      </c>
      <c r="AM4076">
        <v>97.414951438928199</v>
      </c>
      <c r="AN4076">
        <v>0.99999997948514896</v>
      </c>
    </row>
    <row r="4077" spans="1:40" x14ac:dyDescent="0.25">
      <c r="A4077" t="str">
        <f>"20190312164350730"</f>
        <v>20190312164350730</v>
      </c>
      <c r="B4077" t="str">
        <f>"1552380230719338"</f>
        <v>1552380230719338</v>
      </c>
      <c r="C4077" t="s">
        <v>40</v>
      </c>
      <c r="D4077">
        <v>4.3023290000000003</v>
      </c>
      <c r="E4077">
        <v>0.4677752</v>
      </c>
      <c r="F4077" t="s">
        <v>50</v>
      </c>
      <c r="G4077">
        <v>-417.8279</v>
      </c>
      <c r="H4077" s="1">
        <v>-3.6621079999999999E-6</v>
      </c>
      <c r="I4077">
        <v>34.590229999999998</v>
      </c>
      <c r="J4077">
        <v>-421.95060000000001</v>
      </c>
      <c r="K4077">
        <v>1.111451</v>
      </c>
      <c r="L4077">
        <v>50.619929999999997</v>
      </c>
      <c r="M4077">
        <v>8.2406569999999998E-2</v>
      </c>
      <c r="N4077">
        <v>0</v>
      </c>
      <c r="O4077">
        <v>-0.99650369999999999</v>
      </c>
      <c r="P4077">
        <v>0.2089974</v>
      </c>
      <c r="Q4077">
        <v>0.12737010000000001</v>
      </c>
      <c r="R4077">
        <v>-0.96958619999999995</v>
      </c>
      <c r="S4077">
        <v>0.75073239999999997</v>
      </c>
      <c r="T4077">
        <v>-0.20102539999999999</v>
      </c>
      <c r="U4077">
        <v>-2.958221</v>
      </c>
      <c r="V4077">
        <v>-0.1288086</v>
      </c>
      <c r="W4077">
        <v>0.1405121</v>
      </c>
      <c r="X4077">
        <v>0.98166419999999999</v>
      </c>
      <c r="Y4077">
        <v>-0.16472579999999901</v>
      </c>
      <c r="Z4077">
        <v>6.5951060000000006E-2</v>
      </c>
      <c r="AA4077">
        <v>0.98413209999999995</v>
      </c>
      <c r="AB4077">
        <v>33</v>
      </c>
      <c r="AC4077">
        <v>4.1227</v>
      </c>
      <c r="AD4077">
        <v>-1.1114546621079999</v>
      </c>
      <c r="AE4077">
        <v>-16.029699999999998</v>
      </c>
      <c r="AF4077">
        <v>-2.7750835255727502</v>
      </c>
      <c r="AG4077">
        <v>-1.1114546621079999</v>
      </c>
      <c r="AH4077">
        <v>16.241699345919699</v>
      </c>
      <c r="AI4077">
        <v>93.859019331367904</v>
      </c>
      <c r="AJ4077">
        <v>99.696020616547898</v>
      </c>
      <c r="AK4077">
        <v>16.514515363251601</v>
      </c>
      <c r="AL4077">
        <v>81.922519281394798</v>
      </c>
      <c r="AM4077">
        <v>97.475332052674005</v>
      </c>
      <c r="AN4077">
        <v>0.99999995362100302</v>
      </c>
    </row>
    <row r="4078" spans="1:40" x14ac:dyDescent="0.25">
      <c r="A4078" t="str">
        <f>"20190312164350754"</f>
        <v>20190312164350754</v>
      </c>
      <c r="B4078" t="str">
        <f>"1552380230748619"</f>
        <v>1552380230748619</v>
      </c>
      <c r="C4078" t="s">
        <v>40</v>
      </c>
      <c r="D4078">
        <v>4.3059250000000002</v>
      </c>
      <c r="E4078">
        <v>0.45457530000000002</v>
      </c>
      <c r="F4078" t="s">
        <v>50</v>
      </c>
      <c r="G4078">
        <v>-416.13560000000001</v>
      </c>
      <c r="H4078" s="1">
        <v>-5.2415160000000001E-6</v>
      </c>
      <c r="I4078">
        <v>32.226970000000001</v>
      </c>
      <c r="J4078">
        <v>-421.92079999999999</v>
      </c>
      <c r="K4078">
        <v>1.1114580000000001</v>
      </c>
      <c r="L4078">
        <v>50.27957</v>
      </c>
      <c r="M4078">
        <v>8.3909780000000003E-2</v>
      </c>
      <c r="N4078">
        <v>0</v>
      </c>
      <c r="O4078">
        <v>-0.9963784</v>
      </c>
      <c r="P4078">
        <v>0.21120620000000001</v>
      </c>
      <c r="Q4078">
        <v>0.12866420000000001</v>
      </c>
      <c r="R4078">
        <v>-0.96893649999999998</v>
      </c>
      <c r="S4078">
        <v>0.9226685</v>
      </c>
      <c r="T4078">
        <v>-0.17635379999999901</v>
      </c>
      <c r="U4078">
        <v>-2.918396</v>
      </c>
      <c r="V4078">
        <v>-0.12958549999999999</v>
      </c>
      <c r="W4078">
        <v>0.14179749999999999</v>
      </c>
      <c r="X4078">
        <v>0.9813771</v>
      </c>
      <c r="Y4078">
        <v>-0.2198668</v>
      </c>
      <c r="Z4078">
        <v>5.7857100000000002E-2</v>
      </c>
      <c r="AA4078">
        <v>0.97381269999999998</v>
      </c>
      <c r="AB4078">
        <v>33</v>
      </c>
      <c r="AC4078">
        <v>5.7851999999999704</v>
      </c>
      <c r="AD4078">
        <v>-1.111463241516</v>
      </c>
      <c r="AE4078">
        <v>-18.052600000000002</v>
      </c>
      <c r="AF4078">
        <v>-4.23530150508926</v>
      </c>
      <c r="AG4078">
        <v>-1.111463241516</v>
      </c>
      <c r="AH4078">
        <v>18.411113699156601</v>
      </c>
      <c r="AI4078">
        <v>93.366975473449202</v>
      </c>
      <c r="AJ4078">
        <v>102.954967512666</v>
      </c>
      <c r="AK4078">
        <v>18.924646285189201</v>
      </c>
      <c r="AL4078">
        <v>81.848126577494796</v>
      </c>
      <c r="AM4078">
        <v>97.522079264697993</v>
      </c>
      <c r="AN4078">
        <v>0.99999997261045404</v>
      </c>
    </row>
    <row r="4079" spans="1:40" x14ac:dyDescent="0.25">
      <c r="A4079" t="str">
        <f>"20190312164350776"</f>
        <v>20190312164350776</v>
      </c>
      <c r="B4079" t="str">
        <f>"1552380230769115"</f>
        <v>1552380230769115</v>
      </c>
      <c r="C4079" t="s">
        <v>40</v>
      </c>
      <c r="D4079">
        <v>4.2678979999999997</v>
      </c>
      <c r="E4079">
        <v>0.45169100000000001</v>
      </c>
      <c r="F4079" t="s">
        <v>50</v>
      </c>
      <c r="G4079">
        <v>-416.02379999999999</v>
      </c>
      <c r="H4079" s="1">
        <v>-4.4841739999999999E-6</v>
      </c>
      <c r="I4079">
        <v>33.761949999999999</v>
      </c>
      <c r="J4079">
        <v>-421.89080000000001</v>
      </c>
      <c r="K4079">
        <v>1.1114729999999999</v>
      </c>
      <c r="L4079">
        <v>49.941560000000003</v>
      </c>
      <c r="M4079">
        <v>8.542785E-2</v>
      </c>
      <c r="N4079">
        <v>0</v>
      </c>
      <c r="O4079">
        <v>-0.99624959999999996</v>
      </c>
      <c r="P4079">
        <v>0.21347730000000001</v>
      </c>
      <c r="Q4079">
        <v>0.129524</v>
      </c>
      <c r="R4079">
        <v>-0.96832430000000003</v>
      </c>
      <c r="S4079">
        <v>1.034149</v>
      </c>
      <c r="T4079">
        <v>-0.19491330000000001</v>
      </c>
      <c r="U4079">
        <v>-2.8966370000000001</v>
      </c>
      <c r="V4079">
        <v>-0.13040739999999901</v>
      </c>
      <c r="W4079">
        <v>0.1426471</v>
      </c>
      <c r="X4079">
        <v>0.98114509999999999</v>
      </c>
      <c r="Y4079">
        <v>-0.25385740000000001</v>
      </c>
      <c r="Z4079">
        <v>6.3712240000000003E-2</v>
      </c>
      <c r="AA4079">
        <v>0.96514100000000003</v>
      </c>
      <c r="AB4079">
        <v>33</v>
      </c>
      <c r="AC4079">
        <v>5.8670000000000098</v>
      </c>
      <c r="AD4079">
        <v>-1.1114774841739901</v>
      </c>
      <c r="AE4079">
        <v>-16.179609999999901</v>
      </c>
      <c r="AF4079">
        <v>-4.4446908005500498</v>
      </c>
      <c r="AG4079">
        <v>-1.1114774841739901</v>
      </c>
      <c r="AH4079">
        <v>16.5526674569732</v>
      </c>
      <c r="AI4079">
        <v>93.710475314468397</v>
      </c>
      <c r="AJ4079">
        <v>105.030408108573</v>
      </c>
      <c r="AK4079">
        <v>17.1750242634897</v>
      </c>
      <c r="AL4079">
        <v>81.798948363741701</v>
      </c>
      <c r="AM4079">
        <v>97.571005882523295</v>
      </c>
      <c r="AN4079">
        <v>0.99999999618358903</v>
      </c>
    </row>
    <row r="4080" spans="1:40" x14ac:dyDescent="0.25">
      <c r="A4080" t="str">
        <f>"20190312164350797"</f>
        <v>20190312164350797</v>
      </c>
      <c r="B4080" t="str">
        <f>"1552380230788635"</f>
        <v>1552380230788635</v>
      </c>
      <c r="C4080" t="s">
        <v>40</v>
      </c>
      <c r="D4080">
        <v>4.3065220000000002</v>
      </c>
      <c r="E4080">
        <v>0.44865080000000002</v>
      </c>
      <c r="F4080" t="s">
        <v>50</v>
      </c>
      <c r="G4080">
        <v>-415.95479999999998</v>
      </c>
      <c r="H4080" s="1">
        <v>-4.4669880000000003E-6</v>
      </c>
      <c r="I4080">
        <v>33.825670000000002</v>
      </c>
      <c r="J4080">
        <v>-421.86439999999999</v>
      </c>
      <c r="K4080">
        <v>1.111497</v>
      </c>
      <c r="L4080">
        <v>49.650120000000001</v>
      </c>
      <c r="M4080">
        <v>8.6765220000000004E-2</v>
      </c>
      <c r="N4080">
        <v>0</v>
      </c>
      <c r="O4080">
        <v>-0.99613390000000002</v>
      </c>
      <c r="P4080">
        <v>0.2155387</v>
      </c>
      <c r="Q4080">
        <v>0.13124160000000001</v>
      </c>
      <c r="R4080">
        <v>-0.96763589999999999</v>
      </c>
      <c r="S4080">
        <v>1.064514</v>
      </c>
      <c r="T4080">
        <v>-0.19932430000000001</v>
      </c>
      <c r="U4080">
        <v>-2.8901059999999998</v>
      </c>
      <c r="V4080">
        <v>-0.13121250000000001</v>
      </c>
      <c r="W4080">
        <v>0.1443507</v>
      </c>
      <c r="X4080">
        <v>0.98078849999999995</v>
      </c>
      <c r="Y4080">
        <v>-0.26216859999999997</v>
      </c>
      <c r="Z4080">
        <v>6.5087699999999998E-2</v>
      </c>
      <c r="AA4080">
        <v>0.96282460000000003</v>
      </c>
      <c r="AB4080">
        <v>33</v>
      </c>
      <c r="AC4080">
        <v>5.90960000000001</v>
      </c>
      <c r="AD4080">
        <v>-1.1115014669879999</v>
      </c>
      <c r="AE4080">
        <v>-15.824450000000001</v>
      </c>
      <c r="AF4080">
        <v>-4.4947067839738297</v>
      </c>
      <c r="AG4080">
        <v>-1.1115014669879999</v>
      </c>
      <c r="AH4080">
        <v>16.207383659825702</v>
      </c>
      <c r="AI4080">
        <v>93.780935114972706</v>
      </c>
      <c r="AJ4080">
        <v>105.500004924405</v>
      </c>
      <c r="AK4080">
        <v>16.855773778791701</v>
      </c>
      <c r="AL4080">
        <v>81.700318213006796</v>
      </c>
      <c r="AM4080">
        <v>97.619937033558401</v>
      </c>
      <c r="AN4080">
        <v>0.99999996323949403</v>
      </c>
    </row>
    <row r="4081" spans="1:40" x14ac:dyDescent="0.25">
      <c r="A4081" t="str">
        <f>"20190312164350819"</f>
        <v>20190312164350819</v>
      </c>
      <c r="B4081" t="str">
        <f>"1552380230809131"</f>
        <v>1552380230809131</v>
      </c>
      <c r="C4081" t="s">
        <v>40</v>
      </c>
      <c r="D4081">
        <v>4.2472690000000002</v>
      </c>
      <c r="E4081">
        <v>0.44665100000000002</v>
      </c>
      <c r="F4081" t="s">
        <v>50</v>
      </c>
      <c r="G4081">
        <v>-415.94819999999999</v>
      </c>
      <c r="H4081" s="1">
        <v>-4.3449109999999998E-6</v>
      </c>
      <c r="I4081">
        <v>34.068129999999996</v>
      </c>
      <c r="J4081">
        <v>-421.83499999999998</v>
      </c>
      <c r="K4081">
        <v>1.111531</v>
      </c>
      <c r="L4081">
        <v>49.329770000000003</v>
      </c>
      <c r="M4081">
        <v>8.8272399999999904E-2</v>
      </c>
      <c r="N4081">
        <v>0</v>
      </c>
      <c r="O4081">
        <v>-0.99600140000000004</v>
      </c>
      <c r="P4081">
        <v>0.21723899999999999</v>
      </c>
      <c r="Q4081">
        <v>0.13213749999999999</v>
      </c>
      <c r="R4081">
        <v>-0.96713329999999997</v>
      </c>
      <c r="S4081">
        <v>1.0951229999999901</v>
      </c>
      <c r="T4081">
        <v>-0.20574490000000001</v>
      </c>
      <c r="U4081">
        <v>-2.8843079999999999</v>
      </c>
      <c r="V4081">
        <v>-0.1314746</v>
      </c>
      <c r="W4081">
        <v>0.14523440000000001</v>
      </c>
      <c r="X4081">
        <v>0.98062289999999996</v>
      </c>
      <c r="Y4081">
        <v>-0.27024169999999997</v>
      </c>
      <c r="Z4081">
        <v>6.7090209999999997E-2</v>
      </c>
      <c r="AA4081">
        <v>0.96045210000000003</v>
      </c>
      <c r="AB4081">
        <v>33</v>
      </c>
      <c r="AC4081">
        <v>5.8867999999999903</v>
      </c>
      <c r="AD4081">
        <v>-1.1115353449109999</v>
      </c>
      <c r="AE4081">
        <v>-15.26164</v>
      </c>
      <c r="AF4081">
        <v>-4.4957476594270602</v>
      </c>
      <c r="AG4081">
        <v>-1.1115353449109999</v>
      </c>
      <c r="AH4081">
        <v>15.6494827764423</v>
      </c>
      <c r="AI4081">
        <v>93.905287179290497</v>
      </c>
      <c r="AJ4081">
        <v>106.02817898078899</v>
      </c>
      <c r="AK4081">
        <v>16.320342184231102</v>
      </c>
      <c r="AL4081">
        <v>81.649146461917496</v>
      </c>
      <c r="AM4081">
        <v>97.636252784915499</v>
      </c>
      <c r="AN4081">
        <v>0.99999993669646303</v>
      </c>
    </row>
    <row r="4082" spans="1:40" x14ac:dyDescent="0.25">
      <c r="A4082" t="str">
        <f>"20190312164350842"</f>
        <v>20190312164350842</v>
      </c>
      <c r="B4082" t="str">
        <f>"1552380230839387"</f>
        <v>1552380230839387</v>
      </c>
      <c r="C4082" t="s">
        <v>40</v>
      </c>
      <c r="D4082">
        <v>4.2944440000000004</v>
      </c>
      <c r="E4082">
        <v>0.44433129999999998</v>
      </c>
      <c r="F4082" t="s">
        <v>50</v>
      </c>
      <c r="G4082">
        <v>-415.81450000000001</v>
      </c>
      <c r="H4082" s="1">
        <v>-4.5141399999999999E-6</v>
      </c>
      <c r="I4082">
        <v>33.794179999999997</v>
      </c>
      <c r="J4082">
        <v>-421.80500000000001</v>
      </c>
      <c r="K4082">
        <v>1.1115649999999999</v>
      </c>
      <c r="L4082">
        <v>49.009830000000001</v>
      </c>
      <c r="M4082">
        <v>8.9821830000000005E-2</v>
      </c>
      <c r="N4082">
        <v>0</v>
      </c>
      <c r="O4082">
        <v>-0.99586280000000005</v>
      </c>
      <c r="P4082">
        <v>0.2183216</v>
      </c>
      <c r="Q4082">
        <v>0.1330964</v>
      </c>
      <c r="R4082">
        <v>-0.96675840000000002</v>
      </c>
      <c r="S4082">
        <v>1.115845</v>
      </c>
      <c r="T4082">
        <v>-0.20601610000000001</v>
      </c>
      <c r="U4082">
        <v>-2.8794249999999999</v>
      </c>
      <c r="V4082">
        <v>-0.1310722</v>
      </c>
      <c r="W4082">
        <v>0.1461826</v>
      </c>
      <c r="X4082">
        <v>0.98053590000000002</v>
      </c>
      <c r="Y4082">
        <v>-0.27530359999999998</v>
      </c>
      <c r="Z4082">
        <v>6.7137329999999995E-2</v>
      </c>
      <c r="AA4082">
        <v>0.95901020000000003</v>
      </c>
      <c r="AB4082">
        <v>33</v>
      </c>
      <c r="AC4082">
        <v>5.9904999999999902</v>
      </c>
      <c r="AD4082">
        <v>-1.1115695141399999</v>
      </c>
      <c r="AE4082">
        <v>-15.21565</v>
      </c>
      <c r="AF4082">
        <v>-4.5782990071191403</v>
      </c>
      <c r="AG4082">
        <v>-1.1115695141399999</v>
      </c>
      <c r="AH4082">
        <v>15.6200871553591</v>
      </c>
      <c r="AI4082">
        <v>93.906656537733198</v>
      </c>
      <c r="AJ4082">
        <v>106.33603478114</v>
      </c>
      <c r="AK4082">
        <v>16.3151319738569</v>
      </c>
      <c r="AL4082">
        <v>81.594232752701501</v>
      </c>
      <c r="AM4082">
        <v>97.613822867031004</v>
      </c>
      <c r="AN4082">
        <v>0.99999996267220403</v>
      </c>
    </row>
    <row r="4083" spans="1:40" x14ac:dyDescent="0.25">
      <c r="A4083" t="str">
        <f>"20190312164350864"</f>
        <v>20190312164350864</v>
      </c>
      <c r="B4083" t="str">
        <f>"1552380230858907"</f>
        <v>1552380230858907</v>
      </c>
      <c r="C4083" t="s">
        <v>40</v>
      </c>
      <c r="D4083">
        <v>4.3195759999999996</v>
      </c>
      <c r="E4083">
        <v>0.44327929999999999</v>
      </c>
      <c r="F4083" t="s">
        <v>50</v>
      </c>
      <c r="G4083">
        <v>-415.58350000000002</v>
      </c>
      <c r="H4083" s="1">
        <v>-4.8204819999999998E-6</v>
      </c>
      <c r="I4083">
        <v>33.293500000000002</v>
      </c>
      <c r="J4083">
        <v>-421.7731</v>
      </c>
      <c r="K4083">
        <v>1.111613</v>
      </c>
      <c r="L4083">
        <v>48.675449999999998</v>
      </c>
      <c r="M4083">
        <v>9.1497800000000004E-2</v>
      </c>
      <c r="N4083">
        <v>0</v>
      </c>
      <c r="O4083">
        <v>-0.99571010000000004</v>
      </c>
      <c r="P4083">
        <v>0.21985750000000001</v>
      </c>
      <c r="Q4083">
        <v>0.13415839999999901</v>
      </c>
      <c r="R4083">
        <v>-0.96626319999999999</v>
      </c>
      <c r="S4083">
        <v>1.1377870000000001</v>
      </c>
      <c r="T4083">
        <v>-0.2032841</v>
      </c>
      <c r="U4083">
        <v>-2.8742070000000002</v>
      </c>
      <c r="V4083">
        <v>-0.1310095</v>
      </c>
      <c r="W4083">
        <v>0.14723020000000001</v>
      </c>
      <c r="X4083">
        <v>0.98038760000000003</v>
      </c>
      <c r="Y4083">
        <v>-0.28063709999999997</v>
      </c>
      <c r="Z4083">
        <v>6.6206280000000006E-2</v>
      </c>
      <c r="AA4083">
        <v>0.95752789999999999</v>
      </c>
      <c r="AB4083">
        <v>32</v>
      </c>
      <c r="AC4083">
        <v>6.18959999999998</v>
      </c>
      <c r="AD4083">
        <v>-1.111617820482</v>
      </c>
      <c r="AE4083">
        <v>-15.3819499999999</v>
      </c>
      <c r="AF4083">
        <v>-4.7348013765738299</v>
      </c>
      <c r="AG4083">
        <v>-1.111617820482</v>
      </c>
      <c r="AH4083">
        <v>15.812727939004899</v>
      </c>
      <c r="AI4083">
        <v>93.852750848859102</v>
      </c>
      <c r="AJ4083">
        <v>106.66926505199</v>
      </c>
      <c r="AK4083">
        <v>16.5437723366651</v>
      </c>
      <c r="AL4083">
        <v>81.533553744856306</v>
      </c>
      <c r="AM4083">
        <v>97.611361075875195</v>
      </c>
      <c r="AN4083">
        <v>1.0000000335580199</v>
      </c>
    </row>
    <row r="4084" spans="1:40" x14ac:dyDescent="0.25">
      <c r="A4084" t="str">
        <f>"20190312164350887"</f>
        <v>20190312164350887</v>
      </c>
      <c r="B4084" t="str">
        <f>"1552380230879403"</f>
        <v>1552380230879403</v>
      </c>
      <c r="C4084" t="s">
        <v>40</v>
      </c>
      <c r="D4084">
        <v>4.2989649999999999</v>
      </c>
      <c r="E4084">
        <v>0.44227880000000003</v>
      </c>
      <c r="F4084" t="s">
        <v>50</v>
      </c>
      <c r="G4084">
        <v>-415.41590000000002</v>
      </c>
      <c r="H4084" s="1">
        <v>-5.1005230000000001E-6</v>
      </c>
      <c r="I4084">
        <v>32.816839999999999</v>
      </c>
      <c r="J4084">
        <v>-421.74189999999999</v>
      </c>
      <c r="K4084">
        <v>1.1116509999999999</v>
      </c>
      <c r="L4084">
        <v>48.355989999999998</v>
      </c>
      <c r="M4084">
        <v>9.3142139999999998E-2</v>
      </c>
      <c r="N4084">
        <v>0</v>
      </c>
      <c r="O4084">
        <v>-0.99555769999999999</v>
      </c>
      <c r="P4084">
        <v>0.222076</v>
      </c>
      <c r="Q4084">
        <v>0.13494349999999999</v>
      </c>
      <c r="R4084">
        <v>-0.96564609999999995</v>
      </c>
      <c r="S4084">
        <v>1.1508179999999999</v>
      </c>
      <c r="T4084">
        <v>-0.20123170000000001</v>
      </c>
      <c r="U4084">
        <v>-2.870819</v>
      </c>
      <c r="V4084">
        <v>-0.13166829999999999</v>
      </c>
      <c r="W4084">
        <v>0.14799849999999901</v>
      </c>
      <c r="X4084">
        <v>0.98018360000000004</v>
      </c>
      <c r="Y4084">
        <v>-0.28320529999999999</v>
      </c>
      <c r="Z4084">
        <v>6.5518989999999999E-2</v>
      </c>
      <c r="AA4084">
        <v>0.95681870000000002</v>
      </c>
      <c r="AB4084">
        <v>32</v>
      </c>
      <c r="AC4084">
        <v>6.3259999999999597</v>
      </c>
      <c r="AD4084">
        <v>-1.1116561005229999</v>
      </c>
      <c r="AE4084">
        <v>-15.539149999999999</v>
      </c>
      <c r="AF4084">
        <v>-4.8298037698699803</v>
      </c>
      <c r="AG4084">
        <v>-1.1116561005229999</v>
      </c>
      <c r="AH4084">
        <v>15.990655928862701</v>
      </c>
      <c r="AI4084">
        <v>93.807406210524604</v>
      </c>
      <c r="AJ4084">
        <v>106.806370608278</v>
      </c>
      <c r="AK4084">
        <v>16.741083022808098</v>
      </c>
      <c r="AL4084">
        <v>81.489045469470796</v>
      </c>
      <c r="AM4084">
        <v>97.6507569645198</v>
      </c>
      <c r="AN4084">
        <v>0.99999999346805002</v>
      </c>
    </row>
    <row r="4085" spans="1:40" x14ac:dyDescent="0.25">
      <c r="A4085" t="str">
        <f>"20190312164350908"</f>
        <v>20190312164350908</v>
      </c>
      <c r="B4085" t="str">
        <f>"1552380230898923"</f>
        <v>1552380230898923</v>
      </c>
      <c r="C4085" t="s">
        <v>40</v>
      </c>
      <c r="D4085">
        <v>4.3178890000000001</v>
      </c>
      <c r="E4085">
        <v>0.44189420000000001</v>
      </c>
      <c r="F4085" t="s">
        <v>50</v>
      </c>
      <c r="G4085">
        <v>-415.30610000000001</v>
      </c>
      <c r="H4085" s="1">
        <v>-5.2813139999999997E-6</v>
      </c>
      <c r="I4085">
        <v>32.509799999999998</v>
      </c>
      <c r="J4085">
        <v>-421.71140000000003</v>
      </c>
      <c r="K4085">
        <v>1.1116919999999999</v>
      </c>
      <c r="L4085">
        <v>48.047730000000001</v>
      </c>
      <c r="M4085">
        <v>9.4773460000000004E-2</v>
      </c>
      <c r="N4085">
        <v>0</v>
      </c>
      <c r="O4085">
        <v>-0.99540399999999996</v>
      </c>
      <c r="P4085">
        <v>0.2246861</v>
      </c>
      <c r="Q4085">
        <v>0.13607649999999999</v>
      </c>
      <c r="R4085">
        <v>-0.96488370000000001</v>
      </c>
      <c r="S4085">
        <v>1.1644289999999999</v>
      </c>
      <c r="T4085">
        <v>-0.2011307</v>
      </c>
      <c r="U4085">
        <v>-2.867035</v>
      </c>
      <c r="V4085">
        <v>-0.13274420000000001</v>
      </c>
      <c r="W4085">
        <v>0.149112299999999</v>
      </c>
      <c r="X4085">
        <v>0.97986969999999995</v>
      </c>
      <c r="Y4085">
        <v>-0.2859758</v>
      </c>
      <c r="Z4085">
        <v>6.5467300000000006E-2</v>
      </c>
      <c r="AA4085">
        <v>0.95599780000000001</v>
      </c>
      <c r="AB4085">
        <v>32</v>
      </c>
      <c r="AC4085">
        <v>6.4053000000000102</v>
      </c>
      <c r="AD4085">
        <v>-1.11169728131399</v>
      </c>
      <c r="AE4085">
        <v>-15.537929999999999</v>
      </c>
      <c r="AF4085">
        <v>-4.8823783100731699</v>
      </c>
      <c r="AG4085">
        <v>-1.11169728131399</v>
      </c>
      <c r="AH4085">
        <v>16.005058747211098</v>
      </c>
      <c r="AI4085">
        <v>93.800955465024103</v>
      </c>
      <c r="AJ4085">
        <v>106.96444190699501</v>
      </c>
      <c r="AK4085">
        <v>16.7700743680412</v>
      </c>
      <c r="AL4085">
        <v>81.4245140002227</v>
      </c>
      <c r="AM4085">
        <v>97.714965013362601</v>
      </c>
      <c r="AN4085">
        <v>1.0000000648114999</v>
      </c>
    </row>
    <row r="4086" spans="1:40" x14ac:dyDescent="0.25">
      <c r="A4086" t="str">
        <f>"20190312164350932"</f>
        <v>20190312164350932</v>
      </c>
      <c r="B4086" t="str">
        <f>"1552380230929179"</f>
        <v>1552380230929179</v>
      </c>
      <c r="C4086" t="s">
        <v>40</v>
      </c>
      <c r="D4086">
        <v>4.3264950000000004</v>
      </c>
      <c r="E4086">
        <v>0.44117909999999999</v>
      </c>
      <c r="F4086" t="s">
        <v>50</v>
      </c>
      <c r="G4086">
        <v>-415.36329999999998</v>
      </c>
      <c r="H4086" s="1">
        <v>-5.2360819999999997E-6</v>
      </c>
      <c r="I4086">
        <v>32.573689999999999</v>
      </c>
      <c r="J4086">
        <v>-421.67790000000002</v>
      </c>
      <c r="K4086">
        <v>1.111731</v>
      </c>
      <c r="L4086">
        <v>47.715730000000001</v>
      </c>
      <c r="M4086">
        <v>9.6584820000000002E-2</v>
      </c>
      <c r="N4086">
        <v>0</v>
      </c>
      <c r="O4086">
        <v>-0.99522969999999999</v>
      </c>
      <c r="P4086">
        <v>0.2279311</v>
      </c>
      <c r="Q4086">
        <v>0.135940899999999</v>
      </c>
      <c r="R4086">
        <v>-0.96414080000000002</v>
      </c>
      <c r="S4086">
        <v>1.175171</v>
      </c>
      <c r="T4086">
        <v>-0.20579800000000001</v>
      </c>
      <c r="U4086">
        <v>-2.864563</v>
      </c>
      <c r="V4086">
        <v>-0.13427229999999901</v>
      </c>
      <c r="W4086">
        <v>0.14895529999999901</v>
      </c>
      <c r="X4086">
        <v>0.97968529999999998</v>
      </c>
      <c r="Y4086">
        <v>-0.2875547</v>
      </c>
      <c r="Z4086">
        <v>6.6953239999999997E-2</v>
      </c>
      <c r="AA4086">
        <v>0.95542110000000002</v>
      </c>
      <c r="AB4086">
        <v>32</v>
      </c>
      <c r="AC4086">
        <v>6.3146000000000404</v>
      </c>
      <c r="AD4086">
        <v>-1.111736236082</v>
      </c>
      <c r="AE4086">
        <v>-15.14204</v>
      </c>
      <c r="AF4086">
        <v>-4.8003991738646103</v>
      </c>
      <c r="AG4086">
        <v>-1.111736236082</v>
      </c>
      <c r="AH4086">
        <v>15.609507494072</v>
      </c>
      <c r="AI4086">
        <v>93.894421011184903</v>
      </c>
      <c r="AJ4086">
        <v>107.094257915512</v>
      </c>
      <c r="AK4086">
        <v>16.368766413341799</v>
      </c>
      <c r="AL4086">
        <v>81.433610554275603</v>
      </c>
      <c r="AM4086">
        <v>97.804139387754105</v>
      </c>
      <c r="AN4086">
        <v>1.00000000949073</v>
      </c>
    </row>
    <row r="4087" spans="1:40" x14ac:dyDescent="0.25">
      <c r="A4087" t="str">
        <f>"20190312164350956"</f>
        <v>20190312164350956</v>
      </c>
      <c r="B4087" t="str">
        <f>"1552380230948699"</f>
        <v>1552380230948699</v>
      </c>
      <c r="C4087" t="s">
        <v>40</v>
      </c>
      <c r="D4087">
        <v>4.2693599999999998</v>
      </c>
      <c r="E4087">
        <v>0.4409476</v>
      </c>
      <c r="F4087" t="s">
        <v>50</v>
      </c>
      <c r="G4087">
        <v>-415.45330000000001</v>
      </c>
      <c r="H4087" s="1">
        <v>-5.1156029999999996E-6</v>
      </c>
      <c r="I4087">
        <v>32.770959999999903</v>
      </c>
      <c r="J4087">
        <v>-421.64179999999999</v>
      </c>
      <c r="K4087">
        <v>1.111772</v>
      </c>
      <c r="L4087">
        <v>47.365810000000003</v>
      </c>
      <c r="M4087">
        <v>9.8561919999999997E-2</v>
      </c>
      <c r="N4087">
        <v>0</v>
      </c>
      <c r="O4087">
        <v>-0.99503569999999997</v>
      </c>
      <c r="P4087">
        <v>0.2317893</v>
      </c>
      <c r="Q4087">
        <v>0.1344612</v>
      </c>
      <c r="R4087">
        <v>-0.96342839999999996</v>
      </c>
      <c r="S4087">
        <v>1.1911929999999999</v>
      </c>
      <c r="T4087">
        <v>-0.21275330000000001</v>
      </c>
      <c r="U4087">
        <v>-2.859985</v>
      </c>
      <c r="V4087">
        <v>-0.13624259999999999</v>
      </c>
      <c r="W4087">
        <v>0.14745139999999901</v>
      </c>
      <c r="X4087">
        <v>0.97964079999999998</v>
      </c>
      <c r="Y4087">
        <v>-0.2906994</v>
      </c>
      <c r="Z4087">
        <v>6.9181699999999999E-2</v>
      </c>
      <c r="AA4087">
        <v>0.95431010000000005</v>
      </c>
      <c r="AB4087">
        <v>32</v>
      </c>
      <c r="AC4087">
        <v>6.1884999999999701</v>
      </c>
      <c r="AD4087">
        <v>-1.1117771156029901</v>
      </c>
      <c r="AE4087">
        <v>-14.594849999999999</v>
      </c>
      <c r="AF4087">
        <v>-4.6966289581637302</v>
      </c>
      <c r="AG4087">
        <v>-1.1117771156029901</v>
      </c>
      <c r="AH4087">
        <v>15.0597104234852</v>
      </c>
      <c r="AI4087">
        <v>94.031356876477602</v>
      </c>
      <c r="AJ4087">
        <v>107.32098495952501</v>
      </c>
      <c r="AK4087">
        <v>15.8142103806883</v>
      </c>
      <c r="AL4087">
        <v>81.520740030548495</v>
      </c>
      <c r="AM4087">
        <v>97.917569835067695</v>
      </c>
      <c r="AN4087">
        <v>1.0000000292206701</v>
      </c>
    </row>
    <row r="4088" spans="1:40" x14ac:dyDescent="0.25">
      <c r="A4088" t="str">
        <f>"20190312164350978"</f>
        <v>20190312164350978</v>
      </c>
      <c r="B4088" t="str">
        <f>"1552380230969196"</f>
        <v>1552380230969196</v>
      </c>
      <c r="C4088" t="s">
        <v>40</v>
      </c>
      <c r="D4088">
        <v>4.3902979999999996</v>
      </c>
      <c r="E4088">
        <v>0.44092530000000002</v>
      </c>
      <c r="F4088" t="s">
        <v>50</v>
      </c>
      <c r="G4088">
        <v>-415.60430000000002</v>
      </c>
      <c r="H4088" s="1">
        <v>-4.9455600000000003E-6</v>
      </c>
      <c r="I4088">
        <v>33.038989999999998</v>
      </c>
      <c r="J4088">
        <v>-421.60719999999998</v>
      </c>
      <c r="K4088">
        <v>1.111815</v>
      </c>
      <c r="L4088">
        <v>47.036099999999998</v>
      </c>
      <c r="M4088">
        <v>0.10050489999999999</v>
      </c>
      <c r="N4088">
        <v>0</v>
      </c>
      <c r="O4088">
        <v>-0.99484159999999999</v>
      </c>
      <c r="P4088">
        <v>0.2359387</v>
      </c>
      <c r="Q4088">
        <v>0.13269420000000001</v>
      </c>
      <c r="R4088">
        <v>-0.96266620000000003</v>
      </c>
      <c r="S4088">
        <v>1.2032780000000001</v>
      </c>
      <c r="T4088">
        <v>-0.22157550000000001</v>
      </c>
      <c r="U4088">
        <v>-2.8553160000000002</v>
      </c>
      <c r="V4088">
        <v>-0.13854420000000001</v>
      </c>
      <c r="W4088">
        <v>0.14565520000000001</v>
      </c>
      <c r="X4088">
        <v>0.97958670000000003</v>
      </c>
      <c r="Y4088">
        <v>-0.29274090000000003</v>
      </c>
      <c r="Z4088">
        <v>7.2042540000000002E-2</v>
      </c>
      <c r="AA4088">
        <v>0.95347400000000004</v>
      </c>
      <c r="AB4088">
        <v>32</v>
      </c>
      <c r="AC4088">
        <v>6.0028999999999497</v>
      </c>
      <c r="AD4088">
        <v>-1.11181994556</v>
      </c>
      <c r="AE4088">
        <v>-13.9971099999999</v>
      </c>
      <c r="AF4088">
        <v>-4.5413856240634596</v>
      </c>
      <c r="AG4088">
        <v>-1.11181994556</v>
      </c>
      <c r="AH4088">
        <v>14.4525793510578</v>
      </c>
      <c r="AI4088">
        <v>94.197460911192096</v>
      </c>
      <c r="AJ4088">
        <v>107.44410856790201</v>
      </c>
      <c r="AK4088">
        <v>15.190042030107</v>
      </c>
      <c r="AL4088">
        <v>81.624777946592204</v>
      </c>
      <c r="AM4088">
        <v>98.050024366807804</v>
      </c>
      <c r="AN4088">
        <v>1.00000001772878</v>
      </c>
    </row>
    <row r="4089" spans="1:40" x14ac:dyDescent="0.25">
      <c r="A4089" t="str">
        <f>"20190312164351003"</f>
        <v>20190312164351003</v>
      </c>
      <c r="B4089" t="str">
        <f>"1552380230998984"</f>
        <v>1552380230998984</v>
      </c>
      <c r="C4089" t="s">
        <v>40</v>
      </c>
      <c r="D4089">
        <v>4.4102800000000002</v>
      </c>
      <c r="E4089">
        <v>0.41559400000000002</v>
      </c>
      <c r="F4089" t="s">
        <v>50</v>
      </c>
      <c r="G4089">
        <v>-415.66930000000002</v>
      </c>
      <c r="H4089" s="1">
        <v>-4.8905279999999999E-6</v>
      </c>
      <c r="I4089">
        <v>33.118699999999997</v>
      </c>
      <c r="J4089">
        <v>-421.57</v>
      </c>
      <c r="K4089">
        <v>1.1118840000000001</v>
      </c>
      <c r="L4089">
        <v>46.690730000000002</v>
      </c>
      <c r="M4089">
        <v>0.1026589</v>
      </c>
      <c r="N4089">
        <v>0</v>
      </c>
      <c r="O4089">
        <v>-0.99462159999999999</v>
      </c>
      <c r="P4089">
        <v>0.2414647</v>
      </c>
      <c r="Q4089">
        <v>0.131082</v>
      </c>
      <c r="R4089">
        <v>-0.96151609999999998</v>
      </c>
      <c r="S4089">
        <v>1.215851</v>
      </c>
      <c r="T4089">
        <v>-0.22765659999999999</v>
      </c>
      <c r="U4089">
        <v>-2.8497309999999998</v>
      </c>
      <c r="V4089">
        <v>-0.14205519999999999</v>
      </c>
      <c r="W4089">
        <v>0.14399819999999999</v>
      </c>
      <c r="X4089">
        <v>0.9793288</v>
      </c>
      <c r="Y4089">
        <v>-0.2948462</v>
      </c>
      <c r="Z4089">
        <v>7.4031009999999994E-2</v>
      </c>
      <c r="AA4089">
        <v>0.95267259999999998</v>
      </c>
      <c r="AB4089">
        <v>32</v>
      </c>
      <c r="AC4089">
        <v>5.9006999999999703</v>
      </c>
      <c r="AD4089">
        <v>-1.111888890528</v>
      </c>
      <c r="AE4089">
        <v>-13.57203</v>
      </c>
      <c r="AF4089">
        <v>-4.4509725702198804</v>
      </c>
      <c r="AG4089">
        <v>-1.111888890528</v>
      </c>
      <c r="AH4089">
        <v>14.026948612189299</v>
      </c>
      <c r="AI4089">
        <v>94.320799055452298</v>
      </c>
      <c r="AJ4089">
        <v>107.605055934986</v>
      </c>
      <c r="AK4089">
        <v>14.758141518996499</v>
      </c>
      <c r="AL4089">
        <v>81.720728770437205</v>
      </c>
      <c r="AM4089">
        <v>98.253396852718296</v>
      </c>
      <c r="AN4089">
        <v>1.0000000299798499</v>
      </c>
    </row>
    <row r="4090" spans="1:40" x14ac:dyDescent="0.25">
      <c r="A4090" t="str">
        <f>"20190312164351020"</f>
        <v>20190312164351020</v>
      </c>
      <c r="B4090" t="str">
        <f>"1552380231008743"</f>
        <v>1552380231008743</v>
      </c>
      <c r="C4090" t="s">
        <v>40</v>
      </c>
      <c r="D4090">
        <v>4.4242140000000001</v>
      </c>
      <c r="E4090">
        <v>0.4125337</v>
      </c>
      <c r="F4090" t="s">
        <v>50</v>
      </c>
      <c r="G4090">
        <v>-414.3288</v>
      </c>
      <c r="H4090" s="1">
        <v>-5.4911389999999998E-6</v>
      </c>
      <c r="I4090">
        <v>32.52328</v>
      </c>
      <c r="J4090">
        <v>-421.54270000000002</v>
      </c>
      <c r="K4090">
        <v>1.11196299999999</v>
      </c>
      <c r="L4090">
        <v>46.44171</v>
      </c>
      <c r="M4090">
        <v>0.1043048</v>
      </c>
      <c r="N4090">
        <v>0</v>
      </c>
      <c r="O4090">
        <v>-0.99445030000000001</v>
      </c>
      <c r="P4090">
        <v>0.2468998</v>
      </c>
      <c r="Q4090">
        <v>0.13001360000000001</v>
      </c>
      <c r="R4090">
        <v>-0.96027980000000002</v>
      </c>
      <c r="S4090">
        <v>1.426849</v>
      </c>
      <c r="T4090">
        <v>-0.21909239999999999</v>
      </c>
      <c r="U4090">
        <v>-2.7916259999999999</v>
      </c>
      <c r="V4090">
        <v>-0.14598710000000001</v>
      </c>
      <c r="W4090">
        <v>0.1428826</v>
      </c>
      <c r="X4090">
        <v>0.97891379999999995</v>
      </c>
      <c r="Y4090">
        <v>-0.35861130000000002</v>
      </c>
      <c r="Z4090">
        <v>7.0684220000000006E-2</v>
      </c>
      <c r="AA4090">
        <v>0.9308071</v>
      </c>
      <c r="AB4090">
        <v>32</v>
      </c>
      <c r="AC4090">
        <v>7.2139000000000202</v>
      </c>
      <c r="AD4090">
        <v>-1.11196849113899</v>
      </c>
      <c r="AE4090">
        <v>-13.918429999999899</v>
      </c>
      <c r="AF4090">
        <v>-5.6939996509971698</v>
      </c>
      <c r="AG4090">
        <v>-1.11196849113899</v>
      </c>
      <c r="AH4090">
        <v>14.521949087266</v>
      </c>
      <c r="AI4090">
        <v>94.077578051136499</v>
      </c>
      <c r="AJ4090">
        <v>111.409952171423</v>
      </c>
      <c r="AK4090">
        <v>15.637938203100401</v>
      </c>
      <c r="AL4090">
        <v>81.785315173942294</v>
      </c>
      <c r="AM4090">
        <v>98.482105433438207</v>
      </c>
      <c r="AN4090">
        <v>0.99999994928980296</v>
      </c>
    </row>
    <row r="4091" spans="1:40" x14ac:dyDescent="0.25">
      <c r="A4091" t="str">
        <f>"20190312164351042"</f>
        <v>20190312164351042</v>
      </c>
      <c r="B4091" t="str">
        <f>"1552380231038999"</f>
        <v>1552380231038999</v>
      </c>
      <c r="C4091" t="s">
        <v>40</v>
      </c>
      <c r="D4091">
        <v>4.3893279999999999</v>
      </c>
      <c r="E4091">
        <v>0.40577479999999999</v>
      </c>
      <c r="F4091" t="s">
        <v>50</v>
      </c>
      <c r="G4091">
        <v>-414.9126</v>
      </c>
      <c r="H4091" s="1">
        <v>-4.6669979999999999E-6</v>
      </c>
      <c r="I4091">
        <v>33.886670000000002</v>
      </c>
      <c r="J4091">
        <v>-421.50720000000001</v>
      </c>
      <c r="K4091">
        <v>1.1120639999999999</v>
      </c>
      <c r="L4091">
        <v>46.12482</v>
      </c>
      <c r="M4091">
        <v>0.1065122</v>
      </c>
      <c r="N4091">
        <v>0</v>
      </c>
      <c r="O4091">
        <v>-0.9942164</v>
      </c>
      <c r="P4091">
        <v>0.252548299999999</v>
      </c>
      <c r="Q4091">
        <v>0.12977610000000001</v>
      </c>
      <c r="R4091">
        <v>-0.95884230000000004</v>
      </c>
      <c r="S4091">
        <v>1.468048</v>
      </c>
      <c r="T4091">
        <v>-0.2462145</v>
      </c>
      <c r="U4091">
        <v>-2.7799680000000002</v>
      </c>
      <c r="V4091">
        <v>-0.149612299999999</v>
      </c>
      <c r="W4091">
        <v>0.1425881</v>
      </c>
      <c r="X4091">
        <v>0.97840930000000004</v>
      </c>
      <c r="Y4091">
        <v>-0.36865140000000002</v>
      </c>
      <c r="Z4091">
        <v>7.9227800000000001E-2</v>
      </c>
      <c r="AA4091">
        <v>0.92618529999999999</v>
      </c>
      <c r="AB4091">
        <v>32</v>
      </c>
      <c r="AC4091">
        <v>6.5946000000000096</v>
      </c>
      <c r="AD4091">
        <v>-1.112068666998</v>
      </c>
      <c r="AE4091">
        <v>-12.2381499999999</v>
      </c>
      <c r="AF4091">
        <v>-5.2200398526383998</v>
      </c>
      <c r="AG4091">
        <v>-1.112068666998</v>
      </c>
      <c r="AH4091">
        <v>12.7891514714076</v>
      </c>
      <c r="AI4091">
        <v>94.602742288011001</v>
      </c>
      <c r="AJ4091">
        <v>112.203394152309</v>
      </c>
      <c r="AK4091">
        <v>13.8581350888877</v>
      </c>
      <c r="AL4091">
        <v>81.802363613694695</v>
      </c>
      <c r="AM4091">
        <v>98.6939710809377</v>
      </c>
      <c r="AN4091">
        <v>0.99999998244969401</v>
      </c>
    </row>
    <row r="4092" spans="1:40" x14ac:dyDescent="0.25">
      <c r="A4092" t="str">
        <f>"20190312164351066"</f>
        <v>20190312164351066</v>
      </c>
      <c r="B4092" t="str">
        <f>"1552380231059494"</f>
        <v>1552380231059494</v>
      </c>
      <c r="C4092" t="s">
        <v>40</v>
      </c>
      <c r="D4092">
        <v>4.4002919999999897</v>
      </c>
      <c r="E4092">
        <v>0.40416600000000003</v>
      </c>
      <c r="F4092" t="s">
        <v>41</v>
      </c>
      <c r="G4092">
        <v>-420.97460000000001</v>
      </c>
      <c r="H4092">
        <v>1.008049</v>
      </c>
      <c r="I4092">
        <v>45.1693</v>
      </c>
      <c r="J4092">
        <v>-421.46910000000003</v>
      </c>
      <c r="K4092">
        <v>1.112206</v>
      </c>
      <c r="L4092">
        <v>45.794040000000003</v>
      </c>
      <c r="M4092">
        <v>0.1090153</v>
      </c>
      <c r="N4092">
        <v>0</v>
      </c>
      <c r="O4092">
        <v>-0.99394510000000003</v>
      </c>
      <c r="P4092">
        <v>0.25868859999999999</v>
      </c>
      <c r="Q4092">
        <v>0.1305016</v>
      </c>
      <c r="R4092">
        <v>-0.95710530000000005</v>
      </c>
      <c r="S4092">
        <v>1.54071</v>
      </c>
      <c r="T4092">
        <v>-0.3008419</v>
      </c>
      <c r="U4092">
        <v>-2.7636720000000001</v>
      </c>
      <c r="V4092">
        <v>-0.1534857</v>
      </c>
      <c r="W4092">
        <v>0.143239899999999</v>
      </c>
      <c r="X4092">
        <v>0.97771390000000002</v>
      </c>
      <c r="Y4092">
        <v>-0.38654949999999999</v>
      </c>
      <c r="Z4092">
        <v>9.6171389999999995E-2</v>
      </c>
      <c r="AA4092">
        <v>0.91724070000000002</v>
      </c>
      <c r="AB4092">
        <v>32</v>
      </c>
      <c r="AC4092">
        <v>0.49450000000001598</v>
      </c>
      <c r="AD4092">
        <v>-0.104157</v>
      </c>
      <c r="AE4092">
        <v>-0.62474000000000196</v>
      </c>
      <c r="AF4092">
        <v>-0.416324987976883</v>
      </c>
      <c r="AG4092">
        <v>-0.104157</v>
      </c>
      <c r="AH4092">
        <v>0.663588905673549</v>
      </c>
      <c r="AI4092">
        <v>97.573584661693602</v>
      </c>
      <c r="AJ4092">
        <v>122.103497674644</v>
      </c>
      <c r="AK4092">
        <v>0.79026920223172703</v>
      </c>
      <c r="AL4092">
        <v>81.764631043764496</v>
      </c>
      <c r="AM4092">
        <v>98.921722317839496</v>
      </c>
      <c r="AN4092">
        <v>0.99999999965485498</v>
      </c>
    </row>
    <row r="4093" spans="1:40" x14ac:dyDescent="0.25">
      <c r="A4093" t="str">
        <f>"20190312164351087"</f>
        <v>20190312164351087</v>
      </c>
      <c r="B4093" t="str">
        <f>"1552380231079014"</f>
        <v>1552380231079014</v>
      </c>
      <c r="C4093" t="s">
        <v>40</v>
      </c>
      <c r="D4093">
        <v>4.3551169999999999</v>
      </c>
      <c r="E4093">
        <v>0.40362229999999999</v>
      </c>
      <c r="F4093" t="s">
        <v>41</v>
      </c>
      <c r="G4093">
        <v>-420.92430000000002</v>
      </c>
      <c r="H4093">
        <v>1.003763</v>
      </c>
      <c r="I4093">
        <v>44.83972</v>
      </c>
      <c r="J4093">
        <v>-421.4332</v>
      </c>
      <c r="K4093">
        <v>1.112347</v>
      </c>
      <c r="L4093">
        <v>45.489559999999997</v>
      </c>
      <c r="M4093">
        <v>0.1114883</v>
      </c>
      <c r="N4093">
        <v>0</v>
      </c>
      <c r="O4093">
        <v>-0.99367030000000001</v>
      </c>
      <c r="P4093">
        <v>0.26511210000000002</v>
      </c>
      <c r="Q4093">
        <v>0.1324254</v>
      </c>
      <c r="R4093">
        <v>-0.9550805</v>
      </c>
      <c r="S4093">
        <v>1.571655</v>
      </c>
      <c r="T4093">
        <v>-0.3127626</v>
      </c>
      <c r="U4093">
        <v>-2.752319</v>
      </c>
      <c r="V4093">
        <v>-0.157713299999999</v>
      </c>
      <c r="W4093">
        <v>0.14508299999999999</v>
      </c>
      <c r="X4093">
        <v>0.97676890000000005</v>
      </c>
      <c r="Y4093">
        <v>-0.39348850000000002</v>
      </c>
      <c r="Z4093">
        <v>9.9845790000000004E-2</v>
      </c>
      <c r="AA4093">
        <v>0.91389149999999997</v>
      </c>
      <c r="AB4093">
        <v>32</v>
      </c>
      <c r="AC4093">
        <v>0.50889999999998203</v>
      </c>
      <c r="AD4093">
        <v>-0.108584</v>
      </c>
      <c r="AE4093">
        <v>-0.64983999999999698</v>
      </c>
      <c r="AF4093">
        <v>-0.42589948539566203</v>
      </c>
      <c r="AG4093">
        <v>-0.108584</v>
      </c>
      <c r="AH4093">
        <v>0.69057818295129603</v>
      </c>
      <c r="AI4093">
        <v>97.622674091187903</v>
      </c>
      <c r="AJ4093">
        <v>121.66333208231799</v>
      </c>
      <c r="AK4093">
        <v>0.818583583688681</v>
      </c>
      <c r="AL4093">
        <v>81.657914629521699</v>
      </c>
      <c r="AM4093">
        <v>99.172061826048704</v>
      </c>
      <c r="AN4093">
        <v>1.00000002294654</v>
      </c>
    </row>
    <row r="4094" spans="1:40" x14ac:dyDescent="0.25">
      <c r="A4094" t="str">
        <f>"20190312164351110"</f>
        <v>20190312164351110</v>
      </c>
      <c r="B4094" t="str">
        <f>"1552380231099511"</f>
        <v>1552380231099511</v>
      </c>
      <c r="C4094" t="s">
        <v>40</v>
      </c>
      <c r="D4094">
        <v>4.2798100000000003</v>
      </c>
      <c r="E4094">
        <v>0.40385900000000002</v>
      </c>
      <c r="F4094" t="s">
        <v>41</v>
      </c>
      <c r="G4094">
        <v>-420.88470000000001</v>
      </c>
      <c r="H4094">
        <v>1.005471</v>
      </c>
      <c r="I4094">
        <v>44.545729999999999</v>
      </c>
      <c r="J4094">
        <v>-421.39490000000001</v>
      </c>
      <c r="K4094">
        <v>1.112522</v>
      </c>
      <c r="L4094">
        <v>45.173650000000002</v>
      </c>
      <c r="M4094">
        <v>0.11426459999999999</v>
      </c>
      <c r="N4094">
        <v>0</v>
      </c>
      <c r="O4094">
        <v>-0.99335499999999999</v>
      </c>
      <c r="P4094">
        <v>0.27130769999999998</v>
      </c>
      <c r="Q4094">
        <v>0.13497429999999999</v>
      </c>
      <c r="R4094">
        <v>-0.95298159999999998</v>
      </c>
      <c r="S4094">
        <v>1.593658</v>
      </c>
      <c r="T4094">
        <v>-0.31046889999999999</v>
      </c>
      <c r="U4094">
        <v>-2.7417910000000001</v>
      </c>
      <c r="V4094">
        <v>-0.16144210000000001</v>
      </c>
      <c r="W4094">
        <v>0.14754200000000001</v>
      </c>
      <c r="X4094">
        <v>0.97579090000000002</v>
      </c>
      <c r="Y4094">
        <v>-0.39796559999999997</v>
      </c>
      <c r="Z4094">
        <v>9.911623E-2</v>
      </c>
      <c r="AA4094">
        <v>0.91203029999999996</v>
      </c>
      <c r="AB4094">
        <v>32</v>
      </c>
      <c r="AC4094">
        <v>0.51019999999999699</v>
      </c>
      <c r="AD4094">
        <v>-0.10705099999999999</v>
      </c>
      <c r="AE4094">
        <v>-0.62792000000000303</v>
      </c>
      <c r="AF4094">
        <v>-0.42761560881327698</v>
      </c>
      <c r="AG4094">
        <v>-0.10705099999999999</v>
      </c>
      <c r="AH4094">
        <v>0.67037360082753195</v>
      </c>
      <c r="AI4094">
        <v>97.667669434773003</v>
      </c>
      <c r="AJ4094">
        <v>122.53284887273099</v>
      </c>
      <c r="AK4094">
        <v>0.80231900774456399</v>
      </c>
      <c r="AL4094">
        <v>81.515491695166702</v>
      </c>
      <c r="AM4094">
        <v>99.394339906781099</v>
      </c>
      <c r="AN4094">
        <v>1.0000000369696</v>
      </c>
    </row>
    <row r="4095" spans="1:40" x14ac:dyDescent="0.25">
      <c r="A4095" t="str">
        <f>"20190312164351132"</f>
        <v>20190312164351132</v>
      </c>
      <c r="B4095" t="str">
        <f>"1552380231128791"</f>
        <v>1552380231128791</v>
      </c>
      <c r="C4095" t="s">
        <v>40</v>
      </c>
      <c r="D4095">
        <v>4.4134859999999998</v>
      </c>
      <c r="E4095">
        <v>0.40431850000000003</v>
      </c>
      <c r="F4095" t="s">
        <v>50</v>
      </c>
      <c r="G4095">
        <v>-415.38069999999999</v>
      </c>
      <c r="H4095" s="1">
        <v>-4.0031270000000004E-6</v>
      </c>
      <c r="I4095">
        <v>34.960619999999999</v>
      </c>
      <c r="J4095">
        <v>-421.35489999999999</v>
      </c>
      <c r="K4095">
        <v>1.1127279999999999</v>
      </c>
      <c r="L4095">
        <v>44.852510000000002</v>
      </c>
      <c r="M4095">
        <v>0.11734319999999999</v>
      </c>
      <c r="N4095">
        <v>0</v>
      </c>
      <c r="O4095">
        <v>-0.99299599999999999</v>
      </c>
      <c r="P4095">
        <v>0.2780261</v>
      </c>
      <c r="Q4095">
        <v>0.1379947</v>
      </c>
      <c r="R4095">
        <v>-0.95060979999999995</v>
      </c>
      <c r="S4095">
        <v>1.608887</v>
      </c>
      <c r="T4095">
        <v>-0.29761510000000002</v>
      </c>
      <c r="U4095">
        <v>-2.7321170000000001</v>
      </c>
      <c r="V4095">
        <v>-0.1654465</v>
      </c>
      <c r="W4095">
        <v>0.15045539999999999</v>
      </c>
      <c r="X4095">
        <v>0.97467459999999995</v>
      </c>
      <c r="Y4095">
        <v>-0.40050730000000001</v>
      </c>
      <c r="Z4095">
        <v>9.5110509999999995E-2</v>
      </c>
      <c r="AA4095">
        <v>0.91134400000000004</v>
      </c>
      <c r="AB4095">
        <v>32</v>
      </c>
      <c r="AC4095">
        <v>5.97419999999999</v>
      </c>
      <c r="AD4095">
        <v>-1.112732003127</v>
      </c>
      <c r="AE4095">
        <v>-9.8918899999999894</v>
      </c>
      <c r="AF4095">
        <v>-4.7282233543271603</v>
      </c>
      <c r="AG4095">
        <v>-1.112732003127</v>
      </c>
      <c r="AH4095">
        <v>10.427949558078501</v>
      </c>
      <c r="AI4095">
        <v>95.550768507416507</v>
      </c>
      <c r="AJ4095">
        <v>114.39041016652401</v>
      </c>
      <c r="AK4095">
        <v>11.503755933825101</v>
      </c>
      <c r="AL4095">
        <v>81.346681203055994</v>
      </c>
      <c r="AM4095">
        <v>99.633865246592904</v>
      </c>
      <c r="AN4095">
        <v>0.99999997381828398</v>
      </c>
    </row>
    <row r="4096" spans="1:40" x14ac:dyDescent="0.25">
      <c r="A4096" t="str">
        <f>"20190312164351156"</f>
        <v>20190312164351156</v>
      </c>
      <c r="B4096" t="str">
        <f>"1552380231149288"</f>
        <v>1552380231149288</v>
      </c>
      <c r="C4096" t="s">
        <v>40</v>
      </c>
      <c r="D4096">
        <v>4.8802390000000004</v>
      </c>
      <c r="E4096">
        <v>0.40461239999999998</v>
      </c>
      <c r="F4096" t="s">
        <v>50</v>
      </c>
      <c r="G4096">
        <v>-415.05470000000003</v>
      </c>
      <c r="H4096" s="1">
        <v>-4.4305820000000003E-6</v>
      </c>
      <c r="I4096">
        <v>34.288820000000001</v>
      </c>
      <c r="J4096">
        <v>-421.31240000000003</v>
      </c>
      <c r="K4096">
        <v>1.1129519999999999</v>
      </c>
      <c r="L4096">
        <v>44.522550000000003</v>
      </c>
      <c r="M4096">
        <v>0.1208008</v>
      </c>
      <c r="N4096">
        <v>0</v>
      </c>
      <c r="O4096">
        <v>-0.99258109999999999</v>
      </c>
      <c r="P4096">
        <v>0.28527629999999998</v>
      </c>
      <c r="Q4096">
        <v>0.13934379999999999</v>
      </c>
      <c r="R4096">
        <v>-0.94826200000000005</v>
      </c>
      <c r="S4096">
        <v>1.6237490000000001</v>
      </c>
      <c r="T4096">
        <v>-0.28678629999999999</v>
      </c>
      <c r="U4096">
        <v>-2.7225950000000001</v>
      </c>
      <c r="V4096">
        <v>-0.16961409999999999</v>
      </c>
      <c r="W4096">
        <v>0.15168470000000001</v>
      </c>
      <c r="X4096">
        <v>0.9737673</v>
      </c>
      <c r="Y4096">
        <v>-0.4025513</v>
      </c>
      <c r="Z4096">
        <v>9.1736330000000005E-2</v>
      </c>
      <c r="AA4096">
        <v>0.91078919999999997</v>
      </c>
      <c r="AB4096">
        <v>32</v>
      </c>
      <c r="AC4096">
        <v>6.2576999999999998</v>
      </c>
      <c r="AD4096">
        <v>-1.1129564305819999</v>
      </c>
      <c r="AE4096">
        <v>-10.23373</v>
      </c>
      <c r="AF4096">
        <v>-4.9330380278229198</v>
      </c>
      <c r="AG4096">
        <v>-1.1129564305819999</v>
      </c>
      <c r="AH4096">
        <v>10.821619894737999</v>
      </c>
      <c r="AI4096">
        <v>95.346235983147494</v>
      </c>
      <c r="AJ4096">
        <v>114.50588187693999</v>
      </c>
      <c r="AK4096">
        <v>11.944914957692699</v>
      </c>
      <c r="AL4096">
        <v>81.275429737259898</v>
      </c>
      <c r="AM4096">
        <v>99.880841833590395</v>
      </c>
      <c r="AN4096">
        <v>0.99999997284109399</v>
      </c>
    </row>
    <row r="4097" spans="1:40" x14ac:dyDescent="0.25">
      <c r="A4097" t="str">
        <f>"20190312164351178"</f>
        <v>20190312164351178</v>
      </c>
      <c r="B4097" t="str">
        <f>"1552380231168806"</f>
        <v>1552380231168806</v>
      </c>
      <c r="C4097" t="s">
        <v>40</v>
      </c>
      <c r="D4097">
        <v>4.3243159999999996</v>
      </c>
      <c r="E4097">
        <v>0.40486050000000001</v>
      </c>
      <c r="F4097" t="s">
        <v>50</v>
      </c>
      <c r="G4097">
        <v>-414.87979999999999</v>
      </c>
      <c r="H4097" s="1">
        <v>-4.6659399999999999E-6</v>
      </c>
      <c r="I4097">
        <v>33.903030000000001</v>
      </c>
      <c r="J4097">
        <v>-421.26859999999999</v>
      </c>
      <c r="K4097">
        <v>1.113192</v>
      </c>
      <c r="L4097">
        <v>44.19415</v>
      </c>
      <c r="M4097">
        <v>0.12455189999999999</v>
      </c>
      <c r="N4097">
        <v>0</v>
      </c>
      <c r="O4097">
        <v>-0.99211729999999998</v>
      </c>
      <c r="P4097">
        <v>0.29271340000000001</v>
      </c>
      <c r="Q4097">
        <v>0.14020750000000001</v>
      </c>
      <c r="R4097">
        <v>-0.94586539999999997</v>
      </c>
      <c r="S4097">
        <v>1.6423650000000001</v>
      </c>
      <c r="T4097">
        <v>-0.28415879999999999</v>
      </c>
      <c r="U4097">
        <v>-2.7113649999999998</v>
      </c>
      <c r="V4097">
        <v>-0.1736955</v>
      </c>
      <c r="W4097">
        <v>0.15242039999999901</v>
      </c>
      <c r="X4097">
        <v>0.97293260000000004</v>
      </c>
      <c r="Y4097">
        <v>-0.40537640000000003</v>
      </c>
      <c r="Z4097">
        <v>9.0950779999999995E-2</v>
      </c>
      <c r="AA4097">
        <v>0.90961409999999998</v>
      </c>
      <c r="AB4097">
        <v>32</v>
      </c>
      <c r="AC4097">
        <v>6.3887999999999998</v>
      </c>
      <c r="AD4097">
        <v>-1.1131966659400001</v>
      </c>
      <c r="AE4097">
        <v>-10.291119999999999</v>
      </c>
      <c r="AF4097">
        <v>-5.0147870367502403</v>
      </c>
      <c r="AG4097">
        <v>-1.1131966659400001</v>
      </c>
      <c r="AH4097">
        <v>10.9145985808068</v>
      </c>
      <c r="AI4097">
        <v>95.294901143015196</v>
      </c>
      <c r="AJ4097">
        <v>114.676739519667</v>
      </c>
      <c r="AK4097">
        <v>12.0629912551227</v>
      </c>
      <c r="AL4097">
        <v>81.232781347450597</v>
      </c>
      <c r="AM4097">
        <v>100.122248202845</v>
      </c>
      <c r="AN4097">
        <v>0.99999997459958401</v>
      </c>
    </row>
    <row r="4098" spans="1:40" x14ac:dyDescent="0.25">
      <c r="A4098" t="str">
        <f>"20190312164351200"</f>
        <v>20190312164351200</v>
      </c>
      <c r="B4098" t="str">
        <f>"1552380231189731"</f>
        <v>1552380231189731</v>
      </c>
      <c r="C4098" t="s">
        <v>40</v>
      </c>
      <c r="D4098">
        <v>4.3819660000000002</v>
      </c>
      <c r="E4098">
        <v>0.40492339999999999</v>
      </c>
      <c r="F4098" t="s">
        <v>50</v>
      </c>
      <c r="G4098">
        <v>-414.70030000000003</v>
      </c>
      <c r="H4098" s="1">
        <v>-4.8986209999999999E-6</v>
      </c>
      <c r="I4098">
        <v>33.524470000000001</v>
      </c>
      <c r="J4098">
        <v>-421.22800000000001</v>
      </c>
      <c r="K4098">
        <v>1.113416</v>
      </c>
      <c r="L4098">
        <v>43.89902</v>
      </c>
      <c r="M4098">
        <v>0.1282018</v>
      </c>
      <c r="N4098">
        <v>0</v>
      </c>
      <c r="O4098">
        <v>-0.99165210000000004</v>
      </c>
      <c r="P4098">
        <v>0.30028850000000001</v>
      </c>
      <c r="Q4098">
        <v>0.1409376</v>
      </c>
      <c r="R4098">
        <v>-0.94337879999999996</v>
      </c>
      <c r="S4098">
        <v>1.6616519999999999</v>
      </c>
      <c r="T4098">
        <v>-0.2816167</v>
      </c>
      <c r="U4098">
        <v>-2.6992189999999998</v>
      </c>
      <c r="V4098">
        <v>-0.17802589999999999</v>
      </c>
      <c r="W4098">
        <v>0.1530232</v>
      </c>
      <c r="X4098">
        <v>0.97205490000000006</v>
      </c>
      <c r="Y4098">
        <v>-0.40858929999999999</v>
      </c>
      <c r="Z4098">
        <v>9.0200740000000001E-2</v>
      </c>
      <c r="AA4098">
        <v>0.90825029999999995</v>
      </c>
      <c r="AB4098">
        <v>32</v>
      </c>
      <c r="AC4098">
        <v>6.5276999999999799</v>
      </c>
      <c r="AD4098">
        <v>-1.1134208986209999</v>
      </c>
      <c r="AE4098">
        <v>-10.374549999999999</v>
      </c>
      <c r="AF4098">
        <v>-5.1015661627968303</v>
      </c>
      <c r="AG4098">
        <v>-1.1134208986209999</v>
      </c>
      <c r="AH4098">
        <v>11.034813962706099</v>
      </c>
      <c r="AI4098">
        <v>95.232931062695897</v>
      </c>
      <c r="AJ4098">
        <v>114.811835101357</v>
      </c>
      <c r="AK4098">
        <v>12.207899188739001</v>
      </c>
      <c r="AL4098">
        <v>81.197833929002897</v>
      </c>
      <c r="AM4098">
        <v>100.37835522680901</v>
      </c>
      <c r="AN4098">
        <v>1.0000000247115299</v>
      </c>
    </row>
    <row r="4099" spans="1:40" x14ac:dyDescent="0.25">
      <c r="A4099" t="str">
        <f>"20190312164351221"</f>
        <v>20190312164351221</v>
      </c>
      <c r="B4099" t="str">
        <f>"1552380231219011"</f>
        <v>1552380231219011</v>
      </c>
      <c r="C4099" t="s">
        <v>40</v>
      </c>
      <c r="D4099">
        <v>4.4356650000000002</v>
      </c>
      <c r="E4099">
        <v>0.40494380000000002</v>
      </c>
      <c r="F4099" t="s">
        <v>50</v>
      </c>
      <c r="G4099">
        <v>-414.55849999999998</v>
      </c>
      <c r="H4099" s="1">
        <v>-5.0679280000000001E-6</v>
      </c>
      <c r="I4099">
        <v>33.253900000000002</v>
      </c>
      <c r="J4099">
        <v>-421.18389999999999</v>
      </c>
      <c r="K4099">
        <v>1.1136459999999999</v>
      </c>
      <c r="L4099">
        <v>43.590580000000003</v>
      </c>
      <c r="M4099">
        <v>0.1322863</v>
      </c>
      <c r="N4099">
        <v>0</v>
      </c>
      <c r="O4099">
        <v>-0.99111530000000003</v>
      </c>
      <c r="P4099">
        <v>0.30881789999999998</v>
      </c>
      <c r="Q4099">
        <v>0.14216980000000001</v>
      </c>
      <c r="R4099">
        <v>-0.9404361</v>
      </c>
      <c r="S4099">
        <v>1.68304399999999</v>
      </c>
      <c r="T4099">
        <v>-0.28097329999999998</v>
      </c>
      <c r="U4099">
        <v>-2.6863100000000002</v>
      </c>
      <c r="V4099">
        <v>-0.182949</v>
      </c>
      <c r="W4099">
        <v>0.154114</v>
      </c>
      <c r="X4099">
        <v>0.97096780000000005</v>
      </c>
      <c r="Y4099">
        <v>-0.41199629999999998</v>
      </c>
      <c r="Z4099">
        <v>9.0040170000000003E-2</v>
      </c>
      <c r="AA4099">
        <v>0.90672589999999997</v>
      </c>
      <c r="AB4099">
        <v>32</v>
      </c>
      <c r="AC4099">
        <v>6.6254000000000097</v>
      </c>
      <c r="AD4099">
        <v>-1.1136510679279901</v>
      </c>
      <c r="AE4099">
        <v>-10.3366799999999</v>
      </c>
      <c r="AF4099">
        <v>-5.1571999818980201</v>
      </c>
      <c r="AG4099">
        <v>-1.1136510679279901</v>
      </c>
      <c r="AH4099">
        <v>11.0315913807481</v>
      </c>
      <c r="AI4099">
        <v>95.225231137961202</v>
      </c>
      <c r="AJ4099">
        <v>115.055794786186</v>
      </c>
      <c r="AK4099">
        <v>12.2283661519511</v>
      </c>
      <c r="AL4099">
        <v>81.134584903980695</v>
      </c>
      <c r="AM4099">
        <v>100.67052576950699</v>
      </c>
      <c r="AN4099">
        <v>0.99999996511691902</v>
      </c>
    </row>
    <row r="4100" spans="1:40" x14ac:dyDescent="0.25">
      <c r="A4100" t="str">
        <f>"20190312164351244"</f>
        <v>20190312164351244</v>
      </c>
      <c r="B4100" t="str">
        <f>"1552380231239506"</f>
        <v>1552380231239506</v>
      </c>
      <c r="C4100" t="s">
        <v>40</v>
      </c>
      <c r="D4100">
        <v>4.4173220000000004</v>
      </c>
      <c r="E4100">
        <v>0.40503980000000001</v>
      </c>
      <c r="F4100" t="s">
        <v>41</v>
      </c>
      <c r="G4100">
        <v>-420.5917</v>
      </c>
      <c r="H4100">
        <v>1.0150440000000001</v>
      </c>
      <c r="I4100">
        <v>42.663110000000003</v>
      </c>
      <c r="J4100">
        <v>-421.13729999999998</v>
      </c>
      <c r="K4100">
        <v>1.113864</v>
      </c>
      <c r="L4100">
        <v>43.275269999999999</v>
      </c>
      <c r="M4100">
        <v>0.1367273</v>
      </c>
      <c r="N4100">
        <v>0</v>
      </c>
      <c r="O4100">
        <v>-0.99051219999999995</v>
      </c>
      <c r="P4100">
        <v>0.31763930000000001</v>
      </c>
      <c r="Q4100">
        <v>0.14308670000000001</v>
      </c>
      <c r="R4100">
        <v>-0.9373534</v>
      </c>
      <c r="S4100">
        <v>1.7074579999999999</v>
      </c>
      <c r="T4100">
        <v>-0.28411229999999998</v>
      </c>
      <c r="U4100">
        <v>-2.672272</v>
      </c>
      <c r="V4100">
        <v>-0.187833</v>
      </c>
      <c r="W4100">
        <v>0.1548918</v>
      </c>
      <c r="X4100">
        <v>0.96991099999999997</v>
      </c>
      <c r="Y4100">
        <v>-0.41590909999999898</v>
      </c>
      <c r="Z4100">
        <v>9.1064039999999999E-2</v>
      </c>
      <c r="AA4100">
        <v>0.90483530000000001</v>
      </c>
      <c r="AB4100">
        <v>32</v>
      </c>
      <c r="AC4100">
        <v>0.54559999999997899</v>
      </c>
      <c r="AD4100">
        <v>-9.8819999999999894E-2</v>
      </c>
      <c r="AE4100">
        <v>-0.61216000000000204</v>
      </c>
      <c r="AF4100">
        <v>-0.45022956546481901</v>
      </c>
      <c r="AG4100">
        <v>-9.8819999999999894E-2</v>
      </c>
      <c r="AH4100">
        <v>0.67126682431148998</v>
      </c>
      <c r="AI4100">
        <v>96.970424303766507</v>
      </c>
      <c r="AJ4100">
        <v>123.850399364227</v>
      </c>
      <c r="AK4100">
        <v>0.81429184168814595</v>
      </c>
      <c r="AL4100">
        <v>81.089479176461097</v>
      </c>
      <c r="AM4100">
        <v>100.960228587407</v>
      </c>
      <c r="AN4100">
        <v>1.00000002675861</v>
      </c>
    </row>
    <row r="4101" spans="1:40" x14ac:dyDescent="0.25">
      <c r="A4101" t="str">
        <f>"20190312164351266"</f>
        <v>20190312164351266</v>
      </c>
      <c r="B4101" t="str">
        <f>"1552380231259030"</f>
        <v>1552380231259030</v>
      </c>
      <c r="C4101" t="s">
        <v>40</v>
      </c>
      <c r="D4101">
        <v>4.4440439999999999</v>
      </c>
      <c r="E4101">
        <v>0.4053156</v>
      </c>
      <c r="F4101" t="s">
        <v>41</v>
      </c>
      <c r="G4101">
        <v>-420.55470000000003</v>
      </c>
      <c r="H4101">
        <v>1.0175940000000001</v>
      </c>
      <c r="I4101">
        <v>42.381979999999999</v>
      </c>
      <c r="J4101">
        <v>-421.08859999999999</v>
      </c>
      <c r="K4101">
        <v>1.1140410000000001</v>
      </c>
      <c r="L4101">
        <v>42.957549999999998</v>
      </c>
      <c r="M4101">
        <v>0.14139979999999999</v>
      </c>
      <c r="N4101">
        <v>0</v>
      </c>
      <c r="O4101">
        <v>-0.98985590000000001</v>
      </c>
      <c r="P4101">
        <v>0.32696950000000002</v>
      </c>
      <c r="Q4101">
        <v>0.14391760000000001</v>
      </c>
      <c r="R4101">
        <v>-0.93401239999999996</v>
      </c>
      <c r="S4101">
        <v>1.7323299999999999</v>
      </c>
      <c r="T4101">
        <v>-0.2863599</v>
      </c>
      <c r="U4101">
        <v>-2.6571660000000001</v>
      </c>
      <c r="V4101">
        <v>-0.19302759999999999</v>
      </c>
      <c r="W4101">
        <v>0.15558939999999999</v>
      </c>
      <c r="X4101">
        <v>0.96877869999999999</v>
      </c>
      <c r="Y4101">
        <v>-0.41987960000000002</v>
      </c>
      <c r="Z4101">
        <v>9.1818200000000003E-2</v>
      </c>
      <c r="AA4101">
        <v>0.90292329999999998</v>
      </c>
      <c r="AB4101">
        <v>32</v>
      </c>
      <c r="AC4101">
        <v>0.53389999999995996</v>
      </c>
      <c r="AD4101">
        <v>-9.6446999999999894E-2</v>
      </c>
      <c r="AE4101">
        <v>-0.57556999999999903</v>
      </c>
      <c r="AF4101">
        <v>-0.44049318595206399</v>
      </c>
      <c r="AG4101">
        <v>-9.6446999999999894E-2</v>
      </c>
      <c r="AH4101">
        <v>0.635692218908402</v>
      </c>
      <c r="AI4101">
        <v>97.1084359468814</v>
      </c>
      <c r="AJ4101">
        <v>124.719430961458</v>
      </c>
      <c r="AK4101">
        <v>0.77938492919730495</v>
      </c>
      <c r="AL4101">
        <v>81.049018372321498</v>
      </c>
      <c r="AM4101">
        <v>101.268518939044</v>
      </c>
      <c r="AN4101">
        <v>0.99999994266390302</v>
      </c>
    </row>
    <row r="4102" spans="1:40" x14ac:dyDescent="0.25">
      <c r="A4102" t="str">
        <f>"20190312164351288"</f>
        <v>20190312164351288</v>
      </c>
      <c r="B4102" t="str">
        <f>"1552380231279523"</f>
        <v>1552380231279523</v>
      </c>
      <c r="C4102" t="s">
        <v>40</v>
      </c>
      <c r="D4102">
        <v>4.4590420000000002</v>
      </c>
      <c r="E4102">
        <v>0.4054567</v>
      </c>
      <c r="F4102" t="s">
        <v>41</v>
      </c>
      <c r="G4102">
        <v>-420.51859999999999</v>
      </c>
      <c r="H4102">
        <v>1.020418</v>
      </c>
      <c r="I4102">
        <v>42.100589999999997</v>
      </c>
      <c r="J4102">
        <v>-421.04090000000002</v>
      </c>
      <c r="K4102">
        <v>1.114177</v>
      </c>
      <c r="L4102">
        <v>42.656799999999997</v>
      </c>
      <c r="M4102">
        <v>0.1459753</v>
      </c>
      <c r="N4102">
        <v>0</v>
      </c>
      <c r="O4102">
        <v>-0.98919140000000005</v>
      </c>
      <c r="P4102">
        <v>0.33627790000000002</v>
      </c>
      <c r="Q4102">
        <v>0.1439357</v>
      </c>
      <c r="R4102">
        <v>-0.93069869999999999</v>
      </c>
      <c r="S4102">
        <v>1.75738499999999</v>
      </c>
      <c r="T4102">
        <v>-0.2885684</v>
      </c>
      <c r="U4102">
        <v>-2.641235</v>
      </c>
      <c r="V4102">
        <v>-0.19828219999999999</v>
      </c>
      <c r="W4102">
        <v>0.15548629999999999</v>
      </c>
      <c r="X4102">
        <v>0.96773350000000002</v>
      </c>
      <c r="Y4102">
        <v>-0.42409449999999999</v>
      </c>
      <c r="Z4102">
        <v>9.2570799999999995E-2</v>
      </c>
      <c r="AA4102">
        <v>0.90087430000000002</v>
      </c>
      <c r="AB4102">
        <v>32</v>
      </c>
      <c r="AC4102">
        <v>0.52230000000002896</v>
      </c>
      <c r="AD4102">
        <v>-9.3758999999999898E-2</v>
      </c>
      <c r="AE4102">
        <v>-0.55620999999999199</v>
      </c>
      <c r="AF4102">
        <v>-0.42902516426024401</v>
      </c>
      <c r="AG4102">
        <v>-9.3758999999999898E-2</v>
      </c>
      <c r="AH4102">
        <v>0.61718159061953703</v>
      </c>
      <c r="AI4102">
        <v>97.110224028660497</v>
      </c>
      <c r="AJ4102">
        <v>124.804555835491</v>
      </c>
      <c r="AK4102">
        <v>0.757473733834509</v>
      </c>
      <c r="AL4102">
        <v>81.054998623851205</v>
      </c>
      <c r="AM4102">
        <v>101.579264293447</v>
      </c>
      <c r="AN4102">
        <v>0.999999973673389</v>
      </c>
    </row>
    <row r="4103" spans="1:40" x14ac:dyDescent="0.25">
      <c r="A4103" t="str">
        <f>"20190312164351311"</f>
        <v>20190312164351311</v>
      </c>
      <c r="B4103" t="str">
        <f>"1552380231299549"</f>
        <v>1552380231299549</v>
      </c>
      <c r="C4103" t="s">
        <v>40</v>
      </c>
      <c r="D4103">
        <v>4.4809559999999999</v>
      </c>
      <c r="E4103">
        <v>0.40576079999999998</v>
      </c>
      <c r="F4103" t="s">
        <v>41</v>
      </c>
      <c r="G4103">
        <v>-420.4744</v>
      </c>
      <c r="H4103">
        <v>1.020562</v>
      </c>
      <c r="I4103">
        <v>41.822180000000003</v>
      </c>
      <c r="J4103">
        <v>-420.98989999999998</v>
      </c>
      <c r="K4103">
        <v>1.1143019999999999</v>
      </c>
      <c r="L4103">
        <v>42.345120000000001</v>
      </c>
      <c r="M4103">
        <v>0.15085129999999999</v>
      </c>
      <c r="N4103">
        <v>0</v>
      </c>
      <c r="O4103">
        <v>-0.98845950000000005</v>
      </c>
      <c r="P4103">
        <v>0.3462267</v>
      </c>
      <c r="Q4103">
        <v>0.14395450000000001</v>
      </c>
      <c r="R4103">
        <v>-0.9270408</v>
      </c>
      <c r="S4103">
        <v>1.7815859999999999</v>
      </c>
      <c r="T4103">
        <v>-0.29444930000000002</v>
      </c>
      <c r="U4103">
        <v>-2.6252140000000002</v>
      </c>
      <c r="V4103">
        <v>-0.20393030000000001</v>
      </c>
      <c r="W4103">
        <v>0.15538360000000001</v>
      </c>
      <c r="X4103">
        <v>0.96657559999999998</v>
      </c>
      <c r="Y4103">
        <v>-0.42776989999999998</v>
      </c>
      <c r="Z4103">
        <v>9.4499120000000006E-2</v>
      </c>
      <c r="AA4103">
        <v>0.89893429999999996</v>
      </c>
      <c r="AB4103">
        <v>32</v>
      </c>
      <c r="AC4103">
        <v>0.51549999999997398</v>
      </c>
      <c r="AD4103">
        <v>-9.3740000000000101E-2</v>
      </c>
      <c r="AE4103">
        <v>-0.52294000000000496</v>
      </c>
      <c r="AF4103">
        <v>-0.423799523054251</v>
      </c>
      <c r="AG4103">
        <v>-9.3740000000000101E-2</v>
      </c>
      <c r="AH4103">
        <v>0.58518931648635597</v>
      </c>
      <c r="AI4103">
        <v>97.392160234088294</v>
      </c>
      <c r="AJ4103">
        <v>125.912404063756</v>
      </c>
      <c r="AK4103">
        <v>0.72858750982347997</v>
      </c>
      <c r="AL4103">
        <v>81.060955628745404</v>
      </c>
      <c r="AM4103">
        <v>101.913670462566</v>
      </c>
      <c r="AN4103">
        <v>1.0000000104611999</v>
      </c>
    </row>
    <row r="4104" spans="1:40" x14ac:dyDescent="0.25">
      <c r="A4104" t="str">
        <f>"20190312164351334"</f>
        <v>20190312164351334</v>
      </c>
      <c r="B4104" t="str">
        <f>"1552380231328829"</f>
        <v>1552380231328829</v>
      </c>
      <c r="C4104" t="s">
        <v>40</v>
      </c>
      <c r="D4104">
        <v>4.4543549999999996</v>
      </c>
      <c r="E4104">
        <v>0.40606409999999998</v>
      </c>
      <c r="F4104" t="s">
        <v>41</v>
      </c>
      <c r="G4104">
        <v>-420.43349999999998</v>
      </c>
      <c r="H4104">
        <v>1.02328</v>
      </c>
      <c r="I4104">
        <v>41.541460000000001</v>
      </c>
      <c r="J4104">
        <v>-420.93459999999999</v>
      </c>
      <c r="K4104">
        <v>1.114412</v>
      </c>
      <c r="L4104">
        <v>42.018430000000002</v>
      </c>
      <c r="M4104">
        <v>0.15608089999999999</v>
      </c>
      <c r="N4104">
        <v>0</v>
      </c>
      <c r="O4104">
        <v>-0.98764689999999999</v>
      </c>
      <c r="P4104">
        <v>0.35686859999999998</v>
      </c>
      <c r="Q4104">
        <v>0.14251929999999999</v>
      </c>
      <c r="R4104">
        <v>-0.92321880000000001</v>
      </c>
      <c r="S4104">
        <v>1.8060909999999999</v>
      </c>
      <c r="T4104">
        <v>-0.29532190000000003</v>
      </c>
      <c r="U4104">
        <v>-2.6074220000000001</v>
      </c>
      <c r="V4104">
        <v>-0.2099367</v>
      </c>
      <c r="W4104">
        <v>0.15382509999999999</v>
      </c>
      <c r="X4104">
        <v>0.96553840000000002</v>
      </c>
      <c r="Y4104">
        <v>-0.43154629999999999</v>
      </c>
      <c r="Z4104">
        <v>9.4867240000000005E-2</v>
      </c>
      <c r="AA4104">
        <v>0.89708860000000001</v>
      </c>
      <c r="AB4104">
        <v>32</v>
      </c>
      <c r="AC4104">
        <v>0.50110000000000798</v>
      </c>
      <c r="AD4104">
        <v>-9.1132000000000199E-2</v>
      </c>
      <c r="AE4104">
        <v>-0.476970000000001</v>
      </c>
      <c r="AF4104">
        <v>-0.41333196383953202</v>
      </c>
      <c r="AG4104">
        <v>-9.1132000000000199E-2</v>
      </c>
      <c r="AH4104">
        <v>0.539972916350832</v>
      </c>
      <c r="AI4104">
        <v>97.633048636414898</v>
      </c>
      <c r="AJ4104">
        <v>127.43289837687399</v>
      </c>
      <c r="AK4104">
        <v>0.68608972018815895</v>
      </c>
      <c r="AL4104">
        <v>81.151337646764105</v>
      </c>
      <c r="AM4104">
        <v>102.26687294936001</v>
      </c>
      <c r="AN4104">
        <v>0.99999999063572997</v>
      </c>
    </row>
    <row r="4105" spans="1:40" x14ac:dyDescent="0.25">
      <c r="A4105" t="str">
        <f>"20190312164351357"</f>
        <v>20190312164351357</v>
      </c>
      <c r="B4105" t="str">
        <f>"1552380231349325"</f>
        <v>1552380231349325</v>
      </c>
      <c r="C4105" t="s">
        <v>40</v>
      </c>
      <c r="D4105">
        <v>4.4226470000000004</v>
      </c>
      <c r="E4105">
        <v>0.40642790000000001</v>
      </c>
      <c r="F4105" t="s">
        <v>41</v>
      </c>
      <c r="G4105">
        <v>-420.36770000000001</v>
      </c>
      <c r="H4105">
        <v>1.0198860000000001</v>
      </c>
      <c r="I4105">
        <v>41.217509999999997</v>
      </c>
      <c r="J4105">
        <v>-420.87990000000002</v>
      </c>
      <c r="K4105">
        <v>1.114511</v>
      </c>
      <c r="L4105">
        <v>41.705350000000003</v>
      </c>
      <c r="M4105">
        <v>0.16119339999999999</v>
      </c>
      <c r="N4105">
        <v>0</v>
      </c>
      <c r="O4105">
        <v>-0.98682530000000002</v>
      </c>
      <c r="P4105">
        <v>0.36806689999999997</v>
      </c>
      <c r="Q4105">
        <v>0.14214679999999999</v>
      </c>
      <c r="R4105">
        <v>-0.9188693</v>
      </c>
      <c r="S4105">
        <v>1.8322449999999999</v>
      </c>
      <c r="T4105">
        <v>-0.30548409999999998</v>
      </c>
      <c r="U4105">
        <v>-2.5883790000000002</v>
      </c>
      <c r="V4105">
        <v>-0.21671029999999999</v>
      </c>
      <c r="W4105">
        <v>0.15331910000000001</v>
      </c>
      <c r="X4105">
        <v>0.96412129999999996</v>
      </c>
      <c r="Y4105">
        <v>-0.43583830000000001</v>
      </c>
      <c r="Z4105">
        <v>9.8193569999999994E-2</v>
      </c>
      <c r="AA4105">
        <v>0.89465239999999902</v>
      </c>
      <c r="AB4105">
        <v>32</v>
      </c>
      <c r="AC4105">
        <v>0.51220000000000698</v>
      </c>
      <c r="AD4105">
        <v>-9.4624999999999904E-2</v>
      </c>
      <c r="AE4105">
        <v>-0.48784000000000499</v>
      </c>
      <c r="AF4105">
        <v>-0.419351813670226</v>
      </c>
      <c r="AG4105">
        <v>-9.4624999999999904E-2</v>
      </c>
      <c r="AH4105">
        <v>0.55411413169782997</v>
      </c>
      <c r="AI4105">
        <v>97.7542131468185</v>
      </c>
      <c r="AJ4105">
        <v>127.11832029411001</v>
      </c>
      <c r="AK4105">
        <v>0.70132182712414404</v>
      </c>
      <c r="AL4105">
        <v>81.180677357475702</v>
      </c>
      <c r="AM4105">
        <v>102.668108848694</v>
      </c>
      <c r="AN4105">
        <v>0.99999999083229496</v>
      </c>
    </row>
    <row r="4106" spans="1:40" x14ac:dyDescent="0.25">
      <c r="A4106" t="str">
        <f>"20190312164351380"</f>
        <v>20190312164351380</v>
      </c>
      <c r="B4106" t="str">
        <f>"1552380231368847"</f>
        <v>1552380231368847</v>
      </c>
      <c r="C4106" t="s">
        <v>40</v>
      </c>
      <c r="D4106">
        <v>4.3543729999999998</v>
      </c>
      <c r="E4106">
        <v>0.40656520000000002</v>
      </c>
      <c r="F4106" t="s">
        <v>41</v>
      </c>
      <c r="G4106">
        <v>-420.30110000000002</v>
      </c>
      <c r="H4106">
        <v>1.017927</v>
      </c>
      <c r="I4106">
        <v>40.905749999999998</v>
      </c>
      <c r="J4106">
        <v>-420.82260000000002</v>
      </c>
      <c r="K4106">
        <v>1.1146130000000001</v>
      </c>
      <c r="L4106">
        <v>41.387790000000003</v>
      </c>
      <c r="M4106">
        <v>0.166486299999999</v>
      </c>
      <c r="N4106">
        <v>0</v>
      </c>
      <c r="O4106">
        <v>-0.98594619999999999</v>
      </c>
      <c r="P4106">
        <v>0.37895060000000003</v>
      </c>
      <c r="Q4106">
        <v>0.1416915</v>
      </c>
      <c r="R4106">
        <v>-0.91450569999999998</v>
      </c>
      <c r="S4106">
        <v>1.8589169999999999</v>
      </c>
      <c r="T4106">
        <v>-0.31021539999999997</v>
      </c>
      <c r="U4106">
        <v>-2.5682680000000002</v>
      </c>
      <c r="V4106">
        <v>-0.22301389999999999</v>
      </c>
      <c r="W4106">
        <v>0.15273149999999999</v>
      </c>
      <c r="X4106">
        <v>0.96277610000000002</v>
      </c>
      <c r="Y4106">
        <v>-0.44033830000000002</v>
      </c>
      <c r="Z4106">
        <v>9.9802779999999994E-2</v>
      </c>
      <c r="AA4106">
        <v>0.89226759999999905</v>
      </c>
      <c r="AB4106">
        <v>32</v>
      </c>
      <c r="AC4106">
        <v>0.52150000000000296</v>
      </c>
      <c r="AD4106">
        <v>-9.66859999999998E-2</v>
      </c>
      <c r="AE4106">
        <v>-0.48204000000000402</v>
      </c>
      <c r="AF4106">
        <v>-0.42606213391487102</v>
      </c>
      <c r="AG4106">
        <v>-9.66859999999998E-2</v>
      </c>
      <c r="AH4106">
        <v>0.55191193393084803</v>
      </c>
      <c r="AI4106">
        <v>97.894899721638694</v>
      </c>
      <c r="AJ4106">
        <v>127.66723778298601</v>
      </c>
      <c r="AK4106">
        <v>0.70390617795795896</v>
      </c>
      <c r="AL4106">
        <v>81.214745373618797</v>
      </c>
      <c r="AM4106">
        <v>103.041775714886</v>
      </c>
      <c r="AN4106">
        <v>0.99999996470833397</v>
      </c>
    </row>
    <row r="4107" spans="1:40" x14ac:dyDescent="0.25">
      <c r="A4107" t="str">
        <f>"20190312164351403"</f>
        <v>20190312164351403</v>
      </c>
      <c r="B4107" t="str">
        <f>"1552380231399101"</f>
        <v>1552380231399101</v>
      </c>
      <c r="C4107" t="s">
        <v>40</v>
      </c>
      <c r="D4107">
        <v>4.8022400000000003</v>
      </c>
      <c r="E4107">
        <v>0.40694649999999999</v>
      </c>
      <c r="F4107" t="s">
        <v>50</v>
      </c>
      <c r="G4107">
        <v>-413.89699999999999</v>
      </c>
      <c r="H4107" s="1">
        <v>-5.7551899999999997E-6</v>
      </c>
      <c r="I4107">
        <v>32.035809999999998</v>
      </c>
      <c r="J4107">
        <v>-420.76220000000001</v>
      </c>
      <c r="K4107">
        <v>1.1147260000000001</v>
      </c>
      <c r="L4107">
        <v>41.064819999999997</v>
      </c>
      <c r="M4107">
        <v>0.1720119</v>
      </c>
      <c r="N4107">
        <v>0</v>
      </c>
      <c r="O4107">
        <v>-0.98499709999999996</v>
      </c>
      <c r="P4107">
        <v>0.38983709999999999</v>
      </c>
      <c r="Q4107">
        <v>0.14087060000000001</v>
      </c>
      <c r="R4107">
        <v>-0.91004560000000001</v>
      </c>
      <c r="S4107">
        <v>1.885559</v>
      </c>
      <c r="T4107">
        <v>-0.30346669999999998</v>
      </c>
      <c r="U4107">
        <v>-2.546173</v>
      </c>
      <c r="V4107">
        <v>-0.2291261</v>
      </c>
      <c r="W4107">
        <v>0.1517724</v>
      </c>
      <c r="X4107">
        <v>0.96149180000000001</v>
      </c>
      <c r="Y4107">
        <v>-0.44515090000000002</v>
      </c>
      <c r="Z4107">
        <v>9.77938E-2</v>
      </c>
      <c r="AA4107">
        <v>0.89009950000000004</v>
      </c>
      <c r="AB4107">
        <v>32</v>
      </c>
      <c r="AC4107">
        <v>6.8652000000000104</v>
      </c>
      <c r="AD4107">
        <v>-1.11473175519</v>
      </c>
      <c r="AE4107">
        <v>-9.0290099999999995</v>
      </c>
      <c r="AF4107">
        <v>-5.1597701508373603</v>
      </c>
      <c r="AG4107">
        <v>-1.11473175519</v>
      </c>
      <c r="AH4107">
        <v>9.9790309677717293</v>
      </c>
      <c r="AI4107">
        <v>95.666783488475801</v>
      </c>
      <c r="AJ4107">
        <v>117.34173256532</v>
      </c>
      <c r="AK4107">
        <v>11.289238856151799</v>
      </c>
      <c r="AL4107">
        <v>81.270346773347001</v>
      </c>
      <c r="AM4107">
        <v>103.403746674215</v>
      </c>
      <c r="AN4107">
        <v>1.0000000562850999</v>
      </c>
    </row>
    <row r="4108" spans="1:40" x14ac:dyDescent="0.25">
      <c r="A4108" t="str">
        <f>"20190312164351423"</f>
        <v>20190312164351423</v>
      </c>
      <c r="B4108" t="str">
        <f>"1552380231418622"</f>
        <v>1552380231418622</v>
      </c>
      <c r="C4108" t="s">
        <v>40</v>
      </c>
      <c r="D4108">
        <v>4.5256769999999999</v>
      </c>
      <c r="E4108">
        <v>0.40719519999999998</v>
      </c>
      <c r="F4108" t="s">
        <v>41</v>
      </c>
      <c r="G4108">
        <v>-420.10320000000002</v>
      </c>
      <c r="H4108">
        <v>1.0117959999999999</v>
      </c>
      <c r="I4108">
        <v>40.194769999999998</v>
      </c>
      <c r="J4108">
        <v>-420.70800000000003</v>
      </c>
      <c r="K4108">
        <v>1.114841</v>
      </c>
      <c r="L4108">
        <v>40.783540000000002</v>
      </c>
      <c r="M4108">
        <v>0.17696289999999901</v>
      </c>
      <c r="N4108">
        <v>0</v>
      </c>
      <c r="O4108">
        <v>-0.98411930000000003</v>
      </c>
      <c r="P4108">
        <v>0.40115509999999999</v>
      </c>
      <c r="Q4108">
        <v>0.13888120000000001</v>
      </c>
      <c r="R4108">
        <v>-0.90542060000000002</v>
      </c>
      <c r="S4108">
        <v>1.9117740000000001</v>
      </c>
      <c r="T4108">
        <v>-0.29857339999999999</v>
      </c>
      <c r="U4108">
        <v>-2.5238040000000002</v>
      </c>
      <c r="V4108">
        <v>-0.2362561</v>
      </c>
      <c r="W4108">
        <v>0.1496295</v>
      </c>
      <c r="X4108">
        <v>0.96010110000000004</v>
      </c>
      <c r="Y4108">
        <v>-0.45039620000000002</v>
      </c>
      <c r="Z4108">
        <v>9.6375470000000005E-2</v>
      </c>
      <c r="AA4108">
        <v>0.88761199999999996</v>
      </c>
      <c r="AB4108">
        <v>32</v>
      </c>
      <c r="AC4108">
        <v>0.604800000000011</v>
      </c>
      <c r="AD4108">
        <v>-0.103045</v>
      </c>
      <c r="AE4108">
        <v>-0.58877000000000301</v>
      </c>
      <c r="AF4108">
        <v>-0.48384109521154001</v>
      </c>
      <c r="AG4108">
        <v>-0.103045</v>
      </c>
      <c r="AH4108">
        <v>0.676431750444632</v>
      </c>
      <c r="AI4108">
        <v>97.063091038424503</v>
      </c>
      <c r="AJ4108">
        <v>125.575550054283</v>
      </c>
      <c r="AK4108">
        <v>0.83802171239777101</v>
      </c>
      <c r="AL4108">
        <v>81.394544076199594</v>
      </c>
      <c r="AM4108">
        <v>103.82434764272899</v>
      </c>
      <c r="AN4108">
        <v>1.0000000271393299</v>
      </c>
    </row>
    <row r="4109" spans="1:40" x14ac:dyDescent="0.25">
      <c r="A4109" t="str">
        <f>"20190312164351445"</f>
        <v>20190312164351445</v>
      </c>
      <c r="B4109" t="str">
        <f>"1552380231439117"</f>
        <v>1552380231439117</v>
      </c>
      <c r="C4109" t="s">
        <v>40</v>
      </c>
      <c r="D4109">
        <v>4.525334</v>
      </c>
      <c r="E4109">
        <v>0.40745999999999999</v>
      </c>
      <c r="F4109" t="s">
        <v>41</v>
      </c>
      <c r="G4109">
        <v>-420.04140000000001</v>
      </c>
      <c r="H4109">
        <v>1.0087520000000001</v>
      </c>
      <c r="I4109">
        <v>39.924019999999999</v>
      </c>
      <c r="J4109">
        <v>-420.6465</v>
      </c>
      <c r="K4109">
        <v>1.11497</v>
      </c>
      <c r="L4109">
        <v>40.474179999999997</v>
      </c>
      <c r="M4109">
        <v>0.18254970000000001</v>
      </c>
      <c r="N4109">
        <v>0</v>
      </c>
      <c r="O4109">
        <v>-0.98309840000000004</v>
      </c>
      <c r="P4109">
        <v>0.41293449999999998</v>
      </c>
      <c r="Q4109">
        <v>0.13617029999999999</v>
      </c>
      <c r="R4109">
        <v>-0.90052379999999999</v>
      </c>
      <c r="S4109">
        <v>1.940186</v>
      </c>
      <c r="T4109">
        <v>-0.30870690000000001</v>
      </c>
      <c r="U4109">
        <v>-2.501099</v>
      </c>
      <c r="V4109">
        <v>-0.24327779999999999</v>
      </c>
      <c r="W4109">
        <v>0.1467581</v>
      </c>
      <c r="X4109">
        <v>0.95878980000000003</v>
      </c>
      <c r="Y4109">
        <v>-0.45531769999999999</v>
      </c>
      <c r="Z4109">
        <v>9.9723149999999997E-2</v>
      </c>
      <c r="AA4109">
        <v>0.88472659999999903</v>
      </c>
      <c r="AB4109">
        <v>32</v>
      </c>
      <c r="AC4109">
        <v>0.60509999999999298</v>
      </c>
      <c r="AD4109">
        <v>-0.10621799999999899</v>
      </c>
      <c r="AE4109">
        <v>-0.55015999999999798</v>
      </c>
      <c r="AF4109">
        <v>-0.48628596612745201</v>
      </c>
      <c r="AG4109">
        <v>-0.10621799999999899</v>
      </c>
      <c r="AH4109">
        <v>0.64057930651990902</v>
      </c>
      <c r="AI4109">
        <v>97.523573994316806</v>
      </c>
      <c r="AJ4109">
        <v>127.20339386891099</v>
      </c>
      <c r="AK4109">
        <v>0.81123248968346795</v>
      </c>
      <c r="AL4109">
        <v>81.560899461381197</v>
      </c>
      <c r="AM4109">
        <v>104.23743632786299</v>
      </c>
      <c r="AN4109">
        <v>0.99999995423624399</v>
      </c>
    </row>
    <row r="4110" spans="1:40" x14ac:dyDescent="0.25">
      <c r="A4110" t="str">
        <f>"20190312164351467"</f>
        <v>20190312164351467</v>
      </c>
      <c r="B4110" t="str">
        <f>"1552380231458641"</f>
        <v>1552380231458641</v>
      </c>
      <c r="C4110" t="s">
        <v>40</v>
      </c>
      <c r="D4110">
        <v>4.5346080000000004</v>
      </c>
      <c r="E4110">
        <v>0.4077634</v>
      </c>
      <c r="F4110" t="s">
        <v>41</v>
      </c>
      <c r="G4110">
        <v>-419.99079999999998</v>
      </c>
      <c r="H4110">
        <v>1.00764599999999</v>
      </c>
      <c r="I4110">
        <v>39.648600000000002</v>
      </c>
      <c r="J4110">
        <v>-420.58499999999998</v>
      </c>
      <c r="K4110">
        <v>1.115097</v>
      </c>
      <c r="L4110">
        <v>40.174680000000002</v>
      </c>
      <c r="M4110">
        <v>0.1881313</v>
      </c>
      <c r="N4110">
        <v>0</v>
      </c>
      <c r="O4110">
        <v>-0.98204519999999995</v>
      </c>
      <c r="P4110">
        <v>0.42481289999999999</v>
      </c>
      <c r="Q4110">
        <v>0.1328241</v>
      </c>
      <c r="R4110">
        <v>-0.89548410000000001</v>
      </c>
      <c r="S4110">
        <v>1.968048</v>
      </c>
      <c r="T4110">
        <v>-0.32209349999999998</v>
      </c>
      <c r="U4110">
        <v>-2.4776609999999999</v>
      </c>
      <c r="V4110">
        <v>-0.2504382</v>
      </c>
      <c r="W4110">
        <v>0.1432418</v>
      </c>
      <c r="X4110">
        <v>0.95747720000000003</v>
      </c>
      <c r="Y4110">
        <v>-0.46015159999999999</v>
      </c>
      <c r="Z4110">
        <v>0.1041319</v>
      </c>
      <c r="AA4110">
        <v>0.88171259999999996</v>
      </c>
      <c r="AB4110">
        <v>32</v>
      </c>
      <c r="AC4110">
        <v>0.59419999999999995</v>
      </c>
      <c r="AD4110">
        <v>-0.107451</v>
      </c>
      <c r="AE4110">
        <v>-0.52607999999999999</v>
      </c>
      <c r="AF4110">
        <v>-0.47588253416479798</v>
      </c>
      <c r="AG4110">
        <v>-0.107451</v>
      </c>
      <c r="AH4110">
        <v>0.61716931264776997</v>
      </c>
      <c r="AI4110">
        <v>97.8501818758713</v>
      </c>
      <c r="AJ4110">
        <v>127.634842932232</v>
      </c>
      <c r="AK4110">
        <v>0.786706974799532</v>
      </c>
      <c r="AL4110">
        <v>81.764521439300694</v>
      </c>
      <c r="AM4110">
        <v>104.65793212794701</v>
      </c>
      <c r="AN4110">
        <v>1.00000004690315</v>
      </c>
    </row>
    <row r="4111" spans="1:40" x14ac:dyDescent="0.25">
      <c r="A4111" t="str">
        <f>"20190312164351489"</f>
        <v>20190312164351489</v>
      </c>
      <c r="B4111" t="str">
        <f>"1552380231479133"</f>
        <v>1552380231479133</v>
      </c>
      <c r="C4111" t="s">
        <v>40</v>
      </c>
      <c r="D4111">
        <v>4.5513969999999997</v>
      </c>
      <c r="E4111">
        <v>0.40809129999999999</v>
      </c>
      <c r="F4111" t="s">
        <v>41</v>
      </c>
      <c r="G4111">
        <v>-419.93490000000003</v>
      </c>
      <c r="H4111">
        <v>1.0055229999999999</v>
      </c>
      <c r="I4111">
        <v>39.37547</v>
      </c>
      <c r="J4111">
        <v>-420.52080000000001</v>
      </c>
      <c r="K4111">
        <v>1.115237</v>
      </c>
      <c r="L4111">
        <v>39.871609999999997</v>
      </c>
      <c r="M4111">
        <v>0.193997</v>
      </c>
      <c r="N4111">
        <v>0</v>
      </c>
      <c r="O4111">
        <v>-0.98090319999999998</v>
      </c>
      <c r="P4111">
        <v>0.43622909999999998</v>
      </c>
      <c r="Q4111">
        <v>0.129333</v>
      </c>
      <c r="R4111">
        <v>-0.89049279999999997</v>
      </c>
      <c r="S4111">
        <v>1.995819</v>
      </c>
      <c r="T4111">
        <v>-0.33634389999999997</v>
      </c>
      <c r="U4111">
        <v>-2.453217</v>
      </c>
      <c r="V4111">
        <v>-0.25687919999999997</v>
      </c>
      <c r="W4111">
        <v>0.13957439999999999</v>
      </c>
      <c r="X4111">
        <v>0.95631169999999999</v>
      </c>
      <c r="Y4111">
        <v>-0.46483049999999998</v>
      </c>
      <c r="Z4111">
        <v>0.10883669999999999</v>
      </c>
      <c r="AA4111">
        <v>0.87868489999999999</v>
      </c>
      <c r="AB4111">
        <v>32</v>
      </c>
      <c r="AC4111">
        <v>0.58589999999997999</v>
      </c>
      <c r="AD4111">
        <v>-0.10971400000000001</v>
      </c>
      <c r="AE4111">
        <v>-0.49613999999999597</v>
      </c>
      <c r="AF4111">
        <v>-0.46893162894666002</v>
      </c>
      <c r="AG4111">
        <v>-0.10971400000000001</v>
      </c>
      <c r="AH4111">
        <v>0.588370960350862</v>
      </c>
      <c r="AI4111">
        <v>98.296530692861595</v>
      </c>
      <c r="AJ4111">
        <v>128.55484383908001</v>
      </c>
      <c r="AK4111">
        <v>0.76033835981539499</v>
      </c>
      <c r="AL4111">
        <v>81.976780650488806</v>
      </c>
      <c r="AM4111">
        <v>105.035560493563</v>
      </c>
      <c r="AN4111">
        <v>1.00000000204244</v>
      </c>
    </row>
    <row r="4112" spans="1:40" x14ac:dyDescent="0.25">
      <c r="A4112" t="str">
        <f>"20190312164351512"</f>
        <v>20190312164351512</v>
      </c>
      <c r="B4112" t="str">
        <f>"1552380231509390"</f>
        <v>1552380231509390</v>
      </c>
      <c r="C4112" t="s">
        <v>40</v>
      </c>
      <c r="D4112">
        <v>4.5826750000000001</v>
      </c>
      <c r="E4112">
        <v>0.40837590000000001</v>
      </c>
      <c r="F4112" t="s">
        <v>41</v>
      </c>
      <c r="G4112">
        <v>-419.88</v>
      </c>
      <c r="H4112">
        <v>1.0044999999999999</v>
      </c>
      <c r="I4112">
        <v>39.101930000000003</v>
      </c>
      <c r="J4112">
        <v>-420.45400000000001</v>
      </c>
      <c r="K4112">
        <v>1.115415</v>
      </c>
      <c r="L4112">
        <v>39.566800000000001</v>
      </c>
      <c r="M4112">
        <v>0.2001578</v>
      </c>
      <c r="N4112">
        <v>0</v>
      </c>
      <c r="O4112">
        <v>-0.97966430000000004</v>
      </c>
      <c r="P4112">
        <v>0.44750040000000002</v>
      </c>
      <c r="Q4112">
        <v>0.12626960000000001</v>
      </c>
      <c r="R4112">
        <v>-0.88532440000000001</v>
      </c>
      <c r="S4112">
        <v>2.0223390000000001</v>
      </c>
      <c r="T4112">
        <v>-0.34947289999999998</v>
      </c>
      <c r="U4112">
        <v>-2.4289860000000001</v>
      </c>
      <c r="V4112">
        <v>-0.26295499999999999</v>
      </c>
      <c r="W4112">
        <v>0.1363181</v>
      </c>
      <c r="X4112">
        <v>0.95512929999999996</v>
      </c>
      <c r="Y4112">
        <v>-0.46892929999999999</v>
      </c>
      <c r="Z4112">
        <v>0.113189899999999</v>
      </c>
      <c r="AA4112">
        <v>0.87595279999999998</v>
      </c>
      <c r="AB4112">
        <v>32</v>
      </c>
      <c r="AC4112">
        <v>0.57400000000001195</v>
      </c>
      <c r="AD4112">
        <v>-0.110915</v>
      </c>
      <c r="AE4112">
        <v>-0.464870000000004</v>
      </c>
      <c r="AF4112">
        <v>-0.45897631446154402</v>
      </c>
      <c r="AG4112">
        <v>-0.110915</v>
      </c>
      <c r="AH4112">
        <v>0.55778530331253595</v>
      </c>
      <c r="AI4112">
        <v>98.729490653496796</v>
      </c>
      <c r="AJ4112">
        <v>129.449420185598</v>
      </c>
      <c r="AK4112">
        <v>0.73081176718301499</v>
      </c>
      <c r="AL4112">
        <v>82.165153619512296</v>
      </c>
      <c r="AM4112">
        <v>105.39267097210799</v>
      </c>
      <c r="AN4112">
        <v>0.99999996806554903</v>
      </c>
    </row>
    <row r="4113" spans="1:40" x14ac:dyDescent="0.25">
      <c r="A4113" t="str">
        <f>"20190312164351535"</f>
        <v>20190312164351535</v>
      </c>
      <c r="B4113" t="str">
        <f>"1552380231528909"</f>
        <v>1552380231528909</v>
      </c>
      <c r="C4113" t="s">
        <v>40</v>
      </c>
      <c r="D4113">
        <v>4.6306120000000002</v>
      </c>
      <c r="E4113">
        <v>0.40843699999999999</v>
      </c>
      <c r="F4113" t="s">
        <v>41</v>
      </c>
      <c r="G4113">
        <v>-419.82490000000001</v>
      </c>
      <c r="H4113">
        <v>1.0053559999999999</v>
      </c>
      <c r="I4113">
        <v>38.828449999999997</v>
      </c>
      <c r="J4113">
        <v>-420.38220000000001</v>
      </c>
      <c r="K4113">
        <v>1.1156379999999999</v>
      </c>
      <c r="L4113">
        <v>39.25</v>
      </c>
      <c r="M4113">
        <v>0.2068816</v>
      </c>
      <c r="N4113">
        <v>0</v>
      </c>
      <c r="O4113">
        <v>-0.97826630000000003</v>
      </c>
      <c r="P4113">
        <v>0.45837410000000001</v>
      </c>
      <c r="Q4113">
        <v>0.12376379999999999</v>
      </c>
      <c r="R4113">
        <v>-0.88010010000000005</v>
      </c>
      <c r="S4113">
        <v>2.0492249999999999</v>
      </c>
      <c r="T4113">
        <v>-0.35834179999999999</v>
      </c>
      <c r="U4113">
        <v>-2.4039000000000001</v>
      </c>
      <c r="V4113">
        <v>-0.26813900000000002</v>
      </c>
      <c r="W4113">
        <v>0.13360229999999901</v>
      </c>
      <c r="X4113">
        <v>0.95407120000000001</v>
      </c>
      <c r="Y4113">
        <v>-0.47282639999999998</v>
      </c>
      <c r="Z4113">
        <v>0.1161841</v>
      </c>
      <c r="AA4113">
        <v>0.87346229999999903</v>
      </c>
      <c r="AB4113">
        <v>32</v>
      </c>
      <c r="AC4113">
        <v>0.55729999999999702</v>
      </c>
      <c r="AD4113">
        <v>-0.11028200000000001</v>
      </c>
      <c r="AE4113">
        <v>-0.42155000000000298</v>
      </c>
      <c r="AF4113">
        <v>-0.446890529476764</v>
      </c>
      <c r="AG4113">
        <v>-0.11028200000000001</v>
      </c>
      <c r="AH4113">
        <v>0.51490953604306999</v>
      </c>
      <c r="AI4113">
        <v>99.188164869412603</v>
      </c>
      <c r="AJ4113">
        <v>130.95474732860299</v>
      </c>
      <c r="AK4113">
        <v>0.69065555464942996</v>
      </c>
      <c r="AL4113">
        <v>82.322194379571997</v>
      </c>
      <c r="AM4113">
        <v>105.697867237471</v>
      </c>
      <c r="AN4113">
        <v>0.99999997627786397</v>
      </c>
    </row>
    <row r="4114" spans="1:40" x14ac:dyDescent="0.25">
      <c r="A4114" t="str">
        <f>"20190312164351558"</f>
        <v>20190312164351558</v>
      </c>
      <c r="B4114" t="str">
        <f>"1552380231549406"</f>
        <v>1552380231549406</v>
      </c>
      <c r="C4114" t="s">
        <v>40</v>
      </c>
      <c r="D4114">
        <v>4.5845640000000003</v>
      </c>
      <c r="E4114">
        <v>0.40840179999999998</v>
      </c>
      <c r="F4114" t="s">
        <v>41</v>
      </c>
      <c r="G4114">
        <v>-419.77379999999999</v>
      </c>
      <c r="H4114">
        <v>1.0080150000000001</v>
      </c>
      <c r="I4114">
        <v>38.553100000000001</v>
      </c>
      <c r="J4114">
        <v>-420.31110000000001</v>
      </c>
      <c r="K4114">
        <v>1.115891</v>
      </c>
      <c r="L4114">
        <v>38.946840000000002</v>
      </c>
      <c r="M4114">
        <v>0.2136623</v>
      </c>
      <c r="N4114">
        <v>0</v>
      </c>
      <c r="O4114">
        <v>-0.97680719999999999</v>
      </c>
      <c r="P4114">
        <v>0.4694432</v>
      </c>
      <c r="Q4114">
        <v>0.12182229999999999</v>
      </c>
      <c r="R4114">
        <v>-0.87451859999999904</v>
      </c>
      <c r="S4114">
        <v>2.0766909999999998</v>
      </c>
      <c r="T4114">
        <v>-0.36736200000000002</v>
      </c>
      <c r="U4114">
        <v>-2.378784</v>
      </c>
      <c r="V4114">
        <v>-0.27356459999999999</v>
      </c>
      <c r="W4114">
        <v>0.13142770000000001</v>
      </c>
      <c r="X4114">
        <v>0.95283220000000002</v>
      </c>
      <c r="Y4114">
        <v>-0.47677530000000001</v>
      </c>
      <c r="Z4114">
        <v>0.1192024</v>
      </c>
      <c r="AA4114">
        <v>0.87090540000000005</v>
      </c>
      <c r="AB4114">
        <v>32</v>
      </c>
      <c r="AC4114">
        <v>0.53730000000001599</v>
      </c>
      <c r="AD4114">
        <v>-0.107876</v>
      </c>
      <c r="AE4114">
        <v>-0.39374000000000098</v>
      </c>
      <c r="AF4114">
        <v>-0.42949036148999697</v>
      </c>
      <c r="AG4114">
        <v>-0.107876</v>
      </c>
      <c r="AH4114">
        <v>0.48669359100820497</v>
      </c>
      <c r="AI4114">
        <v>99.435905268345905</v>
      </c>
      <c r="AJ4114">
        <v>131.427295360627</v>
      </c>
      <c r="AK4114">
        <v>0.65800444794641799</v>
      </c>
      <c r="AL4114">
        <v>82.447898696699895</v>
      </c>
      <c r="AM4114">
        <v>106.019132189519</v>
      </c>
      <c r="AN4114">
        <v>1.00000001602864</v>
      </c>
    </row>
    <row r="4115" spans="1:40" x14ac:dyDescent="0.25">
      <c r="A4115" t="str">
        <f>"20190312164351579"</f>
        <v>20190312164351579</v>
      </c>
      <c r="B4115" t="str">
        <f>"1552380231568926"</f>
        <v>1552380231568926</v>
      </c>
      <c r="C4115" t="s">
        <v>40</v>
      </c>
      <c r="D4115">
        <v>4.5842910000000003</v>
      </c>
      <c r="E4115">
        <v>0.40834110000000001</v>
      </c>
      <c r="F4115" t="s">
        <v>41</v>
      </c>
      <c r="G4115">
        <v>-419.71570000000003</v>
      </c>
      <c r="H4115">
        <v>1.009504</v>
      </c>
      <c r="I4115">
        <v>38.280880000000003</v>
      </c>
      <c r="J4115">
        <v>-420.23770000000002</v>
      </c>
      <c r="K4115">
        <v>1.1161639999999999</v>
      </c>
      <c r="L4115">
        <v>38.64508</v>
      </c>
      <c r="M4115">
        <v>0.2207855</v>
      </c>
      <c r="N4115">
        <v>0</v>
      </c>
      <c r="O4115">
        <v>-0.97522149999999996</v>
      </c>
      <c r="P4115">
        <v>0.48003230000000002</v>
      </c>
      <c r="Q4115">
        <v>0.120389</v>
      </c>
      <c r="R4115">
        <v>-0.86895089999999997</v>
      </c>
      <c r="S4115">
        <v>2.1046749999999999</v>
      </c>
      <c r="T4115">
        <v>-0.37593209999999999</v>
      </c>
      <c r="U4115">
        <v>-2.353027</v>
      </c>
      <c r="V4115">
        <v>-0.27821679999999999</v>
      </c>
      <c r="W4115">
        <v>0.12975320000000001</v>
      </c>
      <c r="X4115">
        <v>0.95171399999999995</v>
      </c>
      <c r="Y4115">
        <v>-0.48062589999999999</v>
      </c>
      <c r="Z4115">
        <v>0.1220667</v>
      </c>
      <c r="AA4115">
        <v>0.86838850000000001</v>
      </c>
      <c r="AB4115">
        <v>32</v>
      </c>
      <c r="AC4115">
        <v>0.52199999999999103</v>
      </c>
      <c r="AD4115">
        <v>-0.10665999999999901</v>
      </c>
      <c r="AE4115">
        <v>-0.36420000000000302</v>
      </c>
      <c r="AF4115">
        <v>-0.41698825705010401</v>
      </c>
      <c r="AG4115">
        <v>-0.10665999999999901</v>
      </c>
      <c r="AH4115">
        <v>0.45762150063881402</v>
      </c>
      <c r="AI4115">
        <v>99.774944894028806</v>
      </c>
      <c r="AJ4115">
        <v>132.340024506118</v>
      </c>
      <c r="AK4115">
        <v>0.62823005337583504</v>
      </c>
      <c r="AL4115">
        <v>82.544669143006402</v>
      </c>
      <c r="AM4115">
        <v>106.295349564964</v>
      </c>
      <c r="AN4115">
        <v>1.00000000925423</v>
      </c>
    </row>
    <row r="4116" spans="1:40" x14ac:dyDescent="0.25">
      <c r="A4116" t="str">
        <f>"20190312164351603"</f>
        <v>20190312164351603</v>
      </c>
      <c r="B4116" t="str">
        <f>"1552380231599181"</f>
        <v>1552380231599181</v>
      </c>
      <c r="C4116" t="s">
        <v>40</v>
      </c>
      <c r="D4116">
        <v>4.6632339999999903</v>
      </c>
      <c r="E4116">
        <v>0.40845959999999998</v>
      </c>
      <c r="F4116" t="s">
        <v>41</v>
      </c>
      <c r="G4116">
        <v>-419.6551</v>
      </c>
      <c r="H4116">
        <v>1.0114110000000001</v>
      </c>
      <c r="I4116">
        <v>38.008679999999998</v>
      </c>
      <c r="J4116">
        <v>-420.16230000000002</v>
      </c>
      <c r="K4116">
        <v>1.1164620000000001</v>
      </c>
      <c r="L4116">
        <v>38.346339999999998</v>
      </c>
      <c r="M4116">
        <v>0.22824910000000001</v>
      </c>
      <c r="N4116">
        <v>0</v>
      </c>
      <c r="O4116">
        <v>-0.97350119999999896</v>
      </c>
      <c r="P4116">
        <v>0.49076940000000002</v>
      </c>
      <c r="Q4116">
        <v>0.1189817</v>
      </c>
      <c r="R4116">
        <v>-0.86312789999999995</v>
      </c>
      <c r="S4116">
        <v>2.1314389999999999</v>
      </c>
      <c r="T4116">
        <v>-0.38322000000000001</v>
      </c>
      <c r="U4116">
        <v>-2.3280639999999999</v>
      </c>
      <c r="V4116">
        <v>-0.28276119999999999</v>
      </c>
      <c r="W4116">
        <v>0.1280916</v>
      </c>
      <c r="X4116">
        <v>0.95059910000000003</v>
      </c>
      <c r="Y4116">
        <v>-0.48378339999999997</v>
      </c>
      <c r="Z4116">
        <v>0.1245018</v>
      </c>
      <c r="AA4116">
        <v>0.86628689999999997</v>
      </c>
      <c r="AB4116">
        <v>31</v>
      </c>
      <c r="AC4116">
        <v>0.50720000000001098</v>
      </c>
      <c r="AD4116">
        <v>-0.10505100000000001</v>
      </c>
      <c r="AE4116">
        <v>-0.33766000000000601</v>
      </c>
      <c r="AF4116">
        <v>-0.40470088083560701</v>
      </c>
      <c r="AG4116">
        <v>-0.10505100000000001</v>
      </c>
      <c r="AH4116">
        <v>0.43169245834923697</v>
      </c>
      <c r="AI4116">
        <v>100.066991054855</v>
      </c>
      <c r="AJ4116">
        <v>133.15162690593601</v>
      </c>
      <c r="AK4116">
        <v>0.600979944878134</v>
      </c>
      <c r="AL4116">
        <v>82.640672946608404</v>
      </c>
      <c r="AM4116">
        <v>106.565414183149</v>
      </c>
      <c r="AN4116">
        <v>1.0000000015684001</v>
      </c>
    </row>
    <row r="4117" spans="1:40" x14ac:dyDescent="0.25">
      <c r="A4117" t="str">
        <f>"20190312164351624"</f>
        <v>20190312164351624</v>
      </c>
      <c r="B4117" t="str">
        <f>"1552380231618705"</f>
        <v>1552380231618705</v>
      </c>
      <c r="C4117" t="s">
        <v>40</v>
      </c>
      <c r="D4117">
        <v>4.7945549999999999</v>
      </c>
      <c r="E4117">
        <v>0.40865269999999998</v>
      </c>
      <c r="F4117" t="s">
        <v>41</v>
      </c>
      <c r="G4117">
        <v>-419.3997</v>
      </c>
      <c r="H4117">
        <v>0.97813850000000002</v>
      </c>
      <c r="I4117">
        <v>37.532209999999999</v>
      </c>
      <c r="J4117">
        <v>-420.0838</v>
      </c>
      <c r="K4117">
        <v>1.116765</v>
      </c>
      <c r="L4117">
        <v>38.047609999999999</v>
      </c>
      <c r="M4117">
        <v>0.2361385</v>
      </c>
      <c r="N4117">
        <v>0</v>
      </c>
      <c r="O4117">
        <v>-0.97161699999999995</v>
      </c>
      <c r="P4117">
        <v>0.50187990000000005</v>
      </c>
      <c r="Q4117">
        <v>0.1175195</v>
      </c>
      <c r="R4117">
        <v>-0.85691649999999997</v>
      </c>
      <c r="S4117">
        <v>2.1573180000000001</v>
      </c>
      <c r="T4117">
        <v>-0.39131519999999997</v>
      </c>
      <c r="U4117">
        <v>-2.30307</v>
      </c>
      <c r="V4117">
        <v>-0.28736209999999901</v>
      </c>
      <c r="W4117">
        <v>0.1263648</v>
      </c>
      <c r="X4117">
        <v>0.94944980000000001</v>
      </c>
      <c r="Y4117">
        <v>-0.48633799999999999</v>
      </c>
      <c r="Z4117">
        <v>0.12719269999999999</v>
      </c>
      <c r="AA4117">
        <v>0.8644636</v>
      </c>
      <c r="AB4117">
        <v>31</v>
      </c>
      <c r="AC4117">
        <v>0.68410000000000004</v>
      </c>
      <c r="AD4117">
        <v>-0.13862650000000001</v>
      </c>
      <c r="AE4117">
        <v>-0.51539999999999897</v>
      </c>
      <c r="AF4117">
        <v>-0.52916993274030899</v>
      </c>
      <c r="AG4117">
        <v>-0.13862650000000001</v>
      </c>
      <c r="AH4117">
        <v>0.645471649402101</v>
      </c>
      <c r="AI4117">
        <v>99.430044964090101</v>
      </c>
      <c r="AJ4117">
        <v>129.345551648342</v>
      </c>
      <c r="AK4117">
        <v>0.84609206023960704</v>
      </c>
      <c r="AL4117">
        <v>82.740421774022593</v>
      </c>
      <c r="AM4117">
        <v>106.839054146774</v>
      </c>
      <c r="AN4117">
        <v>0.99999998095774401</v>
      </c>
    </row>
    <row r="4118" spans="1:40" x14ac:dyDescent="0.25">
      <c r="A4118" t="str">
        <f>"20190312164351647"</f>
        <v>20190312164351647</v>
      </c>
      <c r="B4118" t="str">
        <f>"1552380231639197"</f>
        <v>1552380231639197</v>
      </c>
      <c r="C4118" t="s">
        <v>40</v>
      </c>
      <c r="D4118">
        <v>4.5635019999999997</v>
      </c>
      <c r="E4118">
        <v>0.40878940000000002</v>
      </c>
      <c r="F4118" t="s">
        <v>41</v>
      </c>
      <c r="G4118">
        <v>-419.33319999999998</v>
      </c>
      <c r="H4118">
        <v>0.98024389999999995</v>
      </c>
      <c r="I4118">
        <v>37.264859999999999</v>
      </c>
      <c r="J4118">
        <v>-420.0009</v>
      </c>
      <c r="K4118">
        <v>1.1170639999999901</v>
      </c>
      <c r="L4118">
        <v>37.743319999999997</v>
      </c>
      <c r="M4118">
        <v>0.24453469999999999</v>
      </c>
      <c r="N4118">
        <v>0</v>
      </c>
      <c r="O4118">
        <v>-0.96953750000000005</v>
      </c>
      <c r="P4118">
        <v>0.51294259999999903</v>
      </c>
      <c r="Q4118">
        <v>0.1173155</v>
      </c>
      <c r="R4118">
        <v>-0.85036900000000004</v>
      </c>
      <c r="S4118">
        <v>2.1838989999999998</v>
      </c>
      <c r="T4118">
        <v>-0.3970592</v>
      </c>
      <c r="U4118">
        <v>-2.2763369999999998</v>
      </c>
      <c r="V4118">
        <v>-0.29153790000000002</v>
      </c>
      <c r="W4118">
        <v>0.12590879999999999</v>
      </c>
      <c r="X4118">
        <v>0.94823659999999999</v>
      </c>
      <c r="Y4118">
        <v>-0.48894609999999999</v>
      </c>
      <c r="Z4118">
        <v>0.12914320000000001</v>
      </c>
      <c r="AA4118">
        <v>0.86270139999999995</v>
      </c>
      <c r="AB4118">
        <v>31</v>
      </c>
      <c r="AC4118">
        <v>0.66770000000002405</v>
      </c>
      <c r="AD4118">
        <v>-0.136820099999999</v>
      </c>
      <c r="AE4118">
        <v>-0.47846000000000499</v>
      </c>
      <c r="AF4118">
        <v>-0.51609491699069598</v>
      </c>
      <c r="AG4118">
        <v>-0.136820099999999</v>
      </c>
      <c r="AH4118">
        <v>0.61029186726704798</v>
      </c>
      <c r="AI4118">
        <v>99.713983509076996</v>
      </c>
      <c r="AJ4118">
        <v>130.21961845267899</v>
      </c>
      <c r="AK4118">
        <v>0.81088215318870105</v>
      </c>
      <c r="AL4118">
        <v>82.766759230271205</v>
      </c>
      <c r="AM4118">
        <v>107.090186785019</v>
      </c>
      <c r="AN4118">
        <v>1.0000000113167</v>
      </c>
    </row>
    <row r="4119" spans="1:40" x14ac:dyDescent="0.25">
      <c r="A4119" t="str">
        <f>"20190312164351668"</f>
        <v>20190312164351668</v>
      </c>
      <c r="B4119" t="str">
        <f>"1552380231658717"</f>
        <v>1552380231658717</v>
      </c>
      <c r="C4119" t="s">
        <v>40</v>
      </c>
      <c r="D4119">
        <v>4.6272640000000003</v>
      </c>
      <c r="E4119">
        <v>0.40904249999999998</v>
      </c>
      <c r="F4119" t="s">
        <v>41</v>
      </c>
      <c r="G4119">
        <v>-419.2672</v>
      </c>
      <c r="H4119">
        <v>0.98504519999999995</v>
      </c>
      <c r="I4119">
        <v>36.997199999999999</v>
      </c>
      <c r="J4119">
        <v>-419.92079999999999</v>
      </c>
      <c r="K4119">
        <v>1.117318</v>
      </c>
      <c r="L4119">
        <v>37.459960000000002</v>
      </c>
      <c r="M4119">
        <v>0.2526775</v>
      </c>
      <c r="N4119">
        <v>0</v>
      </c>
      <c r="O4119">
        <v>-0.96744669999999999</v>
      </c>
      <c r="P4119">
        <v>0.52337069999999997</v>
      </c>
      <c r="Q4119">
        <v>0.11793960000000001</v>
      </c>
      <c r="R4119">
        <v>-0.84390370000000003</v>
      </c>
      <c r="S4119">
        <v>2.2115480000000001</v>
      </c>
      <c r="T4119">
        <v>-0.3979027</v>
      </c>
      <c r="U4119">
        <v>-2.2487490000000001</v>
      </c>
      <c r="V4119">
        <v>-0.29535359999999899</v>
      </c>
      <c r="W4119">
        <v>0.12630189999999999</v>
      </c>
      <c r="X4119">
        <v>0.94700269999999998</v>
      </c>
      <c r="Y4119">
        <v>-0.49227769999999998</v>
      </c>
      <c r="Z4119">
        <v>0.12950829999999999</v>
      </c>
      <c r="AA4119">
        <v>0.86074980000000001</v>
      </c>
      <c r="AB4119">
        <v>31</v>
      </c>
      <c r="AC4119">
        <v>0.65359999999998297</v>
      </c>
      <c r="AD4119">
        <v>-0.1322728</v>
      </c>
      <c r="AE4119">
        <v>-0.46275999999999501</v>
      </c>
      <c r="AF4119">
        <v>-0.50175769922261804</v>
      </c>
      <c r="AG4119">
        <v>-0.1322728</v>
      </c>
      <c r="AH4119">
        <v>0.59663082855019001</v>
      </c>
      <c r="AI4119">
        <v>99.629895351926905</v>
      </c>
      <c r="AJ4119">
        <v>130.06333892985501</v>
      </c>
      <c r="AK4119">
        <v>0.79071184885867396</v>
      </c>
      <c r="AL4119">
        <v>82.744055045378303</v>
      </c>
      <c r="AM4119">
        <v>107.321788205133</v>
      </c>
      <c r="AN4119">
        <v>1.00000001639192</v>
      </c>
    </row>
    <row r="4120" spans="1:40" x14ac:dyDescent="0.25">
      <c r="A4120" t="str">
        <f>"20190312164351690"</f>
        <v>20190312164351690</v>
      </c>
      <c r="B4120" t="str">
        <f>"1552380231679213"</f>
        <v>1552380231679213</v>
      </c>
      <c r="C4120" t="s">
        <v>40</v>
      </c>
      <c r="D4120">
        <v>4.6613689999999997</v>
      </c>
      <c r="E4120">
        <v>0.40928730000000002</v>
      </c>
      <c r="F4120" t="s">
        <v>41</v>
      </c>
      <c r="G4120">
        <v>-419.19150000000002</v>
      </c>
      <c r="H4120">
        <v>0.9873575</v>
      </c>
      <c r="I4120">
        <v>36.734290000000001</v>
      </c>
      <c r="J4120">
        <v>-419.8338</v>
      </c>
      <c r="K4120">
        <v>1.117586</v>
      </c>
      <c r="L4120">
        <v>37.162599999999998</v>
      </c>
      <c r="M4120">
        <v>0.26156420000000002</v>
      </c>
      <c r="N4120">
        <v>0</v>
      </c>
      <c r="O4120">
        <v>-0.96508139999999998</v>
      </c>
      <c r="P4120">
        <v>0.53392759999999995</v>
      </c>
      <c r="Q4120">
        <v>0.11940389999999999</v>
      </c>
      <c r="R4120">
        <v>-0.83705719999999995</v>
      </c>
      <c r="S4120">
        <v>2.236237</v>
      </c>
      <c r="T4120">
        <v>-0.39828479999999999</v>
      </c>
      <c r="U4120">
        <v>-2.2237239999999998</v>
      </c>
      <c r="V4120">
        <v>-0.298703</v>
      </c>
      <c r="W4120">
        <v>0.12753689999999901</v>
      </c>
      <c r="X4120">
        <v>0.94578580000000001</v>
      </c>
      <c r="Y4120">
        <v>-0.49387189999999997</v>
      </c>
      <c r="Z4120">
        <v>0.12967780000000001</v>
      </c>
      <c r="AA4120">
        <v>0.85981059999999998</v>
      </c>
      <c r="AB4120">
        <v>31</v>
      </c>
      <c r="AC4120">
        <v>0.642299999999977</v>
      </c>
      <c r="AD4120">
        <v>-0.130228499999999</v>
      </c>
      <c r="AE4120">
        <v>-0.42830999999999603</v>
      </c>
      <c r="AF4120">
        <v>-0.49384005372718098</v>
      </c>
      <c r="AG4120">
        <v>-0.130228499999999</v>
      </c>
      <c r="AH4120">
        <v>0.56532871357543302</v>
      </c>
      <c r="AI4120">
        <v>99.842154652825698</v>
      </c>
      <c r="AJ4120">
        <v>131.138674329016</v>
      </c>
      <c r="AK4120">
        <v>0.761862202284882</v>
      </c>
      <c r="AL4120">
        <v>82.672717446505402</v>
      </c>
      <c r="AM4120">
        <v>107.527430284139</v>
      </c>
      <c r="AN4120">
        <v>0.99999996127612401</v>
      </c>
    </row>
    <row r="4121" spans="1:40" x14ac:dyDescent="0.25">
      <c r="A4121" t="str">
        <f>"20190312164351714"</f>
        <v>20190312164351714</v>
      </c>
      <c r="B4121" t="str">
        <f>"1552380231709470"</f>
        <v>1552380231709470</v>
      </c>
      <c r="C4121" t="s">
        <v>40</v>
      </c>
      <c r="D4121">
        <v>4.6389370000000003</v>
      </c>
      <c r="E4121">
        <v>0.4097113</v>
      </c>
      <c r="F4121" t="s">
        <v>41</v>
      </c>
      <c r="G4121">
        <v>-419.12029999999999</v>
      </c>
      <c r="H4121">
        <v>0.99282369999999998</v>
      </c>
      <c r="I4121">
        <v>36.468960000000003</v>
      </c>
      <c r="J4121">
        <v>-419.74299999999999</v>
      </c>
      <c r="K4121">
        <v>1.1178589999999999</v>
      </c>
      <c r="L4121">
        <v>36.864139999999999</v>
      </c>
      <c r="M4121">
        <v>0.27082889999999998</v>
      </c>
      <c r="N4121">
        <v>0</v>
      </c>
      <c r="O4121">
        <v>-0.96252199999999999</v>
      </c>
      <c r="P4121">
        <v>0.54470580000000002</v>
      </c>
      <c r="Q4121">
        <v>0.12154230000000001</v>
      </c>
      <c r="R4121">
        <v>-0.82977350000000005</v>
      </c>
      <c r="S4121">
        <v>2.2613829999999999</v>
      </c>
      <c r="T4121">
        <v>-0.39534399999999997</v>
      </c>
      <c r="U4121">
        <v>-2.197937</v>
      </c>
      <c r="V4121">
        <v>-0.30205110000000002</v>
      </c>
      <c r="W4121">
        <v>0.12944259999999999</v>
      </c>
      <c r="X4121">
        <v>0.94446269999999999</v>
      </c>
      <c r="Y4121">
        <v>-0.49544329999999998</v>
      </c>
      <c r="Z4121">
        <v>0.1287633</v>
      </c>
      <c r="AA4121">
        <v>0.85904369999999997</v>
      </c>
      <c r="AB4121">
        <v>31</v>
      </c>
      <c r="AC4121">
        <v>0.62270000000006498</v>
      </c>
      <c r="AD4121">
        <v>-0.12503529999999999</v>
      </c>
      <c r="AE4121">
        <v>-0.39518000000000297</v>
      </c>
      <c r="AF4121">
        <v>-0.478629174441491</v>
      </c>
      <c r="AG4121">
        <v>-0.12503529999999999</v>
      </c>
      <c r="AH4121">
        <v>0.53372951154860004</v>
      </c>
      <c r="AI4121">
        <v>99.8934315548087</v>
      </c>
      <c r="AJ4121">
        <v>131.88459740712301</v>
      </c>
      <c r="AK4121">
        <v>0.72772721837962095</v>
      </c>
      <c r="AL4121">
        <v>82.562616669851707</v>
      </c>
      <c r="AM4121">
        <v>107.734932786632</v>
      </c>
      <c r="AN4121">
        <v>1.0000000226986201</v>
      </c>
    </row>
    <row r="4122" spans="1:40" x14ac:dyDescent="0.25">
      <c r="A4122" t="str">
        <f>"20190312164351736"</f>
        <v>20190312164351736</v>
      </c>
      <c r="B4122" t="str">
        <f>"1552380231728989"</f>
        <v>1552380231728989</v>
      </c>
      <c r="C4122" t="s">
        <v>40</v>
      </c>
      <c r="D4122">
        <v>4.600142</v>
      </c>
      <c r="E4122">
        <v>0.40990749999999998</v>
      </c>
      <c r="F4122" t="s">
        <v>41</v>
      </c>
      <c r="G4122">
        <v>-419.04849999999999</v>
      </c>
      <c r="H4122">
        <v>0.99913949999999996</v>
      </c>
      <c r="I4122">
        <v>36.203740000000003</v>
      </c>
      <c r="J4122">
        <v>-419.64490000000001</v>
      </c>
      <c r="K4122">
        <v>1.1181490000000001</v>
      </c>
      <c r="L4122">
        <v>36.553040000000003</v>
      </c>
      <c r="M4122">
        <v>0.28083639999999999</v>
      </c>
      <c r="N4122">
        <v>0</v>
      </c>
      <c r="O4122">
        <v>-0.95964910000000003</v>
      </c>
      <c r="P4122">
        <v>0.55644519999999997</v>
      </c>
      <c r="Q4122">
        <v>0.1227581</v>
      </c>
      <c r="R4122">
        <v>-0.82176610000000005</v>
      </c>
      <c r="S4122">
        <v>2.2857669999999999</v>
      </c>
      <c r="T4122">
        <v>-0.39054139999999998</v>
      </c>
      <c r="U4122">
        <v>-2.1721499999999998</v>
      </c>
      <c r="V4122">
        <v>-0.30580800000000002</v>
      </c>
      <c r="W4122">
        <v>0.1304061</v>
      </c>
      <c r="X4122">
        <v>0.94312019999999996</v>
      </c>
      <c r="Y4122">
        <v>-0.49623719999999999</v>
      </c>
      <c r="Z4122">
        <v>0.12722710000000001</v>
      </c>
      <c r="AA4122">
        <v>0.85881419999999997</v>
      </c>
      <c r="AB4122">
        <v>31</v>
      </c>
      <c r="AC4122">
        <v>0.59640000000001603</v>
      </c>
      <c r="AD4122">
        <v>-0.1190095</v>
      </c>
      <c r="AE4122">
        <v>-0.349299999999999</v>
      </c>
      <c r="AF4122">
        <v>-0.46063001525953301</v>
      </c>
      <c r="AG4122">
        <v>-0.1190095</v>
      </c>
      <c r="AH4122">
        <v>0.48827109602416502</v>
      </c>
      <c r="AI4122">
        <v>100.05366884569401</v>
      </c>
      <c r="AJ4122">
        <v>133.33147044169499</v>
      </c>
      <c r="AK4122">
        <v>0.68172717069285704</v>
      </c>
      <c r="AL4122">
        <v>82.506940078776196</v>
      </c>
      <c r="AM4122">
        <v>107.96535658366101</v>
      </c>
      <c r="AN4122">
        <v>0.999999997714625</v>
      </c>
    </row>
    <row r="4123" spans="1:40" x14ac:dyDescent="0.25">
      <c r="A4123" t="str">
        <f>"20190312164351758"</f>
        <v>20190312164351758</v>
      </c>
      <c r="B4123" t="str">
        <f>"1552380231748510"</f>
        <v>1552380231748510</v>
      </c>
      <c r="C4123" t="s">
        <v>40</v>
      </c>
      <c r="D4123">
        <v>4.5704359999999999</v>
      </c>
      <c r="E4123">
        <v>0.409972</v>
      </c>
      <c r="F4123" t="s">
        <v>41</v>
      </c>
      <c r="G4123">
        <v>-418.97949999999997</v>
      </c>
      <c r="H4123">
        <v>1.006475</v>
      </c>
      <c r="I4123">
        <v>35.936720000000001</v>
      </c>
      <c r="J4123">
        <v>-419.55329999999998</v>
      </c>
      <c r="K4123">
        <v>1.118406</v>
      </c>
      <c r="L4123">
        <v>36.273769999999999</v>
      </c>
      <c r="M4123">
        <v>0.29012840000000001</v>
      </c>
      <c r="N4123">
        <v>0</v>
      </c>
      <c r="O4123">
        <v>-0.95688019999999996</v>
      </c>
      <c r="P4123">
        <v>0.56755880000000003</v>
      </c>
      <c r="Q4123">
        <v>0.1231073</v>
      </c>
      <c r="R4123">
        <v>-0.8140773</v>
      </c>
      <c r="S4123">
        <v>2.3130799999999998</v>
      </c>
      <c r="T4123">
        <v>-0.38820900000000003</v>
      </c>
      <c r="U4123">
        <v>-2.1424560000000001</v>
      </c>
      <c r="V4123">
        <v>-0.309583</v>
      </c>
      <c r="W4123">
        <v>0.13051869999999999</v>
      </c>
      <c r="X4123">
        <v>0.94187220000000005</v>
      </c>
      <c r="Y4123">
        <v>-0.4988959</v>
      </c>
      <c r="Z4123">
        <v>0.12651979999999999</v>
      </c>
      <c r="AA4123">
        <v>0.85737719999999995</v>
      </c>
      <c r="AB4123">
        <v>31</v>
      </c>
      <c r="AC4123">
        <v>0.57380000000000497</v>
      </c>
      <c r="AD4123">
        <v>-0.111930999999999</v>
      </c>
      <c r="AE4123">
        <v>-0.33704999999999702</v>
      </c>
      <c r="AF4123">
        <v>-0.43889970698731601</v>
      </c>
      <c r="AG4123">
        <v>-0.111930999999999</v>
      </c>
      <c r="AH4123">
        <v>0.475587722212444</v>
      </c>
      <c r="AI4123">
        <v>99.812635438814695</v>
      </c>
      <c r="AJ4123">
        <v>132.70260182149599</v>
      </c>
      <c r="AK4123">
        <v>0.65676874398358198</v>
      </c>
      <c r="AL4123">
        <v>82.500432999446801</v>
      </c>
      <c r="AM4123">
        <v>108.195123714982</v>
      </c>
      <c r="AN4123">
        <v>1.0000000030357601</v>
      </c>
    </row>
    <row r="4124" spans="1:40" x14ac:dyDescent="0.25">
      <c r="A4124" t="str">
        <f>"20190312164351781"</f>
        <v>20190312164351781</v>
      </c>
      <c r="B4124" t="str">
        <f>"1552380231769007"</f>
        <v>1552380231769007</v>
      </c>
      <c r="C4124" t="s">
        <v>40</v>
      </c>
      <c r="D4124">
        <v>4.6366639999999997</v>
      </c>
      <c r="E4124">
        <v>0.41700490000000001</v>
      </c>
      <c r="F4124" t="s">
        <v>41</v>
      </c>
      <c r="G4124">
        <v>-418.89389999999997</v>
      </c>
      <c r="H4124">
        <v>1.0092159999999999</v>
      </c>
      <c r="I4124">
        <v>35.678429999999999</v>
      </c>
      <c r="J4124">
        <v>-419.45400000000001</v>
      </c>
      <c r="K4124">
        <v>1.1186659999999999</v>
      </c>
      <c r="L4124">
        <v>35.981380000000001</v>
      </c>
      <c r="M4124">
        <v>0.30015190000000003</v>
      </c>
      <c r="N4124">
        <v>0</v>
      </c>
      <c r="O4124">
        <v>-0.95378300000000005</v>
      </c>
      <c r="P4124">
        <v>0.57950869999999999</v>
      </c>
      <c r="Q4124">
        <v>0.1239599</v>
      </c>
      <c r="R4124">
        <v>-0.80548379999999997</v>
      </c>
      <c r="S4124">
        <v>2.3402099999999999</v>
      </c>
      <c r="T4124">
        <v>-0.38742070000000001</v>
      </c>
      <c r="U4124">
        <v>-2.1121829999999999</v>
      </c>
      <c r="V4124">
        <v>-0.31374170000000001</v>
      </c>
      <c r="W4124">
        <v>0.1311167</v>
      </c>
      <c r="X4124">
        <v>0.94041189999999997</v>
      </c>
      <c r="Y4124">
        <v>-0.5009036</v>
      </c>
      <c r="Z4124">
        <v>0.12628210000000001</v>
      </c>
      <c r="AA4124">
        <v>0.85624089999999997</v>
      </c>
      <c r="AB4124">
        <v>31</v>
      </c>
      <c r="AC4124">
        <v>0.56010000000003302</v>
      </c>
      <c r="AD4124">
        <v>-0.10945000000000001</v>
      </c>
      <c r="AE4124">
        <v>-0.302950000000002</v>
      </c>
      <c r="AF4124">
        <v>-0.43060737131794302</v>
      </c>
      <c r="AG4124">
        <v>-0.10945000000000001</v>
      </c>
      <c r="AH4124">
        <v>0.44399411455999599</v>
      </c>
      <c r="AI4124">
        <v>100.035049099042</v>
      </c>
      <c r="AJ4124">
        <v>134.12309318826601</v>
      </c>
      <c r="AK4124">
        <v>0.62811844782434501</v>
      </c>
      <c r="AL4124">
        <v>82.465873050711195</v>
      </c>
      <c r="AM4124">
        <v>108.44981110768801</v>
      </c>
      <c r="AN4124">
        <v>0.99999999249969496</v>
      </c>
    </row>
    <row r="4125" spans="1:40" x14ac:dyDescent="0.25">
      <c r="A4125" t="str">
        <f>"20190312164351803"</f>
        <v>20190312164351803</v>
      </c>
      <c r="B4125" t="str">
        <f>"1552380231799261"</f>
        <v>1552380231799261</v>
      </c>
      <c r="C4125" t="s">
        <v>40</v>
      </c>
      <c r="D4125">
        <v>4.6556709999999999</v>
      </c>
      <c r="E4125">
        <v>0.42112139999999998</v>
      </c>
      <c r="F4125" t="s">
        <v>41</v>
      </c>
      <c r="G4125">
        <v>-418.82389999999998</v>
      </c>
      <c r="H4125">
        <v>1.0425549999999999</v>
      </c>
      <c r="I4125">
        <v>35.41084</v>
      </c>
      <c r="J4125">
        <v>-419.35270000000003</v>
      </c>
      <c r="K4125">
        <v>1.1188959999999999</v>
      </c>
      <c r="L4125">
        <v>35.694890000000001</v>
      </c>
      <c r="M4125">
        <v>0.3102917</v>
      </c>
      <c r="N4125">
        <v>0</v>
      </c>
      <c r="O4125">
        <v>-0.95053180000000004</v>
      </c>
      <c r="P4125">
        <v>0.59199889999999999</v>
      </c>
      <c r="Q4125">
        <v>0.12458809999999999</v>
      </c>
      <c r="R4125">
        <v>-0.79625089999999998</v>
      </c>
      <c r="S4125">
        <v>2.3186040000000001</v>
      </c>
      <c r="T4125">
        <v>-0.28007840000000001</v>
      </c>
      <c r="U4125">
        <v>-2.0994259999999998</v>
      </c>
      <c r="V4125">
        <v>-0.31851699999999999</v>
      </c>
      <c r="W4125">
        <v>0.1314816</v>
      </c>
      <c r="X4125">
        <v>0.93875419999999998</v>
      </c>
      <c r="Y4125">
        <v>-0.49315179999999997</v>
      </c>
      <c r="Z4125">
        <v>9.2121709999999996E-2</v>
      </c>
      <c r="AA4125">
        <v>0.86505200000000004</v>
      </c>
      <c r="AB4125">
        <v>31</v>
      </c>
      <c r="AC4125">
        <v>0.52880000000004601</v>
      </c>
      <c r="AD4125">
        <v>-7.6340999999999895E-2</v>
      </c>
      <c r="AE4125">
        <v>-0.28405000000000002</v>
      </c>
      <c r="AF4125">
        <v>-0.407947639705244</v>
      </c>
      <c r="AG4125">
        <v>-7.6340999999999895E-2</v>
      </c>
      <c r="AH4125">
        <v>0.427215971515714</v>
      </c>
      <c r="AI4125">
        <v>97.363898629334003</v>
      </c>
      <c r="AJ4125">
        <v>133.67834486743101</v>
      </c>
      <c r="AK4125">
        <v>0.59561960288442095</v>
      </c>
      <c r="AL4125">
        <v>82.444783064750098</v>
      </c>
      <c r="AM4125">
        <v>108.741948568399</v>
      </c>
      <c r="AN4125">
        <v>0.99999996922259904</v>
      </c>
    </row>
    <row r="4126" spans="1:40" x14ac:dyDescent="0.25">
      <c r="A4126" t="str">
        <f>"20190312164351826"</f>
        <v>20190312164351826</v>
      </c>
      <c r="B4126" t="str">
        <f>"1552380231818781"</f>
        <v>1552380231818781</v>
      </c>
      <c r="C4126" t="s">
        <v>40</v>
      </c>
      <c r="D4126">
        <v>4.6073969999999997</v>
      </c>
      <c r="E4126">
        <v>0.42337279999999999</v>
      </c>
      <c r="F4126" t="s">
        <v>41</v>
      </c>
      <c r="G4126">
        <v>-418.53649999999999</v>
      </c>
      <c r="H4126">
        <v>1.003544</v>
      </c>
      <c r="I4126">
        <v>34.96219</v>
      </c>
      <c r="J4126">
        <v>-419.24299999999999</v>
      </c>
      <c r="K4126">
        <v>1.1191310000000001</v>
      </c>
      <c r="L4126">
        <v>35.395569999999999</v>
      </c>
      <c r="M4126">
        <v>0.32118259999999899</v>
      </c>
      <c r="N4126">
        <v>0</v>
      </c>
      <c r="O4126">
        <v>-0.94690649999999998</v>
      </c>
      <c r="P4126">
        <v>0.60491589999999995</v>
      </c>
      <c r="Q4126">
        <v>0.12588160000000001</v>
      </c>
      <c r="R4126">
        <v>-0.78627669999999905</v>
      </c>
      <c r="S4126">
        <v>2.3274840000000001</v>
      </c>
      <c r="T4126">
        <v>-0.32884540000000001</v>
      </c>
      <c r="U4126">
        <v>-2.0886230000000001</v>
      </c>
      <c r="V4126">
        <v>-0.32323770000000002</v>
      </c>
      <c r="W4126">
        <v>0.13251060000000001</v>
      </c>
      <c r="X4126">
        <v>0.93699429999999995</v>
      </c>
      <c r="Y4126">
        <v>-0.48581780000000002</v>
      </c>
      <c r="Z4126">
        <v>0.1078113</v>
      </c>
      <c r="AA4126">
        <v>0.86738559999999998</v>
      </c>
      <c r="AB4126">
        <v>31</v>
      </c>
      <c r="AC4126">
        <v>0.70650000000006197</v>
      </c>
      <c r="AD4126">
        <v>-0.115586999999999</v>
      </c>
      <c r="AE4126">
        <v>-0.43337999999999899</v>
      </c>
      <c r="AF4126">
        <v>-0.51974269732161005</v>
      </c>
      <c r="AG4126">
        <v>-0.115586999999999</v>
      </c>
      <c r="AH4126">
        <v>0.62519363153720098</v>
      </c>
      <c r="AI4126">
        <v>98.091523891832097</v>
      </c>
      <c r="AJ4126">
        <v>129.73778957332601</v>
      </c>
      <c r="AK4126">
        <v>0.82119419317407205</v>
      </c>
      <c r="AL4126">
        <v>82.385305476417201</v>
      </c>
      <c r="AM4126">
        <v>109.033050008647</v>
      </c>
      <c r="AN4126">
        <v>0.99999999402306905</v>
      </c>
    </row>
    <row r="4127" spans="1:40" x14ac:dyDescent="0.25">
      <c r="A4127" t="str">
        <f>"20190312164351847"</f>
        <v>20190312164351847</v>
      </c>
      <c r="B4127" t="str">
        <f>"1552380231839281"</f>
        <v>1552380231839281</v>
      </c>
      <c r="C4127" t="s">
        <v>40</v>
      </c>
      <c r="D4127">
        <v>4.659211</v>
      </c>
      <c r="E4127">
        <v>0.42419479999999998</v>
      </c>
      <c r="F4127" t="s">
        <v>41</v>
      </c>
      <c r="G4127">
        <v>-418.45389999999998</v>
      </c>
      <c r="H4127">
        <v>1.0158400000000001</v>
      </c>
      <c r="I4127">
        <v>34.702249999999999</v>
      </c>
      <c r="J4127">
        <v>-419.14060000000001</v>
      </c>
      <c r="K4127">
        <v>1.1193219999999999</v>
      </c>
      <c r="L4127">
        <v>35.126249999999999</v>
      </c>
      <c r="M4127">
        <v>0.33119739999999998</v>
      </c>
      <c r="N4127">
        <v>0</v>
      </c>
      <c r="O4127">
        <v>-0.9434496</v>
      </c>
      <c r="P4127">
        <v>0.6163303</v>
      </c>
      <c r="Q4127">
        <v>0.12674679999999999</v>
      </c>
      <c r="R4127">
        <v>-0.77722100000000005</v>
      </c>
      <c r="S4127">
        <v>2.345764</v>
      </c>
      <c r="T4127">
        <v>-0.30692079999999999</v>
      </c>
      <c r="U4127">
        <v>-2.0598749999999999</v>
      </c>
      <c r="V4127">
        <v>-0.32712089999999999</v>
      </c>
      <c r="W4127">
        <v>0.13315949999999999</v>
      </c>
      <c r="X4127">
        <v>0.93555359999999999</v>
      </c>
      <c r="Y4127">
        <v>-0.48648010000000003</v>
      </c>
      <c r="Z4127">
        <v>0.10079109999999999</v>
      </c>
      <c r="AA4127">
        <v>0.86785849999999898</v>
      </c>
      <c r="AB4127">
        <v>31</v>
      </c>
      <c r="AC4127">
        <v>0.68670000000002995</v>
      </c>
      <c r="AD4127">
        <v>-0.103482</v>
      </c>
      <c r="AE4127">
        <v>-0.42399999999999899</v>
      </c>
      <c r="AF4127">
        <v>-0.49928402199963301</v>
      </c>
      <c r="AG4127">
        <v>-0.103482</v>
      </c>
      <c r="AH4127">
        <v>0.61737195952383395</v>
      </c>
      <c r="AI4127">
        <v>97.425522689687597</v>
      </c>
      <c r="AJ4127">
        <v>128.96332759456899</v>
      </c>
      <c r="AK4127">
        <v>0.80071292942878702</v>
      </c>
      <c r="AL4127">
        <v>82.347794153170895</v>
      </c>
      <c r="AM4127">
        <v>109.272429356415</v>
      </c>
      <c r="AN4127">
        <v>1.000000037065</v>
      </c>
    </row>
    <row r="4128" spans="1:40" x14ac:dyDescent="0.25">
      <c r="A4128" t="str">
        <f>"20190312164351869"</f>
        <v>20190312164351869</v>
      </c>
      <c r="B4128" t="str">
        <f>"1552380231858798"</f>
        <v>1552380231858798</v>
      </c>
      <c r="C4128" t="s">
        <v>40</v>
      </c>
      <c r="D4128">
        <v>4.7026620000000001</v>
      </c>
      <c r="E4128">
        <v>0.42577120000000002</v>
      </c>
      <c r="F4128" t="s">
        <v>41</v>
      </c>
      <c r="G4128">
        <v>-418.3537</v>
      </c>
      <c r="H4128">
        <v>1.0176989999999999</v>
      </c>
      <c r="I4128">
        <v>34.452820000000003</v>
      </c>
      <c r="J4128">
        <v>-419.03030000000001</v>
      </c>
      <c r="K4128">
        <v>1.1194980000000001</v>
      </c>
      <c r="L4128">
        <v>34.84552</v>
      </c>
      <c r="M4128">
        <v>0.34185120000000002</v>
      </c>
      <c r="N4128">
        <v>0</v>
      </c>
      <c r="O4128">
        <v>-0.93964099999999995</v>
      </c>
      <c r="P4128">
        <v>0.6276351</v>
      </c>
      <c r="Q4128">
        <v>0.12578520000000001</v>
      </c>
      <c r="R4128">
        <v>-0.76827900000000005</v>
      </c>
      <c r="S4128">
        <v>2.371521</v>
      </c>
      <c r="T4128">
        <v>-0.30622779999999999</v>
      </c>
      <c r="U4128">
        <v>-2.0292659999999998</v>
      </c>
      <c r="V4128">
        <v>-0.33021030000000001</v>
      </c>
      <c r="W4128">
        <v>0.1320096</v>
      </c>
      <c r="X4128">
        <v>0.93463079999999998</v>
      </c>
      <c r="Y4128">
        <v>-0.48775049999999998</v>
      </c>
      <c r="Z4128">
        <v>0.1005113</v>
      </c>
      <c r="AA4128">
        <v>0.86717749999999905</v>
      </c>
      <c r="AB4128">
        <v>31</v>
      </c>
      <c r="AC4128">
        <v>0.67660000000000697</v>
      </c>
      <c r="AD4128">
        <v>-0.101798999999999</v>
      </c>
      <c r="AE4128">
        <v>-0.392699999999997</v>
      </c>
      <c r="AF4128">
        <v>-0.49321776367562897</v>
      </c>
      <c r="AG4128">
        <v>-0.101798999999999</v>
      </c>
      <c r="AH4128">
        <v>0.59036074485975198</v>
      </c>
      <c r="AI4128">
        <v>97.538179848345706</v>
      </c>
      <c r="AJ4128">
        <v>129.877119650494</v>
      </c>
      <c r="AK4128">
        <v>0.775984927609776</v>
      </c>
      <c r="AL4128">
        <v>82.414265532743002</v>
      </c>
      <c r="AM4128">
        <v>109.458600021883</v>
      </c>
      <c r="AN4128">
        <v>1.00000005451344</v>
      </c>
    </row>
    <row r="4129" spans="1:40" x14ac:dyDescent="0.25">
      <c r="A4129" t="str">
        <f>"20190312164351892"</f>
        <v>20190312164351892</v>
      </c>
      <c r="B4129" t="str">
        <f>"1552380231889055"</f>
        <v>1552380231889055</v>
      </c>
      <c r="C4129" t="s">
        <v>40</v>
      </c>
      <c r="D4129">
        <v>4.947724</v>
      </c>
      <c r="E4129">
        <v>0.42835459999999898</v>
      </c>
      <c r="F4129" t="s">
        <v>41</v>
      </c>
      <c r="G4129">
        <v>-418.25909999999999</v>
      </c>
      <c r="H4129">
        <v>1.0172890000000001</v>
      </c>
      <c r="I4129">
        <v>34.199680000000001</v>
      </c>
      <c r="J4129">
        <v>-418.91559999999998</v>
      </c>
      <c r="K4129">
        <v>1.1196549999999901</v>
      </c>
      <c r="L4129">
        <v>34.563540000000003</v>
      </c>
      <c r="M4129">
        <v>0.35277019999999998</v>
      </c>
      <c r="N4129">
        <v>0</v>
      </c>
      <c r="O4129">
        <v>-0.93559579999999998</v>
      </c>
      <c r="P4129">
        <v>0.63857219999999904</v>
      </c>
      <c r="Q4129">
        <v>0.12355670000000001</v>
      </c>
      <c r="R4129">
        <v>-0.75957819999999898</v>
      </c>
      <c r="S4129">
        <v>2.392029</v>
      </c>
      <c r="T4129">
        <v>-0.31693719999999997</v>
      </c>
      <c r="U4129">
        <v>-2.0025629999999999</v>
      </c>
      <c r="V4129">
        <v>-0.33258890000000002</v>
      </c>
      <c r="W4129">
        <v>0.12961900000000001</v>
      </c>
      <c r="X4129">
        <v>0.9341218</v>
      </c>
      <c r="Y4129">
        <v>-0.4866645</v>
      </c>
      <c r="Z4129">
        <v>0.1039062</v>
      </c>
      <c r="AA4129">
        <v>0.86738749999999998</v>
      </c>
      <c r="AB4129">
        <v>31</v>
      </c>
      <c r="AC4129">
        <v>0.65649999999999398</v>
      </c>
      <c r="AD4129">
        <v>-0.102365999999999</v>
      </c>
      <c r="AE4129">
        <v>-0.36386000000000202</v>
      </c>
      <c r="AF4129">
        <v>-0.47703883352167598</v>
      </c>
      <c r="AG4129">
        <v>-0.102365999999999</v>
      </c>
      <c r="AH4129">
        <v>0.56163443691932002</v>
      </c>
      <c r="AI4129">
        <v>97.908755572512604</v>
      </c>
      <c r="AJ4129">
        <v>130.34377527925199</v>
      </c>
      <c r="AK4129">
        <v>0.74396107920872001</v>
      </c>
      <c r="AL4129">
        <v>82.552423649400197</v>
      </c>
      <c r="AM4129">
        <v>109.597990750059</v>
      </c>
      <c r="AN4129">
        <v>0.99999999939972495</v>
      </c>
    </row>
    <row r="4130" spans="1:40" x14ac:dyDescent="0.25">
      <c r="A4130" t="str">
        <f>"20190312164351915"</f>
        <v>20190312164351915</v>
      </c>
      <c r="B4130" t="str">
        <f>"1552380231908577"</f>
        <v>1552380231908577</v>
      </c>
      <c r="C4130" t="s">
        <v>40</v>
      </c>
      <c r="D4130">
        <v>4.6765970000000001</v>
      </c>
      <c r="E4130">
        <v>0.4296854</v>
      </c>
      <c r="F4130" t="s">
        <v>41</v>
      </c>
      <c r="G4130">
        <v>-418.16520000000003</v>
      </c>
      <c r="H4130">
        <v>1.0184629999999999</v>
      </c>
      <c r="I4130">
        <v>33.945609999999903</v>
      </c>
      <c r="J4130">
        <v>-418.7937</v>
      </c>
      <c r="K4130">
        <v>1.119812</v>
      </c>
      <c r="L4130">
        <v>34.274259999999998</v>
      </c>
      <c r="M4130">
        <v>0.36419360000000001</v>
      </c>
      <c r="N4130">
        <v>0</v>
      </c>
      <c r="O4130">
        <v>-0.93120809999999998</v>
      </c>
      <c r="P4130">
        <v>0.6495261</v>
      </c>
      <c r="Q4130">
        <v>0.12120499999999999</v>
      </c>
      <c r="R4130">
        <v>-0.75061659999999997</v>
      </c>
      <c r="S4130">
        <v>2.4046630000000002</v>
      </c>
      <c r="T4130">
        <v>-0.32434859999999999</v>
      </c>
      <c r="U4130">
        <v>-1.980774</v>
      </c>
      <c r="V4130">
        <v>-0.33457500000000001</v>
      </c>
      <c r="W4130">
        <v>0.127114</v>
      </c>
      <c r="X4130">
        <v>0.9337567</v>
      </c>
      <c r="Y4130">
        <v>-0.48269329999999999</v>
      </c>
      <c r="Z4130">
        <v>0.1062201</v>
      </c>
      <c r="AA4130">
        <v>0.86932410000000004</v>
      </c>
      <c r="AB4130">
        <v>31</v>
      </c>
      <c r="AC4130">
        <v>0.62849999999997397</v>
      </c>
      <c r="AD4130">
        <v>-0.10134899999999999</v>
      </c>
      <c r="AE4130">
        <v>-0.328650000000003</v>
      </c>
      <c r="AF4130">
        <v>-0.45630436973517002</v>
      </c>
      <c r="AG4130">
        <v>-0.10134899999999999</v>
      </c>
      <c r="AH4130">
        <v>0.52428873987815505</v>
      </c>
      <c r="AI4130">
        <v>98.296157498450299</v>
      </c>
      <c r="AJ4130">
        <v>131.03403855508901</v>
      </c>
      <c r="AK4130">
        <v>0.70239873320175805</v>
      </c>
      <c r="AL4130">
        <v>82.697146852770999</v>
      </c>
      <c r="AM4130">
        <v>109.713144362972</v>
      </c>
      <c r="AN4130">
        <v>0.99999998720794403</v>
      </c>
    </row>
    <row r="4131" spans="1:40" x14ac:dyDescent="0.25">
      <c r="A4131" t="str">
        <f>"20190312164351937"</f>
        <v>20190312164351937</v>
      </c>
      <c r="B4131" t="str">
        <f>"1552380231929083"</f>
        <v>1552380231929083</v>
      </c>
      <c r="C4131" t="s">
        <v>40</v>
      </c>
      <c r="D4131">
        <v>4.6900199999999996</v>
      </c>
      <c r="E4131">
        <v>0.43082599999999999</v>
      </c>
      <c r="F4131" t="s">
        <v>41</v>
      </c>
      <c r="G4131">
        <v>-418.0702</v>
      </c>
      <c r="H4131">
        <v>1.0216459999999901</v>
      </c>
      <c r="I4131">
        <v>33.691719999999997</v>
      </c>
      <c r="J4131">
        <v>-418.67189999999999</v>
      </c>
      <c r="K4131">
        <v>1.1199699999999999</v>
      </c>
      <c r="L4131">
        <v>33.994999999999997</v>
      </c>
      <c r="M4131">
        <v>0.37544949999999999</v>
      </c>
      <c r="N4131">
        <v>0</v>
      </c>
      <c r="O4131">
        <v>-0.92672639999999995</v>
      </c>
      <c r="P4131">
        <v>0.65987510000000005</v>
      </c>
      <c r="Q4131">
        <v>0.1201658</v>
      </c>
      <c r="R4131">
        <v>-0.74170440000000004</v>
      </c>
      <c r="S4131">
        <v>2.4245000000000001</v>
      </c>
      <c r="T4131">
        <v>-0.32891959999999998</v>
      </c>
      <c r="U4131">
        <v>-1.9518740000000001</v>
      </c>
      <c r="V4131">
        <v>-0.33618150000000002</v>
      </c>
      <c r="W4131">
        <v>0.12592970000000001</v>
      </c>
      <c r="X4131">
        <v>0.93334010000000001</v>
      </c>
      <c r="Y4131">
        <v>-0.48172470000000001</v>
      </c>
      <c r="Z4131">
        <v>0.107615</v>
      </c>
      <c r="AA4131">
        <v>0.86968979999999996</v>
      </c>
      <c r="AB4131">
        <v>31</v>
      </c>
      <c r="AC4131">
        <v>0.60169999999999302</v>
      </c>
      <c r="AD4131">
        <v>-9.83240000000003E-2</v>
      </c>
      <c r="AE4131">
        <v>-0.303279999999993</v>
      </c>
      <c r="AF4131">
        <v>-0.43454006772986498</v>
      </c>
      <c r="AG4131">
        <v>-9.83240000000003E-2</v>
      </c>
      <c r="AH4131">
        <v>0.49644923905009303</v>
      </c>
      <c r="AI4131">
        <v>98.476366045232893</v>
      </c>
      <c r="AJ4131">
        <v>131.19553142616201</v>
      </c>
      <c r="AK4131">
        <v>0.66704911842539205</v>
      </c>
      <c r="AL4131">
        <v>82.765552176727496</v>
      </c>
      <c r="AM4131">
        <v>109.80860695738301</v>
      </c>
      <c r="AN4131">
        <v>1.00000001627617</v>
      </c>
    </row>
    <row r="4132" spans="1:40" x14ac:dyDescent="0.25">
      <c r="A4132" t="str">
        <f>"20190312164351960"</f>
        <v>20190312164351960</v>
      </c>
      <c r="B4132" t="str">
        <f>"1552380231948589"</f>
        <v>1552380231948589</v>
      </c>
      <c r="C4132" t="s">
        <v>40</v>
      </c>
      <c r="D4132">
        <v>4.7427299999999999</v>
      </c>
      <c r="E4132">
        <v>0.43204749999999997</v>
      </c>
      <c r="F4132" t="s">
        <v>41</v>
      </c>
      <c r="G4132">
        <v>-417.96879999999999</v>
      </c>
      <c r="H4132">
        <v>1.0228060000000001</v>
      </c>
      <c r="I4132">
        <v>33.441560000000003</v>
      </c>
      <c r="J4132">
        <v>-418.54689999999999</v>
      </c>
      <c r="K4132">
        <v>1.1201509999999999</v>
      </c>
      <c r="L4132">
        <v>33.718200000000003</v>
      </c>
      <c r="M4132">
        <v>0.38684000000000002</v>
      </c>
      <c r="N4132">
        <v>0</v>
      </c>
      <c r="O4132">
        <v>-0.92202910000000005</v>
      </c>
      <c r="P4132">
        <v>0.66979719999999998</v>
      </c>
      <c r="Q4132">
        <v>0.1208535</v>
      </c>
      <c r="R4132">
        <v>-0.7326433</v>
      </c>
      <c r="S4132">
        <v>2.4446720000000002</v>
      </c>
      <c r="T4132">
        <v>-0.33787850000000003</v>
      </c>
      <c r="U4132">
        <v>-1.9244380000000001</v>
      </c>
      <c r="V4132">
        <v>-0.33736059999999901</v>
      </c>
      <c r="W4132">
        <v>0.12647410000000001</v>
      </c>
      <c r="X4132">
        <v>0.93284089999999997</v>
      </c>
      <c r="Y4132">
        <v>-0.48020109999999999</v>
      </c>
      <c r="Z4132">
        <v>0.1103369</v>
      </c>
      <c r="AA4132">
        <v>0.87019120000000005</v>
      </c>
      <c r="AB4132">
        <v>31</v>
      </c>
      <c r="AC4132">
        <v>0.57810000000000605</v>
      </c>
      <c r="AD4132">
        <v>-9.7345000000000195E-2</v>
      </c>
      <c r="AE4132">
        <v>-0.27664000000000699</v>
      </c>
      <c r="AF4132">
        <v>-0.41644788326224702</v>
      </c>
      <c r="AG4132">
        <v>-9.7345000000000195E-2</v>
      </c>
      <c r="AH4132">
        <v>0.46795793195509899</v>
      </c>
      <c r="AI4132">
        <v>98.832925762519693</v>
      </c>
      <c r="AJ4132">
        <v>131.66671342468399</v>
      </c>
      <c r="AK4132">
        <v>0.63394756453377099</v>
      </c>
      <c r="AL4132">
        <v>82.734108896200894</v>
      </c>
      <c r="AM4132">
        <v>109.882452677812</v>
      </c>
      <c r="AN4132">
        <v>1.0000000085579801</v>
      </c>
    </row>
    <row r="4133" spans="1:40" x14ac:dyDescent="0.25">
      <c r="A4133" t="str">
        <f>"20190312164351983"</f>
        <v>20190312164351983</v>
      </c>
      <c r="B4133" t="str">
        <f>"1552380231978846"</f>
        <v>1552380231978846</v>
      </c>
      <c r="C4133" t="s">
        <v>40</v>
      </c>
      <c r="D4133">
        <v>4.6417529999999996</v>
      </c>
      <c r="E4133">
        <v>0.43403540000000002</v>
      </c>
      <c r="F4133" t="s">
        <v>41</v>
      </c>
      <c r="G4133">
        <v>-417.86430000000001</v>
      </c>
      <c r="H4133">
        <v>1.027169</v>
      </c>
      <c r="I4133">
        <v>33.19191</v>
      </c>
      <c r="J4133">
        <v>-418.41359999999997</v>
      </c>
      <c r="K4133">
        <v>1.1203609999999999</v>
      </c>
      <c r="L4133">
        <v>33.433590000000002</v>
      </c>
      <c r="M4133">
        <v>0.39883669999999999</v>
      </c>
      <c r="N4133">
        <v>0</v>
      </c>
      <c r="O4133">
        <v>-0.91690289999999997</v>
      </c>
      <c r="P4133">
        <v>0.67938669999999901</v>
      </c>
      <c r="Q4133">
        <v>0.1215736</v>
      </c>
      <c r="R4133">
        <v>-0.72363949999999999</v>
      </c>
      <c r="S4133">
        <v>2.4632260000000001</v>
      </c>
      <c r="T4133">
        <v>-0.33538059999999997</v>
      </c>
      <c r="U4133">
        <v>-1.8981319999999999</v>
      </c>
      <c r="V4133">
        <v>-0.33760289999999998</v>
      </c>
      <c r="W4133">
        <v>0.12706819999999999</v>
      </c>
      <c r="X4133">
        <v>0.93267250000000002</v>
      </c>
      <c r="Y4133">
        <v>-0.47785879999999997</v>
      </c>
      <c r="Z4133">
        <v>0.1093049</v>
      </c>
      <c r="AA4133">
        <v>0.87160959999999998</v>
      </c>
      <c r="AB4133">
        <v>31</v>
      </c>
      <c r="AC4133">
        <v>0.54929999999995904</v>
      </c>
      <c r="AD4133">
        <v>-9.3192000000000094E-2</v>
      </c>
      <c r="AE4133">
        <v>-0.241680000000002</v>
      </c>
      <c r="AF4133">
        <v>-0.397717447577493</v>
      </c>
      <c r="AG4133">
        <v>-9.3192000000000094E-2</v>
      </c>
      <c r="AH4133">
        <v>0.43034838594260399</v>
      </c>
      <c r="AI4133">
        <v>99.036340399314994</v>
      </c>
      <c r="AJ4133">
        <v>132.74335791766001</v>
      </c>
      <c r="AK4133">
        <v>0.59334951778438405</v>
      </c>
      <c r="AL4133">
        <v>82.699792685150697</v>
      </c>
      <c r="AM4133">
        <v>109.898922843702</v>
      </c>
      <c r="AN4133">
        <v>1.0000000188979401</v>
      </c>
    </row>
    <row r="4134" spans="1:40" x14ac:dyDescent="0.25">
      <c r="A4134" t="str">
        <f>"20190312164352005"</f>
        <v>20190312164352005</v>
      </c>
      <c r="B4134" t="str">
        <f>"1552380231999342"</f>
        <v>1552380231999342</v>
      </c>
      <c r="C4134" t="s">
        <v>40</v>
      </c>
      <c r="D4134">
        <v>4.6224860000000003</v>
      </c>
      <c r="E4134">
        <v>0.43460589999999999</v>
      </c>
      <c r="F4134" t="s">
        <v>41</v>
      </c>
      <c r="G4134">
        <v>-417.54489999999998</v>
      </c>
      <c r="H4134">
        <v>1.003476</v>
      </c>
      <c r="I4134">
        <v>32.775419999999997</v>
      </c>
      <c r="J4134">
        <v>-418.28370000000001</v>
      </c>
      <c r="K4134">
        <v>1.1205579999999999</v>
      </c>
      <c r="L4134">
        <v>33.166049999999998</v>
      </c>
      <c r="M4134">
        <v>0.41037940000000001</v>
      </c>
      <c r="N4134">
        <v>0</v>
      </c>
      <c r="O4134">
        <v>-0.91179410000000005</v>
      </c>
      <c r="P4134">
        <v>0.68841839999999999</v>
      </c>
      <c r="Q4134">
        <v>0.122597499999999</v>
      </c>
      <c r="R4134">
        <v>-0.71487780000000001</v>
      </c>
      <c r="S4134">
        <v>2.4769290000000002</v>
      </c>
      <c r="T4134">
        <v>-0.33323570000000002</v>
      </c>
      <c r="U4134">
        <v>-1.8762509999999999</v>
      </c>
      <c r="V4134">
        <v>-0.33769850000000001</v>
      </c>
      <c r="W4134">
        <v>0.1279739</v>
      </c>
      <c r="X4134">
        <v>0.93251399999999995</v>
      </c>
      <c r="Y4134">
        <v>-0.47406959999999998</v>
      </c>
      <c r="Z4134">
        <v>0.10836709999999999</v>
      </c>
      <c r="AA4134">
        <v>0.87379319999999905</v>
      </c>
      <c r="AB4134">
        <v>31</v>
      </c>
      <c r="AC4134">
        <v>0.73880000000002599</v>
      </c>
      <c r="AD4134">
        <v>-0.11708199999999901</v>
      </c>
      <c r="AE4134">
        <v>-0.39062999999999398</v>
      </c>
      <c r="AF4134">
        <v>-0.50350104568613196</v>
      </c>
      <c r="AG4134">
        <v>-0.11708199999999901</v>
      </c>
      <c r="AH4134">
        <v>0.64674113864441596</v>
      </c>
      <c r="AI4134">
        <v>98.129589724205005</v>
      </c>
      <c r="AJ4134">
        <v>127.901478631213</v>
      </c>
      <c r="AK4134">
        <v>0.82794661551702997</v>
      </c>
      <c r="AL4134">
        <v>82.647472447998396</v>
      </c>
      <c r="AM4134">
        <v>109.90723256737</v>
      </c>
      <c r="AN4134">
        <v>0.99999997808972896</v>
      </c>
    </row>
    <row r="4135" spans="1:40" x14ac:dyDescent="0.25">
      <c r="A4135" t="str">
        <f>"20190312164352027"</f>
        <v>20190312164352027</v>
      </c>
      <c r="B4135" t="str">
        <f>"1552380232018861"</f>
        <v>1552380232018861</v>
      </c>
      <c r="C4135" t="s">
        <v>40</v>
      </c>
      <c r="D4135">
        <v>4.5937460000000003</v>
      </c>
      <c r="E4135">
        <v>0.43415589999999998</v>
      </c>
      <c r="F4135" t="s">
        <v>41</v>
      </c>
      <c r="G4135">
        <v>-417.43049999999999</v>
      </c>
      <c r="H4135">
        <v>1.0091490000000001</v>
      </c>
      <c r="I4135">
        <v>32.53445</v>
      </c>
      <c r="J4135">
        <v>-418.15010000000001</v>
      </c>
      <c r="K4135">
        <v>1.120752</v>
      </c>
      <c r="L4135">
        <v>32.899839999999998</v>
      </c>
      <c r="M4135">
        <v>0.42209229999999998</v>
      </c>
      <c r="N4135">
        <v>0</v>
      </c>
      <c r="O4135">
        <v>-0.90643070000000003</v>
      </c>
      <c r="P4135">
        <v>0.69696550000000002</v>
      </c>
      <c r="Q4135">
        <v>0.1250937</v>
      </c>
      <c r="R4135">
        <v>-0.70610980000000001</v>
      </c>
      <c r="S4135">
        <v>2.4965820000000001</v>
      </c>
      <c r="T4135">
        <v>-0.32602049999999999</v>
      </c>
      <c r="U4135">
        <v>-1.8482670000000001</v>
      </c>
      <c r="V4135">
        <v>-0.337205599999999</v>
      </c>
      <c r="W4135">
        <v>0.13037589999999999</v>
      </c>
      <c r="X4135">
        <v>0.93235959999999996</v>
      </c>
      <c r="Y4135">
        <v>-0.47258719999999999</v>
      </c>
      <c r="Z4135">
        <v>0.10579040000000001</v>
      </c>
      <c r="AA4135">
        <v>0.87491129999999995</v>
      </c>
      <c r="AB4135">
        <v>31</v>
      </c>
      <c r="AC4135">
        <v>0.71960000000001401</v>
      </c>
      <c r="AD4135">
        <v>-0.11160299999999899</v>
      </c>
      <c r="AE4135">
        <v>-0.36539000000000499</v>
      </c>
      <c r="AF4135">
        <v>-0.48874822809797802</v>
      </c>
      <c r="AG4135">
        <v>-0.11160299999999899</v>
      </c>
      <c r="AH4135">
        <v>0.62309346060989301</v>
      </c>
      <c r="AI4135">
        <v>98.021809607699097</v>
      </c>
      <c r="AJ4135">
        <v>128.11027961007201</v>
      </c>
      <c r="AK4135">
        <v>0.79973465645345498</v>
      </c>
      <c r="AL4135">
        <v>82.508685010568001</v>
      </c>
      <c r="AM4135">
        <v>109.88348856115999</v>
      </c>
      <c r="AN4135">
        <v>0.999999957842164</v>
      </c>
    </row>
    <row r="4136" spans="1:40" x14ac:dyDescent="0.25">
      <c r="A4136" t="str">
        <f>"20190312164352048"</f>
        <v>20190312164352048</v>
      </c>
      <c r="B4136" t="str">
        <f>"1552380232039357"</f>
        <v>1552380232039357</v>
      </c>
      <c r="C4136" t="s">
        <v>40</v>
      </c>
      <c r="D4136">
        <v>4.6283669999999999</v>
      </c>
      <c r="E4136">
        <v>0.43379459999999997</v>
      </c>
      <c r="F4136" t="s">
        <v>41</v>
      </c>
      <c r="G4136">
        <v>-417.31189999999998</v>
      </c>
      <c r="H4136">
        <v>1.0149570000000001</v>
      </c>
      <c r="I4136">
        <v>32.29618</v>
      </c>
      <c r="J4136">
        <v>-418.01729999999998</v>
      </c>
      <c r="K4136">
        <v>1.120941</v>
      </c>
      <c r="L4136">
        <v>32.643889999999999</v>
      </c>
      <c r="M4136">
        <v>0.43358279999999899</v>
      </c>
      <c r="N4136">
        <v>0</v>
      </c>
      <c r="O4136">
        <v>-0.90098979999999995</v>
      </c>
      <c r="P4136">
        <v>0.70447740000000003</v>
      </c>
      <c r="Q4136">
        <v>0.12921189999999999</v>
      </c>
      <c r="R4136">
        <v>-0.69786510000000002</v>
      </c>
      <c r="S4136">
        <v>2.5220950000000002</v>
      </c>
      <c r="T4136">
        <v>-0.31822840000000002</v>
      </c>
      <c r="U4136">
        <v>-1.8155520000000001</v>
      </c>
      <c r="V4136">
        <v>-0.33580850000000001</v>
      </c>
      <c r="W4136">
        <v>0.13443260000000001</v>
      </c>
      <c r="X4136">
        <v>0.9322878</v>
      </c>
      <c r="Y4136">
        <v>-0.47332419999999997</v>
      </c>
      <c r="Z4136">
        <v>0.1030039</v>
      </c>
      <c r="AA4136">
        <v>0.87484530000000005</v>
      </c>
      <c r="AB4136">
        <v>31</v>
      </c>
      <c r="AC4136">
        <v>0.70539999999999703</v>
      </c>
      <c r="AD4136">
        <v>-0.10598399999999999</v>
      </c>
      <c r="AE4136">
        <v>-0.34770999999999902</v>
      </c>
      <c r="AF4136">
        <v>-0.47620281250458701</v>
      </c>
      <c r="AG4136">
        <v>-0.10598399999999999</v>
      </c>
      <c r="AH4136">
        <v>0.608156702658603</v>
      </c>
      <c r="AI4136">
        <v>97.812844700617703</v>
      </c>
      <c r="AJ4136">
        <v>128.06188516775001</v>
      </c>
      <c r="AK4136">
        <v>0.77965139766556202</v>
      </c>
      <c r="AL4136">
        <v>82.274188871322806</v>
      </c>
      <c r="AM4136">
        <v>109.80893497947299</v>
      </c>
      <c r="AN4136">
        <v>1.00000000732192</v>
      </c>
    </row>
    <row r="4137" spans="1:40" x14ac:dyDescent="0.25">
      <c r="A4137" t="str">
        <f>"20190312164352071"</f>
        <v>20190312164352071</v>
      </c>
      <c r="B4137" t="str">
        <f>"1552380232058878"</f>
        <v>1552380232058878</v>
      </c>
      <c r="C4137" t="s">
        <v>40</v>
      </c>
      <c r="D4137">
        <v>4.7461549999999999</v>
      </c>
      <c r="E4137">
        <v>0.43352230000000003</v>
      </c>
      <c r="F4137" t="s">
        <v>41</v>
      </c>
      <c r="G4137">
        <v>-417.18759999999997</v>
      </c>
      <c r="H4137">
        <v>1.0208379999999999</v>
      </c>
      <c r="I4137">
        <v>32.061950000000003</v>
      </c>
      <c r="J4137">
        <v>-417.87400000000002</v>
      </c>
      <c r="K4137">
        <v>1.121127</v>
      </c>
      <c r="L4137">
        <v>32.37677</v>
      </c>
      <c r="M4137">
        <v>0.44582319999999998</v>
      </c>
      <c r="N4137">
        <v>0</v>
      </c>
      <c r="O4137">
        <v>-0.8949954</v>
      </c>
      <c r="P4137">
        <v>0.71225909999999903</v>
      </c>
      <c r="Q4137">
        <v>0.13267799999999999</v>
      </c>
      <c r="R4137">
        <v>-0.68926299999999996</v>
      </c>
      <c r="S4137">
        <v>2.5458980000000002</v>
      </c>
      <c r="T4137">
        <v>-0.30714180000000002</v>
      </c>
      <c r="U4137">
        <v>-1.7856449999999999</v>
      </c>
      <c r="V4137">
        <v>-0.33399719999999999</v>
      </c>
      <c r="W4137">
        <v>0.1378499</v>
      </c>
      <c r="X4137">
        <v>0.93243940000000003</v>
      </c>
      <c r="Y4137">
        <v>-0.47242050000000002</v>
      </c>
      <c r="Z4137">
        <v>9.9071720000000002E-2</v>
      </c>
      <c r="AA4137">
        <v>0.87578750000000005</v>
      </c>
      <c r="AB4137">
        <v>31</v>
      </c>
      <c r="AC4137">
        <v>0.68640000000004797</v>
      </c>
      <c r="AD4137">
        <v>-0.100289</v>
      </c>
      <c r="AE4137">
        <v>-0.31481999999999699</v>
      </c>
      <c r="AF4137">
        <v>-0.46580840987602001</v>
      </c>
      <c r="AG4137">
        <v>-0.100289</v>
      </c>
      <c r="AH4137">
        <v>0.57765326317972998</v>
      </c>
      <c r="AI4137">
        <v>97.696803795713507</v>
      </c>
      <c r="AJ4137">
        <v>128.882032487397</v>
      </c>
      <c r="AK4137">
        <v>0.74881149209558595</v>
      </c>
      <c r="AL4137">
        <v>82.076551569313196</v>
      </c>
      <c r="AM4137">
        <v>109.707382877033</v>
      </c>
      <c r="AN4137">
        <v>0.99999997960510401</v>
      </c>
    </row>
    <row r="4138" spans="1:40" x14ac:dyDescent="0.25">
      <c r="A4138" t="str">
        <f>"20190312164352094"</f>
        <v>20190312164352094</v>
      </c>
      <c r="B4138" t="str">
        <f>"1552380232089134"</f>
        <v>1552380232089134</v>
      </c>
      <c r="C4138" t="s">
        <v>40</v>
      </c>
      <c r="D4138">
        <v>4.7236390000000004</v>
      </c>
      <c r="E4138">
        <v>0.4333824</v>
      </c>
      <c r="F4138" t="s">
        <v>41</v>
      </c>
      <c r="G4138">
        <v>-417.06630000000001</v>
      </c>
      <c r="H4138">
        <v>1.027236</v>
      </c>
      <c r="I4138">
        <v>31.825009999999999</v>
      </c>
      <c r="J4138">
        <v>-417.72719999999998</v>
      </c>
      <c r="K4138">
        <v>1.1213139999999999</v>
      </c>
      <c r="L4138">
        <v>32.112119999999997</v>
      </c>
      <c r="M4138">
        <v>0.45820359999999999</v>
      </c>
      <c r="N4138">
        <v>0</v>
      </c>
      <c r="O4138">
        <v>-0.88871990000000001</v>
      </c>
      <c r="P4138">
        <v>0.72028269999999905</v>
      </c>
      <c r="Q4138">
        <v>0.13467860000000001</v>
      </c>
      <c r="R4138">
        <v>-0.68048109999999995</v>
      </c>
      <c r="S4138">
        <v>2.569855</v>
      </c>
      <c r="T4138">
        <v>-0.29858649999999998</v>
      </c>
      <c r="U4138">
        <v>-1.754364</v>
      </c>
      <c r="V4138">
        <v>-0.33226620000000001</v>
      </c>
      <c r="W4138">
        <v>0.13980680000000001</v>
      </c>
      <c r="X4138">
        <v>0.9327664</v>
      </c>
      <c r="Y4138">
        <v>-0.47154750000000001</v>
      </c>
      <c r="Z4138">
        <v>9.5952309999999999E-2</v>
      </c>
      <c r="AA4138">
        <v>0.87660490000000002</v>
      </c>
      <c r="AB4138">
        <v>31</v>
      </c>
      <c r="AC4138">
        <v>0.66089999999996896</v>
      </c>
      <c r="AD4138">
        <v>-9.4077999999999801E-2</v>
      </c>
      <c r="AE4138">
        <v>-0.28711000000000497</v>
      </c>
      <c r="AF4138">
        <v>-0.44821151275243498</v>
      </c>
      <c r="AG4138">
        <v>-9.4077999999999801E-2</v>
      </c>
      <c r="AH4138">
        <v>0.54869718128599598</v>
      </c>
      <c r="AI4138">
        <v>97.563834194271905</v>
      </c>
      <c r="AJ4138">
        <v>129.244182871368</v>
      </c>
      <c r="AK4138">
        <v>0.714711709012119</v>
      </c>
      <c r="AL4138">
        <v>81.963332946372603</v>
      </c>
      <c r="AM4138">
        <v>109.606706268754</v>
      </c>
      <c r="AN4138">
        <v>0.99999996297881899</v>
      </c>
    </row>
    <row r="4139" spans="1:40" x14ac:dyDescent="0.25">
      <c r="A4139" t="str">
        <f>"20190312164352117"</f>
        <v>20190312164352117</v>
      </c>
      <c r="B4139" t="str">
        <f>"1552380232108657"</f>
        <v>1552380232108657</v>
      </c>
      <c r="C4139" t="s">
        <v>40</v>
      </c>
      <c r="D4139">
        <v>4.4893879999999999</v>
      </c>
      <c r="E4139">
        <v>0.43344300000000002</v>
      </c>
      <c r="F4139" t="s">
        <v>41</v>
      </c>
      <c r="G4139">
        <v>-416.9418</v>
      </c>
      <c r="H4139">
        <v>1.0312520000000001</v>
      </c>
      <c r="I4139">
        <v>31.590140000000002</v>
      </c>
      <c r="J4139">
        <v>-417.57100000000003</v>
      </c>
      <c r="K4139">
        <v>1.121505</v>
      </c>
      <c r="L4139">
        <v>31.84</v>
      </c>
      <c r="M4139">
        <v>0.47119100000000003</v>
      </c>
      <c r="N4139">
        <v>0</v>
      </c>
      <c r="O4139">
        <v>-0.88190190000000002</v>
      </c>
      <c r="P4139">
        <v>0.72879430000000001</v>
      </c>
      <c r="Q4139">
        <v>0.13505539999999999</v>
      </c>
      <c r="R4139">
        <v>-0.67128189999999999</v>
      </c>
      <c r="S4139">
        <v>2.592346</v>
      </c>
      <c r="T4139">
        <v>-0.29734729999999998</v>
      </c>
      <c r="U4139">
        <v>-1.723511</v>
      </c>
      <c r="V4139">
        <v>-0.33043489999999998</v>
      </c>
      <c r="W4139">
        <v>0.14014579999999999</v>
      </c>
      <c r="X4139">
        <v>0.93336589999999997</v>
      </c>
      <c r="Y4139">
        <v>-0.46943439999999997</v>
      </c>
      <c r="Z4139">
        <v>9.5121200000000003E-2</v>
      </c>
      <c r="AA4139">
        <v>0.87782879999999996</v>
      </c>
      <c r="AB4139">
        <v>31</v>
      </c>
      <c r="AC4139">
        <v>0.62919999999996801</v>
      </c>
      <c r="AD4139">
        <v>-9.0252999999999903E-2</v>
      </c>
      <c r="AE4139">
        <v>-0.249859999999998</v>
      </c>
      <c r="AF4139">
        <v>-0.42957605373419</v>
      </c>
      <c r="AG4139">
        <v>-9.0252999999999903E-2</v>
      </c>
      <c r="AH4139">
        <v>0.50785835080475406</v>
      </c>
      <c r="AI4139">
        <v>97.726900013449495</v>
      </c>
      <c r="AJ4139">
        <v>130.22647899882199</v>
      </c>
      <c r="AK4139">
        <v>0.67126842204364501</v>
      </c>
      <c r="AL4139">
        <v>81.943716735396094</v>
      </c>
      <c r="AM4139">
        <v>109.49523797566501</v>
      </c>
      <c r="AN4139">
        <v>0.999999985839229</v>
      </c>
    </row>
    <row r="4140" spans="1:40" x14ac:dyDescent="0.25">
      <c r="A4140" t="str">
        <f>"20190312164352137"</f>
        <v>20190312164352137</v>
      </c>
      <c r="B4140" t="str">
        <f>"1552380232129153"</f>
        <v>1552380232129153</v>
      </c>
      <c r="C4140" t="s">
        <v>40</v>
      </c>
      <c r="D4140">
        <v>4.6691440000000002</v>
      </c>
      <c r="E4140">
        <v>0.4337665</v>
      </c>
      <c r="F4140" t="s">
        <v>41</v>
      </c>
      <c r="G4140">
        <v>-416.81869999999998</v>
      </c>
      <c r="H4140">
        <v>1.0363059999999999</v>
      </c>
      <c r="I4140">
        <v>31.353490000000001</v>
      </c>
      <c r="J4140">
        <v>-417.42579999999998</v>
      </c>
      <c r="K4140">
        <v>1.1216729999999999</v>
      </c>
      <c r="L4140">
        <v>31.595700000000001</v>
      </c>
      <c r="M4140">
        <v>0.48307600000000001</v>
      </c>
      <c r="N4140">
        <v>0</v>
      </c>
      <c r="O4140">
        <v>-0.87544739999999999</v>
      </c>
      <c r="P4140">
        <v>0.73647899999999999</v>
      </c>
      <c r="Q4140">
        <v>0.1340026</v>
      </c>
      <c r="R4140">
        <v>-0.66305509999999901</v>
      </c>
      <c r="S4140">
        <v>2.6143190000000001</v>
      </c>
      <c r="T4140">
        <v>-0.29604390000000003</v>
      </c>
      <c r="U4140">
        <v>-1.69036899999999</v>
      </c>
      <c r="V4140">
        <v>-0.32848500000000003</v>
      </c>
      <c r="W4140">
        <v>0.13907539999999999</v>
      </c>
      <c r="X4140">
        <v>0.93421390000000004</v>
      </c>
      <c r="Y4140">
        <v>-0.46877570000000002</v>
      </c>
      <c r="Z4140">
        <v>9.4355460000000002E-2</v>
      </c>
      <c r="AA4140">
        <v>0.87826329999999997</v>
      </c>
      <c r="AB4140">
        <v>31</v>
      </c>
      <c r="AC4140">
        <v>0.60710000000000197</v>
      </c>
      <c r="AD4140">
        <v>-8.5366999999999901E-2</v>
      </c>
      <c r="AE4140">
        <v>-0.24221000000000001</v>
      </c>
      <c r="AF4140">
        <v>-0.40757369734903998</v>
      </c>
      <c r="AG4140">
        <v>-8.5366999999999901E-2</v>
      </c>
      <c r="AH4140">
        <v>0.496899728181249</v>
      </c>
      <c r="AI4140">
        <v>97.5663981586668</v>
      </c>
      <c r="AJ4140">
        <v>129.35974403439801</v>
      </c>
      <c r="AK4140">
        <v>0.64831565099599897</v>
      </c>
      <c r="AL4140">
        <v>82.005652718413202</v>
      </c>
      <c r="AM4140">
        <v>109.37251443363699</v>
      </c>
      <c r="AN4140">
        <v>0.99999998653168498</v>
      </c>
    </row>
    <row r="4141" spans="1:40" x14ac:dyDescent="0.25">
      <c r="A4141" t="str">
        <f>"20190312164352162"</f>
        <v>20190312164352162</v>
      </c>
      <c r="B4141" t="str">
        <f>"1552380232159406"</f>
        <v>1552380232159406</v>
      </c>
      <c r="C4141" t="s">
        <v>40</v>
      </c>
      <c r="D4141">
        <v>4.4296160000000002</v>
      </c>
      <c r="E4141">
        <v>0.43423349999999999</v>
      </c>
      <c r="F4141" t="s">
        <v>41</v>
      </c>
      <c r="G4141">
        <v>-416.68</v>
      </c>
      <c r="H4141">
        <v>1.0370010000000001</v>
      </c>
      <c r="I4141">
        <v>31.125150000000001</v>
      </c>
      <c r="J4141">
        <v>-417.2654</v>
      </c>
      <c r="K4141">
        <v>1.1218399999999999</v>
      </c>
      <c r="L4141">
        <v>31.334379999999999</v>
      </c>
      <c r="M4141">
        <v>0.49600729999999998</v>
      </c>
      <c r="N4141">
        <v>0</v>
      </c>
      <c r="O4141">
        <v>-0.86818530000000005</v>
      </c>
      <c r="P4141">
        <v>0.74464739999999996</v>
      </c>
      <c r="Q4141">
        <v>0.13305149999999999</v>
      </c>
      <c r="R4141">
        <v>-0.65406260000000005</v>
      </c>
      <c r="S4141">
        <v>2.6324770000000002</v>
      </c>
      <c r="T4141">
        <v>-0.2988442</v>
      </c>
      <c r="U4141">
        <v>-1.66091899999999</v>
      </c>
      <c r="V4141">
        <v>-0.3261482</v>
      </c>
      <c r="W4141">
        <v>0.13812099999999999</v>
      </c>
      <c r="X4141">
        <v>0.9351737</v>
      </c>
      <c r="Y4141">
        <v>-0.46539439999999999</v>
      </c>
      <c r="Z4141">
        <v>9.4778490000000007E-2</v>
      </c>
      <c r="AA4141">
        <v>0.88001419999999997</v>
      </c>
      <c r="AB4141">
        <v>31</v>
      </c>
      <c r="AC4141">
        <v>0.58539999999999204</v>
      </c>
      <c r="AD4141">
        <v>-8.4838999999999803E-2</v>
      </c>
      <c r="AE4141">
        <v>-0.209229999999998</v>
      </c>
      <c r="AF4141">
        <v>-0.39710704421048398</v>
      </c>
      <c r="AG4141">
        <v>-8.4838999999999803E-2</v>
      </c>
      <c r="AH4141">
        <v>0.463436540316707</v>
      </c>
      <c r="AI4141">
        <v>97.914066596819694</v>
      </c>
      <c r="AJ4141">
        <v>130.59243626026301</v>
      </c>
      <c r="AK4141">
        <v>0.61616969041271996</v>
      </c>
      <c r="AL4141">
        <v>82.060868460570504</v>
      </c>
      <c r="AM4141">
        <v>109.22656567374899</v>
      </c>
      <c r="AN4141">
        <v>0.99999995408796305</v>
      </c>
    </row>
    <row r="4142" spans="1:40" x14ac:dyDescent="0.25">
      <c r="A4142" t="str">
        <f>"20190312164352184"</f>
        <v>20190312164352184</v>
      </c>
      <c r="B4142" t="str">
        <f>"1552380232178927"</f>
        <v>1552380232178927</v>
      </c>
      <c r="C4142" t="s">
        <v>40</v>
      </c>
      <c r="D4142">
        <v>4.4874510000000001</v>
      </c>
      <c r="E4142">
        <v>0.43463819999999997</v>
      </c>
      <c r="F4142" t="s">
        <v>41</v>
      </c>
      <c r="G4142">
        <v>-416.32240000000002</v>
      </c>
      <c r="H4142">
        <v>1.0138160000000001</v>
      </c>
      <c r="I4142">
        <v>30.75451</v>
      </c>
      <c r="J4142">
        <v>-417.09969999999998</v>
      </c>
      <c r="K4142">
        <v>1.121983</v>
      </c>
      <c r="L4142">
        <v>31.074369999999998</v>
      </c>
      <c r="M4142">
        <v>0.50911609999999996</v>
      </c>
      <c r="N4142">
        <v>0</v>
      </c>
      <c r="O4142">
        <v>-0.86056250000000001</v>
      </c>
      <c r="P4142">
        <v>0.75302809999999998</v>
      </c>
      <c r="Q4142">
        <v>0.13230529999999999</v>
      </c>
      <c r="R4142">
        <v>-0.64454919999999905</v>
      </c>
      <c r="S4142">
        <v>2.651154</v>
      </c>
      <c r="T4142">
        <v>-0.30369590000000002</v>
      </c>
      <c r="U4142">
        <v>-1.630188</v>
      </c>
      <c r="V4142">
        <v>-0.32398759999999999</v>
      </c>
      <c r="W4142">
        <v>0.13737759999999999</v>
      </c>
      <c r="X4142">
        <v>0.93603389999999997</v>
      </c>
      <c r="Y4142">
        <v>-0.46204250000000002</v>
      </c>
      <c r="Z4142">
        <v>9.5795870000000005E-2</v>
      </c>
      <c r="AA4142">
        <v>0.88166880000000003</v>
      </c>
      <c r="AB4142">
        <v>30</v>
      </c>
      <c r="AC4142">
        <v>0.77729999999996802</v>
      </c>
      <c r="AD4142">
        <v>-0.108166999999999</v>
      </c>
      <c r="AE4142">
        <v>-0.31986000000000497</v>
      </c>
      <c r="AF4142">
        <v>-0.49788311604594698</v>
      </c>
      <c r="AG4142">
        <v>-0.108166999999999</v>
      </c>
      <c r="AH4142">
        <v>0.66014136149886204</v>
      </c>
      <c r="AI4142">
        <v>97.453041807995604</v>
      </c>
      <c r="AJ4142">
        <v>127.023847494443</v>
      </c>
      <c r="AK4142">
        <v>0.83389106860200402</v>
      </c>
      <c r="AL4142">
        <v>82.103872585801497</v>
      </c>
      <c r="AM4142">
        <v>109.09217275470201</v>
      </c>
      <c r="AN4142">
        <v>1.0000000159423601</v>
      </c>
    </row>
    <row r="4143" spans="1:40" x14ac:dyDescent="0.25">
      <c r="A4143" t="str">
        <f>"20190312164352206"</f>
        <v>20190312164352206</v>
      </c>
      <c r="B4143" t="str">
        <f>"1552380232199422"</f>
        <v>1552380232199422</v>
      </c>
      <c r="C4143" t="s">
        <v>40</v>
      </c>
      <c r="D4143">
        <v>4.5480720000000003</v>
      </c>
      <c r="E4143">
        <v>0.43484669999999997</v>
      </c>
      <c r="F4143" t="s">
        <v>41</v>
      </c>
      <c r="G4143">
        <v>-416.18700000000001</v>
      </c>
      <c r="H4143">
        <v>1.0173399999999999</v>
      </c>
      <c r="I4143">
        <v>30.52815</v>
      </c>
      <c r="J4143">
        <v>-416.93579999999997</v>
      </c>
      <c r="K4143">
        <v>1.1220950000000001</v>
      </c>
      <c r="L4143">
        <v>30.825620000000001</v>
      </c>
      <c r="M4143">
        <v>0.52181569999999999</v>
      </c>
      <c r="N4143">
        <v>0</v>
      </c>
      <c r="O4143">
        <v>-0.85292080000000003</v>
      </c>
      <c r="P4143">
        <v>0.76124749999999997</v>
      </c>
      <c r="Q4143">
        <v>0.13154869999999999</v>
      </c>
      <c r="R4143">
        <v>-0.63497799999999904</v>
      </c>
      <c r="S4143">
        <v>2.6703489999999999</v>
      </c>
      <c r="T4143">
        <v>-0.30607709999999999</v>
      </c>
      <c r="U4143">
        <v>-1.5974429999999999</v>
      </c>
      <c r="V4143">
        <v>-0.32207570000000002</v>
      </c>
      <c r="W4143">
        <v>0.13663169999999999</v>
      </c>
      <c r="X4143">
        <v>0.93680260000000004</v>
      </c>
      <c r="Y4143">
        <v>-0.45962340000000002</v>
      </c>
      <c r="Z4143">
        <v>9.6044669999999999E-2</v>
      </c>
      <c r="AA4143">
        <v>0.88290519999999995</v>
      </c>
      <c r="AB4143">
        <v>30</v>
      </c>
      <c r="AC4143">
        <v>0.74880000000001701</v>
      </c>
      <c r="AD4143">
        <v>-0.104755</v>
      </c>
      <c r="AE4143">
        <v>-0.29747000000000001</v>
      </c>
      <c r="AF4143">
        <v>-0.475462270414856</v>
      </c>
      <c r="AG4143">
        <v>-0.104755</v>
      </c>
      <c r="AH4143">
        <v>0.63381578301008101</v>
      </c>
      <c r="AI4143">
        <v>97.531470801639401</v>
      </c>
      <c r="AJ4143">
        <v>126.87570774628</v>
      </c>
      <c r="AK4143">
        <v>0.79922489163296995</v>
      </c>
      <c r="AL4143">
        <v>82.147016563266504</v>
      </c>
      <c r="AM4143">
        <v>108.97313205096501</v>
      </c>
      <c r="AN4143">
        <v>1.00000004467106</v>
      </c>
    </row>
    <row r="4144" spans="1:40" x14ac:dyDescent="0.25">
      <c r="A4144" t="str">
        <f>"20190312164352227"</f>
        <v>20190312164352227</v>
      </c>
      <c r="B4144" t="str">
        <f>"1552380232218941"</f>
        <v>1552380232218941</v>
      </c>
      <c r="C4144" t="s">
        <v>40</v>
      </c>
      <c r="D4144">
        <v>4.8038189999999998</v>
      </c>
      <c r="E4144">
        <v>0.43511850000000002</v>
      </c>
      <c r="F4144" t="s">
        <v>41</v>
      </c>
      <c r="G4144">
        <v>-416.0446</v>
      </c>
      <c r="H4144">
        <v>1.0188549999999901</v>
      </c>
      <c r="I4144">
        <v>30.307449999999999</v>
      </c>
      <c r="J4144">
        <v>-416.77730000000003</v>
      </c>
      <c r="K4144">
        <v>1.1221829999999999</v>
      </c>
      <c r="L4144">
        <v>30.592590000000001</v>
      </c>
      <c r="M4144">
        <v>0.53384259999999994</v>
      </c>
      <c r="N4144">
        <v>0</v>
      </c>
      <c r="O4144">
        <v>-0.84544470000000005</v>
      </c>
      <c r="P4144">
        <v>0.76853930000000004</v>
      </c>
      <c r="Q4144">
        <v>0.13122879999999901</v>
      </c>
      <c r="R4144">
        <v>-0.62620010000000004</v>
      </c>
      <c r="S4144">
        <v>2.6902159999999999</v>
      </c>
      <c r="T4144">
        <v>-0.31162859999999998</v>
      </c>
      <c r="U4144">
        <v>-1.563965</v>
      </c>
      <c r="V4144">
        <v>-0.3196251</v>
      </c>
      <c r="W4144">
        <v>0.13635729999999999</v>
      </c>
      <c r="X4144">
        <v>0.9376814</v>
      </c>
      <c r="Y4144">
        <v>-0.45797120000000002</v>
      </c>
      <c r="Z4144">
        <v>9.7267770000000003E-2</v>
      </c>
      <c r="AA4144">
        <v>0.88362969999999896</v>
      </c>
      <c r="AB4144">
        <v>30</v>
      </c>
      <c r="AC4144">
        <v>0.732700000000022</v>
      </c>
      <c r="AD4144">
        <v>-0.103328</v>
      </c>
      <c r="AE4144">
        <v>-0.285140000000001</v>
      </c>
      <c r="AF4144">
        <v>-0.45935846341950898</v>
      </c>
      <c r="AG4144">
        <v>-0.103328</v>
      </c>
      <c r="AH4144">
        <v>0.62155555519790195</v>
      </c>
      <c r="AI4144">
        <v>97.614855328835006</v>
      </c>
      <c r="AJ4144">
        <v>126.466124563626</v>
      </c>
      <c r="AK4144">
        <v>0.77975520626444395</v>
      </c>
      <c r="AL4144">
        <v>82.162886413998194</v>
      </c>
      <c r="AM4144">
        <v>108.82257432010999</v>
      </c>
      <c r="AN4144">
        <v>0.999999962859629</v>
      </c>
    </row>
    <row r="4145" spans="1:40" x14ac:dyDescent="0.25">
      <c r="A4145" t="str">
        <f>"20190312164352250"</f>
        <v>20190312164352250</v>
      </c>
      <c r="B4145" t="str">
        <f>"1552380232239437"</f>
        <v>1552380232239437</v>
      </c>
      <c r="C4145" t="s">
        <v>40</v>
      </c>
      <c r="D4145">
        <v>4.572756</v>
      </c>
      <c r="E4145">
        <v>0.43550640000000002</v>
      </c>
      <c r="F4145" t="s">
        <v>41</v>
      </c>
      <c r="G4145">
        <v>-415.89550000000003</v>
      </c>
      <c r="H4145">
        <v>1.020095</v>
      </c>
      <c r="I4145">
        <v>30.09281</v>
      </c>
      <c r="J4145">
        <v>-416.61219999999997</v>
      </c>
      <c r="K4145">
        <v>1.1222490000000001</v>
      </c>
      <c r="L4145">
        <v>30.35718</v>
      </c>
      <c r="M4145">
        <v>0.54609410000000003</v>
      </c>
      <c r="N4145">
        <v>0</v>
      </c>
      <c r="O4145">
        <v>-0.83758250000000001</v>
      </c>
      <c r="P4145">
        <v>0.77637299999999998</v>
      </c>
      <c r="Q4145">
        <v>0.12955430000000001</v>
      </c>
      <c r="R4145">
        <v>-0.61681509999999995</v>
      </c>
      <c r="S4145">
        <v>2.7071839999999998</v>
      </c>
      <c r="T4145">
        <v>-0.31336269999999999</v>
      </c>
      <c r="U4145">
        <v>-1.5339050000000001</v>
      </c>
      <c r="V4145">
        <v>-0.3175772</v>
      </c>
      <c r="W4145">
        <v>0.13472790000000001</v>
      </c>
      <c r="X4145">
        <v>0.93861229999999995</v>
      </c>
      <c r="Y4145">
        <v>-0.45482810000000001</v>
      </c>
      <c r="Z4145">
        <v>9.7223180000000006E-2</v>
      </c>
      <c r="AA4145">
        <v>0.8852565</v>
      </c>
      <c r="AB4145">
        <v>30</v>
      </c>
      <c r="AC4145">
        <v>0.71669999999994605</v>
      </c>
      <c r="AD4145">
        <v>-0.10215399999999999</v>
      </c>
      <c r="AE4145">
        <v>-0.26437000000000299</v>
      </c>
      <c r="AF4145">
        <v>-0.44796761169532801</v>
      </c>
      <c r="AG4145">
        <v>-0.10215399999999999</v>
      </c>
      <c r="AH4145">
        <v>0.602122338459541</v>
      </c>
      <c r="AI4145">
        <v>97.751319608508794</v>
      </c>
      <c r="AJ4145">
        <v>126.648548697207</v>
      </c>
      <c r="AK4145">
        <v>0.75740460212227601</v>
      </c>
      <c r="AL4145">
        <v>82.257113781916303</v>
      </c>
      <c r="AM4145">
        <v>108.693124346061</v>
      </c>
      <c r="AN4145">
        <v>0.99999996735476904</v>
      </c>
    </row>
    <row r="4146" spans="1:40" x14ac:dyDescent="0.25">
      <c r="A4146" t="str">
        <f>"20190312164352272"</f>
        <v>20190312164352272</v>
      </c>
      <c r="B4146" t="str">
        <f>"1552380232268718"</f>
        <v>1552380232268718</v>
      </c>
      <c r="C4146" t="s">
        <v>40</v>
      </c>
      <c r="D4146">
        <v>4.5353120000000002</v>
      </c>
      <c r="E4146">
        <v>0.43604490000000001</v>
      </c>
      <c r="F4146" t="s">
        <v>41</v>
      </c>
      <c r="G4146">
        <v>-415.74489999999997</v>
      </c>
      <c r="H4146">
        <v>1.02068</v>
      </c>
      <c r="I4146">
        <v>29.879079999999998</v>
      </c>
      <c r="J4146">
        <v>-416.43549999999999</v>
      </c>
      <c r="K4146">
        <v>1.1222920000000001</v>
      </c>
      <c r="L4146">
        <v>30.113399999999999</v>
      </c>
      <c r="M4146">
        <v>0.55887249999999999</v>
      </c>
      <c r="N4146">
        <v>0</v>
      </c>
      <c r="O4146">
        <v>-0.82911029999999997</v>
      </c>
      <c r="P4146">
        <v>0.78459919999999905</v>
      </c>
      <c r="Q4146">
        <v>0.12662989999999999</v>
      </c>
      <c r="R4146">
        <v>-0.60693409999999903</v>
      </c>
      <c r="S4146">
        <v>2.724396</v>
      </c>
      <c r="T4146">
        <v>-0.31904440000000001</v>
      </c>
      <c r="U4146">
        <v>-1.5015559999999999</v>
      </c>
      <c r="V4146">
        <v>-0.31539689999999998</v>
      </c>
      <c r="W4146">
        <v>0.13186639999999999</v>
      </c>
      <c r="X4146">
        <v>0.93975319999999996</v>
      </c>
      <c r="Y4146">
        <v>-0.45147540000000003</v>
      </c>
      <c r="Z4146">
        <v>9.833517E-2</v>
      </c>
      <c r="AA4146">
        <v>0.88684839999999998</v>
      </c>
      <c r="AB4146">
        <v>30</v>
      </c>
      <c r="AC4146">
        <v>0.69060000000001698</v>
      </c>
      <c r="AD4146">
        <v>-0.10161199999999999</v>
      </c>
      <c r="AE4146">
        <v>-0.23432</v>
      </c>
      <c r="AF4146">
        <v>-0.43326958208787503</v>
      </c>
      <c r="AG4146">
        <v>-0.10161199999999999</v>
      </c>
      <c r="AH4146">
        <v>0.56925200432992296</v>
      </c>
      <c r="AI4146">
        <v>98.084155227745498</v>
      </c>
      <c r="AJ4146">
        <v>127.275520202199</v>
      </c>
      <c r="AK4146">
        <v>0.722561674696518</v>
      </c>
      <c r="AL4146">
        <v>82.422542341291603</v>
      </c>
      <c r="AM4146">
        <v>108.552614366846</v>
      </c>
      <c r="AN4146">
        <v>1.0000000144443999</v>
      </c>
    </row>
    <row r="4147" spans="1:40" x14ac:dyDescent="0.25">
      <c r="A4147" t="str">
        <f>"20190312164352296"</f>
        <v>20190312164352296</v>
      </c>
      <c r="B4147" t="str">
        <f>"1552380232289213"</f>
        <v>1552380232289213</v>
      </c>
      <c r="C4147" t="s">
        <v>40</v>
      </c>
      <c r="D4147">
        <v>4.5780709999999996</v>
      </c>
      <c r="E4147">
        <v>0.43646590000000002</v>
      </c>
      <c r="F4147" t="s">
        <v>41</v>
      </c>
      <c r="G4147">
        <v>-415.59539999999998</v>
      </c>
      <c r="H4147">
        <v>1.0205919999999999</v>
      </c>
      <c r="I4147">
        <v>29.66348</v>
      </c>
      <c r="J4147">
        <v>-416.24959999999999</v>
      </c>
      <c r="K4147">
        <v>1.1223240000000001</v>
      </c>
      <c r="L4147">
        <v>29.864930000000001</v>
      </c>
      <c r="M4147">
        <v>0.57196279999999999</v>
      </c>
      <c r="N4147">
        <v>0</v>
      </c>
      <c r="O4147">
        <v>-0.82013419999999904</v>
      </c>
      <c r="P4147">
        <v>0.79283669999999995</v>
      </c>
      <c r="Q4147">
        <v>0.1243514</v>
      </c>
      <c r="R4147">
        <v>-0.59661260000000005</v>
      </c>
      <c r="S4147">
        <v>2.7416079999999998</v>
      </c>
      <c r="T4147">
        <v>-0.33184350000000001</v>
      </c>
      <c r="U4147">
        <v>-1.4679869999999999</v>
      </c>
      <c r="V4147">
        <v>-0.31301780000000001</v>
      </c>
      <c r="W4147">
        <v>0.1296667</v>
      </c>
      <c r="X4147">
        <v>0.94085410000000003</v>
      </c>
      <c r="Y4147">
        <v>-0.4477198</v>
      </c>
      <c r="Z4147">
        <v>0.1015247</v>
      </c>
      <c r="AA4147">
        <v>0.88839159999999995</v>
      </c>
      <c r="AB4147">
        <v>30</v>
      </c>
      <c r="AC4147">
        <v>0.654200000000002</v>
      </c>
      <c r="AD4147">
        <v>-0.101731999999999</v>
      </c>
      <c r="AE4147">
        <v>-0.20144999999999699</v>
      </c>
      <c r="AF4147">
        <v>-0.41225438232586498</v>
      </c>
      <c r="AG4147">
        <v>-0.101731999999999</v>
      </c>
      <c r="AH4147">
        <v>0.52780052735712402</v>
      </c>
      <c r="AI4147">
        <v>98.637309608410405</v>
      </c>
      <c r="AJ4147">
        <v>127.992679786851</v>
      </c>
      <c r="AK4147">
        <v>0.67740421629138003</v>
      </c>
      <c r="AL4147">
        <v>82.549667510602703</v>
      </c>
      <c r="AM4147">
        <v>108.402045023453</v>
      </c>
      <c r="AN4147">
        <v>1.0000000168462599</v>
      </c>
    </row>
    <row r="4148" spans="1:40" x14ac:dyDescent="0.25">
      <c r="A4148" t="str">
        <f>"20190312164352317"</f>
        <v>20190312164352317</v>
      </c>
      <c r="B4148" t="str">
        <f>"1552380232308736"</f>
        <v>1552380232308736</v>
      </c>
      <c r="C4148" t="s">
        <v>40</v>
      </c>
      <c r="D4148">
        <v>4.7817280000000002</v>
      </c>
      <c r="E4148">
        <v>0.4369286</v>
      </c>
      <c r="F4148" t="s">
        <v>41</v>
      </c>
      <c r="G4148">
        <v>-415.41910000000001</v>
      </c>
      <c r="H4148">
        <v>1.0201819999999999</v>
      </c>
      <c r="I4148">
        <v>29.433689999999999</v>
      </c>
      <c r="J4148">
        <v>-416.07389999999998</v>
      </c>
      <c r="K4148">
        <v>1.122342</v>
      </c>
      <c r="L4148">
        <v>29.637509999999999</v>
      </c>
      <c r="M4148">
        <v>0.58398399999999995</v>
      </c>
      <c r="N4148">
        <v>0</v>
      </c>
      <c r="O4148">
        <v>-0.8116179</v>
      </c>
      <c r="P4148">
        <v>0.8002321</v>
      </c>
      <c r="Q4148">
        <v>0.123805399999999</v>
      </c>
      <c r="R4148">
        <v>-0.58677179999999995</v>
      </c>
      <c r="S4148">
        <v>2.759277</v>
      </c>
      <c r="T4148">
        <v>-0.33931670000000003</v>
      </c>
      <c r="U4148">
        <v>-1.4323729999999999</v>
      </c>
      <c r="V4148">
        <v>-0.310836</v>
      </c>
      <c r="W4148">
        <v>0.12920000000000001</v>
      </c>
      <c r="X4148">
        <v>0.94164130000000001</v>
      </c>
      <c r="Y4148">
        <v>-0.44571480000000002</v>
      </c>
      <c r="Z4148">
        <v>0.10313700000000001</v>
      </c>
      <c r="AA4148">
        <v>0.889213699999999</v>
      </c>
      <c r="AB4148">
        <v>30</v>
      </c>
      <c r="AC4148">
        <v>0.65479999999996596</v>
      </c>
      <c r="AD4148">
        <v>-0.10216</v>
      </c>
      <c r="AE4148">
        <v>-0.203819999999996</v>
      </c>
      <c r="AF4148">
        <v>-0.403514600209333</v>
      </c>
      <c r="AG4148">
        <v>-0.10216</v>
      </c>
      <c r="AH4148">
        <v>0.53598794162726304</v>
      </c>
      <c r="AI4148">
        <v>98.658091373754004</v>
      </c>
      <c r="AJ4148">
        <v>126.973994696792</v>
      </c>
      <c r="AK4148">
        <v>0.67863375376702895</v>
      </c>
      <c r="AL4148">
        <v>82.576634154072096</v>
      </c>
      <c r="AM4148">
        <v>108.26806804124899</v>
      </c>
      <c r="AN4148">
        <v>0.99999999838084497</v>
      </c>
    </row>
    <row r="4149" spans="1:40" x14ac:dyDescent="0.25">
      <c r="A4149" t="str">
        <f>"20190312164352339"</f>
        <v>20190312164352339</v>
      </c>
      <c r="B4149" t="str">
        <f>"1552380232329230"</f>
        <v>1552380232329230</v>
      </c>
      <c r="C4149" t="s">
        <v>40</v>
      </c>
      <c r="D4149">
        <v>4.822546</v>
      </c>
      <c r="E4149">
        <v>0.45257340000000001</v>
      </c>
      <c r="F4149" t="s">
        <v>41</v>
      </c>
      <c r="G4149">
        <v>-415.21800000000002</v>
      </c>
      <c r="H4149">
        <v>1.017226</v>
      </c>
      <c r="I4149">
        <v>29.205439999999999</v>
      </c>
      <c r="J4149">
        <v>-415.8929</v>
      </c>
      <c r="K4149">
        <v>1.1223459999999901</v>
      </c>
      <c r="L4149">
        <v>29.41019</v>
      </c>
      <c r="M4149">
        <v>0.59601769999999998</v>
      </c>
      <c r="N4149">
        <v>0</v>
      </c>
      <c r="O4149">
        <v>-0.80282219999999904</v>
      </c>
      <c r="P4149">
        <v>0.8073825</v>
      </c>
      <c r="Q4149">
        <v>0.1238131</v>
      </c>
      <c r="R4149">
        <v>-0.57689199999999996</v>
      </c>
      <c r="S4149">
        <v>2.7749329999999999</v>
      </c>
      <c r="T4149">
        <v>-0.34072140000000001</v>
      </c>
      <c r="U4149">
        <v>-1.4002380000000001</v>
      </c>
      <c r="V4149">
        <v>-0.30836930000000001</v>
      </c>
      <c r="W4149">
        <v>0.1293031</v>
      </c>
      <c r="X4149">
        <v>0.94243779999999999</v>
      </c>
      <c r="Y4149">
        <v>-0.44261210000000001</v>
      </c>
      <c r="Z4149">
        <v>0.1028183</v>
      </c>
      <c r="AA4149">
        <v>0.89079900000000001</v>
      </c>
      <c r="AB4149">
        <v>30</v>
      </c>
      <c r="AC4149">
        <v>0.67489999999997896</v>
      </c>
      <c r="AD4149">
        <v>-0.10511999999999901</v>
      </c>
      <c r="AE4149">
        <v>-0.20474999999999999</v>
      </c>
      <c r="AF4149">
        <v>-0.41071612115794198</v>
      </c>
      <c r="AG4149">
        <v>-0.10511999999999901</v>
      </c>
      <c r="AH4149">
        <v>0.55438221639340002</v>
      </c>
      <c r="AI4149">
        <v>98.662931237461194</v>
      </c>
      <c r="AJ4149">
        <v>126.533034524767</v>
      </c>
      <c r="AK4149">
        <v>0.697909441426525</v>
      </c>
      <c r="AL4149">
        <v>82.570676716676601</v>
      </c>
      <c r="AM4149">
        <v>108.118296879735</v>
      </c>
      <c r="AN4149">
        <v>0.99999996186046902</v>
      </c>
    </row>
    <row r="4150" spans="1:40" x14ac:dyDescent="0.25">
      <c r="A4150" t="str">
        <f>"20190312164352363"</f>
        <v>20190312164352363</v>
      </c>
      <c r="B4150" t="str">
        <f>"1552380232359486"</f>
        <v>1552380232359486</v>
      </c>
      <c r="C4150" t="s">
        <v>40</v>
      </c>
      <c r="D4150">
        <v>4.8071070000000002</v>
      </c>
      <c r="E4150">
        <v>0.45148860000000002</v>
      </c>
      <c r="F4150" t="s">
        <v>50</v>
      </c>
      <c r="G4150">
        <v>-407.24529999999999</v>
      </c>
      <c r="H4150" s="1">
        <v>-3.5946409999999999E-6</v>
      </c>
      <c r="I4150">
        <v>24.745039999999999</v>
      </c>
      <c r="J4150">
        <v>-415.6977</v>
      </c>
      <c r="K4150">
        <v>1.1223209999999999</v>
      </c>
      <c r="L4150">
        <v>29.17285</v>
      </c>
      <c r="M4150">
        <v>0.60858089999999998</v>
      </c>
      <c r="N4150">
        <v>0</v>
      </c>
      <c r="O4150">
        <v>-0.79334069999999901</v>
      </c>
      <c r="P4150">
        <v>0.81465869999999996</v>
      </c>
      <c r="Q4150">
        <v>0.1238987</v>
      </c>
      <c r="R4150">
        <v>-0.56655159999999904</v>
      </c>
      <c r="S4150">
        <v>2.7210390000000002</v>
      </c>
      <c r="T4150">
        <v>-0.35315609999999997</v>
      </c>
      <c r="U4150">
        <v>-1.4679260000000001</v>
      </c>
      <c r="V4150">
        <v>-0.3055312</v>
      </c>
      <c r="W4150">
        <v>0.1294989</v>
      </c>
      <c r="X4150">
        <v>0.94333489999999998</v>
      </c>
      <c r="Y4150">
        <v>-0.40341300000000002</v>
      </c>
      <c r="Z4150">
        <v>0.1047796</v>
      </c>
      <c r="AA4150">
        <v>0.908999</v>
      </c>
      <c r="AB4150">
        <v>30</v>
      </c>
      <c r="AC4150">
        <v>8.4524000000000097</v>
      </c>
      <c r="AD4150">
        <v>-1.1223245946410001</v>
      </c>
      <c r="AE4150">
        <v>-4.42781</v>
      </c>
      <c r="AF4150">
        <v>-3.95669444462813</v>
      </c>
      <c r="AG4150">
        <v>-1.1223245946410001</v>
      </c>
      <c r="AH4150">
        <v>8.5396277252102504</v>
      </c>
      <c r="AI4150">
        <v>96.800262114257706</v>
      </c>
      <c r="AJ4150">
        <v>114.859863234873</v>
      </c>
      <c r="AK4150">
        <v>9.4784115287882909</v>
      </c>
      <c r="AL4150">
        <v>82.559363414866795</v>
      </c>
      <c r="AM4150">
        <v>107.946315768784</v>
      </c>
      <c r="AN4150">
        <v>1.0000000064163299</v>
      </c>
    </row>
    <row r="4151" spans="1:40" x14ac:dyDescent="0.25">
      <c r="A4151" t="str">
        <f>"20190312164352385"</f>
        <v>20190312164352385</v>
      </c>
      <c r="B4151" t="str">
        <f>"1552380232379006"</f>
        <v>1552380232379006</v>
      </c>
      <c r="C4151" t="s">
        <v>40</v>
      </c>
      <c r="D4151">
        <v>4.6752570000000002</v>
      </c>
      <c r="E4151">
        <v>0.45157219999999998</v>
      </c>
      <c r="F4151" t="s">
        <v>41</v>
      </c>
      <c r="G4151">
        <v>-414.75200000000001</v>
      </c>
      <c r="H4151">
        <v>0.98912540000000004</v>
      </c>
      <c r="I4151">
        <v>28.681950000000001</v>
      </c>
      <c r="J4151">
        <v>-415.5043</v>
      </c>
      <c r="K4151">
        <v>1.1222810000000001</v>
      </c>
      <c r="L4151">
        <v>28.945340000000002</v>
      </c>
      <c r="M4151">
        <v>0.6206045</v>
      </c>
      <c r="N4151">
        <v>0</v>
      </c>
      <c r="O4151">
        <v>-0.78397109999999903</v>
      </c>
      <c r="P4151">
        <v>0.82192019999999899</v>
      </c>
      <c r="Q4151">
        <v>0.12202440000000001</v>
      </c>
      <c r="R4151">
        <v>-0.55637879999999995</v>
      </c>
      <c r="S4151">
        <v>2.74884</v>
      </c>
      <c r="T4151">
        <v>-0.38722190000000001</v>
      </c>
      <c r="U4151">
        <v>-1.4271849999999999</v>
      </c>
      <c r="V4151">
        <v>-0.30302780000000001</v>
      </c>
      <c r="W4151">
        <v>0.12772459999999999</v>
      </c>
      <c r="X4151">
        <v>0.94438370000000005</v>
      </c>
      <c r="Y4151">
        <v>-0.40276440000000002</v>
      </c>
      <c r="Z4151">
        <v>0.11370479999999999</v>
      </c>
      <c r="AA4151">
        <v>0.90821359999999995</v>
      </c>
      <c r="AB4151">
        <v>30</v>
      </c>
      <c r="AC4151">
        <v>0.75230000000004704</v>
      </c>
      <c r="AD4151">
        <v>-0.13315559999999901</v>
      </c>
      <c r="AE4151">
        <v>-0.26339000000000101</v>
      </c>
      <c r="AF4151">
        <v>-0.41479559467517402</v>
      </c>
      <c r="AG4151">
        <v>-0.13315559999999901</v>
      </c>
      <c r="AH4151">
        <v>0.65516748135977798</v>
      </c>
      <c r="AI4151">
        <v>99.743645123548106</v>
      </c>
      <c r="AJ4151">
        <v>122.338466515281</v>
      </c>
      <c r="AK4151">
        <v>0.78678474044976598</v>
      </c>
      <c r="AL4151">
        <v>82.661874613758201</v>
      </c>
      <c r="AM4151">
        <v>107.790064439289</v>
      </c>
      <c r="AN4151">
        <v>0.99999999692184405</v>
      </c>
    </row>
    <row r="4152" spans="1:40" x14ac:dyDescent="0.25">
      <c r="A4152" t="str">
        <f>"20190312164352407"</f>
        <v>20190312164352407</v>
      </c>
      <c r="B4152" t="str">
        <f>"1552380232399503"</f>
        <v>1552380232399503</v>
      </c>
      <c r="C4152" t="s">
        <v>40</v>
      </c>
      <c r="D4152">
        <v>5.0272800000000002</v>
      </c>
      <c r="E4152">
        <v>0.45207459999999999</v>
      </c>
      <c r="F4152" t="s">
        <v>41</v>
      </c>
      <c r="G4152">
        <v>-414.55250000000001</v>
      </c>
      <c r="H4152">
        <v>0.98825269999999998</v>
      </c>
      <c r="I4152">
        <v>28.466010000000001</v>
      </c>
      <c r="J4152">
        <v>-415.31369999999998</v>
      </c>
      <c r="K4152">
        <v>1.122225</v>
      </c>
      <c r="L4152">
        <v>28.72748</v>
      </c>
      <c r="M4152">
        <v>0.63208589999999998</v>
      </c>
      <c r="N4152">
        <v>0</v>
      </c>
      <c r="O4152">
        <v>-0.77474419999999899</v>
      </c>
      <c r="P4152">
        <v>0.82856180000000001</v>
      </c>
      <c r="Q4152">
        <v>0.12043189999999999</v>
      </c>
      <c r="R4152">
        <v>-0.54679219999999995</v>
      </c>
      <c r="S4152">
        <v>2.7654719999999999</v>
      </c>
      <c r="T4152">
        <v>-0.38932309999999998</v>
      </c>
      <c r="U4152">
        <v>-1.39209</v>
      </c>
      <c r="V4152">
        <v>-0.30020269999999999</v>
      </c>
      <c r="W4152">
        <v>0.1262432</v>
      </c>
      <c r="X4152">
        <v>0.94548449999999995</v>
      </c>
      <c r="Y4152">
        <v>-0.40067079999999999</v>
      </c>
      <c r="Z4152">
        <v>0.1134182</v>
      </c>
      <c r="AA4152">
        <v>0.90917499999999996</v>
      </c>
      <c r="AB4152">
        <v>30</v>
      </c>
      <c r="AC4152">
        <v>0.76119999999997301</v>
      </c>
      <c r="AD4152">
        <v>-0.13397229999999999</v>
      </c>
      <c r="AE4152">
        <v>-0.26147000000000198</v>
      </c>
      <c r="AF4152">
        <v>-0.41306943809644597</v>
      </c>
      <c r="AG4152">
        <v>-0.13397229999999999</v>
      </c>
      <c r="AH4152">
        <v>0.66536241086979298</v>
      </c>
      <c r="AI4152">
        <v>99.707461714687796</v>
      </c>
      <c r="AJ4152">
        <v>121.832784404856</v>
      </c>
      <c r="AK4152">
        <v>0.79453261459493696</v>
      </c>
      <c r="AL4152">
        <v>82.747445130716301</v>
      </c>
      <c r="AM4152">
        <v>107.61526928516</v>
      </c>
      <c r="AN4152">
        <v>0.99999997318688905</v>
      </c>
    </row>
    <row r="4153" spans="1:40" x14ac:dyDescent="0.25">
      <c r="A4153" t="str">
        <f>"20190312164352428"</f>
        <v>20190312164352428</v>
      </c>
      <c r="B4153" t="str">
        <f>"1552380232419022"</f>
        <v>1552380232419022</v>
      </c>
      <c r="C4153" t="s">
        <v>40</v>
      </c>
      <c r="D4153">
        <v>5.0022929999999999</v>
      </c>
      <c r="E4153">
        <v>0.45297999999999999</v>
      </c>
      <c r="F4153" t="s">
        <v>41</v>
      </c>
      <c r="G4153">
        <v>-414.32600000000002</v>
      </c>
      <c r="H4153">
        <v>0.9823691</v>
      </c>
      <c r="I4153">
        <v>28.243749999999999</v>
      </c>
      <c r="J4153">
        <v>-415.12580000000003</v>
      </c>
      <c r="K4153">
        <v>1.1221650000000001</v>
      </c>
      <c r="L4153">
        <v>28.51886</v>
      </c>
      <c r="M4153">
        <v>0.64304259999999902</v>
      </c>
      <c r="N4153">
        <v>0</v>
      </c>
      <c r="O4153">
        <v>-0.76567489999999905</v>
      </c>
      <c r="P4153">
        <v>0.83450190000000002</v>
      </c>
      <c r="Q4153">
        <v>0.119009</v>
      </c>
      <c r="R4153">
        <v>-0.53799969999999997</v>
      </c>
      <c r="S4153">
        <v>2.779388</v>
      </c>
      <c r="T4153">
        <v>-0.39357900000000001</v>
      </c>
      <c r="U4153">
        <v>-1.361572</v>
      </c>
      <c r="V4153">
        <v>-0.29684280000000002</v>
      </c>
      <c r="W4153">
        <v>0.12494710000000001</v>
      </c>
      <c r="X4153">
        <v>0.94671669999999997</v>
      </c>
      <c r="Y4153">
        <v>-0.39741219999999999</v>
      </c>
      <c r="Z4153">
        <v>0.1136833</v>
      </c>
      <c r="AA4153">
        <v>0.91057100000000002</v>
      </c>
      <c r="AB4153">
        <v>30</v>
      </c>
      <c r="AC4153">
        <v>0.79980000000006102</v>
      </c>
      <c r="AD4153">
        <v>-0.139795899999999</v>
      </c>
      <c r="AE4153">
        <v>-0.27510999999999802</v>
      </c>
      <c r="AF4153">
        <v>-0.42394943278625902</v>
      </c>
      <c r="AG4153">
        <v>-0.139795899999999</v>
      </c>
      <c r="AH4153">
        <v>0.70575625677550602</v>
      </c>
      <c r="AI4153">
        <v>99.636863070780606</v>
      </c>
      <c r="AJ4153">
        <v>120.99333629416</v>
      </c>
      <c r="AK4153">
        <v>0.83508556998332595</v>
      </c>
      <c r="AL4153">
        <v>82.822298883716499</v>
      </c>
      <c r="AM4153">
        <v>107.408804251756</v>
      </c>
      <c r="AN4153">
        <v>0.99999996788456902</v>
      </c>
    </row>
    <row r="4154" spans="1:40" x14ac:dyDescent="0.25">
      <c r="A4154" t="str">
        <f>"20190312164352452"</f>
        <v>20190312164352452</v>
      </c>
      <c r="B4154" t="str">
        <f>"1552380232449278"</f>
        <v>1552380232449278</v>
      </c>
      <c r="C4154" t="s">
        <v>40</v>
      </c>
      <c r="D4154">
        <v>5.0086170000000001</v>
      </c>
      <c r="E4154">
        <v>0.45370139999999998</v>
      </c>
      <c r="F4154" t="s">
        <v>50</v>
      </c>
      <c r="G4154">
        <v>-407.14179999999999</v>
      </c>
      <c r="H4154" s="1">
        <v>-3.637964E-6</v>
      </c>
      <c r="I4154">
        <v>24.69576</v>
      </c>
      <c r="J4154">
        <v>-414.92009999999999</v>
      </c>
      <c r="K4154">
        <v>1.12209</v>
      </c>
      <c r="L4154">
        <v>28.29712</v>
      </c>
      <c r="M4154">
        <v>0.65463830000000001</v>
      </c>
      <c r="N4154">
        <v>0</v>
      </c>
      <c r="O4154">
        <v>-0.75578579999999995</v>
      </c>
      <c r="P4154">
        <v>0.84139789999999903</v>
      </c>
      <c r="Q4154">
        <v>0.11869689999999999</v>
      </c>
      <c r="R4154">
        <v>-0.52721980000000002</v>
      </c>
      <c r="S4154">
        <v>2.7896730000000001</v>
      </c>
      <c r="T4154">
        <v>-0.39209270000000002</v>
      </c>
      <c r="U4154">
        <v>-1.335815</v>
      </c>
      <c r="V4154">
        <v>-0.29459150000000001</v>
      </c>
      <c r="W4154">
        <v>0.1247185</v>
      </c>
      <c r="X4154">
        <v>0.94744980000000001</v>
      </c>
      <c r="Y4154">
        <v>-0.3917195</v>
      </c>
      <c r="Z4154">
        <v>0.1121258</v>
      </c>
      <c r="AA4154">
        <v>0.91322700000000001</v>
      </c>
      <c r="AB4154">
        <v>30</v>
      </c>
      <c r="AC4154">
        <v>7.7782999999999998</v>
      </c>
      <c r="AD4154">
        <v>-1.1220936379639901</v>
      </c>
      <c r="AE4154">
        <v>-3.6013600000000001</v>
      </c>
      <c r="AF4154">
        <v>-3.4622244284966599</v>
      </c>
      <c r="AG4154">
        <v>-1.1220936379639901</v>
      </c>
      <c r="AH4154">
        <v>7.68308806291006</v>
      </c>
      <c r="AI4154">
        <v>97.584447629722206</v>
      </c>
      <c r="AJ4154">
        <v>114.257721613882</v>
      </c>
      <c r="AK4154">
        <v>8.5015254106583402</v>
      </c>
      <c r="AL4154">
        <v>82.835500118896306</v>
      </c>
      <c r="AM4154">
        <v>107.27208821587</v>
      </c>
      <c r="AN4154">
        <v>0.99999998981727001</v>
      </c>
    </row>
    <row r="4155" spans="1:40" x14ac:dyDescent="0.25">
      <c r="A4155" t="str">
        <f>"20190312164352474"</f>
        <v>20190312164352474</v>
      </c>
      <c r="B4155" t="str">
        <f>"1552380232469776"</f>
        <v>1552380232469776</v>
      </c>
      <c r="C4155" t="s">
        <v>40</v>
      </c>
      <c r="D4155">
        <v>4.8172389999999998</v>
      </c>
      <c r="E4155">
        <v>0.45443749999999999</v>
      </c>
      <c r="F4155" t="s">
        <v>50</v>
      </c>
      <c r="G4155">
        <v>-406.89589999999998</v>
      </c>
      <c r="H4155" s="1">
        <v>-3.738529E-6</v>
      </c>
      <c r="I4155">
        <v>24.565809999999999</v>
      </c>
      <c r="J4155">
        <v>-414.71660000000003</v>
      </c>
      <c r="K4155">
        <v>1.1219980000000001</v>
      </c>
      <c r="L4155">
        <v>28.08398</v>
      </c>
      <c r="M4155">
        <v>0.66571919999999996</v>
      </c>
      <c r="N4155">
        <v>0</v>
      </c>
      <c r="O4155">
        <v>-0.74604490000000001</v>
      </c>
      <c r="P4155">
        <v>0.84719149999999999</v>
      </c>
      <c r="Q4155">
        <v>0.117171</v>
      </c>
      <c r="R4155">
        <v>-0.51820659999999996</v>
      </c>
      <c r="S4155">
        <v>2.803833</v>
      </c>
      <c r="T4155">
        <v>-0.39208480000000001</v>
      </c>
      <c r="U4155">
        <v>-1.3038019999999999</v>
      </c>
      <c r="V4155">
        <v>-0.29080919999999999</v>
      </c>
      <c r="W4155">
        <v>0.12332269999999899</v>
      </c>
      <c r="X4155">
        <v>0.94879999999999998</v>
      </c>
      <c r="Y4155">
        <v>-0.38857170000000002</v>
      </c>
      <c r="Z4155">
        <v>0.111068</v>
      </c>
      <c r="AA4155">
        <v>0.91469999999999996</v>
      </c>
      <c r="AB4155">
        <v>30</v>
      </c>
      <c r="AC4155">
        <v>7.8207000000000404</v>
      </c>
      <c r="AD4155">
        <v>-1.122001738529</v>
      </c>
      <c r="AE4155">
        <v>-3.51817</v>
      </c>
      <c r="AF4155">
        <v>-3.43410467107037</v>
      </c>
      <c r="AG4155">
        <v>-1.122001738529</v>
      </c>
      <c r="AH4155">
        <v>7.7002092838672702</v>
      </c>
      <c r="AI4155">
        <v>97.580170845910203</v>
      </c>
      <c r="AJ4155">
        <v>114.03570048928501</v>
      </c>
      <c r="AK4155">
        <v>8.5055973222628705</v>
      </c>
      <c r="AL4155">
        <v>82.916095587722197</v>
      </c>
      <c r="AM4155">
        <v>107.040412532304</v>
      </c>
      <c r="AN4155">
        <v>0.99999995956996401</v>
      </c>
    </row>
    <row r="4156" spans="1:40" x14ac:dyDescent="0.25">
      <c r="A4156" t="str">
        <f>"20190312164352487"</f>
        <v>20190312164352487</v>
      </c>
      <c r="B4156" t="str">
        <f>"1552380232479534"</f>
        <v>1552380232479534</v>
      </c>
      <c r="C4156" t="s">
        <v>40</v>
      </c>
      <c r="D4156">
        <v>4.8460380000000001</v>
      </c>
      <c r="E4156">
        <v>0.45476420000000001</v>
      </c>
      <c r="F4156" t="s">
        <v>50</v>
      </c>
      <c r="G4156">
        <v>-406.7518</v>
      </c>
      <c r="H4156" s="1">
        <v>-3.7944699999999999E-6</v>
      </c>
      <c r="I4156">
        <v>24.4725</v>
      </c>
      <c r="J4156">
        <v>-414.59339999999997</v>
      </c>
      <c r="K4156">
        <v>1.121939</v>
      </c>
      <c r="L4156">
        <v>27.957979999999999</v>
      </c>
      <c r="M4156">
        <v>0.67223750000000004</v>
      </c>
      <c r="N4156">
        <v>0</v>
      </c>
      <c r="O4156">
        <v>-0.74017759999999999</v>
      </c>
      <c r="P4156">
        <v>0.85087380000000001</v>
      </c>
      <c r="Q4156">
        <v>0.1160794</v>
      </c>
      <c r="R4156">
        <v>-0.51238609999999996</v>
      </c>
      <c r="S4156">
        <v>2.8151860000000002</v>
      </c>
      <c r="T4156">
        <v>-0.39657490000000001</v>
      </c>
      <c r="U4156">
        <v>-1.276489</v>
      </c>
      <c r="V4156">
        <v>-0.28905249999999999</v>
      </c>
      <c r="W4156">
        <v>0.1222873</v>
      </c>
      <c r="X4156">
        <v>0.94947060000000005</v>
      </c>
      <c r="Y4156">
        <v>-0.38911230000000002</v>
      </c>
      <c r="Z4156">
        <v>0.1118151</v>
      </c>
      <c r="AA4156">
        <v>0.91437900000000005</v>
      </c>
      <c r="AB4156">
        <v>30</v>
      </c>
      <c r="AC4156">
        <v>7.8415999999999704</v>
      </c>
      <c r="AD4156">
        <v>-1.12194279447</v>
      </c>
      <c r="AE4156">
        <v>-3.4854799999999901</v>
      </c>
      <c r="AF4156">
        <v>-3.4033360324341602</v>
      </c>
      <c r="AG4156">
        <v>-1.12194279447</v>
      </c>
      <c r="AH4156">
        <v>7.7202437373638402</v>
      </c>
      <c r="AI4156">
        <v>97.574588975800495</v>
      </c>
      <c r="AJ4156">
        <v>113.789454775422</v>
      </c>
      <c r="AK4156">
        <v>8.5113815064320502</v>
      </c>
      <c r="AL4156">
        <v>82.975872217441193</v>
      </c>
      <c r="AM4156">
        <v>106.932107303107</v>
      </c>
      <c r="AN4156">
        <v>0.99999997588094902</v>
      </c>
    </row>
    <row r="4157" spans="1:40" x14ac:dyDescent="0.25">
      <c r="A4157" t="str">
        <f>"20190312164352507"</f>
        <v>20190312164352507</v>
      </c>
      <c r="B4157" t="str">
        <f>"1552380232499054"</f>
        <v>1552380232499054</v>
      </c>
      <c r="C4157" t="s">
        <v>40</v>
      </c>
      <c r="D4157">
        <v>4.9926139999999997</v>
      </c>
      <c r="E4157">
        <v>0.4550768</v>
      </c>
      <c r="F4157" t="s">
        <v>50</v>
      </c>
      <c r="G4157">
        <v>-406.67009999999999</v>
      </c>
      <c r="H4157" s="1">
        <v>-3.827354E-6</v>
      </c>
      <c r="I4157">
        <v>24.426449999999999</v>
      </c>
      <c r="J4157">
        <v>-414.4051</v>
      </c>
      <c r="K4157">
        <v>1.1218410000000001</v>
      </c>
      <c r="L4157">
        <v>27.769439999999999</v>
      </c>
      <c r="M4157">
        <v>0.68193530000000002</v>
      </c>
      <c r="N4157">
        <v>0</v>
      </c>
      <c r="O4157">
        <v>-0.73125419999999997</v>
      </c>
      <c r="P4157">
        <v>0.8557186</v>
      </c>
      <c r="Q4157">
        <v>0.1143559</v>
      </c>
      <c r="R4157">
        <v>-0.5046467</v>
      </c>
      <c r="S4157">
        <v>2.8226930000000001</v>
      </c>
      <c r="T4157">
        <v>-0.39969559999999998</v>
      </c>
      <c r="U4157">
        <v>-1.2581180000000001</v>
      </c>
      <c r="V4157">
        <v>-0.28523599999999999</v>
      </c>
      <c r="W4157">
        <v>0.12068470000000001</v>
      </c>
      <c r="X4157">
        <v>0.95082889999999998</v>
      </c>
      <c r="Y4157">
        <v>-0.38282329999999998</v>
      </c>
      <c r="Z4157">
        <v>0.11150839999999899</v>
      </c>
      <c r="AA4157">
        <v>0.91706710000000002</v>
      </c>
      <c r="AB4157">
        <v>30</v>
      </c>
      <c r="AC4157">
        <v>7.7350000000000101</v>
      </c>
      <c r="AD4157">
        <v>-1.121844827354</v>
      </c>
      <c r="AE4157">
        <v>-3.3429899999999999</v>
      </c>
      <c r="AF4157">
        <v>-3.3181274804993302</v>
      </c>
      <c r="AG4157">
        <v>-1.121844827354</v>
      </c>
      <c r="AH4157">
        <v>7.5857853082005402</v>
      </c>
      <c r="AI4157">
        <v>97.716172912555905</v>
      </c>
      <c r="AJ4157">
        <v>113.625234085362</v>
      </c>
      <c r="AK4157">
        <v>8.35539613277653</v>
      </c>
      <c r="AL4157">
        <v>83.068379697450894</v>
      </c>
      <c r="AM4157">
        <v>106.698543792333</v>
      </c>
      <c r="AN4157">
        <v>0.99999998479264895</v>
      </c>
    </row>
    <row r="4158" spans="1:40" x14ac:dyDescent="0.25">
      <c r="A4158" t="str">
        <f>"20190312164352521"</f>
        <v>20190312164352521</v>
      </c>
      <c r="B4158" t="str">
        <f>"1552380232519550"</f>
        <v>1552380232519550</v>
      </c>
      <c r="C4158" t="s">
        <v>40</v>
      </c>
      <c r="D4158">
        <v>4.8900560000000004</v>
      </c>
      <c r="E4158">
        <v>0.455897</v>
      </c>
      <c r="F4158" t="s">
        <v>50</v>
      </c>
      <c r="G4158">
        <v>-406.5693</v>
      </c>
      <c r="H4158" s="1">
        <v>-3.8661769999999999E-6</v>
      </c>
      <c r="I4158">
        <v>24.359490000000001</v>
      </c>
      <c r="J4158">
        <v>-414.27659999999997</v>
      </c>
      <c r="K4158">
        <v>1.1217710000000001</v>
      </c>
      <c r="L4158">
        <v>27.6431</v>
      </c>
      <c r="M4158">
        <v>0.68839159999999999</v>
      </c>
      <c r="N4158">
        <v>0</v>
      </c>
      <c r="O4158">
        <v>-0.72518059999999995</v>
      </c>
      <c r="P4158">
        <v>0.85920239999999903</v>
      </c>
      <c r="Q4158">
        <v>0.1138783</v>
      </c>
      <c r="R4158">
        <v>-0.49880150000000001</v>
      </c>
      <c r="S4158">
        <v>2.8329770000000001</v>
      </c>
      <c r="T4158">
        <v>-0.40559669999999998</v>
      </c>
      <c r="U4158">
        <v>-1.2328490000000001</v>
      </c>
      <c r="V4158">
        <v>-0.28329900000000002</v>
      </c>
      <c r="W4158">
        <v>0.12026530000000001</v>
      </c>
      <c r="X4158">
        <v>0.951461</v>
      </c>
      <c r="Y4158">
        <v>-0.38255790000000001</v>
      </c>
      <c r="Z4158">
        <v>0.11253000000000001</v>
      </c>
      <c r="AA4158">
        <v>0.91705320000000001</v>
      </c>
      <c r="AB4158">
        <v>30</v>
      </c>
      <c r="AC4158">
        <v>7.7072999999999698</v>
      </c>
      <c r="AD4158">
        <v>-1.121774866177</v>
      </c>
      <c r="AE4158">
        <v>-3.2836099999999901</v>
      </c>
      <c r="AF4158">
        <v>-3.2705189565691701</v>
      </c>
      <c r="AG4158">
        <v>-1.121774866177</v>
      </c>
      <c r="AH4158">
        <v>7.5523254641547402</v>
      </c>
      <c r="AI4158">
        <v>97.761705846351603</v>
      </c>
      <c r="AJ4158">
        <v>113.414924452525</v>
      </c>
      <c r="AK4158">
        <v>8.3061599438118705</v>
      </c>
      <c r="AL4158">
        <v>83.092586310522194</v>
      </c>
      <c r="AM4158">
        <v>106.58098227802699</v>
      </c>
      <c r="AN4158">
        <v>1.0000000501530399</v>
      </c>
    </row>
    <row r="4159" spans="1:40" x14ac:dyDescent="0.25">
      <c r="A4159" t="str">
        <f>"20190312164352540"</f>
        <v>20190312164352540</v>
      </c>
      <c r="B4159" t="str">
        <f>"1552380232529310"</f>
        <v>1552380232529310</v>
      </c>
      <c r="C4159" t="s">
        <v>40</v>
      </c>
      <c r="D4159">
        <v>4.7867930000000003</v>
      </c>
      <c r="E4159">
        <v>0.45615869999999997</v>
      </c>
      <c r="F4159" t="s">
        <v>50</v>
      </c>
      <c r="G4159">
        <v>-406.42860000000002</v>
      </c>
      <c r="H4159" s="1">
        <v>-3.9215910000000002E-6</v>
      </c>
      <c r="I4159">
        <v>24.273029999999999</v>
      </c>
      <c r="J4159">
        <v>-414.09649999999999</v>
      </c>
      <c r="K4159">
        <v>1.1216729999999999</v>
      </c>
      <c r="L4159">
        <v>27.470369999999999</v>
      </c>
      <c r="M4159">
        <v>0.69717569999999995</v>
      </c>
      <c r="N4159">
        <v>0</v>
      </c>
      <c r="O4159">
        <v>-0.71674130000000003</v>
      </c>
      <c r="P4159">
        <v>0.86293399999999998</v>
      </c>
      <c r="Q4159">
        <v>0.11376559999999999</v>
      </c>
      <c r="R4159">
        <v>-0.49234410000000001</v>
      </c>
      <c r="S4159">
        <v>2.8379210000000001</v>
      </c>
      <c r="T4159">
        <v>-0.40564790000000001</v>
      </c>
      <c r="U4159">
        <v>-1.218658</v>
      </c>
      <c r="V4159">
        <v>-0.27881450000000002</v>
      </c>
      <c r="W4159">
        <v>0.12028759999999999</v>
      </c>
      <c r="X4159">
        <v>0.95278189999999996</v>
      </c>
      <c r="Y4159">
        <v>-0.37585039999999997</v>
      </c>
      <c r="Z4159">
        <v>0.1113706</v>
      </c>
      <c r="AA4159">
        <v>0.91996359999999999</v>
      </c>
      <c r="AB4159">
        <v>30</v>
      </c>
      <c r="AC4159">
        <v>7.6678999999999702</v>
      </c>
      <c r="AD4159">
        <v>-1.1216769215910001</v>
      </c>
      <c r="AE4159">
        <v>-3.1973400000000001</v>
      </c>
      <c r="AF4159">
        <v>-3.2086743604802401</v>
      </c>
      <c r="AG4159">
        <v>-1.1216769215910001</v>
      </c>
      <c r="AH4159">
        <v>7.50166208148294</v>
      </c>
      <c r="AI4159">
        <v>97.827725241085403</v>
      </c>
      <c r="AJ4159">
        <v>113.157774064135</v>
      </c>
      <c r="AK4159">
        <v>8.2358171575619696</v>
      </c>
      <c r="AL4159">
        <v>83.091298857546306</v>
      </c>
      <c r="AM4159">
        <v>106.311166228432</v>
      </c>
      <c r="AN4159">
        <v>0.99999999054580901</v>
      </c>
    </row>
    <row r="4160" spans="1:40" x14ac:dyDescent="0.25">
      <c r="A4160" t="str">
        <f>"20190312164352566"</f>
        <v>20190312164352566</v>
      </c>
      <c r="B4160" t="str">
        <f>"1552380232559566"</f>
        <v>1552380232559566</v>
      </c>
      <c r="C4160" t="s">
        <v>40</v>
      </c>
      <c r="D4160">
        <v>4.777101</v>
      </c>
      <c r="E4160">
        <v>0.45731460000000002</v>
      </c>
      <c r="F4160" t="s">
        <v>50</v>
      </c>
      <c r="G4160">
        <v>-406.23829999999998</v>
      </c>
      <c r="H4160" s="1">
        <v>-3.9977760000000003E-6</v>
      </c>
      <c r="I4160">
        <v>24.1629</v>
      </c>
      <c r="J4160">
        <v>-413.86680000000001</v>
      </c>
      <c r="K4160">
        <v>1.1215489999999999</v>
      </c>
      <c r="L4160">
        <v>27.256070000000001</v>
      </c>
      <c r="M4160">
        <v>0.70799529999999999</v>
      </c>
      <c r="N4160">
        <v>0</v>
      </c>
      <c r="O4160">
        <v>-0.70605799999999996</v>
      </c>
      <c r="P4160">
        <v>0.8679732</v>
      </c>
      <c r="Q4160">
        <v>0.1135379</v>
      </c>
      <c r="R4160">
        <v>-0.48345840000000001</v>
      </c>
      <c r="S4160">
        <v>2.8464969999999998</v>
      </c>
      <c r="T4160">
        <v>-0.40630379999999999</v>
      </c>
      <c r="U4160">
        <v>-1.198059</v>
      </c>
      <c r="V4160">
        <v>-0.27407609999999999</v>
      </c>
      <c r="W4160">
        <v>0.12019290000000001</v>
      </c>
      <c r="X4160">
        <v>0.95416769999999995</v>
      </c>
      <c r="Y4160">
        <v>-0.36850919999999998</v>
      </c>
      <c r="Z4160">
        <v>0.1100585</v>
      </c>
      <c r="AA4160">
        <v>0.92308619999999997</v>
      </c>
      <c r="AB4160">
        <v>30</v>
      </c>
      <c r="AC4160">
        <v>7.62850000000003</v>
      </c>
      <c r="AD4160">
        <v>-1.1215529977759999</v>
      </c>
      <c r="AE4160">
        <v>-3.0931700000000002</v>
      </c>
      <c r="AF4160">
        <v>-3.1383153797269898</v>
      </c>
      <c r="AG4160">
        <v>-1.1215529977759999</v>
      </c>
      <c r="AH4160">
        <v>7.4475018640221</v>
      </c>
      <c r="AI4160">
        <v>97.900839804624695</v>
      </c>
      <c r="AJ4160">
        <v>112.850153262078</v>
      </c>
      <c r="AK4160">
        <v>8.1591781794531304</v>
      </c>
      <c r="AL4160">
        <v>83.096764631166195</v>
      </c>
      <c r="AM4160">
        <v>106.026236568223</v>
      </c>
      <c r="AN4160">
        <v>1.00000002076245</v>
      </c>
    </row>
    <row r="4161" spans="1:40" x14ac:dyDescent="0.25">
      <c r="A4161" t="str">
        <f>"20190312164352587"</f>
        <v>20190312164352587</v>
      </c>
      <c r="B4161" t="str">
        <f>"1552380232579085"</f>
        <v>1552380232579085</v>
      </c>
      <c r="C4161" t="s">
        <v>40</v>
      </c>
      <c r="D4161">
        <v>4.8194339999999896</v>
      </c>
      <c r="E4161">
        <v>0.45796680000000001</v>
      </c>
      <c r="F4161" t="s">
        <v>50</v>
      </c>
      <c r="G4161">
        <v>-405.87299999999999</v>
      </c>
      <c r="H4161" s="1">
        <v>-4.1463280000000004E-6</v>
      </c>
      <c r="I4161">
        <v>23.964759999999998</v>
      </c>
      <c r="J4161">
        <v>-413.63940000000002</v>
      </c>
      <c r="K4161">
        <v>1.1214189999999999</v>
      </c>
      <c r="L4161">
        <v>27.049959999999999</v>
      </c>
      <c r="M4161">
        <v>0.71830159999999998</v>
      </c>
      <c r="N4161">
        <v>0</v>
      </c>
      <c r="O4161">
        <v>-0.69557250000000004</v>
      </c>
      <c r="P4161">
        <v>0.8728091</v>
      </c>
      <c r="Q4161">
        <v>0.1127652</v>
      </c>
      <c r="R4161">
        <v>-0.47485690000000003</v>
      </c>
      <c r="S4161">
        <v>2.8541560000000001</v>
      </c>
      <c r="T4161">
        <v>-0.40044279999999999</v>
      </c>
      <c r="U4161">
        <v>-1.1751400000000001</v>
      </c>
      <c r="V4161">
        <v>-0.26947739999999998</v>
      </c>
      <c r="W4161">
        <v>0.11954720000000001</v>
      </c>
      <c r="X4161">
        <v>0.95555760000000001</v>
      </c>
      <c r="Y4161">
        <v>-0.36237829999999999</v>
      </c>
      <c r="Z4161">
        <v>0.1071389</v>
      </c>
      <c r="AA4161">
        <v>0.92585269999999997</v>
      </c>
      <c r="AB4161">
        <v>30</v>
      </c>
      <c r="AC4161">
        <v>7.7663999999999698</v>
      </c>
      <c r="AD4161">
        <v>-1.121423146328</v>
      </c>
      <c r="AE4161">
        <v>-3.0851999999999902</v>
      </c>
      <c r="AF4161">
        <v>-3.1299790367309201</v>
      </c>
      <c r="AG4161">
        <v>-1.121423146328</v>
      </c>
      <c r="AH4161">
        <v>7.5887959414277102</v>
      </c>
      <c r="AI4161">
        <v>97.779028351740095</v>
      </c>
      <c r="AJ4161">
        <v>112.41357114976699</v>
      </c>
      <c r="AK4161">
        <v>8.28517848233367</v>
      </c>
      <c r="AL4161">
        <v>83.1340288207996</v>
      </c>
      <c r="AM4161">
        <v>105.74901604592699</v>
      </c>
      <c r="AN4161">
        <v>0.99999996452817896</v>
      </c>
    </row>
    <row r="4162" spans="1:40" x14ac:dyDescent="0.25">
      <c r="A4162" t="str">
        <f>"20190312164352608"</f>
        <v>20190312164352608</v>
      </c>
      <c r="B4162" t="str">
        <f>"1552380232599584"</f>
        <v>1552380232599584</v>
      </c>
      <c r="C4162" t="s">
        <v>40</v>
      </c>
      <c r="D4162">
        <v>4.7784000000000004</v>
      </c>
      <c r="E4162">
        <v>0.45826899999999998</v>
      </c>
      <c r="F4162" t="s">
        <v>50</v>
      </c>
      <c r="G4162">
        <v>-405.61770000000001</v>
      </c>
      <c r="H4162" s="1">
        <v>-4.2502240000000002E-6</v>
      </c>
      <c r="I4162">
        <v>23.82694</v>
      </c>
      <c r="J4162">
        <v>-413.4409</v>
      </c>
      <c r="K4162">
        <v>1.121313</v>
      </c>
      <c r="L4162">
        <v>26.87473</v>
      </c>
      <c r="M4162">
        <v>0.72698969999999996</v>
      </c>
      <c r="N4162">
        <v>0</v>
      </c>
      <c r="O4162">
        <v>-0.6864886</v>
      </c>
      <c r="P4162">
        <v>0.87624899999999994</v>
      </c>
      <c r="Q4162">
        <v>0.1130668</v>
      </c>
      <c r="R4162">
        <v>-0.46840549999999997</v>
      </c>
      <c r="S4162">
        <v>2.8630070000000001</v>
      </c>
      <c r="T4162">
        <v>-0.40024759999999998</v>
      </c>
      <c r="U4162">
        <v>-1.1503300000000001</v>
      </c>
      <c r="V4162">
        <v>-0.26445289999999999</v>
      </c>
      <c r="W4162">
        <v>0.119986999999999</v>
      </c>
      <c r="X4162">
        <v>0.95690529999999996</v>
      </c>
      <c r="Y4162">
        <v>-0.35865930000000001</v>
      </c>
      <c r="Z4162">
        <v>0.10597620000000001</v>
      </c>
      <c r="AA4162">
        <v>0.92743330000000002</v>
      </c>
      <c r="AB4162">
        <v>30</v>
      </c>
      <c r="AC4162">
        <v>7.8231999999999804</v>
      </c>
      <c r="AD4162">
        <v>-1.1213172502240001</v>
      </c>
      <c r="AE4162">
        <v>-3.0477899999999898</v>
      </c>
      <c r="AF4162">
        <v>-3.0998794197270598</v>
      </c>
      <c r="AG4162">
        <v>-1.1213172502240001</v>
      </c>
      <c r="AH4162">
        <v>7.6441638983287499</v>
      </c>
      <c r="AI4162">
        <v>97.741178934058595</v>
      </c>
      <c r="AJ4162">
        <v>112.07365468507901</v>
      </c>
      <c r="AK4162">
        <v>8.3246529355288992</v>
      </c>
      <c r="AL4162">
        <v>83.108647581637101</v>
      </c>
      <c r="AM4162">
        <v>105.448811657033</v>
      </c>
      <c r="AN4162">
        <v>0.99999998482774899</v>
      </c>
    </row>
    <row r="4163" spans="1:40" x14ac:dyDescent="0.25">
      <c r="A4163" t="str">
        <f>"20190312164352630"</f>
        <v>20190312164352630</v>
      </c>
      <c r="B4163" t="str">
        <f>"1552380232619102"</f>
        <v>1552380232619102</v>
      </c>
      <c r="C4163" t="s">
        <v>40</v>
      </c>
      <c r="D4163">
        <v>4.8279809999999896</v>
      </c>
      <c r="E4163">
        <v>0.47487489999999999</v>
      </c>
      <c r="F4163" t="s">
        <v>50</v>
      </c>
      <c r="G4163">
        <v>-405.34960000000001</v>
      </c>
      <c r="H4163" s="1">
        <v>-4.3603779999999996E-6</v>
      </c>
      <c r="I4163">
        <v>23.687830000000002</v>
      </c>
      <c r="J4163">
        <v>-413.2251</v>
      </c>
      <c r="K4163">
        <v>1.121205</v>
      </c>
      <c r="L4163">
        <v>26.688960000000002</v>
      </c>
      <c r="M4163">
        <v>0.73612200000000005</v>
      </c>
      <c r="N4163">
        <v>0</v>
      </c>
      <c r="O4163">
        <v>-0.67668909999999904</v>
      </c>
      <c r="P4163">
        <v>0.87993600000000005</v>
      </c>
      <c r="Q4163">
        <v>0.1131702</v>
      </c>
      <c r="R4163">
        <v>-0.46141660000000001</v>
      </c>
      <c r="S4163">
        <v>2.8706049999999999</v>
      </c>
      <c r="T4163">
        <v>-0.39782079999999997</v>
      </c>
      <c r="U4163">
        <v>-1.13064599999999</v>
      </c>
      <c r="V4163">
        <v>-0.2591986</v>
      </c>
      <c r="W4163">
        <v>0.1202303</v>
      </c>
      <c r="X4163">
        <v>0.95831140000000004</v>
      </c>
      <c r="Y4163">
        <v>-0.35269820000000002</v>
      </c>
      <c r="Z4163">
        <v>0.1040011</v>
      </c>
      <c r="AA4163">
        <v>0.92993959999999998</v>
      </c>
      <c r="AB4163">
        <v>30</v>
      </c>
      <c r="AC4163">
        <v>7.8754999999999802</v>
      </c>
      <c r="AD4163">
        <v>-1.121209360378</v>
      </c>
      <c r="AE4163">
        <v>-3.0011299999999999</v>
      </c>
      <c r="AF4163">
        <v>-3.0661393743425398</v>
      </c>
      <c r="AG4163">
        <v>-1.121209360378</v>
      </c>
      <c r="AH4163">
        <v>7.6928573999202596</v>
      </c>
      <c r="AI4163">
        <v>97.710346056296203</v>
      </c>
      <c r="AJ4163">
        <v>111.73072481753999</v>
      </c>
      <c r="AK4163">
        <v>8.3569358061553203</v>
      </c>
      <c r="AL4163">
        <v>83.0946058979914</v>
      </c>
      <c r="AM4163">
        <v>105.13490072447</v>
      </c>
      <c r="AN4163">
        <v>0.999999989325005</v>
      </c>
    </row>
    <row r="4164" spans="1:40" x14ac:dyDescent="0.25">
      <c r="A4164" t="str">
        <f>"20190312164352643"</f>
        <v>20190312164352643</v>
      </c>
      <c r="B4164" t="str">
        <f>"1552380232639598"</f>
        <v>1552380232639598</v>
      </c>
      <c r="C4164" t="s">
        <v>40</v>
      </c>
      <c r="D4164">
        <v>4.8649069999999996</v>
      </c>
      <c r="E4164">
        <v>0.4779274</v>
      </c>
      <c r="F4164" t="s">
        <v>50</v>
      </c>
      <c r="G4164">
        <v>-404.31939999999997</v>
      </c>
      <c r="H4164" s="1">
        <v>-4.7006009999999998E-6</v>
      </c>
      <c r="I4164">
        <v>22.82076</v>
      </c>
      <c r="J4164">
        <v>-413.09120000000001</v>
      </c>
      <c r="K4164">
        <v>1.1211370000000001</v>
      </c>
      <c r="L4164">
        <v>26.575900000000001</v>
      </c>
      <c r="M4164">
        <v>0.74163900000000005</v>
      </c>
      <c r="N4164">
        <v>0</v>
      </c>
      <c r="O4164">
        <v>-0.6706396</v>
      </c>
      <c r="P4164">
        <v>0.88232790000000005</v>
      </c>
      <c r="Q4164">
        <v>0.1131885</v>
      </c>
      <c r="R4164">
        <v>-0.4568218</v>
      </c>
      <c r="S4164">
        <v>2.8139949999999998</v>
      </c>
      <c r="T4164">
        <v>-0.35427589999999998</v>
      </c>
      <c r="U4164">
        <v>-1.2222599999999999</v>
      </c>
      <c r="V4164">
        <v>-0.25632120000000003</v>
      </c>
      <c r="W4164">
        <v>0.1203198</v>
      </c>
      <c r="X4164">
        <v>0.95907379999999998</v>
      </c>
      <c r="Y4164">
        <v>-0.31420900000000002</v>
      </c>
      <c r="Z4164">
        <v>9.0858839999999996E-2</v>
      </c>
      <c r="AA4164">
        <v>0.94499599999999995</v>
      </c>
      <c r="AB4164">
        <v>30</v>
      </c>
      <c r="AC4164">
        <v>8.7718000000000398</v>
      </c>
      <c r="AD4164">
        <v>-1.121141700601</v>
      </c>
      <c r="AE4164">
        <v>-3.7551399999999999</v>
      </c>
      <c r="AF4164">
        <v>-3.0559006475060801</v>
      </c>
      <c r="AG4164">
        <v>-1.121141700601</v>
      </c>
      <c r="AH4164">
        <v>8.9019224593228294</v>
      </c>
      <c r="AI4164">
        <v>96.793082874911605</v>
      </c>
      <c r="AJ4164">
        <v>108.946601525473</v>
      </c>
      <c r="AK4164">
        <v>9.4783812411218609</v>
      </c>
      <c r="AL4164">
        <v>83.089440382480007</v>
      </c>
      <c r="AM4164">
        <v>104.96310285754799</v>
      </c>
      <c r="AN4164">
        <v>0.99999998284395997</v>
      </c>
    </row>
    <row r="4165" spans="1:40" x14ac:dyDescent="0.25">
      <c r="A4165" t="str">
        <f>"20190312164352664"</f>
        <v>20190312164352664</v>
      </c>
      <c r="B4165" t="str">
        <f>"1552380232659118"</f>
        <v>1552380232659118</v>
      </c>
      <c r="C4165" t="s">
        <v>40</v>
      </c>
      <c r="D4165">
        <v>4.870393</v>
      </c>
      <c r="E4165">
        <v>0.47853980000000002</v>
      </c>
      <c r="F4165" t="s">
        <v>50</v>
      </c>
      <c r="G4165">
        <v>-404.44529999999997</v>
      </c>
      <c r="H4165" s="1">
        <v>-4.63716E-6</v>
      </c>
      <c r="I4165">
        <v>22.794070000000001</v>
      </c>
      <c r="J4165">
        <v>-412.8809</v>
      </c>
      <c r="K4165">
        <v>1.1210249999999999</v>
      </c>
      <c r="L4165">
        <v>26.402339999999999</v>
      </c>
      <c r="M4165">
        <v>0.75005259999999996</v>
      </c>
      <c r="N4165">
        <v>0</v>
      </c>
      <c r="O4165">
        <v>-0.66121850000000004</v>
      </c>
      <c r="P4165">
        <v>0.88565949999999904</v>
      </c>
      <c r="Q4165">
        <v>0.113205</v>
      </c>
      <c r="R4165">
        <v>-0.45032430000000001</v>
      </c>
      <c r="S4165">
        <v>2.8103940000000001</v>
      </c>
      <c r="T4165">
        <v>-0.36443439999999999</v>
      </c>
      <c r="U4165">
        <v>-1.229309</v>
      </c>
      <c r="V4165">
        <v>-0.25121019999999999</v>
      </c>
      <c r="W4165">
        <v>0.1204566</v>
      </c>
      <c r="X4165">
        <v>0.96040809999999999</v>
      </c>
      <c r="Y4165">
        <v>-0.29956480000000002</v>
      </c>
      <c r="Z4165">
        <v>9.1803079999999995E-2</v>
      </c>
      <c r="AA4165">
        <v>0.94964890000000002</v>
      </c>
      <c r="AB4165">
        <v>30</v>
      </c>
      <c r="AC4165">
        <v>8.4356000000000204</v>
      </c>
      <c r="AD4165">
        <v>-1.1210296371599999</v>
      </c>
      <c r="AE4165">
        <v>-3.6082700000000001</v>
      </c>
      <c r="AF4165">
        <v>-2.82944496314731</v>
      </c>
      <c r="AG4165">
        <v>-1.1210296371599999</v>
      </c>
      <c r="AH4165">
        <v>8.5857422736083802</v>
      </c>
      <c r="AI4165">
        <v>97.069067077741295</v>
      </c>
      <c r="AJ4165">
        <v>108.23971761697101</v>
      </c>
      <c r="AK4165">
        <v>9.1091951694810493</v>
      </c>
      <c r="AL4165">
        <v>83.081545277078604</v>
      </c>
      <c r="AM4165">
        <v>104.658233225305</v>
      </c>
      <c r="AN4165">
        <v>1.0000000378066001</v>
      </c>
    </row>
    <row r="4166" spans="1:40" x14ac:dyDescent="0.25">
      <c r="A4166" t="str">
        <f>"20190312164352687"</f>
        <v>20190312164352687</v>
      </c>
      <c r="B4166" t="str">
        <f>"1552380232679614"</f>
        <v>1552380232679614</v>
      </c>
      <c r="C4166" t="s">
        <v>40</v>
      </c>
      <c r="D4166">
        <v>4.9725769999999896</v>
      </c>
      <c r="E4166">
        <v>0.47934369999999998</v>
      </c>
      <c r="F4166" t="s">
        <v>50</v>
      </c>
      <c r="G4166">
        <v>-404.24529999999999</v>
      </c>
      <c r="H4166" s="1">
        <v>-4.7110929999999997E-6</v>
      </c>
      <c r="I4166">
        <v>22.68601</v>
      </c>
      <c r="J4166">
        <v>-412.64120000000003</v>
      </c>
      <c r="K4166">
        <v>1.120887</v>
      </c>
      <c r="L4166">
        <v>26.20993</v>
      </c>
      <c r="M4166">
        <v>0.75928859999999998</v>
      </c>
      <c r="N4166">
        <v>0</v>
      </c>
      <c r="O4166">
        <v>-0.65059460000000002</v>
      </c>
      <c r="P4166">
        <v>0.88933459999999998</v>
      </c>
      <c r="Q4166">
        <v>0.11332</v>
      </c>
      <c r="R4166">
        <v>-0.44299300000000003</v>
      </c>
      <c r="S4166">
        <v>2.8175050000000001</v>
      </c>
      <c r="T4166">
        <v>-0.36575760000000002</v>
      </c>
      <c r="U4166">
        <v>-1.2125239999999999</v>
      </c>
      <c r="V4166">
        <v>-0.24556539999999999</v>
      </c>
      <c r="W4166">
        <v>0.1206942</v>
      </c>
      <c r="X4166">
        <v>0.9618371</v>
      </c>
      <c r="Y4166">
        <v>-0.29183829999999999</v>
      </c>
      <c r="Z4166">
        <v>9.0675140000000001E-2</v>
      </c>
      <c r="AA4166">
        <v>0.95215989999999995</v>
      </c>
      <c r="AB4166">
        <v>30</v>
      </c>
      <c r="AC4166">
        <v>8.3959000000000401</v>
      </c>
      <c r="AD4166">
        <v>-1.1208917110929999</v>
      </c>
      <c r="AE4166">
        <v>-3.5239199999999999</v>
      </c>
      <c r="AF4166">
        <v>-2.7453413919069098</v>
      </c>
      <c r="AG4166">
        <v>-1.1208917110929999</v>
      </c>
      <c r="AH4166">
        <v>8.5390537301923501</v>
      </c>
      <c r="AI4166">
        <v>97.123138092125302</v>
      </c>
      <c r="AJ4166">
        <v>107.822814759995</v>
      </c>
      <c r="AK4166">
        <v>9.0392884782612306</v>
      </c>
      <c r="AL4166">
        <v>83.067831703229999</v>
      </c>
      <c r="AM4166">
        <v>104.32215907528099</v>
      </c>
      <c r="AN4166">
        <v>1.0000000312635999</v>
      </c>
    </row>
    <row r="4167" spans="1:40" x14ac:dyDescent="0.25">
      <c r="A4167" t="str">
        <f>"20190312164352708"</f>
        <v>20190312164352708</v>
      </c>
      <c r="B4167" t="str">
        <f>"1552380232698783"</f>
        <v>1552380232698783</v>
      </c>
      <c r="C4167" t="s">
        <v>40</v>
      </c>
      <c r="D4167">
        <v>4.8890699999999896</v>
      </c>
      <c r="E4167">
        <v>0.47973090000000002</v>
      </c>
      <c r="F4167" t="s">
        <v>50</v>
      </c>
      <c r="G4167">
        <v>-403.92380000000003</v>
      </c>
      <c r="H4167" s="1">
        <v>-4.8325279999999998E-6</v>
      </c>
      <c r="I4167">
        <v>22.52666</v>
      </c>
      <c r="J4167">
        <v>-412.42689999999999</v>
      </c>
      <c r="K4167">
        <v>1.1207640000000001</v>
      </c>
      <c r="L4167">
        <v>26.042110000000001</v>
      </c>
      <c r="M4167">
        <v>0.76725669999999901</v>
      </c>
      <c r="N4167">
        <v>0</v>
      </c>
      <c r="O4167">
        <v>-0.64118109999999995</v>
      </c>
      <c r="P4167">
        <v>0.89195869999999999</v>
      </c>
      <c r="Q4167">
        <v>0.11343839999999999</v>
      </c>
      <c r="R4167">
        <v>-0.43765520000000002</v>
      </c>
      <c r="S4167">
        <v>2.825043</v>
      </c>
      <c r="T4167">
        <v>-0.36324580000000001</v>
      </c>
      <c r="U4167">
        <v>-1.1936340000000001</v>
      </c>
      <c r="V4167">
        <v>-0.23941100000000001</v>
      </c>
      <c r="W4167">
        <v>0.120946</v>
      </c>
      <c r="X4167">
        <v>0.96335579999999998</v>
      </c>
      <c r="Y4167">
        <v>-0.28651700000000002</v>
      </c>
      <c r="Z4167">
        <v>8.8847860000000001E-2</v>
      </c>
      <c r="AA4167">
        <v>0.95394659999999998</v>
      </c>
      <c r="AB4167">
        <v>30</v>
      </c>
      <c r="AC4167">
        <v>8.5030999999999501</v>
      </c>
      <c r="AD4167">
        <v>-1.1207688325280001</v>
      </c>
      <c r="AE4167">
        <v>-3.51545</v>
      </c>
      <c r="AF4167">
        <v>-2.7147760839640802</v>
      </c>
      <c r="AG4167">
        <v>-1.1207688325280001</v>
      </c>
      <c r="AH4167">
        <v>8.6506455941181297</v>
      </c>
      <c r="AI4167">
        <v>97.046857154955504</v>
      </c>
      <c r="AJ4167">
        <v>107.423084263161</v>
      </c>
      <c r="AK4167">
        <v>9.1356335936302209</v>
      </c>
      <c r="AL4167">
        <v>83.053297799171602</v>
      </c>
      <c r="AM4167">
        <v>103.95628376152899</v>
      </c>
      <c r="AN4167">
        <v>0.99999997961531895</v>
      </c>
    </row>
    <row r="4168" spans="1:40" x14ac:dyDescent="0.25">
      <c r="A4168" t="str">
        <f>"20190312164352720"</f>
        <v>20190312164352720</v>
      </c>
      <c r="B4168" t="str">
        <f>"1552380232709517"</f>
        <v>1552380232709517</v>
      </c>
      <c r="C4168" t="s">
        <v>40</v>
      </c>
      <c r="D4168">
        <v>4.8799340000000004</v>
      </c>
      <c r="E4168">
        <v>0.48011619999999999</v>
      </c>
      <c r="F4168" t="s">
        <v>50</v>
      </c>
      <c r="G4168">
        <v>-403.72609999999997</v>
      </c>
      <c r="H4168" s="1">
        <v>-4.9065060000000001E-6</v>
      </c>
      <c r="I4168">
        <v>22.425039999999999</v>
      </c>
      <c r="J4168">
        <v>-412.30270000000002</v>
      </c>
      <c r="K4168">
        <v>1.1206910000000001</v>
      </c>
      <c r="L4168">
        <v>25.94641</v>
      </c>
      <c r="M4168">
        <v>0.77176119999999904</v>
      </c>
      <c r="N4168">
        <v>0</v>
      </c>
      <c r="O4168">
        <v>-0.63575360000000003</v>
      </c>
      <c r="P4168">
        <v>0.89351579999999997</v>
      </c>
      <c r="Q4168">
        <v>0.113348</v>
      </c>
      <c r="R4168">
        <v>-0.43449009999999999</v>
      </c>
      <c r="S4168">
        <v>2.8321230000000002</v>
      </c>
      <c r="T4168">
        <v>-0.3648131</v>
      </c>
      <c r="U4168">
        <v>-1.177368</v>
      </c>
      <c r="V4168">
        <v>-0.236008</v>
      </c>
      <c r="W4168">
        <v>0.1209238</v>
      </c>
      <c r="X4168">
        <v>0.96419790000000005</v>
      </c>
      <c r="Y4168">
        <v>-0.28527390000000002</v>
      </c>
      <c r="Z4168">
        <v>8.8597480000000006E-2</v>
      </c>
      <c r="AA4168">
        <v>0.95434229999999998</v>
      </c>
      <c r="AB4168">
        <v>30</v>
      </c>
      <c r="AC4168">
        <v>8.57660000000004</v>
      </c>
      <c r="AD4168">
        <v>-1.12069590650599</v>
      </c>
      <c r="AE4168">
        <v>-3.5213700000000001</v>
      </c>
      <c r="AF4168">
        <v>-2.6958342466313998</v>
      </c>
      <c r="AG4168">
        <v>-1.12069590650599</v>
      </c>
      <c r="AH4168">
        <v>8.7311324356285596</v>
      </c>
      <c r="AI4168">
        <v>96.992029777676194</v>
      </c>
      <c r="AJ4168">
        <v>107.15865438881799</v>
      </c>
      <c r="AK4168">
        <v>9.2063106187362092</v>
      </c>
      <c r="AL4168">
        <v>83.054579074595793</v>
      </c>
      <c r="AM4168">
        <v>103.753939978113</v>
      </c>
      <c r="AN4168">
        <v>0.99999996591742402</v>
      </c>
    </row>
    <row r="4169" spans="1:40" x14ac:dyDescent="0.25">
      <c r="A4169" t="str">
        <f>"20190312164352733"</f>
        <v>20190312164352733</v>
      </c>
      <c r="B4169" t="str">
        <f>"1552380232729038"</f>
        <v>1552380232729038</v>
      </c>
      <c r="C4169" t="s">
        <v>40</v>
      </c>
      <c r="D4169">
        <v>4.9033470000000001</v>
      </c>
      <c r="E4169">
        <v>0.48036109999999999</v>
      </c>
      <c r="F4169" t="s">
        <v>50</v>
      </c>
      <c r="G4169">
        <v>-403.63369999999998</v>
      </c>
      <c r="H4169" s="1">
        <v>-4.9400930000000004E-6</v>
      </c>
      <c r="I4169">
        <v>22.37201</v>
      </c>
      <c r="J4169">
        <v>-412.17520000000002</v>
      </c>
      <c r="K4169">
        <v>1.120611</v>
      </c>
      <c r="L4169">
        <v>25.850249999999999</v>
      </c>
      <c r="M4169">
        <v>0.77625829999999996</v>
      </c>
      <c r="N4169">
        <v>0</v>
      </c>
      <c r="O4169">
        <v>-0.63025629999999999</v>
      </c>
      <c r="P4169">
        <v>0.89521399999999995</v>
      </c>
      <c r="Q4169">
        <v>0.1130129</v>
      </c>
      <c r="R4169">
        <v>-0.43106810000000001</v>
      </c>
      <c r="S4169">
        <v>2.8355410000000001</v>
      </c>
      <c r="T4169">
        <v>-0.36657089999999998</v>
      </c>
      <c r="U4169">
        <v>-1.1691590000000001</v>
      </c>
      <c r="V4169">
        <v>-0.23283719999999999</v>
      </c>
      <c r="W4169">
        <v>0.1206492</v>
      </c>
      <c r="X4169">
        <v>0.9650029</v>
      </c>
      <c r="Y4169">
        <v>-0.28123700000000001</v>
      </c>
      <c r="Z4169">
        <v>8.8246809999999995E-2</v>
      </c>
      <c r="AA4169">
        <v>0.95557219999999998</v>
      </c>
      <c r="AB4169">
        <v>30</v>
      </c>
      <c r="AC4169">
        <v>8.5415000000000401</v>
      </c>
      <c r="AD4169">
        <v>-1.120615940093</v>
      </c>
      <c r="AE4169">
        <v>-3.47824</v>
      </c>
      <c r="AF4169">
        <v>-2.64454518858967</v>
      </c>
      <c r="AG4169">
        <v>-1.120615940093</v>
      </c>
      <c r="AH4169">
        <v>8.6950988050770395</v>
      </c>
      <c r="AI4169">
        <v>97.029220241104298</v>
      </c>
      <c r="AJ4169">
        <v>106.916721930069</v>
      </c>
      <c r="AK4169">
        <v>9.1571907575268696</v>
      </c>
      <c r="AL4169">
        <v>83.070428734113094</v>
      </c>
      <c r="AM4169">
        <v>103.565130428603</v>
      </c>
      <c r="AN4169">
        <v>0.99999999408644402</v>
      </c>
    </row>
    <row r="4170" spans="1:40" x14ac:dyDescent="0.25">
      <c r="A4170" t="str">
        <f>"20190312164352755"</f>
        <v>20190312164352755</v>
      </c>
      <c r="B4170" t="str">
        <f>"1552380232749533"</f>
        <v>1552380232749533</v>
      </c>
      <c r="C4170" t="s">
        <v>40</v>
      </c>
      <c r="D4170">
        <v>5.1050940000000002</v>
      </c>
      <c r="E4170">
        <v>0.48088059999999999</v>
      </c>
      <c r="F4170" t="s">
        <v>50</v>
      </c>
      <c r="G4170">
        <v>-403.584</v>
      </c>
      <c r="H4170" s="1">
        <v>-4.9581799999999997E-6</v>
      </c>
      <c r="I4170">
        <v>22.343599999999999</v>
      </c>
      <c r="J4170">
        <v>-411.94130000000001</v>
      </c>
      <c r="K4170">
        <v>1.1204419999999999</v>
      </c>
      <c r="L4170">
        <v>25.67661</v>
      </c>
      <c r="M4170">
        <v>0.78427819999999904</v>
      </c>
      <c r="N4170">
        <v>0</v>
      </c>
      <c r="O4170">
        <v>-0.62025169999999996</v>
      </c>
      <c r="P4170">
        <v>0.89790439999999905</v>
      </c>
      <c r="Q4170">
        <v>0.11237469999999999</v>
      </c>
      <c r="R4170">
        <v>-0.42560510000000001</v>
      </c>
      <c r="S4170">
        <v>2.8397830000000002</v>
      </c>
      <c r="T4170">
        <v>-0.37041829999999998</v>
      </c>
      <c r="U4170">
        <v>-1.159119</v>
      </c>
      <c r="V4170">
        <v>-0.2263145</v>
      </c>
      <c r="W4170">
        <v>0.1201441</v>
      </c>
      <c r="X4170">
        <v>0.96661629999999998</v>
      </c>
      <c r="Y4170">
        <v>-0.2723179</v>
      </c>
      <c r="Z4170">
        <v>8.7652750000000001E-2</v>
      </c>
      <c r="AA4170">
        <v>0.95820660000000002</v>
      </c>
      <c r="AB4170">
        <v>30</v>
      </c>
      <c r="AC4170">
        <v>8.3573000000000093</v>
      </c>
      <c r="AD4170">
        <v>-1.1204469581799901</v>
      </c>
      <c r="AE4170">
        <v>-3.3330099999999998</v>
      </c>
      <c r="AF4170">
        <v>-2.53062946554825</v>
      </c>
      <c r="AG4170">
        <v>-1.1204469581799901</v>
      </c>
      <c r="AH4170">
        <v>8.4909216928775297</v>
      </c>
      <c r="AI4170">
        <v>97.207427924689298</v>
      </c>
      <c r="AJ4170">
        <v>106.59613149464199</v>
      </c>
      <c r="AK4170">
        <v>8.93057882069097</v>
      </c>
      <c r="AL4170">
        <v>83.0995806847029</v>
      </c>
      <c r="AM4170">
        <v>103.177338630581</v>
      </c>
      <c r="AN4170">
        <v>0.99999996455037399</v>
      </c>
    </row>
    <row r="4171" spans="1:40" x14ac:dyDescent="0.25">
      <c r="A4171" t="str">
        <f>"20190312164352777"</f>
        <v>20190312164352777</v>
      </c>
      <c r="B4171" t="str">
        <f>"1552380232769052"</f>
        <v>1552380232769052</v>
      </c>
      <c r="C4171" t="s">
        <v>40</v>
      </c>
      <c r="D4171">
        <v>4.9437680000000004</v>
      </c>
      <c r="E4171">
        <v>0.48130899999999999</v>
      </c>
      <c r="F4171" t="s">
        <v>50</v>
      </c>
      <c r="G4171">
        <v>-403.30529999999999</v>
      </c>
      <c r="H4171" s="1">
        <v>-5.0633079999999997E-6</v>
      </c>
      <c r="I4171">
        <v>22.204719999999998</v>
      </c>
      <c r="J4171">
        <v>-411.7</v>
      </c>
      <c r="K4171">
        <v>1.1202559999999999</v>
      </c>
      <c r="L4171">
        <v>25.502009999999999</v>
      </c>
      <c r="M4171">
        <v>0.79220809999999997</v>
      </c>
      <c r="N4171">
        <v>0</v>
      </c>
      <c r="O4171">
        <v>-0.61009380000000002</v>
      </c>
      <c r="P4171">
        <v>0.90059100000000003</v>
      </c>
      <c r="Q4171">
        <v>0.1115256</v>
      </c>
      <c r="R4171">
        <v>-0.42011609999999999</v>
      </c>
      <c r="S4171">
        <v>2.845154</v>
      </c>
      <c r="T4171">
        <v>-0.36913629999999997</v>
      </c>
      <c r="U4171">
        <v>-1.143829</v>
      </c>
      <c r="V4171">
        <v>-0.21973309999999999</v>
      </c>
      <c r="W4171">
        <v>0.1194288</v>
      </c>
      <c r="X4171">
        <v>0.96822209999999997</v>
      </c>
      <c r="Y4171">
        <v>-0.26511449999999998</v>
      </c>
      <c r="Z4171">
        <v>8.5929080000000005E-2</v>
      </c>
      <c r="AA4171">
        <v>0.96038040000000002</v>
      </c>
      <c r="AB4171">
        <v>30</v>
      </c>
      <c r="AC4171">
        <v>8.3947000000000003</v>
      </c>
      <c r="AD4171">
        <v>-1.1202610633079999</v>
      </c>
      <c r="AE4171">
        <v>-3.2972899999999998</v>
      </c>
      <c r="AF4171">
        <v>-2.4715239848409101</v>
      </c>
      <c r="AG4171">
        <v>-1.1202610633079999</v>
      </c>
      <c r="AH4171">
        <v>8.5312146523866499</v>
      </c>
      <c r="AI4171">
        <v>97.188587218508005</v>
      </c>
      <c r="AJ4171">
        <v>106.156495136792</v>
      </c>
      <c r="AK4171">
        <v>8.9523761707551408</v>
      </c>
      <c r="AL4171">
        <v>83.140861522686293</v>
      </c>
      <c r="AM4171">
        <v>102.786406051225</v>
      </c>
      <c r="AN4171">
        <v>0.99999995421672805</v>
      </c>
    </row>
    <row r="4172" spans="1:40" x14ac:dyDescent="0.25">
      <c r="A4172" t="str">
        <f>"20190312164352799"</f>
        <v>20190312164352799</v>
      </c>
      <c r="B4172" t="str">
        <f>"1552380232789548"</f>
        <v>1552380232789548</v>
      </c>
      <c r="C4172" t="s">
        <v>40</v>
      </c>
      <c r="D4172">
        <v>4.9360710000000001</v>
      </c>
      <c r="E4172">
        <v>0.4818036</v>
      </c>
      <c r="F4172" t="s">
        <v>50</v>
      </c>
      <c r="G4172">
        <v>-403.14670000000001</v>
      </c>
      <c r="H4172" s="1">
        <v>-5.1215400000000003E-6</v>
      </c>
      <c r="I4172">
        <v>22.11693</v>
      </c>
      <c r="J4172">
        <v>-411.46559999999999</v>
      </c>
      <c r="K4172">
        <v>1.1200669999999999</v>
      </c>
      <c r="L4172">
        <v>25.336670000000002</v>
      </c>
      <c r="M4172">
        <v>0.7995873</v>
      </c>
      <c r="N4172">
        <v>0</v>
      </c>
      <c r="O4172">
        <v>-0.60039399999999998</v>
      </c>
      <c r="P4172">
        <v>0.90287130000000004</v>
      </c>
      <c r="Q4172">
        <v>0.1107327</v>
      </c>
      <c r="R4172">
        <v>-0.41540539999999998</v>
      </c>
      <c r="S4172">
        <v>2.8509829999999998</v>
      </c>
      <c r="T4172">
        <v>-0.37340879999999999</v>
      </c>
      <c r="U4172">
        <v>-1.1283259999999999</v>
      </c>
      <c r="V4172">
        <v>-0.2129606</v>
      </c>
      <c r="W4172">
        <v>0.11877450000000001</v>
      </c>
      <c r="X4172">
        <v>0.96981459999999997</v>
      </c>
      <c r="Y4172">
        <v>-0.25852150000000002</v>
      </c>
      <c r="Z4172">
        <v>8.5533970000000001E-2</v>
      </c>
      <c r="AA4172">
        <v>0.96221129999999999</v>
      </c>
      <c r="AB4172">
        <v>30</v>
      </c>
      <c r="AC4172">
        <v>8.3188999999999798</v>
      </c>
      <c r="AD4172">
        <v>-1.12007212154</v>
      </c>
      <c r="AE4172">
        <v>-3.2197399999999998</v>
      </c>
      <c r="AF4172">
        <v>-2.3828121324362401</v>
      </c>
      <c r="AG4172">
        <v>-1.12007212154</v>
      </c>
      <c r="AH4172">
        <v>8.4523383326433894</v>
      </c>
      <c r="AI4172">
        <v>97.268538126046593</v>
      </c>
      <c r="AJ4172">
        <v>105.74375939180101</v>
      </c>
      <c r="AK4172">
        <v>8.8529305038167596</v>
      </c>
      <c r="AL4172">
        <v>83.178619075969394</v>
      </c>
      <c r="AM4172">
        <v>102.384954133371</v>
      </c>
      <c r="AN4172">
        <v>0.99999997868788404</v>
      </c>
    </row>
    <row r="4173" spans="1:40" x14ac:dyDescent="0.25">
      <c r="A4173" t="str">
        <f>"20190312164352820"</f>
        <v>20190312164352820</v>
      </c>
      <c r="B4173" t="str">
        <f>"1552380232808712"</f>
        <v>1552380232808712</v>
      </c>
      <c r="C4173" t="s">
        <v>40</v>
      </c>
      <c r="D4173">
        <v>5.116263</v>
      </c>
      <c r="E4173">
        <v>0.4820989</v>
      </c>
      <c r="F4173" t="s">
        <v>50</v>
      </c>
      <c r="G4173">
        <v>-402.98289999999997</v>
      </c>
      <c r="H4173" s="1">
        <v>-5.1809830000000002E-6</v>
      </c>
      <c r="I4173">
        <v>22.02206</v>
      </c>
      <c r="J4173">
        <v>-411.24160000000001</v>
      </c>
      <c r="K4173">
        <v>1.1198870000000001</v>
      </c>
      <c r="L4173">
        <v>25.182279999999999</v>
      </c>
      <c r="M4173">
        <v>0.80634899999999998</v>
      </c>
      <c r="N4173">
        <v>0</v>
      </c>
      <c r="O4173">
        <v>-0.59128449999999999</v>
      </c>
      <c r="P4173">
        <v>0.90453249999999996</v>
      </c>
      <c r="Q4173">
        <v>0.11010209999999999</v>
      </c>
      <c r="R4173">
        <v>-0.41194449999999999</v>
      </c>
      <c r="S4173">
        <v>2.855591</v>
      </c>
      <c r="T4173">
        <v>-0.37705529999999998</v>
      </c>
      <c r="U4173">
        <v>-1.1158140000000001</v>
      </c>
      <c r="V4173">
        <v>-0.20563380000000001</v>
      </c>
      <c r="W4173">
        <v>0.11830060000000001</v>
      </c>
      <c r="X4173">
        <v>0.97145239999999999</v>
      </c>
      <c r="Y4173">
        <v>-0.25173610000000002</v>
      </c>
      <c r="Z4173">
        <v>8.5013169999999999E-2</v>
      </c>
      <c r="AA4173">
        <v>0.96405479999999999</v>
      </c>
      <c r="AB4173">
        <v>30</v>
      </c>
      <c r="AC4173">
        <v>8.2587000000000295</v>
      </c>
      <c r="AD4173">
        <v>-1.119892180983</v>
      </c>
      <c r="AE4173">
        <v>-3.16021999999999</v>
      </c>
      <c r="AF4173">
        <v>-2.29835200228186</v>
      </c>
      <c r="AG4173">
        <v>-1.119892180983</v>
      </c>
      <c r="AH4173">
        <v>8.3941324329265594</v>
      </c>
      <c r="AI4173">
        <v>97.332382191684601</v>
      </c>
      <c r="AJ4173">
        <v>105.312555472436</v>
      </c>
      <c r="AK4173">
        <v>8.7748526896426906</v>
      </c>
      <c r="AL4173">
        <v>83.205964683074498</v>
      </c>
      <c r="AM4173">
        <v>101.95175604912301</v>
      </c>
      <c r="AN4173">
        <v>1.0000000285642701</v>
      </c>
    </row>
    <row r="4174" spans="1:40" x14ac:dyDescent="0.25">
      <c r="A4174" t="str">
        <f>"20190312164352843"</f>
        <v>20190312164352843</v>
      </c>
      <c r="B4174" t="str">
        <f>"1552380232838967"</f>
        <v>1552380232838967</v>
      </c>
      <c r="C4174" t="s">
        <v>40</v>
      </c>
      <c r="D4174">
        <v>4.9465019999999997</v>
      </c>
      <c r="E4174">
        <v>0.49057479999999998</v>
      </c>
      <c r="F4174" t="s">
        <v>50</v>
      </c>
      <c r="G4174">
        <v>-402.80779999999999</v>
      </c>
      <c r="H4174" s="1">
        <v>-5.2447120000000003E-6</v>
      </c>
      <c r="I4174">
        <v>21.92191</v>
      </c>
      <c r="J4174">
        <v>-410.9905</v>
      </c>
      <c r="K4174">
        <v>1.1196820000000001</v>
      </c>
      <c r="L4174">
        <v>25.013490000000001</v>
      </c>
      <c r="M4174">
        <v>0.81359230000000005</v>
      </c>
      <c r="N4174">
        <v>0</v>
      </c>
      <c r="O4174">
        <v>-0.58128119999999905</v>
      </c>
      <c r="P4174">
        <v>0.90648779999999995</v>
      </c>
      <c r="Q4174">
        <v>0.1091917</v>
      </c>
      <c r="R4174">
        <v>-0.4078696</v>
      </c>
      <c r="S4174">
        <v>2.8594360000000001</v>
      </c>
      <c r="T4174">
        <v>-0.37969170000000002</v>
      </c>
      <c r="U4174">
        <v>-1.1054079999999999</v>
      </c>
      <c r="V4174">
        <v>-0.19797390000000001</v>
      </c>
      <c r="W4174">
        <v>0.11754630000000001</v>
      </c>
      <c r="X4174">
        <v>0.97313369999999999</v>
      </c>
      <c r="Y4174">
        <v>-0.24330740000000001</v>
      </c>
      <c r="Z4174">
        <v>8.4047120000000003E-2</v>
      </c>
      <c r="AA4174">
        <v>0.96630099999999997</v>
      </c>
      <c r="AB4174">
        <v>30</v>
      </c>
      <c r="AC4174">
        <v>8.1827000000000094</v>
      </c>
      <c r="AD4174">
        <v>-1.1196872447120001</v>
      </c>
      <c r="AE4174">
        <v>-3.09158</v>
      </c>
      <c r="AF4174">
        <v>-2.2052323979575199</v>
      </c>
      <c r="AG4174">
        <v>-1.1196872447120001</v>
      </c>
      <c r="AH4174">
        <v>8.3189124301160895</v>
      </c>
      <c r="AI4174">
        <v>97.412648010628303</v>
      </c>
      <c r="AJ4174">
        <v>104.846864391376</v>
      </c>
      <c r="AK4174">
        <v>8.6787702743483308</v>
      </c>
      <c r="AL4174">
        <v>83.249486347087895</v>
      </c>
      <c r="AM4174">
        <v>101.499299561884</v>
      </c>
      <c r="AN4174">
        <v>0.99999999790029404</v>
      </c>
    </row>
    <row r="4175" spans="1:40" x14ac:dyDescent="0.25">
      <c r="A4175" t="str">
        <f>"20190312164352866"</f>
        <v>20190312164352866</v>
      </c>
      <c r="B4175" t="str">
        <f>"1552380232859464"</f>
        <v>1552380232859464</v>
      </c>
      <c r="C4175" t="s">
        <v>40</v>
      </c>
      <c r="D4175">
        <v>5.0948729999999998</v>
      </c>
      <c r="E4175">
        <v>0.49079030000000001</v>
      </c>
      <c r="F4175" t="s">
        <v>50</v>
      </c>
      <c r="G4175">
        <v>-402.53160000000003</v>
      </c>
      <c r="H4175" s="1">
        <v>-5.3118830000000001E-6</v>
      </c>
      <c r="I4175">
        <v>21.57649</v>
      </c>
      <c r="J4175">
        <v>-410.73689999999999</v>
      </c>
      <c r="K4175">
        <v>1.1194809999999999</v>
      </c>
      <c r="L4175">
        <v>24.847259999999999</v>
      </c>
      <c r="M4175">
        <v>0.82056549999999995</v>
      </c>
      <c r="N4175">
        <v>0</v>
      </c>
      <c r="O4175">
        <v>-0.57139869999999904</v>
      </c>
      <c r="P4175">
        <v>0.90826209999999996</v>
      </c>
      <c r="Q4175">
        <v>0.10906159999999999</v>
      </c>
      <c r="R4175">
        <v>-0.40393800000000002</v>
      </c>
      <c r="S4175">
        <v>2.8362120000000002</v>
      </c>
      <c r="T4175">
        <v>-0.37542429999999999</v>
      </c>
      <c r="U4175">
        <v>-1.1524049999999999</v>
      </c>
      <c r="V4175">
        <v>-0.19035150000000001</v>
      </c>
      <c r="W4175">
        <v>0.1175624</v>
      </c>
      <c r="X4175">
        <v>0.9746515</v>
      </c>
      <c r="Y4175">
        <v>-0.2153323</v>
      </c>
      <c r="Z4175">
        <v>8.0664600000000003E-2</v>
      </c>
      <c r="AA4175">
        <v>0.97320359999999995</v>
      </c>
      <c r="AB4175">
        <v>30</v>
      </c>
      <c r="AC4175">
        <v>8.2052999999999603</v>
      </c>
      <c r="AD4175">
        <v>-1.1194863118830001</v>
      </c>
      <c r="AE4175">
        <v>-3.2707700000000002</v>
      </c>
      <c r="AF4175">
        <v>-1.9731006531378401</v>
      </c>
      <c r="AG4175">
        <v>-1.1194863118830001</v>
      </c>
      <c r="AH4175">
        <v>8.4666629199654597</v>
      </c>
      <c r="AI4175">
        <v>97.337729192301794</v>
      </c>
      <c r="AJ4175">
        <v>103.118271817039</v>
      </c>
      <c r="AK4175">
        <v>8.7653155556559703</v>
      </c>
      <c r="AL4175">
        <v>83.248557994186399</v>
      </c>
      <c r="AM4175">
        <v>101.050883910404</v>
      </c>
      <c r="AN4175">
        <v>1.0000000789491199</v>
      </c>
    </row>
    <row r="4176" spans="1:40" x14ac:dyDescent="0.25">
      <c r="A4176" t="str">
        <f>"20190312164352878"</f>
        <v>20190312164352878</v>
      </c>
      <c r="B4176" t="str">
        <f>"1552380232869224"</f>
        <v>1552380232869224</v>
      </c>
      <c r="C4176" t="s">
        <v>40</v>
      </c>
      <c r="D4176">
        <v>5.0921729999999998</v>
      </c>
      <c r="E4176">
        <v>0.49122480000000002</v>
      </c>
      <c r="F4176" t="s">
        <v>50</v>
      </c>
      <c r="G4176">
        <v>-402.46319999999997</v>
      </c>
      <c r="H4176" s="1">
        <v>-5.33464799999999E-6</v>
      </c>
      <c r="I4176">
        <v>21.525279999999999</v>
      </c>
      <c r="J4176">
        <v>-410.59460000000001</v>
      </c>
      <c r="K4176">
        <v>1.1193770000000001</v>
      </c>
      <c r="L4176">
        <v>24.755579999999998</v>
      </c>
      <c r="M4176">
        <v>0.82435360000000002</v>
      </c>
      <c r="N4176">
        <v>0</v>
      </c>
      <c r="O4176">
        <v>-0.56592200000000004</v>
      </c>
      <c r="P4176">
        <v>0.90931119999999999</v>
      </c>
      <c r="Q4176">
        <v>0.10980669999999999</v>
      </c>
      <c r="R4176">
        <v>-0.40136759999999999</v>
      </c>
      <c r="S4176">
        <v>2.841675</v>
      </c>
      <c r="T4176">
        <v>-0.38449630000000001</v>
      </c>
      <c r="U4176">
        <v>-1.1409609999999999</v>
      </c>
      <c r="V4176">
        <v>-0.1865465</v>
      </c>
      <c r="W4176">
        <v>0.11837250000000001</v>
      </c>
      <c r="X4176">
        <v>0.97528890000000001</v>
      </c>
      <c r="Y4176">
        <v>-0.2126594</v>
      </c>
      <c r="Z4176">
        <v>8.1800360000000003E-2</v>
      </c>
      <c r="AA4176">
        <v>0.97369640000000002</v>
      </c>
      <c r="AB4176">
        <v>30</v>
      </c>
      <c r="AC4176">
        <v>8.1314000000000402</v>
      </c>
      <c r="AD4176">
        <v>-1.1193823346480001</v>
      </c>
      <c r="AE4176">
        <v>-3.2303000000000002</v>
      </c>
      <c r="AF4176">
        <v>-1.90777114858965</v>
      </c>
      <c r="AG4176">
        <v>-1.1193823346480001</v>
      </c>
      <c r="AH4176">
        <v>8.3945869868319498</v>
      </c>
      <c r="AI4176">
        <v>97.408608219014496</v>
      </c>
      <c r="AJ4176">
        <v>102.803685004447</v>
      </c>
      <c r="AK4176">
        <v>8.6811115789397295</v>
      </c>
      <c r="AL4176">
        <v>83.2018160572364</v>
      </c>
      <c r="AM4176">
        <v>100.828350600527</v>
      </c>
      <c r="AN4176">
        <v>1.0000000419408499</v>
      </c>
    </row>
    <row r="4177" spans="1:40" x14ac:dyDescent="0.25">
      <c r="A4177" t="str">
        <f>"20190312164352891"</f>
        <v>20190312164352891</v>
      </c>
      <c r="B4177" t="str">
        <f>"1552380232878984"</f>
        <v>1552380232878984</v>
      </c>
      <c r="C4177" t="s">
        <v>40</v>
      </c>
      <c r="D4177">
        <v>4.9436309999999999</v>
      </c>
      <c r="E4177">
        <v>0.4908324</v>
      </c>
      <c r="F4177" t="s">
        <v>50</v>
      </c>
      <c r="G4177">
        <v>-402.29790000000003</v>
      </c>
      <c r="H4177" s="1">
        <v>-5.3968359999999999E-6</v>
      </c>
      <c r="I4177">
        <v>21.44229</v>
      </c>
      <c r="J4177">
        <v>-410.459</v>
      </c>
      <c r="K4177">
        <v>1.119281</v>
      </c>
      <c r="L4177">
        <v>24.669709999999998</v>
      </c>
      <c r="M4177">
        <v>0.82785839999999999</v>
      </c>
      <c r="N4177">
        <v>0</v>
      </c>
      <c r="O4177">
        <v>-0.56078419999999995</v>
      </c>
      <c r="P4177">
        <v>0.91033339999999996</v>
      </c>
      <c r="Q4177">
        <v>0.11071739999999999</v>
      </c>
      <c r="R4177">
        <v>-0.39879249999999999</v>
      </c>
      <c r="S4177">
        <v>2.8441770000000002</v>
      </c>
      <c r="T4177">
        <v>-0.38373649999999998</v>
      </c>
      <c r="U4177">
        <v>-1.135834</v>
      </c>
      <c r="V4177">
        <v>-0.183166</v>
      </c>
      <c r="W4177">
        <v>0.1193379</v>
      </c>
      <c r="X4177">
        <v>0.97581180000000001</v>
      </c>
      <c r="Y4177">
        <v>-0.20847540000000001</v>
      </c>
      <c r="Z4177">
        <v>8.0813209999999996E-2</v>
      </c>
      <c r="AA4177">
        <v>0.97468319999999997</v>
      </c>
      <c r="AB4177">
        <v>30</v>
      </c>
      <c r="AC4177">
        <v>8.1610999999999692</v>
      </c>
      <c r="AD4177">
        <v>-1.1192863968359901</v>
      </c>
      <c r="AE4177">
        <v>-3.22742</v>
      </c>
      <c r="AF4177">
        <v>-1.87444293823818</v>
      </c>
      <c r="AG4177">
        <v>-1.1192863968359901</v>
      </c>
      <c r="AH4177">
        <v>8.4297382740200302</v>
      </c>
      <c r="AI4177">
        <v>97.385087161693207</v>
      </c>
      <c r="AJ4177">
        <v>102.536371121972</v>
      </c>
      <c r="AK4177">
        <v>8.7078599974581099</v>
      </c>
      <c r="AL4177">
        <v>83.146107495694096</v>
      </c>
      <c r="AM4177">
        <v>100.631072255939</v>
      </c>
      <c r="AN4177">
        <v>0.99999999347582502</v>
      </c>
    </row>
    <row r="4178" spans="1:40" x14ac:dyDescent="0.25">
      <c r="A4178" t="str">
        <f>"20190312164352909"</f>
        <v>20190312164352909</v>
      </c>
      <c r="B4178" t="str">
        <f>"1552380232899480"</f>
        <v>1552380232899480</v>
      </c>
      <c r="C4178" t="s">
        <v>40</v>
      </c>
      <c r="D4178">
        <v>4.961392</v>
      </c>
      <c r="E4178">
        <v>0.49026370000000002</v>
      </c>
      <c r="F4178" t="s">
        <v>50</v>
      </c>
      <c r="G4178">
        <v>-402.16410000000002</v>
      </c>
      <c r="H4178" s="1">
        <v>-5.4507540000000004E-6</v>
      </c>
      <c r="I4178">
        <v>21.394839999999999</v>
      </c>
      <c r="J4178">
        <v>-410.2543</v>
      </c>
      <c r="K4178">
        <v>1.1191230000000001</v>
      </c>
      <c r="L4178">
        <v>24.541840000000001</v>
      </c>
      <c r="M4178">
        <v>0.83299840000000003</v>
      </c>
      <c r="N4178">
        <v>0</v>
      </c>
      <c r="O4178">
        <v>-0.55312269999999997</v>
      </c>
      <c r="P4178">
        <v>0.90948779999999996</v>
      </c>
      <c r="Q4178">
        <v>0.1117238</v>
      </c>
      <c r="R4178">
        <v>-0.40043669999999998</v>
      </c>
      <c r="S4178">
        <v>2.8494259999999998</v>
      </c>
      <c r="T4178">
        <v>-0.38449220000000001</v>
      </c>
      <c r="U4178">
        <v>-1.1249690000000001</v>
      </c>
      <c r="V4178">
        <v>-0.17228570000000001</v>
      </c>
      <c r="W4178">
        <v>0.1205683</v>
      </c>
      <c r="X4178">
        <v>0.97764050000000002</v>
      </c>
      <c r="Y4178">
        <v>-0.20334949999999999</v>
      </c>
      <c r="Z4178">
        <v>7.978499E-2</v>
      </c>
      <c r="AA4178">
        <v>0.97585</v>
      </c>
      <c r="AB4178">
        <v>30</v>
      </c>
      <c r="AC4178">
        <v>8.0901999999999799</v>
      </c>
      <c r="AD4178">
        <v>-1.11912845075399</v>
      </c>
      <c r="AE4178">
        <v>-3.1469999999999998</v>
      </c>
      <c r="AF4178">
        <v>-1.82327978269724</v>
      </c>
      <c r="AG4178">
        <v>-1.11912845075399</v>
      </c>
      <c r="AH4178">
        <v>8.3418698556747</v>
      </c>
      <c r="AI4178">
        <v>97.466846180110593</v>
      </c>
      <c r="AJ4178">
        <v>102.32922686064801</v>
      </c>
      <c r="AK4178">
        <v>8.6118285134049</v>
      </c>
      <c r="AL4178">
        <v>83.075098174982003</v>
      </c>
      <c r="AM4178">
        <v>99.994390032037103</v>
      </c>
      <c r="AN4178">
        <v>1.0000000123148101</v>
      </c>
    </row>
    <row r="4179" spans="1:40" x14ac:dyDescent="0.25">
      <c r="A4179" t="str">
        <f>"20190312164352921"</f>
        <v>20190312164352921</v>
      </c>
      <c r="B4179" t="str">
        <f>"1552380232909240"</f>
        <v>1552380232909240</v>
      </c>
      <c r="C4179" t="s">
        <v>40</v>
      </c>
      <c r="D4179">
        <v>4.9123299999999999</v>
      </c>
      <c r="E4179">
        <v>0.48999930000000003</v>
      </c>
      <c r="F4179" t="s">
        <v>50</v>
      </c>
      <c r="G4179">
        <v>-401.96199999999999</v>
      </c>
      <c r="H4179" s="1">
        <v>-5.5222170000000001E-6</v>
      </c>
      <c r="I4179">
        <v>21.267530000000001</v>
      </c>
      <c r="J4179">
        <v>-410.11750000000001</v>
      </c>
      <c r="K4179">
        <v>1.1190199999999999</v>
      </c>
      <c r="L4179">
        <v>24.457429999999999</v>
      </c>
      <c r="M4179">
        <v>0.83633749999999996</v>
      </c>
      <c r="N4179">
        <v>0</v>
      </c>
      <c r="O4179">
        <v>-0.54806269999999901</v>
      </c>
      <c r="P4179">
        <v>0.91044409999999998</v>
      </c>
      <c r="Q4179">
        <v>0.1115771</v>
      </c>
      <c r="R4179">
        <v>-0.39829930000000002</v>
      </c>
      <c r="S4179">
        <v>2.85025</v>
      </c>
      <c r="T4179">
        <v>-0.38467050000000003</v>
      </c>
      <c r="U4179">
        <v>-1.1254580000000001</v>
      </c>
      <c r="V4179">
        <v>-0.16862449999999901</v>
      </c>
      <c r="W4179">
        <v>0.1204783</v>
      </c>
      <c r="X4179">
        <v>0.97828970000000004</v>
      </c>
      <c r="Y4179">
        <v>-0.19743369999999999</v>
      </c>
      <c r="Z4179">
        <v>7.8889940000000006E-2</v>
      </c>
      <c r="AA4179">
        <v>0.97713680000000003</v>
      </c>
      <c r="AB4179">
        <v>30</v>
      </c>
      <c r="AC4179">
        <v>8.1555000000000106</v>
      </c>
      <c r="AD4179">
        <v>-1.119025522217</v>
      </c>
      <c r="AE4179">
        <v>-3.1899000000000002</v>
      </c>
      <c r="AF4179">
        <v>-1.7730902539439299</v>
      </c>
      <c r="AG4179">
        <v>-1.119025522217</v>
      </c>
      <c r="AH4179">
        <v>8.4320454158842502</v>
      </c>
      <c r="AI4179">
        <v>97.399632771561798</v>
      </c>
      <c r="AJ4179">
        <v>101.875141801146</v>
      </c>
      <c r="AK4179">
        <v>8.6888121779411698</v>
      </c>
      <c r="AL4179">
        <v>83.080292504758702</v>
      </c>
      <c r="AM4179">
        <v>99.779782844685599</v>
      </c>
      <c r="AN4179">
        <v>0.99999998994861505</v>
      </c>
    </row>
    <row r="4180" spans="1:40" x14ac:dyDescent="0.25">
      <c r="A4180" t="str">
        <f>"20190312164352943"</f>
        <v>20190312164352943</v>
      </c>
      <c r="B4180" t="str">
        <f>"1552380232939496"</f>
        <v>1552380232939496</v>
      </c>
      <c r="C4180" t="s">
        <v>40</v>
      </c>
      <c r="D4180">
        <v>5.0219040000000001</v>
      </c>
      <c r="E4180">
        <v>0.49013099999999998</v>
      </c>
      <c r="F4180" t="s">
        <v>50</v>
      </c>
      <c r="G4180">
        <v>-401.83120000000002</v>
      </c>
      <c r="H4180" s="1">
        <v>-5.5738870000000004E-6</v>
      </c>
      <c r="I4180">
        <v>21.21556</v>
      </c>
      <c r="J4180">
        <v>-409.86989999999997</v>
      </c>
      <c r="K4180">
        <v>1.118822</v>
      </c>
      <c r="L4180">
        <v>24.307980000000001</v>
      </c>
      <c r="M4180">
        <v>0.84212569999999998</v>
      </c>
      <c r="N4180">
        <v>0</v>
      </c>
      <c r="O4180">
        <v>-0.5391302</v>
      </c>
      <c r="P4180">
        <v>0.91195459999999995</v>
      </c>
      <c r="Q4180">
        <v>0.1109255</v>
      </c>
      <c r="R4180">
        <v>-0.39501199999999997</v>
      </c>
      <c r="S4180">
        <v>2.8539119999999998</v>
      </c>
      <c r="T4180">
        <v>-0.38540790000000003</v>
      </c>
      <c r="U4180">
        <v>-1.116547</v>
      </c>
      <c r="V4180">
        <v>-0.161695899999999</v>
      </c>
      <c r="W4180">
        <v>0.1199306</v>
      </c>
      <c r="X4180">
        <v>0.97952589999999995</v>
      </c>
      <c r="Y4180">
        <v>-0.19015760000000001</v>
      </c>
      <c r="Z4180">
        <v>7.7597169999999993E-2</v>
      </c>
      <c r="AA4180">
        <v>0.97868219999999995</v>
      </c>
      <c r="AB4180">
        <v>30</v>
      </c>
      <c r="AC4180">
        <v>8.03869999999994</v>
      </c>
      <c r="AD4180">
        <v>-1.1188275738869999</v>
      </c>
      <c r="AE4180">
        <v>-3.0924200000000002</v>
      </c>
      <c r="AF4180">
        <v>-1.7011355862834201</v>
      </c>
      <c r="AG4180">
        <v>-1.1188275738869999</v>
      </c>
      <c r="AH4180">
        <v>8.2974886356841804</v>
      </c>
      <c r="AI4180">
        <v>97.524740254995805</v>
      </c>
      <c r="AJ4180">
        <v>101.586122983984</v>
      </c>
      <c r="AK4180">
        <v>8.5436499859438193</v>
      </c>
      <c r="AL4180">
        <v>83.1119023330305</v>
      </c>
      <c r="AM4180">
        <v>99.373606038083395</v>
      </c>
      <c r="AN4180">
        <v>0.999999950831988</v>
      </c>
    </row>
    <row r="4181" spans="1:40" x14ac:dyDescent="0.25">
      <c r="A4181" t="str">
        <f>"20190312164352967"</f>
        <v>20190312164352967</v>
      </c>
      <c r="B4181" t="str">
        <f>"1552380232959015"</f>
        <v>1552380232959015</v>
      </c>
      <c r="C4181" t="s">
        <v>40</v>
      </c>
      <c r="D4181">
        <v>4.922574</v>
      </c>
      <c r="E4181">
        <v>0.4902666</v>
      </c>
      <c r="F4181" t="s">
        <v>50</v>
      </c>
      <c r="G4181">
        <v>-401.67700000000002</v>
      </c>
      <c r="H4181" s="1">
        <v>-5.6320060000000002E-6</v>
      </c>
      <c r="I4181">
        <v>21.138559999999998</v>
      </c>
      <c r="J4181">
        <v>-409.59879999999998</v>
      </c>
      <c r="K4181">
        <v>1.118595</v>
      </c>
      <c r="L4181">
        <v>24.148160000000001</v>
      </c>
      <c r="M4181">
        <v>0.84815459999999998</v>
      </c>
      <c r="N4181">
        <v>0</v>
      </c>
      <c r="O4181">
        <v>-0.52959840000000002</v>
      </c>
      <c r="P4181">
        <v>0.91365490000000005</v>
      </c>
      <c r="Q4181">
        <v>0.1109807</v>
      </c>
      <c r="R4181">
        <v>-0.39104739999999999</v>
      </c>
      <c r="S4181">
        <v>2.8581539999999999</v>
      </c>
      <c r="T4181">
        <v>-0.39031359999999998</v>
      </c>
      <c r="U4181">
        <v>-1.1056820000000001</v>
      </c>
      <c r="V4181">
        <v>-0.1548195</v>
      </c>
      <c r="W4181">
        <v>0.1200778</v>
      </c>
      <c r="X4181">
        <v>0.98061830000000005</v>
      </c>
      <c r="Y4181">
        <v>-0.1827937</v>
      </c>
      <c r="Z4181">
        <v>7.7035530000000005E-2</v>
      </c>
      <c r="AA4181">
        <v>0.98012860000000002</v>
      </c>
      <c r="AB4181">
        <v>30</v>
      </c>
      <c r="AC4181">
        <v>7.9218000000000099</v>
      </c>
      <c r="AD4181">
        <v>-1.118600632006</v>
      </c>
      <c r="AE4181">
        <v>-3.0095999999999901</v>
      </c>
      <c r="AF4181">
        <v>-1.6147616817335999</v>
      </c>
      <c r="AG4181">
        <v>-1.118600632006</v>
      </c>
      <c r="AH4181">
        <v>8.1710792882736598</v>
      </c>
      <c r="AI4181">
        <v>97.649067206394704</v>
      </c>
      <c r="AJ4181">
        <v>101.178706187793</v>
      </c>
      <c r="AK4181">
        <v>8.4038835902203104</v>
      </c>
      <c r="AL4181">
        <v>83.103407362637299</v>
      </c>
      <c r="AM4181">
        <v>98.971773308248899</v>
      </c>
      <c r="AN4181">
        <v>1.0000000029639899</v>
      </c>
    </row>
    <row r="4182" spans="1:40" x14ac:dyDescent="0.25">
      <c r="A4182" t="str">
        <f>"20190312164352992"</f>
        <v>20190312164352992</v>
      </c>
      <c r="B4182" t="str">
        <f>"1552380232979512"</f>
        <v>1552380232979512</v>
      </c>
      <c r="C4182" t="s">
        <v>40</v>
      </c>
      <c r="D4182">
        <v>4.908709</v>
      </c>
      <c r="E4182">
        <v>0.49009229999999998</v>
      </c>
      <c r="F4182" t="s">
        <v>50</v>
      </c>
      <c r="G4182">
        <v>-401.37400000000002</v>
      </c>
      <c r="H4182" s="1">
        <v>-5.7497369999999997E-6</v>
      </c>
      <c r="I4182">
        <v>21.006910000000001</v>
      </c>
      <c r="J4182">
        <v>-409.32220000000001</v>
      </c>
      <c r="K4182">
        <v>1.118363</v>
      </c>
      <c r="L4182">
        <v>23.988890000000001</v>
      </c>
      <c r="M4182">
        <v>0.85400239999999905</v>
      </c>
      <c r="N4182">
        <v>0</v>
      </c>
      <c r="O4182">
        <v>-0.52011980000000002</v>
      </c>
      <c r="P4182">
        <v>0.91564570000000001</v>
      </c>
      <c r="Q4182">
        <v>0.112122</v>
      </c>
      <c r="R4182">
        <v>-0.38603320000000002</v>
      </c>
      <c r="S4182">
        <v>2.8628230000000001</v>
      </c>
      <c r="T4182">
        <v>-0.38935449999999999</v>
      </c>
      <c r="U4182">
        <v>-1.0933839999999999</v>
      </c>
      <c r="V4182">
        <v>-0.1491451</v>
      </c>
      <c r="W4182">
        <v>0.12127640000000001</v>
      </c>
      <c r="X4182">
        <v>0.98134999999999994</v>
      </c>
      <c r="Y4182">
        <v>-0.1761866</v>
      </c>
      <c r="Z4182">
        <v>7.5355340000000007E-2</v>
      </c>
      <c r="AA4182">
        <v>0.98146820000000001</v>
      </c>
      <c r="AB4182">
        <v>30</v>
      </c>
      <c r="AC4182">
        <v>7.9481999999999804</v>
      </c>
      <c r="AD4182">
        <v>-1.1183687497370001</v>
      </c>
      <c r="AE4182">
        <v>-2.9819799999999899</v>
      </c>
      <c r="AF4182">
        <v>-1.56043906601899</v>
      </c>
      <c r="AG4182">
        <v>-1.1183687497370001</v>
      </c>
      <c r="AH4182">
        <v>8.1971499928011102</v>
      </c>
      <c r="AI4182">
        <v>97.633690177474506</v>
      </c>
      <c r="AJ4182">
        <v>100.778073198043</v>
      </c>
      <c r="AK4182">
        <v>8.4189658951456696</v>
      </c>
      <c r="AL4182">
        <v>83.0342272037893</v>
      </c>
      <c r="AM4182">
        <v>98.641655545976505</v>
      </c>
      <c r="AN4182">
        <v>1.0000000242754801</v>
      </c>
    </row>
    <row r="4183" spans="1:40" x14ac:dyDescent="0.25">
      <c r="A4183" t="str">
        <f>"20190312164353012"</f>
        <v>20190312164353012</v>
      </c>
      <c r="B4183" t="str">
        <f>"1552380232999539"</f>
        <v>1552380232999539</v>
      </c>
      <c r="C4183" t="s">
        <v>40</v>
      </c>
      <c r="D4183">
        <v>4.9305789999999998</v>
      </c>
      <c r="E4183">
        <v>0.48994260000000001</v>
      </c>
      <c r="F4183" t="s">
        <v>50</v>
      </c>
      <c r="G4183">
        <v>-401.01549999999997</v>
      </c>
      <c r="H4183" s="1">
        <v>-5.8927189999999998E-6</v>
      </c>
      <c r="I4183">
        <v>20.872019999999999</v>
      </c>
      <c r="J4183">
        <v>-409.09210000000002</v>
      </c>
      <c r="K4183">
        <v>1.1181620000000001</v>
      </c>
      <c r="L4183">
        <v>23.859100000000002</v>
      </c>
      <c r="M4183">
        <v>0.8586319</v>
      </c>
      <c r="N4183">
        <v>0</v>
      </c>
      <c r="O4183">
        <v>-0.51244420000000002</v>
      </c>
      <c r="P4183">
        <v>0.91677350000000002</v>
      </c>
      <c r="Q4183">
        <v>0.1131769</v>
      </c>
      <c r="R4183">
        <v>-0.38303680000000001</v>
      </c>
      <c r="S4183">
        <v>2.86972</v>
      </c>
      <c r="T4183">
        <v>-0.38636239999999999</v>
      </c>
      <c r="U4183">
        <v>-1.0767819999999999</v>
      </c>
      <c r="V4183">
        <v>-0.14344379999999901</v>
      </c>
      <c r="W4183">
        <v>0.1223976</v>
      </c>
      <c r="X4183">
        <v>0.98206039999999994</v>
      </c>
      <c r="Y4183">
        <v>-0.17327119999999999</v>
      </c>
      <c r="Z4183">
        <v>7.3697540000000006E-2</v>
      </c>
      <c r="AA4183">
        <v>0.98211289999999996</v>
      </c>
      <c r="AB4183">
        <v>30</v>
      </c>
      <c r="AC4183">
        <v>8.07660000000004</v>
      </c>
      <c r="AD4183">
        <v>-1.118167892719</v>
      </c>
      <c r="AE4183">
        <v>-2.98707999999999</v>
      </c>
      <c r="AF4183">
        <v>-1.5480234960752499</v>
      </c>
      <c r="AG4183">
        <v>-1.118167892719</v>
      </c>
      <c r="AH4183">
        <v>8.3258026458250605</v>
      </c>
      <c r="AI4183">
        <v>97.521743985657906</v>
      </c>
      <c r="AJ4183">
        <v>100.532777933736</v>
      </c>
      <c r="AK4183">
        <v>8.5419942564916393</v>
      </c>
      <c r="AL4183">
        <v>82.969504566558797</v>
      </c>
      <c r="AM4183">
        <v>98.310092959722795</v>
      </c>
      <c r="AN4183">
        <v>0.99999996274617897</v>
      </c>
    </row>
    <row r="4184" spans="1:40" x14ac:dyDescent="0.25">
      <c r="A4184" t="str">
        <f>"20190312164353033"</f>
        <v>20190312164353033</v>
      </c>
      <c r="B4184" t="str">
        <f>"1552380233028819"</f>
        <v>1552380233028819</v>
      </c>
      <c r="C4184" t="s">
        <v>40</v>
      </c>
      <c r="D4184">
        <v>4.9819800000000001</v>
      </c>
      <c r="E4184">
        <v>0.48972169999999998</v>
      </c>
      <c r="F4184" t="s">
        <v>50</v>
      </c>
      <c r="G4184">
        <v>-400.71699999999998</v>
      </c>
      <c r="H4184" s="1">
        <v>-6.0101329999999997E-6</v>
      </c>
      <c r="I4184">
        <v>20.750640000000001</v>
      </c>
      <c r="J4184">
        <v>-408.8451</v>
      </c>
      <c r="K4184">
        <v>1.117937</v>
      </c>
      <c r="L4184">
        <v>23.722470000000001</v>
      </c>
      <c r="M4184">
        <v>0.86336000000000002</v>
      </c>
      <c r="N4184">
        <v>0</v>
      </c>
      <c r="O4184">
        <v>-0.50444129999999998</v>
      </c>
      <c r="P4184">
        <v>0.91824070000000002</v>
      </c>
      <c r="Q4184">
        <v>0.1129235</v>
      </c>
      <c r="R4184">
        <v>-0.37958229999999998</v>
      </c>
      <c r="S4184">
        <v>2.8740230000000002</v>
      </c>
      <c r="T4184">
        <v>-0.38371529999999998</v>
      </c>
      <c r="U4184">
        <v>-1.066711</v>
      </c>
      <c r="V4184">
        <v>-0.13794679999999901</v>
      </c>
      <c r="W4184">
        <v>0.1221993</v>
      </c>
      <c r="X4184">
        <v>0.98287230000000003</v>
      </c>
      <c r="Y4184">
        <v>-0.16778080000000001</v>
      </c>
      <c r="Z4184">
        <v>7.1939089999999997E-2</v>
      </c>
      <c r="AA4184">
        <v>0.98319599999999996</v>
      </c>
      <c r="AB4184">
        <v>30</v>
      </c>
      <c r="AC4184">
        <v>8.1281000000000105</v>
      </c>
      <c r="AD4184">
        <v>-1.1179430101329999</v>
      </c>
      <c r="AE4184">
        <v>-2.9718300000000002</v>
      </c>
      <c r="AF4184">
        <v>-1.5093185707089101</v>
      </c>
      <c r="AG4184">
        <v>-1.1179430101329999</v>
      </c>
      <c r="AH4184">
        <v>8.3774309220329606</v>
      </c>
      <c r="AI4184">
        <v>97.481979025436999</v>
      </c>
      <c r="AJ4184">
        <v>100.213122149542</v>
      </c>
      <c r="AK4184">
        <v>8.5854055218857397</v>
      </c>
      <c r="AL4184">
        <v>82.980952328294293</v>
      </c>
      <c r="AM4184">
        <v>97.989315934544706</v>
      </c>
      <c r="AN4184">
        <v>0.99999997332900903</v>
      </c>
    </row>
    <row r="4185" spans="1:40" x14ac:dyDescent="0.25">
      <c r="A4185" t="str">
        <f>"20190312164353056"</f>
        <v>20190312164353056</v>
      </c>
      <c r="B4185" t="str">
        <f>"1552380233049315"</f>
        <v>1552380233049315</v>
      </c>
      <c r="C4185" t="s">
        <v>40</v>
      </c>
      <c r="D4185">
        <v>4.9570679999999996</v>
      </c>
      <c r="E4185">
        <v>0.4768945</v>
      </c>
      <c r="F4185" t="s">
        <v>50</v>
      </c>
      <c r="G4185">
        <v>-400.3768</v>
      </c>
      <c r="H4185" s="1">
        <v>-6.134835E-6</v>
      </c>
      <c r="I4185">
        <v>20.623049999999999</v>
      </c>
      <c r="J4185">
        <v>-408.57040000000001</v>
      </c>
      <c r="K4185">
        <v>1.117669</v>
      </c>
      <c r="L4185">
        <v>23.573640000000001</v>
      </c>
      <c r="M4185">
        <v>0.86833369999999999</v>
      </c>
      <c r="N4185">
        <v>0</v>
      </c>
      <c r="O4185">
        <v>-0.49583440000000001</v>
      </c>
      <c r="P4185">
        <v>0.91996999999999995</v>
      </c>
      <c r="Q4185">
        <v>0.1130222</v>
      </c>
      <c r="R4185">
        <v>-0.37534139999999999</v>
      </c>
      <c r="S4185">
        <v>2.878387</v>
      </c>
      <c r="T4185">
        <v>-0.37998969999999999</v>
      </c>
      <c r="U4185">
        <v>-1.0534969999999999</v>
      </c>
      <c r="V4185">
        <v>-0.13261889999999901</v>
      </c>
      <c r="W4185">
        <v>0.1223399</v>
      </c>
      <c r="X4185">
        <v>0.98358789999999996</v>
      </c>
      <c r="Y4185">
        <v>-0.16262389999999999</v>
      </c>
      <c r="Z4185">
        <v>6.9966979999999998E-2</v>
      </c>
      <c r="AA4185">
        <v>0.98420430000000003</v>
      </c>
      <c r="AB4185">
        <v>30</v>
      </c>
      <c r="AC4185">
        <v>8.1936</v>
      </c>
      <c r="AD4185">
        <v>-1.117675134835</v>
      </c>
      <c r="AE4185">
        <v>-2.95059</v>
      </c>
      <c r="AF4185">
        <v>-1.4763631280631799</v>
      </c>
      <c r="AG4185">
        <v>-1.117675134835</v>
      </c>
      <c r="AH4185">
        <v>8.4393967859388592</v>
      </c>
      <c r="AI4185">
        <v>97.432509041639506</v>
      </c>
      <c r="AJ4185">
        <v>99.922745549261293</v>
      </c>
      <c r="AK4185">
        <v>8.6401541597038705</v>
      </c>
      <c r="AL4185">
        <v>82.972835761904093</v>
      </c>
      <c r="AM4185">
        <v>97.6789813565846</v>
      </c>
      <c r="AN4185">
        <v>0.99999999039781495</v>
      </c>
    </row>
    <row r="4186" spans="1:40" x14ac:dyDescent="0.25">
      <c r="A4186" t="str">
        <f>"20190312164353078"</f>
        <v>20190312164353078</v>
      </c>
      <c r="B4186" t="str">
        <f>"1552380233068834"</f>
        <v>1552380233068834</v>
      </c>
      <c r="C4186" t="s">
        <v>40</v>
      </c>
      <c r="D4186">
        <v>4.8466060000000004</v>
      </c>
      <c r="E4186">
        <v>0.47608850000000003</v>
      </c>
      <c r="F4186" t="s">
        <v>42</v>
      </c>
      <c r="G4186">
        <v>-399.27350000000001</v>
      </c>
      <c r="H4186" s="1">
        <v>-5.7611829999999997E-7</v>
      </c>
      <c r="I4186">
        <v>20.564330000000002</v>
      </c>
      <c r="J4186">
        <v>-408.30970000000002</v>
      </c>
      <c r="K4186">
        <v>1.1174219999999999</v>
      </c>
      <c r="L4186">
        <v>23.435210000000001</v>
      </c>
      <c r="M4186">
        <v>0.87278820000000001</v>
      </c>
      <c r="N4186">
        <v>0</v>
      </c>
      <c r="O4186">
        <v>-0.48795440000000001</v>
      </c>
      <c r="P4186">
        <v>0.92127079999999995</v>
      </c>
      <c r="Q4186">
        <v>0.1135</v>
      </c>
      <c r="R4186">
        <v>-0.37199199999999999</v>
      </c>
      <c r="S4186">
        <v>2.9186399999999999</v>
      </c>
      <c r="T4186">
        <v>-0.35087800000000002</v>
      </c>
      <c r="U4186">
        <v>-0.94473269999999998</v>
      </c>
      <c r="V4186">
        <v>-0.1271882</v>
      </c>
      <c r="W4186">
        <v>0.12286519999999999</v>
      </c>
      <c r="X4186">
        <v>0.98423950000000004</v>
      </c>
      <c r="Y4186">
        <v>-0.19141949999999999</v>
      </c>
      <c r="Z4186">
        <v>6.5209600000000006E-2</v>
      </c>
      <c r="AA4186">
        <v>0.97933970000000004</v>
      </c>
      <c r="AB4186">
        <v>30</v>
      </c>
      <c r="AC4186">
        <v>9.0361999999999991</v>
      </c>
      <c r="AD4186">
        <v>-1.1174225761183001</v>
      </c>
      <c r="AE4186">
        <v>-2.8708800000000001</v>
      </c>
      <c r="AF4186">
        <v>-1.87763757567381</v>
      </c>
      <c r="AG4186">
        <v>-1.1174225761183001</v>
      </c>
      <c r="AH4186">
        <v>9.1609582610111904</v>
      </c>
      <c r="AI4186">
        <v>96.814109455390096</v>
      </c>
      <c r="AJ4186">
        <v>101.582972245834</v>
      </c>
      <c r="AK4186">
        <v>9.4179250548722404</v>
      </c>
      <c r="AL4186">
        <v>82.942509886015799</v>
      </c>
      <c r="AM4186">
        <v>97.363232987590493</v>
      </c>
      <c r="AN4186">
        <v>1.0000000444752599</v>
      </c>
    </row>
    <row r="4187" spans="1:40" x14ac:dyDescent="0.25">
      <c r="A4187" t="str">
        <f>"20190312164353100"</f>
        <v>20190312164353100</v>
      </c>
      <c r="B4187" t="str">
        <f>"1552380233089335"</f>
        <v>1552380233089335</v>
      </c>
      <c r="C4187" t="s">
        <v>40</v>
      </c>
      <c r="D4187">
        <v>4.8619529999999997</v>
      </c>
      <c r="E4187">
        <v>0.47599180000000002</v>
      </c>
      <c r="F4187" t="s">
        <v>42</v>
      </c>
      <c r="G4187">
        <v>-398.88569999999999</v>
      </c>
      <c r="H4187" s="1">
        <v>-7.2860380000000002E-7</v>
      </c>
      <c r="I4187">
        <v>20.448419999999999</v>
      </c>
      <c r="J4187">
        <v>-408.05250000000001</v>
      </c>
      <c r="K4187">
        <v>1.11717</v>
      </c>
      <c r="L4187">
        <v>23.301179999999999</v>
      </c>
      <c r="M4187">
        <v>0.87693980000000005</v>
      </c>
      <c r="N4187">
        <v>0</v>
      </c>
      <c r="O4187">
        <v>-0.48045640000000001</v>
      </c>
      <c r="P4187">
        <v>0.92254069999999999</v>
      </c>
      <c r="Q4187">
        <v>0.11386590000000001</v>
      </c>
      <c r="R4187">
        <v>-0.36871860000000001</v>
      </c>
      <c r="S4187">
        <v>2.9248050000000001</v>
      </c>
      <c r="T4187">
        <v>-0.34679959999999999</v>
      </c>
      <c r="U4187">
        <v>-0.9269714</v>
      </c>
      <c r="V4187">
        <v>-0.1221469</v>
      </c>
      <c r="W4187">
        <v>0.123270699999999</v>
      </c>
      <c r="X4187">
        <v>0.98482709999999996</v>
      </c>
      <c r="Y4187">
        <v>-0.18915979999999999</v>
      </c>
      <c r="Z4187">
        <v>6.3534999999999994E-2</v>
      </c>
      <c r="AA4187">
        <v>0.97988869999999895</v>
      </c>
      <c r="AB4187">
        <v>30</v>
      </c>
      <c r="AC4187">
        <v>9.1668000000000198</v>
      </c>
      <c r="AD4187">
        <v>-1.1171707286038</v>
      </c>
      <c r="AE4187">
        <v>-2.8527599999999902</v>
      </c>
      <c r="AF4187">
        <v>-1.8772601250058001</v>
      </c>
      <c r="AG4187">
        <v>-1.1171707286038</v>
      </c>
      <c r="AH4187">
        <v>9.2842886813172996</v>
      </c>
      <c r="AI4187">
        <v>96.726524248408197</v>
      </c>
      <c r="AJ4187">
        <v>101.430947008903</v>
      </c>
      <c r="AK4187">
        <v>9.5378295398807893</v>
      </c>
      <c r="AL4187">
        <v>82.919097977393307</v>
      </c>
      <c r="AM4187">
        <v>97.070218899805397</v>
      </c>
      <c r="AN4187">
        <v>0.99999997377625405</v>
      </c>
    </row>
    <row r="4188" spans="1:40" x14ac:dyDescent="0.25">
      <c r="A4188" t="str">
        <f>"20190312164353123"</f>
        <v>20190312164353123</v>
      </c>
      <c r="B4188" t="str">
        <f>"1552380233119587"</f>
        <v>1552380233119587</v>
      </c>
      <c r="C4188" t="s">
        <v>40</v>
      </c>
      <c r="D4188">
        <v>4.8611550000000001</v>
      </c>
      <c r="E4188">
        <v>0.47591460000000002</v>
      </c>
      <c r="F4188" t="s">
        <v>42</v>
      </c>
      <c r="G4188">
        <v>-398.30770000000001</v>
      </c>
      <c r="H4188" s="1">
        <v>-9.5082740000000004E-7</v>
      </c>
      <c r="I4188">
        <v>20.256679999999999</v>
      </c>
      <c r="J4188">
        <v>-407.77640000000002</v>
      </c>
      <c r="K4188">
        <v>1.116908</v>
      </c>
      <c r="L4188">
        <v>23.160160000000001</v>
      </c>
      <c r="M4188">
        <v>0.88113059999999999</v>
      </c>
      <c r="N4188">
        <v>0</v>
      </c>
      <c r="O4188">
        <v>-0.47273029999999999</v>
      </c>
      <c r="P4188">
        <v>0.92384980000000005</v>
      </c>
      <c r="Q4188">
        <v>0.114528</v>
      </c>
      <c r="R4188">
        <v>-0.3652185</v>
      </c>
      <c r="S4188">
        <v>2.927765</v>
      </c>
      <c r="T4188">
        <v>-0.3356478</v>
      </c>
      <c r="U4188">
        <v>-0.91470340000000006</v>
      </c>
      <c r="V4188">
        <v>-0.11710669999999999</v>
      </c>
      <c r="W4188">
        <v>0.1239611</v>
      </c>
      <c r="X4188">
        <v>0.98535260000000002</v>
      </c>
      <c r="Y4188">
        <v>-0.18486060000000001</v>
      </c>
      <c r="Z4188">
        <v>6.051314E-2</v>
      </c>
      <c r="AA4188">
        <v>0.98089990000000005</v>
      </c>
      <c r="AB4188">
        <v>30</v>
      </c>
      <c r="AC4188">
        <v>9.4687000000000108</v>
      </c>
      <c r="AD4188">
        <v>-1.1169089508273999</v>
      </c>
      <c r="AE4188">
        <v>-2.9034800000000001</v>
      </c>
      <c r="AF4188">
        <v>-1.8938394425413601</v>
      </c>
      <c r="AG4188">
        <v>-1.1169089508273999</v>
      </c>
      <c r="AH4188">
        <v>9.5943566566403309</v>
      </c>
      <c r="AI4188">
        <v>96.515485311476795</v>
      </c>
      <c r="AJ4188">
        <v>101.166124125645</v>
      </c>
      <c r="AK4188">
        <v>9.8430581169361293</v>
      </c>
      <c r="AL4188">
        <v>82.879235701049893</v>
      </c>
      <c r="AM4188">
        <v>96.777668955019607</v>
      </c>
      <c r="AN4188">
        <v>1.00000003991242</v>
      </c>
    </row>
    <row r="4189" spans="1:40" x14ac:dyDescent="0.25">
      <c r="A4189" t="str">
        <f>"20190312164353147"</f>
        <v>20190312164353147</v>
      </c>
      <c r="B4189" t="str">
        <f>"1552380233139107"</f>
        <v>1552380233139107</v>
      </c>
      <c r="C4189" t="s">
        <v>40</v>
      </c>
      <c r="D4189">
        <v>4.8780130000000002</v>
      </c>
      <c r="E4189">
        <v>0.47621629999999998</v>
      </c>
      <c r="F4189" t="s">
        <v>42</v>
      </c>
      <c r="G4189">
        <v>-398.02719999999999</v>
      </c>
      <c r="H4189" s="1">
        <v>-1.0577559999999999E-6</v>
      </c>
      <c r="I4189">
        <v>20.160240000000002</v>
      </c>
      <c r="J4189">
        <v>-407.4821</v>
      </c>
      <c r="K4189">
        <v>1.116641</v>
      </c>
      <c r="L4189">
        <v>23.01285</v>
      </c>
      <c r="M4189">
        <v>0.88532160000000004</v>
      </c>
      <c r="N4189">
        <v>0</v>
      </c>
      <c r="O4189">
        <v>-0.46483839999999998</v>
      </c>
      <c r="P4189">
        <v>0.92522340000000003</v>
      </c>
      <c r="Q4189">
        <v>0.11546389999999999</v>
      </c>
      <c r="R4189">
        <v>-0.36142819999999998</v>
      </c>
      <c r="S4189">
        <v>2.9322509999999999</v>
      </c>
      <c r="T4189">
        <v>-0.3359318</v>
      </c>
      <c r="U4189">
        <v>-0.90228269999999999</v>
      </c>
      <c r="V4189">
        <v>-0.1122129</v>
      </c>
      <c r="W4189">
        <v>0.1249107</v>
      </c>
      <c r="X4189">
        <v>0.98580199999999996</v>
      </c>
      <c r="Y4189">
        <v>-0.1803593</v>
      </c>
      <c r="Z4189">
        <v>5.9511250000000002E-2</v>
      </c>
      <c r="AA4189">
        <v>0.98179879999999997</v>
      </c>
      <c r="AB4189">
        <v>30</v>
      </c>
      <c r="AC4189">
        <v>9.4549000000000092</v>
      </c>
      <c r="AD4189">
        <v>-1.1166420577559999</v>
      </c>
      <c r="AE4189">
        <v>-2.8526099999999999</v>
      </c>
      <c r="AF4189">
        <v>-1.8460452539915699</v>
      </c>
      <c r="AG4189">
        <v>-1.1166420577559999</v>
      </c>
      <c r="AH4189">
        <v>9.5748564187015397</v>
      </c>
      <c r="AI4189">
        <v>96.532677677808095</v>
      </c>
      <c r="AJ4189">
        <v>100.912800398355</v>
      </c>
      <c r="AK4189">
        <v>9.8149196636388503</v>
      </c>
      <c r="AL4189">
        <v>82.824401153778695</v>
      </c>
      <c r="AM4189">
        <v>96.493972531190195</v>
      </c>
      <c r="AN4189">
        <v>1.0000000005524401</v>
      </c>
    </row>
    <row r="4190" spans="1:40" x14ac:dyDescent="0.25">
      <c r="A4190" t="str">
        <f>"20190312164353169"</f>
        <v>20190312164353169</v>
      </c>
      <c r="B4190" t="str">
        <f>"1552380233159602"</f>
        <v>1552380233159602</v>
      </c>
      <c r="C4190" t="s">
        <v>40</v>
      </c>
      <c r="D4190">
        <v>5.0090709999999996</v>
      </c>
      <c r="E4190">
        <v>0.4765567</v>
      </c>
      <c r="F4190" t="s">
        <v>42</v>
      </c>
      <c r="G4190">
        <v>-397.38630000000001</v>
      </c>
      <c r="H4190" s="1">
        <v>-1.3031479999999999E-6</v>
      </c>
      <c r="I4190">
        <v>19.94387</v>
      </c>
      <c r="J4190">
        <v>-407.2294</v>
      </c>
      <c r="K4190">
        <v>1.1164419999999999</v>
      </c>
      <c r="L4190">
        <v>22.888580000000001</v>
      </c>
      <c r="M4190">
        <v>0.88873690000000005</v>
      </c>
      <c r="N4190">
        <v>0</v>
      </c>
      <c r="O4190">
        <v>-0.4582773</v>
      </c>
      <c r="P4190">
        <v>0.92603310000000005</v>
      </c>
      <c r="Q4190">
        <v>0.11620220000000001</v>
      </c>
      <c r="R4190">
        <v>-0.35911009999999999</v>
      </c>
      <c r="S4190">
        <v>2.9345400000000001</v>
      </c>
      <c r="T4190">
        <v>-0.32457449999999999</v>
      </c>
      <c r="U4190">
        <v>-0.8920593</v>
      </c>
      <c r="V4190">
        <v>-0.10728890000000001</v>
      </c>
      <c r="W4190">
        <v>0.12567139999999999</v>
      </c>
      <c r="X4190">
        <v>0.98625339999999995</v>
      </c>
      <c r="Y4190">
        <v>-0.17671319999999999</v>
      </c>
      <c r="Z4190">
        <v>5.6693439999999998E-2</v>
      </c>
      <c r="AA4190">
        <v>0.98262830000000001</v>
      </c>
      <c r="AB4190">
        <v>30</v>
      </c>
      <c r="AC4190">
        <v>9.8430999999999909</v>
      </c>
      <c r="AD4190">
        <v>-1.1164433031480001</v>
      </c>
      <c r="AE4190">
        <v>-2.9447099999999899</v>
      </c>
      <c r="AF4190">
        <v>-1.87181596034134</v>
      </c>
      <c r="AG4190">
        <v>-1.1164433031480001</v>
      </c>
      <c r="AH4190">
        <v>9.9802213379803799</v>
      </c>
      <c r="AI4190">
        <v>96.274384487033302</v>
      </c>
      <c r="AJ4190">
        <v>100.622563878489</v>
      </c>
      <c r="AK4190">
        <v>10.215427479729399</v>
      </c>
      <c r="AL4190">
        <v>82.780469993239606</v>
      </c>
      <c r="AM4190">
        <v>96.208468510709395</v>
      </c>
      <c r="AN4190">
        <v>0.99999998892636399</v>
      </c>
    </row>
    <row r="4191" spans="1:40" x14ac:dyDescent="0.25">
      <c r="A4191" t="str">
        <f>"20190312164353193"</f>
        <v>20190312164353193</v>
      </c>
      <c r="B4191" t="str">
        <f>"1552380233188882"</f>
        <v>1552380233188882</v>
      </c>
      <c r="C4191" t="s">
        <v>40</v>
      </c>
      <c r="D4191">
        <v>4.8876019999999896</v>
      </c>
      <c r="E4191">
        <v>0.47734939999999998</v>
      </c>
      <c r="F4191" t="s">
        <v>42</v>
      </c>
      <c r="G4191">
        <v>-396.95409999999998</v>
      </c>
      <c r="H4191" s="1">
        <v>-1.464801E-6</v>
      </c>
      <c r="I4191">
        <v>19.783639999999998</v>
      </c>
      <c r="J4191">
        <v>-406.9332</v>
      </c>
      <c r="K4191">
        <v>1.116223</v>
      </c>
      <c r="L4191">
        <v>22.745539999999998</v>
      </c>
      <c r="M4191">
        <v>0.89252999999999905</v>
      </c>
      <c r="N4191">
        <v>0</v>
      </c>
      <c r="O4191">
        <v>-0.45084859999999999</v>
      </c>
      <c r="P4191">
        <v>0.92730060000000003</v>
      </c>
      <c r="Q4191">
        <v>0.1171468</v>
      </c>
      <c r="R4191">
        <v>-0.3555142</v>
      </c>
      <c r="S4191">
        <v>2.9356689999999999</v>
      </c>
      <c r="T4191">
        <v>-0.31896920000000001</v>
      </c>
      <c r="U4191">
        <v>-0.88708500000000001</v>
      </c>
      <c r="V4191">
        <v>-0.1027757</v>
      </c>
      <c r="W4191">
        <v>0.12661649999999999</v>
      </c>
      <c r="X4191">
        <v>0.98661310000000002</v>
      </c>
      <c r="Y4191">
        <v>-0.1703095</v>
      </c>
      <c r="Z4191">
        <v>5.4689000000000002E-2</v>
      </c>
      <c r="AA4191">
        <v>0.98387179999999996</v>
      </c>
      <c r="AB4191">
        <v>30</v>
      </c>
      <c r="AC4191">
        <v>9.9791000000000096</v>
      </c>
      <c r="AD4191">
        <v>-1.116224464801</v>
      </c>
      <c r="AE4191">
        <v>-2.9619</v>
      </c>
      <c r="AF4191">
        <v>-1.8345007426943201</v>
      </c>
      <c r="AG4191">
        <v>-1.116224464801</v>
      </c>
      <c r="AH4191">
        <v>10.1262190761305</v>
      </c>
      <c r="AI4191">
        <v>96.190418133720897</v>
      </c>
      <c r="AJ4191">
        <v>100.268529124262</v>
      </c>
      <c r="AK4191">
        <v>10.3514087354599</v>
      </c>
      <c r="AL4191">
        <v>82.725883761717299</v>
      </c>
      <c r="AM4191">
        <v>95.947064247988806</v>
      </c>
      <c r="AN4191">
        <v>0.99999999583717503</v>
      </c>
    </row>
    <row r="4192" spans="1:40" x14ac:dyDescent="0.25">
      <c r="A4192" t="str">
        <f>"20190312164353211"</f>
        <v>20190312164353211</v>
      </c>
      <c r="B4192" t="str">
        <f>"1552380233199618"</f>
        <v>1552380233199618</v>
      </c>
      <c r="C4192" t="s">
        <v>40</v>
      </c>
      <c r="D4192">
        <v>4.9022100000000002</v>
      </c>
      <c r="E4192">
        <v>0.47745379999999898</v>
      </c>
      <c r="F4192" t="s">
        <v>42</v>
      </c>
      <c r="G4192">
        <v>-396.52100000000002</v>
      </c>
      <c r="H4192" s="1">
        <v>-1.6260489999999901E-6</v>
      </c>
      <c r="I4192">
        <v>19.620270000000001</v>
      </c>
      <c r="J4192">
        <v>-406.71069999999997</v>
      </c>
      <c r="K4192">
        <v>1.116058</v>
      </c>
      <c r="L4192">
        <v>22.639859999999999</v>
      </c>
      <c r="M4192">
        <v>0.89523269999999899</v>
      </c>
      <c r="N4192">
        <v>0</v>
      </c>
      <c r="O4192">
        <v>-0.44546039999999998</v>
      </c>
      <c r="P4192">
        <v>0.92770509999999995</v>
      </c>
      <c r="Q4192">
        <v>0.11801499999999999</v>
      </c>
      <c r="R4192">
        <v>-0.35416910000000001</v>
      </c>
      <c r="S4192">
        <v>2.9370120000000002</v>
      </c>
      <c r="T4192">
        <v>-0.31485829999999998</v>
      </c>
      <c r="U4192">
        <v>-0.88156129999999999</v>
      </c>
      <c r="V4192">
        <v>-9.816424E-2</v>
      </c>
      <c r="W4192">
        <v>0.1274981</v>
      </c>
      <c r="X4192">
        <v>0.98696910000000004</v>
      </c>
      <c r="Y4192">
        <v>-0.1663134</v>
      </c>
      <c r="Z4192">
        <v>5.3279159999999999E-2</v>
      </c>
      <c r="AA4192">
        <v>0.98463250000000002</v>
      </c>
      <c r="AB4192">
        <v>30</v>
      </c>
      <c r="AC4192">
        <v>10.1897</v>
      </c>
      <c r="AD4192">
        <v>-1.1160596260490001</v>
      </c>
      <c r="AE4192">
        <v>-3.01959</v>
      </c>
      <c r="AF4192">
        <v>-1.81595906513076</v>
      </c>
      <c r="AG4192">
        <v>-1.1160596260490001</v>
      </c>
      <c r="AH4192">
        <v>10.3537256924378</v>
      </c>
      <c r="AI4192">
        <v>96.060523747946306</v>
      </c>
      <c r="AJ4192">
        <v>99.948028059569396</v>
      </c>
      <c r="AK4192">
        <v>10.570852951837599</v>
      </c>
      <c r="AL4192">
        <v>82.674959061249496</v>
      </c>
      <c r="AM4192">
        <v>95.679974976186799</v>
      </c>
      <c r="AN4192">
        <v>0.999999993936598</v>
      </c>
    </row>
    <row r="4193" spans="1:40" x14ac:dyDescent="0.25">
      <c r="A4193" t="str">
        <f>"20190312164353235"</f>
        <v>20190312164353235</v>
      </c>
      <c r="B4193" t="str">
        <f>"1552380233228899"</f>
        <v>1552380233228899</v>
      </c>
      <c r="C4193" t="s">
        <v>40</v>
      </c>
      <c r="D4193">
        <v>5.0706429999999996</v>
      </c>
      <c r="E4193">
        <v>0.4777189</v>
      </c>
      <c r="F4193" t="s">
        <v>42</v>
      </c>
      <c r="G4193">
        <v>-396.16070000000002</v>
      </c>
      <c r="H4193" s="1">
        <v>-1.818192E-6</v>
      </c>
      <c r="I4193">
        <v>19.487469999999998</v>
      </c>
      <c r="J4193">
        <v>-406.4194</v>
      </c>
      <c r="K4193">
        <v>1.11582</v>
      </c>
      <c r="L4193">
        <v>22.503599999999999</v>
      </c>
      <c r="M4193">
        <v>0.89858470000000001</v>
      </c>
      <c r="N4193">
        <v>0</v>
      </c>
      <c r="O4193">
        <v>-0.43866329999999998</v>
      </c>
      <c r="P4193">
        <v>0.92887339999999996</v>
      </c>
      <c r="Q4193">
        <v>0.1183091</v>
      </c>
      <c r="R4193">
        <v>-0.35099520000000001</v>
      </c>
      <c r="S4193">
        <v>2.9381409999999999</v>
      </c>
      <c r="T4193">
        <v>-0.31081819999999999</v>
      </c>
      <c r="U4193">
        <v>-0.87792969999999904</v>
      </c>
      <c r="V4193">
        <v>-9.3967179999999997E-2</v>
      </c>
      <c r="W4193">
        <v>0.12777810000000001</v>
      </c>
      <c r="X4193">
        <v>0.98734129999999998</v>
      </c>
      <c r="Y4193">
        <v>-0.160194899999999</v>
      </c>
      <c r="Z4193">
        <v>5.1657040000000001E-2</v>
      </c>
      <c r="AA4193">
        <v>0.98573279999999996</v>
      </c>
      <c r="AB4193">
        <v>30</v>
      </c>
      <c r="AC4193">
        <v>10.2586999999999</v>
      </c>
      <c r="AD4193">
        <v>-1.1158218181919899</v>
      </c>
      <c r="AE4193">
        <v>-3.0161299999999902</v>
      </c>
      <c r="AF4193">
        <v>-1.7706927946873601</v>
      </c>
      <c r="AG4193">
        <v>-1.1158218181919899</v>
      </c>
      <c r="AH4193">
        <v>10.428450843863301</v>
      </c>
      <c r="AI4193">
        <v>96.021749073482695</v>
      </c>
      <c r="AJ4193">
        <v>99.636597080483796</v>
      </c>
      <c r="AK4193">
        <v>10.6363996872055</v>
      </c>
      <c r="AL4193">
        <v>82.658783679800194</v>
      </c>
      <c r="AM4193">
        <v>95.436575262330095</v>
      </c>
      <c r="AN4193">
        <v>0.999999958221225</v>
      </c>
    </row>
    <row r="4194" spans="1:40" x14ac:dyDescent="0.25">
      <c r="A4194" t="str">
        <f>"20190312164353257"</f>
        <v>20190312164353257</v>
      </c>
      <c r="B4194" t="str">
        <f>"1552380233249395"</f>
        <v>1552380233249395</v>
      </c>
      <c r="C4194" t="s">
        <v>40</v>
      </c>
      <c r="D4194">
        <v>4.8678949999999999</v>
      </c>
      <c r="E4194">
        <v>0.45482860000000003</v>
      </c>
      <c r="F4194" t="s">
        <v>42</v>
      </c>
      <c r="G4194">
        <v>-395.73950000000002</v>
      </c>
      <c r="H4194" s="1">
        <v>-2.0428479999999998E-6</v>
      </c>
      <c r="I4194">
        <v>19.34348</v>
      </c>
      <c r="J4194">
        <v>-406.15050000000002</v>
      </c>
      <c r="K4194">
        <v>1.115572</v>
      </c>
      <c r="L4194">
        <v>22.37988</v>
      </c>
      <c r="M4194">
        <v>0.90149049999999997</v>
      </c>
      <c r="N4194">
        <v>0</v>
      </c>
      <c r="O4194">
        <v>-0.43266329999999997</v>
      </c>
      <c r="P4194">
        <v>0.93005939999999998</v>
      </c>
      <c r="Q4194">
        <v>0.11744400000000001</v>
      </c>
      <c r="R4194">
        <v>-0.34813309999999997</v>
      </c>
      <c r="S4194">
        <v>2.9401250000000001</v>
      </c>
      <c r="T4194">
        <v>-0.3071796</v>
      </c>
      <c r="U4194">
        <v>-0.86996459999999998</v>
      </c>
      <c r="V4194">
        <v>-9.0380420000000003E-2</v>
      </c>
      <c r="W4194">
        <v>0.12689739999999999</v>
      </c>
      <c r="X4194">
        <v>0.98778969999999999</v>
      </c>
      <c r="Y4194">
        <v>-0.15636050000000001</v>
      </c>
      <c r="Z4194">
        <v>5.0310229999999997E-2</v>
      </c>
      <c r="AA4194">
        <v>0.98641789999999996</v>
      </c>
      <c r="AB4194">
        <v>30</v>
      </c>
      <c r="AC4194">
        <v>10.411</v>
      </c>
      <c r="AD4194">
        <v>-1.1155740428479901</v>
      </c>
      <c r="AE4194">
        <v>-3.0364</v>
      </c>
      <c r="AF4194">
        <v>-1.74877050301394</v>
      </c>
      <c r="AG4194">
        <v>-1.1155740428479901</v>
      </c>
      <c r="AH4194">
        <v>10.587747343659499</v>
      </c>
      <c r="AI4194">
        <v>95.934931096735298</v>
      </c>
      <c r="AJ4194">
        <v>99.378826271277305</v>
      </c>
      <c r="AK4194">
        <v>10.789026718404999</v>
      </c>
      <c r="AL4194">
        <v>82.709658758301501</v>
      </c>
      <c r="AM4194">
        <v>95.227871737237393</v>
      </c>
      <c r="AN4194">
        <v>1.0000000309361099</v>
      </c>
    </row>
    <row r="4195" spans="1:40" x14ac:dyDescent="0.25">
      <c r="A4195" t="str">
        <f>"20190312164353278"</f>
        <v>20190312164353278</v>
      </c>
      <c r="B4195" t="str">
        <f>"1552380233268915"</f>
        <v>1552380233268915</v>
      </c>
      <c r="C4195" t="s">
        <v>40</v>
      </c>
      <c r="D4195">
        <v>4.8632339999999896</v>
      </c>
      <c r="E4195">
        <v>0.45027790000000001</v>
      </c>
      <c r="F4195" t="s">
        <v>42</v>
      </c>
      <c r="G4195">
        <v>-394.82229999999998</v>
      </c>
      <c r="H4195" s="1">
        <v>-2.4714019999999998E-6</v>
      </c>
      <c r="I4195">
        <v>19.77947</v>
      </c>
      <c r="J4195">
        <v>-405.87950000000001</v>
      </c>
      <c r="K4195">
        <v>1.115299</v>
      </c>
      <c r="L4195">
        <v>22.257020000000001</v>
      </c>
      <c r="M4195">
        <v>0.90423699999999996</v>
      </c>
      <c r="N4195">
        <v>0</v>
      </c>
      <c r="O4195">
        <v>-0.42689670000000002</v>
      </c>
      <c r="P4195">
        <v>0.93137349999999997</v>
      </c>
      <c r="Q4195">
        <v>0.1161864</v>
      </c>
      <c r="R4195">
        <v>-0.34502820000000001</v>
      </c>
      <c r="S4195">
        <v>3.004791</v>
      </c>
      <c r="T4195">
        <v>-0.2959059</v>
      </c>
      <c r="U4195">
        <v>-0.68975830000000005</v>
      </c>
      <c r="V4195">
        <v>-8.7332279999999998E-2</v>
      </c>
      <c r="W4195">
        <v>0.12561600000000001</v>
      </c>
      <c r="X4195">
        <v>0.98822750000000004</v>
      </c>
      <c r="Y4195">
        <v>-0.21101429999999999</v>
      </c>
      <c r="Z4195">
        <v>5.0110509999999997E-2</v>
      </c>
      <c r="AA4195">
        <v>0.97619769999999995</v>
      </c>
      <c r="AB4195">
        <v>30</v>
      </c>
      <c r="AC4195">
        <v>11.0572</v>
      </c>
      <c r="AD4195">
        <v>-1.115301471402</v>
      </c>
      <c r="AE4195">
        <v>-2.4775499999999999</v>
      </c>
      <c r="AF4195">
        <v>-2.4563358013737999</v>
      </c>
      <c r="AG4195">
        <v>-1.115301471402</v>
      </c>
      <c r="AH4195">
        <v>10.950535858697901</v>
      </c>
      <c r="AI4195">
        <v>95.675392744818197</v>
      </c>
      <c r="AJ4195">
        <v>102.642853947948</v>
      </c>
      <c r="AK4195">
        <v>11.277930596250799</v>
      </c>
      <c r="AL4195">
        <v>82.783669246032403</v>
      </c>
      <c r="AM4195">
        <v>95.050259918640904</v>
      </c>
      <c r="AN4195">
        <v>0.999999949171122</v>
      </c>
    </row>
    <row r="4196" spans="1:40" x14ac:dyDescent="0.25">
      <c r="A4196" t="str">
        <f>"20190312164353301"</f>
        <v>20190312164353301</v>
      </c>
      <c r="B4196" t="str">
        <f>"1552380233289411"</f>
        <v>1552380233289411</v>
      </c>
      <c r="C4196" t="s">
        <v>40</v>
      </c>
      <c r="D4196">
        <v>4.875489</v>
      </c>
      <c r="E4196">
        <v>0.44846029999999998</v>
      </c>
      <c r="F4196" t="s">
        <v>42</v>
      </c>
      <c r="G4196">
        <v>-394.49799999999999</v>
      </c>
      <c r="H4196" s="1">
        <v>-2.6362030000000001E-6</v>
      </c>
      <c r="I4196">
        <v>19.82274</v>
      </c>
      <c r="J4196">
        <v>-405.6071</v>
      </c>
      <c r="K4196">
        <v>1.115005</v>
      </c>
      <c r="L4196">
        <v>22.135190000000001</v>
      </c>
      <c r="M4196">
        <v>0.90680870000000002</v>
      </c>
      <c r="N4196">
        <v>0</v>
      </c>
      <c r="O4196">
        <v>-0.42140909999999898</v>
      </c>
      <c r="P4196">
        <v>0.93257789999999996</v>
      </c>
      <c r="Q4196">
        <v>0.1149617</v>
      </c>
      <c r="R4196">
        <v>-0.3421728</v>
      </c>
      <c r="S4196">
        <v>3.0187680000000001</v>
      </c>
      <c r="T4196">
        <v>-0.295819</v>
      </c>
      <c r="U4196">
        <v>-0.64566040000000002</v>
      </c>
      <c r="V4196">
        <v>-8.4329899999999999E-2</v>
      </c>
      <c r="W4196">
        <v>0.12436659999999999</v>
      </c>
      <c r="X4196">
        <v>0.98864629999999998</v>
      </c>
      <c r="Y4196">
        <v>-0.21966179999999999</v>
      </c>
      <c r="Z4196">
        <v>4.9920640000000002E-2</v>
      </c>
      <c r="AA4196">
        <v>0.974298</v>
      </c>
      <c r="AB4196">
        <v>31</v>
      </c>
      <c r="AC4196">
        <v>11.1090999999999</v>
      </c>
      <c r="AD4196">
        <v>-1.1150076362029999</v>
      </c>
      <c r="AE4196">
        <v>-2.3124499999999899</v>
      </c>
      <c r="AF4196">
        <v>-2.5599535361132899</v>
      </c>
      <c r="AG4196">
        <v>-1.1150076362029999</v>
      </c>
      <c r="AH4196">
        <v>10.9432735527728</v>
      </c>
      <c r="AI4196">
        <v>95.6658510480259</v>
      </c>
      <c r="AJ4196">
        <v>103.166407345008</v>
      </c>
      <c r="AK4196">
        <v>11.2938850793988</v>
      </c>
      <c r="AL4196">
        <v>82.855821110076803</v>
      </c>
      <c r="AM4196">
        <v>94.875434175379596</v>
      </c>
      <c r="AN4196">
        <v>1.00000004486662</v>
      </c>
    </row>
    <row r="4197" spans="1:40" x14ac:dyDescent="0.25">
      <c r="A4197" t="str">
        <f>"20190312164353325"</f>
        <v>20190312164353325</v>
      </c>
      <c r="B4197" t="str">
        <f>"1552380233318691"</f>
        <v>1552380233318691</v>
      </c>
      <c r="C4197" t="s">
        <v>40</v>
      </c>
      <c r="D4197">
        <v>4.8868510000000001</v>
      </c>
      <c r="E4197">
        <v>0.4475499</v>
      </c>
      <c r="F4197" t="s">
        <v>42</v>
      </c>
      <c r="G4197">
        <v>-394.37920000000003</v>
      </c>
      <c r="H4197" s="1">
        <v>-2.6931979999999998E-6</v>
      </c>
      <c r="I4197">
        <v>19.82582</v>
      </c>
      <c r="J4197">
        <v>-405.31869999999998</v>
      </c>
      <c r="K4197">
        <v>1.1146940000000001</v>
      </c>
      <c r="L4197">
        <v>22.00806</v>
      </c>
      <c r="M4197">
        <v>0.90931079999999997</v>
      </c>
      <c r="N4197">
        <v>0</v>
      </c>
      <c r="O4197">
        <v>-0.41598619999999997</v>
      </c>
      <c r="P4197">
        <v>0.93361439999999996</v>
      </c>
      <c r="Q4197">
        <v>0.11481959999999999</v>
      </c>
      <c r="R4197">
        <v>-0.3393832</v>
      </c>
      <c r="S4197">
        <v>3.025604</v>
      </c>
      <c r="T4197">
        <v>-0.30046469999999997</v>
      </c>
      <c r="U4197">
        <v>-0.62231449999999999</v>
      </c>
      <c r="V4197">
        <v>-8.1290119999999993E-2</v>
      </c>
      <c r="W4197">
        <v>0.1241934</v>
      </c>
      <c r="X4197">
        <v>0.98892259999999998</v>
      </c>
      <c r="Y4197">
        <v>-0.2214208</v>
      </c>
      <c r="Z4197">
        <v>5.0251530000000003E-2</v>
      </c>
      <c r="AA4197">
        <v>0.97388269999999999</v>
      </c>
      <c r="AB4197">
        <v>31</v>
      </c>
      <c r="AC4197">
        <v>10.939499999999899</v>
      </c>
      <c r="AD4197">
        <v>-1.114696693198</v>
      </c>
      <c r="AE4197">
        <v>-2.1822400000000002</v>
      </c>
      <c r="AF4197">
        <v>-2.5411125859155299</v>
      </c>
      <c r="AG4197">
        <v>-1.114696693198</v>
      </c>
      <c r="AH4197">
        <v>10.7484517089171</v>
      </c>
      <c r="AI4197">
        <v>95.763090216252706</v>
      </c>
      <c r="AJ4197">
        <v>103.301445220503</v>
      </c>
      <c r="AK4197">
        <v>11.100856544927</v>
      </c>
      <c r="AL4197">
        <v>82.865821928973304</v>
      </c>
      <c r="AM4197">
        <v>94.6991875455697</v>
      </c>
      <c r="AN4197">
        <v>0.99999999650196703</v>
      </c>
    </row>
    <row r="4198" spans="1:40" x14ac:dyDescent="0.25">
      <c r="A4198" t="str">
        <f>"20190312164353346"</f>
        <v>20190312164353346</v>
      </c>
      <c r="B4198" t="str">
        <f>"1552380233339187"</f>
        <v>1552380233339187</v>
      </c>
      <c r="C4198" t="s">
        <v>40</v>
      </c>
      <c r="D4198">
        <v>4.866333</v>
      </c>
      <c r="E4198">
        <v>0.44770110000000002</v>
      </c>
      <c r="F4198" t="s">
        <v>42</v>
      </c>
      <c r="G4198">
        <v>-394.0147</v>
      </c>
      <c r="H4198" s="1">
        <v>-2.8443110000000001E-6</v>
      </c>
      <c r="I4198">
        <v>19.746200000000002</v>
      </c>
      <c r="J4198">
        <v>-405.03269999999998</v>
      </c>
      <c r="K4198">
        <v>1.114395</v>
      </c>
      <c r="L4198">
        <v>21.883510000000001</v>
      </c>
      <c r="M4198">
        <v>0.91159570000000001</v>
      </c>
      <c r="N4198">
        <v>0</v>
      </c>
      <c r="O4198">
        <v>-0.41095769999999998</v>
      </c>
      <c r="P4198">
        <v>0.93471369999999998</v>
      </c>
      <c r="Q4198">
        <v>0.115244899999999</v>
      </c>
      <c r="R4198">
        <v>-0.33619769999999999</v>
      </c>
      <c r="S4198">
        <v>3.0297239999999999</v>
      </c>
      <c r="T4198">
        <v>-0.2987649</v>
      </c>
      <c r="U4198">
        <v>-0.60623169999999904</v>
      </c>
      <c r="V4198">
        <v>-7.9090489999999999E-2</v>
      </c>
      <c r="W4198">
        <v>0.12458039999999899</v>
      </c>
      <c r="X4198">
        <v>0.9890523</v>
      </c>
      <c r="Y4198">
        <v>-0.22131970000000001</v>
      </c>
      <c r="Z4198">
        <v>4.9490649999999997E-2</v>
      </c>
      <c r="AA4198">
        <v>0.9739447</v>
      </c>
      <c r="AB4198">
        <v>31</v>
      </c>
      <c r="AC4198">
        <v>11.017999999999899</v>
      </c>
      <c r="AD4198">
        <v>-1.1143978443109901</v>
      </c>
      <c r="AE4198">
        <v>-2.1373099999999998</v>
      </c>
      <c r="AF4198">
        <v>-2.5545223904724801</v>
      </c>
      <c r="AG4198">
        <v>-1.1143978443109901</v>
      </c>
      <c r="AH4198">
        <v>10.816252699581399</v>
      </c>
      <c r="AI4198">
        <v>95.725988581827494</v>
      </c>
      <c r="AJ4198">
        <v>103.28830314432901</v>
      </c>
      <c r="AK4198">
        <v>11.1695474241364</v>
      </c>
      <c r="AL4198">
        <v>82.843475057266005</v>
      </c>
      <c r="AM4198">
        <v>94.571981774590796</v>
      </c>
      <c r="AN4198">
        <v>1.00000001690394</v>
      </c>
    </row>
    <row r="4199" spans="1:40" x14ac:dyDescent="0.25">
      <c r="A4199" t="str">
        <f>"20190312164353369"</f>
        <v>20190312164353369</v>
      </c>
      <c r="B4199" t="str">
        <f>"1552380233359683"</f>
        <v>1552380233359683</v>
      </c>
      <c r="C4199" t="s">
        <v>40</v>
      </c>
      <c r="D4199">
        <v>4.8329449999999996</v>
      </c>
      <c r="E4199">
        <v>0.44795180000000001</v>
      </c>
      <c r="F4199" t="s">
        <v>42</v>
      </c>
      <c r="G4199">
        <v>-393.6841</v>
      </c>
      <c r="H4199" s="1">
        <v>-2.9743329999999999E-6</v>
      </c>
      <c r="I4199">
        <v>19.647580000000001</v>
      </c>
      <c r="J4199">
        <v>-404.75229999999999</v>
      </c>
      <c r="K4199">
        <v>1.114141</v>
      </c>
      <c r="L4199">
        <v>21.762879999999999</v>
      </c>
      <c r="M4199">
        <v>0.91368020000000005</v>
      </c>
      <c r="N4199">
        <v>0</v>
      </c>
      <c r="O4199">
        <v>-0.40630500000000003</v>
      </c>
      <c r="P4199">
        <v>0.93593660000000001</v>
      </c>
      <c r="Q4199">
        <v>0.1152823</v>
      </c>
      <c r="R4199">
        <v>-0.33276529999999999</v>
      </c>
      <c r="S4199">
        <v>3.0314030000000001</v>
      </c>
      <c r="T4199">
        <v>-0.29767719999999998</v>
      </c>
      <c r="U4199">
        <v>-0.59725950000000005</v>
      </c>
      <c r="V4199">
        <v>-7.759779E-2</v>
      </c>
      <c r="W4199">
        <v>0.1245743</v>
      </c>
      <c r="X4199">
        <v>0.98917129999999998</v>
      </c>
      <c r="Y4199">
        <v>-0.2192752</v>
      </c>
      <c r="Z4199">
        <v>4.8795310000000001E-2</v>
      </c>
      <c r="AA4199">
        <v>0.97444209999999998</v>
      </c>
      <c r="AB4199">
        <v>31</v>
      </c>
      <c r="AC4199">
        <v>11.0681999999999</v>
      </c>
      <c r="AD4199">
        <v>-1.1141439743329999</v>
      </c>
      <c r="AE4199">
        <v>-2.1153</v>
      </c>
      <c r="AF4199">
        <v>-2.5396645231646202</v>
      </c>
      <c r="AG4199">
        <v>-1.1141439743329999</v>
      </c>
      <c r="AH4199">
        <v>10.8665979671978</v>
      </c>
      <c r="AI4199">
        <v>95.701448417132497</v>
      </c>
      <c r="AJ4199">
        <v>103.154647238119</v>
      </c>
      <c r="AK4199">
        <v>11.214908116719901</v>
      </c>
      <c r="AL4199">
        <v>82.843827306173296</v>
      </c>
      <c r="AM4199">
        <v>94.485511408819306</v>
      </c>
      <c r="AN4199">
        <v>1.0000000169885299</v>
      </c>
    </row>
    <row r="4200" spans="1:40" x14ac:dyDescent="0.25">
      <c r="A4200" t="str">
        <f>"20190312164353392"</f>
        <v>20190312164353392</v>
      </c>
      <c r="B4200" t="str">
        <f>"1552380233388963"</f>
        <v>1552380233388963</v>
      </c>
      <c r="C4200" t="s">
        <v>40</v>
      </c>
      <c r="D4200">
        <v>4.8620479999999997</v>
      </c>
      <c r="E4200">
        <v>0.44818530000000001</v>
      </c>
      <c r="F4200" t="s">
        <v>42</v>
      </c>
      <c r="G4200">
        <v>-393.44009999999997</v>
      </c>
      <c r="H4200" s="1">
        <v>-3.0899249999999999E-6</v>
      </c>
      <c r="I4200">
        <v>19.56823</v>
      </c>
      <c r="J4200">
        <v>-404.46570000000003</v>
      </c>
      <c r="K4200">
        <v>1.1139059999999901</v>
      </c>
      <c r="L4200">
        <v>21.640989999999999</v>
      </c>
      <c r="M4200">
        <v>0.91566119999999995</v>
      </c>
      <c r="N4200">
        <v>0</v>
      </c>
      <c r="O4200">
        <v>-0.40182319999999999</v>
      </c>
      <c r="P4200">
        <v>0.9371564</v>
      </c>
      <c r="Q4200">
        <v>0.1152777</v>
      </c>
      <c r="R4200">
        <v>-0.329316099999999</v>
      </c>
      <c r="S4200">
        <v>3.0329280000000001</v>
      </c>
      <c r="T4200">
        <v>-0.29871500000000001</v>
      </c>
      <c r="U4200">
        <v>-0.58840939999999997</v>
      </c>
      <c r="V4200">
        <v>-7.6322829999999994E-2</v>
      </c>
      <c r="W4200">
        <v>0.1245227</v>
      </c>
      <c r="X4200">
        <v>0.98927690000000001</v>
      </c>
      <c r="Y4200">
        <v>-0.21733569999999999</v>
      </c>
      <c r="Z4200">
        <v>4.8468070000000002E-2</v>
      </c>
      <c r="AA4200">
        <v>0.97489289999999995</v>
      </c>
      <c r="AB4200">
        <v>31</v>
      </c>
      <c r="AC4200">
        <v>11.025600000000001</v>
      </c>
      <c r="AD4200">
        <v>-1.1139090899249999</v>
      </c>
      <c r="AE4200">
        <v>-2.0727600000000002</v>
      </c>
      <c r="AF4200">
        <v>-2.5078028021810801</v>
      </c>
      <c r="AG4200">
        <v>-1.1139090899249999</v>
      </c>
      <c r="AH4200">
        <v>10.8224649768493</v>
      </c>
      <c r="AI4200">
        <v>95.725844861750502</v>
      </c>
      <c r="AJ4200">
        <v>103.04643331879799</v>
      </c>
      <c r="AK4200">
        <v>11.1649279679886</v>
      </c>
      <c r="AL4200">
        <v>82.846806351367505</v>
      </c>
      <c r="AM4200">
        <v>94.411637129953107</v>
      </c>
      <c r="AN4200">
        <v>0.99999993103405205</v>
      </c>
    </row>
    <row r="4201" spans="1:40" x14ac:dyDescent="0.25">
      <c r="A4201" t="str">
        <f>"20190312164353414"</f>
        <v>20190312164353414</v>
      </c>
      <c r="B4201" t="str">
        <f>"1552380233409459"</f>
        <v>1552380233409459</v>
      </c>
      <c r="C4201" t="s">
        <v>40</v>
      </c>
      <c r="D4201">
        <v>4.8816699999999997</v>
      </c>
      <c r="E4201">
        <v>0.4486269</v>
      </c>
      <c r="F4201" t="s">
        <v>42</v>
      </c>
      <c r="G4201">
        <v>-393.15699999999998</v>
      </c>
      <c r="H4201" s="1">
        <v>-3.2387250000000001E-6</v>
      </c>
      <c r="I4201">
        <v>19.483889999999999</v>
      </c>
      <c r="J4201">
        <v>-404.1841</v>
      </c>
      <c r="K4201">
        <v>1.113707</v>
      </c>
      <c r="L4201">
        <v>21.52252</v>
      </c>
      <c r="M4201">
        <v>0.91747179999999995</v>
      </c>
      <c r="N4201">
        <v>0</v>
      </c>
      <c r="O4201">
        <v>-0.39767439999999998</v>
      </c>
      <c r="P4201">
        <v>0.9387006</v>
      </c>
      <c r="Q4201">
        <v>0.1150255</v>
      </c>
      <c r="R4201">
        <v>-0.32497769999999998</v>
      </c>
      <c r="S4201">
        <v>3.0345460000000002</v>
      </c>
      <c r="T4201">
        <v>-0.2989019</v>
      </c>
      <c r="U4201">
        <v>-0.57882690000000003</v>
      </c>
      <c r="V4201">
        <v>-7.6367350000000001E-2</v>
      </c>
      <c r="W4201">
        <v>0.1242114</v>
      </c>
      <c r="X4201">
        <v>0.98931259999999999</v>
      </c>
      <c r="Y4201">
        <v>-0.21600440000000001</v>
      </c>
      <c r="Z4201">
        <v>4.8059629999999999E-2</v>
      </c>
      <c r="AA4201">
        <v>0.97520890000000005</v>
      </c>
      <c r="AB4201">
        <v>31</v>
      </c>
      <c r="AC4201">
        <v>11.027100000000001</v>
      </c>
      <c r="AD4201">
        <v>-1.113710238725</v>
      </c>
      <c r="AE4201">
        <v>-2.0386299999999999</v>
      </c>
      <c r="AF4201">
        <v>-2.4903727838127301</v>
      </c>
      <c r="AG4201">
        <v>-1.113710238725</v>
      </c>
      <c r="AH4201">
        <v>10.821576340028299</v>
      </c>
      <c r="AI4201">
        <v>95.727281352395906</v>
      </c>
      <c r="AJ4201">
        <v>102.959855737475</v>
      </c>
      <c r="AK4201">
        <v>11.1601443351445</v>
      </c>
      <c r="AL4201">
        <v>82.864782096341102</v>
      </c>
      <c r="AM4201">
        <v>94.414041661919597</v>
      </c>
      <c r="AN4201">
        <v>0.99999993227736805</v>
      </c>
    </row>
    <row r="4202" spans="1:40" x14ac:dyDescent="0.25">
      <c r="A4202" t="str">
        <f>"20190312164353436"</f>
        <v>20190312164353436</v>
      </c>
      <c r="B4202" t="str">
        <f>"1552380233428979"</f>
        <v>1552380233428979</v>
      </c>
      <c r="C4202" t="s">
        <v>40</v>
      </c>
      <c r="D4202">
        <v>4.8577959999999996</v>
      </c>
      <c r="E4202">
        <v>0.44911960000000001</v>
      </c>
      <c r="F4202" t="s">
        <v>42</v>
      </c>
      <c r="G4202">
        <v>-392.93450000000001</v>
      </c>
      <c r="H4202" s="1">
        <v>-3.3552090000000001E-6</v>
      </c>
      <c r="I4202">
        <v>19.419979999999999</v>
      </c>
      <c r="J4202">
        <v>-403.89670000000001</v>
      </c>
      <c r="K4202">
        <v>1.1135139999999999</v>
      </c>
      <c r="L4202">
        <v>21.402830000000002</v>
      </c>
      <c r="M4202">
        <v>0.91920100000000005</v>
      </c>
      <c r="N4202">
        <v>0</v>
      </c>
      <c r="O4202">
        <v>-0.3936636</v>
      </c>
      <c r="P4202">
        <v>0.93994040000000001</v>
      </c>
      <c r="Q4202">
        <v>0.11406719999999999</v>
      </c>
      <c r="R4202">
        <v>-0.321716</v>
      </c>
      <c r="S4202">
        <v>3.0362550000000001</v>
      </c>
      <c r="T4202">
        <v>-0.30058980000000002</v>
      </c>
      <c r="U4202">
        <v>-0.56747440000000005</v>
      </c>
      <c r="V4202">
        <v>-7.5457860000000002E-2</v>
      </c>
      <c r="W4202">
        <v>0.12320970000000001</v>
      </c>
      <c r="X4202">
        <v>0.98950769999999999</v>
      </c>
      <c r="Y4202">
        <v>-0.21535209999999999</v>
      </c>
      <c r="Z4202">
        <v>4.793538E-2</v>
      </c>
      <c r="AA4202">
        <v>0.97535930000000004</v>
      </c>
      <c r="AB4202">
        <v>31</v>
      </c>
      <c r="AC4202">
        <v>10.9621999999999</v>
      </c>
      <c r="AD4202">
        <v>-1.1135173552090001</v>
      </c>
      <c r="AE4202">
        <v>-1.98284999999999</v>
      </c>
      <c r="AF4202">
        <v>-2.4682435110970902</v>
      </c>
      <c r="AG4202">
        <v>-1.1135173552090001</v>
      </c>
      <c r="AH4202">
        <v>10.7501688811706</v>
      </c>
      <c r="AI4202">
        <v>95.764739764406102</v>
      </c>
      <c r="AJ4202">
        <v>102.93101974426</v>
      </c>
      <c r="AK4202">
        <v>11.0859495716025</v>
      </c>
      <c r="AL4202">
        <v>82.922620079908796</v>
      </c>
      <c r="AM4202">
        <v>94.3608204396009</v>
      </c>
      <c r="AN4202">
        <v>1.00000000358457</v>
      </c>
    </row>
    <row r="4203" spans="1:40" x14ac:dyDescent="0.25">
      <c r="A4203" t="str">
        <f>"20190312164353449"</f>
        <v>20190312164353449</v>
      </c>
      <c r="B4203" t="str">
        <f>"1552380233439715"</f>
        <v>1552380233439715</v>
      </c>
      <c r="C4203" t="s">
        <v>40</v>
      </c>
      <c r="D4203">
        <v>4.9488070000000004</v>
      </c>
      <c r="E4203">
        <v>0.44911960000000001</v>
      </c>
      <c r="F4203" t="s">
        <v>42</v>
      </c>
      <c r="G4203">
        <v>-392.87209999999999</v>
      </c>
      <c r="H4203" s="1">
        <v>-3.3936360000000001E-6</v>
      </c>
      <c r="I4203">
        <v>19.369679999999999</v>
      </c>
      <c r="J4203">
        <v>-403.73500000000001</v>
      </c>
      <c r="K4203">
        <v>1.1134109999999999</v>
      </c>
      <c r="L4203">
        <v>21.336089999999999</v>
      </c>
      <c r="M4203">
        <v>0.92012720000000003</v>
      </c>
      <c r="N4203">
        <v>0</v>
      </c>
      <c r="O4203">
        <v>-0.39149499999999998</v>
      </c>
      <c r="P4203">
        <v>0.94064619999999999</v>
      </c>
      <c r="Q4203">
        <v>0.1138767</v>
      </c>
      <c r="R4203">
        <v>-0.319714099999999</v>
      </c>
      <c r="S4203">
        <v>3.037201</v>
      </c>
      <c r="T4203">
        <v>-0.30676619999999999</v>
      </c>
      <c r="U4203">
        <v>-0.56011959999999905</v>
      </c>
      <c r="V4203">
        <v>-7.5207940000000001E-2</v>
      </c>
      <c r="W4203">
        <v>0.1229915</v>
      </c>
      <c r="X4203">
        <v>0.98955389999999999</v>
      </c>
      <c r="Y4203">
        <v>-0.21528410000000001</v>
      </c>
      <c r="Z4203">
        <v>4.8713770000000003E-2</v>
      </c>
      <c r="AA4203">
        <v>0.97533570000000003</v>
      </c>
      <c r="AB4203">
        <v>31</v>
      </c>
      <c r="AC4203">
        <v>10.8629</v>
      </c>
      <c r="AD4203">
        <v>-1.1134143936359999</v>
      </c>
      <c r="AE4203">
        <v>-1.96641</v>
      </c>
      <c r="AF4203">
        <v>-2.4189368085401499</v>
      </c>
      <c r="AG4203">
        <v>-1.1134143936359999</v>
      </c>
      <c r="AH4203">
        <v>10.657206531995399</v>
      </c>
      <c r="AI4203">
        <v>95.817436602935004</v>
      </c>
      <c r="AJ4203">
        <v>102.788133088631</v>
      </c>
      <c r="AK4203">
        <v>10.984853115143199</v>
      </c>
      <c r="AL4203">
        <v>82.935218037918901</v>
      </c>
      <c r="AM4203">
        <v>94.346230487139906</v>
      </c>
      <c r="AN4203">
        <v>1.0000000321582501</v>
      </c>
    </row>
    <row r="4204" spans="1:40" x14ac:dyDescent="0.25">
      <c r="A4204" t="str">
        <f>"20190312164353462"</f>
        <v>20190312164353462</v>
      </c>
      <c r="B4204" t="str">
        <f>"1552380233459236"</f>
        <v>1552380233459236</v>
      </c>
      <c r="C4204" t="s">
        <v>40</v>
      </c>
      <c r="D4204">
        <v>4.8787960000000004</v>
      </c>
      <c r="E4204">
        <v>0.44940570000000002</v>
      </c>
      <c r="F4204" t="s">
        <v>42</v>
      </c>
      <c r="G4204">
        <v>-392.74279999999999</v>
      </c>
      <c r="H4204" s="1">
        <v>-3.4615939999999999E-6</v>
      </c>
      <c r="I4204">
        <v>19.331209999999999</v>
      </c>
      <c r="J4204">
        <v>-403.58100000000002</v>
      </c>
      <c r="K4204">
        <v>1.113316</v>
      </c>
      <c r="L4204">
        <v>21.2728</v>
      </c>
      <c r="M4204">
        <v>0.92099089999999995</v>
      </c>
      <c r="N4204">
        <v>0</v>
      </c>
      <c r="O4204">
        <v>-0.38945960000000002</v>
      </c>
      <c r="P4204">
        <v>0.94124070000000004</v>
      </c>
      <c r="Q4204">
        <v>0.1136448</v>
      </c>
      <c r="R4204">
        <v>-0.3180424</v>
      </c>
      <c r="S4204">
        <v>3.0381770000000001</v>
      </c>
      <c r="T4204">
        <v>-0.3077414</v>
      </c>
      <c r="U4204">
        <v>-0.55413819999999903</v>
      </c>
      <c r="V4204">
        <v>-7.4757809999999994E-2</v>
      </c>
      <c r="W4204">
        <v>0.122735999999999</v>
      </c>
      <c r="X4204">
        <v>0.98961969999999999</v>
      </c>
      <c r="Y4204">
        <v>-0.21503149999999999</v>
      </c>
      <c r="Z4204">
        <v>4.8664909999999999E-2</v>
      </c>
      <c r="AA4204">
        <v>0.97539379999999998</v>
      </c>
      <c r="AB4204">
        <v>31</v>
      </c>
      <c r="AC4204">
        <v>10.838199999999899</v>
      </c>
      <c r="AD4204">
        <v>-1.1133194615940001</v>
      </c>
      <c r="AE4204">
        <v>-1.9415899999999899</v>
      </c>
      <c r="AF4204">
        <v>-2.4083501228965498</v>
      </c>
      <c r="AG4204">
        <v>-1.1133194615940001</v>
      </c>
      <c r="AH4204">
        <v>10.6298986182231</v>
      </c>
      <c r="AI4204">
        <v>95.832300407801597</v>
      </c>
      <c r="AJ4204">
        <v>102.765636107677</v>
      </c>
      <c r="AK4204">
        <v>10.956020042502701</v>
      </c>
      <c r="AL4204">
        <v>82.9499686631939</v>
      </c>
      <c r="AM4204">
        <v>94.320030304650103</v>
      </c>
      <c r="AN4204">
        <v>1.00000000324004</v>
      </c>
    </row>
    <row r="4205" spans="1:40" x14ac:dyDescent="0.25">
      <c r="A4205" t="str">
        <f>"20190312164353478"</f>
        <v>20190312164353478</v>
      </c>
      <c r="B4205" t="str">
        <f>"1552380233468995"</f>
        <v>1552380233468995</v>
      </c>
      <c r="C4205" t="s">
        <v>40</v>
      </c>
      <c r="D4205">
        <v>5.0192990000000002</v>
      </c>
      <c r="E4205">
        <v>0.44946459999999999</v>
      </c>
      <c r="F4205" t="s">
        <v>42</v>
      </c>
      <c r="G4205">
        <v>-392.70330000000001</v>
      </c>
      <c r="H4205" s="1">
        <v>-3.4857380000000001E-6</v>
      </c>
      <c r="I4205">
        <v>19.300229999999999</v>
      </c>
      <c r="J4205">
        <v>-403.35250000000002</v>
      </c>
      <c r="K4205">
        <v>1.113186</v>
      </c>
      <c r="L4205">
        <v>21.17972</v>
      </c>
      <c r="M4205">
        <v>0.92222349999999997</v>
      </c>
      <c r="N4205">
        <v>0</v>
      </c>
      <c r="O4205">
        <v>-0.38653359999999998</v>
      </c>
      <c r="P4205">
        <v>0.94210329999999998</v>
      </c>
      <c r="Q4205">
        <v>0.1132615</v>
      </c>
      <c r="R4205">
        <v>-0.3156157</v>
      </c>
      <c r="S4205">
        <v>3.038605</v>
      </c>
      <c r="T4205">
        <v>-0.31099900000000003</v>
      </c>
      <c r="U4205">
        <v>-0.5510254</v>
      </c>
      <c r="V4205">
        <v>-7.4144440000000006E-2</v>
      </c>
      <c r="W4205">
        <v>0.1223172</v>
      </c>
      <c r="X4205">
        <v>0.98971770000000003</v>
      </c>
      <c r="Y4205">
        <v>-0.21288579999999999</v>
      </c>
      <c r="Z4205">
        <v>4.8796199999999998E-2</v>
      </c>
      <c r="AA4205">
        <v>0.97585789999999994</v>
      </c>
      <c r="AB4205">
        <v>31</v>
      </c>
      <c r="AC4205">
        <v>10.6492</v>
      </c>
      <c r="AD4205">
        <v>-1.113189485738</v>
      </c>
      <c r="AE4205">
        <v>-1.8794900000000001</v>
      </c>
      <c r="AF4205">
        <v>-2.3580890134450598</v>
      </c>
      <c r="AG4205">
        <v>-1.113189485738</v>
      </c>
      <c r="AH4205">
        <v>10.4373283743936</v>
      </c>
      <c r="AI4205">
        <v>95.939262865132605</v>
      </c>
      <c r="AJ4205">
        <v>102.731004252665</v>
      </c>
      <c r="AK4205">
        <v>10.758141020706599</v>
      </c>
      <c r="AL4205">
        <v>82.974146360354993</v>
      </c>
      <c r="AM4205">
        <v>94.284295344423896</v>
      </c>
      <c r="AN4205">
        <v>1.0000000105460201</v>
      </c>
    </row>
    <row r="4206" spans="1:40" x14ac:dyDescent="0.25">
      <c r="A4206" t="str">
        <f>"20190312164353491"</f>
        <v>20190312164353491</v>
      </c>
      <c r="B4206" t="str">
        <f>"1552380233489491"</f>
        <v>1552380233489491</v>
      </c>
      <c r="C4206" t="s">
        <v>40</v>
      </c>
      <c r="D4206">
        <v>4.8536109999999999</v>
      </c>
      <c r="E4206">
        <v>0.45000649999999998</v>
      </c>
      <c r="F4206" t="s">
        <v>42</v>
      </c>
      <c r="G4206">
        <v>-392.63889999999998</v>
      </c>
      <c r="H4206" s="1">
        <v>-3.522625E-6</v>
      </c>
      <c r="I4206">
        <v>19.26407</v>
      </c>
      <c r="J4206">
        <v>-403.19880000000001</v>
      </c>
      <c r="K4206">
        <v>1.1131169999999999</v>
      </c>
      <c r="L4206">
        <v>21.117519999999999</v>
      </c>
      <c r="M4206">
        <v>0.92302989999999996</v>
      </c>
      <c r="N4206">
        <v>0</v>
      </c>
      <c r="O4206">
        <v>-0.38460490000000003</v>
      </c>
      <c r="P4206">
        <v>0.94268669999999999</v>
      </c>
      <c r="Q4206">
        <v>0.113133</v>
      </c>
      <c r="R4206">
        <v>-0.3139151</v>
      </c>
      <c r="S4206">
        <v>3.0402529999999999</v>
      </c>
      <c r="T4206">
        <v>-0.31589289999999998</v>
      </c>
      <c r="U4206">
        <v>-0.54360959999999903</v>
      </c>
      <c r="V4206">
        <v>-7.3847099999999999E-2</v>
      </c>
      <c r="W4206">
        <v>0.1221624</v>
      </c>
      <c r="X4206">
        <v>0.98975900000000006</v>
      </c>
      <c r="Y4206">
        <v>-0.2131594</v>
      </c>
      <c r="Z4206">
        <v>4.9380529999999999E-2</v>
      </c>
      <c r="AA4206">
        <v>0.97576870000000004</v>
      </c>
      <c r="AB4206">
        <v>31</v>
      </c>
      <c r="AC4206">
        <v>10.559900000000001</v>
      </c>
      <c r="AD4206">
        <v>-1.1131205226249901</v>
      </c>
      <c r="AE4206">
        <v>-1.85345</v>
      </c>
      <c r="AF4206">
        <v>-2.3256424014944699</v>
      </c>
      <c r="AG4206">
        <v>-1.1131205226249901</v>
      </c>
      <c r="AH4206">
        <v>10.348892555597899</v>
      </c>
      <c r="AI4206">
        <v>95.990816758477493</v>
      </c>
      <c r="AJ4206">
        <v>102.665319735571</v>
      </c>
      <c r="AK4206">
        <v>10.665234503039599</v>
      </c>
      <c r="AL4206">
        <v>82.983082423117494</v>
      </c>
      <c r="AM4206">
        <v>94.267000307704805</v>
      </c>
      <c r="AN4206">
        <v>0.99999996211658404</v>
      </c>
    </row>
    <row r="4207" spans="1:40" x14ac:dyDescent="0.25">
      <c r="A4207" t="str">
        <f>"20190312164353513"</f>
        <v>20190312164353513</v>
      </c>
      <c r="B4207" t="str">
        <f>"1552380233509012"</f>
        <v>1552380233509012</v>
      </c>
      <c r="C4207" t="s">
        <v>40</v>
      </c>
      <c r="D4207">
        <v>4.9739879999999896</v>
      </c>
      <c r="E4207">
        <v>0.45043919999999998</v>
      </c>
      <c r="F4207" t="s">
        <v>42</v>
      </c>
      <c r="G4207">
        <v>-392.47919999999999</v>
      </c>
      <c r="H4207" s="1">
        <v>-3.6082609999999998E-6</v>
      </c>
      <c r="I4207">
        <v>19.206800000000001</v>
      </c>
      <c r="J4207">
        <v>-402.92099999999999</v>
      </c>
      <c r="K4207">
        <v>1.113019</v>
      </c>
      <c r="L4207">
        <v>21.005859999999998</v>
      </c>
      <c r="M4207">
        <v>0.92445770000000005</v>
      </c>
      <c r="N4207">
        <v>0</v>
      </c>
      <c r="O4207">
        <v>-0.3811621</v>
      </c>
      <c r="P4207">
        <v>0.94361550000000005</v>
      </c>
      <c r="Q4207">
        <v>0.11264299999999999</v>
      </c>
      <c r="R4207">
        <v>-0.31129030000000002</v>
      </c>
      <c r="S4207">
        <v>3.0398559999999999</v>
      </c>
      <c r="T4207">
        <v>-0.31565759999999998</v>
      </c>
      <c r="U4207">
        <v>-0.54183959999999998</v>
      </c>
      <c r="V4207">
        <v>-7.2901380000000002E-2</v>
      </c>
      <c r="W4207">
        <v>0.1216276</v>
      </c>
      <c r="X4207">
        <v>0.98989499999999997</v>
      </c>
      <c r="Y4207">
        <v>-0.21008160000000001</v>
      </c>
      <c r="Z4207">
        <v>4.8869799999999998E-2</v>
      </c>
      <c r="AA4207">
        <v>0.97646169999999999</v>
      </c>
      <c r="AB4207">
        <v>31</v>
      </c>
      <c r="AC4207">
        <v>10.441800000000001</v>
      </c>
      <c r="AD4207">
        <v>-1.113022608261</v>
      </c>
      <c r="AE4207">
        <v>-1.7990600000000001</v>
      </c>
      <c r="AF4207">
        <v>-2.2916841738942901</v>
      </c>
      <c r="AG4207">
        <v>-1.113022608261</v>
      </c>
      <c r="AH4207">
        <v>10.2263758604369</v>
      </c>
      <c r="AI4207">
        <v>96.062336674366904</v>
      </c>
      <c r="AJ4207">
        <v>102.631043684749</v>
      </c>
      <c r="AK4207">
        <v>10.5389467651329</v>
      </c>
      <c r="AL4207">
        <v>83.013954669534698</v>
      </c>
      <c r="AM4207">
        <v>94.211976445567203</v>
      </c>
      <c r="AN4207">
        <v>0.99999999765633196</v>
      </c>
    </row>
    <row r="4208" spans="1:40" x14ac:dyDescent="0.25">
      <c r="A4208" t="str">
        <f>"20190312164353526"</f>
        <v>20190312164353526</v>
      </c>
      <c r="B4208" t="str">
        <f>"1552380233519747"</f>
        <v>1552380233519747</v>
      </c>
      <c r="C4208" t="s">
        <v>40</v>
      </c>
      <c r="D4208">
        <v>4.8562250000000002</v>
      </c>
      <c r="E4208">
        <v>0.4506155</v>
      </c>
      <c r="F4208" t="s">
        <v>42</v>
      </c>
      <c r="G4208">
        <v>-392.20679999999999</v>
      </c>
      <c r="H4208" s="1">
        <v>-3.7530840000000001E-6</v>
      </c>
      <c r="I4208">
        <v>19.116289999999999</v>
      </c>
      <c r="J4208">
        <v>-402.7466</v>
      </c>
      <c r="K4208">
        <v>1.1129720000000001</v>
      </c>
      <c r="L4208">
        <v>20.936340000000001</v>
      </c>
      <c r="M4208">
        <v>0.92533549999999998</v>
      </c>
      <c r="N4208">
        <v>0</v>
      </c>
      <c r="O4208">
        <v>-0.37902710000000001</v>
      </c>
      <c r="P4208">
        <v>0.94421049999999995</v>
      </c>
      <c r="Q4208">
        <v>0.1123528</v>
      </c>
      <c r="R4208">
        <v>-0.30958609999999998</v>
      </c>
      <c r="S4208">
        <v>3.0401310000000001</v>
      </c>
      <c r="T4208">
        <v>-0.31581819999999999</v>
      </c>
      <c r="U4208">
        <v>-0.53616330000000001</v>
      </c>
      <c r="V4208">
        <v>-7.2400580000000006E-2</v>
      </c>
      <c r="W4208">
        <v>0.1213081</v>
      </c>
      <c r="X4208">
        <v>0.98997100000000005</v>
      </c>
      <c r="Y4208">
        <v>-0.20961679999999999</v>
      </c>
      <c r="Z4208">
        <v>4.8675009999999998E-2</v>
      </c>
      <c r="AA4208">
        <v>0.97657130000000003</v>
      </c>
      <c r="AB4208">
        <v>31</v>
      </c>
      <c r="AC4208">
        <v>10.5398</v>
      </c>
      <c r="AD4208">
        <v>-1.1129757530840001</v>
      </c>
      <c r="AE4208">
        <v>-1.82004999999999</v>
      </c>
      <c r="AF4208">
        <v>-2.2860666522865198</v>
      </c>
      <c r="AG4208">
        <v>-1.1129757530840001</v>
      </c>
      <c r="AH4208">
        <v>10.3313164818943</v>
      </c>
      <c r="AI4208">
        <v>96.004524423349906</v>
      </c>
      <c r="AJ4208">
        <v>102.477103788466</v>
      </c>
      <c r="AK4208">
        <v>10.639591910158501</v>
      </c>
      <c r="AL4208">
        <v>83.032397527955197</v>
      </c>
      <c r="AM4208">
        <v>94.182825109236205</v>
      </c>
      <c r="AN4208">
        <v>1.00000003997547</v>
      </c>
    </row>
    <row r="4209" spans="1:40" x14ac:dyDescent="0.25">
      <c r="A4209" t="str">
        <f>"20190312164353539"</f>
        <v>20190312164353539</v>
      </c>
      <c r="B4209" t="str">
        <f>"1552380233529508"</f>
        <v>1552380233529508</v>
      </c>
      <c r="C4209" t="s">
        <v>40</v>
      </c>
      <c r="D4209">
        <v>4.8564420000000004</v>
      </c>
      <c r="E4209">
        <v>0.4508085</v>
      </c>
      <c r="F4209" t="s">
        <v>42</v>
      </c>
      <c r="G4209">
        <v>-392.04270000000002</v>
      </c>
      <c r="H4209" s="1">
        <v>-3.8398979999999998E-6</v>
      </c>
      <c r="I4209">
        <v>19.064060000000001</v>
      </c>
      <c r="J4209">
        <v>-402.57799999999997</v>
      </c>
      <c r="K4209">
        <v>1.112933</v>
      </c>
      <c r="L4209">
        <v>20.869509999999998</v>
      </c>
      <c r="M4209">
        <v>0.9261741</v>
      </c>
      <c r="N4209">
        <v>0</v>
      </c>
      <c r="O4209">
        <v>-0.37697459999999999</v>
      </c>
      <c r="P4209">
        <v>0.944824</v>
      </c>
      <c r="Q4209">
        <v>0.1117248</v>
      </c>
      <c r="R4209">
        <v>-0.30793710000000002</v>
      </c>
      <c r="S4209">
        <v>3.0404969999999998</v>
      </c>
      <c r="T4209">
        <v>-0.31614569999999997</v>
      </c>
      <c r="U4209">
        <v>-0.53182980000000002</v>
      </c>
      <c r="V4209">
        <v>-7.1946609999999994E-2</v>
      </c>
      <c r="W4209">
        <v>0.1206497</v>
      </c>
      <c r="X4209">
        <v>0.99008450000000003</v>
      </c>
      <c r="Y4209">
        <v>-0.20882700000000001</v>
      </c>
      <c r="Z4209">
        <v>4.8492210000000001E-2</v>
      </c>
      <c r="AA4209">
        <v>0.9767496</v>
      </c>
      <c r="AB4209">
        <v>31</v>
      </c>
      <c r="AC4209">
        <v>10.535299999999999</v>
      </c>
      <c r="AD4209">
        <v>-1.112936839898</v>
      </c>
      <c r="AE4209">
        <v>-1.80545</v>
      </c>
      <c r="AF4209">
        <v>-2.2748231310545601</v>
      </c>
      <c r="AG4209">
        <v>-1.112936839898</v>
      </c>
      <c r="AH4209">
        <v>10.3266562230771</v>
      </c>
      <c r="AI4209">
        <v>96.008247437486602</v>
      </c>
      <c r="AJ4209">
        <v>102.423075933226</v>
      </c>
      <c r="AK4209">
        <v>10.632651477256299</v>
      </c>
      <c r="AL4209">
        <v>83.070399853716694</v>
      </c>
      <c r="AM4209">
        <v>94.156215113890696</v>
      </c>
      <c r="AN4209">
        <v>0.99999999097041603</v>
      </c>
    </row>
    <row r="4210" spans="1:40" x14ac:dyDescent="0.25">
      <c r="A4210" t="str">
        <f>"20190312164353551"</f>
        <v>20190312164353551</v>
      </c>
      <c r="B4210" t="str">
        <f>"1552380233549028"</f>
        <v>1552380233549028</v>
      </c>
      <c r="C4210" t="s">
        <v>40</v>
      </c>
      <c r="D4210">
        <v>4.831677</v>
      </c>
      <c r="E4210">
        <v>0.45112210000000003</v>
      </c>
      <c r="F4210" t="s">
        <v>42</v>
      </c>
      <c r="G4210">
        <v>-391.92430000000002</v>
      </c>
      <c r="H4210" s="1">
        <v>-3.9035290000000001E-6</v>
      </c>
      <c r="I4210">
        <v>19.020949999999999</v>
      </c>
      <c r="J4210">
        <v>-402.41539999999998</v>
      </c>
      <c r="K4210">
        <v>1.112905</v>
      </c>
      <c r="L4210">
        <v>20.805599999999998</v>
      </c>
      <c r="M4210">
        <v>0.92697399999999996</v>
      </c>
      <c r="N4210">
        <v>0</v>
      </c>
      <c r="O4210">
        <v>-0.37500430000000001</v>
      </c>
      <c r="P4210">
        <v>0.9455247</v>
      </c>
      <c r="Q4210">
        <v>0.11116520000000001</v>
      </c>
      <c r="R4210">
        <v>-0.30598340000000002</v>
      </c>
      <c r="S4210">
        <v>3.0408019999999998</v>
      </c>
      <c r="T4210">
        <v>-0.31765640000000001</v>
      </c>
      <c r="U4210">
        <v>-0.52761840000000004</v>
      </c>
      <c r="V4210">
        <v>-7.1901779999999998E-2</v>
      </c>
      <c r="W4210">
        <v>0.1200551</v>
      </c>
      <c r="X4210">
        <v>0.99016000000000004</v>
      </c>
      <c r="Y4210">
        <v>-0.20806240000000001</v>
      </c>
      <c r="Z4210">
        <v>4.849821E-2</v>
      </c>
      <c r="AA4210">
        <v>0.97691240000000001</v>
      </c>
      <c r="AB4210">
        <v>31</v>
      </c>
      <c r="AC4210">
        <v>10.4910999999999</v>
      </c>
      <c r="AD4210">
        <v>-1.1129089035290001</v>
      </c>
      <c r="AE4210">
        <v>-1.7846499999999901</v>
      </c>
      <c r="AF4210">
        <v>-2.25532130494339</v>
      </c>
      <c r="AG4210">
        <v>-1.1129089035290001</v>
      </c>
      <c r="AH4210">
        <v>10.282246896657901</v>
      </c>
      <c r="AI4210">
        <v>96.035043037440602</v>
      </c>
      <c r="AJ4210">
        <v>102.371414636615</v>
      </c>
      <c r="AK4210">
        <v>10.585350332413</v>
      </c>
      <c r="AL4210">
        <v>83.104717151691105</v>
      </c>
      <c r="AM4210">
        <v>94.153318831659107</v>
      </c>
      <c r="AN4210">
        <v>0.99999995930158803</v>
      </c>
    </row>
    <row r="4211" spans="1:40" x14ac:dyDescent="0.25">
      <c r="A4211" t="str">
        <f>"20190312164353571"</f>
        <v>20190312164353571</v>
      </c>
      <c r="B4211" t="str">
        <f>"1552380233558791"</f>
        <v>1552380233558791</v>
      </c>
      <c r="C4211" t="s">
        <v>40</v>
      </c>
      <c r="D4211">
        <v>4.9189280000000002</v>
      </c>
      <c r="E4211">
        <v>0.45143270000000002</v>
      </c>
      <c r="F4211" t="s">
        <v>42</v>
      </c>
      <c r="G4211">
        <v>-391.7337</v>
      </c>
      <c r="H4211" s="1">
        <v>-4.0033509999999998E-6</v>
      </c>
      <c r="I4211">
        <v>18.966139999999999</v>
      </c>
      <c r="J4211">
        <v>-402.17239999999998</v>
      </c>
      <c r="K4211">
        <v>1.1128690000000001</v>
      </c>
      <c r="L4211">
        <v>20.71069</v>
      </c>
      <c r="M4211">
        <v>0.92815859999999994</v>
      </c>
      <c r="N4211">
        <v>0</v>
      </c>
      <c r="O4211">
        <v>-0.3720638</v>
      </c>
      <c r="P4211">
        <v>0.94654050000000001</v>
      </c>
      <c r="Q4211">
        <v>0.10958950000000001</v>
      </c>
      <c r="R4211">
        <v>-0.30339939999999999</v>
      </c>
      <c r="S4211">
        <v>3.0406490000000002</v>
      </c>
      <c r="T4211">
        <v>-0.31680049999999998</v>
      </c>
      <c r="U4211">
        <v>-0.52362059999999999</v>
      </c>
      <c r="V4211">
        <v>-7.1515460000000003E-2</v>
      </c>
      <c r="W4211">
        <v>0.1184298</v>
      </c>
      <c r="X4211">
        <v>0.99038369999999998</v>
      </c>
      <c r="Y4211">
        <v>-0.20623920000000001</v>
      </c>
      <c r="Z4211">
        <v>4.8003480000000001E-2</v>
      </c>
      <c r="AA4211">
        <v>0.97732339999999995</v>
      </c>
      <c r="AB4211">
        <v>31</v>
      </c>
      <c r="AC4211">
        <v>10.4386999999999</v>
      </c>
      <c r="AD4211">
        <v>-1.1128730033509999</v>
      </c>
      <c r="AE4211">
        <v>-1.74455</v>
      </c>
      <c r="AF4211">
        <v>-2.2399780879042401</v>
      </c>
      <c r="AG4211">
        <v>-1.1128730033509999</v>
      </c>
      <c r="AH4211">
        <v>10.225259024389</v>
      </c>
      <c r="AI4211">
        <v>96.068583538013897</v>
      </c>
      <c r="AJ4211">
        <v>102.356212381175</v>
      </c>
      <c r="AK4211">
        <v>10.526723624743299</v>
      </c>
      <c r="AL4211">
        <v>83.198509300753003</v>
      </c>
      <c r="AM4211">
        <v>94.130151125843497</v>
      </c>
      <c r="AN4211">
        <v>0.99999997588637002</v>
      </c>
    </row>
    <row r="4212" spans="1:40" x14ac:dyDescent="0.25">
      <c r="A4212" t="str">
        <f>"20190312164353592"</f>
        <v>20190312164353592</v>
      </c>
      <c r="B4212" t="str">
        <f>"1552380233589044"</f>
        <v>1552380233589044</v>
      </c>
      <c r="C4212" t="s">
        <v>40</v>
      </c>
      <c r="D4212">
        <v>4.9404830000000004</v>
      </c>
      <c r="E4212">
        <v>0.4522871</v>
      </c>
      <c r="F4212" t="s">
        <v>42</v>
      </c>
      <c r="G4212">
        <v>-391.62279999999998</v>
      </c>
      <c r="H4212" s="1">
        <v>-4.0647159999999998E-6</v>
      </c>
      <c r="I4212">
        <v>18.91573</v>
      </c>
      <c r="J4212">
        <v>-401.89330000000001</v>
      </c>
      <c r="K4212">
        <v>1.112841</v>
      </c>
      <c r="L4212">
        <v>20.602779999999999</v>
      </c>
      <c r="M4212">
        <v>0.92950619999999995</v>
      </c>
      <c r="N4212">
        <v>0</v>
      </c>
      <c r="O4212">
        <v>-0.36868630000000002</v>
      </c>
      <c r="P4212">
        <v>0.94787160000000004</v>
      </c>
      <c r="Q4212">
        <v>0.10870109999999999</v>
      </c>
      <c r="R4212">
        <v>-0.29953920000000001</v>
      </c>
      <c r="S4212">
        <v>3.0407410000000001</v>
      </c>
      <c r="T4212">
        <v>-0.32076539999999998</v>
      </c>
      <c r="U4212">
        <v>-0.5173645</v>
      </c>
      <c r="V4212">
        <v>-7.1976559999999995E-2</v>
      </c>
      <c r="W4212">
        <v>0.1174743</v>
      </c>
      <c r="X4212">
        <v>0.99046409999999996</v>
      </c>
      <c r="Y4212">
        <v>-0.20459069999999999</v>
      </c>
      <c r="Z4212">
        <v>4.8198390000000001E-2</v>
      </c>
      <c r="AA4212">
        <v>0.97766019999999998</v>
      </c>
      <c r="AB4212">
        <v>31</v>
      </c>
      <c r="AC4212">
        <v>10.2705</v>
      </c>
      <c r="AD4212">
        <v>-1.112845064716</v>
      </c>
      <c r="AE4212">
        <v>-1.6870499999999899</v>
      </c>
      <c r="AF4212">
        <v>-2.19349146935207</v>
      </c>
      <c r="AG4212">
        <v>-1.112845064716</v>
      </c>
      <c r="AH4212">
        <v>10.0539986913184</v>
      </c>
      <c r="AI4212">
        <v>96.172151295450007</v>
      </c>
      <c r="AJ4212">
        <v>102.307426978873</v>
      </c>
      <c r="AK4212">
        <v>10.3504936427793</v>
      </c>
      <c r="AL4212">
        <v>83.253640335744706</v>
      </c>
      <c r="AM4212">
        <v>94.156351236192805</v>
      </c>
      <c r="AN4212">
        <v>0.99999998486936603</v>
      </c>
    </row>
    <row r="4213" spans="1:40" x14ac:dyDescent="0.25">
      <c r="A4213" t="str">
        <f>"20190312164353615"</f>
        <v>20190312164353615</v>
      </c>
      <c r="B4213" t="str">
        <f>"1552380233609539"</f>
        <v>1552380233609539</v>
      </c>
      <c r="C4213" t="s">
        <v>40</v>
      </c>
      <c r="D4213">
        <v>4.8656169999999896</v>
      </c>
      <c r="E4213">
        <v>0.45232080000000002</v>
      </c>
      <c r="F4213" t="s">
        <v>42</v>
      </c>
      <c r="G4213">
        <v>-391.3347</v>
      </c>
      <c r="H4213" s="1">
        <v>-4.2168970000000004E-6</v>
      </c>
      <c r="I4213">
        <v>18.825379999999999</v>
      </c>
      <c r="J4213">
        <v>-401.59899999999999</v>
      </c>
      <c r="K4213">
        <v>1.1128260000000001</v>
      </c>
      <c r="L4213">
        <v>20.490169999999999</v>
      </c>
      <c r="M4213">
        <v>0.93091420000000002</v>
      </c>
      <c r="N4213">
        <v>0</v>
      </c>
      <c r="O4213">
        <v>-0.36511830000000001</v>
      </c>
      <c r="P4213">
        <v>0.94929889999999995</v>
      </c>
      <c r="Q4213">
        <v>0.1075579</v>
      </c>
      <c r="R4213">
        <v>-0.29540300000000003</v>
      </c>
      <c r="S4213">
        <v>3.040009</v>
      </c>
      <c r="T4213">
        <v>-0.32040920000000001</v>
      </c>
      <c r="U4213">
        <v>-0.51174929999999996</v>
      </c>
      <c r="V4213">
        <v>-7.2532460000000007E-2</v>
      </c>
      <c r="W4213">
        <v>0.1162619</v>
      </c>
      <c r="X4213">
        <v>0.99056659999999996</v>
      </c>
      <c r="Y4213">
        <v>-0.2025853</v>
      </c>
      <c r="Z4213">
        <v>4.771653E-2</v>
      </c>
      <c r="AA4213">
        <v>0.97810140000000001</v>
      </c>
      <c r="AB4213">
        <v>31</v>
      </c>
      <c r="AC4213">
        <v>10.264299999999899</v>
      </c>
      <c r="AD4213">
        <v>-1.1128302168969999</v>
      </c>
      <c r="AE4213">
        <v>-1.66479</v>
      </c>
      <c r="AF4213">
        <v>-2.1731143046465502</v>
      </c>
      <c r="AG4213">
        <v>-1.1128302168969999</v>
      </c>
      <c r="AH4213">
        <v>10.048387026473801</v>
      </c>
      <c r="AI4213">
        <v>96.177913075690498</v>
      </c>
      <c r="AJ4213">
        <v>102.203138341792</v>
      </c>
      <c r="AK4213">
        <v>10.3407397562508</v>
      </c>
      <c r="AL4213">
        <v>83.323585065960998</v>
      </c>
      <c r="AM4213">
        <v>94.187906530893102</v>
      </c>
      <c r="AN4213">
        <v>0.99999998809041002</v>
      </c>
    </row>
    <row r="4214" spans="1:40" x14ac:dyDescent="0.25">
      <c r="A4214" t="str">
        <f>"20190312164353638"</f>
        <v>20190312164353638</v>
      </c>
      <c r="B4214" t="str">
        <f>"1552380233629059"</f>
        <v>1552380233629059</v>
      </c>
      <c r="C4214" t="s">
        <v>40</v>
      </c>
      <c r="D4214">
        <v>4.8825770000000004</v>
      </c>
      <c r="E4214">
        <v>0.43409340000000002</v>
      </c>
      <c r="F4214" t="s">
        <v>42</v>
      </c>
      <c r="G4214">
        <v>-391.11770000000001</v>
      </c>
      <c r="H4214" s="1">
        <v>-4.3289500000000003E-6</v>
      </c>
      <c r="I4214">
        <v>18.772169999999999</v>
      </c>
      <c r="J4214">
        <v>-401.28059999999999</v>
      </c>
      <c r="K4214">
        <v>1.112808</v>
      </c>
      <c r="L4214">
        <v>20.369779999999999</v>
      </c>
      <c r="M4214">
        <v>0.93242519999999995</v>
      </c>
      <c r="N4214">
        <v>0</v>
      </c>
      <c r="O4214">
        <v>-0.3612437</v>
      </c>
      <c r="P4214">
        <v>0.95072909999999999</v>
      </c>
      <c r="Q4214">
        <v>0.10682659999999999</v>
      </c>
      <c r="R4214">
        <v>-0.29103689999999999</v>
      </c>
      <c r="S4214">
        <v>3.041687</v>
      </c>
      <c r="T4214">
        <v>-0.32294319999999999</v>
      </c>
      <c r="U4214">
        <v>-0.4985657</v>
      </c>
      <c r="V4214">
        <v>-7.2988079999999997E-2</v>
      </c>
      <c r="W4214">
        <v>0.1154577</v>
      </c>
      <c r="X4214">
        <v>0.99062720000000004</v>
      </c>
      <c r="Y4214">
        <v>-0.20270009999999999</v>
      </c>
      <c r="Z4214">
        <v>4.7717000000000002E-2</v>
      </c>
      <c r="AA4214">
        <v>0.97807759999999999</v>
      </c>
      <c r="AB4214">
        <v>31</v>
      </c>
      <c r="AC4214">
        <v>10.162899999999899</v>
      </c>
      <c r="AD4214">
        <v>-1.11281232895</v>
      </c>
      <c r="AE4214">
        <v>-1.59760999999999</v>
      </c>
      <c r="AF4214">
        <v>-2.1564936576676401</v>
      </c>
      <c r="AG4214">
        <v>-1.11281232895</v>
      </c>
      <c r="AH4214">
        <v>9.9374305800920801</v>
      </c>
      <c r="AI4214">
        <v>96.2452990900332</v>
      </c>
      <c r="AJ4214">
        <v>102.24375581148701</v>
      </c>
      <c r="AK4214">
        <v>10.2294351119293</v>
      </c>
      <c r="AL4214">
        <v>83.369974786390202</v>
      </c>
      <c r="AM4214">
        <v>94.213861950391305</v>
      </c>
      <c r="AN4214">
        <v>0.99999999484560798</v>
      </c>
    </row>
    <row r="4215" spans="1:40" x14ac:dyDescent="0.25">
      <c r="A4215" t="str">
        <f>"20190312164353651"</f>
        <v>20190312164353651</v>
      </c>
      <c r="B4215" t="str">
        <f>"1552380233638819"</f>
        <v>1552380233638819</v>
      </c>
      <c r="C4215" t="s">
        <v>40</v>
      </c>
      <c r="D4215">
        <v>4.8625020000000001</v>
      </c>
      <c r="E4215">
        <v>0.4318456</v>
      </c>
      <c r="F4215" t="s">
        <v>42</v>
      </c>
      <c r="G4215">
        <v>-390.67160000000001</v>
      </c>
      <c r="H4215" s="1">
        <v>-4.466718E-6</v>
      </c>
      <c r="I4215">
        <v>19.184360000000002</v>
      </c>
      <c r="J4215">
        <v>-401.12209999999999</v>
      </c>
      <c r="K4215">
        <v>1.112806</v>
      </c>
      <c r="L4215">
        <v>20.310490000000001</v>
      </c>
      <c r="M4215">
        <v>0.93317539999999999</v>
      </c>
      <c r="N4215">
        <v>0</v>
      </c>
      <c r="O4215">
        <v>-0.35930240000000002</v>
      </c>
      <c r="P4215">
        <v>0.95144470000000003</v>
      </c>
      <c r="Q4215">
        <v>0.1062713</v>
      </c>
      <c r="R4215">
        <v>-0.28889310000000001</v>
      </c>
      <c r="S4215">
        <v>3.0862729999999998</v>
      </c>
      <c r="T4215">
        <v>-0.3237275</v>
      </c>
      <c r="U4215">
        <v>-0.34484860000000001</v>
      </c>
      <c r="V4215">
        <v>-7.3178309999999996E-2</v>
      </c>
      <c r="W4215">
        <v>0.1148642</v>
      </c>
      <c r="X4215">
        <v>0.99068219999999996</v>
      </c>
      <c r="Y4215">
        <v>-0.25026320000000002</v>
      </c>
      <c r="Z4215">
        <v>4.9686559999999998E-2</v>
      </c>
      <c r="AA4215">
        <v>0.96690200000000004</v>
      </c>
      <c r="AB4215">
        <v>31</v>
      </c>
      <c r="AC4215">
        <v>10.4504999999999</v>
      </c>
      <c r="AD4215">
        <v>-1.1128104667180001</v>
      </c>
      <c r="AE4215">
        <v>-1.1261299999999901</v>
      </c>
      <c r="AF4215">
        <v>-2.67415472985178</v>
      </c>
      <c r="AG4215">
        <v>-1.1128104667180001</v>
      </c>
      <c r="AH4215">
        <v>10.044617873418501</v>
      </c>
      <c r="AI4215">
        <v>96.110680424948598</v>
      </c>
      <c r="AJ4215">
        <v>104.907929271554</v>
      </c>
      <c r="AK4215">
        <v>10.453889174705401</v>
      </c>
      <c r="AL4215">
        <v>83.404207857337298</v>
      </c>
      <c r="AM4215">
        <v>94.2245711909938</v>
      </c>
      <c r="AN4215">
        <v>1.00000003544646</v>
      </c>
    </row>
    <row r="4216" spans="1:40" x14ac:dyDescent="0.25">
      <c r="A4216" t="str">
        <f>"20190312164353671"</f>
        <v>20190312164353671</v>
      </c>
      <c r="B4216" t="str">
        <f>"1552380233659315"</f>
        <v>1552380233659315</v>
      </c>
      <c r="C4216" t="s">
        <v>40</v>
      </c>
      <c r="D4216">
        <v>4.8460830000000001</v>
      </c>
      <c r="E4216">
        <v>0.4301219</v>
      </c>
      <c r="F4216" t="s">
        <v>42</v>
      </c>
      <c r="G4216">
        <v>-390.41820000000001</v>
      </c>
      <c r="H4216" s="1">
        <v>-4.5837870000000003E-6</v>
      </c>
      <c r="I4216">
        <v>19.199580000000001</v>
      </c>
      <c r="J4216">
        <v>-400.86349999999999</v>
      </c>
      <c r="K4216">
        <v>1.1128199999999999</v>
      </c>
      <c r="L4216">
        <v>20.21442</v>
      </c>
      <c r="M4216">
        <v>0.93439760000000005</v>
      </c>
      <c r="N4216">
        <v>0</v>
      </c>
      <c r="O4216">
        <v>-0.35611369999999998</v>
      </c>
      <c r="P4216">
        <v>0.95256260000000004</v>
      </c>
      <c r="Q4216">
        <v>0.1062119</v>
      </c>
      <c r="R4216">
        <v>-0.28520800000000002</v>
      </c>
      <c r="S4216">
        <v>3.091583</v>
      </c>
      <c r="T4216">
        <v>-0.32141130000000001</v>
      </c>
      <c r="U4216">
        <v>-0.32086179999999997</v>
      </c>
      <c r="V4216">
        <v>-7.3637170000000002E-2</v>
      </c>
      <c r="W4216">
        <v>0.1147354</v>
      </c>
      <c r="X4216">
        <v>0.99066310000000002</v>
      </c>
      <c r="Y4216">
        <v>-0.25460050000000001</v>
      </c>
      <c r="Z4216">
        <v>4.9197520000000002E-2</v>
      </c>
      <c r="AA4216">
        <v>0.96579409999999999</v>
      </c>
      <c r="AB4216">
        <v>32</v>
      </c>
      <c r="AC4216">
        <v>10.4452999999999</v>
      </c>
      <c r="AD4216">
        <v>-1.1128245837870001</v>
      </c>
      <c r="AE4216">
        <v>-1.01484</v>
      </c>
      <c r="AF4216">
        <v>-2.7407492733241998</v>
      </c>
      <c r="AG4216">
        <v>-1.1128245837870001</v>
      </c>
      <c r="AH4216">
        <v>10.009339888813001</v>
      </c>
      <c r="AI4216">
        <v>96.120515202780695</v>
      </c>
      <c r="AJ4216">
        <v>105.31333320635299</v>
      </c>
      <c r="AK4216">
        <v>10.437287489730799</v>
      </c>
      <c r="AL4216">
        <v>83.411636507907005</v>
      </c>
      <c r="AM4216">
        <v>94.251045953696604</v>
      </c>
      <c r="AN4216">
        <v>1.0000000112601799</v>
      </c>
    </row>
    <row r="4217" spans="1:40" x14ac:dyDescent="0.25">
      <c r="A4217" t="str">
        <f>"20190312164353685"</f>
        <v>20190312164353685</v>
      </c>
      <c r="B4217" t="str">
        <f>"1552380233678835"</f>
        <v>1552380233678835</v>
      </c>
      <c r="C4217" t="s">
        <v>40</v>
      </c>
      <c r="D4217">
        <v>4.857183</v>
      </c>
      <c r="E4217">
        <v>0.4296817</v>
      </c>
      <c r="F4217" t="s">
        <v>51</v>
      </c>
      <c r="G4217">
        <v>-389.96370000000002</v>
      </c>
      <c r="H4217" s="1">
        <v>-1.322566E-7</v>
      </c>
      <c r="I4217">
        <v>19.173349999999999</v>
      </c>
      <c r="J4217">
        <v>-400.66309999999999</v>
      </c>
      <c r="K4217">
        <v>1.112835</v>
      </c>
      <c r="L4217">
        <v>20.140689999999999</v>
      </c>
      <c r="M4217">
        <v>0.93534450000000002</v>
      </c>
      <c r="N4217">
        <v>0</v>
      </c>
      <c r="O4217">
        <v>-0.35362009999999899</v>
      </c>
      <c r="P4217">
        <v>0.95329969999999997</v>
      </c>
      <c r="Q4217">
        <v>0.1063315</v>
      </c>
      <c r="R4217">
        <v>-0.28268939999999998</v>
      </c>
      <c r="S4217">
        <v>3.0960999999999999</v>
      </c>
      <c r="T4217">
        <v>-0.31609730000000003</v>
      </c>
      <c r="U4217">
        <v>-0.29571530000000001</v>
      </c>
      <c r="V4217">
        <v>-7.3615330000000007E-2</v>
      </c>
      <c r="W4217">
        <v>0.11480219999999999</v>
      </c>
      <c r="X4217">
        <v>0.99065700000000001</v>
      </c>
      <c r="Y4217">
        <v>-0.26002310000000001</v>
      </c>
      <c r="Z4217">
        <v>4.838833E-2</v>
      </c>
      <c r="AA4217">
        <v>0.96438919999999995</v>
      </c>
      <c r="AB4217">
        <v>32</v>
      </c>
      <c r="AC4217">
        <v>10.699399999999899</v>
      </c>
      <c r="AD4217">
        <v>-1.1128351322565999</v>
      </c>
      <c r="AE4217">
        <v>-0.96733999999999998</v>
      </c>
      <c r="AF4217">
        <v>-2.8482843088064</v>
      </c>
      <c r="AG4217">
        <v>-1.1128351322565999</v>
      </c>
      <c r="AH4217">
        <v>10.240248118715501</v>
      </c>
      <c r="AI4217">
        <v>95.976984454170093</v>
      </c>
      <c r="AJ4217">
        <v>105.543696754967</v>
      </c>
      <c r="AK4217">
        <v>10.687085995173501</v>
      </c>
      <c r="AL4217">
        <v>83.407783794198707</v>
      </c>
      <c r="AM4217">
        <v>94.249815831031498</v>
      </c>
      <c r="AN4217">
        <v>1.0000000267924201</v>
      </c>
    </row>
    <row r="4218" spans="1:40" x14ac:dyDescent="0.25">
      <c r="A4218" t="str">
        <f>"20190312164353704"</f>
        <v>20190312164353704</v>
      </c>
      <c r="B4218" t="str">
        <f>"1552380233699332"</f>
        <v>1552380233699332</v>
      </c>
      <c r="C4218" t="s">
        <v>40</v>
      </c>
      <c r="D4218">
        <v>4.9125480000000001</v>
      </c>
      <c r="E4218">
        <v>0.4298013</v>
      </c>
      <c r="F4218" t="s">
        <v>51</v>
      </c>
      <c r="G4218">
        <v>-389.5908</v>
      </c>
      <c r="H4218" s="1">
        <v>-2.8826659999999997E-7</v>
      </c>
      <c r="I4218">
        <v>19.12518</v>
      </c>
      <c r="J4218">
        <v>-400.42959999999999</v>
      </c>
      <c r="K4218">
        <v>1.112862</v>
      </c>
      <c r="L4218">
        <v>20.055540000000001</v>
      </c>
      <c r="M4218">
        <v>0.93645</v>
      </c>
      <c r="N4218">
        <v>0</v>
      </c>
      <c r="O4218">
        <v>-0.35068369999999999</v>
      </c>
      <c r="P4218">
        <v>0.95416060000000003</v>
      </c>
      <c r="Q4218">
        <v>0.10618130000000001</v>
      </c>
      <c r="R4218">
        <v>-0.2798272</v>
      </c>
      <c r="S4218">
        <v>3.0974729999999999</v>
      </c>
      <c r="T4218">
        <v>-0.31131490000000001</v>
      </c>
      <c r="U4218">
        <v>-0.28408810000000001</v>
      </c>
      <c r="V4218">
        <v>-7.3494290000000004E-2</v>
      </c>
      <c r="W4218">
        <v>0.11459419999999999</v>
      </c>
      <c r="X4218">
        <v>0.99069010000000002</v>
      </c>
      <c r="Y4218">
        <v>-0.2607273</v>
      </c>
      <c r="Z4218">
        <v>4.7412080000000002E-2</v>
      </c>
      <c r="AA4218">
        <v>0.96424759999999998</v>
      </c>
      <c r="AB4218">
        <v>32</v>
      </c>
      <c r="AC4218">
        <v>10.8387999999999</v>
      </c>
      <c r="AD4218">
        <v>-1.1128622882665999</v>
      </c>
      <c r="AE4218">
        <v>-0.93035999999999996</v>
      </c>
      <c r="AF4218">
        <v>-2.8995323645314102</v>
      </c>
      <c r="AG4218">
        <v>-1.1128622882665999</v>
      </c>
      <c r="AH4218">
        <v>10.368186326684601</v>
      </c>
      <c r="AI4218">
        <v>95.901607506853694</v>
      </c>
      <c r="AJ4218">
        <v>105.624003085456</v>
      </c>
      <c r="AK4218">
        <v>10.823356138946</v>
      </c>
      <c r="AL4218">
        <v>83.419780694473005</v>
      </c>
      <c r="AM4218">
        <v>94.242712484757106</v>
      </c>
      <c r="AN4218">
        <v>1.00000005778712</v>
      </c>
    </row>
    <row r="4219" spans="1:40" x14ac:dyDescent="0.25">
      <c r="A4219" t="str">
        <f>"20190312164353715"</f>
        <v>20190312164353715</v>
      </c>
      <c r="B4219" t="str">
        <f>"1552380233709092"</f>
        <v>1552380233709092</v>
      </c>
      <c r="C4219" t="s">
        <v>40</v>
      </c>
      <c r="D4219">
        <v>4.83209</v>
      </c>
      <c r="E4219">
        <v>0.43022709999999997</v>
      </c>
      <c r="F4219" t="s">
        <v>51</v>
      </c>
      <c r="G4219">
        <v>-389.48820000000001</v>
      </c>
      <c r="H4219" s="1">
        <v>-3.3879420000000002E-7</v>
      </c>
      <c r="I4219">
        <v>19.083290000000002</v>
      </c>
      <c r="J4219">
        <v>-400.25779999999997</v>
      </c>
      <c r="K4219">
        <v>1.1128910000000001</v>
      </c>
      <c r="L4219">
        <v>19.993500000000001</v>
      </c>
      <c r="M4219">
        <v>0.93726830000000005</v>
      </c>
      <c r="N4219">
        <v>0</v>
      </c>
      <c r="O4219">
        <v>-0.34849190000000002</v>
      </c>
      <c r="P4219">
        <v>0.95491680000000001</v>
      </c>
      <c r="Q4219">
        <v>0.1058201</v>
      </c>
      <c r="R4219">
        <v>-0.2773735</v>
      </c>
      <c r="S4219">
        <v>3.0984799999999999</v>
      </c>
      <c r="T4219">
        <v>-0.31514940000000002</v>
      </c>
      <c r="U4219">
        <v>-0.27532960000000001</v>
      </c>
      <c r="V4219">
        <v>-7.3744329999999997E-2</v>
      </c>
      <c r="W4219">
        <v>0.11418970000000001</v>
      </c>
      <c r="X4219">
        <v>0.99071819999999999</v>
      </c>
      <c r="Y4219">
        <v>-0.26113750000000002</v>
      </c>
      <c r="Z4219">
        <v>4.779986E-2</v>
      </c>
      <c r="AA4219">
        <v>0.96411740000000001</v>
      </c>
      <c r="AB4219">
        <v>32</v>
      </c>
      <c r="AC4219">
        <v>10.769599999999899</v>
      </c>
      <c r="AD4219">
        <v>-1.1128913387941901</v>
      </c>
      <c r="AE4219">
        <v>-0.91021000000000196</v>
      </c>
      <c r="AF4219">
        <v>-2.8696991411507802</v>
      </c>
      <c r="AG4219">
        <v>-1.1128913387941901</v>
      </c>
      <c r="AH4219">
        <v>10.3023970232447</v>
      </c>
      <c r="AI4219">
        <v>95.940874453822303</v>
      </c>
      <c r="AJ4219">
        <v>105.565005319009</v>
      </c>
      <c r="AK4219">
        <v>10.7523525201346</v>
      </c>
      <c r="AL4219">
        <v>83.443109812057102</v>
      </c>
      <c r="AM4219">
        <v>94.256973632957298</v>
      </c>
      <c r="AN4219">
        <v>1.00000003280223</v>
      </c>
    </row>
    <row r="4220" spans="1:40" x14ac:dyDescent="0.25">
      <c r="A4220" t="str">
        <f>"20190312164353728"</f>
        <v>20190312164353728</v>
      </c>
      <c r="B4220" t="str">
        <f>"1552380233718851"</f>
        <v>1552380233718851</v>
      </c>
      <c r="C4220" t="s">
        <v>40</v>
      </c>
      <c r="D4220">
        <v>4.8323549999999997</v>
      </c>
      <c r="E4220">
        <v>0.430641</v>
      </c>
      <c r="F4220" t="s">
        <v>51</v>
      </c>
      <c r="G4220">
        <v>-389.34429999999998</v>
      </c>
      <c r="H4220" s="1">
        <v>-4.1264989999999999E-7</v>
      </c>
      <c r="I4220">
        <v>19.039719999999999</v>
      </c>
      <c r="J4220">
        <v>-400.09820000000002</v>
      </c>
      <c r="K4220">
        <v>1.112922</v>
      </c>
      <c r="L4220">
        <v>19.936340000000001</v>
      </c>
      <c r="M4220">
        <v>0.93803150000000002</v>
      </c>
      <c r="N4220">
        <v>0</v>
      </c>
      <c r="O4220">
        <v>-0.34643269999999998</v>
      </c>
      <c r="P4220">
        <v>0.9556074</v>
      </c>
      <c r="Q4220">
        <v>0.1051516</v>
      </c>
      <c r="R4220">
        <v>-0.27524080000000001</v>
      </c>
      <c r="S4220">
        <v>3.0980219999999998</v>
      </c>
      <c r="T4220">
        <v>-0.31591979999999997</v>
      </c>
      <c r="U4220">
        <v>-0.27075199999999999</v>
      </c>
      <c r="V4220">
        <v>-7.3810349999999997E-2</v>
      </c>
      <c r="W4220">
        <v>0.113481399999999</v>
      </c>
      <c r="X4220">
        <v>0.99079459999999997</v>
      </c>
      <c r="Y4220">
        <v>-0.26041700000000001</v>
      </c>
      <c r="Z4220">
        <v>4.769487E-2</v>
      </c>
      <c r="AA4220">
        <v>0.96431750000000005</v>
      </c>
      <c r="AB4220">
        <v>32</v>
      </c>
      <c r="AC4220">
        <v>10.7539</v>
      </c>
      <c r="AD4220">
        <v>-1.11292241264989</v>
      </c>
      <c r="AE4220">
        <v>-0.89661999999999498</v>
      </c>
      <c r="AF4220">
        <v>-2.8542039805511301</v>
      </c>
      <c r="AG4220">
        <v>-1.11292241264989</v>
      </c>
      <c r="AH4220">
        <v>10.2891004789309</v>
      </c>
      <c r="AI4220">
        <v>95.950408428323399</v>
      </c>
      <c r="AJ4220">
        <v>105.50405329413699</v>
      </c>
      <c r="AK4220">
        <v>10.7354862640082</v>
      </c>
      <c r="AL4220">
        <v>83.483957514788003</v>
      </c>
      <c r="AM4220">
        <v>94.260443344931303</v>
      </c>
      <c r="AN4220">
        <v>0.99999996765111998</v>
      </c>
    </row>
    <row r="4221" spans="1:40" x14ac:dyDescent="0.25">
      <c r="A4221" t="str">
        <f>"20190312164353744"</f>
        <v>20190312164353744</v>
      </c>
      <c r="B4221" t="str">
        <f>"1552380233739348"</f>
        <v>1552380233739348</v>
      </c>
      <c r="C4221" t="s">
        <v>40</v>
      </c>
      <c r="D4221">
        <v>4.8170669999999998</v>
      </c>
      <c r="E4221">
        <v>0.43099850000000001</v>
      </c>
      <c r="F4221" t="s">
        <v>51</v>
      </c>
      <c r="G4221">
        <v>-389.19420000000002</v>
      </c>
      <c r="H4221" s="1">
        <v>-4.9148149999999999E-7</v>
      </c>
      <c r="I4221">
        <v>18.995370000000001</v>
      </c>
      <c r="J4221">
        <v>-399.88600000000002</v>
      </c>
      <c r="K4221">
        <v>1.1129709999999999</v>
      </c>
      <c r="L4221">
        <v>19.860779999999998</v>
      </c>
      <c r="M4221">
        <v>0.93905159999999999</v>
      </c>
      <c r="N4221">
        <v>0</v>
      </c>
      <c r="O4221">
        <v>-0.34365980000000002</v>
      </c>
      <c r="P4221">
        <v>0.9566057</v>
      </c>
      <c r="Q4221">
        <v>0.1044257</v>
      </c>
      <c r="R4221">
        <v>-0.27203159999999998</v>
      </c>
      <c r="S4221">
        <v>3.0971679999999999</v>
      </c>
      <c r="T4221">
        <v>-0.31611430000000001</v>
      </c>
      <c r="U4221">
        <v>-0.26727289999999998</v>
      </c>
      <c r="V4221">
        <v>-7.4245510000000001E-2</v>
      </c>
      <c r="W4221">
        <v>0.1126993</v>
      </c>
      <c r="X4221">
        <v>0.99085140000000005</v>
      </c>
      <c r="Y4221">
        <v>-0.25863399999999998</v>
      </c>
      <c r="Z4221">
        <v>4.7384750000000003E-2</v>
      </c>
      <c r="AA4221">
        <v>0.96481249999999996</v>
      </c>
      <c r="AB4221">
        <v>32</v>
      </c>
      <c r="AC4221">
        <v>10.691799999999899</v>
      </c>
      <c r="AD4221">
        <v>-1.1129714914815001</v>
      </c>
      <c r="AE4221">
        <v>-0.86540999999999701</v>
      </c>
      <c r="AF4221">
        <v>-2.8313115094166901</v>
      </c>
      <c r="AG4221">
        <v>-1.1129714914815001</v>
      </c>
      <c r="AH4221">
        <v>10.2278651077539</v>
      </c>
      <c r="AI4221">
        <v>95.986921463436502</v>
      </c>
      <c r="AJ4221">
        <v>105.47332912802599</v>
      </c>
      <c r="AK4221">
        <v>10.670719519630101</v>
      </c>
      <c r="AL4221">
        <v>83.529058169593299</v>
      </c>
      <c r="AM4221">
        <v>94.285223378819396</v>
      </c>
      <c r="AN4221">
        <v>1.0000000124288</v>
      </c>
    </row>
    <row r="4222" spans="1:40" x14ac:dyDescent="0.25">
      <c r="A4222" t="str">
        <f>"20190312164353758"</f>
        <v>20190312164353758</v>
      </c>
      <c r="B4222" t="str">
        <f>"1552380233749107"</f>
        <v>1552380233749107</v>
      </c>
      <c r="C4222" t="s">
        <v>40</v>
      </c>
      <c r="D4222">
        <v>4.8516919999999999</v>
      </c>
      <c r="E4222">
        <v>0.4313284</v>
      </c>
      <c r="F4222" t="s">
        <v>51</v>
      </c>
      <c r="G4222">
        <v>-389.01830000000001</v>
      </c>
      <c r="H4222" s="1">
        <v>-5.8272539999999997E-7</v>
      </c>
      <c r="I4222">
        <v>18.949750000000002</v>
      </c>
      <c r="J4222">
        <v>-399.68450000000001</v>
      </c>
      <c r="K4222">
        <v>1.11302099999999</v>
      </c>
      <c r="L4222">
        <v>19.78979</v>
      </c>
      <c r="M4222">
        <v>0.94002989999999997</v>
      </c>
      <c r="N4222">
        <v>0</v>
      </c>
      <c r="O4222">
        <v>-0.34097549999999999</v>
      </c>
      <c r="P4222">
        <v>0.95747090000000001</v>
      </c>
      <c r="Q4222">
        <v>0.1035645</v>
      </c>
      <c r="R4222">
        <v>-0.26930330000000002</v>
      </c>
      <c r="S4222">
        <v>3.096924</v>
      </c>
      <c r="T4222">
        <v>-0.31715870000000002</v>
      </c>
      <c r="U4222">
        <v>-0.25961299999999998</v>
      </c>
      <c r="V4222">
        <v>-7.4280600000000002E-2</v>
      </c>
      <c r="W4222">
        <v>0.111789</v>
      </c>
      <c r="X4222">
        <v>0.9909519</v>
      </c>
      <c r="Y4222">
        <v>-0.25823190000000001</v>
      </c>
      <c r="Z4222">
        <v>4.7273830000000003E-2</v>
      </c>
      <c r="AA4222">
        <v>0.96492560000000005</v>
      </c>
      <c r="AB4222">
        <v>32</v>
      </c>
      <c r="AC4222">
        <v>10.6662</v>
      </c>
      <c r="AD4222">
        <v>-1.11302158272539</v>
      </c>
      <c r="AE4222">
        <v>-0.84003999999999801</v>
      </c>
      <c r="AF4222">
        <v>-2.8168794407569302</v>
      </c>
      <c r="AG4222">
        <v>-1.11302158272539</v>
      </c>
      <c r="AH4222">
        <v>10.2029746711365</v>
      </c>
      <c r="AI4222">
        <v>96.002819538772499</v>
      </c>
      <c r="AJ4222">
        <v>105.433984334594</v>
      </c>
      <c r="AK4222">
        <v>10.6430408703163</v>
      </c>
      <c r="AL4222">
        <v>83.581546309687099</v>
      </c>
      <c r="AM4222">
        <v>94.286807935673494</v>
      </c>
      <c r="AN4222">
        <v>1.0000000280854799</v>
      </c>
    </row>
    <row r="4223" spans="1:40" x14ac:dyDescent="0.25">
      <c r="A4223" t="str">
        <f>"20190312164353772"</f>
        <v>20190312164353772</v>
      </c>
      <c r="B4223" t="str">
        <f>"1552380233769604"</f>
        <v>1552380233769604</v>
      </c>
      <c r="C4223" t="s">
        <v>40</v>
      </c>
      <c r="D4223">
        <v>5.024038</v>
      </c>
      <c r="E4223">
        <v>0.43178119999999998</v>
      </c>
      <c r="F4223" t="s">
        <v>51</v>
      </c>
      <c r="G4223">
        <v>-388.8904</v>
      </c>
      <c r="H4223" s="1">
        <v>-6.5048209999999897E-7</v>
      </c>
      <c r="I4223">
        <v>18.90859</v>
      </c>
      <c r="J4223">
        <v>-399.517</v>
      </c>
      <c r="K4223">
        <v>1.113073</v>
      </c>
      <c r="L4223">
        <v>19.731449999999999</v>
      </c>
      <c r="M4223">
        <v>0.94085350000000001</v>
      </c>
      <c r="N4223">
        <v>0</v>
      </c>
      <c r="O4223">
        <v>-0.33869660000000001</v>
      </c>
      <c r="P4223">
        <v>0.95818669999999995</v>
      </c>
      <c r="Q4223">
        <v>0.10293330000000001</v>
      </c>
      <c r="R4223">
        <v>-0.26698860000000002</v>
      </c>
      <c r="S4223">
        <v>3.0967099999999999</v>
      </c>
      <c r="T4223">
        <v>-0.31931389999999998</v>
      </c>
      <c r="U4223">
        <v>-0.25280760000000002</v>
      </c>
      <c r="V4223">
        <v>-7.4306059999999993E-2</v>
      </c>
      <c r="W4223">
        <v>0.11111989999999899</v>
      </c>
      <c r="X4223">
        <v>0.99102520000000005</v>
      </c>
      <c r="Y4223">
        <v>-0.25796289999999999</v>
      </c>
      <c r="Z4223">
        <v>4.7369139999999997E-2</v>
      </c>
      <c r="AA4223">
        <v>0.96499290000000004</v>
      </c>
      <c r="AB4223">
        <v>32</v>
      </c>
      <c r="AC4223">
        <v>10.6265999999999</v>
      </c>
      <c r="AD4223">
        <v>-1.1130736504820999</v>
      </c>
      <c r="AE4223">
        <v>-0.82285999999999804</v>
      </c>
      <c r="AF4223">
        <v>-2.7946364815762301</v>
      </c>
      <c r="AG4223">
        <v>-1.1130736504820999</v>
      </c>
      <c r="AH4223">
        <v>10.166308122233501</v>
      </c>
      <c r="AI4223">
        <v>96.026416373922203</v>
      </c>
      <c r="AJ4223">
        <v>105.370496683985</v>
      </c>
      <c r="AK4223">
        <v>10.602016169189</v>
      </c>
      <c r="AL4223">
        <v>83.620122990699699</v>
      </c>
      <c r="AM4223">
        <v>94.287955783868995</v>
      </c>
      <c r="AN4223">
        <v>0.99999998488188602</v>
      </c>
    </row>
    <row r="4224" spans="1:40" x14ac:dyDescent="0.25">
      <c r="A4224" t="str">
        <f>"20190312164353794"</f>
        <v>20190312164353794</v>
      </c>
      <c r="B4224" t="str">
        <f>"1552380233789124"</f>
        <v>1552380233789124</v>
      </c>
      <c r="C4224" t="s">
        <v>40</v>
      </c>
      <c r="D4224">
        <v>4.8607659999999999</v>
      </c>
      <c r="E4224">
        <v>0.43252350000000001</v>
      </c>
      <c r="F4224" t="s">
        <v>51</v>
      </c>
      <c r="G4224">
        <v>-388.81790000000001</v>
      </c>
      <c r="H4224" s="1">
        <v>-6.9088199999999995E-7</v>
      </c>
      <c r="I4224">
        <v>18.874140000000001</v>
      </c>
      <c r="J4224">
        <v>-399.22410000000002</v>
      </c>
      <c r="K4224">
        <v>1.1131740000000001</v>
      </c>
      <c r="L4224">
        <v>19.630400000000002</v>
      </c>
      <c r="M4224">
        <v>0.9423068</v>
      </c>
      <c r="N4224">
        <v>0</v>
      </c>
      <c r="O4224">
        <v>-0.33463359999999998</v>
      </c>
      <c r="P4224">
        <v>0.95931940000000004</v>
      </c>
      <c r="Q4224">
        <v>0.1027107</v>
      </c>
      <c r="R4224">
        <v>-0.26297700000000002</v>
      </c>
      <c r="S4224">
        <v>3.0963750000000001</v>
      </c>
      <c r="T4224">
        <v>-0.32212940000000001</v>
      </c>
      <c r="U4224">
        <v>-0.24810789999999999</v>
      </c>
      <c r="V4224">
        <v>-7.4210139999999994E-2</v>
      </c>
      <c r="W4224">
        <v>0.11083419999999999</v>
      </c>
      <c r="X4224">
        <v>0.99106439999999996</v>
      </c>
      <c r="Y4224">
        <v>-0.25522129999999998</v>
      </c>
      <c r="Z4224">
        <v>4.7254480000000001E-2</v>
      </c>
      <c r="AA4224">
        <v>0.96572729999999996</v>
      </c>
      <c r="AB4224">
        <v>32</v>
      </c>
      <c r="AC4224">
        <v>10.4062</v>
      </c>
      <c r="AD4224">
        <v>-1.1131746908819999</v>
      </c>
      <c r="AE4224">
        <v>-0.75626000000000104</v>
      </c>
      <c r="AF4224">
        <v>-2.7385705969198599</v>
      </c>
      <c r="AG4224">
        <v>-1.1131746908819999</v>
      </c>
      <c r="AH4224">
        <v>9.9460809116968605</v>
      </c>
      <c r="AI4224">
        <v>96.158691251227296</v>
      </c>
      <c r="AJ4224">
        <v>105.39444990945201</v>
      </c>
      <c r="AK4224">
        <v>10.3761000529464</v>
      </c>
      <c r="AL4224">
        <v>83.636594265638394</v>
      </c>
      <c r="AM4224">
        <v>94.282272409407994</v>
      </c>
      <c r="AN4224">
        <v>1.0000000048579001</v>
      </c>
    </row>
    <row r="4225" spans="1:40" x14ac:dyDescent="0.25">
      <c r="A4225" t="str">
        <f>"20190312164353819"</f>
        <v>20190312164353819</v>
      </c>
      <c r="B4225" t="str">
        <f>"1552380233809620"</f>
        <v>1552380233809620</v>
      </c>
      <c r="C4225" t="s">
        <v>40</v>
      </c>
      <c r="D4225">
        <v>4.8720330000000001</v>
      </c>
      <c r="E4225">
        <v>0.43338100000000002</v>
      </c>
      <c r="F4225" t="s">
        <v>51</v>
      </c>
      <c r="G4225">
        <v>-388.43110000000001</v>
      </c>
      <c r="H4225" s="1">
        <v>-8.880854E-7</v>
      </c>
      <c r="I4225">
        <v>18.793220000000002</v>
      </c>
      <c r="J4225">
        <v>-398.87650000000002</v>
      </c>
      <c r="K4225">
        <v>1.113299</v>
      </c>
      <c r="L4225">
        <v>19.512360000000001</v>
      </c>
      <c r="M4225">
        <v>0.9440598</v>
      </c>
      <c r="N4225">
        <v>0</v>
      </c>
      <c r="O4225">
        <v>-0.32965660000000002</v>
      </c>
      <c r="P4225">
        <v>0.96066200000000002</v>
      </c>
      <c r="Q4225">
        <v>0.1027153</v>
      </c>
      <c r="R4225">
        <v>-0.25802809999999998</v>
      </c>
      <c r="S4225">
        <v>3.0955810000000001</v>
      </c>
      <c r="T4225">
        <v>-0.319272</v>
      </c>
      <c r="U4225">
        <v>-0.2401123</v>
      </c>
      <c r="V4225">
        <v>-7.4125620000000003E-2</v>
      </c>
      <c r="W4225">
        <v>0.1107693</v>
      </c>
      <c r="X4225">
        <v>0.99107800000000001</v>
      </c>
      <c r="Y4225">
        <v>-0.25267030000000001</v>
      </c>
      <c r="Z4225">
        <v>4.6242129999999999E-2</v>
      </c>
      <c r="AA4225">
        <v>0.96644680000000005</v>
      </c>
      <c r="AB4225">
        <v>32</v>
      </c>
      <c r="AC4225">
        <v>10.445399999999999</v>
      </c>
      <c r="AD4225">
        <v>-1.1132998880853999</v>
      </c>
      <c r="AE4225">
        <v>-0.719139999999999</v>
      </c>
      <c r="AF4225">
        <v>-2.73368333787427</v>
      </c>
      <c r="AG4225">
        <v>-1.1132998880853999</v>
      </c>
      <c r="AH4225">
        <v>9.9856427449067002</v>
      </c>
      <c r="AI4225">
        <v>96.137619292548294</v>
      </c>
      <c r="AJ4225">
        <v>105.31025227283899</v>
      </c>
      <c r="AK4225">
        <v>10.412757668432</v>
      </c>
      <c r="AL4225">
        <v>83.640335920575197</v>
      </c>
      <c r="AM4225">
        <v>94.277354842820401</v>
      </c>
      <c r="AN4225">
        <v>1.0000000237234301</v>
      </c>
    </row>
    <row r="4226" spans="1:40" x14ac:dyDescent="0.25">
      <c r="A4226" t="str">
        <f>"20190312164353838"</f>
        <v>20190312164353838</v>
      </c>
      <c r="B4226" t="str">
        <f>"1552380233829139"</f>
        <v>1552380233829139</v>
      </c>
      <c r="C4226" t="s">
        <v>40</v>
      </c>
      <c r="D4226">
        <v>4.8956860000000004</v>
      </c>
      <c r="E4226">
        <v>0.43409569999999997</v>
      </c>
      <c r="F4226" t="s">
        <v>51</v>
      </c>
      <c r="G4226">
        <v>-387.96539999999999</v>
      </c>
      <c r="H4226" s="1">
        <v>-1.1249349999999999E-6</v>
      </c>
      <c r="I4226">
        <v>18.698910000000001</v>
      </c>
      <c r="J4226">
        <v>-398.61680000000001</v>
      </c>
      <c r="K4226">
        <v>1.113402</v>
      </c>
      <c r="L4226">
        <v>19.425719999999998</v>
      </c>
      <c r="M4226">
        <v>0.94539309999999999</v>
      </c>
      <c r="N4226">
        <v>0</v>
      </c>
      <c r="O4226">
        <v>-0.3258143</v>
      </c>
      <c r="P4226">
        <v>0.96166649999999998</v>
      </c>
      <c r="Q4226">
        <v>0.10283730000000001</v>
      </c>
      <c r="R4226">
        <v>-0.25420920000000002</v>
      </c>
      <c r="S4226">
        <v>3.0946349999999998</v>
      </c>
      <c r="T4226">
        <v>-0.31575819999999999</v>
      </c>
      <c r="U4226">
        <v>-0.2307129</v>
      </c>
      <c r="V4226">
        <v>-7.4057460000000006E-2</v>
      </c>
      <c r="W4226">
        <v>0.1108398</v>
      </c>
      <c r="X4226">
        <v>0.99107520000000005</v>
      </c>
      <c r="Y4226">
        <v>-0.25171909999999997</v>
      </c>
      <c r="Z4226">
        <v>4.5339850000000001E-2</v>
      </c>
      <c r="AA4226">
        <v>0.96673770000000003</v>
      </c>
      <c r="AB4226">
        <v>32</v>
      </c>
      <c r="AC4226">
        <v>10.651400000000001</v>
      </c>
      <c r="AD4226">
        <v>-1.113403124935</v>
      </c>
      <c r="AE4226">
        <v>-0.72680999999999996</v>
      </c>
      <c r="AF4226">
        <v>-2.7534178325171301</v>
      </c>
      <c r="AG4226">
        <v>-1.113403124935</v>
      </c>
      <c r="AH4226">
        <v>10.1960679449703</v>
      </c>
      <c r="AI4226">
        <v>96.018057965441599</v>
      </c>
      <c r="AJ4226">
        <v>105.112086446085</v>
      </c>
      <c r="AK4226">
        <v>10.619829462730999</v>
      </c>
      <c r="AL4226">
        <v>83.636271455190496</v>
      </c>
      <c r="AM4226">
        <v>94.273448334629904</v>
      </c>
      <c r="AN4226">
        <v>1.0000000103503599</v>
      </c>
    </row>
    <row r="4227" spans="1:40" x14ac:dyDescent="0.25">
      <c r="A4227" t="str">
        <f>"20190312164353851"</f>
        <v>20190312164353851</v>
      </c>
      <c r="B4227" t="str">
        <f>"1552380233838899"</f>
        <v>1552380233838899</v>
      </c>
      <c r="C4227" t="s">
        <v>40</v>
      </c>
      <c r="D4227">
        <v>4.8636249999999999</v>
      </c>
      <c r="E4227">
        <v>0.43446560000000001</v>
      </c>
      <c r="F4227" t="s">
        <v>51</v>
      </c>
      <c r="G4227">
        <v>-387.64260000000002</v>
      </c>
      <c r="H4227" s="1">
        <v>-1.2895549999999999E-6</v>
      </c>
      <c r="I4227">
        <v>18.63109</v>
      </c>
      <c r="J4227">
        <v>-398.44110000000001</v>
      </c>
      <c r="K4227">
        <v>1.1134770000000001</v>
      </c>
      <c r="L4227">
        <v>19.367920000000002</v>
      </c>
      <c r="M4227">
        <v>0.94630809999999999</v>
      </c>
      <c r="N4227">
        <v>0</v>
      </c>
      <c r="O4227">
        <v>-0.32314789999999999</v>
      </c>
      <c r="P4227">
        <v>0.96223809999999999</v>
      </c>
      <c r="Q4227">
        <v>0.1031594</v>
      </c>
      <c r="R4227">
        <v>-0.25190499999999999</v>
      </c>
      <c r="S4227">
        <v>3.0939329999999998</v>
      </c>
      <c r="T4227">
        <v>-0.31390079999999998</v>
      </c>
      <c r="U4227">
        <v>-0.22402949999999999</v>
      </c>
      <c r="V4227">
        <v>-7.3649560000000003E-2</v>
      </c>
      <c r="W4227">
        <v>0.1111322</v>
      </c>
      <c r="X4227">
        <v>0.99107279999999998</v>
      </c>
      <c r="Y4227">
        <v>-0.25110110000000002</v>
      </c>
      <c r="Z4227">
        <v>4.4803530000000001E-2</v>
      </c>
      <c r="AA4227">
        <v>0.96692339999999999</v>
      </c>
      <c r="AB4227">
        <v>32</v>
      </c>
      <c r="AC4227">
        <v>10.798499999999899</v>
      </c>
      <c r="AD4227">
        <v>-1.1134782895549999</v>
      </c>
      <c r="AE4227">
        <v>-0.73683000000000098</v>
      </c>
      <c r="AF4227">
        <v>-2.7631084085912399</v>
      </c>
      <c r="AG4227">
        <v>-1.1134782895549999</v>
      </c>
      <c r="AH4227">
        <v>10.3477002778453</v>
      </c>
      <c r="AI4227">
        <v>95.935358682977494</v>
      </c>
      <c r="AJ4227">
        <v>104.95065442745501</v>
      </c>
      <c r="AK4227">
        <v>10.7679850955998</v>
      </c>
      <c r="AL4227">
        <v>83.619413696136505</v>
      </c>
      <c r="AM4227">
        <v>94.250007406136504</v>
      </c>
      <c r="AN4227">
        <v>0.99999995923243601</v>
      </c>
    </row>
    <row r="4228" spans="1:40" x14ac:dyDescent="0.25">
      <c r="A4228" t="str">
        <f>"20190312164353871"</f>
        <v>20190312164353871</v>
      </c>
      <c r="B4228" t="str">
        <f>"1552380233859399"</f>
        <v>1552380233859399</v>
      </c>
      <c r="C4228" t="s">
        <v>40</v>
      </c>
      <c r="D4228">
        <v>4.8706069999999997</v>
      </c>
      <c r="E4228">
        <v>0.4421195</v>
      </c>
      <c r="F4228" t="s">
        <v>51</v>
      </c>
      <c r="G4228">
        <v>-387.38010000000003</v>
      </c>
      <c r="H4228" s="1">
        <v>-1.422005E-6</v>
      </c>
      <c r="I4228">
        <v>18.583970000000001</v>
      </c>
      <c r="J4228">
        <v>-398.17849999999999</v>
      </c>
      <c r="K4228">
        <v>1.113583</v>
      </c>
      <c r="L4228">
        <v>19.282499999999999</v>
      </c>
      <c r="M4228">
        <v>0.94768569999999996</v>
      </c>
      <c r="N4228">
        <v>0</v>
      </c>
      <c r="O4228">
        <v>-0.31908570000000003</v>
      </c>
      <c r="P4228">
        <v>0.96313669999999996</v>
      </c>
      <c r="Q4228">
        <v>0.1035393</v>
      </c>
      <c r="R4228">
        <v>-0.24828900000000001</v>
      </c>
      <c r="S4228">
        <v>3.0937190000000001</v>
      </c>
      <c r="T4228">
        <v>-0.3114363</v>
      </c>
      <c r="U4228">
        <v>-0.21926880000000001</v>
      </c>
      <c r="V4228">
        <v>-7.3141590000000006E-2</v>
      </c>
      <c r="W4228">
        <v>0.1114682</v>
      </c>
      <c r="X4228">
        <v>0.99107270000000003</v>
      </c>
      <c r="Y4228">
        <v>-0.248502</v>
      </c>
      <c r="Z4228">
        <v>4.3942809999999999E-2</v>
      </c>
      <c r="AA4228">
        <v>0.96763410000000005</v>
      </c>
      <c r="AB4228">
        <v>32</v>
      </c>
      <c r="AC4228">
        <v>10.7983999999999</v>
      </c>
      <c r="AD4228">
        <v>-1.113584422005</v>
      </c>
      <c r="AE4228">
        <v>-0.69852999999999799</v>
      </c>
      <c r="AF4228">
        <v>-2.75456207662566</v>
      </c>
      <c r="AG4228">
        <v>-1.113584422005</v>
      </c>
      <c r="AH4228">
        <v>10.347196893815999</v>
      </c>
      <c r="AI4228">
        <v>95.937399929219396</v>
      </c>
      <c r="AJ4228">
        <v>104.90716633210801</v>
      </c>
      <c r="AK4228">
        <v>10.765322385247501</v>
      </c>
      <c r="AL4228">
        <v>83.600042049882006</v>
      </c>
      <c r="AM4228">
        <v>94.220801311639804</v>
      </c>
      <c r="AN4228">
        <v>0.99999997424212805</v>
      </c>
    </row>
    <row r="4229" spans="1:40" x14ac:dyDescent="0.25">
      <c r="A4229" t="str">
        <f>"20190312164353893"</f>
        <v>20190312164353893</v>
      </c>
      <c r="B4229" t="str">
        <f>"1552380233888676"</f>
        <v>1552380233888676</v>
      </c>
      <c r="C4229" t="s">
        <v>40</v>
      </c>
      <c r="D4229">
        <v>4.8842429999999997</v>
      </c>
      <c r="E4229">
        <v>0.44224079999999899</v>
      </c>
      <c r="F4229" t="s">
        <v>51</v>
      </c>
      <c r="G4229">
        <v>-385.3553</v>
      </c>
      <c r="H4229" s="1">
        <v>-2.454164E-6</v>
      </c>
      <c r="I4229">
        <v>18.16103</v>
      </c>
      <c r="J4229">
        <v>-397.87450000000001</v>
      </c>
      <c r="K4229">
        <v>1.113707</v>
      </c>
      <c r="L4229">
        <v>19.185210000000001</v>
      </c>
      <c r="M4229">
        <v>0.94929889999999995</v>
      </c>
      <c r="N4229">
        <v>0</v>
      </c>
      <c r="O4229">
        <v>-0.3142547</v>
      </c>
      <c r="P4229">
        <v>0.96429379999999998</v>
      </c>
      <c r="Q4229">
        <v>0.10333299999999999</v>
      </c>
      <c r="R4229">
        <v>-0.24384410000000001</v>
      </c>
      <c r="S4229">
        <v>3.0742189999999998</v>
      </c>
      <c r="T4229">
        <v>-0.26697019999999999</v>
      </c>
      <c r="U4229">
        <v>-0.26885989999999999</v>
      </c>
      <c r="V4229">
        <v>-7.270604E-2</v>
      </c>
      <c r="W4229">
        <v>0.1112166</v>
      </c>
      <c r="X4229">
        <v>0.99113300000000004</v>
      </c>
      <c r="Y4229">
        <v>-0.22837940000000001</v>
      </c>
      <c r="Z4229">
        <v>3.6621300000000002E-2</v>
      </c>
      <c r="AA4229">
        <v>0.97288319999999995</v>
      </c>
      <c r="AB4229">
        <v>32</v>
      </c>
      <c r="AC4229">
        <v>12.5192</v>
      </c>
      <c r="AD4229">
        <v>-1.113709454164</v>
      </c>
      <c r="AE4229">
        <v>-1.0241800000000001</v>
      </c>
      <c r="AF4229">
        <v>-2.93897232455154</v>
      </c>
      <c r="AG4229">
        <v>-1.113709454164</v>
      </c>
      <c r="AH4229">
        <v>12.1115649724458</v>
      </c>
      <c r="AI4229">
        <v>95.106440217906794</v>
      </c>
      <c r="AJ4229">
        <v>103.639662802852</v>
      </c>
      <c r="AK4229">
        <v>12.5127100643526</v>
      </c>
      <c r="AL4229">
        <v>83.614547785755505</v>
      </c>
      <c r="AM4229">
        <v>94.195502583286597</v>
      </c>
      <c r="AN4229">
        <v>0.99999996202852004</v>
      </c>
    </row>
    <row r="4230" spans="1:40" x14ac:dyDescent="0.25">
      <c r="A4230" t="str">
        <f>"20190312164353906"</f>
        <v>20190312164353906</v>
      </c>
      <c r="B4230" t="str">
        <f>"1552380233899411"</f>
        <v>1552380233899411</v>
      </c>
      <c r="C4230" t="s">
        <v>40</v>
      </c>
      <c r="D4230">
        <v>4.8974719999999996</v>
      </c>
      <c r="E4230">
        <v>0.44217380000000001</v>
      </c>
      <c r="F4230" t="s">
        <v>51</v>
      </c>
      <c r="G4230">
        <v>-385.31920000000002</v>
      </c>
      <c r="H4230" s="1">
        <v>-2.4743679999999999E-6</v>
      </c>
      <c r="I4230">
        <v>18.143409999999999</v>
      </c>
      <c r="J4230">
        <v>-397.69819999999999</v>
      </c>
      <c r="K4230">
        <v>1.1137760000000001</v>
      </c>
      <c r="L4230">
        <v>19.129580000000001</v>
      </c>
      <c r="M4230">
        <v>0.95024109999999995</v>
      </c>
      <c r="N4230">
        <v>0</v>
      </c>
      <c r="O4230">
        <v>-0.31139489999999997</v>
      </c>
      <c r="P4230">
        <v>0.96504690000000004</v>
      </c>
      <c r="Q4230">
        <v>0.10272820000000001</v>
      </c>
      <c r="R4230">
        <v>-0.24110529999999999</v>
      </c>
      <c r="S4230">
        <v>3.0757750000000001</v>
      </c>
      <c r="T4230">
        <v>-0.27283370000000001</v>
      </c>
      <c r="U4230">
        <v>-0.25521850000000001</v>
      </c>
      <c r="V4230">
        <v>-7.2569880000000003E-2</v>
      </c>
      <c r="W4230">
        <v>0.1105849</v>
      </c>
      <c r="X4230">
        <v>0.99121369999999998</v>
      </c>
      <c r="Y4230">
        <v>-0.22969329999999999</v>
      </c>
      <c r="Z4230">
        <v>3.7232519999999998E-2</v>
      </c>
      <c r="AA4230">
        <v>0.97255060000000004</v>
      </c>
      <c r="AB4230">
        <v>32</v>
      </c>
      <c r="AC4230">
        <v>12.3789999999999</v>
      </c>
      <c r="AD4230">
        <v>-1.1137784743679999</v>
      </c>
      <c r="AE4230">
        <v>-0.98616999999999699</v>
      </c>
      <c r="AF4230">
        <v>-2.8944841178104199</v>
      </c>
      <c r="AG4230">
        <v>-1.1137784743679999</v>
      </c>
      <c r="AH4230">
        <v>11.974253520782099</v>
      </c>
      <c r="AI4230">
        <v>95.166096602183302</v>
      </c>
      <c r="AJ4230">
        <v>103.589183738019</v>
      </c>
      <c r="AK4230">
        <v>12.3693689482603</v>
      </c>
      <c r="AL4230">
        <v>83.650966442346004</v>
      </c>
      <c r="AM4230">
        <v>94.187333719126698</v>
      </c>
      <c r="AN4230">
        <v>1.00000000332945</v>
      </c>
    </row>
    <row r="4231" spans="1:40" x14ac:dyDescent="0.25">
      <c r="A4231" t="str">
        <f>"20190312164353927"</f>
        <v>20190312164353927</v>
      </c>
      <c r="B4231" t="str">
        <f>"1552380233918931"</f>
        <v>1552380233918931</v>
      </c>
      <c r="C4231" t="s">
        <v>40</v>
      </c>
      <c r="D4231">
        <v>4.9888019999999997</v>
      </c>
      <c r="E4231">
        <v>0.44169340000000001</v>
      </c>
      <c r="F4231" t="s">
        <v>51</v>
      </c>
      <c r="G4231">
        <v>-384.99619999999999</v>
      </c>
      <c r="H4231" s="1">
        <v>-2.632292E-6</v>
      </c>
      <c r="I4231">
        <v>18.11384</v>
      </c>
      <c r="J4231">
        <v>-397.40199999999999</v>
      </c>
      <c r="K4231">
        <v>1.1138939999999999</v>
      </c>
      <c r="L4231">
        <v>19.037690000000001</v>
      </c>
      <c r="M4231">
        <v>0.95183549999999995</v>
      </c>
      <c r="N4231">
        <v>0</v>
      </c>
      <c r="O4231">
        <v>-0.30648720000000002</v>
      </c>
      <c r="P4231">
        <v>0.9664758</v>
      </c>
      <c r="Q4231">
        <v>0.1019129</v>
      </c>
      <c r="R4231">
        <v>-0.23566670000000001</v>
      </c>
      <c r="S4231">
        <v>3.0758969999999999</v>
      </c>
      <c r="T4231">
        <v>-0.2697116</v>
      </c>
      <c r="U4231">
        <v>-0.24597169999999999</v>
      </c>
      <c r="V4231">
        <v>-7.3088819999999999E-2</v>
      </c>
      <c r="W4231">
        <v>0.1097167</v>
      </c>
      <c r="X4231">
        <v>0.99127200000000004</v>
      </c>
      <c r="Y4231">
        <v>-0.22765150000000001</v>
      </c>
      <c r="Z4231">
        <v>3.6315500000000001E-2</v>
      </c>
      <c r="AA4231">
        <v>0.97306530000000002</v>
      </c>
      <c r="AB4231">
        <v>32</v>
      </c>
      <c r="AC4231">
        <v>12.405799999999999</v>
      </c>
      <c r="AD4231">
        <v>-1.1138966322920001</v>
      </c>
      <c r="AE4231">
        <v>-0.92384999999999795</v>
      </c>
      <c r="AF4231">
        <v>-2.8997264389091901</v>
      </c>
      <c r="AG4231">
        <v>-1.1138966322920001</v>
      </c>
      <c r="AH4231">
        <v>11.9957057002889</v>
      </c>
      <c r="AI4231">
        <v>95.157446405586001</v>
      </c>
      <c r="AJ4231">
        <v>103.58943996405399</v>
      </c>
      <c r="AK4231">
        <v>12.3913733853792</v>
      </c>
      <c r="AL4231">
        <v>83.701014879469994</v>
      </c>
      <c r="AM4231">
        <v>94.216922149481405</v>
      </c>
      <c r="AN4231">
        <v>0.99999995392593999</v>
      </c>
    </row>
    <row r="4232" spans="1:40" x14ac:dyDescent="0.25">
      <c r="A4232" t="str">
        <f>"20190312164353940"</f>
        <v>20190312164353940</v>
      </c>
      <c r="B4232" t="str">
        <f>"1552380233928692"</f>
        <v>1552380233928692</v>
      </c>
      <c r="C4232" t="s">
        <v>40</v>
      </c>
      <c r="D4232">
        <v>4.9110060000000004</v>
      </c>
      <c r="E4232">
        <v>0.4415674</v>
      </c>
      <c r="F4232" t="s">
        <v>51</v>
      </c>
      <c r="G4232">
        <v>-384.88279999999997</v>
      </c>
      <c r="H4232" s="1">
        <v>-2.6843869999999999E-6</v>
      </c>
      <c r="I4232">
        <v>18.122299999999999</v>
      </c>
      <c r="J4232">
        <v>-397.22199999999998</v>
      </c>
      <c r="K4232">
        <v>1.1139709999999901</v>
      </c>
      <c r="L4232">
        <v>18.982479999999999</v>
      </c>
      <c r="M4232">
        <v>0.95280629999999999</v>
      </c>
      <c r="N4232">
        <v>0</v>
      </c>
      <c r="O4232">
        <v>-0.30345620000000001</v>
      </c>
      <c r="P4232">
        <v>0.96726449999999997</v>
      </c>
      <c r="Q4232">
        <v>0.10180069999999999</v>
      </c>
      <c r="R4232">
        <v>-0.23245679999999999</v>
      </c>
      <c r="S4232">
        <v>3.0780940000000001</v>
      </c>
      <c r="T4232">
        <v>-0.27387420000000001</v>
      </c>
      <c r="U4232">
        <v>-0.22506709999999999</v>
      </c>
      <c r="V4232">
        <v>-7.3247389999999996E-2</v>
      </c>
      <c r="W4232">
        <v>0.1095735</v>
      </c>
      <c r="X4232">
        <v>0.99127619999999905</v>
      </c>
      <c r="Y4232">
        <v>-0.23111400000000001</v>
      </c>
      <c r="Z4232">
        <v>3.6760510000000003E-2</v>
      </c>
      <c r="AA4232">
        <v>0.97223199999999999</v>
      </c>
      <c r="AB4232">
        <v>32</v>
      </c>
      <c r="AC4232">
        <v>12.3392</v>
      </c>
      <c r="AD4232">
        <v>-1.1139736843869901</v>
      </c>
      <c r="AE4232">
        <v>-0.86017999999999895</v>
      </c>
      <c r="AF4232">
        <v>-2.9013977371182502</v>
      </c>
      <c r="AG4232">
        <v>-1.1139736843869901</v>
      </c>
      <c r="AH4232">
        <v>11.9216464838868</v>
      </c>
      <c r="AI4232">
        <v>95.187727062116295</v>
      </c>
      <c r="AJ4232">
        <v>103.678284692934</v>
      </c>
      <c r="AK4232">
        <v>12.3200933878454</v>
      </c>
      <c r="AL4232">
        <v>83.709269810667294</v>
      </c>
      <c r="AM4232">
        <v>94.226020031187502</v>
      </c>
      <c r="AN4232">
        <v>1.00000001836525</v>
      </c>
    </row>
    <row r="4233" spans="1:40" x14ac:dyDescent="0.25">
      <c r="A4233" t="str">
        <f>"20190312164353954"</f>
        <v>20190312164353954</v>
      </c>
      <c r="B4233" t="str">
        <f>"1552380233949188"</f>
        <v>1552380233949188</v>
      </c>
      <c r="C4233" t="s">
        <v>40</v>
      </c>
      <c r="D4233">
        <v>4.8827170000000004</v>
      </c>
      <c r="E4233">
        <v>0.44173200000000001</v>
      </c>
      <c r="F4233" t="s">
        <v>51</v>
      </c>
      <c r="G4233">
        <v>-384.601</v>
      </c>
      <c r="H4233" s="1">
        <v>-2.8204920000000001E-6</v>
      </c>
      <c r="I4233">
        <v>18.106000000000002</v>
      </c>
      <c r="J4233">
        <v>-397.04880000000003</v>
      </c>
      <c r="K4233">
        <v>1.114039</v>
      </c>
      <c r="L4233">
        <v>18.930389999999999</v>
      </c>
      <c r="M4233">
        <v>0.95374890000000001</v>
      </c>
      <c r="N4233">
        <v>0</v>
      </c>
      <c r="O4233">
        <v>-0.3004809</v>
      </c>
      <c r="P4233">
        <v>0.96795489999999995</v>
      </c>
      <c r="Q4233">
        <v>0.1018773</v>
      </c>
      <c r="R4233">
        <v>-0.2295305</v>
      </c>
      <c r="S4233">
        <v>3.078735</v>
      </c>
      <c r="T4233">
        <v>-0.2717388</v>
      </c>
      <c r="U4233">
        <v>-0.2138062</v>
      </c>
      <c r="V4233">
        <v>-7.3168960000000005E-2</v>
      </c>
      <c r="W4233">
        <v>0.1096266</v>
      </c>
      <c r="X4233">
        <v>0.99127609999999999</v>
      </c>
      <c r="Y4233">
        <v>-0.23167189999999999</v>
      </c>
      <c r="Z4233">
        <v>3.6249620000000003E-2</v>
      </c>
      <c r="AA4233">
        <v>0.97211840000000005</v>
      </c>
      <c r="AB4233">
        <v>32</v>
      </c>
      <c r="AC4233">
        <v>12.447800000000001</v>
      </c>
      <c r="AD4233">
        <v>-1.114041820492</v>
      </c>
      <c r="AE4233">
        <v>-0.82439000000000096</v>
      </c>
      <c r="AF4233">
        <v>-2.9308023719539902</v>
      </c>
      <c r="AG4233">
        <v>-1.114041820492</v>
      </c>
      <c r="AH4233">
        <v>12.024347896755099</v>
      </c>
      <c r="AI4233">
        <v>95.143538270054407</v>
      </c>
      <c r="AJ4233">
        <v>103.69812137800299</v>
      </c>
      <c r="AK4233">
        <v>12.426408735570201</v>
      </c>
      <c r="AL4233">
        <v>83.706208832370294</v>
      </c>
      <c r="AM4233">
        <v>94.221511791402307</v>
      </c>
      <c r="AN4233">
        <v>0.99999999728312505</v>
      </c>
    </row>
    <row r="4234" spans="1:40" x14ac:dyDescent="0.25">
      <c r="A4234" t="str">
        <f>"20190312164353971"</f>
        <v>20190312164353971</v>
      </c>
      <c r="B4234" t="str">
        <f>"1552380233958948"</f>
        <v>1552380233958948</v>
      </c>
      <c r="C4234" t="s">
        <v>40</v>
      </c>
      <c r="D4234">
        <v>4.8928229999999999</v>
      </c>
      <c r="E4234">
        <v>0.44180999999999998</v>
      </c>
      <c r="F4234" t="s">
        <v>51</v>
      </c>
      <c r="G4234">
        <v>-384.2704</v>
      </c>
      <c r="H4234" s="1">
        <v>-2.9818879999999999E-6</v>
      </c>
      <c r="I4234">
        <v>18.07694</v>
      </c>
      <c r="J4234">
        <v>-396.80009999999999</v>
      </c>
      <c r="K4234">
        <v>1.1141350000000001</v>
      </c>
      <c r="L4234">
        <v>18.85632</v>
      </c>
      <c r="M4234">
        <v>0.95510349999999999</v>
      </c>
      <c r="N4234">
        <v>0</v>
      </c>
      <c r="O4234">
        <v>-0.2961472</v>
      </c>
      <c r="P4234">
        <v>0.96891709999999998</v>
      </c>
      <c r="Q4234">
        <v>0.1019317</v>
      </c>
      <c r="R4234">
        <v>-0.2254101</v>
      </c>
      <c r="S4234">
        <v>3.0787960000000001</v>
      </c>
      <c r="T4234">
        <v>-0.26841520000000002</v>
      </c>
      <c r="U4234">
        <v>-0.20562739999999999</v>
      </c>
      <c r="V4234">
        <v>-7.2912130000000006E-2</v>
      </c>
      <c r="W4234">
        <v>0.10964790000000001</v>
      </c>
      <c r="X4234">
        <v>0.99129270000000003</v>
      </c>
      <c r="Y4234">
        <v>-0.22989850000000001</v>
      </c>
      <c r="Z4234">
        <v>3.5374719999999998E-2</v>
      </c>
      <c r="AA4234">
        <v>0.97257150000000003</v>
      </c>
      <c r="AB4234">
        <v>32</v>
      </c>
      <c r="AC4234">
        <v>12.529699999999901</v>
      </c>
      <c r="AD4234">
        <v>-1.114137981888</v>
      </c>
      <c r="AE4234">
        <v>-0.77937999999999896</v>
      </c>
      <c r="AF4234">
        <v>-2.94317578257058</v>
      </c>
      <c r="AG4234">
        <v>-1.114137981888</v>
      </c>
      <c r="AH4234">
        <v>12.103096716819101</v>
      </c>
      <c r="AI4234">
        <v>95.111346868102302</v>
      </c>
      <c r="AJ4234">
        <v>103.667638862159</v>
      </c>
      <c r="AK4234">
        <v>12.5055402628784</v>
      </c>
      <c r="AL4234">
        <v>83.704981230336699</v>
      </c>
      <c r="AM4234">
        <v>94.206676980159401</v>
      </c>
      <c r="AN4234">
        <v>1.00000002887441</v>
      </c>
    </row>
    <row r="4235" spans="1:40" x14ac:dyDescent="0.25">
      <c r="A4235" t="str">
        <f>"20190312164353987"</f>
        <v>20190312164353987</v>
      </c>
      <c r="B4235" t="str">
        <f>"1552380233979444"</f>
        <v>1552380233979444</v>
      </c>
      <c r="C4235" t="s">
        <v>40</v>
      </c>
      <c r="D4235">
        <v>4.8906739999999997</v>
      </c>
      <c r="E4235">
        <v>0.44195410000000002</v>
      </c>
      <c r="F4235" t="s">
        <v>51</v>
      </c>
      <c r="G4235">
        <v>-383.90280000000001</v>
      </c>
      <c r="H4235" s="1">
        <v>-3.1604299999999998E-6</v>
      </c>
      <c r="I4235">
        <v>18.050070000000002</v>
      </c>
      <c r="J4235">
        <v>-396.59019999999998</v>
      </c>
      <c r="K4235">
        <v>1.1142209999999999</v>
      </c>
      <c r="L4235">
        <v>18.794799999999999</v>
      </c>
      <c r="M4235">
        <v>0.95624969999999998</v>
      </c>
      <c r="N4235">
        <v>0</v>
      </c>
      <c r="O4235">
        <v>-0.2924254</v>
      </c>
      <c r="P4235">
        <v>0.96973169999999997</v>
      </c>
      <c r="Q4235">
        <v>0.1020392</v>
      </c>
      <c r="R4235">
        <v>-0.22183</v>
      </c>
      <c r="S4235">
        <v>3.0794069999999998</v>
      </c>
      <c r="T4235">
        <v>-0.26601590000000003</v>
      </c>
      <c r="U4235">
        <v>-0.19250490000000001</v>
      </c>
      <c r="V4235">
        <v>-7.2735170000000002E-2</v>
      </c>
      <c r="W4235">
        <v>0.10972609999999999</v>
      </c>
      <c r="X4235">
        <v>0.99129699999999998</v>
      </c>
      <c r="Y4235">
        <v>-0.2302959</v>
      </c>
      <c r="Z4235">
        <v>3.4770750000000003E-2</v>
      </c>
      <c r="AA4235">
        <v>0.97249929999999996</v>
      </c>
      <c r="AB4235">
        <v>33</v>
      </c>
      <c r="AC4235">
        <v>12.687399999999901</v>
      </c>
      <c r="AD4235">
        <v>-1.1142241604299901</v>
      </c>
      <c r="AE4235">
        <v>-0.74472999999999701</v>
      </c>
      <c r="AF4235">
        <v>-2.97521316809893</v>
      </c>
      <c r="AG4235">
        <v>-1.1142241604299901</v>
      </c>
      <c r="AH4235">
        <v>12.2563531843138</v>
      </c>
      <c r="AI4235">
        <v>95.048645774855899</v>
      </c>
      <c r="AJ4235">
        <v>103.64454892047701</v>
      </c>
      <c r="AK4235">
        <v>12.661421020326101</v>
      </c>
      <c r="AL4235">
        <v>83.7004732057772</v>
      </c>
      <c r="AM4235">
        <v>94.196485624788394</v>
      </c>
      <c r="AN4235">
        <v>0.99999998209256902</v>
      </c>
    </row>
    <row r="4236" spans="1:40" x14ac:dyDescent="0.25">
      <c r="A4236" t="str">
        <f>"20190312164354007"</f>
        <v>20190312164354007</v>
      </c>
      <c r="B4236" t="str">
        <f>"1552380233998964"</f>
        <v>1552380233998964</v>
      </c>
      <c r="C4236" t="s">
        <v>40</v>
      </c>
      <c r="D4236">
        <v>4.9954159999999996</v>
      </c>
      <c r="E4236">
        <v>0.44271929999999998</v>
      </c>
      <c r="F4236" t="s">
        <v>51</v>
      </c>
      <c r="G4236">
        <v>-383.6234</v>
      </c>
      <c r="H4236" s="1">
        <v>-3.2964700000000001E-6</v>
      </c>
      <c r="I4236">
        <v>18.027729999999998</v>
      </c>
      <c r="J4236">
        <v>-396.30509999999998</v>
      </c>
      <c r="K4236">
        <v>1.1143379999999901</v>
      </c>
      <c r="L4236">
        <v>18.712800000000001</v>
      </c>
      <c r="M4236">
        <v>0.95781090000000002</v>
      </c>
      <c r="N4236">
        <v>0</v>
      </c>
      <c r="O4236">
        <v>-0.2872712</v>
      </c>
      <c r="P4236">
        <v>0.97080889999999997</v>
      </c>
      <c r="Q4236">
        <v>0.1024002</v>
      </c>
      <c r="R4236">
        <v>-0.21689729999999999</v>
      </c>
      <c r="S4236">
        <v>3.0798030000000001</v>
      </c>
      <c r="T4236">
        <v>-0.26464500000000002</v>
      </c>
      <c r="U4236">
        <v>-0.18218989999999999</v>
      </c>
      <c r="V4236">
        <v>-7.2462189999999996E-2</v>
      </c>
      <c r="W4236">
        <v>0.1100498</v>
      </c>
      <c r="X4236">
        <v>0.99128119999999997</v>
      </c>
      <c r="Y4236">
        <v>-0.2283539</v>
      </c>
      <c r="Z4236">
        <v>3.408626E-2</v>
      </c>
      <c r="AA4236">
        <v>0.97298130000000005</v>
      </c>
      <c r="AB4236">
        <v>33</v>
      </c>
      <c r="AC4236">
        <v>12.6816999999999</v>
      </c>
      <c r="AD4236">
        <v>-1.1143412964699999</v>
      </c>
      <c r="AE4236">
        <v>-0.68507000000000295</v>
      </c>
      <c r="AF4236">
        <v>-2.9642090132069798</v>
      </c>
      <c r="AG4236">
        <v>-1.1143412964699999</v>
      </c>
      <c r="AH4236">
        <v>12.249619411403</v>
      </c>
      <c r="AI4236">
        <v>95.052815096019799</v>
      </c>
      <c r="AJ4236">
        <v>103.60315577469601</v>
      </c>
      <c r="AK4236">
        <v>12.6523305095629</v>
      </c>
      <c r="AL4236">
        <v>83.681814131683794</v>
      </c>
      <c r="AM4236">
        <v>94.180858282699702</v>
      </c>
      <c r="AN4236">
        <v>1.0000000724665301</v>
      </c>
    </row>
    <row r="4237" spans="1:40" x14ac:dyDescent="0.25">
      <c r="A4237" t="str">
        <f>"20190312164354031"</f>
        <v>20190312164354031</v>
      </c>
      <c r="B4237" t="str">
        <f>"1552380234019459"</f>
        <v>1552380234019459</v>
      </c>
      <c r="C4237" t="s">
        <v>40</v>
      </c>
      <c r="D4237">
        <v>4.9197430000000004</v>
      </c>
      <c r="E4237">
        <v>0.44311739999999999</v>
      </c>
      <c r="F4237" t="s">
        <v>51</v>
      </c>
      <c r="G4237">
        <v>-383.27940000000001</v>
      </c>
      <c r="H4237" s="1">
        <v>-3.467067E-6</v>
      </c>
      <c r="I4237">
        <v>17.982689999999899</v>
      </c>
      <c r="J4237">
        <v>-395.9735</v>
      </c>
      <c r="K4237">
        <v>1.1144750000000001</v>
      </c>
      <c r="L4237">
        <v>18.619689999999999</v>
      </c>
      <c r="M4237">
        <v>0.95962639999999999</v>
      </c>
      <c r="N4237">
        <v>0</v>
      </c>
      <c r="O4237">
        <v>-0.2811477</v>
      </c>
      <c r="P4237">
        <v>0.97206879999999996</v>
      </c>
      <c r="Q4237">
        <v>0.10207289999999999</v>
      </c>
      <c r="R4237">
        <v>-0.211338</v>
      </c>
      <c r="S4237">
        <v>3.0794069999999998</v>
      </c>
      <c r="T4237">
        <v>-0.263443599999999</v>
      </c>
      <c r="U4237">
        <v>-0.17260739999999999</v>
      </c>
      <c r="V4237">
        <v>-7.1847279999999999E-2</v>
      </c>
      <c r="W4237">
        <v>0.1096878</v>
      </c>
      <c r="X4237">
        <v>0.99136599999999997</v>
      </c>
      <c r="Y4237">
        <v>-0.22519510000000001</v>
      </c>
      <c r="Z4237">
        <v>3.3303920000000001E-2</v>
      </c>
      <c r="AA4237">
        <v>0.97374430000000001</v>
      </c>
      <c r="AB4237">
        <v>33</v>
      </c>
      <c r="AC4237">
        <v>12.694099999999899</v>
      </c>
      <c r="AD4237">
        <v>-1.114478467067</v>
      </c>
      <c r="AE4237">
        <v>-0.63700000000000001</v>
      </c>
      <c r="AF4237">
        <v>-2.9351757786696102</v>
      </c>
      <c r="AG4237">
        <v>-1.114478467067</v>
      </c>
      <c r="AH4237">
        <v>12.2668219484157</v>
      </c>
      <c r="AI4237">
        <v>95.049474883495904</v>
      </c>
      <c r="AJ4237">
        <v>103.45659092483299</v>
      </c>
      <c r="AK4237">
        <v>12.6622367620961</v>
      </c>
      <c r="AL4237">
        <v>83.702681045220103</v>
      </c>
      <c r="AM4237">
        <v>94.145150608880897</v>
      </c>
      <c r="AN4237">
        <v>0.999999995534119</v>
      </c>
    </row>
    <row r="4238" spans="1:40" x14ac:dyDescent="0.25">
      <c r="A4238" t="str">
        <f>"20190312164354051"</f>
        <v>20190312164354051</v>
      </c>
      <c r="B4238" t="str">
        <f>"1552380234048740"</f>
        <v>1552380234048740</v>
      </c>
      <c r="C4238" t="s">
        <v>40</v>
      </c>
      <c r="D4238">
        <v>4.8708729999999996</v>
      </c>
      <c r="E4238">
        <v>0.4441369</v>
      </c>
      <c r="F4238" t="s">
        <v>51</v>
      </c>
      <c r="G4238">
        <v>-383.06389999999999</v>
      </c>
      <c r="H4238" s="1">
        <v>-3.5733810000000001E-6</v>
      </c>
      <c r="I4238">
        <v>17.957829999999898</v>
      </c>
      <c r="J4238">
        <v>-395.68329999999997</v>
      </c>
      <c r="K4238">
        <v>1.11459</v>
      </c>
      <c r="L4238">
        <v>18.540130000000001</v>
      </c>
      <c r="M4238">
        <v>0.96121190000000001</v>
      </c>
      <c r="N4238">
        <v>0</v>
      </c>
      <c r="O4238">
        <v>-0.2756787</v>
      </c>
      <c r="P4238">
        <v>0.97306649999999995</v>
      </c>
      <c r="Q4238">
        <v>0.10228080000000001</v>
      </c>
      <c r="R4238">
        <v>-0.20659240000000001</v>
      </c>
      <c r="S4238">
        <v>3.079834</v>
      </c>
      <c r="T4238">
        <v>-0.26588010000000001</v>
      </c>
      <c r="U4238">
        <v>-0.15789790000000001</v>
      </c>
      <c r="V4238">
        <v>-7.1067710000000006E-2</v>
      </c>
      <c r="W4238">
        <v>0.1098716</v>
      </c>
      <c r="X4238">
        <v>0.99140189999999995</v>
      </c>
      <c r="Y4238">
        <v>-0.22428229999999999</v>
      </c>
      <c r="Z4238">
        <v>3.3120509999999999E-2</v>
      </c>
      <c r="AA4238">
        <v>0.97396119999999997</v>
      </c>
      <c r="AB4238">
        <v>33</v>
      </c>
      <c r="AC4238">
        <v>12.619399999999899</v>
      </c>
      <c r="AD4238">
        <v>-1.114593573381</v>
      </c>
      <c r="AE4238">
        <v>-0.58230000000000004</v>
      </c>
      <c r="AF4238">
        <v>-2.8967428049801902</v>
      </c>
      <c r="AG4238">
        <v>-1.114593573381</v>
      </c>
      <c r="AH4238">
        <v>12.195953732669199</v>
      </c>
      <c r="AI4238">
        <v>95.081192522295197</v>
      </c>
      <c r="AJ4238">
        <v>103.361124729233</v>
      </c>
      <c r="AK4238">
        <v>12.5847020291079</v>
      </c>
      <c r="AL4238">
        <v>83.6920864372388</v>
      </c>
      <c r="AM4238">
        <v>94.1001804365997</v>
      </c>
      <c r="AN4238">
        <v>1.0000000576074</v>
      </c>
    </row>
    <row r="4239" spans="1:40" x14ac:dyDescent="0.25">
      <c r="A4239" t="str">
        <f>"20190312164354073"</f>
        <v>20190312164354073</v>
      </c>
      <c r="B4239" t="str">
        <f>"1552380234069235"</f>
        <v>1552380234069235</v>
      </c>
      <c r="C4239" t="s">
        <v>40</v>
      </c>
      <c r="D4239">
        <v>4.9088570000000002</v>
      </c>
      <c r="E4239">
        <v>0.4446388</v>
      </c>
      <c r="F4239" t="s">
        <v>51</v>
      </c>
      <c r="G4239">
        <v>-382.9502</v>
      </c>
      <c r="H4239" s="1">
        <v>-3.6339859999999999E-6</v>
      </c>
      <c r="I4239">
        <v>17.919049999999999</v>
      </c>
      <c r="J4239">
        <v>-395.37709999999998</v>
      </c>
      <c r="K4239">
        <v>1.114716</v>
      </c>
      <c r="L4239">
        <v>18.458189999999998</v>
      </c>
      <c r="M4239">
        <v>0.96287959999999995</v>
      </c>
      <c r="N4239">
        <v>0</v>
      </c>
      <c r="O4239">
        <v>-0.26979619999999999</v>
      </c>
      <c r="P4239">
        <v>0.97408989999999995</v>
      </c>
      <c r="Q4239">
        <v>0.1024076</v>
      </c>
      <c r="R4239">
        <v>-0.20164789999999999</v>
      </c>
      <c r="S4239">
        <v>3.0794679999999999</v>
      </c>
      <c r="T4239">
        <v>-0.269563</v>
      </c>
      <c r="U4239">
        <v>-0.15020749999999999</v>
      </c>
      <c r="V4239">
        <v>-7.0072190000000006E-2</v>
      </c>
      <c r="W4239">
        <v>0.1099792</v>
      </c>
      <c r="X4239">
        <v>0.99146080000000003</v>
      </c>
      <c r="Y4239">
        <v>-0.2207276</v>
      </c>
      <c r="Z4239">
        <v>3.2933789999999998E-2</v>
      </c>
      <c r="AA4239">
        <v>0.97477930000000002</v>
      </c>
      <c r="AB4239">
        <v>33</v>
      </c>
      <c r="AC4239">
        <v>12.4268999999999</v>
      </c>
      <c r="AD4239">
        <v>-1.1147196339859999</v>
      </c>
      <c r="AE4239">
        <v>-0.53913999999999895</v>
      </c>
      <c r="AF4239">
        <v>-2.8111295720800999</v>
      </c>
      <c r="AG4239">
        <v>-1.1147196339859999</v>
      </c>
      <c r="AH4239">
        <v>12.015010954311499</v>
      </c>
      <c r="AI4239">
        <v>95.161951611750794</v>
      </c>
      <c r="AJ4239">
        <v>103.168510334717</v>
      </c>
      <c r="AK4239">
        <v>12.3897351693102</v>
      </c>
      <c r="AL4239">
        <v>83.685883629414803</v>
      </c>
      <c r="AM4239">
        <v>94.042697328955697</v>
      </c>
      <c r="AN4239">
        <v>1.00000002709033</v>
      </c>
    </row>
    <row r="4240" spans="1:40" x14ac:dyDescent="0.25">
      <c r="A4240" t="str">
        <f>"20190312164354095"</f>
        <v>20190312164354095</v>
      </c>
      <c r="B4240" t="str">
        <f>"1552380234088756"</f>
        <v>1552380234088756</v>
      </c>
      <c r="C4240" t="s">
        <v>40</v>
      </c>
      <c r="D4240">
        <v>4.9129180000000003</v>
      </c>
      <c r="E4240">
        <v>0.4449805</v>
      </c>
      <c r="F4240" t="s">
        <v>51</v>
      </c>
      <c r="G4240">
        <v>-382.83170000000001</v>
      </c>
      <c r="H4240" s="1">
        <v>-3.6938149999999999E-6</v>
      </c>
      <c r="I4240">
        <v>17.897590000000001</v>
      </c>
      <c r="J4240">
        <v>-395.0634</v>
      </c>
      <c r="K4240">
        <v>1.1148450000000001</v>
      </c>
      <c r="L4240">
        <v>18.376429999999999</v>
      </c>
      <c r="M4240">
        <v>0.96458189999999999</v>
      </c>
      <c r="N4240">
        <v>0</v>
      </c>
      <c r="O4240">
        <v>-0.26364549999999998</v>
      </c>
      <c r="P4240">
        <v>0.97531369999999895</v>
      </c>
      <c r="Q4240">
        <v>0.1023159</v>
      </c>
      <c r="R4240">
        <v>-0.1956909</v>
      </c>
      <c r="S4240">
        <v>3.0800480000000001</v>
      </c>
      <c r="T4240">
        <v>-0.27367709999999901</v>
      </c>
      <c r="U4240">
        <v>-0.13763429999999999</v>
      </c>
      <c r="V4240">
        <v>-6.9840970000000002E-2</v>
      </c>
      <c r="W4240">
        <v>0.10986170000000001</v>
      </c>
      <c r="X4240">
        <v>0.99149010000000004</v>
      </c>
      <c r="Y4240">
        <v>-0.21845919999999999</v>
      </c>
      <c r="Z4240">
        <v>3.2806009999999997E-2</v>
      </c>
      <c r="AA4240">
        <v>0.97529449999999995</v>
      </c>
      <c r="AB4240">
        <v>33</v>
      </c>
      <c r="AC4240">
        <v>12.231699999999901</v>
      </c>
      <c r="AD4240">
        <v>-1.114848693815</v>
      </c>
      <c r="AE4240">
        <v>-0.47883999999999799</v>
      </c>
      <c r="AF4240">
        <v>-2.7403230899006599</v>
      </c>
      <c r="AG4240">
        <v>-1.114848693815</v>
      </c>
      <c r="AH4240">
        <v>11.827054403043601</v>
      </c>
      <c r="AI4240">
        <v>95.246749268583798</v>
      </c>
      <c r="AJ4240">
        <v>103.045214288632</v>
      </c>
      <c r="AK4240">
        <v>12.1914508611443</v>
      </c>
      <c r="AL4240">
        <v>83.692656668608393</v>
      </c>
      <c r="AM4240">
        <v>94.029282809718794</v>
      </c>
      <c r="AN4240">
        <v>0.99999998630772002</v>
      </c>
    </row>
    <row r="4241" spans="1:40" x14ac:dyDescent="0.25">
      <c r="A4241" t="str">
        <f>"20190312164354119"</f>
        <v>20190312164354119</v>
      </c>
      <c r="B4241" t="str">
        <f>"1552380234109255"</f>
        <v>1552380234109255</v>
      </c>
      <c r="C4241" t="s">
        <v>40</v>
      </c>
      <c r="D4241">
        <v>5.120654</v>
      </c>
      <c r="E4241">
        <v>0.44531779999999999</v>
      </c>
      <c r="F4241" t="s">
        <v>51</v>
      </c>
      <c r="G4241">
        <v>-382.77120000000002</v>
      </c>
      <c r="H4241" s="1">
        <v>-3.723567E-6</v>
      </c>
      <c r="I4241">
        <v>17.890969999999999</v>
      </c>
      <c r="J4241">
        <v>-394.73450000000003</v>
      </c>
      <c r="K4241">
        <v>1.114976</v>
      </c>
      <c r="L4241">
        <v>18.292999999999999</v>
      </c>
      <c r="M4241">
        <v>0.96635729999999997</v>
      </c>
      <c r="N4241">
        <v>0</v>
      </c>
      <c r="O4241">
        <v>-0.25706230000000002</v>
      </c>
      <c r="P4241">
        <v>0.9765104</v>
      </c>
      <c r="Q4241">
        <v>0.1024211</v>
      </c>
      <c r="R4241">
        <v>-0.1895715</v>
      </c>
      <c r="S4241">
        <v>3.0808110000000002</v>
      </c>
      <c r="T4241">
        <v>-0.279416</v>
      </c>
      <c r="U4241">
        <v>-0.12167360000000001</v>
      </c>
      <c r="V4241">
        <v>-6.9333489999999998E-2</v>
      </c>
      <c r="W4241">
        <v>0.109947</v>
      </c>
      <c r="X4241">
        <v>0.99151630000000002</v>
      </c>
      <c r="Y4241">
        <v>-0.21681529999999999</v>
      </c>
      <c r="Z4241">
        <v>3.2838140000000002E-2</v>
      </c>
      <c r="AA4241">
        <v>0.97566019999999998</v>
      </c>
      <c r="AB4241">
        <v>33</v>
      </c>
      <c r="AC4241">
        <v>11.9633</v>
      </c>
      <c r="AD4241">
        <v>-1.114979723567</v>
      </c>
      <c r="AE4241">
        <v>-0.402029999999996</v>
      </c>
      <c r="AF4241">
        <v>-2.6637939880281398</v>
      </c>
      <c r="AG4241">
        <v>-1.114979723567</v>
      </c>
      <c r="AH4241">
        <v>11.5642555247003</v>
      </c>
      <c r="AI4241">
        <v>95.367503370069699</v>
      </c>
      <c r="AJ4241">
        <v>102.971657209201</v>
      </c>
      <c r="AK4241">
        <v>11.9193533396398</v>
      </c>
      <c r="AL4241">
        <v>83.687739792936895</v>
      </c>
      <c r="AM4241">
        <v>93.999995178275697</v>
      </c>
      <c r="AN4241">
        <v>1.0000000244051299</v>
      </c>
    </row>
    <row r="4242" spans="1:40" x14ac:dyDescent="0.25">
      <c r="A4242" t="str">
        <f>"20190312164354139"</f>
        <v>20190312164354139</v>
      </c>
      <c r="B4242" t="str">
        <f>"1552380234128775"</f>
        <v>1552380234128775</v>
      </c>
      <c r="C4242" t="s">
        <v>40</v>
      </c>
      <c r="D4242">
        <v>4.8824670000000001</v>
      </c>
      <c r="E4242">
        <v>0.456542</v>
      </c>
      <c r="F4242" t="s">
        <v>51</v>
      </c>
      <c r="G4242">
        <v>-382.50659999999999</v>
      </c>
      <c r="H4242" s="1">
        <v>-3.8516760000000001E-6</v>
      </c>
      <c r="I4242">
        <v>17.87407</v>
      </c>
      <c r="J4242">
        <v>-394.42939999999999</v>
      </c>
      <c r="K4242">
        <v>1.115111</v>
      </c>
      <c r="L4242">
        <v>18.217929999999999</v>
      </c>
      <c r="M4242">
        <v>0.96799409999999997</v>
      </c>
      <c r="N4242">
        <v>0</v>
      </c>
      <c r="O4242">
        <v>-0.25082860000000001</v>
      </c>
      <c r="P4242">
        <v>0.97754949999999996</v>
      </c>
      <c r="Q4242">
        <v>0.1029086</v>
      </c>
      <c r="R4242">
        <v>-0.18386649999999999</v>
      </c>
      <c r="S4242">
        <v>3.0811459999999999</v>
      </c>
      <c r="T4242">
        <v>-0.28094859999999999</v>
      </c>
      <c r="U4242">
        <v>-0.1055603</v>
      </c>
      <c r="V4242">
        <v>-6.8761550000000005E-2</v>
      </c>
      <c r="W4242">
        <v>0.110419</v>
      </c>
      <c r="X4242">
        <v>0.99150369999999999</v>
      </c>
      <c r="Y4242">
        <v>-0.2156334</v>
      </c>
      <c r="Z4242">
        <v>3.2415920000000001E-2</v>
      </c>
      <c r="AA4242">
        <v>0.97593620000000003</v>
      </c>
      <c r="AB4242">
        <v>33</v>
      </c>
      <c r="AC4242">
        <v>11.922799999999899</v>
      </c>
      <c r="AD4242">
        <v>-1.1151148516760001</v>
      </c>
      <c r="AE4242">
        <v>-0.343859999999999</v>
      </c>
      <c r="AF4242">
        <v>-2.63479241861309</v>
      </c>
      <c r="AG4242">
        <v>-1.1151148516760001</v>
      </c>
      <c r="AH4242">
        <v>11.5271217208828</v>
      </c>
      <c r="AI4242">
        <v>95.387412227986204</v>
      </c>
      <c r="AJ4242">
        <v>102.87510425132101</v>
      </c>
      <c r="AK4242">
        <v>11.876874478988899</v>
      </c>
      <c r="AL4242">
        <v>83.660530658782704</v>
      </c>
      <c r="AM4242">
        <v>93.967154799406899</v>
      </c>
      <c r="AN4242">
        <v>1.00000004671654</v>
      </c>
    </row>
    <row r="4243" spans="1:40" x14ac:dyDescent="0.25">
      <c r="A4243" t="str">
        <f>"20190312164354161"</f>
        <v>20190312164354161</v>
      </c>
      <c r="B4243" t="str">
        <f>"1552380234159028"</f>
        <v>1552380234159028</v>
      </c>
      <c r="C4243" t="s">
        <v>40</v>
      </c>
      <c r="D4243">
        <v>4.8878459999999997</v>
      </c>
      <c r="E4243">
        <v>0.45579730000000002</v>
      </c>
      <c r="F4243" t="s">
        <v>51</v>
      </c>
      <c r="G4243">
        <v>-383.47219999999999</v>
      </c>
      <c r="H4243" s="1">
        <v>-3.444331E-6</v>
      </c>
      <c r="I4243">
        <v>17.59721</v>
      </c>
      <c r="J4243">
        <v>-394.11919999999998</v>
      </c>
      <c r="K4243">
        <v>1.115248</v>
      </c>
      <c r="L4243">
        <v>18.143830000000001</v>
      </c>
      <c r="M4243">
        <v>0.9696456</v>
      </c>
      <c r="N4243">
        <v>0</v>
      </c>
      <c r="O4243">
        <v>-0.244366</v>
      </c>
      <c r="P4243">
        <v>0.97850809999999999</v>
      </c>
      <c r="Q4243">
        <v>0.10385759999999999</v>
      </c>
      <c r="R4243">
        <v>-0.17814449999999901</v>
      </c>
      <c r="S4243">
        <v>3.0690309999999998</v>
      </c>
      <c r="T4243">
        <v>-0.31233660000000002</v>
      </c>
      <c r="U4243">
        <v>-0.1738586</v>
      </c>
      <c r="V4243">
        <v>-6.7974720000000002E-2</v>
      </c>
      <c r="W4243">
        <v>0.11135879999999999</v>
      </c>
      <c r="X4243">
        <v>0.99145280000000002</v>
      </c>
      <c r="Y4243">
        <v>-0.1869461</v>
      </c>
      <c r="Z4243">
        <v>3.4033260000000003E-2</v>
      </c>
      <c r="AA4243">
        <v>0.98178049999999994</v>
      </c>
      <c r="AB4243">
        <v>33</v>
      </c>
      <c r="AC4243">
        <v>10.646999999999901</v>
      </c>
      <c r="AD4243">
        <v>-1.115251444331</v>
      </c>
      <c r="AE4243">
        <v>-0.546619999999997</v>
      </c>
      <c r="AF4243">
        <v>-2.0493853869444001</v>
      </c>
      <c r="AG4243">
        <v>-1.115251444331</v>
      </c>
      <c r="AH4243">
        <v>10.3445684277571</v>
      </c>
      <c r="AI4243">
        <v>96.036873627817101</v>
      </c>
      <c r="AJ4243">
        <v>101.20589290629199</v>
      </c>
      <c r="AK4243">
        <v>10.6044265382364</v>
      </c>
      <c r="AL4243">
        <v>83.606349641365398</v>
      </c>
      <c r="AM4243">
        <v>93.922102331316395</v>
      </c>
      <c r="AN4243">
        <v>0.99999999976217901</v>
      </c>
    </row>
    <row r="4244" spans="1:40" x14ac:dyDescent="0.25">
      <c r="A4244" t="str">
        <f>"20190312164354175"</f>
        <v>20190312164354175</v>
      </c>
      <c r="B4244" t="str">
        <f>"1552380234168788"</f>
        <v>1552380234168788</v>
      </c>
      <c r="C4244" t="s">
        <v>40</v>
      </c>
      <c r="D4244">
        <v>5.0096420000000004</v>
      </c>
      <c r="E4244">
        <v>0.4563856</v>
      </c>
      <c r="F4244" t="s">
        <v>51</v>
      </c>
      <c r="G4244">
        <v>-383.04079999999999</v>
      </c>
      <c r="H4244" s="1">
        <v>-3.647262E-6</v>
      </c>
      <c r="I4244">
        <v>17.602820000000001</v>
      </c>
      <c r="J4244">
        <v>-393.91680000000002</v>
      </c>
      <c r="K4244">
        <v>1.1153420000000001</v>
      </c>
      <c r="L4244">
        <v>18.096920000000001</v>
      </c>
      <c r="M4244">
        <v>0.97071839999999998</v>
      </c>
      <c r="N4244">
        <v>0</v>
      </c>
      <c r="O4244">
        <v>-0.24006920000000001</v>
      </c>
      <c r="P4244">
        <v>0.9792438</v>
      </c>
      <c r="Q4244">
        <v>0.104088</v>
      </c>
      <c r="R4244">
        <v>-0.17391799999999999</v>
      </c>
      <c r="S4244">
        <v>3.071472</v>
      </c>
      <c r="T4244">
        <v>-0.30920120000000001</v>
      </c>
      <c r="U4244">
        <v>-0.14999390000000001</v>
      </c>
      <c r="V4244">
        <v>-6.7886550000000004E-2</v>
      </c>
      <c r="W4244">
        <v>0.1115791</v>
      </c>
      <c r="X4244">
        <v>0.99143409999999998</v>
      </c>
      <c r="Y4244">
        <v>-0.19029660000000001</v>
      </c>
      <c r="Z4244">
        <v>3.3427539999999999E-2</v>
      </c>
      <c r="AA4244">
        <v>0.98115739999999996</v>
      </c>
      <c r="AB4244">
        <v>33</v>
      </c>
      <c r="AC4244">
        <v>10.875999999999999</v>
      </c>
      <c r="AD4244">
        <v>-1.115345647262</v>
      </c>
      <c r="AE4244">
        <v>-0.49409999999999898</v>
      </c>
      <c r="AF4244">
        <v>-2.10930074682914</v>
      </c>
      <c r="AG4244">
        <v>-1.115345647262</v>
      </c>
      <c r="AH4244">
        <v>10.565651698396399</v>
      </c>
      <c r="AI4244">
        <v>95.910240847408502</v>
      </c>
      <c r="AJ4244">
        <v>101.289962575309</v>
      </c>
      <c r="AK4244">
        <v>10.831719224816799</v>
      </c>
      <c r="AL4244">
        <v>83.593648399638198</v>
      </c>
      <c r="AM4244">
        <v>93.917104471162403</v>
      </c>
      <c r="AN4244">
        <v>1.00000002693526</v>
      </c>
    </row>
    <row r="4245" spans="1:40" x14ac:dyDescent="0.25">
      <c r="A4245" t="str">
        <f>"20190312164354198"</f>
        <v>20190312164354198</v>
      </c>
      <c r="B4245" t="str">
        <f>"1552380234189283"</f>
        <v>1552380234189283</v>
      </c>
      <c r="C4245" t="s">
        <v>40</v>
      </c>
      <c r="D4245">
        <v>4.965287</v>
      </c>
      <c r="E4245">
        <v>0.45690209999999998</v>
      </c>
      <c r="F4245" t="s">
        <v>51</v>
      </c>
      <c r="G4245">
        <v>-382.75450000000001</v>
      </c>
      <c r="H4245" s="1">
        <v>-3.7862470000000001E-6</v>
      </c>
      <c r="I4245">
        <v>17.582139999999999</v>
      </c>
      <c r="J4245">
        <v>-393.60199999999998</v>
      </c>
      <c r="K4245">
        <v>1.1154759999999999</v>
      </c>
      <c r="L4245">
        <v>18.025569999999998</v>
      </c>
      <c r="M4245">
        <v>0.97236460000000002</v>
      </c>
      <c r="N4245">
        <v>0</v>
      </c>
      <c r="O4245">
        <v>-0.2333113</v>
      </c>
      <c r="P4245">
        <v>0.98013410000000001</v>
      </c>
      <c r="Q4245">
        <v>0.1045816</v>
      </c>
      <c r="R4245">
        <v>-0.16852259999999999</v>
      </c>
      <c r="S4245">
        <v>3.0710449999999998</v>
      </c>
      <c r="T4245">
        <v>-0.30686210000000003</v>
      </c>
      <c r="U4245">
        <v>-0.14163210000000001</v>
      </c>
      <c r="V4245">
        <v>-6.6481479999999996E-2</v>
      </c>
      <c r="W4245">
        <v>0.1120776</v>
      </c>
      <c r="X4245">
        <v>0.9914731</v>
      </c>
      <c r="Y4245">
        <v>-0.18621119999999999</v>
      </c>
      <c r="Z4245">
        <v>3.2324520000000002E-2</v>
      </c>
      <c r="AA4245">
        <v>0.98197789999999996</v>
      </c>
      <c r="AB4245">
        <v>33</v>
      </c>
      <c r="AC4245">
        <v>10.847499999999901</v>
      </c>
      <c r="AD4245">
        <v>-1.1154797862469901</v>
      </c>
      <c r="AE4245">
        <v>-0.44343000000000199</v>
      </c>
      <c r="AF4245">
        <v>-2.0778098917982302</v>
      </c>
      <c r="AG4245">
        <v>-1.1154797862469901</v>
      </c>
      <c r="AH4245">
        <v>10.5402970838835</v>
      </c>
      <c r="AI4245">
        <v>95.927880540844399</v>
      </c>
      <c r="AJ4245">
        <v>101.15173714679401</v>
      </c>
      <c r="AK4245">
        <v>10.8009005048887</v>
      </c>
      <c r="AL4245">
        <v>83.564906265629702</v>
      </c>
      <c r="AM4245">
        <v>93.836125068936298</v>
      </c>
      <c r="AN4245">
        <v>1.0000000418141699</v>
      </c>
    </row>
    <row r="4246" spans="1:40" x14ac:dyDescent="0.25">
      <c r="A4246" t="str">
        <f>"20190312164354220"</f>
        <v>20190312164354220</v>
      </c>
      <c r="B4246" t="str">
        <f>"1552380234208804"</f>
        <v>1552380234208804</v>
      </c>
      <c r="C4246" t="s">
        <v>40</v>
      </c>
      <c r="D4246">
        <v>4.9430100000000001</v>
      </c>
      <c r="E4246">
        <v>0.45725880000000002</v>
      </c>
      <c r="F4246" t="s">
        <v>51</v>
      </c>
      <c r="G4246">
        <v>-382.40190000000001</v>
      </c>
      <c r="H4246" s="1">
        <v>-3.9578090000000001E-6</v>
      </c>
      <c r="I4246">
        <v>17.55481</v>
      </c>
      <c r="J4246">
        <v>-393.27910000000003</v>
      </c>
      <c r="K4246">
        <v>1.115604</v>
      </c>
      <c r="L4246">
        <v>17.95486</v>
      </c>
      <c r="M4246">
        <v>0.97402889999999998</v>
      </c>
      <c r="N4246">
        <v>0</v>
      </c>
      <c r="O4246">
        <v>-0.2262623</v>
      </c>
      <c r="P4246">
        <v>0.98120490000000005</v>
      </c>
      <c r="Q4246">
        <v>0.1044166</v>
      </c>
      <c r="R4246">
        <v>-0.162277799999999</v>
      </c>
      <c r="S4246">
        <v>3.0712280000000001</v>
      </c>
      <c r="T4246">
        <v>-0.30587900000000001</v>
      </c>
      <c r="U4246">
        <v>-0.12908939999999999</v>
      </c>
      <c r="V4246">
        <v>-6.5651570000000006E-2</v>
      </c>
      <c r="W4246">
        <v>0.11191180000000001</v>
      </c>
      <c r="X4246">
        <v>0.99154710000000001</v>
      </c>
      <c r="Y4246">
        <v>-0.18316279999999999</v>
      </c>
      <c r="Z4246">
        <v>3.138999E-2</v>
      </c>
      <c r="AA4246">
        <v>0.98258129999999999</v>
      </c>
      <c r="AB4246">
        <v>33</v>
      </c>
      <c r="AC4246">
        <v>10.8772</v>
      </c>
      <c r="AD4246">
        <v>-1.1156079578089999</v>
      </c>
      <c r="AE4246">
        <v>-0.40005000000000002</v>
      </c>
      <c r="AF4246">
        <v>-2.0499803815918902</v>
      </c>
      <c r="AG4246">
        <v>-1.1156079578089999</v>
      </c>
      <c r="AH4246">
        <v>10.574526905545801</v>
      </c>
      <c r="AI4246">
        <v>95.913115939499704</v>
      </c>
      <c r="AJ4246">
        <v>100.971284619613</v>
      </c>
      <c r="AK4246">
        <v>10.829017497287101</v>
      </c>
      <c r="AL4246">
        <v>83.574465878606503</v>
      </c>
      <c r="AM4246">
        <v>93.788095887378404</v>
      </c>
      <c r="AN4246">
        <v>1.00000001557055</v>
      </c>
    </row>
    <row r="4247" spans="1:40" x14ac:dyDescent="0.25">
      <c r="A4247" t="str">
        <f>"20190312164354241"</f>
        <v>20190312164354241</v>
      </c>
      <c r="B4247" t="str">
        <f>"1552380234229300"</f>
        <v>1552380234229300</v>
      </c>
      <c r="C4247" t="s">
        <v>40</v>
      </c>
      <c r="D4247">
        <v>4.8794969999999998</v>
      </c>
      <c r="E4247">
        <v>0.45770509999999898</v>
      </c>
      <c r="F4247" t="s">
        <v>51</v>
      </c>
      <c r="G4247">
        <v>-382.03989999999999</v>
      </c>
      <c r="H4247" s="1">
        <v>-4.1305480000000001E-6</v>
      </c>
      <c r="I4247">
        <v>17.545579999999902</v>
      </c>
      <c r="J4247">
        <v>-392.97579999999999</v>
      </c>
      <c r="K4247">
        <v>1.115723</v>
      </c>
      <c r="L4247">
        <v>17.890779999999999</v>
      </c>
      <c r="M4247">
        <v>0.9755684</v>
      </c>
      <c r="N4247">
        <v>0</v>
      </c>
      <c r="O4247">
        <v>-0.2195298</v>
      </c>
      <c r="P4247">
        <v>0.98207239999999996</v>
      </c>
      <c r="Q4247">
        <v>0.1044698</v>
      </c>
      <c r="R4247">
        <v>-0.15690779999999999</v>
      </c>
      <c r="S4247">
        <v>3.0714109999999999</v>
      </c>
      <c r="T4247">
        <v>-0.30486920000000001</v>
      </c>
      <c r="U4247">
        <v>-0.1118469</v>
      </c>
      <c r="V4247">
        <v>-6.4259079999999996E-2</v>
      </c>
      <c r="W4247">
        <v>0.1119757</v>
      </c>
      <c r="X4247">
        <v>0.99163109999999999</v>
      </c>
      <c r="Y4247">
        <v>-0.18193580000000001</v>
      </c>
      <c r="Z4247">
        <v>3.0579120000000001E-2</v>
      </c>
      <c r="AA4247">
        <v>0.98283480000000001</v>
      </c>
      <c r="AB4247">
        <v>33</v>
      </c>
      <c r="AC4247">
        <v>10.9359</v>
      </c>
      <c r="AD4247">
        <v>-1.1157271305480001</v>
      </c>
      <c r="AE4247">
        <v>-0.34520000000000101</v>
      </c>
      <c r="AF4247">
        <v>-2.0428225584157</v>
      </c>
      <c r="AG4247">
        <v>-1.1157271305480001</v>
      </c>
      <c r="AH4247">
        <v>10.6343103316936</v>
      </c>
      <c r="AI4247">
        <v>95.882646804801198</v>
      </c>
      <c r="AJ4247">
        <v>100.873903248868</v>
      </c>
      <c r="AK4247">
        <v>10.8860703316568</v>
      </c>
      <c r="AL4247">
        <v>83.570781501436002</v>
      </c>
      <c r="AM4247">
        <v>93.707662554559803</v>
      </c>
      <c r="AN4247">
        <v>1.0000000126200701</v>
      </c>
    </row>
    <row r="4248" spans="1:40" x14ac:dyDescent="0.25">
      <c r="A4248" t="str">
        <f>"20190312164354262"</f>
        <v>20190312164354262</v>
      </c>
      <c r="B4248" t="str">
        <f>"1552380234259556"</f>
        <v>1552380234259556</v>
      </c>
      <c r="C4248" t="s">
        <v>40</v>
      </c>
      <c r="D4248">
        <v>4.9410259999999999</v>
      </c>
      <c r="E4248">
        <v>0.45906069999999999</v>
      </c>
      <c r="F4248" t="s">
        <v>51</v>
      </c>
      <c r="G4248">
        <v>-381.73430000000002</v>
      </c>
      <c r="H4248" s="1">
        <v>-4.2784499999999997E-6</v>
      </c>
      <c r="I4248">
        <v>17.52608</v>
      </c>
      <c r="J4248">
        <v>-392.66520000000003</v>
      </c>
      <c r="K4248">
        <v>1.1158399999999999</v>
      </c>
      <c r="L4248">
        <v>17.827549999999999</v>
      </c>
      <c r="M4248">
        <v>0.97711700000000001</v>
      </c>
      <c r="N4248">
        <v>0</v>
      </c>
      <c r="O4248">
        <v>-0.21253050000000001</v>
      </c>
      <c r="P4248">
        <v>0.98298099999999999</v>
      </c>
      <c r="Q4248">
        <v>0.10426299999999999</v>
      </c>
      <c r="R4248">
        <v>-0.15125420000000001</v>
      </c>
      <c r="S4248">
        <v>3.0713200000000001</v>
      </c>
      <c r="T4248">
        <v>-0.30483080000000001</v>
      </c>
      <c r="U4248">
        <v>-9.9639889999999995E-2</v>
      </c>
      <c r="V4248">
        <v>-6.2890089999999996E-2</v>
      </c>
      <c r="W4248">
        <v>0.11178339999999901</v>
      </c>
      <c r="X4248">
        <v>0.99174050000000002</v>
      </c>
      <c r="Y4248">
        <v>-0.17883679999999999</v>
      </c>
      <c r="Z4248">
        <v>2.9748279999999998E-2</v>
      </c>
      <c r="AA4248">
        <v>0.98342890000000005</v>
      </c>
      <c r="AB4248">
        <v>33</v>
      </c>
      <c r="AC4248">
        <v>10.930899999999999</v>
      </c>
      <c r="AD4248">
        <v>-1.11584427845</v>
      </c>
      <c r="AE4248">
        <v>-0.30146999999999802</v>
      </c>
      <c r="AF4248">
        <v>-2.0077462402884199</v>
      </c>
      <c r="AG4248">
        <v>-1.11584427845</v>
      </c>
      <c r="AH4248">
        <v>10.6344985314859</v>
      </c>
      <c r="AI4248">
        <v>95.886702640612299</v>
      </c>
      <c r="AJ4248">
        <v>100.691348212894</v>
      </c>
      <c r="AK4248">
        <v>10.879738619806799</v>
      </c>
      <c r="AL4248">
        <v>83.581868722832894</v>
      </c>
      <c r="AM4248">
        <v>93.628487792297406</v>
      </c>
      <c r="AN4248">
        <v>0.99999995563800803</v>
      </c>
    </row>
    <row r="4249" spans="1:40" x14ac:dyDescent="0.25">
      <c r="A4249" t="str">
        <f>"20190312164354284"</f>
        <v>20190312164354284</v>
      </c>
      <c r="B4249" t="str">
        <f>"1552380234279076"</f>
        <v>1552380234279076</v>
      </c>
      <c r="C4249" t="s">
        <v>40</v>
      </c>
      <c r="D4249">
        <v>4.9001570000000001</v>
      </c>
      <c r="E4249">
        <v>0.45940589999999998</v>
      </c>
      <c r="F4249" t="s">
        <v>51</v>
      </c>
      <c r="G4249">
        <v>-381.40010000000001</v>
      </c>
      <c r="H4249" s="1">
        <v>-4.443398E-6</v>
      </c>
      <c r="I4249">
        <v>17.487010000000001</v>
      </c>
      <c r="J4249">
        <v>-392.3374</v>
      </c>
      <c r="K4249">
        <v>1.1159520000000001</v>
      </c>
      <c r="L4249">
        <v>17.763490000000001</v>
      </c>
      <c r="M4249">
        <v>0.97871390000000003</v>
      </c>
      <c r="N4249">
        <v>0</v>
      </c>
      <c r="O4249">
        <v>-0.20505019999999999</v>
      </c>
      <c r="P4249">
        <v>0.98404389999999997</v>
      </c>
      <c r="Q4249">
        <v>0.1031198</v>
      </c>
      <c r="R4249">
        <v>-0.14499690000000001</v>
      </c>
      <c r="S4249">
        <v>3.0699770000000002</v>
      </c>
      <c r="T4249">
        <v>-0.3040909</v>
      </c>
      <c r="U4249">
        <v>-9.2803960000000005E-2</v>
      </c>
      <c r="V4249">
        <v>-6.165226E-2</v>
      </c>
      <c r="W4249">
        <v>0.11065410000000001</v>
      </c>
      <c r="X4249">
        <v>0.99194490000000002</v>
      </c>
      <c r="Y4249">
        <v>-0.17355300000000001</v>
      </c>
      <c r="Z4249">
        <v>2.8705339999999999E-2</v>
      </c>
      <c r="AA4249">
        <v>0.98440609999999995</v>
      </c>
      <c r="AB4249">
        <v>33</v>
      </c>
      <c r="AC4249">
        <v>10.937299999999899</v>
      </c>
      <c r="AD4249">
        <v>-1.115956443398</v>
      </c>
      <c r="AE4249">
        <v>-0.276479999999999</v>
      </c>
      <c r="AF4249">
        <v>-1.95186617879562</v>
      </c>
      <c r="AG4249">
        <v>-1.115956443398</v>
      </c>
      <c r="AH4249">
        <v>10.650765741641701</v>
      </c>
      <c r="AI4249">
        <v>95.884173446851193</v>
      </c>
      <c r="AJ4249">
        <v>100.38482835017599</v>
      </c>
      <c r="AK4249">
        <v>10.885492696558</v>
      </c>
      <c r="AL4249">
        <v>83.646977119757096</v>
      </c>
      <c r="AM4249">
        <v>93.556524415600194</v>
      </c>
      <c r="AN4249">
        <v>1.0000000078229601</v>
      </c>
    </row>
    <row r="4250" spans="1:40" x14ac:dyDescent="0.25">
      <c r="A4250" t="str">
        <f>"20190312164354308"</f>
        <v>20190312164354308</v>
      </c>
      <c r="B4250" t="str">
        <f>"1552380234299572"</f>
        <v>1552380234299572</v>
      </c>
      <c r="C4250" t="s">
        <v>40</v>
      </c>
      <c r="D4250">
        <v>4.941859</v>
      </c>
      <c r="E4250">
        <v>0.4600262</v>
      </c>
      <c r="F4250" t="s">
        <v>51</v>
      </c>
      <c r="G4250">
        <v>-381.18889999999999</v>
      </c>
      <c r="H4250" s="1">
        <v>-4.542963E-6</v>
      </c>
      <c r="I4250">
        <v>17.488289999999999</v>
      </c>
      <c r="J4250">
        <v>-391.99250000000001</v>
      </c>
      <c r="K4250">
        <v>1.116052</v>
      </c>
      <c r="L4250">
        <v>17.69894</v>
      </c>
      <c r="M4250">
        <v>0.98034549999999998</v>
      </c>
      <c r="N4250">
        <v>0</v>
      </c>
      <c r="O4250">
        <v>-0.197102</v>
      </c>
      <c r="P4250">
        <v>0.98523269999999996</v>
      </c>
      <c r="Q4250">
        <v>0.1018638</v>
      </c>
      <c r="R4250">
        <v>-0.13762469999999999</v>
      </c>
      <c r="S4250">
        <v>3.0696409999999998</v>
      </c>
      <c r="T4250">
        <v>-0.30726979999999998</v>
      </c>
      <c r="U4250">
        <v>-7.5775149999999999E-2</v>
      </c>
      <c r="V4250">
        <v>-6.1065719999999997E-2</v>
      </c>
      <c r="W4250">
        <v>0.1094038</v>
      </c>
      <c r="X4250">
        <v>0.9921198</v>
      </c>
      <c r="Y4250">
        <v>-0.17102890000000001</v>
      </c>
      <c r="Z4250">
        <v>2.8106099999999998E-2</v>
      </c>
      <c r="AA4250">
        <v>0.98486510000000005</v>
      </c>
      <c r="AB4250">
        <v>34</v>
      </c>
      <c r="AC4250">
        <v>10.803599999999999</v>
      </c>
      <c r="AD4250">
        <v>-1.1160565429629901</v>
      </c>
      <c r="AE4250">
        <v>-0.210650000000001</v>
      </c>
      <c r="AF4250">
        <v>-1.9026749169417001</v>
      </c>
      <c r="AG4250">
        <v>-1.1160565429629901</v>
      </c>
      <c r="AH4250">
        <v>10.520936890590299</v>
      </c>
      <c r="AI4250">
        <v>95.959312301882093</v>
      </c>
      <c r="AJ4250">
        <v>100.250947144867</v>
      </c>
      <c r="AK4250">
        <v>10.7496914887095</v>
      </c>
      <c r="AL4250">
        <v>83.719051316706498</v>
      </c>
      <c r="AM4250">
        <v>93.522154924840507</v>
      </c>
      <c r="AN4250">
        <v>0.99999995558279797</v>
      </c>
    </row>
    <row r="4251" spans="1:40" x14ac:dyDescent="0.25">
      <c r="A4251" t="str">
        <f>"20190312164354329"</f>
        <v>20190312164354329</v>
      </c>
      <c r="B4251" t="str">
        <f>"1552380234319095"</f>
        <v>1552380234319095</v>
      </c>
      <c r="C4251" t="s">
        <v>40</v>
      </c>
      <c r="D4251">
        <v>4.987114</v>
      </c>
      <c r="E4251">
        <v>0.4469938</v>
      </c>
      <c r="F4251" t="s">
        <v>51</v>
      </c>
      <c r="G4251">
        <v>-380.88959999999997</v>
      </c>
      <c r="H4251" s="1">
        <v>-4.6840959999999996E-6</v>
      </c>
      <c r="I4251">
        <v>17.490489999999902</v>
      </c>
      <c r="J4251">
        <v>-391.67669999999998</v>
      </c>
      <c r="K4251">
        <v>1.116126</v>
      </c>
      <c r="L4251">
        <v>17.642299999999999</v>
      </c>
      <c r="M4251">
        <v>0.98179130000000003</v>
      </c>
      <c r="N4251">
        <v>0</v>
      </c>
      <c r="O4251">
        <v>-0.1897681</v>
      </c>
      <c r="P4251">
        <v>0.98625640000000003</v>
      </c>
      <c r="Q4251">
        <v>0.1011769</v>
      </c>
      <c r="R4251">
        <v>-0.13062019999999999</v>
      </c>
      <c r="S4251">
        <v>3.0688780000000002</v>
      </c>
      <c r="T4251">
        <v>-0.30847980000000003</v>
      </c>
      <c r="U4251">
        <v>-5.7617189999999999E-2</v>
      </c>
      <c r="V4251">
        <v>-6.0724960000000001E-2</v>
      </c>
      <c r="W4251">
        <v>0.10871980000000001</v>
      </c>
      <c r="X4251">
        <v>0.99221590000000004</v>
      </c>
      <c r="Y4251">
        <v>-0.16951189999999999</v>
      </c>
      <c r="Z4251">
        <v>2.7427859999999998E-2</v>
      </c>
      <c r="AA4251">
        <v>0.98514639999999998</v>
      </c>
      <c r="AB4251">
        <v>34</v>
      </c>
      <c r="AC4251">
        <v>10.787100000000001</v>
      </c>
      <c r="AD4251">
        <v>-1.1161306840959999</v>
      </c>
      <c r="AE4251">
        <v>-0.151810000000001</v>
      </c>
      <c r="AF4251">
        <v>-1.8779706114123</v>
      </c>
      <c r="AG4251">
        <v>-1.1161306840959999</v>
      </c>
      <c r="AH4251">
        <v>10.5074137018283</v>
      </c>
      <c r="AI4251">
        <v>95.969506296090898</v>
      </c>
      <c r="AJ4251">
        <v>100.133373404607</v>
      </c>
      <c r="AK4251">
        <v>10.732113679172301</v>
      </c>
      <c r="AL4251">
        <v>83.758476796385693</v>
      </c>
      <c r="AM4251">
        <v>93.502211208805093</v>
      </c>
      <c r="AN4251">
        <v>0.999999953945924</v>
      </c>
    </row>
    <row r="4252" spans="1:40" x14ac:dyDescent="0.25">
      <c r="A4252" t="str">
        <f>"20190312164354352"</f>
        <v>20190312164354352</v>
      </c>
      <c r="B4252" t="str">
        <f>"1552380234349349"</f>
        <v>1552380234349349</v>
      </c>
      <c r="C4252" t="s">
        <v>40</v>
      </c>
      <c r="D4252">
        <v>4.9372150000000001</v>
      </c>
      <c r="E4252">
        <v>0.44721529999999998</v>
      </c>
      <c r="F4252" t="s">
        <v>51</v>
      </c>
      <c r="G4252">
        <v>-380.65249999999997</v>
      </c>
      <c r="H4252" s="1">
        <v>-4.7264000000000002E-6</v>
      </c>
      <c r="I4252">
        <v>17.883710000000001</v>
      </c>
      <c r="J4252">
        <v>-391.34589999999997</v>
      </c>
      <c r="K4252">
        <v>1.1162000000000001</v>
      </c>
      <c r="L4252">
        <v>17.585629999999998</v>
      </c>
      <c r="M4252">
        <v>0.98325260000000003</v>
      </c>
      <c r="N4252">
        <v>0</v>
      </c>
      <c r="O4252">
        <v>-0.1820454</v>
      </c>
      <c r="P4252">
        <v>0.98724959999999995</v>
      </c>
      <c r="Q4252">
        <v>0.10060280000000001</v>
      </c>
      <c r="R4252">
        <v>-0.1233592</v>
      </c>
      <c r="S4252">
        <v>3.0827330000000002</v>
      </c>
      <c r="T4252">
        <v>-0.31210769999999999</v>
      </c>
      <c r="U4252">
        <v>6.7504880000000003E-2</v>
      </c>
      <c r="V4252">
        <v>-6.024989E-2</v>
      </c>
      <c r="W4252">
        <v>0.108152</v>
      </c>
      <c r="X4252">
        <v>0.99230689999999999</v>
      </c>
      <c r="Y4252">
        <v>-0.2015808</v>
      </c>
      <c r="Z4252">
        <v>2.8491160000000001E-2</v>
      </c>
      <c r="AA4252">
        <v>0.97905739999999997</v>
      </c>
      <c r="AB4252">
        <v>34</v>
      </c>
      <c r="AC4252">
        <v>10.693399999999899</v>
      </c>
      <c r="AD4252">
        <v>-1.1162047263999999</v>
      </c>
      <c r="AE4252">
        <v>0.29808000000000201</v>
      </c>
      <c r="AF4252">
        <v>-2.2157316086021401</v>
      </c>
      <c r="AG4252">
        <v>-1.1162047263999999</v>
      </c>
      <c r="AH4252">
        <v>10.347776266671399</v>
      </c>
      <c r="AI4252">
        <v>96.021183364982207</v>
      </c>
      <c r="AJ4252">
        <v>102.08602700343199</v>
      </c>
      <c r="AK4252">
        <v>10.6410456825297</v>
      </c>
      <c r="AL4252">
        <v>83.791202248249903</v>
      </c>
      <c r="AM4252">
        <v>93.474561850512202</v>
      </c>
      <c r="AN4252">
        <v>0.99999994406830905</v>
      </c>
    </row>
    <row r="4253" spans="1:40" x14ac:dyDescent="0.25">
      <c r="A4253" t="str">
        <f>"20190312164354374"</f>
        <v>20190312164354374</v>
      </c>
      <c r="B4253" t="str">
        <f>"1552380234368869"</f>
        <v>1552380234368869</v>
      </c>
      <c r="C4253" t="s">
        <v>40</v>
      </c>
      <c r="D4253">
        <v>5.0022769999999896</v>
      </c>
      <c r="E4253">
        <v>0.44712879999999999</v>
      </c>
      <c r="F4253" t="s">
        <v>52</v>
      </c>
      <c r="G4253">
        <v>-377.32709999999997</v>
      </c>
      <c r="H4253" s="1">
        <v>-1.5367390000000001E-6</v>
      </c>
      <c r="I4253">
        <v>17.96585</v>
      </c>
      <c r="J4253">
        <v>-391.01679999999999</v>
      </c>
      <c r="K4253">
        <v>1.1162650000000001</v>
      </c>
      <c r="L4253">
        <v>17.531890000000001</v>
      </c>
      <c r="M4253">
        <v>0.98464929999999995</v>
      </c>
      <c r="N4253">
        <v>0</v>
      </c>
      <c r="O4253">
        <v>-0.1743326</v>
      </c>
      <c r="P4253">
        <v>0.98798209999999997</v>
      </c>
      <c r="Q4253">
        <v>0.10118779999999999</v>
      </c>
      <c r="R4253">
        <v>-0.11684410000000001</v>
      </c>
      <c r="S4253">
        <v>3.0740660000000002</v>
      </c>
      <c r="T4253">
        <v>-0.24476210000000001</v>
      </c>
      <c r="U4253">
        <v>8.3374019999999993E-2</v>
      </c>
      <c r="V4253">
        <v>-5.9033679999999998E-2</v>
      </c>
      <c r="W4253">
        <v>0.1087568</v>
      </c>
      <c r="X4253">
        <v>0.99231389999999997</v>
      </c>
      <c r="Y4253">
        <v>-0.1997912</v>
      </c>
      <c r="Z4253">
        <v>2.1751159999999999E-2</v>
      </c>
      <c r="AA4253">
        <v>0.97959700000000005</v>
      </c>
      <c r="AB4253">
        <v>34</v>
      </c>
      <c r="AC4253">
        <v>13.6897</v>
      </c>
      <c r="AD4253">
        <v>-1.1162665367389999</v>
      </c>
      <c r="AE4253">
        <v>0.43395999999999801</v>
      </c>
      <c r="AF4253">
        <v>-2.7953958132302401</v>
      </c>
      <c r="AG4253">
        <v>-1.1162665367389999</v>
      </c>
      <c r="AH4253">
        <v>13.315948299680199</v>
      </c>
      <c r="AI4253">
        <v>94.690099973926706</v>
      </c>
      <c r="AJ4253">
        <v>101.855850340011</v>
      </c>
      <c r="AK4253">
        <v>13.6519144391336</v>
      </c>
      <c r="AL4253">
        <v>83.756344160560602</v>
      </c>
      <c r="AM4253">
        <v>93.404566730737102</v>
      </c>
      <c r="AN4253">
        <v>0.99999994652689395</v>
      </c>
    </row>
    <row r="4254" spans="1:40" x14ac:dyDescent="0.25">
      <c r="A4254" t="str">
        <f>"20190312164354397"</f>
        <v>20190312164354397</v>
      </c>
      <c r="B4254" t="str">
        <f>"1552380234389364"</f>
        <v>1552380234389364</v>
      </c>
      <c r="C4254" t="s">
        <v>40</v>
      </c>
      <c r="D4254">
        <v>4.9956209999999999</v>
      </c>
      <c r="E4254">
        <v>0.4471793</v>
      </c>
      <c r="F4254" t="s">
        <v>52</v>
      </c>
      <c r="G4254">
        <v>-376.90679999999998</v>
      </c>
      <c r="H4254" s="1">
        <v>-1.726887E-6</v>
      </c>
      <c r="I4254">
        <v>18.013929999999998</v>
      </c>
      <c r="J4254">
        <v>-390.6771</v>
      </c>
      <c r="K4254">
        <v>1.1163270000000001</v>
      </c>
      <c r="L4254">
        <v>17.479099999999999</v>
      </c>
      <c r="M4254">
        <v>0.98602849999999997</v>
      </c>
      <c r="N4254">
        <v>0</v>
      </c>
      <c r="O4254">
        <v>-0.16635369999999999</v>
      </c>
      <c r="P4254">
        <v>0.98868920000000005</v>
      </c>
      <c r="Q4254">
        <v>0.1010395</v>
      </c>
      <c r="R4254">
        <v>-0.11083610000000001</v>
      </c>
      <c r="S4254">
        <v>3.0738219999999998</v>
      </c>
      <c r="T4254">
        <v>-0.24317459999999999</v>
      </c>
      <c r="U4254">
        <v>0.10501099999999999</v>
      </c>
      <c r="V4254">
        <v>-5.7045520000000002E-2</v>
      </c>
      <c r="W4254">
        <v>0.108644</v>
      </c>
      <c r="X4254">
        <v>0.99244259999999995</v>
      </c>
      <c r="Y4254">
        <v>-0.19879269999999999</v>
      </c>
      <c r="Z4254">
        <v>2.0948649999999999E-2</v>
      </c>
      <c r="AA4254">
        <v>0.97981759999999996</v>
      </c>
      <c r="AB4254">
        <v>34</v>
      </c>
      <c r="AC4254">
        <v>13.770300000000001</v>
      </c>
      <c r="AD4254">
        <v>-1.1163287268869999</v>
      </c>
      <c r="AE4254">
        <v>0.53482999999999903</v>
      </c>
      <c r="AF4254">
        <v>-2.7998298368167802</v>
      </c>
      <c r="AG4254">
        <v>-1.1163287268869999</v>
      </c>
      <c r="AH4254">
        <v>13.4014961258173</v>
      </c>
      <c r="AI4254">
        <v>94.6614912938023</v>
      </c>
      <c r="AJ4254">
        <v>101.800456475072</v>
      </c>
      <c r="AK4254">
        <v>13.7362780749335</v>
      </c>
      <c r="AL4254">
        <v>83.762846060233699</v>
      </c>
      <c r="AM4254">
        <v>93.289736904721707</v>
      </c>
      <c r="AN4254">
        <v>1.0000000121914101</v>
      </c>
    </row>
    <row r="4255" spans="1:40" x14ac:dyDescent="0.25">
      <c r="A4255" t="str">
        <f>"20190312164354420"</f>
        <v>20190312164354420</v>
      </c>
      <c r="B4255" t="str">
        <f>"1552380234408883"</f>
        <v>1552380234408883</v>
      </c>
      <c r="C4255" t="s">
        <v>40</v>
      </c>
      <c r="D4255">
        <v>5.0401610000000003</v>
      </c>
      <c r="E4255">
        <v>0.44734629999999997</v>
      </c>
      <c r="F4255" t="s">
        <v>52</v>
      </c>
      <c r="G4255">
        <v>-378.10629999999998</v>
      </c>
      <c r="H4255" s="1">
        <v>-1.163002E-6</v>
      </c>
      <c r="I4255">
        <v>17.996229999999901</v>
      </c>
      <c r="J4255">
        <v>-390.33800000000002</v>
      </c>
      <c r="K4255">
        <v>1.1163730000000001</v>
      </c>
      <c r="L4255">
        <v>17.429110000000001</v>
      </c>
      <c r="M4255">
        <v>0.98734060000000001</v>
      </c>
      <c r="N4255">
        <v>0</v>
      </c>
      <c r="O4255">
        <v>-0.15838050000000001</v>
      </c>
      <c r="P4255">
        <v>0.98929690000000003</v>
      </c>
      <c r="Q4255">
        <v>0.1015778</v>
      </c>
      <c r="R4255">
        <v>-0.1047568</v>
      </c>
      <c r="S4255">
        <v>3.076416</v>
      </c>
      <c r="T4255">
        <v>-0.27319559999999998</v>
      </c>
      <c r="U4255">
        <v>0.12655640000000001</v>
      </c>
      <c r="V4255">
        <v>-5.5139059999999997E-2</v>
      </c>
      <c r="W4255">
        <v>0.1092176</v>
      </c>
      <c r="X4255">
        <v>0.99248740000000002</v>
      </c>
      <c r="Y4255">
        <v>-0.19744030000000001</v>
      </c>
      <c r="Z4255">
        <v>2.2744239999999999E-2</v>
      </c>
      <c r="AA4255">
        <v>0.98005100000000001</v>
      </c>
      <c r="AB4255">
        <v>34</v>
      </c>
      <c r="AC4255">
        <v>12.2317</v>
      </c>
      <c r="AD4255">
        <v>-1.1163741630020001</v>
      </c>
      <c r="AE4255">
        <v>0.56711999999999496</v>
      </c>
      <c r="AF4255">
        <v>-2.47670918486256</v>
      </c>
      <c r="AG4255">
        <v>-1.1163741630020001</v>
      </c>
      <c r="AH4255">
        <v>11.8886574616107</v>
      </c>
      <c r="AI4255">
        <v>95.252370489128197</v>
      </c>
      <c r="AJ4255">
        <v>101.767852663225</v>
      </c>
      <c r="AK4255">
        <v>12.195103767402401</v>
      </c>
      <c r="AL4255">
        <v>83.729784509337804</v>
      </c>
      <c r="AM4255">
        <v>93.179880253916707</v>
      </c>
      <c r="AN4255">
        <v>1.0000000196231</v>
      </c>
    </row>
    <row r="4256" spans="1:40" x14ac:dyDescent="0.25">
      <c r="A4256" t="str">
        <f>"20190312164354443"</f>
        <v>20190312164354443</v>
      </c>
      <c r="B4256" t="str">
        <f>"1552380234439140"</f>
        <v>1552380234439140</v>
      </c>
      <c r="C4256" t="s">
        <v>40</v>
      </c>
      <c r="D4256">
        <v>5.0761570000000003</v>
      </c>
      <c r="E4256">
        <v>0.4480866</v>
      </c>
      <c r="F4256" t="s">
        <v>52</v>
      </c>
      <c r="G4256">
        <v>-378.18259999999998</v>
      </c>
      <c r="H4256" s="1">
        <v>-1.1257390000000001E-6</v>
      </c>
      <c r="I4256">
        <v>18.002859999999998</v>
      </c>
      <c r="J4256">
        <v>-390.01339999999999</v>
      </c>
      <c r="K4256">
        <v>1.1164259999999999</v>
      </c>
      <c r="L4256">
        <v>17.384</v>
      </c>
      <c r="M4256">
        <v>0.98853449999999998</v>
      </c>
      <c r="N4256">
        <v>0</v>
      </c>
      <c r="O4256">
        <v>-0.15074849999999901</v>
      </c>
      <c r="P4256">
        <v>0.98974010000000001</v>
      </c>
      <c r="Q4256">
        <v>0.1029939</v>
      </c>
      <c r="R4256">
        <v>-9.9031250000000001E-2</v>
      </c>
      <c r="S4256">
        <v>3.0768430000000002</v>
      </c>
      <c r="T4256">
        <v>-0.28258450000000002</v>
      </c>
      <c r="U4256">
        <v>0.14523320000000001</v>
      </c>
      <c r="V4256">
        <v>-5.3227410000000003E-2</v>
      </c>
      <c r="W4256">
        <v>0.1106683</v>
      </c>
      <c r="X4256">
        <v>0.99243099999999995</v>
      </c>
      <c r="Y4256">
        <v>-0.1957431</v>
      </c>
      <c r="Z4256">
        <v>2.2746329999999999E-2</v>
      </c>
      <c r="AA4256">
        <v>0.98039140000000002</v>
      </c>
      <c r="AB4256">
        <v>34</v>
      </c>
      <c r="AC4256">
        <v>11.8308</v>
      </c>
      <c r="AD4256">
        <v>-1.1164271257389999</v>
      </c>
      <c r="AE4256">
        <v>0.61886000000000096</v>
      </c>
      <c r="AF4256">
        <v>-2.3742440784900598</v>
      </c>
      <c r="AG4256">
        <v>-1.1164271257389999</v>
      </c>
      <c r="AH4256">
        <v>11.5001643606758</v>
      </c>
      <c r="AI4256">
        <v>95.431026170623497</v>
      </c>
      <c r="AJ4256">
        <v>101.664999681287</v>
      </c>
      <c r="AK4256">
        <v>11.795644314486999</v>
      </c>
      <c r="AL4256">
        <v>83.646158185324893</v>
      </c>
      <c r="AM4256">
        <v>93.070023796377697</v>
      </c>
      <c r="AN4256">
        <v>0.99999995978059797</v>
      </c>
    </row>
    <row r="4257" spans="1:40" x14ac:dyDescent="0.25">
      <c r="A4257" t="str">
        <f>"20190312164354469"</f>
        <v>20190312164354469</v>
      </c>
      <c r="B4257" t="str">
        <f>"1552380234459636"</f>
        <v>1552380234459636</v>
      </c>
      <c r="C4257" t="s">
        <v>40</v>
      </c>
      <c r="D4257">
        <v>4.9952230000000002</v>
      </c>
      <c r="E4257">
        <v>0.44828869999999998</v>
      </c>
      <c r="F4257" t="s">
        <v>52</v>
      </c>
      <c r="G4257">
        <v>-378.03320000000002</v>
      </c>
      <c r="H4257" s="1">
        <v>-1.197978E-6</v>
      </c>
      <c r="I4257">
        <v>17.993870000000001</v>
      </c>
      <c r="J4257">
        <v>-389.60969999999998</v>
      </c>
      <c r="K4257">
        <v>1.1164769999999999</v>
      </c>
      <c r="L4257">
        <v>17.331669999999999</v>
      </c>
      <c r="M4257">
        <v>0.98993189999999998</v>
      </c>
      <c r="N4257">
        <v>0</v>
      </c>
      <c r="O4257">
        <v>-0.14128019999999999</v>
      </c>
      <c r="P4257">
        <v>0.99008030000000002</v>
      </c>
      <c r="Q4257">
        <v>0.1061681</v>
      </c>
      <c r="R4257">
        <v>-9.2028940000000004E-2</v>
      </c>
      <c r="S4257">
        <v>3.0765690000000001</v>
      </c>
      <c r="T4257">
        <v>-0.28670449999999997</v>
      </c>
      <c r="U4257">
        <v>0.15661620000000001</v>
      </c>
      <c r="V4257">
        <v>-5.0764910000000003E-2</v>
      </c>
      <c r="W4257">
        <v>0.1138875</v>
      </c>
      <c r="X4257">
        <v>0.99219579999999996</v>
      </c>
      <c r="Y4257">
        <v>-0.1900019</v>
      </c>
      <c r="Z4257">
        <v>2.1936379999999998E-2</v>
      </c>
      <c r="AA4257">
        <v>0.98153860000000004</v>
      </c>
      <c r="AB4257">
        <v>34</v>
      </c>
      <c r="AC4257">
        <v>11.5764999999999</v>
      </c>
      <c r="AD4257">
        <v>-1.1164781979780001</v>
      </c>
      <c r="AE4257">
        <v>0.66219999999999801</v>
      </c>
      <c r="AF4257">
        <v>-2.27010260752402</v>
      </c>
      <c r="AG4257">
        <v>-1.1164781979780001</v>
      </c>
      <c r="AH4257">
        <v>11.262401789467299</v>
      </c>
      <c r="AI4257">
        <v>95.550504835418394</v>
      </c>
      <c r="AJ4257">
        <v>101.396108931405</v>
      </c>
      <c r="AK4257">
        <v>11.543031815023401</v>
      </c>
      <c r="AL4257">
        <v>83.460537895538707</v>
      </c>
      <c r="AM4257">
        <v>92.9289390613432</v>
      </c>
      <c r="AN4257">
        <v>0.99999997214059799</v>
      </c>
    </row>
    <row r="4258" spans="1:40" x14ac:dyDescent="0.25">
      <c r="A4258" t="str">
        <f>"20190312164354486"</f>
        <v>20190312164354486</v>
      </c>
      <c r="B4258" t="str">
        <f>"1552380234479156"</f>
        <v>1552380234479156</v>
      </c>
      <c r="C4258" t="s">
        <v>40</v>
      </c>
      <c r="D4258">
        <v>5.0585230000000001</v>
      </c>
      <c r="E4258">
        <v>0.44830700000000001</v>
      </c>
      <c r="F4258" t="s">
        <v>52</v>
      </c>
      <c r="G4258">
        <v>-377.18540000000002</v>
      </c>
      <c r="H4258" s="1">
        <v>-1.5901860000000001E-6</v>
      </c>
      <c r="I4258">
        <v>18.042149999999999</v>
      </c>
      <c r="J4258">
        <v>-389.33339999999998</v>
      </c>
      <c r="K4258">
        <v>1.1164959999999999</v>
      </c>
      <c r="L4258">
        <v>17.297910000000002</v>
      </c>
      <c r="M4258">
        <v>0.99083359999999998</v>
      </c>
      <c r="N4258">
        <v>0</v>
      </c>
      <c r="O4258">
        <v>-0.13481119999999999</v>
      </c>
      <c r="P4258">
        <v>0.9901953</v>
      </c>
      <c r="Q4258">
        <v>0.1080382</v>
      </c>
      <c r="R4258">
        <v>-8.8552270000000002E-2</v>
      </c>
      <c r="S4258">
        <v>3.07605</v>
      </c>
      <c r="T4258">
        <v>-0.27642099999999997</v>
      </c>
      <c r="U4258">
        <v>0.17590329999999901</v>
      </c>
      <c r="V4258">
        <v>-4.777667E-2</v>
      </c>
      <c r="W4258">
        <v>0.1158125</v>
      </c>
      <c r="X4258">
        <v>0.99212140000000004</v>
      </c>
      <c r="Y4258">
        <v>-0.18986249999999999</v>
      </c>
      <c r="Z4258">
        <v>2.0571289999999999E-2</v>
      </c>
      <c r="AA4258">
        <v>0.9815952</v>
      </c>
      <c r="AB4258">
        <v>34</v>
      </c>
      <c r="AC4258">
        <v>12.1479999999999</v>
      </c>
      <c r="AD4258">
        <v>-1.1164975901859999</v>
      </c>
      <c r="AE4258">
        <v>0.74423999999999702</v>
      </c>
      <c r="AF4258">
        <v>-2.3553716036723902</v>
      </c>
      <c r="AG4258">
        <v>-1.1164975901859999</v>
      </c>
      <c r="AH4258">
        <v>11.8371453476504</v>
      </c>
      <c r="AI4258">
        <v>95.285272193124001</v>
      </c>
      <c r="AJ4258">
        <v>101.253803992169</v>
      </c>
      <c r="AK4258">
        <v>12.1207405814033</v>
      </c>
      <c r="AL4258">
        <v>83.3495090474417</v>
      </c>
      <c r="AM4258">
        <v>92.757009849286206</v>
      </c>
      <c r="AN4258">
        <v>1.0000000088452401</v>
      </c>
    </row>
    <row r="4259" spans="1:40" x14ac:dyDescent="0.25">
      <c r="A4259" t="str">
        <f>"20190312164354510"</f>
        <v>20190312164354510</v>
      </c>
      <c r="B4259" t="str">
        <f>"1552380234499652"</f>
        <v>1552380234499652</v>
      </c>
      <c r="C4259" t="s">
        <v>40</v>
      </c>
      <c r="D4259">
        <v>5.0353719999999997</v>
      </c>
      <c r="E4259">
        <v>0.44866820000000002</v>
      </c>
      <c r="F4259" t="s">
        <v>52</v>
      </c>
      <c r="G4259">
        <v>-376.75130000000001</v>
      </c>
      <c r="H4259" s="1">
        <v>-1.7918219999999999E-6</v>
      </c>
      <c r="I4259">
        <v>18.062180000000001</v>
      </c>
      <c r="J4259">
        <v>-388.99369999999999</v>
      </c>
      <c r="K4259">
        <v>1.1165130000000001</v>
      </c>
      <c r="L4259">
        <v>17.25891</v>
      </c>
      <c r="M4259">
        <v>0.99187780000000003</v>
      </c>
      <c r="N4259">
        <v>0</v>
      </c>
      <c r="O4259">
        <v>-0.12689900000000001</v>
      </c>
      <c r="P4259">
        <v>0.99064799999999997</v>
      </c>
      <c r="Q4259">
        <v>0.1081857</v>
      </c>
      <c r="R4259">
        <v>-8.3139630000000006E-2</v>
      </c>
      <c r="S4259">
        <v>3.0762330000000002</v>
      </c>
      <c r="T4259">
        <v>-0.27297650000000001</v>
      </c>
      <c r="U4259">
        <v>0.1868591</v>
      </c>
      <c r="V4259">
        <v>-4.5283289999999997E-2</v>
      </c>
      <c r="W4259">
        <v>0.1160081</v>
      </c>
      <c r="X4259">
        <v>0.99221550000000003</v>
      </c>
      <c r="Y4259">
        <v>-0.18558749999999999</v>
      </c>
      <c r="Z4259">
        <v>1.9427300000000002E-2</v>
      </c>
      <c r="AA4259">
        <v>0.98243570000000002</v>
      </c>
      <c r="AB4259">
        <v>34</v>
      </c>
      <c r="AC4259">
        <v>12.2423999999999</v>
      </c>
      <c r="AD4259">
        <v>-1.116514791822</v>
      </c>
      <c r="AE4259">
        <v>0.80326999999999704</v>
      </c>
      <c r="AF4259">
        <v>-2.3310764765198599</v>
      </c>
      <c r="AG4259">
        <v>-1.116514791822</v>
      </c>
      <c r="AH4259">
        <v>11.9425753768662</v>
      </c>
      <c r="AI4259">
        <v>95.242702656280599</v>
      </c>
      <c r="AJ4259">
        <v>101.04472002278</v>
      </c>
      <c r="AK4259">
        <v>12.2190682726578</v>
      </c>
      <c r="AL4259">
        <v>83.338226063052801</v>
      </c>
      <c r="AM4259">
        <v>92.613083826923898</v>
      </c>
      <c r="AN4259">
        <v>1.0000000270295399</v>
      </c>
    </row>
    <row r="4260" spans="1:40" x14ac:dyDescent="0.25">
      <c r="A4260" t="str">
        <f>"20190312164354531"</f>
        <v>20190312164354531</v>
      </c>
      <c r="B4260" t="str">
        <f>"1552380234519175"</f>
        <v>1552380234519175</v>
      </c>
      <c r="C4260" t="s">
        <v>40</v>
      </c>
      <c r="D4260">
        <v>5.0724150000000003</v>
      </c>
      <c r="E4260">
        <v>0.4491213</v>
      </c>
      <c r="F4260" t="s">
        <v>52</v>
      </c>
      <c r="G4260">
        <v>-376.62520000000001</v>
      </c>
      <c r="H4260" s="1">
        <v>-1.85062E-6</v>
      </c>
      <c r="I4260">
        <v>18.066849999999999</v>
      </c>
      <c r="J4260">
        <v>-388.66930000000002</v>
      </c>
      <c r="K4260">
        <v>1.116498</v>
      </c>
      <c r="L4260">
        <v>17.224150000000002</v>
      </c>
      <c r="M4260">
        <v>0.99280769999999996</v>
      </c>
      <c r="N4260">
        <v>0</v>
      </c>
      <c r="O4260">
        <v>-0.119406399999999</v>
      </c>
      <c r="P4260">
        <v>0.99133349999999998</v>
      </c>
      <c r="Q4260">
        <v>0.1062439</v>
      </c>
      <c r="R4260">
        <v>-7.7267939999999993E-2</v>
      </c>
      <c r="S4260">
        <v>3.0754700000000001</v>
      </c>
      <c r="T4260">
        <v>-0.27762389999999998</v>
      </c>
      <c r="U4260">
        <v>0.2008972</v>
      </c>
      <c r="V4260">
        <v>-4.3659709999999997E-2</v>
      </c>
      <c r="W4260">
        <v>0.1141006</v>
      </c>
      <c r="X4260">
        <v>0.99250939999999999</v>
      </c>
      <c r="Y4260">
        <v>-0.18265039999999999</v>
      </c>
      <c r="Z4260">
        <v>1.8955679999999999E-2</v>
      </c>
      <c r="AA4260">
        <v>0.98299519999999996</v>
      </c>
      <c r="AB4260">
        <v>34</v>
      </c>
      <c r="AC4260">
        <v>12.0441</v>
      </c>
      <c r="AD4260">
        <v>-1.1164998506199999</v>
      </c>
      <c r="AE4260">
        <v>0.84269999999999701</v>
      </c>
      <c r="AF4260">
        <v>-2.2555781425110699</v>
      </c>
      <c r="AG4260">
        <v>-1.1164998506199999</v>
      </c>
      <c r="AH4260">
        <v>11.756756835983801</v>
      </c>
      <c r="AI4260">
        <v>95.328317667489401</v>
      </c>
      <c r="AJ4260">
        <v>100.860444735111</v>
      </c>
      <c r="AK4260">
        <v>12.0231250502463</v>
      </c>
      <c r="AL4260">
        <v>83.448248322197003</v>
      </c>
      <c r="AM4260">
        <v>92.518772585312306</v>
      </c>
      <c r="AN4260">
        <v>1.000000013143</v>
      </c>
    </row>
    <row r="4261" spans="1:40" x14ac:dyDescent="0.25">
      <c r="A4261" t="str">
        <f>"20190312164354553"</f>
        <v>20190312164354553</v>
      </c>
      <c r="B4261" t="str">
        <f>"1552380234549427"</f>
        <v>1552380234549427</v>
      </c>
      <c r="C4261" t="s">
        <v>40</v>
      </c>
      <c r="D4261">
        <v>5.0843980000000002</v>
      </c>
      <c r="E4261">
        <v>0.4499245</v>
      </c>
      <c r="F4261" t="s">
        <v>52</v>
      </c>
      <c r="G4261">
        <v>-376.74720000000002</v>
      </c>
      <c r="H4261" s="1">
        <v>-1.7939450000000001E-6</v>
      </c>
      <c r="I4261">
        <v>18.0611</v>
      </c>
      <c r="J4261">
        <v>-388.33699999999999</v>
      </c>
      <c r="K4261">
        <v>1.116452</v>
      </c>
      <c r="L4261">
        <v>17.19098</v>
      </c>
      <c r="M4261">
        <v>0.99368970000000001</v>
      </c>
      <c r="N4261">
        <v>0</v>
      </c>
      <c r="O4261">
        <v>-0.111830399999999</v>
      </c>
      <c r="P4261">
        <v>0.99185279999999998</v>
      </c>
      <c r="Q4261">
        <v>0.1050381</v>
      </c>
      <c r="R4261">
        <v>-7.2079859999999996E-2</v>
      </c>
      <c r="S4261">
        <v>3.0738530000000002</v>
      </c>
      <c r="T4261">
        <v>-0.2878655</v>
      </c>
      <c r="U4261">
        <v>0.2157898</v>
      </c>
      <c r="V4261">
        <v>-4.126515E-2</v>
      </c>
      <c r="W4261">
        <v>0.1129423</v>
      </c>
      <c r="X4261">
        <v>0.99274430000000002</v>
      </c>
      <c r="Y4261">
        <v>-0.17987899999999901</v>
      </c>
      <c r="Z4261">
        <v>1.8825600000000001E-2</v>
      </c>
      <c r="AA4261">
        <v>0.98350859999999996</v>
      </c>
      <c r="AB4261">
        <v>34</v>
      </c>
      <c r="AC4261">
        <v>11.589799999999901</v>
      </c>
      <c r="AD4261">
        <v>-1.1164537939450001</v>
      </c>
      <c r="AE4261">
        <v>0.87012</v>
      </c>
      <c r="AF4261">
        <v>-2.1410453012900201</v>
      </c>
      <c r="AG4261">
        <v>-1.1164537939450001</v>
      </c>
      <c r="AH4261">
        <v>11.3153721003663</v>
      </c>
      <c r="AI4261">
        <v>95.537337167749399</v>
      </c>
      <c r="AJ4261">
        <v>100.714585811169</v>
      </c>
      <c r="AK4261">
        <v>11.570142169651101</v>
      </c>
      <c r="AL4261">
        <v>83.515045818625197</v>
      </c>
      <c r="AM4261">
        <v>92.380228886956601</v>
      </c>
      <c r="AN4261">
        <v>1.0000000104581499</v>
      </c>
    </row>
    <row r="4262" spans="1:40" x14ac:dyDescent="0.25">
      <c r="A4262" t="str">
        <f>"20190312164354575"</f>
        <v>20190312164354575</v>
      </c>
      <c r="B4262" t="str">
        <f>"1552380234568949"</f>
        <v>1552380234568949</v>
      </c>
      <c r="C4262" t="s">
        <v>40</v>
      </c>
      <c r="D4262">
        <v>4.9710279999999996</v>
      </c>
      <c r="E4262">
        <v>0.45032030000000001</v>
      </c>
      <c r="F4262" t="s">
        <v>52</v>
      </c>
      <c r="G4262">
        <v>-376.66539999999998</v>
      </c>
      <c r="H4262" s="1">
        <v>-1.8343149999999999E-6</v>
      </c>
      <c r="I4262">
        <v>18.051580000000001</v>
      </c>
      <c r="J4262">
        <v>-387.99560000000002</v>
      </c>
      <c r="K4262">
        <v>1.1163799999999999</v>
      </c>
      <c r="L4262">
        <v>17.159420000000001</v>
      </c>
      <c r="M4262">
        <v>0.99451940000000005</v>
      </c>
      <c r="N4262">
        <v>0</v>
      </c>
      <c r="O4262">
        <v>-0.1041936</v>
      </c>
      <c r="P4262">
        <v>0.99237920000000002</v>
      </c>
      <c r="Q4262">
        <v>0.1035112</v>
      </c>
      <c r="R4262">
        <v>-6.6851690000000005E-2</v>
      </c>
      <c r="S4262">
        <v>3.0722659999999999</v>
      </c>
      <c r="T4262">
        <v>-0.29387950000000002</v>
      </c>
      <c r="U4262">
        <v>0.22653200000000001</v>
      </c>
      <c r="V4262">
        <v>-3.884029E-2</v>
      </c>
      <c r="W4262">
        <v>0.11146250000000001</v>
      </c>
      <c r="X4262">
        <v>0.99300929999999998</v>
      </c>
      <c r="Y4262">
        <v>-0.17577779999999901</v>
      </c>
      <c r="Z4262">
        <v>1.8303570000000002E-2</v>
      </c>
      <c r="AA4262">
        <v>0.98425969999999996</v>
      </c>
      <c r="AB4262">
        <v>34</v>
      </c>
      <c r="AC4262">
        <v>11.3302</v>
      </c>
      <c r="AD4262">
        <v>-1.1163818343149901</v>
      </c>
      <c r="AE4262">
        <v>0.89215999999999696</v>
      </c>
      <c r="AF4262">
        <v>-2.0481205826674</v>
      </c>
      <c r="AG4262">
        <v>-1.1163818343149901</v>
      </c>
      <c r="AH4262">
        <v>11.068766134558199</v>
      </c>
      <c r="AI4262">
        <v>95.663801596735993</v>
      </c>
      <c r="AJ4262">
        <v>100.48321438417101</v>
      </c>
      <c r="AK4262">
        <v>11.3118826931098</v>
      </c>
      <c r="AL4262">
        <v>83.600370614484703</v>
      </c>
      <c r="AM4262">
        <v>92.239909407740697</v>
      </c>
      <c r="AN4262">
        <v>0.99999996346001097</v>
      </c>
    </row>
    <row r="4263" spans="1:40" x14ac:dyDescent="0.25">
      <c r="A4263" t="str">
        <f>"20190312164354598"</f>
        <v>20190312164354598</v>
      </c>
      <c r="B4263" t="str">
        <f>"1552380234589447"</f>
        <v>1552380234589447</v>
      </c>
      <c r="C4263" t="s">
        <v>40</v>
      </c>
      <c r="D4263">
        <v>5.0779860000000001</v>
      </c>
      <c r="E4263">
        <v>0.45067390000000002</v>
      </c>
      <c r="F4263" t="s">
        <v>52</v>
      </c>
      <c r="G4263">
        <v>-376.48779999999999</v>
      </c>
      <c r="H4263" s="1">
        <v>-1.9157480000000002E-6</v>
      </c>
      <c r="I4263">
        <v>18.065770000000001</v>
      </c>
      <c r="J4263">
        <v>-387.64179999999999</v>
      </c>
      <c r="K4263">
        <v>1.116268</v>
      </c>
      <c r="L4263">
        <v>17.129239999999999</v>
      </c>
      <c r="M4263">
        <v>0.99529650000000003</v>
      </c>
      <c r="N4263">
        <v>0</v>
      </c>
      <c r="O4263">
        <v>-9.6487260000000005E-2</v>
      </c>
      <c r="P4263">
        <v>0.99274340000000005</v>
      </c>
      <c r="Q4263">
        <v>0.1035393</v>
      </c>
      <c r="R4263">
        <v>-6.1157080000000003E-2</v>
      </c>
      <c r="S4263">
        <v>3.0703740000000002</v>
      </c>
      <c r="T4263">
        <v>-0.29785990000000001</v>
      </c>
      <c r="U4263">
        <v>0.24182129999999999</v>
      </c>
      <c r="V4263">
        <v>-3.681429E-2</v>
      </c>
      <c r="W4263">
        <v>0.1115294</v>
      </c>
      <c r="X4263">
        <v>0.99307900000000005</v>
      </c>
      <c r="Y4263">
        <v>-0.17308389999999901</v>
      </c>
      <c r="Z4263">
        <v>1.7685329999999999E-2</v>
      </c>
      <c r="AA4263">
        <v>0.98474830000000002</v>
      </c>
      <c r="AB4263">
        <v>34</v>
      </c>
      <c r="AC4263">
        <v>11.1539999999999</v>
      </c>
      <c r="AD4263">
        <v>-1.1162699157480001</v>
      </c>
      <c r="AE4263">
        <v>0.93653000000000097</v>
      </c>
      <c r="AF4263">
        <v>-1.9886413204918501</v>
      </c>
      <c r="AG4263">
        <v>-1.1162699157480001</v>
      </c>
      <c r="AH4263">
        <v>10.903150192902199</v>
      </c>
      <c r="AI4263">
        <v>95.7513729730356</v>
      </c>
      <c r="AJ4263">
        <v>100.336637769795</v>
      </c>
      <c r="AK4263">
        <v>11.1390949791873</v>
      </c>
      <c r="AL4263">
        <v>83.596513709572093</v>
      </c>
      <c r="AM4263">
        <v>92.123031504062396</v>
      </c>
      <c r="AN4263">
        <v>0.99999999962678199</v>
      </c>
    </row>
    <row r="4264" spans="1:40" x14ac:dyDescent="0.25">
      <c r="A4264" t="str">
        <f>"20190312164354622"</f>
        <v>20190312164354622</v>
      </c>
      <c r="B4264" t="str">
        <f>"1552380234619230"</f>
        <v>1552380234619230</v>
      </c>
      <c r="C4264" t="s">
        <v>40</v>
      </c>
      <c r="D4264">
        <v>5.1424289999999999</v>
      </c>
      <c r="E4264">
        <v>0.45176549999999999</v>
      </c>
      <c r="F4264" t="s">
        <v>52</v>
      </c>
      <c r="G4264">
        <v>-376.13029999999998</v>
      </c>
      <c r="H4264" s="1">
        <v>-2.0788290000000001E-6</v>
      </c>
      <c r="I4264">
        <v>18.099029999999999</v>
      </c>
      <c r="J4264">
        <v>-387.29129999999998</v>
      </c>
      <c r="K4264">
        <v>1.1161080000000001</v>
      </c>
      <c r="L4264">
        <v>17.10181</v>
      </c>
      <c r="M4264">
        <v>0.99598370000000003</v>
      </c>
      <c r="N4264">
        <v>0</v>
      </c>
      <c r="O4264">
        <v>-8.9119340000000005E-2</v>
      </c>
      <c r="P4264">
        <v>0.99305080000000001</v>
      </c>
      <c r="Q4264">
        <v>0.1035208</v>
      </c>
      <c r="R4264">
        <v>-5.5981379999999997E-2</v>
      </c>
      <c r="S4264">
        <v>3.0689389999999999</v>
      </c>
      <c r="T4264">
        <v>-0.29759550000000001</v>
      </c>
      <c r="U4264">
        <v>0.25854490000000002</v>
      </c>
      <c r="V4264">
        <v>-3.4596540000000002E-2</v>
      </c>
      <c r="W4264">
        <v>0.1115516</v>
      </c>
      <c r="X4264">
        <v>0.99315629999999999</v>
      </c>
      <c r="Y4264">
        <v>-0.17120829999999901</v>
      </c>
      <c r="Z4264">
        <v>1.687342E-2</v>
      </c>
      <c r="AA4264">
        <v>0.98509040000000003</v>
      </c>
      <c r="AB4264">
        <v>34</v>
      </c>
      <c r="AC4264">
        <v>11.161</v>
      </c>
      <c r="AD4264">
        <v>-1.1161100788289999</v>
      </c>
      <c r="AE4264">
        <v>0.997219999999998</v>
      </c>
      <c r="AF4264">
        <v>-1.9684209218914099</v>
      </c>
      <c r="AG4264">
        <v>-1.1161100788289999</v>
      </c>
      <c r="AH4264">
        <v>10.9193807381195</v>
      </c>
      <c r="AI4264">
        <v>95.744190608101206</v>
      </c>
      <c r="AJ4264">
        <v>100.21887686476499</v>
      </c>
      <c r="AK4264">
        <v>11.1513792123583</v>
      </c>
      <c r="AL4264">
        <v>83.595234132522506</v>
      </c>
      <c r="AM4264">
        <v>91.995088300290007</v>
      </c>
      <c r="AN4264">
        <v>1.0000000581360999</v>
      </c>
    </row>
    <row r="4265" spans="1:40" x14ac:dyDescent="0.25">
      <c r="A4265" t="str">
        <f>"20190312164354644"</f>
        <v>20190312164354644</v>
      </c>
      <c r="B4265" t="str">
        <f>"1552380234639726"</f>
        <v>1552380234639726</v>
      </c>
      <c r="C4265" t="s">
        <v>40</v>
      </c>
      <c r="D4265">
        <v>4.9844439999999999</v>
      </c>
      <c r="E4265">
        <v>0.45244440000000002</v>
      </c>
      <c r="F4265" t="s">
        <v>52</v>
      </c>
      <c r="G4265">
        <v>-375.73360000000002</v>
      </c>
      <c r="H4265" s="1">
        <v>-2.264979E-6</v>
      </c>
      <c r="I4265">
        <v>18.106839999999998</v>
      </c>
      <c r="J4265">
        <v>-386.94229999999999</v>
      </c>
      <c r="K4265">
        <v>1.1159059999999901</v>
      </c>
      <c r="L4265">
        <v>17.076969999999999</v>
      </c>
      <c r="M4265">
        <v>0.99658539999999995</v>
      </c>
      <c r="N4265">
        <v>0</v>
      </c>
      <c r="O4265">
        <v>-8.2116159999999994E-2</v>
      </c>
      <c r="P4265">
        <v>0.99331499999999995</v>
      </c>
      <c r="Q4265">
        <v>0.1033155</v>
      </c>
      <c r="R4265">
        <v>-5.1488010000000001E-2</v>
      </c>
      <c r="S4265">
        <v>3.0668950000000001</v>
      </c>
      <c r="T4265">
        <v>-0.29616690000000001</v>
      </c>
      <c r="U4265">
        <v>0.26669310000000002</v>
      </c>
      <c r="V4265">
        <v>-3.2052030000000002E-2</v>
      </c>
      <c r="W4265">
        <v>0.11139</v>
      </c>
      <c r="X4265">
        <v>0.99325969999999997</v>
      </c>
      <c r="Y4265">
        <v>-0.16699800000000001</v>
      </c>
      <c r="Z4265">
        <v>1.592696E-2</v>
      </c>
      <c r="AA4265">
        <v>0.98582860000000005</v>
      </c>
      <c r="AB4265">
        <v>35</v>
      </c>
      <c r="AC4265">
        <v>11.208699999999901</v>
      </c>
      <c r="AD4265">
        <v>-1.11590826497899</v>
      </c>
      <c r="AE4265">
        <v>1.0298699999999901</v>
      </c>
      <c r="AF4265">
        <v>-1.92789265393874</v>
      </c>
      <c r="AG4265">
        <v>-1.11590826497899</v>
      </c>
      <c r="AH4265">
        <v>10.978367707736099</v>
      </c>
      <c r="AI4265">
        <v>95.717068465357301</v>
      </c>
      <c r="AJ4265">
        <v>99.960060206312505</v>
      </c>
      <c r="AK4265">
        <v>11.202079220717099</v>
      </c>
      <c r="AL4265">
        <v>83.604550490487995</v>
      </c>
      <c r="AM4265">
        <v>91.8482668705023</v>
      </c>
      <c r="AN4265">
        <v>0.999999948185604</v>
      </c>
    </row>
    <row r="4266" spans="1:40" x14ac:dyDescent="0.25">
      <c r="A4266" t="str">
        <f>"20190312164354666"</f>
        <v>20190312164354666</v>
      </c>
      <c r="B4266" t="str">
        <f>"1552380234659246"</f>
        <v>1552380234659246</v>
      </c>
      <c r="C4266" t="s">
        <v>40</v>
      </c>
      <c r="D4266">
        <v>4.943956</v>
      </c>
      <c r="E4266">
        <v>0.45299889999999998</v>
      </c>
      <c r="F4266" t="s">
        <v>52</v>
      </c>
      <c r="G4266">
        <v>-375.34930000000003</v>
      </c>
      <c r="H4266" s="1">
        <v>-2.4451239999999999E-6</v>
      </c>
      <c r="I4266">
        <v>18.115449999999999</v>
      </c>
      <c r="J4266">
        <v>-386.61669999999998</v>
      </c>
      <c r="K4266">
        <v>1.1157220000000001</v>
      </c>
      <c r="L4266">
        <v>17.055759999999999</v>
      </c>
      <c r="M4266">
        <v>0.99708379999999996</v>
      </c>
      <c r="N4266">
        <v>0</v>
      </c>
      <c r="O4266">
        <v>-7.582556E-2</v>
      </c>
      <c r="P4266">
        <v>0.993475</v>
      </c>
      <c r="Q4266">
        <v>0.10341119999999999</v>
      </c>
      <c r="R4266">
        <v>-4.8100230000000001E-2</v>
      </c>
      <c r="S4266">
        <v>3.0650940000000002</v>
      </c>
      <c r="T4266">
        <v>-0.29503699999999999</v>
      </c>
      <c r="U4266">
        <v>0.2745667</v>
      </c>
      <c r="V4266">
        <v>-2.911969E-2</v>
      </c>
      <c r="W4266">
        <v>0.1115341</v>
      </c>
      <c r="X4266">
        <v>0.99333389999999999</v>
      </c>
      <c r="Y4266">
        <v>-0.16339210000000001</v>
      </c>
      <c r="Z4266">
        <v>1.5098769999999999E-2</v>
      </c>
      <c r="AA4266">
        <v>0.98644569999999998</v>
      </c>
      <c r="AB4266">
        <v>35</v>
      </c>
      <c r="AC4266">
        <v>11.267399999999901</v>
      </c>
      <c r="AD4266">
        <v>-1.11572444512399</v>
      </c>
      <c r="AE4266">
        <v>1.05968999999999</v>
      </c>
      <c r="AF4266">
        <v>-1.8926323641577101</v>
      </c>
      <c r="AG4266">
        <v>-1.11572444512399</v>
      </c>
      <c r="AH4266">
        <v>11.047232192020701</v>
      </c>
      <c r="AI4266">
        <v>95.6848095369497</v>
      </c>
      <c r="AJ4266">
        <v>99.721638867573404</v>
      </c>
      <c r="AK4266">
        <v>11.2635801327874</v>
      </c>
      <c r="AL4266">
        <v>83.596242887700498</v>
      </c>
      <c r="AM4266">
        <v>91.679151035233104</v>
      </c>
      <c r="AN4266">
        <v>1.00000002434885</v>
      </c>
    </row>
    <row r="4267" spans="1:40" x14ac:dyDescent="0.25">
      <c r="A4267" t="str">
        <f>"20190312164354688"</f>
        <v>20190312164354688</v>
      </c>
      <c r="B4267" t="str">
        <f>"1552380234679742"</f>
        <v>1552380234679742</v>
      </c>
      <c r="C4267" t="s">
        <v>40</v>
      </c>
      <c r="D4267">
        <v>5.0022799999999998</v>
      </c>
      <c r="E4267">
        <v>0.4534994</v>
      </c>
      <c r="F4267" t="s">
        <v>52</v>
      </c>
      <c r="G4267">
        <v>-375.01830000000001</v>
      </c>
      <c r="H4267" s="1">
        <v>-2.6008530000000001E-6</v>
      </c>
      <c r="I4267">
        <v>18.119610000000002</v>
      </c>
      <c r="J4267">
        <v>-386.26830000000001</v>
      </c>
      <c r="K4267">
        <v>1.1155280000000001</v>
      </c>
      <c r="L4267">
        <v>17.035029999999999</v>
      </c>
      <c r="M4267">
        <v>0.99755300000000002</v>
      </c>
      <c r="N4267">
        <v>0</v>
      </c>
      <c r="O4267">
        <v>-6.9382750000000007E-2</v>
      </c>
      <c r="P4267">
        <v>0.99352410000000002</v>
      </c>
      <c r="Q4267">
        <v>0.10412920000000001</v>
      </c>
      <c r="R4267">
        <v>-4.546244E-2</v>
      </c>
      <c r="S4267">
        <v>3.0639340000000002</v>
      </c>
      <c r="T4267">
        <v>-0.29473850000000001</v>
      </c>
      <c r="U4267">
        <v>0.28103640000000002</v>
      </c>
      <c r="V4267">
        <v>-2.528772E-2</v>
      </c>
      <c r="W4267">
        <v>0.1123136</v>
      </c>
      <c r="X4267">
        <v>0.99335099999999998</v>
      </c>
      <c r="Y4267">
        <v>-0.15916820000000001</v>
      </c>
      <c r="Z4267">
        <v>1.426879E-2</v>
      </c>
      <c r="AA4267">
        <v>0.98714829999999998</v>
      </c>
      <c r="AB4267">
        <v>35</v>
      </c>
      <c r="AC4267">
        <v>11.25</v>
      </c>
      <c r="AD4267">
        <v>-1.1155306008529999</v>
      </c>
      <c r="AE4267">
        <v>1.0845800000000001</v>
      </c>
      <c r="AF4267">
        <v>-1.84458134957235</v>
      </c>
      <c r="AG4267">
        <v>-1.1155306008529999</v>
      </c>
      <c r="AH4267">
        <v>11.0400823403996</v>
      </c>
      <c r="AI4267">
        <v>95.691428603435298</v>
      </c>
      <c r="AJ4267">
        <v>99.485385032272902</v>
      </c>
      <c r="AK4267">
        <v>11.248569107199</v>
      </c>
      <c r="AL4267">
        <v>83.551298347783302</v>
      </c>
      <c r="AM4267">
        <v>91.458262754189093</v>
      </c>
      <c r="AN4267">
        <v>1.0000000113643699</v>
      </c>
    </row>
    <row r="4268" spans="1:40" x14ac:dyDescent="0.25">
      <c r="A4268" t="str">
        <f>"20190312164354709"</f>
        <v>20190312164354709</v>
      </c>
      <c r="B4268" t="str">
        <f>"1552380234699262"</f>
        <v>1552380234699262</v>
      </c>
      <c r="C4268" t="s">
        <v>40</v>
      </c>
      <c r="D4268">
        <v>4.9543599999999897</v>
      </c>
      <c r="E4268">
        <v>0.45400459999999898</v>
      </c>
      <c r="F4268" t="s">
        <v>52</v>
      </c>
      <c r="G4268">
        <v>-374.62630000000001</v>
      </c>
      <c r="H4268" s="1">
        <v>-2.7859120000000002E-6</v>
      </c>
      <c r="I4268">
        <v>18.120940000000001</v>
      </c>
      <c r="J4268">
        <v>-385.93540000000002</v>
      </c>
      <c r="K4268">
        <v>1.1153409999999999</v>
      </c>
      <c r="L4268">
        <v>17.01709</v>
      </c>
      <c r="M4268">
        <v>0.99794380000000005</v>
      </c>
      <c r="N4268">
        <v>0</v>
      </c>
      <c r="O4268">
        <v>-6.3516160000000002E-2</v>
      </c>
      <c r="P4268">
        <v>0.99360020000000004</v>
      </c>
      <c r="Q4268">
        <v>0.1048839</v>
      </c>
      <c r="R4268">
        <v>-4.1931959999999997E-2</v>
      </c>
      <c r="S4268">
        <v>3.0633849999999998</v>
      </c>
      <c r="T4268">
        <v>-0.29353259999999998</v>
      </c>
      <c r="U4268">
        <v>0.28573609999999999</v>
      </c>
      <c r="V4268">
        <v>-2.2926709999999999E-2</v>
      </c>
      <c r="W4268">
        <v>0.1131081</v>
      </c>
      <c r="X4268">
        <v>0.99331809999999998</v>
      </c>
      <c r="Y4268">
        <v>-0.15493479999999901</v>
      </c>
      <c r="Z4268">
        <v>1.3450780000000001E-2</v>
      </c>
      <c r="AA4268">
        <v>0.98783310000000002</v>
      </c>
      <c r="AB4268">
        <v>35</v>
      </c>
      <c r="AC4268">
        <v>11.309100000000001</v>
      </c>
      <c r="AD4268">
        <v>-1.1153437859119999</v>
      </c>
      <c r="AE4268">
        <v>1.10385</v>
      </c>
      <c r="AF4268">
        <v>-1.8025904630671801</v>
      </c>
      <c r="AG4268">
        <v>-1.1153437859119999</v>
      </c>
      <c r="AH4268">
        <v>11.1091139254584</v>
      </c>
      <c r="AI4268">
        <v>95.659693043719599</v>
      </c>
      <c r="AJ4268">
        <v>99.216617352761006</v>
      </c>
      <c r="AK4268">
        <v>11.309541827462599</v>
      </c>
      <c r="AL4268">
        <v>83.505484597627301</v>
      </c>
      <c r="AM4268">
        <v>91.322205374577294</v>
      </c>
      <c r="AN4268">
        <v>0.999999962052321</v>
      </c>
    </row>
    <row r="4269" spans="1:40" x14ac:dyDescent="0.25">
      <c r="A4269" t="str">
        <f>"20190312164354731"</f>
        <v>20190312164354731</v>
      </c>
      <c r="B4269" t="str">
        <f>"1552380234729518"</f>
        <v>1552380234729518</v>
      </c>
      <c r="C4269" t="s">
        <v>40</v>
      </c>
      <c r="D4269">
        <v>4.9745679999999997</v>
      </c>
      <c r="E4269">
        <v>0.46889969999999997</v>
      </c>
      <c r="F4269" t="s">
        <v>52</v>
      </c>
      <c r="G4269">
        <v>-374.24990000000003</v>
      </c>
      <c r="H4269" s="1">
        <v>-2.9618039999999999E-6</v>
      </c>
      <c r="I4269">
        <v>18.132400000000001</v>
      </c>
      <c r="J4269">
        <v>-385.60050000000001</v>
      </c>
      <c r="K4269">
        <v>1.1151450000000001</v>
      </c>
      <c r="L4269">
        <v>17.00076</v>
      </c>
      <c r="M4269">
        <v>0.99828539999999999</v>
      </c>
      <c r="N4269">
        <v>0</v>
      </c>
      <c r="O4269">
        <v>-5.7898699999999997E-2</v>
      </c>
      <c r="P4269">
        <v>0.99353119999999995</v>
      </c>
      <c r="Q4269">
        <v>0.10607510000000001</v>
      </c>
      <c r="R4269">
        <v>-4.0545619999999997E-2</v>
      </c>
      <c r="S4269">
        <v>3.0625</v>
      </c>
      <c r="T4269">
        <v>-0.29230539999999999</v>
      </c>
      <c r="U4269">
        <v>0.29229739999999999</v>
      </c>
      <c r="V4269">
        <v>-1.8671839999999999E-2</v>
      </c>
      <c r="W4269">
        <v>0.11436499999999999</v>
      </c>
      <c r="X4269">
        <v>0.99326329999999996</v>
      </c>
      <c r="Y4269">
        <v>-0.1515474</v>
      </c>
      <c r="Z4269">
        <v>1.2702669999999999E-2</v>
      </c>
      <c r="AA4269">
        <v>0.98836840000000004</v>
      </c>
      <c r="AB4269">
        <v>35</v>
      </c>
      <c r="AC4269">
        <v>11.350599999999901</v>
      </c>
      <c r="AD4269">
        <v>-1.1151479618039899</v>
      </c>
      <c r="AE4269">
        <v>1.13164</v>
      </c>
      <c r="AF4269">
        <v>-1.77003417681228</v>
      </c>
      <c r="AG4269">
        <v>-1.1151479618039899</v>
      </c>
      <c r="AH4269">
        <v>11.159381897526</v>
      </c>
      <c r="AI4269">
        <v>95.636575053335093</v>
      </c>
      <c r="AJ4269">
        <v>99.012830355708402</v>
      </c>
      <c r="AK4269">
        <v>11.3537826427421</v>
      </c>
      <c r="AL4269">
        <v>83.432999327022998</v>
      </c>
      <c r="AM4269">
        <v>91.076946702912807</v>
      </c>
      <c r="AN4269">
        <v>0.99999998698043702</v>
      </c>
    </row>
    <row r="4270" spans="1:40" x14ac:dyDescent="0.25">
      <c r="A4270" t="str">
        <f>"20190312164354754"</f>
        <v>20190312164354754</v>
      </c>
      <c r="B4270" t="str">
        <f>"1552380234749038"</f>
        <v>1552380234749038</v>
      </c>
      <c r="C4270" t="s">
        <v>40</v>
      </c>
      <c r="D4270">
        <v>5.0694290000000004</v>
      </c>
      <c r="E4270">
        <v>0.4686594</v>
      </c>
      <c r="F4270" t="s">
        <v>52</v>
      </c>
      <c r="G4270">
        <v>-374.36970000000002</v>
      </c>
      <c r="H4270" s="1">
        <v>-2.989578E-6</v>
      </c>
      <c r="I4270">
        <v>17.65672</v>
      </c>
      <c r="J4270">
        <v>-385.24110000000002</v>
      </c>
      <c r="K4270">
        <v>1.114924</v>
      </c>
      <c r="L4270">
        <v>16.985109999999999</v>
      </c>
      <c r="M4270">
        <v>0.99860150000000003</v>
      </c>
      <c r="N4270">
        <v>0</v>
      </c>
      <c r="O4270">
        <v>-5.2166730000000001E-2</v>
      </c>
      <c r="P4270">
        <v>0.99352229999999997</v>
      </c>
      <c r="Q4270">
        <v>0.1066319</v>
      </c>
      <c r="R4270">
        <v>-3.9282499999999998E-2</v>
      </c>
      <c r="S4270">
        <v>3.0592649999999999</v>
      </c>
      <c r="T4270">
        <v>-0.3037647</v>
      </c>
      <c r="U4270">
        <v>0.17868039999999999</v>
      </c>
      <c r="V4270">
        <v>-1.417026E-2</v>
      </c>
      <c r="W4270">
        <v>0.1149855</v>
      </c>
      <c r="X4270">
        <v>0.99326610000000004</v>
      </c>
      <c r="Y4270">
        <v>-0.1095146</v>
      </c>
      <c r="Z4270">
        <v>1.058225E-2</v>
      </c>
      <c r="AA4270">
        <v>0.99392879999999995</v>
      </c>
      <c r="AB4270">
        <v>35</v>
      </c>
      <c r="AC4270">
        <v>10.8713999999999</v>
      </c>
      <c r="AD4270">
        <v>-1.1149269895780001</v>
      </c>
      <c r="AE4270">
        <v>0.67161000000000104</v>
      </c>
      <c r="AF4270">
        <v>-1.2250064446499001</v>
      </c>
      <c r="AG4270">
        <v>-1.1149269895780001</v>
      </c>
      <c r="AH4270">
        <v>10.709349532762801</v>
      </c>
      <c r="AI4270">
        <v>95.905294325331496</v>
      </c>
      <c r="AJ4270">
        <v>96.525509406625005</v>
      </c>
      <c r="AK4270">
        <v>10.836690933878799</v>
      </c>
      <c r="AL4270">
        <v>83.397211310891393</v>
      </c>
      <c r="AM4270">
        <v>90.817344937173601</v>
      </c>
      <c r="AN4270">
        <v>1.00000000344396</v>
      </c>
    </row>
    <row r="4271" spans="1:40" x14ac:dyDescent="0.25">
      <c r="A4271" t="str">
        <f>"20190312164354777"</f>
        <v>20190312164354777</v>
      </c>
      <c r="B4271" t="str">
        <f>"1552380234769534"</f>
        <v>1552380234769534</v>
      </c>
      <c r="C4271" t="s">
        <v>40</v>
      </c>
      <c r="D4271">
        <v>5.0489290000000002</v>
      </c>
      <c r="E4271">
        <v>0.46874500000000002</v>
      </c>
      <c r="F4271" t="s">
        <v>52</v>
      </c>
      <c r="G4271">
        <v>-373.32409999999999</v>
      </c>
      <c r="H4271" s="1">
        <v>-3.476544E-6</v>
      </c>
      <c r="I4271">
        <v>17.697610000000001</v>
      </c>
      <c r="J4271">
        <v>-384.88929999999999</v>
      </c>
      <c r="K4271">
        <v>1.114706</v>
      </c>
      <c r="L4271">
        <v>16.971529999999898</v>
      </c>
      <c r="M4271">
        <v>0.99886649999999999</v>
      </c>
      <c r="N4271">
        <v>0</v>
      </c>
      <c r="O4271">
        <v>-4.6821370000000001E-2</v>
      </c>
      <c r="P4271">
        <v>0.9935446</v>
      </c>
      <c r="Q4271">
        <v>0.1066781</v>
      </c>
      <c r="R4271">
        <v>-3.8592260000000003E-2</v>
      </c>
      <c r="S4271">
        <v>3.0574340000000002</v>
      </c>
      <c r="T4271">
        <v>-0.28604649999999998</v>
      </c>
      <c r="U4271">
        <v>0.1828003</v>
      </c>
      <c r="V4271">
        <v>-9.4806270000000002E-3</v>
      </c>
      <c r="W4271">
        <v>0.1150944</v>
      </c>
      <c r="X4271">
        <v>0.99330929999999995</v>
      </c>
      <c r="Y4271">
        <v>-0.10569240000000001</v>
      </c>
      <c r="Z4271">
        <v>9.2965889999999992E-3</v>
      </c>
      <c r="AA4271">
        <v>0.9943554</v>
      </c>
      <c r="AB4271">
        <v>35</v>
      </c>
      <c r="AC4271">
        <v>11.565200000000001</v>
      </c>
      <c r="AD4271">
        <v>-1.114709476544</v>
      </c>
      <c r="AE4271">
        <v>0.72608000000000295</v>
      </c>
      <c r="AF4271">
        <v>-1.25518709167311</v>
      </c>
      <c r="AG4271">
        <v>-1.114709476544</v>
      </c>
      <c r="AH4271">
        <v>11.4129079634479</v>
      </c>
      <c r="AI4271">
        <v>95.545213934610203</v>
      </c>
      <c r="AJ4271">
        <v>96.276143820473294</v>
      </c>
      <c r="AK4271">
        <v>11.5357071753028</v>
      </c>
      <c r="AL4271">
        <v>83.390929971842695</v>
      </c>
      <c r="AM4271">
        <v>90.546842177428701</v>
      </c>
      <c r="AN4271">
        <v>0.99999998433308102</v>
      </c>
    </row>
    <row r="4272" spans="1:40" x14ac:dyDescent="0.25">
      <c r="A4272" t="str">
        <f>"20190312164354798"</f>
        <v>20190312164354798</v>
      </c>
      <c r="B4272" t="str">
        <f>"1552380234789054"</f>
        <v>1552380234789054</v>
      </c>
      <c r="C4272" t="s">
        <v>40</v>
      </c>
      <c r="D4272">
        <v>4.9926300000000001</v>
      </c>
      <c r="E4272">
        <v>0.46878379999999997</v>
      </c>
      <c r="F4272" t="s">
        <v>52</v>
      </c>
      <c r="G4272">
        <v>-372.5505</v>
      </c>
      <c r="H4272" s="1">
        <v>-3.8397050000000002E-6</v>
      </c>
      <c r="I4272">
        <v>17.71199</v>
      </c>
      <c r="J4272">
        <v>-384.55079999999998</v>
      </c>
      <c r="K4272">
        <v>1.1145130000000001</v>
      </c>
      <c r="L4272">
        <v>16.96002</v>
      </c>
      <c r="M4272">
        <v>0.9990848</v>
      </c>
      <c r="N4272">
        <v>0</v>
      </c>
      <c r="O4272">
        <v>-4.1904400000000001E-2</v>
      </c>
      <c r="P4272">
        <v>0.99348409999999998</v>
      </c>
      <c r="Q4272">
        <v>0.107193899999999</v>
      </c>
      <c r="R4272">
        <v>-3.8711049999999997E-2</v>
      </c>
      <c r="S4272">
        <v>3.0562740000000002</v>
      </c>
      <c r="T4272">
        <v>-0.27610960000000001</v>
      </c>
      <c r="U4272">
        <v>0.18341060000000001</v>
      </c>
      <c r="V4272">
        <v>-4.4183640000000001E-3</v>
      </c>
      <c r="W4272">
        <v>0.11567330000000001</v>
      </c>
      <c r="X4272">
        <v>0.99327750000000004</v>
      </c>
      <c r="Y4272">
        <v>-0.10110089999999999</v>
      </c>
      <c r="Z4272">
        <v>8.328617E-3</v>
      </c>
      <c r="AA4272">
        <v>0.99484130000000004</v>
      </c>
      <c r="AB4272">
        <v>35</v>
      </c>
      <c r="AC4272">
        <v>12.0002999999999</v>
      </c>
      <c r="AD4272">
        <v>-1.11451683970499</v>
      </c>
      <c r="AE4272">
        <v>0.75197000000000003</v>
      </c>
      <c r="AF4272">
        <v>-1.2435092580778899</v>
      </c>
      <c r="AG4272">
        <v>-1.11451683970499</v>
      </c>
      <c r="AH4272">
        <v>11.8563781280103</v>
      </c>
      <c r="AI4272">
        <v>95.340982361118407</v>
      </c>
      <c r="AJ4272">
        <v>95.987351235069994</v>
      </c>
      <c r="AK4272">
        <v>11.9733940624733</v>
      </c>
      <c r="AL4272">
        <v>83.357538613406106</v>
      </c>
      <c r="AM4272">
        <v>90.254865271637001</v>
      </c>
      <c r="AN4272">
        <v>1.0000000131397799</v>
      </c>
    </row>
    <row r="4273" spans="1:40" x14ac:dyDescent="0.25">
      <c r="A4273" t="str">
        <f>"20190312164354823"</f>
        <v>20190312164354823</v>
      </c>
      <c r="B4273" t="str">
        <f>"1552380234819310"</f>
        <v>1552380234819310</v>
      </c>
      <c r="C4273" t="s">
        <v>40</v>
      </c>
      <c r="D4273">
        <v>4.9791589999999903</v>
      </c>
      <c r="E4273">
        <v>0.46857009999999999</v>
      </c>
      <c r="F4273" t="s">
        <v>52</v>
      </c>
      <c r="G4273">
        <v>-372.05709999999999</v>
      </c>
      <c r="H4273" s="1">
        <v>-4.0732539999999996E-6</v>
      </c>
      <c r="I4273">
        <v>17.710279999999901</v>
      </c>
      <c r="J4273">
        <v>-384.17660000000001</v>
      </c>
      <c r="K4273">
        <v>1.114323</v>
      </c>
      <c r="L4273">
        <v>16.949069999999999</v>
      </c>
      <c r="M4273">
        <v>0.99928989999999995</v>
      </c>
      <c r="N4273">
        <v>0</v>
      </c>
      <c r="O4273">
        <v>-3.6693459999999997E-2</v>
      </c>
      <c r="P4273">
        <v>0.99338179999999998</v>
      </c>
      <c r="Q4273">
        <v>0.10818369999999999</v>
      </c>
      <c r="R4273">
        <v>-3.8588289999999997E-2</v>
      </c>
      <c r="S4273">
        <v>3.0562740000000002</v>
      </c>
      <c r="T4273">
        <v>-0.27263860000000001</v>
      </c>
      <c r="U4273">
        <v>0.18353269999999999</v>
      </c>
      <c r="V4273">
        <v>6.9055399999999904E-4</v>
      </c>
      <c r="W4273">
        <v>0.1167213</v>
      </c>
      <c r="X4273">
        <v>0.99316450000000001</v>
      </c>
      <c r="Y4273">
        <v>-9.6006279999999999E-2</v>
      </c>
      <c r="Z4273">
        <v>7.5342100000000004E-3</v>
      </c>
      <c r="AA4273">
        <v>0.99535220000000002</v>
      </c>
      <c r="AB4273">
        <v>35</v>
      </c>
      <c r="AC4273">
        <v>12.1195</v>
      </c>
      <c r="AD4273">
        <v>-1.114327073254</v>
      </c>
      <c r="AE4273">
        <v>0.76120999999999395</v>
      </c>
      <c r="AF4273">
        <v>-1.19535435305687</v>
      </c>
      <c r="AG4273">
        <v>-1.114327073254</v>
      </c>
      <c r="AH4273">
        <v>11.9825047104073</v>
      </c>
      <c r="AI4273">
        <v>95.286915194297706</v>
      </c>
      <c r="AJ4273">
        <v>95.696881785340693</v>
      </c>
      <c r="AK4273">
        <v>12.0934286284118</v>
      </c>
      <c r="AL4273">
        <v>83.297083240946606</v>
      </c>
      <c r="AM4273">
        <v>89.960161863065096</v>
      </c>
      <c r="AN4273">
        <v>1.00000003139938</v>
      </c>
    </row>
    <row r="4274" spans="1:40" x14ac:dyDescent="0.25">
      <c r="A4274" t="str">
        <f>"20190312164354844"</f>
        <v>20190312164354844</v>
      </c>
      <c r="B4274" t="str">
        <f>"1552380234839807"</f>
        <v>1552380234839807</v>
      </c>
      <c r="C4274" t="s">
        <v>40</v>
      </c>
      <c r="D4274">
        <v>4.9686130000000004</v>
      </c>
      <c r="E4274">
        <v>0.46874320000000003</v>
      </c>
      <c r="F4274" t="s">
        <v>52</v>
      </c>
      <c r="G4274">
        <v>-371.64800000000002</v>
      </c>
      <c r="H4274" s="1">
        <v>-4.2659839999999999E-6</v>
      </c>
      <c r="I4274">
        <v>17.713899999999999</v>
      </c>
      <c r="J4274">
        <v>-383.83089999999999</v>
      </c>
      <c r="K4274">
        <v>1.1141779999999999</v>
      </c>
      <c r="L4274">
        <v>16.940579999999901</v>
      </c>
      <c r="M4274">
        <v>0.99944909999999998</v>
      </c>
      <c r="N4274">
        <v>0</v>
      </c>
      <c r="O4274">
        <v>-3.206386E-2</v>
      </c>
      <c r="P4274">
        <v>0.99309320000000001</v>
      </c>
      <c r="Q4274">
        <v>0.1105083</v>
      </c>
      <c r="R4274">
        <v>-3.9421640000000001E-2</v>
      </c>
      <c r="S4274">
        <v>3.0568849999999999</v>
      </c>
      <c r="T4274">
        <v>-0.27188790000000002</v>
      </c>
      <c r="U4274">
        <v>0.186615</v>
      </c>
      <c r="V4274">
        <v>6.1554359999999898E-3</v>
      </c>
      <c r="W4274">
        <v>0.1191041</v>
      </c>
      <c r="X4274">
        <v>0.99286269999999999</v>
      </c>
      <c r="Y4274">
        <v>-9.2418340000000002E-2</v>
      </c>
      <c r="Z4274">
        <v>6.9421179999999997E-3</v>
      </c>
      <c r="AA4274">
        <v>0.99569609999999997</v>
      </c>
      <c r="AB4274">
        <v>35</v>
      </c>
      <c r="AC4274">
        <v>12.182899999999901</v>
      </c>
      <c r="AD4274">
        <v>-1.1141822659839999</v>
      </c>
      <c r="AE4274">
        <v>0.77332000000000101</v>
      </c>
      <c r="AF4274">
        <v>-1.15395460504141</v>
      </c>
      <c r="AG4274">
        <v>-1.1141822659839999</v>
      </c>
      <c r="AH4274">
        <v>12.0514457130192</v>
      </c>
      <c r="AI4274">
        <v>95.258189500704802</v>
      </c>
      <c r="AJ4274">
        <v>95.469532070591796</v>
      </c>
      <c r="AK4274">
        <v>12.1577282880552</v>
      </c>
      <c r="AL4274">
        <v>83.159599580897904</v>
      </c>
      <c r="AM4274">
        <v>89.6447887654422</v>
      </c>
      <c r="AN4274">
        <v>1.0000000085402201</v>
      </c>
    </row>
    <row r="4275" spans="1:40" x14ac:dyDescent="0.25">
      <c r="A4275" t="str">
        <f>"20190312164354867"</f>
        <v>20190312164354867</v>
      </c>
      <c r="B4275" t="str">
        <f>"1552380234859327"</f>
        <v>1552380234859327</v>
      </c>
      <c r="C4275" t="s">
        <v>40</v>
      </c>
      <c r="D4275">
        <v>4.9565939999999999</v>
      </c>
      <c r="E4275">
        <v>0.46872730000000001</v>
      </c>
      <c r="F4275" t="s">
        <v>52</v>
      </c>
      <c r="G4275">
        <v>-371.12169999999998</v>
      </c>
      <c r="H4275" s="1">
        <v>-4.516458E-6</v>
      </c>
      <c r="I4275">
        <v>17.70438</v>
      </c>
      <c r="J4275">
        <v>-383.471</v>
      </c>
      <c r="K4275">
        <v>1.1140620000000001</v>
      </c>
      <c r="L4275">
        <v>16.93338</v>
      </c>
      <c r="M4275">
        <v>0.99958849999999999</v>
      </c>
      <c r="N4275">
        <v>0</v>
      </c>
      <c r="O4275">
        <v>-2.737566E-2</v>
      </c>
      <c r="P4275">
        <v>0.99246630000000002</v>
      </c>
      <c r="Q4275">
        <v>0.1155516</v>
      </c>
      <c r="R4275">
        <v>-4.0724000000000003E-2</v>
      </c>
      <c r="S4275">
        <v>3.0579529999999999</v>
      </c>
      <c r="T4275">
        <v>-0.26808189999999998</v>
      </c>
      <c r="U4275">
        <v>0.18377689999999999</v>
      </c>
      <c r="V4275">
        <v>1.211864E-2</v>
      </c>
      <c r="W4275">
        <v>0.1242047</v>
      </c>
      <c r="X4275">
        <v>0.99218260000000003</v>
      </c>
      <c r="Y4275">
        <v>-8.6857909999999997E-2</v>
      </c>
      <c r="Z4275">
        <v>6.190157E-3</v>
      </c>
      <c r="AA4275">
        <v>0.99620149999999996</v>
      </c>
      <c r="AB4275">
        <v>35</v>
      </c>
      <c r="AC4275">
        <v>12.349299999999999</v>
      </c>
      <c r="AD4275">
        <v>-1.1140665164579999</v>
      </c>
      <c r="AE4275">
        <v>0.77100000000000002</v>
      </c>
      <c r="AF4275">
        <v>-1.0998772117057301</v>
      </c>
      <c r="AG4275">
        <v>-1.1140665164579999</v>
      </c>
      <c r="AH4275">
        <v>12.224462983355799</v>
      </c>
      <c r="AI4275">
        <v>95.186384871631304</v>
      </c>
      <c r="AJ4275">
        <v>95.141256051569599</v>
      </c>
      <c r="AK4275">
        <v>12.3242999523445</v>
      </c>
      <c r="AL4275">
        <v>82.865169390417506</v>
      </c>
      <c r="AM4275">
        <v>89.300217117432396</v>
      </c>
      <c r="AN4275">
        <v>0.99999999034014897</v>
      </c>
    </row>
    <row r="4276" spans="1:40" x14ac:dyDescent="0.25">
      <c r="A4276" t="str">
        <f>"20190312164354890"</f>
        <v>20190312164354890</v>
      </c>
      <c r="B4276" t="str">
        <f>"1552380234878846"</f>
        <v>1552380234878846</v>
      </c>
      <c r="C4276" t="s">
        <v>40</v>
      </c>
      <c r="D4276">
        <v>4.99017</v>
      </c>
      <c r="E4276">
        <v>0.46869699999999997</v>
      </c>
      <c r="F4276" t="s">
        <v>53</v>
      </c>
      <c r="G4276">
        <v>-369.89909999999998</v>
      </c>
      <c r="H4276" s="1">
        <v>-5.3989440000000003E-7</v>
      </c>
      <c r="I4276">
        <v>17.73441</v>
      </c>
      <c r="J4276">
        <v>-383.10739999999998</v>
      </c>
      <c r="K4276">
        <v>1.113982</v>
      </c>
      <c r="L4276">
        <v>16.927669999999999</v>
      </c>
      <c r="M4276">
        <v>0.99970440000000005</v>
      </c>
      <c r="N4276">
        <v>0</v>
      </c>
      <c r="O4276">
        <v>-2.2754949999999999E-2</v>
      </c>
      <c r="P4276">
        <v>0.99098459999999999</v>
      </c>
      <c r="Q4276">
        <v>0.12682679999999999</v>
      </c>
      <c r="R4276">
        <v>-4.3180250000000003E-2</v>
      </c>
      <c r="S4276">
        <v>3.0594790000000001</v>
      </c>
      <c r="T4276">
        <v>-0.25114039999999999</v>
      </c>
      <c r="U4276">
        <v>0.1805725</v>
      </c>
      <c r="V4276">
        <v>1.911011E-2</v>
      </c>
      <c r="W4276">
        <v>0.13553860000000001</v>
      </c>
      <c r="X4276">
        <v>0.99058780000000002</v>
      </c>
      <c r="Y4276">
        <v>-8.1270369999999995E-2</v>
      </c>
      <c r="Z4276">
        <v>5.1904730000000001E-3</v>
      </c>
      <c r="AA4276">
        <v>0.99667859999999997</v>
      </c>
      <c r="AB4276">
        <v>35</v>
      </c>
      <c r="AC4276">
        <v>13.208299999999999</v>
      </c>
      <c r="AD4276">
        <v>-1.1139825398943899</v>
      </c>
      <c r="AE4276">
        <v>0.80673999999999702</v>
      </c>
      <c r="AF4276">
        <v>-1.0993058416601</v>
      </c>
      <c r="AG4276">
        <v>-1.1139825398943899</v>
      </c>
      <c r="AH4276">
        <v>13.093730051453001</v>
      </c>
      <c r="AI4276">
        <v>94.845907474395403</v>
      </c>
      <c r="AJ4276">
        <v>94.799107538819996</v>
      </c>
      <c r="AK4276">
        <v>13.1869328159743</v>
      </c>
      <c r="AL4276">
        <v>82.210234723007503</v>
      </c>
      <c r="AM4276">
        <v>88.894804835624299</v>
      </c>
      <c r="AN4276">
        <v>1.0000000489515</v>
      </c>
    </row>
    <row r="4277" spans="1:40" x14ac:dyDescent="0.25">
      <c r="A4277" t="str">
        <f>"20190312164354910"</f>
        <v>20190312164354910</v>
      </c>
      <c r="B4277" t="str">
        <f>"1552380234899342"</f>
        <v>1552380234899342</v>
      </c>
      <c r="C4277" t="s">
        <v>40</v>
      </c>
      <c r="D4277">
        <v>4.9347979999999998</v>
      </c>
      <c r="E4277">
        <v>0.46882610000000002</v>
      </c>
      <c r="F4277" t="s">
        <v>53</v>
      </c>
      <c r="G4277">
        <v>-367.45370000000003</v>
      </c>
      <c r="H4277" s="1">
        <v>-1.5226700000000001E-6</v>
      </c>
      <c r="I4277">
        <v>17.820309999999999</v>
      </c>
      <c r="J4277">
        <v>-382.79349999999999</v>
      </c>
      <c r="K4277">
        <v>1.113915</v>
      </c>
      <c r="L4277">
        <v>16.924009999999999</v>
      </c>
      <c r="M4277">
        <v>0.99978549999999999</v>
      </c>
      <c r="N4277">
        <v>0</v>
      </c>
      <c r="O4277">
        <v>-1.88568E-2</v>
      </c>
      <c r="P4277">
        <v>0.98956040000000001</v>
      </c>
      <c r="Q4277">
        <v>0.1363713</v>
      </c>
      <c r="R4277">
        <v>-4.6619010000000002E-2</v>
      </c>
      <c r="S4277">
        <v>3.0627749999999998</v>
      </c>
      <c r="T4277">
        <v>-0.2179606</v>
      </c>
      <c r="U4277">
        <v>0.1746521</v>
      </c>
      <c r="V4277">
        <v>2.637012E-2</v>
      </c>
      <c r="W4277">
        <v>0.1451433</v>
      </c>
      <c r="X4277">
        <v>0.98905920000000003</v>
      </c>
      <c r="Y4277">
        <v>-7.551049E-2</v>
      </c>
      <c r="Z4277">
        <v>4.0205919999999999E-3</v>
      </c>
      <c r="AA4277">
        <v>0.99713689999999999</v>
      </c>
      <c r="AB4277">
        <v>35</v>
      </c>
      <c r="AC4277">
        <v>15.339799999999901</v>
      </c>
      <c r="AD4277">
        <v>-1.1139165226700001</v>
      </c>
      <c r="AE4277">
        <v>0.89629999999999999</v>
      </c>
      <c r="AF4277">
        <v>-1.1792138206684699</v>
      </c>
      <c r="AG4277">
        <v>-1.1139165226700001</v>
      </c>
      <c r="AH4277">
        <v>15.240081306822701</v>
      </c>
      <c r="AI4277">
        <v>94.167971980715507</v>
      </c>
      <c r="AJ4277">
        <v>94.424492260333693</v>
      </c>
      <c r="AK4277">
        <v>15.326168258664699</v>
      </c>
      <c r="AL4277">
        <v>81.654422799737304</v>
      </c>
      <c r="AM4277">
        <v>88.472751959085102</v>
      </c>
      <c r="AN4277">
        <v>1.0000000309341699</v>
      </c>
    </row>
    <row r="4278" spans="1:40" x14ac:dyDescent="0.25">
      <c r="A4278" t="str">
        <f>"20190312164354932"</f>
        <v>20190312164354932</v>
      </c>
      <c r="B4278" t="str">
        <f>"1552380234929598"</f>
        <v>1552380234929598</v>
      </c>
      <c r="C4278" t="s">
        <v>40</v>
      </c>
      <c r="D4278">
        <v>4.9959470000000001</v>
      </c>
      <c r="E4278">
        <v>0.46906249999999999</v>
      </c>
      <c r="F4278" t="s">
        <v>53</v>
      </c>
      <c r="G4278">
        <v>-364.86290000000002</v>
      </c>
      <c r="H4278" s="1">
        <v>-2.7350309999999999E-6</v>
      </c>
      <c r="I4278">
        <v>17.889659999999999</v>
      </c>
      <c r="J4278">
        <v>-382.43819999999999</v>
      </c>
      <c r="K4278">
        <v>1.113837</v>
      </c>
      <c r="L4278">
        <v>16.921199999999999</v>
      </c>
      <c r="M4278">
        <v>0.99985769999999996</v>
      </c>
      <c r="N4278">
        <v>0</v>
      </c>
      <c r="O4278">
        <v>-1.4546409999999999E-2</v>
      </c>
      <c r="P4278">
        <v>0.98857039999999996</v>
      </c>
      <c r="Q4278">
        <v>0.14227279999999901</v>
      </c>
      <c r="R4278">
        <v>-4.9873010000000002E-2</v>
      </c>
      <c r="S4278">
        <v>3.0656430000000001</v>
      </c>
      <c r="T4278">
        <v>-0.19045029999999999</v>
      </c>
      <c r="U4278">
        <v>0.1651001</v>
      </c>
      <c r="V4278">
        <v>3.3883469999999999E-2</v>
      </c>
      <c r="W4278">
        <v>0.15110499999999999</v>
      </c>
      <c r="X4278">
        <v>0.98793690000000001</v>
      </c>
      <c r="Y4278">
        <v>-6.8138260000000006E-2</v>
      </c>
      <c r="Z4278">
        <v>3.0152069999999998E-3</v>
      </c>
      <c r="AA4278">
        <v>0.99767130000000004</v>
      </c>
      <c r="AB4278">
        <v>36</v>
      </c>
      <c r="AC4278">
        <v>17.575299999999899</v>
      </c>
      <c r="AD4278">
        <v>-1.1138397350309901</v>
      </c>
      <c r="AE4278">
        <v>0.96845999999999999</v>
      </c>
      <c r="AF4278">
        <v>-1.21914259958091</v>
      </c>
      <c r="AG4278">
        <v>-1.1138397350309901</v>
      </c>
      <c r="AH4278">
        <v>17.489320245639099</v>
      </c>
      <c r="AI4278">
        <v>93.635268531669496</v>
      </c>
      <c r="AJ4278">
        <v>93.987514241689695</v>
      </c>
      <c r="AK4278">
        <v>17.567107624420402</v>
      </c>
      <c r="AL4278">
        <v>81.309032218796105</v>
      </c>
      <c r="AM4278">
        <v>88.035685123875894</v>
      </c>
      <c r="AN4278">
        <v>1.0000000644729199</v>
      </c>
    </row>
    <row r="4279" spans="1:40" x14ac:dyDescent="0.25">
      <c r="A4279" t="str">
        <f>"20190312164354956"</f>
        <v>20190312164354956</v>
      </c>
      <c r="B4279" t="str">
        <f>"1552380234949119"</f>
        <v>1552380234949119</v>
      </c>
      <c r="C4279" t="s">
        <v>40</v>
      </c>
      <c r="D4279">
        <v>5.0302239999999996</v>
      </c>
      <c r="E4279">
        <v>0.46919450000000001</v>
      </c>
      <c r="F4279" t="s">
        <v>53</v>
      </c>
      <c r="G4279">
        <v>-362.92599999999999</v>
      </c>
      <c r="H4279" s="1">
        <v>-3.6485190000000002E-6</v>
      </c>
      <c r="I4279">
        <v>17.90166</v>
      </c>
      <c r="J4279">
        <v>-382.05700000000002</v>
      </c>
      <c r="K4279">
        <v>1.113734</v>
      </c>
      <c r="L4279">
        <v>16.919740000000001</v>
      </c>
      <c r="M4279">
        <v>0.99991319999999995</v>
      </c>
      <c r="N4279">
        <v>0</v>
      </c>
      <c r="O4279">
        <v>-1.003734E-2</v>
      </c>
      <c r="P4279">
        <v>0.98769720000000005</v>
      </c>
      <c r="Q4279">
        <v>0.14721689999999901</v>
      </c>
      <c r="R4279">
        <v>-5.2741450000000002E-2</v>
      </c>
      <c r="S4279">
        <v>3.0676269999999999</v>
      </c>
      <c r="T4279">
        <v>-0.1751134</v>
      </c>
      <c r="U4279">
        <v>0.15414430000000001</v>
      </c>
      <c r="V4279">
        <v>4.1214679999999997E-2</v>
      </c>
      <c r="W4279">
        <v>0.1561023</v>
      </c>
      <c r="X4279">
        <v>0.98688069999999894</v>
      </c>
      <c r="Y4279">
        <v>-6.009403E-2</v>
      </c>
      <c r="Z4279">
        <v>2.2849390000000002E-3</v>
      </c>
      <c r="AA4279">
        <v>0.99819009999999997</v>
      </c>
      <c r="AB4279">
        <v>36</v>
      </c>
      <c r="AC4279">
        <v>19.130999999999901</v>
      </c>
      <c r="AD4279">
        <v>-1.113737648519</v>
      </c>
      <c r="AE4279">
        <v>0.98191999999999802</v>
      </c>
      <c r="AF4279">
        <v>-1.1699471724133701</v>
      </c>
      <c r="AG4279">
        <v>-1.113737648519</v>
      </c>
      <c r="AH4279">
        <v>19.055766860012799</v>
      </c>
      <c r="AI4279">
        <v>93.338644543951204</v>
      </c>
      <c r="AJ4279">
        <v>93.513319589440897</v>
      </c>
      <c r="AK4279">
        <v>19.124106215954999</v>
      </c>
      <c r="AL4279">
        <v>81.0192687994235</v>
      </c>
      <c r="AM4279">
        <v>87.608570328956702</v>
      </c>
      <c r="AN4279">
        <v>1.00000004697264</v>
      </c>
    </row>
    <row r="4280" spans="1:40" x14ac:dyDescent="0.25">
      <c r="A4280" t="str">
        <f>"20190312164354978"</f>
        <v>20190312164354978</v>
      </c>
      <c r="B4280" t="str">
        <f>"1552380234969614"</f>
        <v>1552380234969614</v>
      </c>
      <c r="C4280" t="s">
        <v>40</v>
      </c>
      <c r="D4280">
        <v>4.9986879999999996</v>
      </c>
      <c r="E4280">
        <v>0.46934350000000002</v>
      </c>
      <c r="F4280" t="s">
        <v>53</v>
      </c>
      <c r="G4280">
        <v>-360.83569999999997</v>
      </c>
      <c r="H4280" s="1">
        <v>-4.6337199999999999E-6</v>
      </c>
      <c r="I4280">
        <v>17.918060000000001</v>
      </c>
      <c r="J4280">
        <v>-381.71069999999997</v>
      </c>
      <c r="K4280">
        <v>1.113645</v>
      </c>
      <c r="L4280">
        <v>16.919799999999999</v>
      </c>
      <c r="M4280">
        <v>0.99994519999999998</v>
      </c>
      <c r="N4280">
        <v>0</v>
      </c>
      <c r="O4280">
        <v>-6.0504799999999996E-3</v>
      </c>
      <c r="P4280">
        <v>0.98689550000000004</v>
      </c>
      <c r="Q4280">
        <v>0.1509875</v>
      </c>
      <c r="R4280">
        <v>-5.6925709999999997E-2</v>
      </c>
      <c r="S4280">
        <v>3.069061</v>
      </c>
      <c r="T4280">
        <v>-0.16107050000000001</v>
      </c>
      <c r="U4280">
        <v>0.1443787</v>
      </c>
      <c r="V4280">
        <v>4.9346809999999998E-2</v>
      </c>
      <c r="W4280">
        <v>0.15993170000000001</v>
      </c>
      <c r="X4280">
        <v>0.98589389999999999</v>
      </c>
      <c r="Y4280">
        <v>-5.2953430000000003E-2</v>
      </c>
      <c r="Z4280">
        <v>1.704999E-3</v>
      </c>
      <c r="AA4280">
        <v>0.99859549999999997</v>
      </c>
      <c r="AB4280">
        <v>36</v>
      </c>
      <c r="AC4280">
        <v>20.875</v>
      </c>
      <c r="AD4280">
        <v>-1.1136496337199999</v>
      </c>
      <c r="AE4280">
        <v>0.99826000000000203</v>
      </c>
      <c r="AF4280">
        <v>-1.12136591186233</v>
      </c>
      <c r="AG4280">
        <v>-1.1136496337199999</v>
      </c>
      <c r="AH4280">
        <v>20.809487756151899</v>
      </c>
      <c r="AI4280">
        <v>93.0589140803704</v>
      </c>
      <c r="AJ4280">
        <v>93.084528216558695</v>
      </c>
      <c r="AK4280">
        <v>20.869414406935601</v>
      </c>
      <c r="AL4280">
        <v>80.797068309286004</v>
      </c>
      <c r="AM4280">
        <v>87.134573642115498</v>
      </c>
      <c r="AN4280">
        <v>1.0000000191896301</v>
      </c>
    </row>
    <row r="4281" spans="1:40" x14ac:dyDescent="0.25">
      <c r="A4281" t="str">
        <f>"20190312164354999"</f>
        <v>20190312164354999</v>
      </c>
      <c r="B4281" t="str">
        <f>"1552380234989134"</f>
        <v>1552380234989134</v>
      </c>
      <c r="C4281" t="s">
        <v>40</v>
      </c>
      <c r="D4281">
        <v>4.9225940000000001</v>
      </c>
      <c r="E4281">
        <v>0.46939049999999999</v>
      </c>
      <c r="F4281" t="s">
        <v>42</v>
      </c>
      <c r="G4281">
        <v>-359.00740000000002</v>
      </c>
      <c r="H4281" s="1">
        <v>-7.8184899999999995E-7</v>
      </c>
      <c r="I4281">
        <v>17.894960000000001</v>
      </c>
      <c r="J4281">
        <v>-381.36900000000003</v>
      </c>
      <c r="K4281">
        <v>1.113551</v>
      </c>
      <c r="L4281">
        <v>16.92108</v>
      </c>
      <c r="M4281">
        <v>0.99996110000000005</v>
      </c>
      <c r="N4281">
        <v>0</v>
      </c>
      <c r="O4281">
        <v>-2.2331819999999998E-3</v>
      </c>
      <c r="P4281">
        <v>0.98608680000000004</v>
      </c>
      <c r="Q4281">
        <v>0.15453819999999999</v>
      </c>
      <c r="R4281">
        <v>-6.1244920000000001E-2</v>
      </c>
      <c r="S4281">
        <v>3.0705260000000001</v>
      </c>
      <c r="T4281">
        <v>-0.15061550000000001</v>
      </c>
      <c r="U4281">
        <v>0.13189699999999999</v>
      </c>
      <c r="V4281">
        <v>5.7445379999999997E-2</v>
      </c>
      <c r="W4281">
        <v>0.16353619999999999</v>
      </c>
      <c r="X4281">
        <v>0.98486340000000006</v>
      </c>
      <c r="Y4281">
        <v>-4.5090560000000002E-2</v>
      </c>
      <c r="Z4281">
        <v>1.2141490000000001E-3</v>
      </c>
      <c r="AA4281">
        <v>0.99898220000000004</v>
      </c>
      <c r="AB4281">
        <v>36</v>
      </c>
      <c r="AC4281">
        <v>22.361599999999999</v>
      </c>
      <c r="AD4281">
        <v>-1.1135517818489999</v>
      </c>
      <c r="AE4281">
        <v>0.97388000000000097</v>
      </c>
      <c r="AF4281">
        <v>-1.0212891230419501</v>
      </c>
      <c r="AG4281">
        <v>-1.1135517818489999</v>
      </c>
      <c r="AH4281">
        <v>22.304164347693099</v>
      </c>
      <c r="AI4281">
        <v>92.855174085271102</v>
      </c>
      <c r="AJ4281">
        <v>92.621694826342406</v>
      </c>
      <c r="AK4281">
        <v>22.355285198194299</v>
      </c>
      <c r="AL4281">
        <v>80.587789989620902</v>
      </c>
      <c r="AM4281">
        <v>86.661818482044694</v>
      </c>
      <c r="AN4281">
        <v>0.99999998852667205</v>
      </c>
    </row>
    <row r="4282" spans="1:40" x14ac:dyDescent="0.25">
      <c r="A4282" t="str">
        <f>"20190312164355024"</f>
        <v>20190312164355024</v>
      </c>
      <c r="B4282" t="str">
        <f>"1552380235019391"</f>
        <v>1552380235019391</v>
      </c>
      <c r="C4282" t="s">
        <v>40</v>
      </c>
      <c r="D4282">
        <v>4.9544040000000003</v>
      </c>
      <c r="E4282">
        <v>0.46947830000000002</v>
      </c>
      <c r="F4282" t="s">
        <v>42</v>
      </c>
      <c r="G4282">
        <v>-357.0129</v>
      </c>
      <c r="H4282" s="1">
        <v>-1.5723439999999999E-6</v>
      </c>
      <c r="I4282">
        <v>17.876550000000002</v>
      </c>
      <c r="J4282">
        <v>-380.99529999999999</v>
      </c>
      <c r="K4282">
        <v>1.1134299999999999</v>
      </c>
      <c r="L4282">
        <v>16.92389</v>
      </c>
      <c r="M4282">
        <v>0.99996200000000002</v>
      </c>
      <c r="N4282">
        <v>0</v>
      </c>
      <c r="O4282">
        <v>1.783703E-3</v>
      </c>
      <c r="P4282">
        <v>0.98540340000000004</v>
      </c>
      <c r="Q4282">
        <v>0.15741060000000001</v>
      </c>
      <c r="R4282">
        <v>-6.4824110000000004E-2</v>
      </c>
      <c r="S4282">
        <v>3.071777</v>
      </c>
      <c r="T4282">
        <v>-0.14044110000000001</v>
      </c>
      <c r="U4282">
        <v>0.12051389999999999</v>
      </c>
      <c r="V4282">
        <v>6.5008990000000003E-2</v>
      </c>
      <c r="W4282">
        <v>0.16644970000000001</v>
      </c>
      <c r="X4282">
        <v>0.98390469999999997</v>
      </c>
      <c r="Y4282">
        <v>-3.7382890000000002E-2</v>
      </c>
      <c r="Z4282">
        <v>7.7231640000000002E-4</v>
      </c>
      <c r="AA4282">
        <v>0.99930070000000004</v>
      </c>
      <c r="AB4282">
        <v>36</v>
      </c>
      <c r="AC4282">
        <v>23.982399999999899</v>
      </c>
      <c r="AD4282">
        <v>-1.11343157234399</v>
      </c>
      <c r="AE4282">
        <v>0.95266000000000095</v>
      </c>
      <c r="AF4282">
        <v>-0.90792552587877196</v>
      </c>
      <c r="AG4282">
        <v>-1.11343157234399</v>
      </c>
      <c r="AH4282">
        <v>23.932556558072299</v>
      </c>
      <c r="AI4282">
        <v>92.661780148536806</v>
      </c>
      <c r="AJ4282">
        <v>92.172578855520499</v>
      </c>
      <c r="AK4282">
        <v>23.975640179819202</v>
      </c>
      <c r="AL4282">
        <v>80.418539781134797</v>
      </c>
      <c r="AM4282">
        <v>86.219822196698502</v>
      </c>
      <c r="AN4282">
        <v>1.00000006504649</v>
      </c>
    </row>
    <row r="4283" spans="1:40" x14ac:dyDescent="0.25">
      <c r="A4283" t="str">
        <f>"20190312164355045"</f>
        <v>20190312164355045</v>
      </c>
      <c r="B4283" t="str">
        <f>"1552380235038910"</f>
        <v>1552380235038910</v>
      </c>
      <c r="C4283" t="s">
        <v>40</v>
      </c>
      <c r="D4283">
        <v>5.0654120000000002</v>
      </c>
      <c r="E4283">
        <v>0.46964400000000001</v>
      </c>
      <c r="F4283" t="s">
        <v>42</v>
      </c>
      <c r="G4283">
        <v>-355.40989999999999</v>
      </c>
      <c r="H4283" s="1">
        <v>-2.2664290000000002E-6</v>
      </c>
      <c r="I4283">
        <v>17.840529999999902</v>
      </c>
      <c r="J4283">
        <v>-380.63940000000002</v>
      </c>
      <c r="K4283">
        <v>1.113307</v>
      </c>
      <c r="L4283">
        <v>16.927859999999999</v>
      </c>
      <c r="M4283">
        <v>0.99994870000000002</v>
      </c>
      <c r="N4283">
        <v>0</v>
      </c>
      <c r="O4283">
        <v>5.4525529999999997E-3</v>
      </c>
      <c r="P4283">
        <v>0.98482029999999998</v>
      </c>
      <c r="Q4283">
        <v>0.15970100000000001</v>
      </c>
      <c r="R4283">
        <v>-6.8005220000000005E-2</v>
      </c>
      <c r="S4283">
        <v>3.0730590000000002</v>
      </c>
      <c r="T4283">
        <v>-0.1337342</v>
      </c>
      <c r="U4283">
        <v>0.11010739999999899</v>
      </c>
      <c r="V4283">
        <v>7.1831850000000003E-2</v>
      </c>
      <c r="W4283">
        <v>0.16877010000000001</v>
      </c>
      <c r="X4283">
        <v>0.98303450000000003</v>
      </c>
      <c r="Y4283">
        <v>-3.0333619999999999E-2</v>
      </c>
      <c r="Z4283">
        <v>4.2241050000000002E-4</v>
      </c>
      <c r="AA4283">
        <v>0.99953970000000003</v>
      </c>
      <c r="AB4283">
        <v>36</v>
      </c>
      <c r="AC4283">
        <v>25.229500000000002</v>
      </c>
      <c r="AD4283">
        <v>-1.1133092664290001</v>
      </c>
      <c r="AE4283">
        <v>0.91266999999999798</v>
      </c>
      <c r="AF4283">
        <v>-0.77358187057596906</v>
      </c>
      <c r="AG4283">
        <v>-1.1133092664290001</v>
      </c>
      <c r="AH4283">
        <v>25.185124679758999</v>
      </c>
      <c r="AI4283">
        <v>92.5299223992196</v>
      </c>
      <c r="AJ4283">
        <v>91.759333961125506</v>
      </c>
      <c r="AK4283">
        <v>25.221585825800201</v>
      </c>
      <c r="AL4283">
        <v>80.283682173130103</v>
      </c>
      <c r="AM4283">
        <v>85.820736613793002</v>
      </c>
      <c r="AN4283">
        <v>0.99999999475934098</v>
      </c>
    </row>
    <row r="4284" spans="1:40" x14ac:dyDescent="0.25">
      <c r="A4284" t="str">
        <f>"20190312164355068"</f>
        <v>20190312164355068</v>
      </c>
      <c r="B4284" t="str">
        <f>"1552380235059407"</f>
        <v>1552380235059407</v>
      </c>
      <c r="C4284" t="s">
        <v>40</v>
      </c>
      <c r="D4284">
        <v>4.961373</v>
      </c>
      <c r="E4284">
        <v>0.48281829999999998</v>
      </c>
      <c r="F4284" t="s">
        <v>42</v>
      </c>
      <c r="G4284">
        <v>-353.82639999999998</v>
      </c>
      <c r="H4284" s="1">
        <v>-2.9525570000000002E-6</v>
      </c>
      <c r="I4284">
        <v>17.802250000000001</v>
      </c>
      <c r="J4284">
        <v>-380.27809999999999</v>
      </c>
      <c r="K4284">
        <v>1.113183</v>
      </c>
      <c r="L4284">
        <v>16.933039999999998</v>
      </c>
      <c r="M4284">
        <v>0.99992270000000005</v>
      </c>
      <c r="N4284">
        <v>0</v>
      </c>
      <c r="O4284">
        <v>9.0442749999999992E-3</v>
      </c>
      <c r="P4284">
        <v>0.98433090000000001</v>
      </c>
      <c r="Q4284">
        <v>0.161207399999999</v>
      </c>
      <c r="R4284">
        <v>-7.1449849999999995E-2</v>
      </c>
      <c r="S4284">
        <v>3.0738530000000002</v>
      </c>
      <c r="T4284">
        <v>-0.1276301</v>
      </c>
      <c r="U4284">
        <v>0.1002502</v>
      </c>
      <c r="V4284">
        <v>7.8843650000000001E-2</v>
      </c>
      <c r="W4284">
        <v>0.17030629999999999</v>
      </c>
      <c r="X4284">
        <v>0.98223190000000005</v>
      </c>
      <c r="Y4284">
        <v>-2.3542939999999998E-2</v>
      </c>
      <c r="Z4284">
        <v>1.131617E-4</v>
      </c>
      <c r="AA4284">
        <v>0.99972280000000002</v>
      </c>
      <c r="AB4284">
        <v>36</v>
      </c>
      <c r="AC4284">
        <v>26.451699999999999</v>
      </c>
      <c r="AD4284">
        <v>-1.113185952557</v>
      </c>
      <c r="AE4284">
        <v>0.86921000000000204</v>
      </c>
      <c r="AF4284">
        <v>-0.62881683111182296</v>
      </c>
      <c r="AG4284">
        <v>-1.113185952557</v>
      </c>
      <c r="AH4284">
        <v>26.411753893334701</v>
      </c>
      <c r="AI4284">
        <v>92.412755085713897</v>
      </c>
      <c r="AJ4284">
        <v>91.363852836091397</v>
      </c>
      <c r="AK4284">
        <v>26.442680221455301</v>
      </c>
      <c r="AL4284">
        <v>80.194371851349004</v>
      </c>
      <c r="AM4284">
        <v>85.410713650638698</v>
      </c>
      <c r="AN4284">
        <v>1.00000003117131</v>
      </c>
    </row>
    <row r="4285" spans="1:40" x14ac:dyDescent="0.25">
      <c r="A4285" t="str">
        <f>"20190312164355090"</f>
        <v>20190312164355090</v>
      </c>
      <c r="B4285" t="str">
        <f>"1552380235078926"</f>
        <v>1552380235078926</v>
      </c>
      <c r="C4285" t="s">
        <v>40</v>
      </c>
      <c r="D4285">
        <v>4.9418389999999999</v>
      </c>
      <c r="E4285">
        <v>0.48251949999999999</v>
      </c>
      <c r="F4285" t="s">
        <v>53</v>
      </c>
      <c r="G4285">
        <v>-362.13139999999999</v>
      </c>
      <c r="H4285" s="1">
        <v>-4.2036970000000002E-6</v>
      </c>
      <c r="I4285">
        <v>16.889329999999902</v>
      </c>
      <c r="J4285">
        <v>-379.92160000000001</v>
      </c>
      <c r="K4285">
        <v>1.113062</v>
      </c>
      <c r="L4285">
        <v>16.939299999999999</v>
      </c>
      <c r="M4285">
        <v>0.99988600000000005</v>
      </c>
      <c r="N4285">
        <v>0</v>
      </c>
      <c r="O4285">
        <v>1.244813E-2</v>
      </c>
      <c r="P4285">
        <v>0.98414959999999996</v>
      </c>
      <c r="Q4285">
        <v>0.16116539999999999</v>
      </c>
      <c r="R4285">
        <v>-7.3994610000000002E-2</v>
      </c>
      <c r="S4285">
        <v>3.078217</v>
      </c>
      <c r="T4285">
        <v>-0.18882940000000001</v>
      </c>
      <c r="U4285">
        <v>-7.4157709999999998E-3</v>
      </c>
      <c r="V4285">
        <v>8.4782380000000004E-2</v>
      </c>
      <c r="W4285">
        <v>0.17028560000000001</v>
      </c>
      <c r="X4285">
        <v>0.98174070000000002</v>
      </c>
      <c r="Y4285">
        <v>1.480624E-2</v>
      </c>
      <c r="Z4285">
        <v>-1.216621E-3</v>
      </c>
      <c r="AA4285">
        <v>0.99988960000000005</v>
      </c>
      <c r="AB4285">
        <v>36</v>
      </c>
      <c r="AC4285">
        <v>17.790199999999999</v>
      </c>
      <c r="AD4285">
        <v>-1.113066203697</v>
      </c>
      <c r="AE4285">
        <v>-4.9970000000001798E-2</v>
      </c>
      <c r="AF4285">
        <v>0.27037057022041999</v>
      </c>
      <c r="AG4285">
        <v>-1.113066203697</v>
      </c>
      <c r="AH4285">
        <v>17.718838949413598</v>
      </c>
      <c r="AI4285">
        <v>93.594079344000704</v>
      </c>
      <c r="AJ4285">
        <v>89.125795403373402</v>
      </c>
      <c r="AK4285">
        <v>17.755823561139302</v>
      </c>
      <c r="AL4285">
        <v>80.195575342254898</v>
      </c>
      <c r="AM4285">
        <v>85.064225960446507</v>
      </c>
      <c r="AN4285">
        <v>1.0000000197811501</v>
      </c>
    </row>
    <row r="4286" spans="1:40" x14ac:dyDescent="0.25">
      <c r="A4286" t="str">
        <f>"20190312164355111"</f>
        <v>20190312164355111</v>
      </c>
      <c r="B4286" t="str">
        <f>"1552380235099422"</f>
        <v>1552380235099422</v>
      </c>
      <c r="C4286" t="s">
        <v>40</v>
      </c>
      <c r="D4286">
        <v>5.0153549999999996</v>
      </c>
      <c r="E4286">
        <v>0.4821299</v>
      </c>
      <c r="F4286" t="s">
        <v>53</v>
      </c>
      <c r="G4286">
        <v>-361.83300000000003</v>
      </c>
      <c r="H4286" s="1">
        <v>-4.3476149999999999E-6</v>
      </c>
      <c r="I4286">
        <v>16.87313</v>
      </c>
      <c r="J4286">
        <v>-379.58150000000001</v>
      </c>
      <c r="K4286">
        <v>1.1129469999999999</v>
      </c>
      <c r="L4286">
        <v>16.946259999999999</v>
      </c>
      <c r="M4286">
        <v>0.99984260000000003</v>
      </c>
      <c r="N4286">
        <v>0</v>
      </c>
      <c r="O4286">
        <v>1.555344E-2</v>
      </c>
      <c r="P4286">
        <v>0.9841626</v>
      </c>
      <c r="Q4286">
        <v>0.16007829999999901</v>
      </c>
      <c r="R4286">
        <v>-7.6151529999999995E-2</v>
      </c>
      <c r="S4286">
        <v>3.0784609999999999</v>
      </c>
      <c r="T4286">
        <v>-0.18943080000000001</v>
      </c>
      <c r="U4286">
        <v>-1.126099E-2</v>
      </c>
      <c r="V4286">
        <v>9.0048690000000001E-2</v>
      </c>
      <c r="W4286">
        <v>0.16921229999999901</v>
      </c>
      <c r="X4286">
        <v>0.98145729999999998</v>
      </c>
      <c r="Y4286">
        <v>1.9145800000000001E-2</v>
      </c>
      <c r="Z4286">
        <v>-1.5446779999999901E-3</v>
      </c>
      <c r="AA4286">
        <v>0.99981549999999997</v>
      </c>
      <c r="AB4286">
        <v>36</v>
      </c>
      <c r="AC4286">
        <v>17.7484999999999</v>
      </c>
      <c r="AD4286">
        <v>-1.1129513476149999</v>
      </c>
      <c r="AE4286">
        <v>-7.3130000000002499E-2</v>
      </c>
      <c r="AF4286">
        <v>0.34781381146392898</v>
      </c>
      <c r="AG4286">
        <v>-1.1129513476149999</v>
      </c>
      <c r="AH4286">
        <v>17.675713272215098</v>
      </c>
      <c r="AI4286">
        <v>93.602177188685502</v>
      </c>
      <c r="AJ4286">
        <v>88.872707899072694</v>
      </c>
      <c r="AK4286">
        <v>17.7141320654206</v>
      </c>
      <c r="AL4286">
        <v>80.257976320698802</v>
      </c>
      <c r="AM4286">
        <v>84.757790106834605</v>
      </c>
      <c r="AN4286">
        <v>1.0000000003826399</v>
      </c>
    </row>
    <row r="4287" spans="1:40" x14ac:dyDescent="0.25">
      <c r="A4287" t="str">
        <f>"20190312164355123"</f>
        <v>20190312164355123</v>
      </c>
      <c r="B4287" t="str">
        <f>"1552380235118943"</f>
        <v>1552380235118943</v>
      </c>
      <c r="C4287" t="s">
        <v>40</v>
      </c>
      <c r="D4287">
        <v>4.8918569999999999</v>
      </c>
      <c r="E4287">
        <v>0.48160819999999999</v>
      </c>
      <c r="F4287" t="s">
        <v>53</v>
      </c>
      <c r="G4287">
        <v>-362.01440000000002</v>
      </c>
      <c r="H4287" s="1">
        <v>-4.2623980000000004E-6</v>
      </c>
      <c r="I4287">
        <v>16.870170000000002</v>
      </c>
      <c r="J4287">
        <v>-379.38299999999998</v>
      </c>
      <c r="K4287">
        <v>1.11287</v>
      </c>
      <c r="L4287">
        <v>16.950679999999998</v>
      </c>
      <c r="M4287">
        <v>0.99981399999999998</v>
      </c>
      <c r="N4287">
        <v>0</v>
      </c>
      <c r="O4287">
        <v>1.7306430000000001E-2</v>
      </c>
      <c r="P4287">
        <v>0.98417960000000004</v>
      </c>
      <c r="Q4287">
        <v>0.15964809999999999</v>
      </c>
      <c r="R4287">
        <v>-7.6831880000000005E-2</v>
      </c>
      <c r="S4287">
        <v>3.0789789999999999</v>
      </c>
      <c r="T4287">
        <v>-0.19506670000000001</v>
      </c>
      <c r="U4287">
        <v>-1.333618E-2</v>
      </c>
      <c r="V4287">
        <v>9.2485139999999993E-2</v>
      </c>
      <c r="W4287">
        <v>0.16878319999999999</v>
      </c>
      <c r="X4287">
        <v>0.98130459999999997</v>
      </c>
      <c r="Y4287">
        <v>2.1559660000000001E-2</v>
      </c>
      <c r="Z4287">
        <v>-1.777605E-3</v>
      </c>
      <c r="AA4287">
        <v>0.99976600000000004</v>
      </c>
      <c r="AB4287">
        <v>36</v>
      </c>
      <c r="AC4287">
        <v>17.368600000000001</v>
      </c>
      <c r="AD4287">
        <v>-1.1128742623979999</v>
      </c>
      <c r="AE4287">
        <v>-8.0509999999996695E-2</v>
      </c>
      <c r="AF4287">
        <v>0.37953913933848799</v>
      </c>
      <c r="AG4287">
        <v>-1.1128742623979999</v>
      </c>
      <c r="AH4287">
        <v>17.293608355308901</v>
      </c>
      <c r="AI4287">
        <v>93.681123712007505</v>
      </c>
      <c r="AJ4287">
        <v>88.742743561426593</v>
      </c>
      <c r="AK4287">
        <v>17.3335348105633</v>
      </c>
      <c r="AL4287">
        <v>80.282920665294796</v>
      </c>
      <c r="AM4287">
        <v>84.615941102345403</v>
      </c>
      <c r="AN4287">
        <v>0.99999999385210903</v>
      </c>
    </row>
    <row r="4288" spans="1:40" x14ac:dyDescent="0.25">
      <c r="A4288" t="str">
        <f>"20190312164355145"</f>
        <v>20190312164355145</v>
      </c>
      <c r="B4288" t="str">
        <f>"1552380235139439"</f>
        <v>1552380235139439</v>
      </c>
      <c r="C4288" t="s">
        <v>40</v>
      </c>
      <c r="D4288">
        <v>4.9141320000000004</v>
      </c>
      <c r="E4288">
        <v>0.48094599999999998</v>
      </c>
      <c r="F4288" t="s">
        <v>41</v>
      </c>
      <c r="G4288">
        <v>-378.36619999999999</v>
      </c>
      <c r="H4288">
        <v>1.047132</v>
      </c>
      <c r="I4288">
        <v>16.947129999999898</v>
      </c>
      <c r="J4288">
        <v>-379.0283</v>
      </c>
      <c r="K4288">
        <v>1.1127119999999999</v>
      </c>
      <c r="L4288">
        <v>16.959529999999901</v>
      </c>
      <c r="M4288">
        <v>0.99975800000000004</v>
      </c>
      <c r="N4288">
        <v>0</v>
      </c>
      <c r="O4288">
        <v>2.0279019999999998E-2</v>
      </c>
      <c r="P4288">
        <v>0.98449770000000003</v>
      </c>
      <c r="Q4288">
        <v>0.15721089999999999</v>
      </c>
      <c r="R4288">
        <v>-7.7775720000000007E-2</v>
      </c>
      <c r="S4288">
        <v>3.0796809999999999</v>
      </c>
      <c r="T4288">
        <v>-0.1991134</v>
      </c>
      <c r="U4288">
        <v>-1.062012E-2</v>
      </c>
      <c r="V4288">
        <v>9.6432889999999993E-2</v>
      </c>
      <c r="W4288">
        <v>0.16634109999999999</v>
      </c>
      <c r="X4288">
        <v>0.98134160000000004</v>
      </c>
      <c r="Y4288">
        <v>2.3635670000000001E-2</v>
      </c>
      <c r="Z4288">
        <v>-2.0730079999999999E-3</v>
      </c>
      <c r="AA4288">
        <v>0.99971849999999995</v>
      </c>
      <c r="AB4288">
        <v>36</v>
      </c>
      <c r="AC4288">
        <v>0.66210000000000901</v>
      </c>
      <c r="AD4288">
        <v>-6.5580000000000194E-2</v>
      </c>
      <c r="AE4288">
        <v>-1.23999999999995E-2</v>
      </c>
      <c r="AF4288">
        <v>2.55738700367177E-2</v>
      </c>
      <c r="AG4288">
        <v>-6.5580000000000194E-2</v>
      </c>
      <c r="AH4288">
        <v>0.65528587188145504</v>
      </c>
      <c r="AI4288">
        <v>95.710725331698299</v>
      </c>
      <c r="AJ4288">
        <v>87.765049368660101</v>
      </c>
      <c r="AK4288">
        <v>0.65905563734490102</v>
      </c>
      <c r="AL4288">
        <v>80.4248494433823</v>
      </c>
      <c r="AM4288">
        <v>84.387769104078103</v>
      </c>
      <c r="AN4288">
        <v>0.99999999985676102</v>
      </c>
    </row>
    <row r="4289" spans="1:40" x14ac:dyDescent="0.25">
      <c r="A4289" t="str">
        <f>"20190312164355157"</f>
        <v>20190312164355157</v>
      </c>
      <c r="B4289" t="str">
        <f>"1552380235149199"</f>
        <v>1552380235149199</v>
      </c>
      <c r="C4289" t="s">
        <v>40</v>
      </c>
      <c r="D4289">
        <v>4.8900199999999998</v>
      </c>
      <c r="E4289">
        <v>0.4805719</v>
      </c>
      <c r="F4289" t="s">
        <v>41</v>
      </c>
      <c r="G4289">
        <v>-378.04250000000002</v>
      </c>
      <c r="H4289">
        <v>1.0469189999999999</v>
      </c>
      <c r="I4289">
        <v>16.956849999999999</v>
      </c>
      <c r="J4289">
        <v>-378.81060000000002</v>
      </c>
      <c r="K4289">
        <v>1.112614</v>
      </c>
      <c r="L4289">
        <v>16.965329999999899</v>
      </c>
      <c r="M4289">
        <v>0.99972119999999998</v>
      </c>
      <c r="N4289">
        <v>0</v>
      </c>
      <c r="O4289">
        <v>2.2019710000000001E-2</v>
      </c>
      <c r="P4289">
        <v>0.98460820000000004</v>
      </c>
      <c r="Q4289">
        <v>0.15647559999999999</v>
      </c>
      <c r="R4289">
        <v>-7.7859449999999997E-2</v>
      </c>
      <c r="S4289">
        <v>3.0794679999999999</v>
      </c>
      <c r="T4289">
        <v>-0.2056239</v>
      </c>
      <c r="U4289">
        <v>-7.5378419999999899E-3</v>
      </c>
      <c r="V4289">
        <v>9.8273460000000007E-2</v>
      </c>
      <c r="W4289">
        <v>0.1655944</v>
      </c>
      <c r="X4289">
        <v>0.98128530000000003</v>
      </c>
      <c r="Y4289">
        <v>2.436433E-2</v>
      </c>
      <c r="Z4289">
        <v>-2.2811770000000001E-3</v>
      </c>
      <c r="AA4289">
        <v>0.99970049999999999</v>
      </c>
      <c r="AB4289">
        <v>36</v>
      </c>
      <c r="AC4289">
        <v>0.768100000000004</v>
      </c>
      <c r="AD4289">
        <v>-6.5694999999999795E-2</v>
      </c>
      <c r="AE4289">
        <v>-8.4799999999987004E-3</v>
      </c>
      <c r="AF4289">
        <v>2.5207520650334998E-2</v>
      </c>
      <c r="AG4289">
        <v>-6.5694999999999795E-2</v>
      </c>
      <c r="AH4289">
        <v>0.76215236184952695</v>
      </c>
      <c r="AI4289">
        <v>94.923849547328402</v>
      </c>
      <c r="AJ4289">
        <v>88.105682892586202</v>
      </c>
      <c r="AK4289">
        <v>0.76539367308277995</v>
      </c>
      <c r="AL4289">
        <v>80.4682339833154</v>
      </c>
      <c r="AM4289">
        <v>84.2810285239743</v>
      </c>
      <c r="AN4289">
        <v>1.0000000091239101</v>
      </c>
    </row>
    <row r="4290" spans="1:40" x14ac:dyDescent="0.25">
      <c r="A4290" t="str">
        <f>"20190312164355171"</f>
        <v>20190312164355171</v>
      </c>
      <c r="B4290" t="str">
        <f>"1552380235158960"</f>
        <v>1552380235158960</v>
      </c>
      <c r="C4290" t="s">
        <v>40</v>
      </c>
      <c r="D4290">
        <v>4.9426509999999997</v>
      </c>
      <c r="E4290">
        <v>0.48042220000000002</v>
      </c>
      <c r="F4290" t="s">
        <v>53</v>
      </c>
      <c r="G4290">
        <v>-362.30939999999998</v>
      </c>
      <c r="H4290" s="1">
        <v>-4.1103600000000002E-6</v>
      </c>
      <c r="I4290">
        <v>16.941289999999999</v>
      </c>
      <c r="J4290">
        <v>-378.61130000000003</v>
      </c>
      <c r="K4290">
        <v>1.1125160000000001</v>
      </c>
      <c r="L4290">
        <v>16.971070000000001</v>
      </c>
      <c r="M4290">
        <v>0.99968659999999998</v>
      </c>
      <c r="N4290">
        <v>0</v>
      </c>
      <c r="O4290">
        <v>2.353717E-2</v>
      </c>
      <c r="P4290">
        <v>0.98475659999999998</v>
      </c>
      <c r="Q4290">
        <v>0.1554442</v>
      </c>
      <c r="R4290">
        <v>-7.8048069999999997E-2</v>
      </c>
      <c r="S4290">
        <v>3.079529</v>
      </c>
      <c r="T4290">
        <v>-0.20764160000000001</v>
      </c>
      <c r="U4290">
        <v>-4.4860840000000004E-3</v>
      </c>
      <c r="V4290">
        <v>0.1000006</v>
      </c>
      <c r="W4290">
        <v>0.1645517</v>
      </c>
      <c r="X4290">
        <v>0.9812862</v>
      </c>
      <c r="Y4290">
        <v>2.4884389999999999E-2</v>
      </c>
      <c r="Z4290">
        <v>-2.423162E-3</v>
      </c>
      <c r="AA4290">
        <v>0.9996874</v>
      </c>
      <c r="AB4290">
        <v>36</v>
      </c>
      <c r="AC4290">
        <v>16.3019</v>
      </c>
      <c r="AD4290">
        <v>-1.11252011036</v>
      </c>
      <c r="AE4290">
        <v>-2.9780000000002301E-2</v>
      </c>
      <c r="AF4290">
        <v>0.41156947126566301</v>
      </c>
      <c r="AG4290">
        <v>-1.11252011036</v>
      </c>
      <c r="AH4290">
        <v>16.221135146794701</v>
      </c>
      <c r="AI4290">
        <v>93.922205848290304</v>
      </c>
      <c r="AJ4290">
        <v>88.546579187433906</v>
      </c>
      <c r="AK4290">
        <v>16.2644494489119</v>
      </c>
      <c r="AL4290">
        <v>80.528807136116995</v>
      </c>
      <c r="AM4290">
        <v>84.181207616568898</v>
      </c>
      <c r="AN4290">
        <v>0.99999999414184404</v>
      </c>
    </row>
    <row r="4291" spans="1:40" x14ac:dyDescent="0.25">
      <c r="A4291" t="str">
        <f>"20190312164355190"</f>
        <v>20190312164355190</v>
      </c>
      <c r="B4291" t="str">
        <f>"1552380235179458"</f>
        <v>1552380235179458</v>
      </c>
      <c r="C4291" t="s">
        <v>40</v>
      </c>
      <c r="D4291">
        <v>4.82918</v>
      </c>
      <c r="E4291">
        <v>0.48015269999999999</v>
      </c>
      <c r="F4291" t="s">
        <v>41</v>
      </c>
      <c r="G4291">
        <v>-377.714</v>
      </c>
      <c r="H4291">
        <v>1.0513840000000001</v>
      </c>
      <c r="I4291">
        <v>16.969850000000001</v>
      </c>
      <c r="J4291">
        <v>-378.30149999999998</v>
      </c>
      <c r="K4291">
        <v>1.1123559999999999</v>
      </c>
      <c r="L4291">
        <v>16.980319999999999</v>
      </c>
      <c r="M4291">
        <v>0.9996313</v>
      </c>
      <c r="N4291">
        <v>0</v>
      </c>
      <c r="O4291">
        <v>2.5784749999999999E-2</v>
      </c>
      <c r="P4291">
        <v>0.98502520000000005</v>
      </c>
      <c r="Q4291">
        <v>0.15360019999999999</v>
      </c>
      <c r="R4291">
        <v>-7.8310589999999999E-2</v>
      </c>
      <c r="S4291">
        <v>3.079285</v>
      </c>
      <c r="T4291">
        <v>-0.20983579999999999</v>
      </c>
      <c r="U4291">
        <v>-3.479004E-3</v>
      </c>
      <c r="V4291">
        <v>0.1025514</v>
      </c>
      <c r="W4291">
        <v>0.16268560000000001</v>
      </c>
      <c r="X4291">
        <v>0.98133409999999999</v>
      </c>
      <c r="Y4291">
        <v>2.6793170000000002E-2</v>
      </c>
      <c r="Z4291">
        <v>-2.6668159999999998E-3</v>
      </c>
      <c r="AA4291">
        <v>0.99963740000000001</v>
      </c>
      <c r="AB4291">
        <v>36</v>
      </c>
      <c r="AC4291">
        <v>0.58749999999997704</v>
      </c>
      <c r="AD4291">
        <v>-6.0971999999999797E-2</v>
      </c>
      <c r="AE4291">
        <v>-1.0470000000001501E-2</v>
      </c>
      <c r="AF4291">
        <v>2.5342734685802198E-2</v>
      </c>
      <c r="AG4291">
        <v>-6.0971999999999797E-2</v>
      </c>
      <c r="AH4291">
        <v>0.58078122491429995</v>
      </c>
      <c r="AI4291">
        <v>95.987458286667007</v>
      </c>
      <c r="AJ4291">
        <v>87.501449529891303</v>
      </c>
      <c r="AK4291">
        <v>0.58452260024597003</v>
      </c>
      <c r="AL4291">
        <v>80.637187478992104</v>
      </c>
      <c r="AM4291">
        <v>84.034129278042101</v>
      </c>
      <c r="AN4291">
        <v>1.00000000495606</v>
      </c>
    </row>
    <row r="4292" spans="1:40" x14ac:dyDescent="0.25">
      <c r="A4292" t="str">
        <f>"20190312164355203"</f>
        <v>20190312164355203</v>
      </c>
      <c r="B4292" t="str">
        <f>"1552380235198975"</f>
        <v>1552380235198975</v>
      </c>
      <c r="C4292" t="s">
        <v>40</v>
      </c>
      <c r="D4292">
        <v>4.7517300000000002</v>
      </c>
      <c r="E4292">
        <v>0.47988520000000001</v>
      </c>
      <c r="F4292" t="s">
        <v>41</v>
      </c>
      <c r="G4292">
        <v>-377.39</v>
      </c>
      <c r="H4292">
        <v>1.0502560000000001</v>
      </c>
      <c r="I4292">
        <v>16.97936</v>
      </c>
      <c r="J4292">
        <v>-378.07580000000002</v>
      </c>
      <c r="K4292">
        <v>1.1122399999999999</v>
      </c>
      <c r="L4292">
        <v>16.987369999999999</v>
      </c>
      <c r="M4292">
        <v>0.99959030000000004</v>
      </c>
      <c r="N4292">
        <v>0</v>
      </c>
      <c r="O4292">
        <v>2.732687E-2</v>
      </c>
      <c r="P4292">
        <v>0.98522619999999905</v>
      </c>
      <c r="Q4292">
        <v>0.15161140000000001</v>
      </c>
      <c r="R4292">
        <v>-7.9647350000000006E-2</v>
      </c>
      <c r="S4292">
        <v>3.078125</v>
      </c>
      <c r="T4292">
        <v>-0.20979030000000001</v>
      </c>
      <c r="U4292">
        <v>-2.3498540000000002E-3</v>
      </c>
      <c r="V4292">
        <v>0.1054683</v>
      </c>
      <c r="W4292">
        <v>0.160685299999999</v>
      </c>
      <c r="X4292">
        <v>0.98135450000000002</v>
      </c>
      <c r="Y4292">
        <v>2.7962710000000002E-2</v>
      </c>
      <c r="Z4292">
        <v>-2.812007E-3</v>
      </c>
      <c r="AA4292">
        <v>0.99960499999999997</v>
      </c>
      <c r="AB4292">
        <v>36</v>
      </c>
      <c r="AC4292">
        <v>0.68580000000002805</v>
      </c>
      <c r="AD4292">
        <v>-6.1983999999999997E-2</v>
      </c>
      <c r="AE4292">
        <v>-8.0100000000022896E-3</v>
      </c>
      <c r="AF4292">
        <v>2.6531749084218601E-2</v>
      </c>
      <c r="AG4292">
        <v>-6.1983999999999997E-2</v>
      </c>
      <c r="AH4292">
        <v>0.67977272778142495</v>
      </c>
      <c r="AI4292">
        <v>95.206075342427098</v>
      </c>
      <c r="AJ4292">
        <v>87.764861740347996</v>
      </c>
      <c r="AK4292">
        <v>0.683108272092255</v>
      </c>
      <c r="AL4292">
        <v>80.753324208656693</v>
      </c>
      <c r="AM4292">
        <v>83.865842854220801</v>
      </c>
      <c r="AN4292">
        <v>0.99999999130561501</v>
      </c>
    </row>
    <row r="4293" spans="1:40" x14ac:dyDescent="0.25">
      <c r="A4293" t="str">
        <f>"20190312164355235"</f>
        <v>20190312164355235</v>
      </c>
      <c r="B4293" t="str">
        <f>"1552380235229231"</f>
        <v>1552380235229231</v>
      </c>
      <c r="C4293" t="s">
        <v>40</v>
      </c>
      <c r="D4293">
        <v>4.7190180000000002</v>
      </c>
      <c r="E4293">
        <v>0.47960530000000001</v>
      </c>
      <c r="F4293" t="s">
        <v>41</v>
      </c>
      <c r="G4293">
        <v>-377.07</v>
      </c>
      <c r="H4293">
        <v>1.042894</v>
      </c>
      <c r="I4293">
        <v>16.985849999999999</v>
      </c>
      <c r="J4293">
        <v>-377.57690000000002</v>
      </c>
      <c r="K4293">
        <v>1.1119669999999999</v>
      </c>
      <c r="L4293">
        <v>17.004000000000001</v>
      </c>
      <c r="M4293">
        <v>0.99950190000000005</v>
      </c>
      <c r="N4293">
        <v>0</v>
      </c>
      <c r="O4293">
        <v>3.0390480000000001E-2</v>
      </c>
      <c r="P4293">
        <v>0.98543009999999998</v>
      </c>
      <c r="Q4293">
        <v>0.14994739999999901</v>
      </c>
      <c r="R4293">
        <v>-8.027136E-2</v>
      </c>
      <c r="S4293">
        <v>3.0773009999999998</v>
      </c>
      <c r="T4293">
        <v>-0.21218809999999999</v>
      </c>
      <c r="U4293">
        <v>-4.4555659999999898E-3</v>
      </c>
      <c r="V4293">
        <v>0.10922460000000001</v>
      </c>
      <c r="W4293">
        <v>0.1589691</v>
      </c>
      <c r="X4293">
        <v>0.98122310000000001</v>
      </c>
      <c r="Y4293">
        <v>3.1691360000000002E-2</v>
      </c>
      <c r="Z4293">
        <v>-3.1841690000000001E-3</v>
      </c>
      <c r="AA4293">
        <v>0.99949259999999995</v>
      </c>
      <c r="AB4293">
        <v>36</v>
      </c>
      <c r="AC4293">
        <v>0.50690000000002999</v>
      </c>
      <c r="AD4293">
        <v>-6.9072999999999898E-2</v>
      </c>
      <c r="AE4293">
        <v>-1.8150000000002098E-2</v>
      </c>
      <c r="AF4293">
        <v>3.2936319463913698E-2</v>
      </c>
      <c r="AG4293">
        <v>-6.9072999999999898E-2</v>
      </c>
      <c r="AH4293">
        <v>0.49689947734383899</v>
      </c>
      <c r="AI4293">
        <v>97.896748764186398</v>
      </c>
      <c r="AJ4293">
        <v>86.207772888815995</v>
      </c>
      <c r="AK4293">
        <v>0.50275736797525805</v>
      </c>
      <c r="AL4293">
        <v>80.852935640809406</v>
      </c>
      <c r="AM4293">
        <v>83.648283386150794</v>
      </c>
      <c r="AN4293">
        <v>0.99999997998678902</v>
      </c>
    </row>
    <row r="4294" spans="1:40" x14ac:dyDescent="0.25">
      <c r="A4294" t="str">
        <f>"20190312164355258"</f>
        <v>20190312164355258</v>
      </c>
      <c r="B4294" t="str">
        <f>"1552380235249726"</f>
        <v>1552380235249726</v>
      </c>
      <c r="C4294" t="s">
        <v>40</v>
      </c>
      <c r="D4294">
        <v>4.8291380000000004</v>
      </c>
      <c r="E4294">
        <v>0.47937770000000002</v>
      </c>
      <c r="F4294" t="s">
        <v>41</v>
      </c>
      <c r="G4294">
        <v>-376.73169999999999</v>
      </c>
      <c r="H4294">
        <v>1.0540529999999999</v>
      </c>
      <c r="I4294">
        <v>17.002770000000002</v>
      </c>
      <c r="J4294">
        <v>-377.19319999999999</v>
      </c>
      <c r="K4294">
        <v>1.1117619999999999</v>
      </c>
      <c r="L4294">
        <v>17.017579999999999</v>
      </c>
      <c r="M4294">
        <v>0.99943610000000005</v>
      </c>
      <c r="N4294">
        <v>0</v>
      </c>
      <c r="O4294">
        <v>3.2480130000000003E-2</v>
      </c>
      <c r="P4294">
        <v>0.98553060000000003</v>
      </c>
      <c r="Q4294">
        <v>0.1489547</v>
      </c>
      <c r="R4294">
        <v>-8.0880930000000004E-2</v>
      </c>
      <c r="S4294">
        <v>3.0760800000000001</v>
      </c>
      <c r="T4294">
        <v>-0.21077699999999999</v>
      </c>
      <c r="U4294">
        <v>-3.7231450000000002E-3</v>
      </c>
      <c r="V4294">
        <v>0.1119759</v>
      </c>
      <c r="W4294">
        <v>0.15793279999999901</v>
      </c>
      <c r="X4294">
        <v>0.98108039999999996</v>
      </c>
      <c r="Y4294">
        <v>3.3536209999999997E-2</v>
      </c>
      <c r="Z4294">
        <v>-3.3703980000000001E-3</v>
      </c>
      <c r="AA4294">
        <v>0.99943179999999998</v>
      </c>
      <c r="AB4294">
        <v>37</v>
      </c>
      <c r="AC4294">
        <v>0.46150000000000002</v>
      </c>
      <c r="AD4294">
        <v>-5.7709000000000003E-2</v>
      </c>
      <c r="AE4294">
        <v>-1.48099999999971E-2</v>
      </c>
      <c r="AF4294">
        <v>2.93340939271097E-2</v>
      </c>
      <c r="AG4294">
        <v>-5.7709000000000003E-2</v>
      </c>
      <c r="AH4294">
        <v>0.45368856759228898</v>
      </c>
      <c r="AI4294">
        <v>97.234126047528804</v>
      </c>
      <c r="AJ4294">
        <v>86.300582240583907</v>
      </c>
      <c r="AK4294">
        <v>0.45828390121350299</v>
      </c>
      <c r="AL4294">
        <v>80.913071705661693</v>
      </c>
      <c r="AM4294">
        <v>83.488705717758805</v>
      </c>
      <c r="AN4294">
        <v>1.0000000613804001</v>
      </c>
    </row>
    <row r="4295" spans="1:40" x14ac:dyDescent="0.25">
      <c r="A4295" t="str">
        <f>"20190312164355280"</f>
        <v>20190312164355280</v>
      </c>
      <c r="B4295" t="str">
        <f>"1552380235269250"</f>
        <v>1552380235269250</v>
      </c>
      <c r="C4295" t="s">
        <v>40</v>
      </c>
      <c r="D4295">
        <v>4.6775929999999999</v>
      </c>
      <c r="E4295">
        <v>0.47953560000000001</v>
      </c>
      <c r="F4295" t="s">
        <v>53</v>
      </c>
      <c r="G4295">
        <v>-361.0478</v>
      </c>
      <c r="H4295" s="1">
        <v>-4.6963969999999998E-6</v>
      </c>
      <c r="I4295">
        <v>16.999469999999999</v>
      </c>
      <c r="J4295">
        <v>-376.82870000000003</v>
      </c>
      <c r="K4295">
        <v>1.111564</v>
      </c>
      <c r="L4295">
        <v>17.031009999999998</v>
      </c>
      <c r="M4295">
        <v>0.99937799999999999</v>
      </c>
      <c r="N4295">
        <v>0</v>
      </c>
      <c r="O4295">
        <v>3.422501E-2</v>
      </c>
      <c r="P4295">
        <v>0.98560349999999997</v>
      </c>
      <c r="Q4295">
        <v>0.14822109999999999</v>
      </c>
      <c r="R4295">
        <v>-8.134197E-2</v>
      </c>
      <c r="S4295">
        <v>3.0757750000000001</v>
      </c>
      <c r="T4295">
        <v>-0.21179619999999999</v>
      </c>
      <c r="U4295">
        <v>-3.4484860000000002E-3</v>
      </c>
      <c r="V4295">
        <v>0.1142335</v>
      </c>
      <c r="W4295">
        <v>0.15715299999999999</v>
      </c>
      <c r="X4295">
        <v>0.98094530000000002</v>
      </c>
      <c r="Y4295">
        <v>3.5182400000000003E-2</v>
      </c>
      <c r="Z4295">
        <v>-3.5635660000000002E-3</v>
      </c>
      <c r="AA4295">
        <v>0.9993746</v>
      </c>
      <c r="AB4295">
        <v>37</v>
      </c>
      <c r="AC4295">
        <v>15.780900000000001</v>
      </c>
      <c r="AD4295">
        <v>-1.111568696397</v>
      </c>
      <c r="AE4295">
        <v>-3.1539999999999603E-2</v>
      </c>
      <c r="AF4295">
        <v>0.56882033140593202</v>
      </c>
      <c r="AG4295">
        <v>-1.111568696397</v>
      </c>
      <c r="AH4295">
        <v>15.692716240151301</v>
      </c>
      <c r="AI4295">
        <v>94.0490383077491</v>
      </c>
      <c r="AJ4295">
        <v>87.924085191227306</v>
      </c>
      <c r="AK4295">
        <v>15.7423150943607</v>
      </c>
      <c r="AL4295">
        <v>80.958315577193304</v>
      </c>
      <c r="AM4295">
        <v>83.357683196969603</v>
      </c>
      <c r="AN4295">
        <v>1.0000000197616601</v>
      </c>
    </row>
    <row r="4296" spans="1:40" x14ac:dyDescent="0.25">
      <c r="A4296" t="str">
        <f>"20190312164355302"</f>
        <v>20190312164355302</v>
      </c>
      <c r="B4296" t="str">
        <f>"1552380235299503"</f>
        <v>1552380235299503</v>
      </c>
      <c r="C4296" t="s">
        <v>40</v>
      </c>
      <c r="D4296">
        <v>4.6078409999999996</v>
      </c>
      <c r="E4296">
        <v>0.51089849999999903</v>
      </c>
      <c r="F4296" t="s">
        <v>53</v>
      </c>
      <c r="G4296">
        <v>-360.98930000000001</v>
      </c>
      <c r="H4296" s="1">
        <v>-4.7238189999999999E-6</v>
      </c>
      <c r="I4296">
        <v>17.000830000000001</v>
      </c>
      <c r="J4296">
        <v>-376.47980000000001</v>
      </c>
      <c r="K4296">
        <v>1.111361</v>
      </c>
      <c r="L4296">
        <v>17.044309999999999</v>
      </c>
      <c r="M4296">
        <v>0.99932799999999999</v>
      </c>
      <c r="N4296">
        <v>0</v>
      </c>
      <c r="O4296">
        <v>3.5657800000000003E-2</v>
      </c>
      <c r="P4296">
        <v>0.98548360000000002</v>
      </c>
      <c r="Q4296">
        <v>0.1484231</v>
      </c>
      <c r="R4296">
        <v>-8.2419779999999998E-2</v>
      </c>
      <c r="S4296">
        <v>3.075806</v>
      </c>
      <c r="T4296">
        <v>-0.2158513</v>
      </c>
      <c r="U4296">
        <v>-5.859375E-3</v>
      </c>
      <c r="V4296">
        <v>0.116789</v>
      </c>
      <c r="W4296">
        <v>0.15730179999999999</v>
      </c>
      <c r="X4296">
        <v>0.98062039999999995</v>
      </c>
      <c r="Y4296">
        <v>3.7383189999999997E-2</v>
      </c>
      <c r="Z4296">
        <v>-3.8091119999999999E-3</v>
      </c>
      <c r="AA4296">
        <v>0.99929369999999995</v>
      </c>
      <c r="AB4296">
        <v>37</v>
      </c>
      <c r="AC4296">
        <v>15.4904999999999</v>
      </c>
      <c r="AD4296">
        <v>-1.111365723819</v>
      </c>
      <c r="AE4296">
        <v>-4.3479999999998797E-2</v>
      </c>
      <c r="AF4296">
        <v>0.59277819459383496</v>
      </c>
      <c r="AG4296">
        <v>-1.111365723819</v>
      </c>
      <c r="AH4296">
        <v>15.399830193515999</v>
      </c>
      <c r="AI4296">
        <v>94.124687470653697</v>
      </c>
      <c r="AJ4296">
        <v>87.795629637501605</v>
      </c>
      <c r="AK4296">
        <v>15.4512552806946</v>
      </c>
      <c r="AL4296">
        <v>80.949681935681795</v>
      </c>
      <c r="AM4296">
        <v>83.208232650795296</v>
      </c>
      <c r="AN4296">
        <v>0.99999994785019797</v>
      </c>
    </row>
    <row r="4297" spans="1:40" x14ac:dyDescent="0.25">
      <c r="A4297" t="str">
        <f>"20190312164355323"</f>
        <v>20190312164355323</v>
      </c>
      <c r="B4297" t="str">
        <f>"1552380235319022"</f>
        <v>1552380235319022</v>
      </c>
      <c r="C4297" t="s">
        <v>40</v>
      </c>
      <c r="D4297">
        <v>4.818028</v>
      </c>
      <c r="E4297">
        <v>0.51068000000000002</v>
      </c>
      <c r="F4297" t="s">
        <v>41</v>
      </c>
      <c r="G4297">
        <v>-375.43419999999998</v>
      </c>
      <c r="H4297">
        <v>1.030108</v>
      </c>
      <c r="I4297">
        <v>16.955649999999999</v>
      </c>
      <c r="J4297">
        <v>-376.12540000000001</v>
      </c>
      <c r="K4297">
        <v>1.1111500000000001</v>
      </c>
      <c r="L4297">
        <v>17.058139999999899</v>
      </c>
      <c r="M4297">
        <v>0.9992837</v>
      </c>
      <c r="N4297">
        <v>0</v>
      </c>
      <c r="O4297">
        <v>3.6882070000000003E-2</v>
      </c>
      <c r="P4297">
        <v>0.98537379999999997</v>
      </c>
      <c r="Q4297">
        <v>0.14867859999999999</v>
      </c>
      <c r="R4297">
        <v>-8.3268019999999998E-2</v>
      </c>
      <c r="S4297">
        <v>3.0583800000000001</v>
      </c>
      <c r="T4297">
        <v>-0.23768449999999999</v>
      </c>
      <c r="U4297">
        <v>-0.25820920000000003</v>
      </c>
      <c r="V4297">
        <v>0.11891450000000001</v>
      </c>
      <c r="W4297">
        <v>0.1574953</v>
      </c>
      <c r="X4297">
        <v>0.98033389999999998</v>
      </c>
      <c r="Y4297">
        <v>0.12035179999999999</v>
      </c>
      <c r="Z4297">
        <v>-7.518996E-3</v>
      </c>
      <c r="AA4297">
        <v>0.9927028</v>
      </c>
      <c r="AB4297">
        <v>37</v>
      </c>
      <c r="AC4297">
        <v>0.69120000000003701</v>
      </c>
      <c r="AD4297">
        <v>-8.1042000000000003E-2</v>
      </c>
      <c r="AE4297">
        <v>-0.102489999999999</v>
      </c>
      <c r="AF4297">
        <v>0.12621627891779799</v>
      </c>
      <c r="AG4297">
        <v>-8.1042000000000003E-2</v>
      </c>
      <c r="AH4297">
        <v>0.67783172197461194</v>
      </c>
      <c r="AI4297">
        <v>96.7038031388403</v>
      </c>
      <c r="AJ4297">
        <v>79.451988698161301</v>
      </c>
      <c r="AK4297">
        <v>0.69422921153097805</v>
      </c>
      <c r="AL4297">
        <v>80.938455663415198</v>
      </c>
      <c r="AM4297">
        <v>83.083810874840495</v>
      </c>
      <c r="AN4297">
        <v>0.99999999166077402</v>
      </c>
    </row>
    <row r="4298" spans="1:40" x14ac:dyDescent="0.25">
      <c r="A4298" t="str">
        <f>"20190312164355347"</f>
        <v>20190312164355347</v>
      </c>
      <c r="B4298" t="str">
        <f>"1552380235339520"</f>
        <v>1552380235339520</v>
      </c>
      <c r="C4298" t="s">
        <v>40</v>
      </c>
      <c r="D4298">
        <v>4.7696610000000002</v>
      </c>
      <c r="E4298">
        <v>0.51068780000000003</v>
      </c>
      <c r="F4298" t="s">
        <v>41</v>
      </c>
      <c r="G4298">
        <v>-375.10419999999999</v>
      </c>
      <c r="H4298">
        <v>1.0310760000000001</v>
      </c>
      <c r="I4298">
        <v>16.971239999999899</v>
      </c>
      <c r="J4298">
        <v>-375.73930000000001</v>
      </c>
      <c r="K4298">
        <v>1.1109340000000001</v>
      </c>
      <c r="L4298">
        <v>17.073519999999998</v>
      </c>
      <c r="M4298">
        <v>0.99924170000000001</v>
      </c>
      <c r="N4298">
        <v>0</v>
      </c>
      <c r="O4298">
        <v>3.800191E-2</v>
      </c>
      <c r="P4298">
        <v>0.98542390000000002</v>
      </c>
      <c r="Q4298">
        <v>0.14831810000000001</v>
      </c>
      <c r="R4298">
        <v>-8.3316280000000006E-2</v>
      </c>
      <c r="S4298">
        <v>3.0588069999999998</v>
      </c>
      <c r="T4298">
        <v>-0.23987169999999999</v>
      </c>
      <c r="U4298">
        <v>-0.25936890000000001</v>
      </c>
      <c r="V4298">
        <v>0.1201483</v>
      </c>
      <c r="W4298">
        <v>0.15706729999999899</v>
      </c>
      <c r="X4298">
        <v>0.98025209999999996</v>
      </c>
      <c r="Y4298">
        <v>0.1218098</v>
      </c>
      <c r="Z4298">
        <v>-7.7313410000000001E-3</v>
      </c>
      <c r="AA4298">
        <v>0.99252339999999994</v>
      </c>
      <c r="AB4298">
        <v>37</v>
      </c>
      <c r="AC4298">
        <v>0.63510000000002198</v>
      </c>
      <c r="AD4298">
        <v>-7.9857999999999901E-2</v>
      </c>
      <c r="AE4298">
        <v>-0.10228000000000299</v>
      </c>
      <c r="AF4298">
        <v>0.124424481770188</v>
      </c>
      <c r="AG4298">
        <v>-7.9857999999999901E-2</v>
      </c>
      <c r="AH4298">
        <v>0.62118117760263103</v>
      </c>
      <c r="AI4298">
        <v>97.184494061518905</v>
      </c>
      <c r="AJ4298">
        <v>78.673373079785605</v>
      </c>
      <c r="AK4298">
        <v>0.63853332507831695</v>
      </c>
      <c r="AL4298">
        <v>80.963287074429601</v>
      </c>
      <c r="AM4298">
        <v>83.012180260551702</v>
      </c>
      <c r="AN4298">
        <v>0.99999996513829403</v>
      </c>
    </row>
    <row r="4299" spans="1:40" x14ac:dyDescent="0.25">
      <c r="A4299" t="str">
        <f>"20190312164355369"</f>
        <v>20190312164355369</v>
      </c>
      <c r="B4299" t="str">
        <f>"1552380235359039"</f>
        <v>1552380235359039</v>
      </c>
      <c r="C4299" t="s">
        <v>40</v>
      </c>
      <c r="D4299">
        <v>4.6321000000000003</v>
      </c>
      <c r="E4299">
        <v>0.51185649999999905</v>
      </c>
      <c r="F4299" t="s">
        <v>41</v>
      </c>
      <c r="G4299">
        <v>-374.77260000000001</v>
      </c>
      <c r="H4299">
        <v>1.034759</v>
      </c>
      <c r="I4299">
        <v>16.991070000000001</v>
      </c>
      <c r="J4299">
        <v>-375.36599999999999</v>
      </c>
      <c r="K4299">
        <v>1.11073</v>
      </c>
      <c r="L4299">
        <v>17.08859</v>
      </c>
      <c r="M4299">
        <v>0.99920810000000004</v>
      </c>
      <c r="N4299">
        <v>0</v>
      </c>
      <c r="O4299">
        <v>3.887765E-2</v>
      </c>
      <c r="P4299">
        <v>0.98562870000000002</v>
      </c>
      <c r="Q4299">
        <v>0.14705689999999999</v>
      </c>
      <c r="R4299">
        <v>-8.3133310000000002E-2</v>
      </c>
      <c r="S4299">
        <v>3.0586850000000001</v>
      </c>
      <c r="T4299">
        <v>-0.24109320000000001</v>
      </c>
      <c r="U4299">
        <v>-0.26040649999999999</v>
      </c>
      <c r="V4299">
        <v>0.12091399999999999</v>
      </c>
      <c r="W4299">
        <v>0.1557434</v>
      </c>
      <c r="X4299">
        <v>0.98036920000000005</v>
      </c>
      <c r="Y4299">
        <v>0.1230058</v>
      </c>
      <c r="Z4299">
        <v>-7.8865849999999998E-3</v>
      </c>
      <c r="AA4299">
        <v>0.9923746</v>
      </c>
      <c r="AB4299">
        <v>37</v>
      </c>
      <c r="AC4299">
        <v>0.59339999999997395</v>
      </c>
      <c r="AD4299">
        <v>-7.5970999999999997E-2</v>
      </c>
      <c r="AE4299">
        <v>-9.7519999999999302E-2</v>
      </c>
      <c r="AF4299">
        <v>0.118623881588706</v>
      </c>
      <c r="AG4299">
        <v>-7.5970999999999997E-2</v>
      </c>
      <c r="AH4299">
        <v>0.57990471121434894</v>
      </c>
      <c r="AI4299">
        <v>97.313826246114999</v>
      </c>
      <c r="AJ4299">
        <v>78.439204528883096</v>
      </c>
      <c r="AK4299">
        <v>0.596768541574343</v>
      </c>
      <c r="AL4299">
        <v>81.040086316507896</v>
      </c>
      <c r="AM4299">
        <v>82.968923156308705</v>
      </c>
      <c r="AN4299">
        <v>0.99999998517409905</v>
      </c>
    </row>
    <row r="4300" spans="1:40" x14ac:dyDescent="0.25">
      <c r="A4300" t="str">
        <f>"20190312164355392"</f>
        <v>20190312164355392</v>
      </c>
      <c r="B4300" t="str">
        <f>"1552380235379535"</f>
        <v>1552380235379535</v>
      </c>
      <c r="C4300" t="s">
        <v>40</v>
      </c>
      <c r="D4300">
        <v>4.7876050000000001</v>
      </c>
      <c r="E4300">
        <v>0.51179439999999998</v>
      </c>
      <c r="F4300" t="s">
        <v>41</v>
      </c>
      <c r="G4300">
        <v>-374.44099999999997</v>
      </c>
      <c r="H4300">
        <v>1.0365120000000001</v>
      </c>
      <c r="I4300">
        <v>17.00667</v>
      </c>
      <c r="J4300">
        <v>-375.00529999999998</v>
      </c>
      <c r="K4300">
        <v>1.110527</v>
      </c>
      <c r="L4300">
        <v>17.103300000000001</v>
      </c>
      <c r="M4300">
        <v>0.99918320000000005</v>
      </c>
      <c r="N4300">
        <v>0</v>
      </c>
      <c r="O4300">
        <v>3.9514590000000002E-2</v>
      </c>
      <c r="P4300">
        <v>0.98589919999999998</v>
      </c>
      <c r="Q4300">
        <v>0.14535880000000001</v>
      </c>
      <c r="R4300">
        <v>-8.2908330000000002E-2</v>
      </c>
      <c r="S4300">
        <v>3.0575559999999999</v>
      </c>
      <c r="T4300">
        <v>-0.24541869999999999</v>
      </c>
      <c r="U4300">
        <v>-0.27032469999999997</v>
      </c>
      <c r="V4300">
        <v>0.12140479999999999</v>
      </c>
      <c r="W4300">
        <v>0.15398339999999999</v>
      </c>
      <c r="X4300">
        <v>0.98058650000000003</v>
      </c>
      <c r="Y4300">
        <v>0.1268309</v>
      </c>
      <c r="Z4300">
        <v>-8.2334379999999992E-3</v>
      </c>
      <c r="AA4300">
        <v>0.99189020000000006</v>
      </c>
      <c r="AB4300">
        <v>37</v>
      </c>
      <c r="AC4300">
        <v>0.56430000000000202</v>
      </c>
      <c r="AD4300">
        <v>-7.40149999999999E-2</v>
      </c>
      <c r="AE4300">
        <v>-9.6630000000001104E-2</v>
      </c>
      <c r="AF4300">
        <v>0.116899603156672</v>
      </c>
      <c r="AG4300">
        <v>-7.40149999999999E-2</v>
      </c>
      <c r="AH4300">
        <v>0.55083443464808501</v>
      </c>
      <c r="AI4300">
        <v>97.488116542009195</v>
      </c>
      <c r="AJ4300">
        <v>78.018300014868601</v>
      </c>
      <c r="AK4300">
        <v>0.56794569444381104</v>
      </c>
      <c r="AL4300">
        <v>81.142157984023299</v>
      </c>
      <c r="AM4300">
        <v>82.942219393276304</v>
      </c>
      <c r="AN4300">
        <v>0.99999994846042295</v>
      </c>
    </row>
    <row r="4301" spans="1:40" x14ac:dyDescent="0.25">
      <c r="A4301" t="str">
        <f>"20190312164355413"</f>
        <v>20190312164355413</v>
      </c>
      <c r="B4301" t="str">
        <f>"1552380235409791"</f>
        <v>1552380235409791</v>
      </c>
      <c r="C4301" t="s">
        <v>40</v>
      </c>
      <c r="D4301">
        <v>4.7673769999999998</v>
      </c>
      <c r="E4301">
        <v>0.51388129999999999</v>
      </c>
      <c r="F4301" t="s">
        <v>41</v>
      </c>
      <c r="G4301">
        <v>-374.10980000000001</v>
      </c>
      <c r="H4301">
        <v>1.036535</v>
      </c>
      <c r="I4301">
        <v>17.023979999999899</v>
      </c>
      <c r="J4301">
        <v>-374.64510000000001</v>
      </c>
      <c r="K4301">
        <v>1.110312</v>
      </c>
      <c r="L4301">
        <v>17.118069999999999</v>
      </c>
      <c r="M4301">
        <v>0.999166</v>
      </c>
      <c r="N4301">
        <v>0</v>
      </c>
      <c r="O4301">
        <v>3.9948740000000003E-2</v>
      </c>
      <c r="P4301">
        <v>0.98617659999999996</v>
      </c>
      <c r="Q4301">
        <v>0.1438681</v>
      </c>
      <c r="R4301">
        <v>-8.2206950000000001E-2</v>
      </c>
      <c r="S4301">
        <v>3.0574340000000002</v>
      </c>
      <c r="T4301">
        <v>-0.25263750000000001</v>
      </c>
      <c r="U4301">
        <v>-0.27014159999999998</v>
      </c>
      <c r="V4301">
        <v>0.1212198</v>
      </c>
      <c r="W4301">
        <v>0.152429799999999</v>
      </c>
      <c r="X4301">
        <v>0.9808521</v>
      </c>
      <c r="Y4301">
        <v>0.12717200000000001</v>
      </c>
      <c r="Z4301">
        <v>-8.5249699999999998E-3</v>
      </c>
      <c r="AA4301">
        <v>0.99184410000000001</v>
      </c>
      <c r="AB4301">
        <v>37</v>
      </c>
      <c r="AC4301">
        <v>0.53530000000000599</v>
      </c>
      <c r="AD4301">
        <v>-7.3777000000000204E-2</v>
      </c>
      <c r="AE4301">
        <v>-9.4090000000001298E-2</v>
      </c>
      <c r="AF4301">
        <v>0.113312307904284</v>
      </c>
      <c r="AG4301">
        <v>-7.3777000000000204E-2</v>
      </c>
      <c r="AH4301">
        <v>0.52150446208023704</v>
      </c>
      <c r="AI4301">
        <v>97.870903804066998</v>
      </c>
      <c r="AJ4301">
        <v>77.741334953231501</v>
      </c>
      <c r="AK4301">
        <v>0.53874820539950996</v>
      </c>
      <c r="AL4301">
        <v>81.232236296523396</v>
      </c>
      <c r="AM4301">
        <v>82.954755094226499</v>
      </c>
      <c r="AN4301">
        <v>0.99999996295724403</v>
      </c>
    </row>
    <row r="4302" spans="1:40" x14ac:dyDescent="0.25">
      <c r="A4302" t="str">
        <f>"20190312164355438"</f>
        <v>20190312164355438</v>
      </c>
      <c r="B4302" t="str">
        <f>"1552380235429310"</f>
        <v>1552380235429310</v>
      </c>
      <c r="C4302" t="s">
        <v>40</v>
      </c>
      <c r="D4302">
        <v>4.7146369999999997</v>
      </c>
      <c r="E4302">
        <v>0.51510699999999998</v>
      </c>
      <c r="F4302" t="s">
        <v>41</v>
      </c>
      <c r="G4302">
        <v>-373.77600000000001</v>
      </c>
      <c r="H4302">
        <v>1.039898</v>
      </c>
      <c r="I4302">
        <v>17.036439999999999</v>
      </c>
      <c r="J4302">
        <v>-374.23559999999998</v>
      </c>
      <c r="K4302">
        <v>1.1100749999999999</v>
      </c>
      <c r="L4302">
        <v>17.134829999999901</v>
      </c>
      <c r="M4302">
        <v>0.99915540000000003</v>
      </c>
      <c r="N4302">
        <v>0</v>
      </c>
      <c r="O4302">
        <v>4.021313E-2</v>
      </c>
      <c r="P4302">
        <v>0.98635340000000005</v>
      </c>
      <c r="Q4302">
        <v>0.14322589999999999</v>
      </c>
      <c r="R4302">
        <v>-8.1201570000000001E-2</v>
      </c>
      <c r="S4302">
        <v>3.0542910000000001</v>
      </c>
      <c r="T4302">
        <v>-0.24744450000000001</v>
      </c>
      <c r="U4302">
        <v>-0.28640749999999998</v>
      </c>
      <c r="V4302">
        <v>0.1205681</v>
      </c>
      <c r="W4302">
        <v>0.1517154</v>
      </c>
      <c r="X4302">
        <v>0.9810432</v>
      </c>
      <c r="Y4302">
        <v>0.13276370000000001</v>
      </c>
      <c r="Z4302">
        <v>-8.6039140000000007E-3</v>
      </c>
      <c r="AA4302">
        <v>0.99111039999999995</v>
      </c>
      <c r="AB4302">
        <v>37</v>
      </c>
      <c r="AC4302">
        <v>0.45959999999996598</v>
      </c>
      <c r="AD4302">
        <v>-7.0176999999999906E-2</v>
      </c>
      <c r="AE4302">
        <v>-9.8389999999998395E-2</v>
      </c>
      <c r="AF4302">
        <v>0.11424613263811</v>
      </c>
      <c r="AG4302">
        <v>-7.0176999999999906E-2</v>
      </c>
      <c r="AH4302">
        <v>0.44534345498560701</v>
      </c>
      <c r="AI4302">
        <v>98.678471972958803</v>
      </c>
      <c r="AJ4302">
        <v>75.611905353394306</v>
      </c>
      <c r="AK4302">
        <v>0.46508900551430099</v>
      </c>
      <c r="AL4302">
        <v>81.273650354108995</v>
      </c>
      <c r="AM4302">
        <v>82.993605507690305</v>
      </c>
      <c r="AN4302">
        <v>0.99999999480050505</v>
      </c>
    </row>
    <row r="4303" spans="1:40" x14ac:dyDescent="0.25">
      <c r="A4303" t="str">
        <f>"20190312164355459"</f>
        <v>20190312164355459</v>
      </c>
      <c r="B4303" t="str">
        <f>"1552380235448831"</f>
        <v>1552380235448831</v>
      </c>
      <c r="C4303" t="s">
        <v>40</v>
      </c>
      <c r="D4303">
        <v>4.4792230000000002</v>
      </c>
      <c r="E4303">
        <v>0.51602289999999995</v>
      </c>
      <c r="F4303" t="s">
        <v>41</v>
      </c>
      <c r="G4303">
        <v>-373.43920000000003</v>
      </c>
      <c r="H4303">
        <v>1.0466949999999999</v>
      </c>
      <c r="I4303">
        <v>17.057779999999902</v>
      </c>
      <c r="J4303">
        <v>-373.86759999999998</v>
      </c>
      <c r="K4303">
        <v>1.1098629999999901</v>
      </c>
      <c r="L4303">
        <v>17.14978</v>
      </c>
      <c r="M4303">
        <v>0.99915489999999996</v>
      </c>
      <c r="N4303">
        <v>0</v>
      </c>
      <c r="O4303">
        <v>4.022684E-2</v>
      </c>
      <c r="P4303">
        <v>0.98647810000000002</v>
      </c>
      <c r="Q4303">
        <v>0.1432312</v>
      </c>
      <c r="R4303">
        <v>-7.9661670000000004E-2</v>
      </c>
      <c r="S4303">
        <v>3.052521</v>
      </c>
      <c r="T4303">
        <v>-0.242869</v>
      </c>
      <c r="U4303">
        <v>-0.29467769999999999</v>
      </c>
      <c r="V4303">
        <v>0.1191261</v>
      </c>
      <c r="W4303">
        <v>0.1516555</v>
      </c>
      <c r="X4303">
        <v>0.98122860000000001</v>
      </c>
      <c r="Y4303">
        <v>0.13550279999999901</v>
      </c>
      <c r="Z4303">
        <v>-8.5587800000000002E-3</v>
      </c>
      <c r="AA4303">
        <v>0.99073999999999995</v>
      </c>
      <c r="AB4303">
        <v>37</v>
      </c>
      <c r="AC4303">
        <v>0.42839999999995299</v>
      </c>
      <c r="AD4303">
        <v>-6.3167999999999599E-2</v>
      </c>
      <c r="AE4303">
        <v>-9.2000000000002302E-2</v>
      </c>
      <c r="AF4303">
        <v>0.106936820588558</v>
      </c>
      <c r="AG4303">
        <v>-6.3167999999999599E-2</v>
      </c>
      <c r="AH4303">
        <v>0.41571234378349903</v>
      </c>
      <c r="AI4303">
        <v>98.371578623560595</v>
      </c>
      <c r="AJ4303">
        <v>75.574138532007595</v>
      </c>
      <c r="AK4303">
        <v>0.43386914224862699</v>
      </c>
      <c r="AL4303">
        <v>81.277122523398702</v>
      </c>
      <c r="AM4303">
        <v>83.077879601744897</v>
      </c>
      <c r="AN4303">
        <v>0.99999999191971001</v>
      </c>
    </row>
    <row r="4304" spans="1:40" x14ac:dyDescent="0.25">
      <c r="A4304" t="str">
        <f>"20190312164355480"</f>
        <v>20190312164355480</v>
      </c>
      <c r="B4304" t="str">
        <f>"1552380235469327"</f>
        <v>1552380235469327</v>
      </c>
      <c r="C4304" t="s">
        <v>40</v>
      </c>
      <c r="D4304">
        <v>4.4745739999999996</v>
      </c>
      <c r="E4304">
        <v>0.51692850000000001</v>
      </c>
      <c r="F4304" t="s">
        <v>41</v>
      </c>
      <c r="G4304">
        <v>-373.10250000000002</v>
      </c>
      <c r="H4304">
        <v>1.050794</v>
      </c>
      <c r="I4304">
        <v>17.074829999999999</v>
      </c>
      <c r="J4304">
        <v>-373.5317</v>
      </c>
      <c r="K4304">
        <v>1.109664</v>
      </c>
      <c r="L4304">
        <v>17.163270000000001</v>
      </c>
      <c r="M4304">
        <v>0.99916249999999995</v>
      </c>
      <c r="N4304">
        <v>0</v>
      </c>
      <c r="O4304">
        <v>4.003483E-2</v>
      </c>
      <c r="P4304">
        <v>0.98655749999999998</v>
      </c>
      <c r="Q4304">
        <v>0.14344499999999999</v>
      </c>
      <c r="R4304">
        <v>-7.8280379999999997E-2</v>
      </c>
      <c r="S4304">
        <v>3.0512389999999998</v>
      </c>
      <c r="T4304">
        <v>-0.23550879999999999</v>
      </c>
      <c r="U4304">
        <v>-0.29855350000000003</v>
      </c>
      <c r="V4304">
        <v>0.1176345</v>
      </c>
      <c r="W4304">
        <v>0.15180969999999999</v>
      </c>
      <c r="X4304">
        <v>0.9813847</v>
      </c>
      <c r="Y4304">
        <v>0.13662859999999999</v>
      </c>
      <c r="Z4304">
        <v>-8.3316610000000006E-3</v>
      </c>
      <c r="AA4304">
        <v>0.99058729999999995</v>
      </c>
      <c r="AB4304">
        <v>37</v>
      </c>
      <c r="AC4304">
        <v>0.42919999999997999</v>
      </c>
      <c r="AD4304">
        <v>-5.8869999999999902E-2</v>
      </c>
      <c r="AE4304">
        <v>-8.8440000000002003E-2</v>
      </c>
      <c r="AF4304">
        <v>0.103681496175223</v>
      </c>
      <c r="AG4304">
        <v>-5.8869999999999902E-2</v>
      </c>
      <c r="AH4304">
        <v>0.41777540476531699</v>
      </c>
      <c r="AI4304">
        <v>97.787698877306497</v>
      </c>
      <c r="AJ4304">
        <v>76.062201646983596</v>
      </c>
      <c r="AK4304">
        <v>0.43445577263509499</v>
      </c>
      <c r="AL4304">
        <v>81.268184047464899</v>
      </c>
      <c r="AM4304">
        <v>83.164804472958593</v>
      </c>
      <c r="AN4304">
        <v>0.99999999499921499</v>
      </c>
    </row>
    <row r="4305" spans="1:40" x14ac:dyDescent="0.25">
      <c r="A4305" t="str">
        <f>"20190312164355502"</f>
        <v>20190312164355502</v>
      </c>
      <c r="B4305" t="str">
        <f>"1552380235499584"</f>
        <v>1552380235499584</v>
      </c>
      <c r="C4305" t="s">
        <v>40</v>
      </c>
      <c r="D4305">
        <v>4.4504929999999998</v>
      </c>
      <c r="E4305">
        <v>0.51816329999999999</v>
      </c>
      <c r="F4305" t="s">
        <v>41</v>
      </c>
      <c r="G4305">
        <v>-372.7672</v>
      </c>
      <c r="H4305">
        <v>1.0520560000000001</v>
      </c>
      <c r="I4305">
        <v>17.087209999999999</v>
      </c>
      <c r="J4305">
        <v>-373.16160000000002</v>
      </c>
      <c r="K4305">
        <v>1.1094459999999999</v>
      </c>
      <c r="L4305">
        <v>17.177889999999898</v>
      </c>
      <c r="M4305">
        <v>0.99918010000000002</v>
      </c>
      <c r="N4305">
        <v>0</v>
      </c>
      <c r="O4305">
        <v>3.9597420000000001E-2</v>
      </c>
      <c r="P4305">
        <v>0.9865332</v>
      </c>
      <c r="Q4305">
        <v>0.14442379999999999</v>
      </c>
      <c r="R4305">
        <v>-7.6774910000000002E-2</v>
      </c>
      <c r="S4305">
        <v>3.050262</v>
      </c>
      <c r="T4305">
        <v>-0.2297864</v>
      </c>
      <c r="U4305">
        <v>-0.30285640000000003</v>
      </c>
      <c r="V4305">
        <v>0.1157845</v>
      </c>
      <c r="W4305">
        <v>0.15272249999999901</v>
      </c>
      <c r="X4305">
        <v>0.98146310000000003</v>
      </c>
      <c r="Y4305">
        <v>0.1376327</v>
      </c>
      <c r="Z4305">
        <v>-8.1366759999999903E-3</v>
      </c>
      <c r="AA4305">
        <v>0.99044989999999999</v>
      </c>
      <c r="AB4305">
        <v>37</v>
      </c>
      <c r="AC4305">
        <v>0.39440000000001801</v>
      </c>
      <c r="AD4305">
        <v>-5.7389999999999997E-2</v>
      </c>
      <c r="AE4305">
        <v>-9.06799999999989E-2</v>
      </c>
      <c r="AF4305">
        <v>0.104132478504322</v>
      </c>
      <c r="AG4305">
        <v>-5.7389999999999997E-2</v>
      </c>
      <c r="AH4305">
        <v>0.38280143421952501</v>
      </c>
      <c r="AI4305">
        <v>98.231536602969896</v>
      </c>
      <c r="AJ4305">
        <v>74.782211590987103</v>
      </c>
      <c r="AK4305">
        <v>0.40084176830761797</v>
      </c>
      <c r="AL4305">
        <v>81.215267598343303</v>
      </c>
      <c r="AM4305">
        <v>83.271838573459306</v>
      </c>
      <c r="AN4305">
        <v>1.00000001455405</v>
      </c>
    </row>
    <row r="4306" spans="1:40" x14ac:dyDescent="0.25">
      <c r="A4306" t="str">
        <f>"20190312164355524"</f>
        <v>20190312164355524</v>
      </c>
      <c r="B4306" t="str">
        <f>"1552380235519487"</f>
        <v>1552380235519487</v>
      </c>
      <c r="C4306" t="s">
        <v>40</v>
      </c>
      <c r="D4306">
        <v>4.4551920000000003</v>
      </c>
      <c r="E4306">
        <v>0.51885700000000001</v>
      </c>
      <c r="F4306" t="s">
        <v>41</v>
      </c>
      <c r="G4306">
        <v>-372.10629999999998</v>
      </c>
      <c r="H4306">
        <v>1.032848</v>
      </c>
      <c r="I4306">
        <v>17.070250000000001</v>
      </c>
      <c r="J4306">
        <v>-372.78399999999999</v>
      </c>
      <c r="K4306">
        <v>1.10921</v>
      </c>
      <c r="L4306">
        <v>17.192350000000001</v>
      </c>
      <c r="M4306">
        <v>0.99920739999999997</v>
      </c>
      <c r="N4306">
        <v>0</v>
      </c>
      <c r="O4306">
        <v>3.8900379999999998E-2</v>
      </c>
      <c r="P4306">
        <v>0.98658389999999996</v>
      </c>
      <c r="Q4306">
        <v>0.14484069999999999</v>
      </c>
      <c r="R4306">
        <v>-7.5323490000000007E-2</v>
      </c>
      <c r="S4306">
        <v>3.0492249999999999</v>
      </c>
      <c r="T4306">
        <v>-0.22122929999999999</v>
      </c>
      <c r="U4306">
        <v>-0.30972290000000002</v>
      </c>
      <c r="V4306">
        <v>0.1137391</v>
      </c>
      <c r="W4306">
        <v>0.1530764</v>
      </c>
      <c r="X4306">
        <v>0.98164709999999999</v>
      </c>
      <c r="Y4306">
        <v>0.1392166</v>
      </c>
      <c r="Z4306">
        <v>-7.8431170000000001E-3</v>
      </c>
      <c r="AA4306">
        <v>0.99023090000000002</v>
      </c>
      <c r="AB4306">
        <v>37</v>
      </c>
      <c r="AC4306">
        <v>0.67770000000001496</v>
      </c>
      <c r="AD4306">
        <v>-7.6361999999999999E-2</v>
      </c>
      <c r="AE4306">
        <v>-0.122099999999999</v>
      </c>
      <c r="AF4306">
        <v>0.14656891612831</v>
      </c>
      <c r="AG4306">
        <v>-7.6361999999999999E-2</v>
      </c>
      <c r="AH4306">
        <v>0.664268461980696</v>
      </c>
      <c r="AI4306">
        <v>96.405003426294002</v>
      </c>
      <c r="AJ4306">
        <v>77.557221295469205</v>
      </c>
      <c r="AK4306">
        <v>0.68451894919076295</v>
      </c>
      <c r="AL4306">
        <v>81.194749216919604</v>
      </c>
      <c r="AM4306">
        <v>83.390862269889297</v>
      </c>
      <c r="AN4306">
        <v>0.99999999802208905</v>
      </c>
    </row>
    <row r="4307" spans="1:40" x14ac:dyDescent="0.25">
      <c r="A4307" t="str">
        <f>"20190312164355547"</f>
        <v>20190312164355547</v>
      </c>
      <c r="B4307" t="str">
        <f>"1552380235539009"</f>
        <v>1552380235539009</v>
      </c>
      <c r="C4307" t="s">
        <v>40</v>
      </c>
      <c r="D4307">
        <v>4.4393010000000004</v>
      </c>
      <c r="E4307">
        <v>0.51947879999999902</v>
      </c>
      <c r="F4307" t="s">
        <v>41</v>
      </c>
      <c r="G4307">
        <v>-371.7681</v>
      </c>
      <c r="H4307">
        <v>1.0368919999999999</v>
      </c>
      <c r="I4307">
        <v>17.08831</v>
      </c>
      <c r="J4307">
        <v>-372.38819999999998</v>
      </c>
      <c r="K4307">
        <v>1.1089819999999999</v>
      </c>
      <c r="L4307">
        <v>17.20703</v>
      </c>
      <c r="M4307">
        <v>0.99924369999999996</v>
      </c>
      <c r="N4307">
        <v>0</v>
      </c>
      <c r="O4307">
        <v>3.7956520000000001E-2</v>
      </c>
      <c r="P4307">
        <v>0.98669240000000002</v>
      </c>
      <c r="Q4307">
        <v>0.14460519999999999</v>
      </c>
      <c r="R4307">
        <v>-7.4348730000000002E-2</v>
      </c>
      <c r="S4307">
        <v>3.0487980000000001</v>
      </c>
      <c r="T4307">
        <v>-0.21707180000000001</v>
      </c>
      <c r="U4307">
        <v>-0.31271359999999998</v>
      </c>
      <c r="V4307">
        <v>0.11192589999999999</v>
      </c>
      <c r="W4307">
        <v>0.15278239999999901</v>
      </c>
      <c r="X4307">
        <v>0.98190129999999998</v>
      </c>
      <c r="Y4307">
        <v>0.13927600000000001</v>
      </c>
      <c r="Z4307">
        <v>-7.6319309999999998E-3</v>
      </c>
      <c r="AA4307">
        <v>0.9902242</v>
      </c>
      <c r="AB4307">
        <v>37</v>
      </c>
      <c r="AC4307">
        <v>0.620099999999979</v>
      </c>
      <c r="AD4307">
        <v>-7.2089999999999904E-2</v>
      </c>
      <c r="AE4307">
        <v>-0.11871999999999901</v>
      </c>
      <c r="AF4307">
        <v>0.14034241361389199</v>
      </c>
      <c r="AG4307">
        <v>-7.2089999999999904E-2</v>
      </c>
      <c r="AH4307">
        <v>0.60723002894455602</v>
      </c>
      <c r="AI4307">
        <v>96.598097095247695</v>
      </c>
      <c r="AJ4307">
        <v>76.986356156921403</v>
      </c>
      <c r="AK4307">
        <v>0.62739243636736597</v>
      </c>
      <c r="AL4307">
        <v>81.211794838271899</v>
      </c>
      <c r="AM4307">
        <v>83.496982825489098</v>
      </c>
      <c r="AN4307">
        <v>1.00000001589112</v>
      </c>
    </row>
    <row r="4308" spans="1:40" x14ac:dyDescent="0.25">
      <c r="A4308" t="str">
        <f>"20190312164355570"</f>
        <v>20190312164355570</v>
      </c>
      <c r="B4308" t="str">
        <f>"1552380235559507"</f>
        <v>1552380235559507</v>
      </c>
      <c r="C4308" t="s">
        <v>40</v>
      </c>
      <c r="D4308">
        <v>4.8252259999999998</v>
      </c>
      <c r="E4308">
        <v>0.52007380000000003</v>
      </c>
      <c r="F4308" t="s">
        <v>41</v>
      </c>
      <c r="G4308">
        <v>-371.42939999999999</v>
      </c>
      <c r="H4308">
        <v>1.0411950000000001</v>
      </c>
      <c r="I4308">
        <v>17.107109999999999</v>
      </c>
      <c r="J4308">
        <v>-372.01780000000002</v>
      </c>
      <c r="K4308">
        <v>1.108781</v>
      </c>
      <c r="L4308">
        <v>17.220310000000001</v>
      </c>
      <c r="M4308">
        <v>0.9992839</v>
      </c>
      <c r="N4308">
        <v>0</v>
      </c>
      <c r="O4308">
        <v>3.6881959999999998E-2</v>
      </c>
      <c r="P4308">
        <v>0.98676960000000002</v>
      </c>
      <c r="Q4308">
        <v>0.1443527</v>
      </c>
      <c r="R4308">
        <v>-7.3813359999999995E-2</v>
      </c>
      <c r="S4308">
        <v>3.048187</v>
      </c>
      <c r="T4308">
        <v>-0.21535099999999999</v>
      </c>
      <c r="U4308">
        <v>-0.31622309999999998</v>
      </c>
      <c r="V4308">
        <v>0.11041040000000001</v>
      </c>
      <c r="W4308">
        <v>0.1524817</v>
      </c>
      <c r="X4308">
        <v>0.98211959999999998</v>
      </c>
      <c r="Y4308">
        <v>0.13936879999999999</v>
      </c>
      <c r="Z4308">
        <v>-7.5002609999999898E-3</v>
      </c>
      <c r="AA4308">
        <v>0.99021210000000004</v>
      </c>
      <c r="AB4308">
        <v>38</v>
      </c>
      <c r="AC4308">
        <v>0.58840000000003501</v>
      </c>
      <c r="AD4308">
        <v>-6.7585999999999896E-2</v>
      </c>
      <c r="AE4308">
        <v>-0.113199999999999</v>
      </c>
      <c r="AF4308">
        <v>0.13313128803793101</v>
      </c>
      <c r="AG4308">
        <v>-6.7585999999999896E-2</v>
      </c>
      <c r="AH4308">
        <v>0.57648986362117205</v>
      </c>
      <c r="AI4308">
        <v>96.516688329649497</v>
      </c>
      <c r="AJ4308">
        <v>76.996403499778907</v>
      </c>
      <c r="AK4308">
        <v>0.59551017632664904</v>
      </c>
      <c r="AL4308">
        <v>81.229227950793501</v>
      </c>
      <c r="AM4308">
        <v>83.585710040728898</v>
      </c>
      <c r="AN4308">
        <v>1.0000000169836001</v>
      </c>
    </row>
    <row r="4309" spans="1:40" x14ac:dyDescent="0.25">
      <c r="A4309" t="str">
        <f>"20190312164355590"</f>
        <v>20190312164355590</v>
      </c>
      <c r="B4309" t="str">
        <f>"1552380235579023"</f>
        <v>1552380235579023</v>
      </c>
      <c r="C4309" t="s">
        <v>40</v>
      </c>
      <c r="D4309">
        <v>4.4188789999999996</v>
      </c>
      <c r="E4309">
        <v>0.52044109999999999</v>
      </c>
      <c r="F4309" t="s">
        <v>41</v>
      </c>
      <c r="G4309">
        <v>-371.09120000000001</v>
      </c>
      <c r="H4309">
        <v>1.0435430000000001</v>
      </c>
      <c r="I4309">
        <v>17.122499999999999</v>
      </c>
      <c r="J4309">
        <v>-371.67059999999998</v>
      </c>
      <c r="K4309">
        <v>1.1085989999999999</v>
      </c>
      <c r="L4309">
        <v>17.232240000000001</v>
      </c>
      <c r="M4309">
        <v>0.99932670000000001</v>
      </c>
      <c r="N4309">
        <v>0</v>
      </c>
      <c r="O4309">
        <v>3.5703350000000002E-2</v>
      </c>
      <c r="P4309">
        <v>0.98677000000000004</v>
      </c>
      <c r="Q4309">
        <v>0.14469599999999999</v>
      </c>
      <c r="R4309">
        <v>-7.3131050000000003E-2</v>
      </c>
      <c r="S4309">
        <v>3.047577</v>
      </c>
      <c r="T4309">
        <v>-0.2145137</v>
      </c>
      <c r="U4309">
        <v>-0.32067869999999998</v>
      </c>
      <c r="V4309">
        <v>0.108636999999999</v>
      </c>
      <c r="W4309">
        <v>0.1527838</v>
      </c>
      <c r="X4309">
        <v>0.98227039999999999</v>
      </c>
      <c r="Y4309">
        <v>0.1396588</v>
      </c>
      <c r="Z4309">
        <v>-7.3996009999999996E-3</v>
      </c>
      <c r="AA4309">
        <v>0.99017200000000005</v>
      </c>
      <c r="AB4309">
        <v>38</v>
      </c>
      <c r="AC4309">
        <v>0.57939999999996405</v>
      </c>
      <c r="AD4309">
        <v>-6.5055999999999697E-2</v>
      </c>
      <c r="AE4309">
        <v>-0.109740000000002</v>
      </c>
      <c r="AF4309">
        <v>0.12878984180997999</v>
      </c>
      <c r="AG4309">
        <v>-6.5055999999999697E-2</v>
      </c>
      <c r="AH4309">
        <v>0.56819705729536696</v>
      </c>
      <c r="AI4309">
        <v>96.371424175884599</v>
      </c>
      <c r="AJ4309">
        <v>77.228900454281302</v>
      </c>
      <c r="AK4309">
        <v>0.58623118512115602</v>
      </c>
      <c r="AL4309">
        <v>81.2117136457735</v>
      </c>
      <c r="AM4309">
        <v>83.688858628068004</v>
      </c>
      <c r="AN4309">
        <v>1.0000000130138</v>
      </c>
    </row>
    <row r="4310" spans="1:40" x14ac:dyDescent="0.25">
      <c r="A4310" t="str">
        <f>"20190312164355614"</f>
        <v>20190312164355614</v>
      </c>
      <c r="B4310" t="str">
        <f>"1552380235609279"</f>
        <v>1552380235609279</v>
      </c>
      <c r="C4310" t="s">
        <v>40</v>
      </c>
      <c r="D4310">
        <v>4.7350649999999996</v>
      </c>
      <c r="E4310">
        <v>0.53112190000000004</v>
      </c>
      <c r="F4310" t="s">
        <v>41</v>
      </c>
      <c r="G4310">
        <v>-370.75380000000001</v>
      </c>
      <c r="H4310">
        <v>1.0436909999999999</v>
      </c>
      <c r="I4310">
        <v>17.13505</v>
      </c>
      <c r="J4310">
        <v>-371.2731</v>
      </c>
      <c r="K4310">
        <v>1.1083860000000001</v>
      </c>
      <c r="L4310">
        <v>17.245239999999999</v>
      </c>
      <c r="M4310">
        <v>0.99938059999999995</v>
      </c>
      <c r="N4310">
        <v>0</v>
      </c>
      <c r="O4310">
        <v>3.4158809999999998E-2</v>
      </c>
      <c r="P4310">
        <v>0.98675729999999995</v>
      </c>
      <c r="Q4310">
        <v>0.14505899999999999</v>
      </c>
      <c r="R4310">
        <v>-7.258183E-2</v>
      </c>
      <c r="S4310">
        <v>3.047974</v>
      </c>
      <c r="T4310">
        <v>-0.21564559999999999</v>
      </c>
      <c r="U4310">
        <v>-0.32235720000000001</v>
      </c>
      <c r="V4310">
        <v>0.106645</v>
      </c>
      <c r="W4310">
        <v>0.1531033</v>
      </c>
      <c r="X4310">
        <v>0.9824389</v>
      </c>
      <c r="Y4310">
        <v>0.13865620000000001</v>
      </c>
      <c r="Z4310">
        <v>-7.2931649999999999E-3</v>
      </c>
      <c r="AA4310">
        <v>0.99031369999999996</v>
      </c>
      <c r="AB4310">
        <v>38</v>
      </c>
      <c r="AC4310">
        <v>0.51929999999998699</v>
      </c>
      <c r="AD4310">
        <v>-6.46950000000001E-2</v>
      </c>
      <c r="AE4310">
        <v>-0.110189999999999</v>
      </c>
      <c r="AF4310">
        <v>0.12599376441878701</v>
      </c>
      <c r="AG4310">
        <v>-6.46950000000001E-2</v>
      </c>
      <c r="AH4310">
        <v>0.50769269217663904</v>
      </c>
      <c r="AI4310">
        <v>97.050414029939503</v>
      </c>
      <c r="AJ4310">
        <v>76.0625176867932</v>
      </c>
      <c r="AK4310">
        <v>0.52707849641868398</v>
      </c>
      <c r="AL4310">
        <v>81.193189454589501</v>
      </c>
      <c r="AM4310">
        <v>83.804727558624904</v>
      </c>
      <c r="AN4310">
        <v>0.99999998436454995</v>
      </c>
    </row>
    <row r="4311" spans="1:40" x14ac:dyDescent="0.25">
      <c r="A4311" t="str">
        <f>"20190312164355637"</f>
        <v>20190312164355637</v>
      </c>
      <c r="B4311" t="str">
        <f>"1552380235629776"</f>
        <v>1552380235629776</v>
      </c>
      <c r="C4311" t="s">
        <v>40</v>
      </c>
      <c r="D4311">
        <v>4.5157400000000001</v>
      </c>
      <c r="E4311">
        <v>0.531829</v>
      </c>
      <c r="F4311" t="s">
        <v>42</v>
      </c>
      <c r="G4311">
        <v>-351.97379999999998</v>
      </c>
      <c r="H4311" s="1">
        <v>-4.3105520000000002E-6</v>
      </c>
      <c r="I4311">
        <v>14.626810000000001</v>
      </c>
      <c r="J4311">
        <v>-370.88499999999999</v>
      </c>
      <c r="K4311">
        <v>1.1081810000000001</v>
      </c>
      <c r="L4311">
        <v>17.257169999999999</v>
      </c>
      <c r="M4311">
        <v>0.99943700000000002</v>
      </c>
      <c r="N4311">
        <v>0</v>
      </c>
      <c r="O4311">
        <v>3.2467450000000002E-2</v>
      </c>
      <c r="P4311">
        <v>0.9867939</v>
      </c>
      <c r="Q4311">
        <v>0.14496289999999901</v>
      </c>
      <c r="R4311">
        <v>-7.2276359999999998E-2</v>
      </c>
      <c r="S4311">
        <v>3.0355530000000002</v>
      </c>
      <c r="T4311">
        <v>-0.17433689999999999</v>
      </c>
      <c r="U4311">
        <v>-0.4118347</v>
      </c>
      <c r="V4311">
        <v>0.1047492</v>
      </c>
      <c r="W4311">
        <v>0.15296850000000001</v>
      </c>
      <c r="X4311">
        <v>0.98266390000000003</v>
      </c>
      <c r="Y4311">
        <v>0.166219899999999</v>
      </c>
      <c r="Z4311">
        <v>-6.6030109999999998E-3</v>
      </c>
      <c r="AA4311">
        <v>0.98606660000000002</v>
      </c>
      <c r="AB4311">
        <v>38</v>
      </c>
      <c r="AC4311">
        <v>18.911200000000001</v>
      </c>
      <c r="AD4311">
        <v>-1.1081853105520001</v>
      </c>
      <c r="AE4311">
        <v>-2.63036</v>
      </c>
      <c r="AF4311">
        <v>3.2321055046392901</v>
      </c>
      <c r="AG4311">
        <v>-1.1081853105520001</v>
      </c>
      <c r="AH4311">
        <v>18.752652596889799</v>
      </c>
      <c r="AI4311">
        <v>93.332924126972202</v>
      </c>
      <c r="AJ4311">
        <v>80.220887892078295</v>
      </c>
      <c r="AK4311">
        <v>19.061389248826501</v>
      </c>
      <c r="AL4311">
        <v>81.201005557798794</v>
      </c>
      <c r="AM4311">
        <v>83.915408414905301</v>
      </c>
      <c r="AN4311">
        <v>1.00000004862804</v>
      </c>
    </row>
    <row r="4312" spans="1:40" x14ac:dyDescent="0.25">
      <c r="A4312" t="str">
        <f>"20190312164355660"</f>
        <v>20190312164355660</v>
      </c>
      <c r="B4312" t="str">
        <f>"1552380235649296"</f>
        <v>1552380235649296</v>
      </c>
      <c r="C4312" t="s">
        <v>40</v>
      </c>
      <c r="D4312">
        <v>4.5413480000000002</v>
      </c>
      <c r="E4312">
        <v>0.52298409999999995</v>
      </c>
      <c r="F4312" t="s">
        <v>42</v>
      </c>
      <c r="G4312">
        <v>-351.73869999999999</v>
      </c>
      <c r="H4312" s="1">
        <v>-4.4129389999999997E-6</v>
      </c>
      <c r="I4312">
        <v>14.6181</v>
      </c>
      <c r="J4312">
        <v>-370.49520000000001</v>
      </c>
      <c r="K4312">
        <v>1.1079859999999999</v>
      </c>
      <c r="L4312">
        <v>17.268429999999999</v>
      </c>
      <c r="M4312">
        <v>0.99949569999999999</v>
      </c>
      <c r="N4312">
        <v>0</v>
      </c>
      <c r="O4312">
        <v>3.0604590000000001E-2</v>
      </c>
      <c r="P4312">
        <v>0.98696399999999995</v>
      </c>
      <c r="Q4312">
        <v>0.14379890000000001</v>
      </c>
      <c r="R4312">
        <v>-7.2277720000000004E-2</v>
      </c>
      <c r="S4312">
        <v>3.0353089999999998</v>
      </c>
      <c r="T4312">
        <v>-0.17568349999999999</v>
      </c>
      <c r="U4312">
        <v>-0.4183655</v>
      </c>
      <c r="V4312">
        <v>0.10298889999999999</v>
      </c>
      <c r="W4312">
        <v>0.15177060000000001</v>
      </c>
      <c r="X4312">
        <v>0.98303560000000001</v>
      </c>
      <c r="Y4312">
        <v>0.16647310000000001</v>
      </c>
      <c r="Z4312">
        <v>-6.5534929999999996E-3</v>
      </c>
      <c r="AA4312">
        <v>0.98602420000000002</v>
      </c>
      <c r="AB4312">
        <v>38</v>
      </c>
      <c r="AC4312">
        <v>18.756499999999999</v>
      </c>
      <c r="AD4312">
        <v>-1.1079904129389999</v>
      </c>
      <c r="AE4312">
        <v>-2.6503299999999901</v>
      </c>
      <c r="AF4312">
        <v>3.2121544627121801</v>
      </c>
      <c r="AG4312">
        <v>-1.1079904129389999</v>
      </c>
      <c r="AH4312">
        <v>18.602953057995201</v>
      </c>
      <c r="AI4312">
        <v>93.358917177604795</v>
      </c>
      <c r="AJ4312">
        <v>80.203389945664398</v>
      </c>
      <c r="AK4312">
        <v>18.9107229244538</v>
      </c>
      <c r="AL4312">
        <v>81.270450704695307</v>
      </c>
      <c r="AM4312">
        <v>84.0191572945198</v>
      </c>
      <c r="AN4312">
        <v>1.0000000097074599</v>
      </c>
    </row>
    <row r="4313" spans="1:40" x14ac:dyDescent="0.25">
      <c r="A4313" t="str">
        <f>"20190312164355680"</f>
        <v>20190312164355680</v>
      </c>
      <c r="B4313" t="str">
        <f>"1552380235668816"</f>
        <v>1552380235668816</v>
      </c>
      <c r="C4313" t="s">
        <v>40</v>
      </c>
      <c r="D4313">
        <v>4.3801769999999998</v>
      </c>
      <c r="E4313">
        <v>0.52697959999999899</v>
      </c>
      <c r="F4313" t="s">
        <v>41</v>
      </c>
      <c r="G4313">
        <v>-369.74209999999999</v>
      </c>
      <c r="H4313">
        <v>1.0411029999999999</v>
      </c>
      <c r="I4313">
        <v>17.184229999999999</v>
      </c>
      <c r="J4313">
        <v>-370.14569999999998</v>
      </c>
      <c r="K4313">
        <v>1.1078209999999999</v>
      </c>
      <c r="L4313">
        <v>17.277709999999999</v>
      </c>
      <c r="M4313">
        <v>0.99954900000000002</v>
      </c>
      <c r="N4313">
        <v>0</v>
      </c>
      <c r="O4313">
        <v>2.8808469999999999E-2</v>
      </c>
      <c r="P4313">
        <v>0.98709389999999997</v>
      </c>
      <c r="Q4313">
        <v>0.14320350000000001</v>
      </c>
      <c r="R4313">
        <v>-7.1684399999999995E-2</v>
      </c>
      <c r="S4313">
        <v>3.0541689999999999</v>
      </c>
      <c r="T4313">
        <v>-0.27116780000000001</v>
      </c>
      <c r="U4313">
        <v>-0.3407288</v>
      </c>
      <c r="V4313">
        <v>0.1006864</v>
      </c>
      <c r="W4313">
        <v>0.1511526</v>
      </c>
      <c r="X4313">
        <v>0.9833693</v>
      </c>
      <c r="Y4313">
        <v>0.13880809999999999</v>
      </c>
      <c r="Z4313">
        <v>-8.6768809999999991E-3</v>
      </c>
      <c r="AA4313">
        <v>0.99028130000000003</v>
      </c>
      <c r="AB4313">
        <v>38</v>
      </c>
      <c r="AC4313">
        <v>0.40359999999998297</v>
      </c>
      <c r="AD4313">
        <v>-6.6717999999999805E-2</v>
      </c>
      <c r="AE4313">
        <v>-9.3479999999999494E-2</v>
      </c>
      <c r="AF4313">
        <v>0.102412625699235</v>
      </c>
      <c r="AG4313">
        <v>-6.6717999999999805E-2</v>
      </c>
      <c r="AH4313">
        <v>0.390608853787837</v>
      </c>
      <c r="AI4313">
        <v>99.381695081202295</v>
      </c>
      <c r="AJ4313">
        <v>75.308466363496706</v>
      </c>
      <c r="AK4313">
        <v>0.40928585864168299</v>
      </c>
      <c r="AL4313">
        <v>81.306272860137895</v>
      </c>
      <c r="AM4313">
        <v>84.153903215318394</v>
      </c>
      <c r="AN4313">
        <v>1.0000000199071</v>
      </c>
    </row>
    <row r="4314" spans="1:40" x14ac:dyDescent="0.25">
      <c r="A4314" t="str">
        <f>"20190312164355703"</f>
        <v>20190312164355703</v>
      </c>
      <c r="B4314" t="str">
        <f>"1552380235699072"</f>
        <v>1552380235699072</v>
      </c>
      <c r="C4314" t="s">
        <v>40</v>
      </c>
      <c r="D4314">
        <v>4.4794530000000004</v>
      </c>
      <c r="E4314">
        <v>0.52548649999999997</v>
      </c>
      <c r="F4314" t="s">
        <v>41</v>
      </c>
      <c r="G4314">
        <v>-369.39850000000001</v>
      </c>
      <c r="H4314">
        <v>1.044249</v>
      </c>
      <c r="I4314">
        <v>17.186</v>
      </c>
      <c r="J4314">
        <v>-369.75970000000001</v>
      </c>
      <c r="K4314">
        <v>1.1076649999999999</v>
      </c>
      <c r="L4314">
        <v>17.287140000000001</v>
      </c>
      <c r="M4314">
        <v>0.99960709999999997</v>
      </c>
      <c r="N4314">
        <v>0</v>
      </c>
      <c r="O4314">
        <v>2.671668E-2</v>
      </c>
      <c r="P4314">
        <v>0.9870331</v>
      </c>
      <c r="Q4314">
        <v>0.14353350000000001</v>
      </c>
      <c r="R4314">
        <v>-7.1860850000000004E-2</v>
      </c>
      <c r="S4314">
        <v>3.049744</v>
      </c>
      <c r="T4314">
        <v>-0.2593086</v>
      </c>
      <c r="U4314">
        <v>-0.37304690000000001</v>
      </c>
      <c r="V4314">
        <v>9.8857260000000002E-2</v>
      </c>
      <c r="W4314">
        <v>0.15145989999999901</v>
      </c>
      <c r="X4314">
        <v>0.98350760000000004</v>
      </c>
      <c r="Y4314">
        <v>0.1472734</v>
      </c>
      <c r="Z4314">
        <v>-8.48666E-3</v>
      </c>
      <c r="AA4314">
        <v>0.98905940000000003</v>
      </c>
      <c r="AB4314">
        <v>38</v>
      </c>
      <c r="AC4314">
        <v>0.36119999999999602</v>
      </c>
      <c r="AD4314">
        <v>-6.3415999999999903E-2</v>
      </c>
      <c r="AE4314">
        <v>-0.10113999999999999</v>
      </c>
      <c r="AF4314">
        <v>0.107676503937756</v>
      </c>
      <c r="AG4314">
        <v>-6.3415999999999903E-2</v>
      </c>
      <c r="AH4314">
        <v>0.34840995924186702</v>
      </c>
      <c r="AI4314">
        <v>99.865081755447505</v>
      </c>
      <c r="AJ4314">
        <v>72.826174973445404</v>
      </c>
      <c r="AK4314">
        <v>0.370142294604626</v>
      </c>
      <c r="AL4314">
        <v>81.288460877580405</v>
      </c>
      <c r="AM4314">
        <v>84.260193549858599</v>
      </c>
      <c r="AN4314">
        <v>1.00000002921023</v>
      </c>
    </row>
    <row r="4315" spans="1:40" x14ac:dyDescent="0.25">
      <c r="A4315" t="str">
        <f>"20190312164355725"</f>
        <v>20190312164355725</v>
      </c>
      <c r="B4315" t="str">
        <f>"1552380235719567"</f>
        <v>1552380235719567</v>
      </c>
      <c r="C4315" t="s">
        <v>40</v>
      </c>
      <c r="D4315">
        <v>4.5374720000000002</v>
      </c>
      <c r="E4315">
        <v>0.52278939999999996</v>
      </c>
      <c r="F4315" t="s">
        <v>41</v>
      </c>
      <c r="G4315">
        <v>-368.72719999999998</v>
      </c>
      <c r="H4315">
        <v>1.021957</v>
      </c>
      <c r="I4315">
        <v>17.16412</v>
      </c>
      <c r="J4315">
        <v>-369.37189999999998</v>
      </c>
      <c r="K4315">
        <v>1.1075459999999999</v>
      </c>
      <c r="L4315">
        <v>17.295719999999999</v>
      </c>
      <c r="M4315">
        <v>0.99966290000000002</v>
      </c>
      <c r="N4315">
        <v>0</v>
      </c>
      <c r="O4315">
        <v>2.453412E-2</v>
      </c>
      <c r="P4315">
        <v>0.9868323</v>
      </c>
      <c r="Q4315">
        <v>0.144042899999999</v>
      </c>
      <c r="R4315">
        <v>-7.3579130000000006E-2</v>
      </c>
      <c r="S4315">
        <v>3.0497740000000002</v>
      </c>
      <c r="T4315">
        <v>-0.25312570000000001</v>
      </c>
      <c r="U4315">
        <v>-0.36297610000000002</v>
      </c>
      <c r="V4315">
        <v>9.8467319999999997E-2</v>
      </c>
      <c r="W4315">
        <v>0.15194630000000001</v>
      </c>
      <c r="X4315">
        <v>0.9834716</v>
      </c>
      <c r="Y4315">
        <v>0.14194590000000001</v>
      </c>
      <c r="Z4315">
        <v>-7.8862789999999995E-3</v>
      </c>
      <c r="AA4315">
        <v>0.98984300000000003</v>
      </c>
      <c r="AB4315">
        <v>38</v>
      </c>
      <c r="AC4315">
        <v>0.64470000000000005</v>
      </c>
      <c r="AD4315">
        <v>-8.5588999999999901E-2</v>
      </c>
      <c r="AE4315">
        <v>-0.13160000000000199</v>
      </c>
      <c r="AF4315">
        <v>0.14492600462369301</v>
      </c>
      <c r="AG4315">
        <v>-8.5588999999999901E-2</v>
      </c>
      <c r="AH4315">
        <v>0.63060745986746003</v>
      </c>
      <c r="AI4315">
        <v>97.535135442292798</v>
      </c>
      <c r="AJ4315">
        <v>77.057048367831598</v>
      </c>
      <c r="AK4315">
        <v>0.65268276534444902</v>
      </c>
      <c r="AL4315">
        <v>81.260265095829396</v>
      </c>
      <c r="AM4315">
        <v>84.282475891218596</v>
      </c>
      <c r="AN4315">
        <v>0.99999993959911404</v>
      </c>
    </row>
    <row r="4316" spans="1:40" x14ac:dyDescent="0.25">
      <c r="A4316" t="str">
        <f>"20190312164355747"</f>
        <v>20190312164355747</v>
      </c>
      <c r="B4316" t="str">
        <f>"1552380235739087"</f>
        <v>1552380235739087</v>
      </c>
      <c r="C4316" t="s">
        <v>40</v>
      </c>
      <c r="D4316">
        <v>4.7470210000000002</v>
      </c>
      <c r="E4316">
        <v>0.52142179999999905</v>
      </c>
      <c r="F4316" t="s">
        <v>41</v>
      </c>
      <c r="G4316">
        <v>-368.38400000000001</v>
      </c>
      <c r="H4316">
        <v>1.0259</v>
      </c>
      <c r="I4316">
        <v>17.183949999999999</v>
      </c>
      <c r="J4316">
        <v>-368.98630000000003</v>
      </c>
      <c r="K4316">
        <v>1.1074550000000001</v>
      </c>
      <c r="L4316">
        <v>17.303339999999999</v>
      </c>
      <c r="M4316">
        <v>0.99971500000000002</v>
      </c>
      <c r="N4316">
        <v>0</v>
      </c>
      <c r="O4316">
        <v>2.2311830000000001E-2</v>
      </c>
      <c r="P4316">
        <v>0.98691490000000004</v>
      </c>
      <c r="Q4316">
        <v>0.14315539999999999</v>
      </c>
      <c r="R4316">
        <v>-7.4198769999999997E-2</v>
      </c>
      <c r="S4316">
        <v>3.0511469999999998</v>
      </c>
      <c r="T4316">
        <v>-0.25215720000000003</v>
      </c>
      <c r="U4316">
        <v>-0.3448792</v>
      </c>
      <c r="V4316">
        <v>9.6931149999999994E-2</v>
      </c>
      <c r="W4316">
        <v>0.15105080000000001</v>
      </c>
      <c r="X4316">
        <v>0.98376209999999997</v>
      </c>
      <c r="Y4316">
        <v>0.13393459999999999</v>
      </c>
      <c r="Z4316">
        <v>-7.343044E-3</v>
      </c>
      <c r="AA4316">
        <v>0.99096300000000004</v>
      </c>
      <c r="AB4316">
        <v>38</v>
      </c>
      <c r="AC4316">
        <v>0.60230000000001305</v>
      </c>
      <c r="AD4316">
        <v>-8.1554999999999794E-2</v>
      </c>
      <c r="AE4316">
        <v>-0.119389999999999</v>
      </c>
      <c r="AF4316">
        <v>0.13049700243196799</v>
      </c>
      <c r="AG4316">
        <v>-8.1554999999999794E-2</v>
      </c>
      <c r="AH4316">
        <v>0.58909360140356604</v>
      </c>
      <c r="AI4316">
        <v>97.697722005744893</v>
      </c>
      <c r="AJ4316">
        <v>77.509447390124507</v>
      </c>
      <c r="AK4316">
        <v>0.60886119672988903</v>
      </c>
      <c r="AL4316">
        <v>81.312172537187095</v>
      </c>
      <c r="AM4316">
        <v>84.372748093690106</v>
      </c>
      <c r="AN4316">
        <v>0.99999993070868298</v>
      </c>
    </row>
    <row r="4317" spans="1:40" x14ac:dyDescent="0.25">
      <c r="A4317" t="str">
        <f>"20190312164355770"</f>
        <v>20190312164355770</v>
      </c>
      <c r="B4317" t="str">
        <f>"1552380235759587"</f>
        <v>1552380235759587</v>
      </c>
      <c r="C4317" t="s">
        <v>40</v>
      </c>
      <c r="D4317">
        <v>4.5157550000000004</v>
      </c>
      <c r="E4317">
        <v>0.52080130000000002</v>
      </c>
      <c r="F4317" t="s">
        <v>41</v>
      </c>
      <c r="G4317">
        <v>-368.04020000000003</v>
      </c>
      <c r="H4317">
        <v>1.029509</v>
      </c>
      <c r="I4317">
        <v>17.198509999999999</v>
      </c>
      <c r="J4317">
        <v>-368.6071</v>
      </c>
      <c r="K4317">
        <v>1.1073770000000001</v>
      </c>
      <c r="L4317">
        <v>17.310029999999902</v>
      </c>
      <c r="M4317">
        <v>0.99976189999999998</v>
      </c>
      <c r="N4317">
        <v>0</v>
      </c>
      <c r="O4317">
        <v>2.0096889999999999E-2</v>
      </c>
      <c r="P4317">
        <v>0.98694249999999994</v>
      </c>
      <c r="Q4317">
        <v>0.1427263</v>
      </c>
      <c r="R4317">
        <v>-7.4656429999999996E-2</v>
      </c>
      <c r="S4317">
        <v>3.0509339999999998</v>
      </c>
      <c r="T4317">
        <v>-0.25117139999999999</v>
      </c>
      <c r="U4317">
        <v>-0.33676149999999999</v>
      </c>
      <c r="V4317">
        <v>9.5232079999999997E-2</v>
      </c>
      <c r="W4317">
        <v>0.15062039999999999</v>
      </c>
      <c r="X4317">
        <v>0.98399409999999998</v>
      </c>
      <c r="Y4317">
        <v>0.12916839999999999</v>
      </c>
      <c r="Z4317">
        <v>-6.9391540000000003E-3</v>
      </c>
      <c r="AA4317">
        <v>0.99159839999999999</v>
      </c>
      <c r="AB4317">
        <v>38</v>
      </c>
      <c r="AC4317">
        <v>0.56689999999997498</v>
      </c>
      <c r="AD4317">
        <v>-7.7868000000000007E-2</v>
      </c>
      <c r="AE4317">
        <v>-0.111519999999998</v>
      </c>
      <c r="AF4317">
        <v>0.12069842669943499</v>
      </c>
      <c r="AG4317">
        <v>-7.7868000000000007E-2</v>
      </c>
      <c r="AH4317">
        <v>0.55447267409729195</v>
      </c>
      <c r="AI4317">
        <v>97.813477128878205</v>
      </c>
      <c r="AJ4317">
        <v>77.719352206309097</v>
      </c>
      <c r="AK4317">
        <v>0.57277524558269899</v>
      </c>
      <c r="AL4317">
        <v>81.337118839353806</v>
      </c>
      <c r="AM4317">
        <v>84.472065005516498</v>
      </c>
      <c r="AN4317">
        <v>1.0000000213960401</v>
      </c>
    </row>
    <row r="4318" spans="1:40" x14ac:dyDescent="0.25">
      <c r="A4318" t="str">
        <f>"20190312164355782"</f>
        <v>20190312164355782</v>
      </c>
      <c r="B4318" t="str">
        <f>"1552380235779105"</f>
        <v>1552380235779105</v>
      </c>
      <c r="C4318" t="s">
        <v>40</v>
      </c>
      <c r="D4318">
        <v>4.5397069999999999</v>
      </c>
      <c r="E4318">
        <v>0.52017479999999905</v>
      </c>
      <c r="F4318" t="s">
        <v>41</v>
      </c>
      <c r="G4318">
        <v>-367.69499999999999</v>
      </c>
      <c r="H4318">
        <v>1.034157</v>
      </c>
      <c r="I4318">
        <v>17.209669999999999</v>
      </c>
      <c r="J4318">
        <v>-368.4128</v>
      </c>
      <c r="K4318">
        <v>1.10734</v>
      </c>
      <c r="L4318">
        <v>17.313199999999998</v>
      </c>
      <c r="M4318">
        <v>0.99978420000000001</v>
      </c>
      <c r="N4318">
        <v>0</v>
      </c>
      <c r="O4318">
        <v>1.8956890000000001E-2</v>
      </c>
      <c r="P4318">
        <v>0.98691499999999999</v>
      </c>
      <c r="Q4318">
        <v>0.1425496</v>
      </c>
      <c r="R4318">
        <v>-7.5357999999999994E-2</v>
      </c>
      <c r="S4318">
        <v>3.049744</v>
      </c>
      <c r="T4318">
        <v>-0.24476239999999999</v>
      </c>
      <c r="U4318">
        <v>-0.33502199999999999</v>
      </c>
      <c r="V4318">
        <v>9.4820429999999997E-2</v>
      </c>
      <c r="W4318">
        <v>0.150441299999999</v>
      </c>
      <c r="X4318">
        <v>0.98406119999999997</v>
      </c>
      <c r="Y4318">
        <v>0.12755449999999999</v>
      </c>
      <c r="Z4318">
        <v>-6.6099059999999996E-3</v>
      </c>
      <c r="AA4318">
        <v>0.99180950000000001</v>
      </c>
      <c r="AB4318">
        <v>38</v>
      </c>
      <c r="AC4318">
        <v>0.71780000000001098</v>
      </c>
      <c r="AD4318">
        <v>-7.3182999999999998E-2</v>
      </c>
      <c r="AE4318">
        <v>-0.103529999999995</v>
      </c>
      <c r="AF4318">
        <v>0.115938550403518</v>
      </c>
      <c r="AG4318">
        <v>-7.3182999999999998E-2</v>
      </c>
      <c r="AH4318">
        <v>0.70849380257436401</v>
      </c>
      <c r="AI4318">
        <v>95.820507680000205</v>
      </c>
      <c r="AJ4318">
        <v>80.706439295797097</v>
      </c>
      <c r="AK4318">
        <v>0.72163769804864697</v>
      </c>
      <c r="AL4318">
        <v>81.347498359028194</v>
      </c>
      <c r="AM4318">
        <v>84.496185996811107</v>
      </c>
      <c r="AN4318">
        <v>0.99999997201825697</v>
      </c>
    </row>
    <row r="4319" spans="1:40" x14ac:dyDescent="0.25">
      <c r="A4319" t="str">
        <f>"20190312164355804"</f>
        <v>20190312164355804</v>
      </c>
      <c r="B4319" t="str">
        <f>"1552380235799600"</f>
        <v>1552380235799600</v>
      </c>
      <c r="C4319" t="s">
        <v>40</v>
      </c>
      <c r="D4319">
        <v>4.6563179999999997</v>
      </c>
      <c r="E4319">
        <v>0.51981169999999999</v>
      </c>
      <c r="F4319" t="s">
        <v>41</v>
      </c>
      <c r="G4319">
        <v>-367.35559999999998</v>
      </c>
      <c r="H4319">
        <v>1.024313</v>
      </c>
      <c r="I4319">
        <v>17.19745</v>
      </c>
      <c r="J4319">
        <v>-368.0292</v>
      </c>
      <c r="K4319">
        <v>1.107278</v>
      </c>
      <c r="L4319">
        <v>17.318629999999999</v>
      </c>
      <c r="M4319">
        <v>0.99982420000000005</v>
      </c>
      <c r="N4319">
        <v>0</v>
      </c>
      <c r="O4319">
        <v>1.6713289999999999E-2</v>
      </c>
      <c r="P4319">
        <v>0.98688640000000005</v>
      </c>
      <c r="Q4319">
        <v>0.1420737</v>
      </c>
      <c r="R4319">
        <v>-7.6618599999999995E-2</v>
      </c>
      <c r="S4319">
        <v>3.04895</v>
      </c>
      <c r="T4319">
        <v>-0.23934140000000001</v>
      </c>
      <c r="U4319">
        <v>-0.3327637</v>
      </c>
      <c r="V4319">
        <v>9.3884120000000001E-2</v>
      </c>
      <c r="W4319">
        <v>0.1499656</v>
      </c>
      <c r="X4319">
        <v>0.98422359999999998</v>
      </c>
      <c r="Y4319">
        <v>0.1246662</v>
      </c>
      <c r="Z4319">
        <v>-6.1776219999999998E-3</v>
      </c>
      <c r="AA4319">
        <v>0.99217949999999999</v>
      </c>
      <c r="AB4319">
        <v>38</v>
      </c>
      <c r="AC4319">
        <v>0.67360000000002096</v>
      </c>
      <c r="AD4319">
        <v>-8.29649999999999E-2</v>
      </c>
      <c r="AE4319">
        <v>-0.121179999999998</v>
      </c>
      <c r="AF4319">
        <v>0.130503870554598</v>
      </c>
      <c r="AG4319">
        <v>-8.29649999999999E-2</v>
      </c>
      <c r="AH4319">
        <v>0.66175637952543598</v>
      </c>
      <c r="AI4319">
        <v>97.012266424814698</v>
      </c>
      <c r="AJ4319">
        <v>78.843948712752706</v>
      </c>
      <c r="AK4319">
        <v>0.67958513616569305</v>
      </c>
      <c r="AL4319">
        <v>81.375066982920501</v>
      </c>
      <c r="AM4319">
        <v>84.551098737364896</v>
      </c>
      <c r="AN4319">
        <v>1.0000000019842401</v>
      </c>
    </row>
    <row r="4320" spans="1:40" x14ac:dyDescent="0.25">
      <c r="A4320" t="str">
        <f>"20190312164355826"</f>
        <v>20190312164355826</v>
      </c>
      <c r="B4320" t="str">
        <f>"1552380235819120"</f>
        <v>1552380235819120</v>
      </c>
      <c r="C4320" t="s">
        <v>40</v>
      </c>
      <c r="D4320">
        <v>4.595904</v>
      </c>
      <c r="E4320">
        <v>0.51930449999999995</v>
      </c>
      <c r="F4320" t="s">
        <v>41</v>
      </c>
      <c r="G4320">
        <v>-367.00959999999998</v>
      </c>
      <c r="H4320">
        <v>1.0284120000000001</v>
      </c>
      <c r="I4320">
        <v>17.20654</v>
      </c>
      <c r="J4320">
        <v>-367.63979999999998</v>
      </c>
      <c r="K4320">
        <v>1.107245</v>
      </c>
      <c r="L4320">
        <v>17.323329999999999</v>
      </c>
      <c r="M4320">
        <v>0.99985930000000001</v>
      </c>
      <c r="N4320">
        <v>0</v>
      </c>
      <c r="O4320">
        <v>1.4463780000000001E-2</v>
      </c>
      <c r="P4320">
        <v>0.98675659999999998</v>
      </c>
      <c r="Q4320">
        <v>0.1422272</v>
      </c>
      <c r="R4320">
        <v>-7.7994610000000006E-2</v>
      </c>
      <c r="S4320">
        <v>3.0478209999999999</v>
      </c>
      <c r="T4320">
        <v>-0.2357726</v>
      </c>
      <c r="U4320">
        <v>-0.33483889999999999</v>
      </c>
      <c r="V4320">
        <v>9.3052360000000001E-2</v>
      </c>
      <c r="W4320">
        <v>0.15012220000000001</v>
      </c>
      <c r="X4320">
        <v>0.98427869999999995</v>
      </c>
      <c r="Y4320">
        <v>0.1231646</v>
      </c>
      <c r="Z4320">
        <v>-5.8566719999999899E-3</v>
      </c>
      <c r="AA4320">
        <v>0.99236899999999995</v>
      </c>
      <c r="AB4320">
        <v>38</v>
      </c>
      <c r="AC4320">
        <v>0.63020000000000198</v>
      </c>
      <c r="AD4320">
        <v>-7.8832999999999903E-2</v>
      </c>
      <c r="AE4320">
        <v>-0.11678999999999801</v>
      </c>
      <c r="AF4320">
        <v>0.124017001375686</v>
      </c>
      <c r="AG4320">
        <v>-7.8832999999999903E-2</v>
      </c>
      <c r="AH4320">
        <v>0.61907908503377695</v>
      </c>
      <c r="AI4320">
        <v>97.117033221726402</v>
      </c>
      <c r="AJ4320">
        <v>78.672165167814001</v>
      </c>
      <c r="AK4320">
        <v>0.636281205164411</v>
      </c>
      <c r="AL4320">
        <v>81.365991603853203</v>
      </c>
      <c r="AM4320">
        <v>84.599386743994799</v>
      </c>
      <c r="AN4320">
        <v>0.99999998795404899</v>
      </c>
    </row>
    <row r="4321" spans="1:40" x14ac:dyDescent="0.25">
      <c r="A4321" t="str">
        <f>"20190312164355839"</f>
        <v>20190312164355839</v>
      </c>
      <c r="B4321" t="str">
        <f>"1552380235828880"</f>
        <v>1552380235828880</v>
      </c>
      <c r="C4321" t="s">
        <v>40</v>
      </c>
      <c r="D4321">
        <v>4.5860839999999996</v>
      </c>
      <c r="E4321">
        <v>0.51898959999999905</v>
      </c>
      <c r="F4321" t="s">
        <v>41</v>
      </c>
      <c r="G4321">
        <v>-366.66320000000002</v>
      </c>
      <c r="H4321">
        <v>1.0322769999999999</v>
      </c>
      <c r="I4321">
        <v>17.215319999999998</v>
      </c>
      <c r="J4321">
        <v>-367.40679999999998</v>
      </c>
      <c r="K4321">
        <v>1.1072360000000001</v>
      </c>
      <c r="L4321">
        <v>17.325779999999899</v>
      </c>
      <c r="M4321">
        <v>0.99987760000000003</v>
      </c>
      <c r="N4321">
        <v>0</v>
      </c>
      <c r="O4321">
        <v>1.31316E-2</v>
      </c>
      <c r="P4321">
        <v>0.98663599999999996</v>
      </c>
      <c r="Q4321">
        <v>0.1424368</v>
      </c>
      <c r="R4321">
        <v>-7.9127169999999997E-2</v>
      </c>
      <c r="S4321">
        <v>3.047485</v>
      </c>
      <c r="T4321">
        <v>-0.23377390000000001</v>
      </c>
      <c r="U4321">
        <v>-0.3357849</v>
      </c>
      <c r="V4321">
        <v>9.2875609999999997E-2</v>
      </c>
      <c r="W4321">
        <v>0.15033289999999999</v>
      </c>
      <c r="X4321">
        <v>0.9842632</v>
      </c>
      <c r="Y4321">
        <v>0.12217219999999999</v>
      </c>
      <c r="Z4321">
        <v>-5.6680410000000004E-3</v>
      </c>
      <c r="AA4321">
        <v>0.99249270000000001</v>
      </c>
      <c r="AB4321">
        <v>38</v>
      </c>
      <c r="AC4321">
        <v>0.74359999999995796</v>
      </c>
      <c r="AD4321">
        <v>-7.4958999999999998E-2</v>
      </c>
      <c r="AE4321">
        <v>-0.11045999999999601</v>
      </c>
      <c r="AF4321">
        <v>0.119032026255161</v>
      </c>
      <c r="AG4321">
        <v>-7.4958999999999998E-2</v>
      </c>
      <c r="AH4321">
        <v>0.73477986129352901</v>
      </c>
      <c r="AI4321">
        <v>95.750457741806699</v>
      </c>
      <c r="AJ4321">
        <v>80.798202449012607</v>
      </c>
      <c r="AK4321">
        <v>0.74812359909171899</v>
      </c>
      <c r="AL4321">
        <v>81.353780506277602</v>
      </c>
      <c r="AM4321">
        <v>84.609500168322697</v>
      </c>
      <c r="AN4321">
        <v>0.99999995331475999</v>
      </c>
    </row>
    <row r="4322" spans="1:40" x14ac:dyDescent="0.25">
      <c r="A4322" t="str">
        <f>"20190312164355861"</f>
        <v>20190312164355861</v>
      </c>
      <c r="B4322" t="str">
        <f>"1552380235849376"</f>
        <v>1552380235849376</v>
      </c>
      <c r="C4322" t="s">
        <v>40</v>
      </c>
      <c r="D4322">
        <v>4.5872799999999998</v>
      </c>
      <c r="E4322">
        <v>0.51863890000000001</v>
      </c>
      <c r="F4322" t="s">
        <v>41</v>
      </c>
      <c r="G4322">
        <v>-366.65339999999998</v>
      </c>
      <c r="H4322">
        <v>1.0493920000000001</v>
      </c>
      <c r="I4322">
        <v>17.24211</v>
      </c>
      <c r="J4322">
        <v>-367.0487</v>
      </c>
      <c r="K4322">
        <v>1.1072310000000001</v>
      </c>
      <c r="L4322">
        <v>17.32892</v>
      </c>
      <c r="M4322">
        <v>0.99990199999999996</v>
      </c>
      <c r="N4322">
        <v>0</v>
      </c>
      <c r="O4322">
        <v>1.1122E-2</v>
      </c>
      <c r="P4322">
        <v>0.98654419999999998</v>
      </c>
      <c r="Q4322">
        <v>0.14221210000000001</v>
      </c>
      <c r="R4322">
        <v>-8.0664810000000003E-2</v>
      </c>
      <c r="S4322">
        <v>3.0473629999999998</v>
      </c>
      <c r="T4322">
        <v>-0.23376739999999999</v>
      </c>
      <c r="U4322">
        <v>-0.336731</v>
      </c>
      <c r="V4322">
        <v>9.243179E-2</v>
      </c>
      <c r="W4322">
        <v>0.1501141</v>
      </c>
      <c r="X4322">
        <v>0.98433839999999995</v>
      </c>
      <c r="Y4322">
        <v>0.1204968</v>
      </c>
      <c r="Z4322">
        <v>-5.4505229999999997E-3</v>
      </c>
      <c r="AA4322">
        <v>0.99269870000000004</v>
      </c>
      <c r="AB4322">
        <v>38</v>
      </c>
      <c r="AC4322">
        <v>0.39530000000002002</v>
      </c>
      <c r="AD4322">
        <v>-5.7838999999999703E-2</v>
      </c>
      <c r="AE4322">
        <v>-8.6809999999999804E-2</v>
      </c>
      <c r="AF4322">
        <v>8.9375935425592801E-2</v>
      </c>
      <c r="AG4322">
        <v>-5.7838999999999703E-2</v>
      </c>
      <c r="AH4322">
        <v>0.38641795804437501</v>
      </c>
      <c r="AI4322">
        <v>98.296958317076999</v>
      </c>
      <c r="AJ4322">
        <v>76.976870605270605</v>
      </c>
      <c r="AK4322">
        <v>0.40081447834800599</v>
      </c>
      <c r="AL4322">
        <v>81.366460969590193</v>
      </c>
      <c r="AM4322">
        <v>84.635516288978806</v>
      </c>
      <c r="AN4322">
        <v>0.99999998226798603</v>
      </c>
    </row>
    <row r="4323" spans="1:40" x14ac:dyDescent="0.25">
      <c r="A4323" t="str">
        <f>"20190312164355883"</f>
        <v>20190312164355883</v>
      </c>
      <c r="B4323" t="str">
        <f>"1552380235879632"</f>
        <v>1552380235879632</v>
      </c>
      <c r="C4323" t="s">
        <v>40</v>
      </c>
      <c r="D4323">
        <v>4.9726809999999997</v>
      </c>
      <c r="E4323">
        <v>0.51866250000000003</v>
      </c>
      <c r="F4323" t="s">
        <v>41</v>
      </c>
      <c r="G4323">
        <v>-366.30779999999999</v>
      </c>
      <c r="H4323">
        <v>1.049849</v>
      </c>
      <c r="I4323">
        <v>17.246400000000001</v>
      </c>
      <c r="J4323">
        <v>-366.67579999999998</v>
      </c>
      <c r="K4323">
        <v>1.1072409999999999</v>
      </c>
      <c r="L4323">
        <v>17.331420000000001</v>
      </c>
      <c r="M4323">
        <v>0.99992239999999999</v>
      </c>
      <c r="N4323">
        <v>0</v>
      </c>
      <c r="O4323">
        <v>9.0909860000000006E-3</v>
      </c>
      <c r="P4323">
        <v>0.9864714</v>
      </c>
      <c r="Q4323">
        <v>0.14208399999999999</v>
      </c>
      <c r="R4323">
        <v>-8.1772549999999999E-2</v>
      </c>
      <c r="S4323">
        <v>3.0472410000000001</v>
      </c>
      <c r="T4323">
        <v>-0.2360071</v>
      </c>
      <c r="U4323">
        <v>-0.33892820000000001</v>
      </c>
      <c r="V4323">
        <v>9.1531479999999998E-2</v>
      </c>
      <c r="W4323">
        <v>0.1499991</v>
      </c>
      <c r="X4323">
        <v>0.98444010000000004</v>
      </c>
      <c r="Y4323">
        <v>0.11919440000000001</v>
      </c>
      <c r="Z4323">
        <v>-5.2957600000000001E-3</v>
      </c>
      <c r="AA4323">
        <v>0.99285679999999998</v>
      </c>
      <c r="AB4323">
        <v>38</v>
      </c>
      <c r="AC4323">
        <v>0.367999999999995</v>
      </c>
      <c r="AD4323">
        <v>-5.7391999999999797E-2</v>
      </c>
      <c r="AE4323">
        <v>-8.5020000000000095E-2</v>
      </c>
      <c r="AF4323">
        <v>8.6367858123458097E-2</v>
      </c>
      <c r="AG4323">
        <v>-5.7391999999999797E-2</v>
      </c>
      <c r="AH4323">
        <v>0.35892429183653202</v>
      </c>
      <c r="AI4323">
        <v>98.836608823373496</v>
      </c>
      <c r="AJ4323">
        <v>76.470155391065603</v>
      </c>
      <c r="AK4323">
        <v>0.37360392911637003</v>
      </c>
      <c r="AL4323">
        <v>81.373125825014995</v>
      </c>
      <c r="AM4323">
        <v>84.688013038441596</v>
      </c>
      <c r="AN4323">
        <v>1.0000000261599</v>
      </c>
    </row>
    <row r="4324" spans="1:40" x14ac:dyDescent="0.25">
      <c r="A4324" t="str">
        <f>"20190312164355905"</f>
        <v>20190312164355905</v>
      </c>
      <c r="B4324" t="str">
        <f>"1552380235899151"</f>
        <v>1552380235899151</v>
      </c>
      <c r="C4324" t="s">
        <v>40</v>
      </c>
      <c r="D4324">
        <v>4.6152769999999999</v>
      </c>
      <c r="E4324">
        <v>0.518648</v>
      </c>
      <c r="F4324" t="s">
        <v>41</v>
      </c>
      <c r="G4324">
        <v>-365.62790000000001</v>
      </c>
      <c r="H4324">
        <v>1.0269950000000001</v>
      </c>
      <c r="I4324">
        <v>17.213100000000001</v>
      </c>
      <c r="J4324">
        <v>-366.29840000000002</v>
      </c>
      <c r="K4324">
        <v>1.1072709999999999</v>
      </c>
      <c r="L4324">
        <v>17.333220000000001</v>
      </c>
      <c r="M4324">
        <v>0.99993840000000001</v>
      </c>
      <c r="N4324">
        <v>0</v>
      </c>
      <c r="O4324">
        <v>7.1039650000000003E-3</v>
      </c>
      <c r="P4324">
        <v>0.98644109999999996</v>
      </c>
      <c r="Q4324">
        <v>0.14188020000000001</v>
      </c>
      <c r="R4324">
        <v>-8.2485199999999995E-2</v>
      </c>
      <c r="S4324">
        <v>3.046265</v>
      </c>
      <c r="T4324">
        <v>-0.23322509999999999</v>
      </c>
      <c r="U4324">
        <v>-0.34329219999999999</v>
      </c>
      <c r="V4324">
        <v>9.0274409999999999E-2</v>
      </c>
      <c r="W4324">
        <v>0.1498129</v>
      </c>
      <c r="X4324">
        <v>0.98458449999999997</v>
      </c>
      <c r="Y4324">
        <v>0.1186772</v>
      </c>
      <c r="Z4324">
        <v>-5.0635910000000001E-3</v>
      </c>
      <c r="AA4324">
        <v>0.99292000000000002</v>
      </c>
      <c r="AB4324">
        <v>39</v>
      </c>
      <c r="AC4324">
        <v>0.67050000000000398</v>
      </c>
      <c r="AD4324">
        <v>-8.0275999999999695E-2</v>
      </c>
      <c r="AE4324">
        <v>-0.12012</v>
      </c>
      <c r="AF4324">
        <v>0.123169711883097</v>
      </c>
      <c r="AG4324">
        <v>-8.0275999999999695E-2</v>
      </c>
      <c r="AH4324">
        <v>0.66045698469088798</v>
      </c>
      <c r="AI4324">
        <v>96.813744849666094</v>
      </c>
      <c r="AJ4324">
        <v>79.436167037769394</v>
      </c>
      <c r="AK4324">
        <v>0.67662282161359599</v>
      </c>
      <c r="AL4324">
        <v>81.383916051590603</v>
      </c>
      <c r="AM4324">
        <v>84.761321830928097</v>
      </c>
      <c r="AN4324">
        <v>1.0000000058737499</v>
      </c>
    </row>
    <row r="4325" spans="1:40" x14ac:dyDescent="0.25">
      <c r="A4325" t="str">
        <f>"20190312164355916"</f>
        <v>20190312164355916</v>
      </c>
      <c r="B4325" t="str">
        <f>"1552380235908913"</f>
        <v>1552380235908913</v>
      </c>
      <c r="C4325" t="s">
        <v>40</v>
      </c>
      <c r="D4325">
        <v>4.6980409999999999</v>
      </c>
      <c r="E4325">
        <v>0.51862759999999997</v>
      </c>
      <c r="F4325" t="s">
        <v>41</v>
      </c>
      <c r="G4325">
        <v>-365.27960000000002</v>
      </c>
      <c r="H4325">
        <v>1.029936</v>
      </c>
      <c r="I4325">
        <v>17.21705</v>
      </c>
      <c r="J4325">
        <v>-366.06470000000002</v>
      </c>
      <c r="K4325">
        <v>1.107289</v>
      </c>
      <c r="L4325">
        <v>17.334009999999999</v>
      </c>
      <c r="M4325">
        <v>0.99994620000000001</v>
      </c>
      <c r="N4325">
        <v>0</v>
      </c>
      <c r="O4325">
        <v>5.9021789999999996E-3</v>
      </c>
      <c r="P4325">
        <v>0.98635170000000005</v>
      </c>
      <c r="Q4325">
        <v>0.1421905</v>
      </c>
      <c r="R4325">
        <v>-8.3019389999999998E-2</v>
      </c>
      <c r="S4325">
        <v>3.0455019999999999</v>
      </c>
      <c r="T4325">
        <v>-0.23106599999999999</v>
      </c>
      <c r="U4325">
        <v>-0.34625240000000002</v>
      </c>
      <c r="V4325">
        <v>8.9617740000000001E-2</v>
      </c>
      <c r="W4325">
        <v>0.15013389999999999</v>
      </c>
      <c r="X4325">
        <v>0.98459560000000002</v>
      </c>
      <c r="Y4325">
        <v>0.118475</v>
      </c>
      <c r="Z4325">
        <v>-4.9194089999999996E-3</v>
      </c>
      <c r="AA4325">
        <v>0.99294479999999996</v>
      </c>
      <c r="AB4325">
        <v>39</v>
      </c>
      <c r="AC4325">
        <v>0.78509999999999902</v>
      </c>
      <c r="AD4325">
        <v>-7.7352999999999894E-2</v>
      </c>
      <c r="AE4325">
        <v>-0.116959999999998</v>
      </c>
      <c r="AF4325">
        <v>0.120448076516029</v>
      </c>
      <c r="AG4325">
        <v>-7.7352999999999894E-2</v>
      </c>
      <c r="AH4325">
        <v>0.77701690819560698</v>
      </c>
      <c r="AI4325">
        <v>95.618468911320406</v>
      </c>
      <c r="AJ4325">
        <v>81.188514116729294</v>
      </c>
      <c r="AK4325">
        <v>0.79009271694356997</v>
      </c>
      <c r="AL4325">
        <v>81.365313762597694</v>
      </c>
      <c r="AM4325">
        <v>84.799277363940902</v>
      </c>
      <c r="AN4325">
        <v>1.00000001139563</v>
      </c>
    </row>
    <row r="4326" spans="1:40" x14ac:dyDescent="0.25">
      <c r="A4326" t="str">
        <f>"20190312164355939"</f>
        <v>20190312164355939</v>
      </c>
      <c r="B4326" t="str">
        <f>"1552380235929411"</f>
        <v>1552380235929411</v>
      </c>
      <c r="C4326" t="s">
        <v>40</v>
      </c>
      <c r="D4326">
        <v>4.7368399999999999</v>
      </c>
      <c r="E4326">
        <v>0.5183854</v>
      </c>
      <c r="F4326" t="s">
        <v>41</v>
      </c>
      <c r="G4326">
        <v>-365.26979999999998</v>
      </c>
      <c r="H4326">
        <v>1.047523</v>
      </c>
      <c r="I4326">
        <v>17.242739999999898</v>
      </c>
      <c r="J4326">
        <v>-365.69409999999999</v>
      </c>
      <c r="K4326">
        <v>1.107315</v>
      </c>
      <c r="L4326">
        <v>17.334720000000001</v>
      </c>
      <c r="M4326">
        <v>0.99995540000000005</v>
      </c>
      <c r="N4326">
        <v>0</v>
      </c>
      <c r="O4326">
        <v>4.0376049999999997E-3</v>
      </c>
      <c r="P4326">
        <v>0.98635660000000003</v>
      </c>
      <c r="Q4326">
        <v>0.14207310000000001</v>
      </c>
      <c r="R4326">
        <v>-8.3163130000000002E-2</v>
      </c>
      <c r="S4326">
        <v>3.045166</v>
      </c>
      <c r="T4326">
        <v>-0.22882720000000001</v>
      </c>
      <c r="U4326">
        <v>-0.3483887</v>
      </c>
      <c r="V4326">
        <v>8.7910859999999993E-2</v>
      </c>
      <c r="W4326">
        <v>0.1500378</v>
      </c>
      <c r="X4326">
        <v>0.98476410000000003</v>
      </c>
      <c r="Y4326">
        <v>0.1173385</v>
      </c>
      <c r="Z4326">
        <v>-4.6902300000000001E-3</v>
      </c>
      <c r="AA4326">
        <v>0.99308090000000004</v>
      </c>
      <c r="AB4326">
        <v>39</v>
      </c>
      <c r="AC4326">
        <v>0.424300000000016</v>
      </c>
      <c r="AD4326">
        <v>-5.9791999999999998E-2</v>
      </c>
      <c r="AE4326">
        <v>-9.1980000000003004E-2</v>
      </c>
      <c r="AF4326">
        <v>9.1948492098900894E-2</v>
      </c>
      <c r="AG4326">
        <v>-5.9791999999999998E-2</v>
      </c>
      <c r="AH4326">
        <v>0.41603427508906898</v>
      </c>
      <c r="AI4326">
        <v>97.988290486542297</v>
      </c>
      <c r="AJ4326">
        <v>77.537296599666504</v>
      </c>
      <c r="AK4326">
        <v>0.430248912273057</v>
      </c>
      <c r="AL4326">
        <v>81.370882841682999</v>
      </c>
      <c r="AM4326">
        <v>84.898672069369795</v>
      </c>
      <c r="AN4326">
        <v>0.99999999669179396</v>
      </c>
    </row>
    <row r="4327" spans="1:40" x14ac:dyDescent="0.25">
      <c r="A4327" t="str">
        <f>"20190312164355951"</f>
        <v>20190312164355951</v>
      </c>
      <c r="B4327" t="str">
        <f>"1552380235939169"</f>
        <v>1552380235939169</v>
      </c>
      <c r="C4327" t="s">
        <v>40</v>
      </c>
      <c r="D4327">
        <v>4.7445250000000003</v>
      </c>
      <c r="E4327">
        <v>0.51819510000000002</v>
      </c>
      <c r="F4327" t="s">
        <v>41</v>
      </c>
      <c r="G4327">
        <v>-364.92140000000001</v>
      </c>
      <c r="H4327">
        <v>1.0489170000000001</v>
      </c>
      <c r="I4327">
        <v>17.246500000000001</v>
      </c>
      <c r="J4327">
        <v>-365.47840000000002</v>
      </c>
      <c r="K4327">
        <v>1.107332</v>
      </c>
      <c r="L4327">
        <v>17.334779999999999</v>
      </c>
      <c r="M4327">
        <v>0.99995919999999905</v>
      </c>
      <c r="N4327">
        <v>0</v>
      </c>
      <c r="O4327">
        <v>2.9810589999999999E-3</v>
      </c>
      <c r="P4327">
        <v>0.98624230000000002</v>
      </c>
      <c r="Q4327">
        <v>0.14261670000000001</v>
      </c>
      <c r="R4327">
        <v>-8.3586380000000002E-2</v>
      </c>
      <c r="S4327">
        <v>3.0453489999999999</v>
      </c>
      <c r="T4327">
        <v>-0.23017509999999999</v>
      </c>
      <c r="U4327">
        <v>-0.34796139999999998</v>
      </c>
      <c r="V4327">
        <v>8.728785E-2</v>
      </c>
      <c r="W4327">
        <v>0.15059120000000001</v>
      </c>
      <c r="X4327">
        <v>0.98473509999999997</v>
      </c>
      <c r="Y4327">
        <v>0.11614729999999999</v>
      </c>
      <c r="Z4327">
        <v>-4.5932339999999999E-3</v>
      </c>
      <c r="AA4327">
        <v>0.99322140000000003</v>
      </c>
      <c r="AB4327">
        <v>39</v>
      </c>
      <c r="AC4327">
        <v>0.55700000000001604</v>
      </c>
      <c r="AD4327">
        <v>-5.84149999999998E-2</v>
      </c>
      <c r="AE4327">
        <v>-8.8279999999997402E-2</v>
      </c>
      <c r="AF4327">
        <v>8.8985383756265399E-2</v>
      </c>
      <c r="AG4327">
        <v>-5.84149999999998E-2</v>
      </c>
      <c r="AH4327">
        <v>0.550824489523705</v>
      </c>
      <c r="AI4327">
        <v>95.976681132857493</v>
      </c>
      <c r="AJ4327">
        <v>80.823184049840606</v>
      </c>
      <c r="AK4327">
        <v>0.56101544453455199</v>
      </c>
      <c r="AL4327">
        <v>81.338811408860593</v>
      </c>
      <c r="AM4327">
        <v>84.934487210887397</v>
      </c>
      <c r="AN4327">
        <v>1.00000004772353</v>
      </c>
    </row>
    <row r="4328" spans="1:40" x14ac:dyDescent="0.25">
      <c r="A4328" t="str">
        <f>"20190312164355964"</f>
        <v>20190312164355964</v>
      </c>
      <c r="B4328" t="str">
        <f>"1552380235959664"</f>
        <v>1552380235959664</v>
      </c>
      <c r="C4328" t="s">
        <v>40</v>
      </c>
      <c r="D4328">
        <v>4.7585660000000001</v>
      </c>
      <c r="E4328">
        <v>0.49036380000000002</v>
      </c>
      <c r="F4328" t="s">
        <v>41</v>
      </c>
      <c r="G4328">
        <v>-364.57960000000003</v>
      </c>
      <c r="H4328">
        <v>1.0395289999999999</v>
      </c>
      <c r="I4328">
        <v>17.231870000000001</v>
      </c>
      <c r="J4328">
        <v>-365.25229999999999</v>
      </c>
      <c r="K4328">
        <v>1.1073519999999999</v>
      </c>
      <c r="L4328">
        <v>17.334720000000001</v>
      </c>
      <c r="M4328">
        <v>0.99996189999999996</v>
      </c>
      <c r="N4328">
        <v>0</v>
      </c>
      <c r="O4328">
        <v>1.8865570000000001E-3</v>
      </c>
      <c r="P4328">
        <v>0.98615189999999997</v>
      </c>
      <c r="Q4328">
        <v>0.14316719999999999</v>
      </c>
      <c r="R4328">
        <v>-8.3712579999999995E-2</v>
      </c>
      <c r="S4328">
        <v>3.045563</v>
      </c>
      <c r="T4328">
        <v>-0.2297101</v>
      </c>
      <c r="U4328">
        <v>-0.34823609999999999</v>
      </c>
      <c r="V4328">
        <v>8.6330180000000006E-2</v>
      </c>
      <c r="W4328">
        <v>0.1511536</v>
      </c>
      <c r="X4328">
        <v>0.98473330000000003</v>
      </c>
      <c r="Y4328">
        <v>0.115148</v>
      </c>
      <c r="Z4328">
        <v>-4.4639509999999999E-3</v>
      </c>
      <c r="AA4328">
        <v>0.99333830000000001</v>
      </c>
      <c r="AB4328">
        <v>39</v>
      </c>
      <c r="AC4328">
        <v>0.67269999999996299</v>
      </c>
      <c r="AD4328">
        <v>-6.7822999999999897E-2</v>
      </c>
      <c r="AE4328">
        <v>-0.10285</v>
      </c>
      <c r="AF4328">
        <v>0.103094918556731</v>
      </c>
      <c r="AG4328">
        <v>-6.7822999999999897E-2</v>
      </c>
      <c r="AH4328">
        <v>0.66589054003038095</v>
      </c>
      <c r="AI4328">
        <v>95.747684415275202</v>
      </c>
      <c r="AJ4328">
        <v>81.199191921846307</v>
      </c>
      <c r="AK4328">
        <v>0.67722871532678797</v>
      </c>
      <c r="AL4328">
        <v>81.306214649086996</v>
      </c>
      <c r="AM4328">
        <v>84.989769437354497</v>
      </c>
      <c r="AN4328">
        <v>0.99999999145034102</v>
      </c>
    </row>
    <row r="4329" spans="1:40" x14ac:dyDescent="0.25">
      <c r="A4329" t="str">
        <f>"20190312164355983"</f>
        <v>20190312164355983</v>
      </c>
      <c r="B4329" t="str">
        <f>"1552380235979184"</f>
        <v>1552380235979184</v>
      </c>
      <c r="C4329" t="s">
        <v>40</v>
      </c>
      <c r="D4329">
        <v>4.7378269999999896</v>
      </c>
      <c r="E4329">
        <v>0.47715839999999998</v>
      </c>
      <c r="F4329" t="s">
        <v>41</v>
      </c>
      <c r="G4329">
        <v>-364.21710000000002</v>
      </c>
      <c r="H4329">
        <v>1.053677</v>
      </c>
      <c r="I4329">
        <v>17.289950000000001</v>
      </c>
      <c r="J4329">
        <v>-364.93610000000001</v>
      </c>
      <c r="K4329">
        <v>1.107378</v>
      </c>
      <c r="L4329">
        <v>17.334139999999898</v>
      </c>
      <c r="M4329">
        <v>0.99996350000000001</v>
      </c>
      <c r="N4329">
        <v>0</v>
      </c>
      <c r="O4329">
        <v>3.8644200000000002E-4</v>
      </c>
      <c r="P4329">
        <v>0.98610719999999996</v>
      </c>
      <c r="Q4329">
        <v>0.1435418</v>
      </c>
      <c r="R4329">
        <v>-8.3599660000000006E-2</v>
      </c>
      <c r="S4329">
        <v>3.053925</v>
      </c>
      <c r="T4329">
        <v>-0.158357</v>
      </c>
      <c r="U4329">
        <v>-0.131683299999999</v>
      </c>
      <c r="V4329">
        <v>8.4729799999999994E-2</v>
      </c>
      <c r="W4329">
        <v>0.15154709999999999</v>
      </c>
      <c r="X4329">
        <v>0.98481180000000001</v>
      </c>
      <c r="Y4329">
        <v>4.3406720000000003E-2</v>
      </c>
      <c r="Z4329">
        <v>-1.1441369999999999E-3</v>
      </c>
      <c r="AA4329">
        <v>0.99905679999999997</v>
      </c>
      <c r="AB4329">
        <v>39</v>
      </c>
      <c r="AC4329">
        <v>0.71899999999999398</v>
      </c>
      <c r="AD4329">
        <v>-5.3700999999999999E-2</v>
      </c>
      <c r="AE4329">
        <v>-4.4189999999996801E-2</v>
      </c>
      <c r="AF4329">
        <v>4.4222099906511797E-2</v>
      </c>
      <c r="AG4329">
        <v>-5.3700999999999999E-2</v>
      </c>
      <c r="AH4329">
        <v>0.71500929532004298</v>
      </c>
      <c r="AI4329">
        <v>94.286992892336102</v>
      </c>
      <c r="AJ4329">
        <v>86.460862255742995</v>
      </c>
      <c r="AK4329">
        <v>0.71838547028402899</v>
      </c>
      <c r="AL4329">
        <v>81.283405837015195</v>
      </c>
      <c r="AM4329">
        <v>85.082578891825094</v>
      </c>
      <c r="AN4329">
        <v>0.99999997197284396</v>
      </c>
    </row>
    <row r="4330" spans="1:40" x14ac:dyDescent="0.25">
      <c r="A4330" t="str">
        <f>"20190312164356005"</f>
        <v>20190312164356005</v>
      </c>
      <c r="B4330" t="str">
        <f>"1552380235999681"</f>
        <v>1552380235999681</v>
      </c>
      <c r="C4330" t="s">
        <v>40</v>
      </c>
      <c r="D4330">
        <v>4.8432890000000004</v>
      </c>
      <c r="E4330">
        <v>0.47139789999999998</v>
      </c>
      <c r="F4330" t="s">
        <v>42</v>
      </c>
      <c r="G4330">
        <v>-345.36660000000001</v>
      </c>
      <c r="H4330" s="1">
        <v>-2.4034449999999999E-6</v>
      </c>
      <c r="I4330">
        <v>17.172929999999901</v>
      </c>
      <c r="J4330">
        <v>-364.53809999999999</v>
      </c>
      <c r="K4330">
        <v>1.1074120000000001</v>
      </c>
      <c r="L4330">
        <v>17.33276</v>
      </c>
      <c r="M4330">
        <v>0.99996240000000003</v>
      </c>
      <c r="N4330">
        <v>0</v>
      </c>
      <c r="O4330">
        <v>-1.457821E-3</v>
      </c>
      <c r="P4330">
        <v>0.98612120000000003</v>
      </c>
      <c r="Q4330">
        <v>0.14402319999999999</v>
      </c>
      <c r="R4330">
        <v>-8.2597199999999996E-2</v>
      </c>
      <c r="S4330">
        <v>3.0653990000000002</v>
      </c>
      <c r="T4330">
        <v>-0.1734617</v>
      </c>
      <c r="U4330">
        <v>-2.523804E-2</v>
      </c>
      <c r="V4330">
        <v>8.1899509999999995E-2</v>
      </c>
      <c r="W4330">
        <v>0.1520552</v>
      </c>
      <c r="X4330">
        <v>0.98497299999999999</v>
      </c>
      <c r="Y4330">
        <v>6.7665919999999897E-3</v>
      </c>
      <c r="Z4330">
        <v>-1.08865E-4</v>
      </c>
      <c r="AA4330">
        <v>0.99997709999999995</v>
      </c>
      <c r="AB4330">
        <v>39</v>
      </c>
      <c r="AC4330">
        <v>19.171499999999899</v>
      </c>
      <c r="AD4330">
        <v>-1.107414403445</v>
      </c>
      <c r="AE4330">
        <v>-0.159830000000003</v>
      </c>
      <c r="AF4330">
        <v>0.13144165186458301</v>
      </c>
      <c r="AG4330">
        <v>-1.107414403445</v>
      </c>
      <c r="AH4330">
        <v>19.1079608596905</v>
      </c>
      <c r="AI4330">
        <v>93.316825830530405</v>
      </c>
      <c r="AJ4330">
        <v>89.605874578926802</v>
      </c>
      <c r="AK4330">
        <v>19.140475746027501</v>
      </c>
      <c r="AL4330">
        <v>81.253953312262794</v>
      </c>
      <c r="AM4330">
        <v>85.246847729482496</v>
      </c>
      <c r="AN4330">
        <v>1.0000000621571301</v>
      </c>
    </row>
    <row r="4331" spans="1:40" x14ac:dyDescent="0.25">
      <c r="A4331" t="str">
        <f>"20190312164356027"</f>
        <v>20190312164356027</v>
      </c>
      <c r="B4331" t="str">
        <f>"1552380236019039"</f>
        <v>1552380236019039</v>
      </c>
      <c r="C4331" t="s">
        <v>40</v>
      </c>
      <c r="D4331">
        <v>4.9786549999999998</v>
      </c>
      <c r="E4331">
        <v>0.46857710000000002</v>
      </c>
      <c r="F4331" t="s">
        <v>42</v>
      </c>
      <c r="G4331">
        <v>-346.3947</v>
      </c>
      <c r="H4331" s="1">
        <v>-1.9096950000000002E-6</v>
      </c>
      <c r="I4331">
        <v>17.470040000000001</v>
      </c>
      <c r="J4331">
        <v>-364.14190000000002</v>
      </c>
      <c r="K4331">
        <v>1.1074389999999901</v>
      </c>
      <c r="L4331">
        <v>17.330690000000001</v>
      </c>
      <c r="M4331">
        <v>0.99995800000000001</v>
      </c>
      <c r="N4331">
        <v>0</v>
      </c>
      <c r="O4331">
        <v>-3.262572E-3</v>
      </c>
      <c r="P4331">
        <v>0.98616300000000001</v>
      </c>
      <c r="Q4331">
        <v>0.1445033</v>
      </c>
      <c r="R4331">
        <v>-8.1249180000000004E-2</v>
      </c>
      <c r="S4331">
        <v>3.071564</v>
      </c>
      <c r="T4331">
        <v>-0.187477</v>
      </c>
      <c r="U4331">
        <v>2.325439E-2</v>
      </c>
      <c r="V4331">
        <v>7.8763440000000004E-2</v>
      </c>
      <c r="W4331">
        <v>0.15256229999999901</v>
      </c>
      <c r="X4331">
        <v>0.98515030000000003</v>
      </c>
      <c r="Y4331">
        <v>-1.0807020000000001E-2</v>
      </c>
      <c r="Z4331">
        <v>5.2845439999999995E-4</v>
      </c>
      <c r="AA4331">
        <v>0.99994150000000004</v>
      </c>
      <c r="AB4331">
        <v>39</v>
      </c>
      <c r="AC4331">
        <v>17.747199999999999</v>
      </c>
      <c r="AD4331">
        <v>-1.10744090969499</v>
      </c>
      <c r="AE4331">
        <v>0.13935</v>
      </c>
      <c r="AF4331">
        <v>-0.19648784890696899</v>
      </c>
      <c r="AG4331">
        <v>-1.10744090969499</v>
      </c>
      <c r="AH4331">
        <v>17.6778199950733</v>
      </c>
      <c r="AI4331">
        <v>93.584433830435898</v>
      </c>
      <c r="AJ4331">
        <v>90.636812734676994</v>
      </c>
      <c r="AK4331">
        <v>17.713564085791599</v>
      </c>
      <c r="AL4331">
        <v>81.224555304745806</v>
      </c>
      <c r="AM4331">
        <v>85.428886399878706</v>
      </c>
      <c r="AN4331">
        <v>1.0000000242260001</v>
      </c>
    </row>
    <row r="4332" spans="1:40" x14ac:dyDescent="0.25">
      <c r="A4332" t="str">
        <f>"20190312164356051"</f>
        <v>20190312164356051</v>
      </c>
      <c r="B4332" t="str">
        <f>"1552380236039535"</f>
        <v>1552380236039535</v>
      </c>
      <c r="C4332" t="s">
        <v>40</v>
      </c>
      <c r="D4332">
        <v>4.7063519999999999</v>
      </c>
      <c r="E4332">
        <v>0.46713929999999998</v>
      </c>
      <c r="F4332" t="s">
        <v>42</v>
      </c>
      <c r="G4332">
        <v>-346.17200000000003</v>
      </c>
      <c r="H4332" s="1">
        <v>-1.9796960000000002E-6</v>
      </c>
      <c r="I4332">
        <v>17.613910000000001</v>
      </c>
      <c r="J4332">
        <v>-363.74099999999999</v>
      </c>
      <c r="K4332">
        <v>1.1074600000000001</v>
      </c>
      <c r="L4332">
        <v>17.32788</v>
      </c>
      <c r="M4332">
        <v>0.99995060000000002</v>
      </c>
      <c r="N4332">
        <v>0</v>
      </c>
      <c r="O4332">
        <v>-5.0626170000000002E-3</v>
      </c>
      <c r="P4332">
        <v>0.98647589999999996</v>
      </c>
      <c r="Q4332">
        <v>0.1437504</v>
      </c>
      <c r="R4332">
        <v>-7.8748600000000002E-2</v>
      </c>
      <c r="S4332">
        <v>3.0738530000000002</v>
      </c>
      <c r="T4332">
        <v>-0.1894332</v>
      </c>
      <c r="U4332">
        <v>4.8461909999999997E-2</v>
      </c>
      <c r="V4332">
        <v>7.4472780000000002E-2</v>
      </c>
      <c r="W4332">
        <v>0.15184589999999901</v>
      </c>
      <c r="X4332">
        <v>0.98559459999999999</v>
      </c>
      <c r="Y4332">
        <v>-2.0776849999999999E-2</v>
      </c>
      <c r="Z4332">
        <v>9.512581E-4</v>
      </c>
      <c r="AA4332">
        <v>0.99978370000000005</v>
      </c>
      <c r="AB4332">
        <v>39</v>
      </c>
      <c r="AC4332">
        <v>17.568999999999999</v>
      </c>
      <c r="AD4332">
        <v>-1.1074619796959999</v>
      </c>
      <c r="AE4332">
        <v>0.28603000000000001</v>
      </c>
      <c r="AF4332">
        <v>-0.373491065890038</v>
      </c>
      <c r="AG4332">
        <v>-1.1074619796959999</v>
      </c>
      <c r="AH4332">
        <v>17.4978191053087</v>
      </c>
      <c r="AI4332">
        <v>93.620678734384398</v>
      </c>
      <c r="AJ4332">
        <v>91.222793114351006</v>
      </c>
      <c r="AK4332">
        <v>17.5368081775128</v>
      </c>
      <c r="AL4332">
        <v>81.266086043686499</v>
      </c>
      <c r="AM4332">
        <v>85.678869471652703</v>
      </c>
      <c r="AN4332">
        <v>1.00000004392844</v>
      </c>
    </row>
    <row r="4333" spans="1:40" x14ac:dyDescent="0.25">
      <c r="A4333" t="str">
        <f>"20190312164356072"</f>
        <v>20190312164356072</v>
      </c>
      <c r="B4333" t="str">
        <f>"1552380236069792"</f>
        <v>1552380236069792</v>
      </c>
      <c r="C4333" t="s">
        <v>40</v>
      </c>
      <c r="D4333">
        <v>4.7096989999999996</v>
      </c>
      <c r="E4333">
        <v>0.46617910000000001</v>
      </c>
      <c r="F4333" t="s">
        <v>42</v>
      </c>
      <c r="G4333">
        <v>-345.86110000000002</v>
      </c>
      <c r="H4333" s="1">
        <v>-2.0955690000000001E-6</v>
      </c>
      <c r="I4333">
        <v>17.712610000000002</v>
      </c>
      <c r="J4333">
        <v>-363.3546</v>
      </c>
      <c r="K4333">
        <v>1.1074820000000001</v>
      </c>
      <c r="L4333">
        <v>17.32452</v>
      </c>
      <c r="M4333">
        <v>0.9999403</v>
      </c>
      <c r="N4333">
        <v>0</v>
      </c>
      <c r="O4333">
        <v>-6.7730660000000003E-3</v>
      </c>
      <c r="P4333">
        <v>0.98675829999999998</v>
      </c>
      <c r="Q4333">
        <v>0.14348559999999999</v>
      </c>
      <c r="R4333">
        <v>-7.5630929999999999E-2</v>
      </c>
      <c r="S4333">
        <v>3.0741269999999998</v>
      </c>
      <c r="T4333">
        <v>-0.19040779999999999</v>
      </c>
      <c r="U4333">
        <v>6.6162109999999996E-2</v>
      </c>
      <c r="V4333">
        <v>6.9655519999999999E-2</v>
      </c>
      <c r="W4333">
        <v>0.15162300000000001</v>
      </c>
      <c r="X4333">
        <v>0.985981</v>
      </c>
      <c r="Y4333">
        <v>-2.822148E-2</v>
      </c>
      <c r="Z4333">
        <v>1.2921510000000001E-3</v>
      </c>
      <c r="AA4333">
        <v>0.99960090000000001</v>
      </c>
      <c r="AB4333">
        <v>39</v>
      </c>
      <c r="AC4333">
        <v>17.493499999999901</v>
      </c>
      <c r="AD4333">
        <v>-1.107484095569</v>
      </c>
      <c r="AE4333">
        <v>0.38809000000000099</v>
      </c>
      <c r="AF4333">
        <v>-0.50454887491380995</v>
      </c>
      <c r="AG4333">
        <v>-1.107484095569</v>
      </c>
      <c r="AH4333">
        <v>17.420683292376602</v>
      </c>
      <c r="AI4333">
        <v>93.636045523213298</v>
      </c>
      <c r="AJ4333">
        <v>91.658972930030203</v>
      </c>
      <c r="AK4333">
        <v>17.463141096675798</v>
      </c>
      <c r="AL4333">
        <v>81.279006308086906</v>
      </c>
      <c r="AM4333">
        <v>85.959001547292601</v>
      </c>
      <c r="AN4333">
        <v>0.999999978978235</v>
      </c>
    </row>
    <row r="4334" spans="1:40" x14ac:dyDescent="0.25">
      <c r="A4334" t="str">
        <f>"20190312164356094"</f>
        <v>20190312164356094</v>
      </c>
      <c r="B4334" t="str">
        <f>"1552380236089312"</f>
        <v>1552380236089312</v>
      </c>
      <c r="C4334" t="s">
        <v>40</v>
      </c>
      <c r="D4334">
        <v>4.843375</v>
      </c>
      <c r="E4334">
        <v>0.46577770000000002</v>
      </c>
      <c r="F4334" t="s">
        <v>42</v>
      </c>
      <c r="G4334">
        <v>-345.71370000000002</v>
      </c>
      <c r="H4334" s="1">
        <v>-2.1436340000000002E-6</v>
      </c>
      <c r="I4334">
        <v>17.798069999999999</v>
      </c>
      <c r="J4334">
        <v>-362.988</v>
      </c>
      <c r="K4334">
        <v>1.1075090000000001</v>
      </c>
      <c r="L4334">
        <v>17.32077</v>
      </c>
      <c r="M4334">
        <v>0.99992809999999999</v>
      </c>
      <c r="N4334">
        <v>0</v>
      </c>
      <c r="O4334">
        <v>-8.3678659999999998E-3</v>
      </c>
      <c r="P4334">
        <v>0.9869637</v>
      </c>
      <c r="Q4334">
        <v>0.14378099999999999</v>
      </c>
      <c r="R4334">
        <v>-7.2316240000000004E-2</v>
      </c>
      <c r="S4334">
        <v>3.074646</v>
      </c>
      <c r="T4334">
        <v>-0.1930239</v>
      </c>
      <c r="U4334">
        <v>8.255005E-2</v>
      </c>
      <c r="V4334">
        <v>6.4756620000000001E-2</v>
      </c>
      <c r="W4334">
        <v>0.1519624</v>
      </c>
      <c r="X4334">
        <v>0.98626270000000005</v>
      </c>
      <c r="Y4334">
        <v>-3.5117629999999997E-2</v>
      </c>
      <c r="Z4334">
        <v>1.6257940000000001E-3</v>
      </c>
      <c r="AA4334">
        <v>0.99938179999999999</v>
      </c>
      <c r="AB4334">
        <v>39</v>
      </c>
      <c r="AC4334">
        <v>17.2743</v>
      </c>
      <c r="AD4334">
        <v>-1.1075111436339999</v>
      </c>
      <c r="AE4334">
        <v>0.477300000000003</v>
      </c>
      <c r="AF4334">
        <v>-0.61929397812577602</v>
      </c>
      <c r="AG4334">
        <v>-1.1075111436339999</v>
      </c>
      <c r="AH4334">
        <v>17.199058131164101</v>
      </c>
      <c r="AI4334">
        <v>93.682021260312197</v>
      </c>
      <c r="AJ4334">
        <v>92.062183168014798</v>
      </c>
      <c r="AK4334">
        <v>17.245802578128298</v>
      </c>
      <c r="AL4334">
        <v>81.259332787079501</v>
      </c>
      <c r="AM4334">
        <v>86.243431862586405</v>
      </c>
      <c r="AN4334">
        <v>1.0000000521294301</v>
      </c>
    </row>
    <row r="4335" spans="1:40" x14ac:dyDescent="0.25">
      <c r="A4335" t="str">
        <f>"20190312164356117"</f>
        <v>20190312164356117</v>
      </c>
      <c r="B4335" t="str">
        <f>"1552380236108832"</f>
        <v>1552380236108832</v>
      </c>
      <c r="C4335" t="s">
        <v>40</v>
      </c>
      <c r="D4335">
        <v>4.7515799999999997</v>
      </c>
      <c r="E4335">
        <v>0.46552880000000002</v>
      </c>
      <c r="F4335" t="s">
        <v>42</v>
      </c>
      <c r="G4335">
        <v>-345.84019999999998</v>
      </c>
      <c r="H4335" s="1">
        <v>-2.07937E-6</v>
      </c>
      <c r="I4335">
        <v>17.85444</v>
      </c>
      <c r="J4335">
        <v>-362.56810000000002</v>
      </c>
      <c r="K4335">
        <v>1.1075549999999901</v>
      </c>
      <c r="L4335">
        <v>17.315799999999999</v>
      </c>
      <c r="M4335">
        <v>0.99991140000000001</v>
      </c>
      <c r="N4335">
        <v>0</v>
      </c>
      <c r="O4335">
        <v>-1.014643E-2</v>
      </c>
      <c r="P4335">
        <v>0.98713859999999998</v>
      </c>
      <c r="Q4335">
        <v>0.144307399999999</v>
      </c>
      <c r="R4335">
        <v>-6.8796830000000003E-2</v>
      </c>
      <c r="S4335">
        <v>3.0755919999999999</v>
      </c>
      <c r="T4335">
        <v>-0.19864029999999999</v>
      </c>
      <c r="U4335">
        <v>9.5733639999999995E-2</v>
      </c>
      <c r="V4335">
        <v>5.9466770000000002E-2</v>
      </c>
      <c r="W4335">
        <v>0.1525416</v>
      </c>
      <c r="X4335">
        <v>0.98650629999999995</v>
      </c>
      <c r="Y4335">
        <v>-4.1145349999999997E-2</v>
      </c>
      <c r="Z4335">
        <v>1.9815240000000001E-3</v>
      </c>
      <c r="AA4335">
        <v>0.99915120000000002</v>
      </c>
      <c r="AB4335">
        <v>39</v>
      </c>
      <c r="AC4335">
        <v>16.727900000000002</v>
      </c>
      <c r="AD4335">
        <v>-1.10755707936999</v>
      </c>
      <c r="AE4335">
        <v>0.53864000000000001</v>
      </c>
      <c r="AF4335">
        <v>-0.70525853746628597</v>
      </c>
      <c r="AG4335">
        <v>-1.10755707936999</v>
      </c>
      <c r="AH4335">
        <v>16.6486647733086</v>
      </c>
      <c r="AI4335">
        <v>93.802609422977497</v>
      </c>
      <c r="AJ4335">
        <v>92.425671583444796</v>
      </c>
      <c r="AK4335">
        <v>16.7003626015347</v>
      </c>
      <c r="AL4335">
        <v>81.225754789734594</v>
      </c>
      <c r="AM4335">
        <v>86.550374782839398</v>
      </c>
      <c r="AN4335">
        <v>0.99999995820223997</v>
      </c>
    </row>
    <row r="4336" spans="1:40" x14ac:dyDescent="0.25">
      <c r="A4336" t="str">
        <f>"20190312164356139"</f>
        <v>20190312164356139</v>
      </c>
      <c r="B4336" t="str">
        <f>"1552380236128859"</f>
        <v>1552380236128859</v>
      </c>
      <c r="C4336" t="s">
        <v>40</v>
      </c>
      <c r="D4336">
        <v>4.7194229999999999</v>
      </c>
      <c r="E4336">
        <v>0.465223</v>
      </c>
      <c r="F4336" t="s">
        <v>42</v>
      </c>
      <c r="G4336">
        <v>-345.6884</v>
      </c>
      <c r="H4336" s="1">
        <v>-2.1346409999999999E-6</v>
      </c>
      <c r="I4336">
        <v>17.910019999999999</v>
      </c>
      <c r="J4336">
        <v>-362.18200000000002</v>
      </c>
      <c r="K4336">
        <v>1.107605</v>
      </c>
      <c r="L4336">
        <v>17.31061</v>
      </c>
      <c r="M4336">
        <v>0.99989410000000001</v>
      </c>
      <c r="N4336">
        <v>0</v>
      </c>
      <c r="O4336">
        <v>-1.1717409999999999E-2</v>
      </c>
      <c r="P4336">
        <v>0.987348</v>
      </c>
      <c r="Q4336">
        <v>0.1444809</v>
      </c>
      <c r="R4336">
        <v>-6.5339309999999998E-2</v>
      </c>
      <c r="S4336">
        <v>3.0761720000000001</v>
      </c>
      <c r="T4336">
        <v>-0.20184150000000001</v>
      </c>
      <c r="U4336">
        <v>0.1083069</v>
      </c>
      <c r="V4336">
        <v>5.4437340000000001E-2</v>
      </c>
      <c r="W4336">
        <v>0.15276870000000001</v>
      </c>
      <c r="X4336">
        <v>0.98676149999999996</v>
      </c>
      <c r="Y4336">
        <v>-4.6769089999999999E-2</v>
      </c>
      <c r="Z4336">
        <v>2.3000680000000002E-3</v>
      </c>
      <c r="AA4336">
        <v>0.99890310000000004</v>
      </c>
      <c r="AB4336">
        <v>39</v>
      </c>
      <c r="AC4336">
        <v>16.493599999999901</v>
      </c>
      <c r="AD4336">
        <v>-1.1076071346409999</v>
      </c>
      <c r="AE4336">
        <v>0.599410000000002</v>
      </c>
      <c r="AF4336">
        <v>-0.78908453594281402</v>
      </c>
      <c r="AG4336">
        <v>-1.1076071346409999</v>
      </c>
      <c r="AH4336">
        <v>16.411531557080401</v>
      </c>
      <c r="AI4336">
        <v>93.8565705161068</v>
      </c>
      <c r="AJ4336">
        <v>92.752724328600294</v>
      </c>
      <c r="AK4336">
        <v>16.467781150434799</v>
      </c>
      <c r="AL4336">
        <v>81.212588785861101</v>
      </c>
      <c r="AM4336">
        <v>86.842325761355298</v>
      </c>
      <c r="AN4336">
        <v>0.99999997878410696</v>
      </c>
    </row>
    <row r="4337" spans="1:40" x14ac:dyDescent="0.25">
      <c r="A4337" t="str">
        <f>"20190312164356161"</f>
        <v>20190312164356161</v>
      </c>
      <c r="B4337" t="str">
        <f>"1552380236149355"</f>
        <v>1552380236149355</v>
      </c>
      <c r="C4337" t="s">
        <v>40</v>
      </c>
      <c r="D4337">
        <v>4.8794469999999999</v>
      </c>
      <c r="E4337">
        <v>0.46486060000000001</v>
      </c>
      <c r="F4337" t="s">
        <v>42</v>
      </c>
      <c r="G4337">
        <v>-345.5163</v>
      </c>
      <c r="H4337" s="1">
        <v>-2.198386E-6</v>
      </c>
      <c r="I4337">
        <v>17.96686</v>
      </c>
      <c r="J4337">
        <v>-361.80020000000002</v>
      </c>
      <c r="K4337">
        <v>1.1076779999999999</v>
      </c>
      <c r="L4337">
        <v>17.304929999999999</v>
      </c>
      <c r="M4337">
        <v>0.99987550000000003</v>
      </c>
      <c r="N4337">
        <v>0</v>
      </c>
      <c r="O4337">
        <v>-1.318449E-2</v>
      </c>
      <c r="P4337">
        <v>0.98749960000000003</v>
      </c>
      <c r="Q4337">
        <v>0.1448005</v>
      </c>
      <c r="R4337">
        <v>-6.2269430000000001E-2</v>
      </c>
      <c r="S4337">
        <v>3.0763850000000001</v>
      </c>
      <c r="T4337">
        <v>-0.2044569</v>
      </c>
      <c r="U4337">
        <v>0.12115480000000001</v>
      </c>
      <c r="V4337">
        <v>4.9892680000000002E-2</v>
      </c>
      <c r="W4337">
        <v>0.15315090000000001</v>
      </c>
      <c r="X4337">
        <v>0.98694249999999994</v>
      </c>
      <c r="Y4337">
        <v>-5.2378609999999999E-2</v>
      </c>
      <c r="Z4337">
        <v>2.6129640000000002E-3</v>
      </c>
      <c r="AA4337">
        <v>0.99862390000000001</v>
      </c>
      <c r="AB4337">
        <v>39</v>
      </c>
      <c r="AC4337">
        <v>16.283899999999999</v>
      </c>
      <c r="AD4337">
        <v>-1.1076801983859901</v>
      </c>
      <c r="AE4337">
        <v>0.66193000000000102</v>
      </c>
      <c r="AF4337">
        <v>-0.87254472622696899</v>
      </c>
      <c r="AG4337">
        <v>-1.1076801983859901</v>
      </c>
      <c r="AH4337">
        <v>16.198926045287202</v>
      </c>
      <c r="AI4337">
        <v>93.906142795851096</v>
      </c>
      <c r="AJ4337">
        <v>93.083220739390796</v>
      </c>
      <c r="AK4337">
        <v>16.260181264114099</v>
      </c>
      <c r="AL4337">
        <v>81.190429659683204</v>
      </c>
      <c r="AM4337">
        <v>87.106003079226198</v>
      </c>
      <c r="AN4337">
        <v>0.99999998799732104</v>
      </c>
    </row>
    <row r="4338" spans="1:40" x14ac:dyDescent="0.25">
      <c r="A4338" t="str">
        <f>"20190312164356184"</f>
        <v>20190312164356184</v>
      </c>
      <c r="B4338" t="str">
        <f>"1552380236179611"</f>
        <v>1552380236179611</v>
      </c>
      <c r="C4338" t="s">
        <v>40</v>
      </c>
      <c r="D4338">
        <v>4.8011429999999997</v>
      </c>
      <c r="E4338">
        <v>0.42288559999999997</v>
      </c>
      <c r="F4338" t="s">
        <v>42</v>
      </c>
      <c r="G4338">
        <v>-344.99829999999997</v>
      </c>
      <c r="H4338" s="1">
        <v>-2.4088230000000001E-6</v>
      </c>
      <c r="I4338">
        <v>18.033280000000001</v>
      </c>
      <c r="J4338">
        <v>-361.39980000000003</v>
      </c>
      <c r="K4338">
        <v>1.1077809999999999</v>
      </c>
      <c r="L4338">
        <v>17.298459999999999</v>
      </c>
      <c r="M4338">
        <v>0.99985570000000001</v>
      </c>
      <c r="N4338">
        <v>0</v>
      </c>
      <c r="O4338">
        <v>-1.4593419999999999E-2</v>
      </c>
      <c r="P4338">
        <v>0.98776850000000005</v>
      </c>
      <c r="Q4338">
        <v>0.14435120000000001</v>
      </c>
      <c r="R4338">
        <v>-5.8963059999999998E-2</v>
      </c>
      <c r="S4338">
        <v>3.076111</v>
      </c>
      <c r="T4338">
        <v>-0.20279459999999999</v>
      </c>
      <c r="U4338">
        <v>0.1333618</v>
      </c>
      <c r="V4338">
        <v>4.5153390000000002E-2</v>
      </c>
      <c r="W4338">
        <v>0.152781</v>
      </c>
      <c r="X4338">
        <v>0.98722799999999999</v>
      </c>
      <c r="Y4338">
        <v>-5.7732279999999997E-2</v>
      </c>
      <c r="Z4338">
        <v>2.8607400000000001E-3</v>
      </c>
      <c r="AA4338">
        <v>0.99832799999999999</v>
      </c>
      <c r="AB4338">
        <v>39</v>
      </c>
      <c r="AC4338">
        <v>16.401499999999999</v>
      </c>
      <c r="AD4338">
        <v>-1.1077834088230001</v>
      </c>
      <c r="AE4338">
        <v>0.73481999999999503</v>
      </c>
      <c r="AF4338">
        <v>-0.96969003575477497</v>
      </c>
      <c r="AG4338">
        <v>-1.1077834088230001</v>
      </c>
      <c r="AH4338">
        <v>16.314752700942002</v>
      </c>
      <c r="AI4338">
        <v>93.877639792042999</v>
      </c>
      <c r="AJ4338">
        <v>93.401452753325998</v>
      </c>
      <c r="AK4338">
        <v>16.381045099113699</v>
      </c>
      <c r="AL4338">
        <v>81.211875805042695</v>
      </c>
      <c r="AM4338">
        <v>87.381256473197595</v>
      </c>
      <c r="AN4338">
        <v>0.99999999328674605</v>
      </c>
    </row>
    <row r="4339" spans="1:40" x14ac:dyDescent="0.25">
      <c r="A4339" t="str">
        <f>"20190312164356197"</f>
        <v>20190312164356197</v>
      </c>
      <c r="B4339" t="str">
        <f>"1552380236189371"</f>
        <v>1552380236189371</v>
      </c>
      <c r="C4339" t="s">
        <v>40</v>
      </c>
      <c r="D4339">
        <v>4.7783369999999996</v>
      </c>
      <c r="E4339">
        <v>0.42090060000000001</v>
      </c>
      <c r="F4339" t="s">
        <v>42</v>
      </c>
      <c r="G4339">
        <v>-337.63580000000002</v>
      </c>
      <c r="H4339" s="1">
        <v>-1.353084E-6</v>
      </c>
      <c r="I4339">
        <v>20.956299999999999</v>
      </c>
      <c r="J4339">
        <v>-361.16120000000001</v>
      </c>
      <c r="K4339">
        <v>1.1078520000000001</v>
      </c>
      <c r="L4339">
        <v>17.2944</v>
      </c>
      <c r="M4339">
        <v>0.99984390000000001</v>
      </c>
      <c r="N4339">
        <v>0</v>
      </c>
      <c r="O4339">
        <v>-1.5363160000000001E-2</v>
      </c>
      <c r="P4339">
        <v>0.98788719999999997</v>
      </c>
      <c r="Q4339">
        <v>0.14404439999999999</v>
      </c>
      <c r="R4339">
        <v>-5.7711650000000003E-2</v>
      </c>
      <c r="S4339">
        <v>3.0865170000000002</v>
      </c>
      <c r="T4339">
        <v>-0.14388099999999901</v>
      </c>
      <c r="U4339">
        <v>0.47509770000000001</v>
      </c>
      <c r="V4339">
        <v>4.311367E-2</v>
      </c>
      <c r="W4339">
        <v>0.15252370000000001</v>
      </c>
      <c r="X4339">
        <v>0.98735899999999999</v>
      </c>
      <c r="Y4339">
        <v>-0.16710829999999999</v>
      </c>
      <c r="Z4339">
        <v>4.581903E-3</v>
      </c>
      <c r="AA4339">
        <v>0.98592789999999997</v>
      </c>
      <c r="AB4339">
        <v>40</v>
      </c>
      <c r="AC4339">
        <v>23.525399999999902</v>
      </c>
      <c r="AD4339">
        <v>-1.107853353084</v>
      </c>
      <c r="AE4339">
        <v>3.6618999999999899</v>
      </c>
      <c r="AF4339">
        <v>-4.0142145502943896</v>
      </c>
      <c r="AG4339">
        <v>-1.107853353084</v>
      </c>
      <c r="AH4339">
        <v>23.4156637632944</v>
      </c>
      <c r="AI4339">
        <v>92.669894627975296</v>
      </c>
      <c r="AJ4339">
        <v>99.727818067620206</v>
      </c>
      <c r="AK4339">
        <v>23.783073118993599</v>
      </c>
      <c r="AL4339">
        <v>81.226793173236004</v>
      </c>
      <c r="AM4339">
        <v>87.499730962577502</v>
      </c>
      <c r="AN4339">
        <v>1.0000000312417701</v>
      </c>
    </row>
    <row r="4340" spans="1:40" x14ac:dyDescent="0.25">
      <c r="A4340" t="str">
        <f>"20190312164356217"</f>
        <v>20190312164356217</v>
      </c>
      <c r="B4340" t="str">
        <f>"1552380236208891"</f>
        <v>1552380236208891</v>
      </c>
      <c r="C4340" t="s">
        <v>40</v>
      </c>
      <c r="D4340">
        <v>4.7692180000000004</v>
      </c>
      <c r="E4340">
        <v>0.41946820000000001</v>
      </c>
      <c r="F4340" t="s">
        <v>42</v>
      </c>
      <c r="G4340">
        <v>-339.16320000000002</v>
      </c>
      <c r="H4340" s="1">
        <v>-6.6246659999999902E-7</v>
      </c>
      <c r="I4340">
        <v>20.823309999999999</v>
      </c>
      <c r="J4340">
        <v>-360.80020000000002</v>
      </c>
      <c r="K4340">
        <v>1.107958</v>
      </c>
      <c r="L4340">
        <v>17.288019999999999</v>
      </c>
      <c r="M4340">
        <v>0.99982610000000005</v>
      </c>
      <c r="N4340">
        <v>0</v>
      </c>
      <c r="O4340">
        <v>-1.6444819999999999E-2</v>
      </c>
      <c r="P4340">
        <v>0.98813629999999997</v>
      </c>
      <c r="Q4340">
        <v>0.14354239999999999</v>
      </c>
      <c r="R4340">
        <v>-5.4611180000000002E-2</v>
      </c>
      <c r="S4340">
        <v>3.088409</v>
      </c>
      <c r="T4340">
        <v>-0.15553699999999901</v>
      </c>
      <c r="U4340">
        <v>0.49545289999999997</v>
      </c>
      <c r="V4340">
        <v>3.8900450000000003E-2</v>
      </c>
      <c r="W4340">
        <v>0.15210279999999901</v>
      </c>
      <c r="X4340">
        <v>0.9875988</v>
      </c>
      <c r="Y4340">
        <v>-0.17437849999999999</v>
      </c>
      <c r="Z4340">
        <v>5.1830690000000002E-3</v>
      </c>
      <c r="AA4340">
        <v>0.98466500000000001</v>
      </c>
      <c r="AB4340">
        <v>40</v>
      </c>
      <c r="AC4340">
        <v>21.636999999999901</v>
      </c>
      <c r="AD4340">
        <v>-1.1079586624666</v>
      </c>
      <c r="AE4340">
        <v>3.5352899999999998</v>
      </c>
      <c r="AF4340">
        <v>-3.8807310737920901</v>
      </c>
      <c r="AG4340">
        <v>-1.1079586624666</v>
      </c>
      <c r="AH4340">
        <v>21.520971154639302</v>
      </c>
      <c r="AI4340">
        <v>92.900444981410502</v>
      </c>
      <c r="AJ4340">
        <v>100.221911326907</v>
      </c>
      <c r="AK4340">
        <v>21.896114849526299</v>
      </c>
      <c r="AL4340">
        <v>81.251192933026502</v>
      </c>
      <c r="AM4340">
        <v>87.744347188128501</v>
      </c>
      <c r="AN4340">
        <v>0.99999994826973904</v>
      </c>
    </row>
    <row r="4341" spans="1:40" x14ac:dyDescent="0.25">
      <c r="A4341" t="str">
        <f>"20190312164356240"</f>
        <v>20190312164356240</v>
      </c>
      <c r="B4341" t="str">
        <f>"1552380236229391"</f>
        <v>1552380236229391</v>
      </c>
      <c r="C4341" t="s">
        <v>40</v>
      </c>
      <c r="D4341">
        <v>4.7887519999999997</v>
      </c>
      <c r="E4341">
        <v>0.41910409999999998</v>
      </c>
      <c r="F4341" t="s">
        <v>42</v>
      </c>
      <c r="G4341">
        <v>-341.13240000000002</v>
      </c>
      <c r="H4341" s="1">
        <v>-4.0427500000000004E-6</v>
      </c>
      <c r="I4341">
        <v>20.579360000000001</v>
      </c>
      <c r="J4341">
        <v>-360.40429999999998</v>
      </c>
      <c r="K4341">
        <v>1.1080970000000001</v>
      </c>
      <c r="L4341">
        <v>17.2807</v>
      </c>
      <c r="M4341">
        <v>0.99980769999999997</v>
      </c>
      <c r="N4341">
        <v>0</v>
      </c>
      <c r="O4341">
        <v>-1.7487820000000001E-2</v>
      </c>
      <c r="P4341">
        <v>0.98846389999999995</v>
      </c>
      <c r="Q4341">
        <v>0.1429581</v>
      </c>
      <c r="R4341">
        <v>-5.002471E-2</v>
      </c>
      <c r="S4341">
        <v>3.089874</v>
      </c>
      <c r="T4341">
        <v>-0.17406340000000001</v>
      </c>
      <c r="U4341">
        <v>0.51708980000000004</v>
      </c>
      <c r="V4341">
        <v>3.3230040000000002E-2</v>
      </c>
      <c r="W4341">
        <v>0.15162870000000001</v>
      </c>
      <c r="X4341">
        <v>0.98787879999999995</v>
      </c>
      <c r="Y4341">
        <v>-0.1819701</v>
      </c>
      <c r="Z4341">
        <v>6.0641100000000002E-3</v>
      </c>
      <c r="AA4341">
        <v>0.98328539999999998</v>
      </c>
      <c r="AB4341">
        <v>40</v>
      </c>
      <c r="AC4341">
        <v>19.271899999999899</v>
      </c>
      <c r="AD4341">
        <v>-1.10810104275</v>
      </c>
      <c r="AE4341">
        <v>3.2986599999999999</v>
      </c>
      <c r="AF4341">
        <v>-3.6235536291530801</v>
      </c>
      <c r="AG4341">
        <v>-1.10810104275</v>
      </c>
      <c r="AH4341">
        <v>19.149755923739001</v>
      </c>
      <c r="AI4341">
        <v>93.254111651300704</v>
      </c>
      <c r="AJ4341">
        <v>100.714933677768</v>
      </c>
      <c r="AK4341">
        <v>19.521044561269498</v>
      </c>
      <c r="AL4341">
        <v>81.278676182149596</v>
      </c>
      <c r="AM4341">
        <v>88.073424159576902</v>
      </c>
      <c r="AN4341">
        <v>1.0000000108557601</v>
      </c>
    </row>
    <row r="4342" spans="1:40" x14ac:dyDescent="0.25">
      <c r="A4342" t="str">
        <f>"20190312164356263"</f>
        <v>20190312164356263</v>
      </c>
      <c r="B4342" t="str">
        <f>"1552380236259644"</f>
        <v>1552380236259644</v>
      </c>
      <c r="C4342" t="s">
        <v>40</v>
      </c>
      <c r="D4342">
        <v>4.7686960000000003</v>
      </c>
      <c r="E4342">
        <v>0.41917939999999998</v>
      </c>
      <c r="F4342" t="s">
        <v>42</v>
      </c>
      <c r="G4342">
        <v>-342.1103</v>
      </c>
      <c r="H4342" s="1">
        <v>-3.5873630000000002E-6</v>
      </c>
      <c r="I4342">
        <v>20.44462</v>
      </c>
      <c r="J4342">
        <v>-359.99079999999998</v>
      </c>
      <c r="K4342">
        <v>1.108255</v>
      </c>
      <c r="L4342">
        <v>17.27271</v>
      </c>
      <c r="M4342">
        <v>0.99979070000000003</v>
      </c>
      <c r="N4342">
        <v>0</v>
      </c>
      <c r="O4342">
        <v>-1.8386099999999999E-2</v>
      </c>
      <c r="P4342">
        <v>0.98869039999999997</v>
      </c>
      <c r="Q4342">
        <v>0.1420544</v>
      </c>
      <c r="R4342">
        <v>-4.8084559999999998E-2</v>
      </c>
      <c r="S4342">
        <v>3.0891109999999999</v>
      </c>
      <c r="T4342">
        <v>-0.1871129</v>
      </c>
      <c r="U4342">
        <v>0.53427119999999995</v>
      </c>
      <c r="V4342">
        <v>3.0342520000000001E-2</v>
      </c>
      <c r="W4342">
        <v>0.15084719999999999</v>
      </c>
      <c r="X4342">
        <v>0.98809130000000001</v>
      </c>
      <c r="Y4342">
        <v>-0.18814420000000001</v>
      </c>
      <c r="Z4342">
        <v>6.7559769999999998E-3</v>
      </c>
      <c r="AA4342">
        <v>0.98211820000000005</v>
      </c>
      <c r="AB4342">
        <v>40</v>
      </c>
      <c r="AC4342">
        <v>17.880499999999898</v>
      </c>
      <c r="AD4342">
        <v>-1.108258587363</v>
      </c>
      <c r="AE4342">
        <v>3.17191</v>
      </c>
      <c r="AF4342">
        <v>-3.4871518173366298</v>
      </c>
      <c r="AG4342">
        <v>-1.108258587363</v>
      </c>
      <c r="AH4342">
        <v>17.753034871256801</v>
      </c>
      <c r="AI4342">
        <v>93.505324268294103</v>
      </c>
      <c r="AJ4342">
        <v>101.112880622007</v>
      </c>
      <c r="AK4342">
        <v>18.126188568854602</v>
      </c>
      <c r="AL4342">
        <v>81.323973621582198</v>
      </c>
      <c r="AM4342">
        <v>88.241101626942097</v>
      </c>
      <c r="AN4342">
        <v>0.99999998170173998</v>
      </c>
    </row>
    <row r="4343" spans="1:40" x14ac:dyDescent="0.25">
      <c r="A4343" t="str">
        <f>"20190312164356285"</f>
        <v>20190312164356285</v>
      </c>
      <c r="B4343" t="str">
        <f>"1552380236279163"</f>
        <v>1552380236279163</v>
      </c>
      <c r="C4343" t="s">
        <v>40</v>
      </c>
      <c r="D4343">
        <v>4.7627519999999999</v>
      </c>
      <c r="E4343">
        <v>0.419267</v>
      </c>
      <c r="F4343" t="s">
        <v>42</v>
      </c>
      <c r="G4343">
        <v>-342.5043</v>
      </c>
      <c r="H4343" s="1">
        <v>-3.3875589999999999E-6</v>
      </c>
      <c r="I4343">
        <v>20.328970000000002</v>
      </c>
      <c r="J4343">
        <v>-359.59699999999998</v>
      </c>
      <c r="K4343">
        <v>1.108411</v>
      </c>
      <c r="L4343">
        <v>17.264890000000001</v>
      </c>
      <c r="M4343">
        <v>0.99977689999999997</v>
      </c>
      <c r="N4343">
        <v>0</v>
      </c>
      <c r="O4343">
        <v>-1.9064390000000001E-2</v>
      </c>
      <c r="P4343">
        <v>0.98892840000000004</v>
      </c>
      <c r="Q4343">
        <v>0.1409627</v>
      </c>
      <c r="R4343">
        <v>-4.6371349999999999E-2</v>
      </c>
      <c r="S4343">
        <v>3.0887150000000001</v>
      </c>
      <c r="T4343">
        <v>-0.19575629999999999</v>
      </c>
      <c r="U4343">
        <v>0.539856</v>
      </c>
      <c r="V4343">
        <v>2.7898349999999999E-2</v>
      </c>
      <c r="W4343">
        <v>0.1498845</v>
      </c>
      <c r="X4343">
        <v>0.98830980000000002</v>
      </c>
      <c r="Y4343">
        <v>-0.19051409999999999</v>
      </c>
      <c r="Z4343">
        <v>7.184391E-3</v>
      </c>
      <c r="AA4343">
        <v>0.98165820000000004</v>
      </c>
      <c r="AB4343">
        <v>40</v>
      </c>
      <c r="AC4343">
        <v>17.092699999999901</v>
      </c>
      <c r="AD4343">
        <v>-1.108414387559</v>
      </c>
      <c r="AE4343">
        <v>3.0640800000000001</v>
      </c>
      <c r="AF4343">
        <v>-3.3756452721293901</v>
      </c>
      <c r="AG4343">
        <v>-1.108414387559</v>
      </c>
      <c r="AH4343">
        <v>16.962068537657</v>
      </c>
      <c r="AI4343">
        <v>93.667060822285904</v>
      </c>
      <c r="AJ4343">
        <v>101.255458951053</v>
      </c>
      <c r="AK4343">
        <v>17.3301855885611</v>
      </c>
      <c r="AL4343">
        <v>81.379766521932694</v>
      </c>
      <c r="AM4343">
        <v>88.383064357088401</v>
      </c>
      <c r="AN4343">
        <v>0.999999971024505</v>
      </c>
    </row>
    <row r="4344" spans="1:40" x14ac:dyDescent="0.25">
      <c r="A4344" t="str">
        <f>"20190312164356307"</f>
        <v>20190312164356307</v>
      </c>
      <c r="B4344" t="str">
        <f>"1552380236299661"</f>
        <v>1552380236299661</v>
      </c>
      <c r="C4344" t="s">
        <v>40</v>
      </c>
      <c r="D4344">
        <v>4.69625</v>
      </c>
      <c r="E4344">
        <v>0.41963020000000001</v>
      </c>
      <c r="F4344" t="s">
        <v>42</v>
      </c>
      <c r="G4344">
        <v>-342.78160000000003</v>
      </c>
      <c r="H4344" s="1">
        <v>-3.242483E-6</v>
      </c>
      <c r="I4344">
        <v>20.230720000000002</v>
      </c>
      <c r="J4344">
        <v>-359.20609999999999</v>
      </c>
      <c r="K4344">
        <v>1.1085609999999999</v>
      </c>
      <c r="L4344">
        <v>17.256959999999999</v>
      </c>
      <c r="M4344">
        <v>0.99976560000000003</v>
      </c>
      <c r="N4344">
        <v>0</v>
      </c>
      <c r="O4344">
        <v>-1.9600960000000001E-2</v>
      </c>
      <c r="P4344">
        <v>0.98912940000000005</v>
      </c>
      <c r="Q4344">
        <v>0.13999239999999999</v>
      </c>
      <c r="R4344">
        <v>-4.5003349999999998E-2</v>
      </c>
      <c r="S4344">
        <v>3.088104</v>
      </c>
      <c r="T4344">
        <v>-0.20355609999999999</v>
      </c>
      <c r="U4344">
        <v>0.54467769999999904</v>
      </c>
      <c r="V4344">
        <v>2.5943580000000001E-2</v>
      </c>
      <c r="W4344">
        <v>0.14904200000000001</v>
      </c>
      <c r="X4344">
        <v>0.98849050000000005</v>
      </c>
      <c r="Y4344">
        <v>-0.19252179999999999</v>
      </c>
      <c r="Z4344">
        <v>7.5711939999999998E-3</v>
      </c>
      <c r="AA4344">
        <v>0.98126349999999996</v>
      </c>
      <c r="AB4344">
        <v>40</v>
      </c>
      <c r="AC4344">
        <v>16.424499999999899</v>
      </c>
      <c r="AD4344">
        <v>-1.108564242483</v>
      </c>
      <c r="AE4344">
        <v>2.97376</v>
      </c>
      <c r="AF4344">
        <v>-3.2806674628685002</v>
      </c>
      <c r="AG4344">
        <v>-1.108564242483</v>
      </c>
      <c r="AH4344">
        <v>16.291194162409202</v>
      </c>
      <c r="AI4344">
        <v>93.816415131573507</v>
      </c>
      <c r="AJ4344">
        <v>101.38575947974699</v>
      </c>
      <c r="AK4344">
        <v>16.6551703959747</v>
      </c>
      <c r="AL4344">
        <v>81.428587092104806</v>
      </c>
      <c r="AM4344">
        <v>88.496579913769395</v>
      </c>
      <c r="AN4344">
        <v>1.00000002784873</v>
      </c>
    </row>
    <row r="4345" spans="1:40" x14ac:dyDescent="0.25">
      <c r="A4345" t="str">
        <f>"20190312164356328"</f>
        <v>20190312164356328</v>
      </c>
      <c r="B4345" t="str">
        <f>"1552380236319687"</f>
        <v>1552380236319687</v>
      </c>
      <c r="C4345" t="s">
        <v>40</v>
      </c>
      <c r="D4345">
        <v>4.7452239999999897</v>
      </c>
      <c r="E4345">
        <v>0.41982000000000003</v>
      </c>
      <c r="F4345" t="s">
        <v>42</v>
      </c>
      <c r="G4345">
        <v>-343.0145</v>
      </c>
      <c r="H4345" s="1">
        <v>-3.1128769999999999E-6</v>
      </c>
      <c r="I4345">
        <v>20.11917</v>
      </c>
      <c r="J4345">
        <v>-358.82499999999999</v>
      </c>
      <c r="K4345">
        <v>1.1087</v>
      </c>
      <c r="L4345">
        <v>17.24915</v>
      </c>
      <c r="M4345">
        <v>0.99975650000000005</v>
      </c>
      <c r="N4345">
        <v>0</v>
      </c>
      <c r="O4345">
        <v>-2.000385E-2</v>
      </c>
      <c r="P4345">
        <v>0.98926099999999995</v>
      </c>
      <c r="Q4345">
        <v>0.1395024</v>
      </c>
      <c r="R4345">
        <v>-4.3611230000000001E-2</v>
      </c>
      <c r="S4345">
        <v>3.0877379999999999</v>
      </c>
      <c r="T4345">
        <v>-0.21140249999999999</v>
      </c>
      <c r="U4345">
        <v>0.54583740000000003</v>
      </c>
      <c r="V4345">
        <v>2.4103980000000001E-2</v>
      </c>
      <c r="W4345">
        <v>0.1486799</v>
      </c>
      <c r="X4345">
        <v>0.98859160000000001</v>
      </c>
      <c r="Y4345">
        <v>-0.1932567</v>
      </c>
      <c r="Z4345">
        <v>7.9153499999999998E-3</v>
      </c>
      <c r="AA4345">
        <v>0.98111630000000005</v>
      </c>
      <c r="AB4345">
        <v>40</v>
      </c>
      <c r="AC4345">
        <v>15.8104999999999</v>
      </c>
      <c r="AD4345">
        <v>-1.108703112877</v>
      </c>
      <c r="AE4345">
        <v>2.8700199999999998</v>
      </c>
      <c r="AF4345">
        <v>-3.1706362159788499</v>
      </c>
      <c r="AG4345">
        <v>-1.108703112877</v>
      </c>
      <c r="AH4345">
        <v>15.675298736953501</v>
      </c>
      <c r="AI4345">
        <v>93.965706448370895</v>
      </c>
      <c r="AJ4345">
        <v>101.434914080946</v>
      </c>
      <c r="AK4345">
        <v>16.031130562106899</v>
      </c>
      <c r="AL4345">
        <v>81.449567700775106</v>
      </c>
      <c r="AM4345">
        <v>88.603282946297398</v>
      </c>
      <c r="AN4345">
        <v>1.0000000330532</v>
      </c>
    </row>
    <row r="4346" spans="1:40" x14ac:dyDescent="0.25">
      <c r="A4346" t="str">
        <f>"20190312164356350"</f>
        <v>20190312164356350</v>
      </c>
      <c r="B4346" t="str">
        <f>"1552380236339207"</f>
        <v>1552380236339207</v>
      </c>
      <c r="C4346" t="s">
        <v>40</v>
      </c>
      <c r="D4346">
        <v>4.7239559999999896</v>
      </c>
      <c r="E4346">
        <v>0.4200043</v>
      </c>
      <c r="F4346" t="s">
        <v>42</v>
      </c>
      <c r="G4346">
        <v>-343.10860000000002</v>
      </c>
      <c r="H4346" s="1">
        <v>-3.0509409999999999E-6</v>
      </c>
      <c r="I4346">
        <v>20.038180000000001</v>
      </c>
      <c r="J4346">
        <v>-358.42880000000002</v>
      </c>
      <c r="K4346">
        <v>1.108833</v>
      </c>
      <c r="L4346">
        <v>17.24091</v>
      </c>
      <c r="M4346">
        <v>0.9997492</v>
      </c>
      <c r="N4346">
        <v>0</v>
      </c>
      <c r="O4346">
        <v>-2.0310430000000001E-2</v>
      </c>
      <c r="P4346">
        <v>0.98937529999999996</v>
      </c>
      <c r="Q4346">
        <v>0.13905609999999999</v>
      </c>
      <c r="R4346">
        <v>-4.2430679999999998E-2</v>
      </c>
      <c r="S4346">
        <v>3.0874329999999999</v>
      </c>
      <c r="T4346">
        <v>-0.21780050000000001</v>
      </c>
      <c r="U4346">
        <v>0.54791259999999997</v>
      </c>
      <c r="V4346">
        <v>2.257265E-2</v>
      </c>
      <c r="W4346">
        <v>0.14837049999999999</v>
      </c>
      <c r="X4346">
        <v>0.98867419999999995</v>
      </c>
      <c r="Y4346">
        <v>-0.19418079999999999</v>
      </c>
      <c r="Z4346">
        <v>8.2084080000000004E-3</v>
      </c>
      <c r="AA4346">
        <v>0.98093140000000001</v>
      </c>
      <c r="AB4346">
        <v>40</v>
      </c>
      <c r="AC4346">
        <v>15.3202</v>
      </c>
      <c r="AD4346">
        <v>-1.108836050941</v>
      </c>
      <c r="AE4346">
        <v>2.7972700000000001</v>
      </c>
      <c r="AF4346">
        <v>-3.09219083524704</v>
      </c>
      <c r="AG4346">
        <v>-1.108836050941</v>
      </c>
      <c r="AH4346">
        <v>15.183252023187899</v>
      </c>
      <c r="AI4346">
        <v>94.093178762355606</v>
      </c>
      <c r="AJ4346">
        <v>101.51131720714</v>
      </c>
      <c r="AK4346">
        <v>15.5345519262414</v>
      </c>
      <c r="AL4346">
        <v>81.467493571101699</v>
      </c>
      <c r="AM4346">
        <v>88.692093990900602</v>
      </c>
      <c r="AN4346">
        <v>1.0000000017719499</v>
      </c>
    </row>
    <row r="4347" spans="1:40" x14ac:dyDescent="0.25">
      <c r="A4347" t="str">
        <f>"20190312164356374"</f>
        <v>20190312164356374</v>
      </c>
      <c r="B4347" t="str">
        <f>"1552380236369462"</f>
        <v>1552380236369462</v>
      </c>
      <c r="C4347" t="s">
        <v>40</v>
      </c>
      <c r="D4347">
        <v>4.730791</v>
      </c>
      <c r="E4347">
        <v>0.420298</v>
      </c>
      <c r="F4347" t="s">
        <v>42</v>
      </c>
      <c r="G4347">
        <v>-342.99869999999999</v>
      </c>
      <c r="H4347" s="1">
        <v>-3.0835129999999999E-6</v>
      </c>
      <c r="I4347">
        <v>19.983429999999998</v>
      </c>
      <c r="J4347">
        <v>-358.02260000000001</v>
      </c>
      <c r="K4347">
        <v>1.1089629999999999</v>
      </c>
      <c r="L4347">
        <v>17.232389999999999</v>
      </c>
      <c r="M4347">
        <v>0.9997433</v>
      </c>
      <c r="N4347">
        <v>0</v>
      </c>
      <c r="O4347">
        <v>-2.0530280000000001E-2</v>
      </c>
      <c r="P4347">
        <v>0.98958020000000002</v>
      </c>
      <c r="Q4347">
        <v>0.1379997</v>
      </c>
      <c r="R4347">
        <v>-4.1074560000000003E-2</v>
      </c>
      <c r="S4347">
        <v>3.086884</v>
      </c>
      <c r="T4347">
        <v>-0.22182930000000001</v>
      </c>
      <c r="U4347">
        <v>0.54867549999999998</v>
      </c>
      <c r="V4347">
        <v>2.0952510000000001E-2</v>
      </c>
      <c r="W4347">
        <v>0.14745849999999999</v>
      </c>
      <c r="X4347">
        <v>0.98884629999999996</v>
      </c>
      <c r="Y4347">
        <v>-0.19464039999999999</v>
      </c>
      <c r="Z4347">
        <v>8.3931860000000004E-3</v>
      </c>
      <c r="AA4347">
        <v>0.98083880000000001</v>
      </c>
      <c r="AB4347">
        <v>40</v>
      </c>
      <c r="AC4347">
        <v>15.023899999999999</v>
      </c>
      <c r="AD4347">
        <v>-1.108966083513</v>
      </c>
      <c r="AE4347">
        <v>2.7510400000000002</v>
      </c>
      <c r="AF4347">
        <v>-3.04287810311448</v>
      </c>
      <c r="AG4347">
        <v>-1.108966083513</v>
      </c>
      <c r="AH4347">
        <v>14.885778017003201</v>
      </c>
      <c r="AI4347">
        <v>94.174560408600897</v>
      </c>
      <c r="AJ4347">
        <v>101.552962893822</v>
      </c>
      <c r="AK4347">
        <v>15.2340178579484</v>
      </c>
      <c r="AL4347">
        <v>81.520328578576397</v>
      </c>
      <c r="AM4347">
        <v>88.786150303284998</v>
      </c>
      <c r="AN4347">
        <v>1.00000001096062</v>
      </c>
    </row>
    <row r="4348" spans="1:40" x14ac:dyDescent="0.25">
      <c r="A4348" t="str">
        <f>"20190312164356396"</f>
        <v>20190312164356396</v>
      </c>
      <c r="B4348" t="str">
        <f>"1552380236388983"</f>
        <v>1552380236388983</v>
      </c>
      <c r="C4348" t="s">
        <v>40</v>
      </c>
      <c r="D4348">
        <v>4.7634220000000003</v>
      </c>
      <c r="E4348">
        <v>0.4203056</v>
      </c>
      <c r="F4348" t="s">
        <v>42</v>
      </c>
      <c r="G4348">
        <v>-343.05810000000002</v>
      </c>
      <c r="H4348" s="1">
        <v>-3.0347139999999999E-6</v>
      </c>
      <c r="I4348">
        <v>19.895659999999999</v>
      </c>
      <c r="J4348">
        <v>-357.60719999999998</v>
      </c>
      <c r="K4348">
        <v>1.1090770000000001</v>
      </c>
      <c r="L4348">
        <v>17.223659999999999</v>
      </c>
      <c r="M4348">
        <v>0.99973869999999998</v>
      </c>
      <c r="N4348">
        <v>0</v>
      </c>
      <c r="O4348">
        <v>-2.068621E-2</v>
      </c>
      <c r="P4348">
        <v>0.98987009999999998</v>
      </c>
      <c r="Q4348">
        <v>0.13643339999999901</v>
      </c>
      <c r="R4348">
        <v>-3.9278380000000002E-2</v>
      </c>
      <c r="S4348">
        <v>3.0862729999999998</v>
      </c>
      <c r="T4348">
        <v>-0.2287112</v>
      </c>
      <c r="U4348">
        <v>0.54928589999999999</v>
      </c>
      <c r="V4348">
        <v>1.895848E-2</v>
      </c>
      <c r="W4348">
        <v>0.14604200000000001</v>
      </c>
      <c r="X4348">
        <v>0.98909669999999905</v>
      </c>
      <c r="Y4348">
        <v>-0.1949794</v>
      </c>
      <c r="Z4348">
        <v>8.6783269999999996E-3</v>
      </c>
      <c r="AA4348">
        <v>0.98076890000000005</v>
      </c>
      <c r="AB4348">
        <v>40</v>
      </c>
      <c r="AC4348">
        <v>14.5490999999999</v>
      </c>
      <c r="AD4348">
        <v>-1.109080034714</v>
      </c>
      <c r="AE4348">
        <v>2.6720000000000002</v>
      </c>
      <c r="AF4348">
        <v>-2.95579237719762</v>
      </c>
      <c r="AG4348">
        <v>-1.109080034714</v>
      </c>
      <c r="AH4348">
        <v>14.409707105212499</v>
      </c>
      <c r="AI4348">
        <v>94.3118105095473</v>
      </c>
      <c r="AJ4348">
        <v>101.592003791393</v>
      </c>
      <c r="AK4348">
        <v>14.7514889403922</v>
      </c>
      <c r="AL4348">
        <v>81.602376128089603</v>
      </c>
      <c r="AM4348">
        <v>88.901919403889195</v>
      </c>
      <c r="AN4348">
        <v>0.99999998583939997</v>
      </c>
    </row>
    <row r="4349" spans="1:40" x14ac:dyDescent="0.25">
      <c r="A4349" t="str">
        <f>"20190312164356418"</f>
        <v>20190312164356418</v>
      </c>
      <c r="B4349" t="str">
        <f>"1552380236409479"</f>
        <v>1552380236409479</v>
      </c>
      <c r="C4349" t="s">
        <v>40</v>
      </c>
      <c r="D4349">
        <v>4.7297180000000001</v>
      </c>
      <c r="E4349">
        <v>0.41966599999999998</v>
      </c>
      <c r="F4349" t="s">
        <v>42</v>
      </c>
      <c r="G4349">
        <v>-343.1454</v>
      </c>
      <c r="H4349" s="1">
        <v>-2.977566E-6</v>
      </c>
      <c r="I4349">
        <v>19.8217</v>
      </c>
      <c r="J4349">
        <v>-357.2088</v>
      </c>
      <c r="K4349">
        <v>1.1091740000000001</v>
      </c>
      <c r="L4349">
        <v>17.21527</v>
      </c>
      <c r="M4349">
        <v>0.99973520000000005</v>
      </c>
      <c r="N4349">
        <v>0</v>
      </c>
      <c r="O4349">
        <v>-2.0793030000000001E-2</v>
      </c>
      <c r="P4349">
        <v>0.99006939999999999</v>
      </c>
      <c r="Q4349">
        <v>0.135466</v>
      </c>
      <c r="R4349">
        <v>-3.7571479999999997E-2</v>
      </c>
      <c r="S4349">
        <v>3.0853269999999999</v>
      </c>
      <c r="T4349">
        <v>-0.23661399999999999</v>
      </c>
      <c r="U4349">
        <v>0.55429079999999997</v>
      </c>
      <c r="V4349">
        <v>1.711238E-2</v>
      </c>
      <c r="W4349">
        <v>0.14521500000000001</v>
      </c>
      <c r="X4349">
        <v>0.98925209999999997</v>
      </c>
      <c r="Y4349">
        <v>-0.196632</v>
      </c>
      <c r="Z4349">
        <v>9.0496940000000005E-3</v>
      </c>
      <c r="AA4349">
        <v>0.98043559999999996</v>
      </c>
      <c r="AB4349">
        <v>40</v>
      </c>
      <c r="AC4349">
        <v>14.0634</v>
      </c>
      <c r="AD4349">
        <v>-1.1091769775660001</v>
      </c>
      <c r="AE4349">
        <v>2.60643</v>
      </c>
      <c r="AF4349">
        <v>-2.8809755351912401</v>
      </c>
      <c r="AG4349">
        <v>-1.1091769775660001</v>
      </c>
      <c r="AH4349">
        <v>13.9224333074207</v>
      </c>
      <c r="AI4349">
        <v>94.460924035009498</v>
      </c>
      <c r="AJ4349">
        <v>101.691232239817</v>
      </c>
      <c r="AK4349">
        <v>14.2605905488346</v>
      </c>
      <c r="AL4349">
        <v>81.650270220158703</v>
      </c>
      <c r="AM4349">
        <v>89.008979234387894</v>
      </c>
      <c r="AN4349">
        <v>0.99999997356433601</v>
      </c>
    </row>
    <row r="4350" spans="1:40" x14ac:dyDescent="0.25">
      <c r="A4350" t="str">
        <f>"20190312164356439"</f>
        <v>20190312164356439</v>
      </c>
      <c r="B4350" t="str">
        <f>"1552380236429508"</f>
        <v>1552380236429508</v>
      </c>
      <c r="C4350" t="s">
        <v>40</v>
      </c>
      <c r="D4350">
        <v>4.7176799999999997</v>
      </c>
      <c r="E4350">
        <v>0.41886180000000001</v>
      </c>
      <c r="F4350" t="s">
        <v>42</v>
      </c>
      <c r="G4350">
        <v>-342.89260000000002</v>
      </c>
      <c r="H4350" s="1">
        <v>-3.0887190000000001E-6</v>
      </c>
      <c r="I4350">
        <v>19.83193</v>
      </c>
      <c r="J4350">
        <v>-356.84210000000002</v>
      </c>
      <c r="K4350">
        <v>1.1092550000000001</v>
      </c>
      <c r="L4350">
        <v>17.20749</v>
      </c>
      <c r="M4350">
        <v>0.99973230000000002</v>
      </c>
      <c r="N4350">
        <v>0</v>
      </c>
      <c r="O4350">
        <v>-2.086847E-2</v>
      </c>
      <c r="P4350">
        <v>0.99022359999999998</v>
      </c>
      <c r="Q4350">
        <v>0.1346715</v>
      </c>
      <c r="R4350">
        <v>-3.6341640000000001E-2</v>
      </c>
      <c r="S4350">
        <v>3.0841059999999998</v>
      </c>
      <c r="T4350">
        <v>-0.23894799999999999</v>
      </c>
      <c r="U4350">
        <v>0.56372069999999996</v>
      </c>
      <c r="V4350">
        <v>1.5782609999999999E-2</v>
      </c>
      <c r="W4350">
        <v>0.14455079999999901</v>
      </c>
      <c r="X4350">
        <v>0.98937149999999996</v>
      </c>
      <c r="Y4350">
        <v>-0.19965369999999999</v>
      </c>
      <c r="Z4350">
        <v>9.2615219999999995E-3</v>
      </c>
      <c r="AA4350">
        <v>0.97982279999999999</v>
      </c>
      <c r="AB4350">
        <v>40</v>
      </c>
      <c r="AC4350">
        <v>13.9495</v>
      </c>
      <c r="AD4350">
        <v>-1.10925808871899</v>
      </c>
      <c r="AE4350">
        <v>2.6244399999999999</v>
      </c>
      <c r="AF4350">
        <v>-2.8972933537076901</v>
      </c>
      <c r="AG4350">
        <v>-1.10925808871899</v>
      </c>
      <c r="AH4350">
        <v>13.8073669259337</v>
      </c>
      <c r="AI4350">
        <v>94.495676218467196</v>
      </c>
      <c r="AJ4350">
        <v>101.850821758005</v>
      </c>
      <c r="AK4350">
        <v>14.1516127601131</v>
      </c>
      <c r="AL4350">
        <v>81.688732072809103</v>
      </c>
      <c r="AM4350">
        <v>89.086086217133698</v>
      </c>
      <c r="AN4350">
        <v>0.99999999478565105</v>
      </c>
    </row>
    <row r="4351" spans="1:40" x14ac:dyDescent="0.25">
      <c r="A4351" t="str">
        <f>"20190312164356462"</f>
        <v>20190312164356462</v>
      </c>
      <c r="B4351" t="str">
        <f>"1552380236449025"</f>
        <v>1552380236449025</v>
      </c>
      <c r="C4351" t="s">
        <v>40</v>
      </c>
      <c r="D4351">
        <v>4.6409029999999998</v>
      </c>
      <c r="E4351">
        <v>0.40378340000000001</v>
      </c>
      <c r="F4351" t="s">
        <v>42</v>
      </c>
      <c r="G4351">
        <v>-342.56900000000002</v>
      </c>
      <c r="H4351" s="1">
        <v>-3.2365470000000001E-6</v>
      </c>
      <c r="I4351">
        <v>19.86572</v>
      </c>
      <c r="J4351">
        <v>-356.43439999999998</v>
      </c>
      <c r="K4351">
        <v>1.1093249999999999</v>
      </c>
      <c r="L4351">
        <v>17.198879999999999</v>
      </c>
      <c r="M4351">
        <v>0.99972950000000005</v>
      </c>
      <c r="N4351">
        <v>0</v>
      </c>
      <c r="O4351">
        <v>-2.093919E-2</v>
      </c>
      <c r="P4351">
        <v>0.99027509999999996</v>
      </c>
      <c r="Q4351">
        <v>0.1346918</v>
      </c>
      <c r="R4351">
        <v>-3.483692E-2</v>
      </c>
      <c r="S4351">
        <v>3.0832820000000001</v>
      </c>
      <c r="T4351">
        <v>-0.2396219</v>
      </c>
      <c r="U4351">
        <v>0.57424929999999996</v>
      </c>
      <c r="V4351">
        <v>1.4187770000000001E-2</v>
      </c>
      <c r="W4351">
        <v>0.14471349999999999</v>
      </c>
      <c r="X4351">
        <v>0.98937189999999997</v>
      </c>
      <c r="Y4351">
        <v>-0.20299039999999999</v>
      </c>
      <c r="Z4351">
        <v>9.4209840000000003E-3</v>
      </c>
      <c r="AA4351">
        <v>0.97913539999999999</v>
      </c>
      <c r="AB4351">
        <v>40</v>
      </c>
      <c r="AC4351">
        <v>13.8653999999999</v>
      </c>
      <c r="AD4351">
        <v>-1.1093282365470001</v>
      </c>
      <c r="AE4351">
        <v>2.6668400000000001</v>
      </c>
      <c r="AF4351">
        <v>-2.9384619498358502</v>
      </c>
      <c r="AG4351">
        <v>-1.1093282365470001</v>
      </c>
      <c r="AH4351">
        <v>13.7218139643435</v>
      </c>
      <c r="AI4351">
        <v>94.51993869703</v>
      </c>
      <c r="AJ4351">
        <v>102.087064839072</v>
      </c>
      <c r="AK4351">
        <v>14.076695146201301</v>
      </c>
      <c r="AL4351">
        <v>81.679311229539294</v>
      </c>
      <c r="AM4351">
        <v>89.178424587519999</v>
      </c>
      <c r="AN4351">
        <v>1.0000000232047099</v>
      </c>
    </row>
    <row r="4352" spans="1:40" x14ac:dyDescent="0.25">
      <c r="A4352" t="str">
        <f>"20190312164356487"</f>
        <v>20190312164356487</v>
      </c>
      <c r="B4352" t="str">
        <f>"1552380236479281"</f>
        <v>1552380236479281</v>
      </c>
      <c r="C4352" t="s">
        <v>40</v>
      </c>
      <c r="D4352">
        <v>4.5317220000000002</v>
      </c>
      <c r="E4352">
        <v>0.40445209999999998</v>
      </c>
      <c r="F4352" t="s">
        <v>42</v>
      </c>
      <c r="G4352">
        <v>-344.44760000000002</v>
      </c>
      <c r="H4352" s="1">
        <v>-2.445749E-6</v>
      </c>
      <c r="I4352">
        <v>19.922460000000001</v>
      </c>
      <c r="J4352">
        <v>-355.99029999999999</v>
      </c>
      <c r="K4352">
        <v>1.1093930000000001</v>
      </c>
      <c r="L4352">
        <v>17.189419999999998</v>
      </c>
      <c r="M4352">
        <v>0.99972640000000002</v>
      </c>
      <c r="N4352">
        <v>0</v>
      </c>
      <c r="O4352">
        <v>-2.100962E-2</v>
      </c>
      <c r="P4352">
        <v>0.99038539999999997</v>
      </c>
      <c r="Q4352">
        <v>0.13422229999999999</v>
      </c>
      <c r="R4352">
        <v>-3.3489390000000001E-2</v>
      </c>
      <c r="S4352">
        <v>3.0931090000000001</v>
      </c>
      <c r="T4352">
        <v>-0.28625289999999998</v>
      </c>
      <c r="U4352">
        <v>0.70281979999999999</v>
      </c>
      <c r="V4352">
        <v>1.2752110000000001E-2</v>
      </c>
      <c r="W4352">
        <v>0.14440069999999999</v>
      </c>
      <c r="X4352">
        <v>0.98943709999999996</v>
      </c>
      <c r="Y4352">
        <v>-0.2409471</v>
      </c>
      <c r="Z4352">
        <v>1.2903410000000001E-2</v>
      </c>
      <c r="AA4352">
        <v>0.97045250000000005</v>
      </c>
      <c r="AB4352">
        <v>40</v>
      </c>
      <c r="AC4352">
        <v>11.5426999999999</v>
      </c>
      <c r="AD4352">
        <v>-1.1093954457490001</v>
      </c>
      <c r="AE4352">
        <v>2.7330399999999901</v>
      </c>
      <c r="AF4352">
        <v>-2.9491604056337799</v>
      </c>
      <c r="AG4352">
        <v>-1.1093954457490001</v>
      </c>
      <c r="AH4352">
        <v>11.383158248692</v>
      </c>
      <c r="AI4352">
        <v>95.389586050910296</v>
      </c>
      <c r="AJ4352">
        <v>104.524886238306</v>
      </c>
      <c r="AK4352">
        <v>11.8112064188198</v>
      </c>
      <c r="AL4352">
        <v>81.697423203812605</v>
      </c>
      <c r="AM4352">
        <v>89.261598708986497</v>
      </c>
      <c r="AN4352">
        <v>0.99999997666317497</v>
      </c>
    </row>
    <row r="4353" spans="1:40" x14ac:dyDescent="0.25">
      <c r="A4353" t="str">
        <f>"20190312164356508"</f>
        <v>20190312164356508</v>
      </c>
      <c r="B4353" t="str">
        <f>"1552380236498801"</f>
        <v>1552380236498801</v>
      </c>
      <c r="C4353" t="s">
        <v>40</v>
      </c>
      <c r="D4353">
        <v>4.5492029999999897</v>
      </c>
      <c r="E4353">
        <v>0.40440160000000003</v>
      </c>
      <c r="F4353" t="s">
        <v>42</v>
      </c>
      <c r="G4353">
        <v>-343.79629999999997</v>
      </c>
      <c r="H4353" s="1">
        <v>-2.7337289999999999E-6</v>
      </c>
      <c r="I4353">
        <v>19.954660000000001</v>
      </c>
      <c r="J4353">
        <v>-355.61430000000001</v>
      </c>
      <c r="K4353">
        <v>1.1094360000000001</v>
      </c>
      <c r="L4353">
        <v>17.181429999999999</v>
      </c>
      <c r="M4353">
        <v>0.99972380000000005</v>
      </c>
      <c r="N4353">
        <v>0</v>
      </c>
      <c r="O4353">
        <v>-2.106829E-2</v>
      </c>
      <c r="P4353">
        <v>0.99048049999999999</v>
      </c>
      <c r="Q4353">
        <v>0.13392370000000001</v>
      </c>
      <c r="R4353">
        <v>-3.1826599999999997E-2</v>
      </c>
      <c r="S4353">
        <v>3.090973</v>
      </c>
      <c r="T4353">
        <v>-0.28121109999999999</v>
      </c>
      <c r="U4353">
        <v>0.70095830000000003</v>
      </c>
      <c r="V4353">
        <v>1.101863E-2</v>
      </c>
      <c r="W4353">
        <v>0.14422939999999901</v>
      </c>
      <c r="X4353">
        <v>0.98948290000000005</v>
      </c>
      <c r="Y4353">
        <v>-0.2406297</v>
      </c>
      <c r="Z4353">
        <v>1.267743E-2</v>
      </c>
      <c r="AA4353">
        <v>0.97053420000000001</v>
      </c>
      <c r="AB4353">
        <v>40</v>
      </c>
      <c r="AC4353">
        <v>11.818</v>
      </c>
      <c r="AD4353">
        <v>-1.1094387337289999</v>
      </c>
      <c r="AE4353">
        <v>2.7732299999999999</v>
      </c>
      <c r="AF4353">
        <v>-2.99658268131394</v>
      </c>
      <c r="AG4353">
        <v>-1.1094387337289999</v>
      </c>
      <c r="AH4353">
        <v>11.659554709732801</v>
      </c>
      <c r="AI4353">
        <v>95.2653800216289</v>
      </c>
      <c r="AJ4353">
        <v>104.413450900245</v>
      </c>
      <c r="AK4353">
        <v>12.0894821270021</v>
      </c>
      <c r="AL4353">
        <v>81.7073417429838</v>
      </c>
      <c r="AM4353">
        <v>89.361995137723497</v>
      </c>
      <c r="AN4353">
        <v>0.99999996971192295</v>
      </c>
    </row>
    <row r="4354" spans="1:40" x14ac:dyDescent="0.25">
      <c r="A4354" t="str">
        <f>"20190312164356529"</f>
        <v>20190312164356529</v>
      </c>
      <c r="B4354" t="str">
        <f>"1552380236519803"</f>
        <v>1552380236519803</v>
      </c>
      <c r="C4354" t="s">
        <v>40</v>
      </c>
      <c r="D4354">
        <v>4.4758469999999999</v>
      </c>
      <c r="E4354">
        <v>0.4043002</v>
      </c>
      <c r="F4354" t="s">
        <v>42</v>
      </c>
      <c r="G4354">
        <v>-343.55160000000001</v>
      </c>
      <c r="H4354" s="1">
        <v>-2.8339979999999998E-6</v>
      </c>
      <c r="I4354">
        <v>19.937110000000001</v>
      </c>
      <c r="J4354">
        <v>-355.23020000000002</v>
      </c>
      <c r="K4354">
        <v>1.109472</v>
      </c>
      <c r="L4354">
        <v>17.173249999999999</v>
      </c>
      <c r="M4354">
        <v>0.99972119999999998</v>
      </c>
      <c r="N4354">
        <v>0</v>
      </c>
      <c r="O4354">
        <v>-2.1128950000000001E-2</v>
      </c>
      <c r="P4354">
        <v>0.99069859999999998</v>
      </c>
      <c r="Q4354">
        <v>0.1325617</v>
      </c>
      <c r="R4354">
        <v>-3.0720270000000001E-2</v>
      </c>
      <c r="S4354">
        <v>3.0899049999999999</v>
      </c>
      <c r="T4354">
        <v>-0.28418769999999999</v>
      </c>
      <c r="U4354">
        <v>0.70590209999999998</v>
      </c>
      <c r="V4354">
        <v>9.8382590000000002E-3</v>
      </c>
      <c r="W4354">
        <v>0.14299539999999999</v>
      </c>
      <c r="X4354">
        <v>0.98967439999999995</v>
      </c>
      <c r="Y4354">
        <v>-0.24220829999999999</v>
      </c>
      <c r="Z4354">
        <v>1.2890179999999999E-2</v>
      </c>
      <c r="AA4354">
        <v>0.97013870000000002</v>
      </c>
      <c r="AB4354">
        <v>40</v>
      </c>
      <c r="AC4354">
        <v>11.678599999999999</v>
      </c>
      <c r="AD4354">
        <v>-1.1094748339980001</v>
      </c>
      <c r="AE4354">
        <v>2.7638600000000002</v>
      </c>
      <c r="AF4354">
        <v>-2.9845062325747498</v>
      </c>
      <c r="AG4354">
        <v>-1.1094748339980001</v>
      </c>
      <c r="AH4354">
        <v>11.5191439933898</v>
      </c>
      <c r="AI4354">
        <v>95.326695208096396</v>
      </c>
      <c r="AJ4354">
        <v>104.525419930708</v>
      </c>
      <c r="AK4354">
        <v>11.951104141459099</v>
      </c>
      <c r="AL4354">
        <v>81.778785136308599</v>
      </c>
      <c r="AM4354">
        <v>89.430446870923603</v>
      </c>
      <c r="AN4354">
        <v>0.99999994688833405</v>
      </c>
    </row>
    <row r="4355" spans="1:40" x14ac:dyDescent="0.25">
      <c r="A4355" t="str">
        <f>"20190312164356551"</f>
        <v>20190312164356551</v>
      </c>
      <c r="B4355" t="str">
        <f>"1552380236539323"</f>
        <v>1552380236539323</v>
      </c>
      <c r="C4355" t="s">
        <v>40</v>
      </c>
      <c r="D4355">
        <v>4.4253479999999996</v>
      </c>
      <c r="E4355">
        <v>0.40436430000000001</v>
      </c>
      <c r="F4355" t="s">
        <v>42</v>
      </c>
      <c r="G4355">
        <v>-343.1601</v>
      </c>
      <c r="H4355" s="1">
        <v>-3.0044750000000001E-6</v>
      </c>
      <c r="I4355">
        <v>19.9465</v>
      </c>
      <c r="J4355">
        <v>-354.84809999999999</v>
      </c>
      <c r="K4355">
        <v>1.109499</v>
      </c>
      <c r="L4355">
        <v>17.165099999999999</v>
      </c>
      <c r="M4355">
        <v>0.99971869999999996</v>
      </c>
      <c r="N4355">
        <v>0</v>
      </c>
      <c r="O4355">
        <v>-2.1190750000000001E-2</v>
      </c>
      <c r="P4355">
        <v>0.99089349999999998</v>
      </c>
      <c r="Q4355">
        <v>0.13139429999999999</v>
      </c>
      <c r="R4355">
        <v>-2.9429750000000001E-2</v>
      </c>
      <c r="S4355">
        <v>3.088165</v>
      </c>
      <c r="T4355">
        <v>-0.28386139999999999</v>
      </c>
      <c r="U4355">
        <v>0.70956419999999998</v>
      </c>
      <c r="V4355">
        <v>8.4752549999999992E-3</v>
      </c>
      <c r="W4355">
        <v>0.1419562</v>
      </c>
      <c r="X4355">
        <v>0.98983670000000001</v>
      </c>
      <c r="Y4355">
        <v>-0.243476</v>
      </c>
      <c r="Z4355">
        <v>1.294382E-2</v>
      </c>
      <c r="AA4355">
        <v>0.96982060000000003</v>
      </c>
      <c r="AB4355">
        <v>40</v>
      </c>
      <c r="AC4355">
        <v>11.687999999999899</v>
      </c>
      <c r="AD4355">
        <v>-1.1095020044749999</v>
      </c>
      <c r="AE4355">
        <v>2.7814000000000001</v>
      </c>
      <c r="AF4355">
        <v>-3.0028581996816199</v>
      </c>
      <c r="AG4355">
        <v>-1.1095020044749999</v>
      </c>
      <c r="AH4355">
        <v>11.5281187988029</v>
      </c>
      <c r="AI4355">
        <v>95.320911547930606</v>
      </c>
      <c r="AJ4355">
        <v>104.600038044534</v>
      </c>
      <c r="AK4355">
        <v>11.9643501747752</v>
      </c>
      <c r="AL4355">
        <v>81.838941392398695</v>
      </c>
      <c r="AM4355">
        <v>89.509429711439097</v>
      </c>
      <c r="AN4355">
        <v>1.00000004266632</v>
      </c>
    </row>
    <row r="4356" spans="1:40" x14ac:dyDescent="0.25">
      <c r="A4356" t="str">
        <f>"20190312164356574"</f>
        <v>20190312164356574</v>
      </c>
      <c r="B4356" t="str">
        <f>"1552380236569579"</f>
        <v>1552380236569579</v>
      </c>
      <c r="C4356" t="s">
        <v>40</v>
      </c>
      <c r="D4356">
        <v>4.4172520000000004</v>
      </c>
      <c r="E4356">
        <v>0.40489619999999998</v>
      </c>
      <c r="F4356" t="s">
        <v>42</v>
      </c>
      <c r="G4356">
        <v>-343.06729999999999</v>
      </c>
      <c r="H4356" s="1">
        <v>-3.0281350000000002E-6</v>
      </c>
      <c r="I4356">
        <v>19.88579</v>
      </c>
      <c r="J4356">
        <v>-354.43650000000002</v>
      </c>
      <c r="K4356">
        <v>1.1095269999999999</v>
      </c>
      <c r="L4356">
        <v>17.156310000000001</v>
      </c>
      <c r="M4356">
        <v>0.99971580000000004</v>
      </c>
      <c r="N4356">
        <v>0</v>
      </c>
      <c r="O4356">
        <v>-2.1257660000000001E-2</v>
      </c>
      <c r="P4356">
        <v>0.99101419999999996</v>
      </c>
      <c r="Q4356">
        <v>0.13078290000000001</v>
      </c>
      <c r="R4356">
        <v>-2.8053290000000002E-2</v>
      </c>
      <c r="S4356">
        <v>3.0873110000000001</v>
      </c>
      <c r="T4356">
        <v>-0.29075879999999998</v>
      </c>
      <c r="U4356">
        <v>0.71301269999999894</v>
      </c>
      <c r="V4356">
        <v>7.0243569999999898E-3</v>
      </c>
      <c r="W4356">
        <v>0.14148079999999999</v>
      </c>
      <c r="X4356">
        <v>0.98991609999999997</v>
      </c>
      <c r="Y4356">
        <v>-0.2445708</v>
      </c>
      <c r="Z4356">
        <v>1.331595E-2</v>
      </c>
      <c r="AA4356">
        <v>0.96953999999999996</v>
      </c>
      <c r="AB4356">
        <v>40</v>
      </c>
      <c r="AC4356">
        <v>11.369199999999999</v>
      </c>
      <c r="AD4356">
        <v>-1.109530028135</v>
      </c>
      <c r="AE4356">
        <v>2.7294799999999899</v>
      </c>
      <c r="AF4356">
        <v>-2.9440487688682002</v>
      </c>
      <c r="AG4356">
        <v>-1.109530028135</v>
      </c>
      <c r="AH4356">
        <v>11.207680169663</v>
      </c>
      <c r="AI4356">
        <v>95.4693392743158</v>
      </c>
      <c r="AJ4356">
        <v>104.71802524623099</v>
      </c>
      <c r="AK4356">
        <v>11.6409009454709</v>
      </c>
      <c r="AL4356">
        <v>81.866457353739193</v>
      </c>
      <c r="AM4356">
        <v>89.593441045040905</v>
      </c>
      <c r="AN4356">
        <v>1.0000000216995499</v>
      </c>
    </row>
    <row r="4357" spans="1:40" x14ac:dyDescent="0.25">
      <c r="A4357" t="str">
        <f>"20190312164356596"</f>
        <v>20190312164356596</v>
      </c>
      <c r="B4357" t="str">
        <f>"1552380236589103"</f>
        <v>1552380236589103</v>
      </c>
      <c r="C4357" t="s">
        <v>40</v>
      </c>
      <c r="D4357">
        <v>4.431222</v>
      </c>
      <c r="E4357">
        <v>0.40530729999999998</v>
      </c>
      <c r="F4357" t="s">
        <v>42</v>
      </c>
      <c r="G4357">
        <v>-342.51830000000001</v>
      </c>
      <c r="H4357" s="1">
        <v>-3.2692739999999999E-6</v>
      </c>
      <c r="I4357">
        <v>19.9069</v>
      </c>
      <c r="J4357">
        <v>-354.0204</v>
      </c>
      <c r="K4357">
        <v>1.1095539999999999</v>
      </c>
      <c r="L4357">
        <v>17.147369999999999</v>
      </c>
      <c r="M4357">
        <v>0.99971290000000002</v>
      </c>
      <c r="N4357">
        <v>0</v>
      </c>
      <c r="O4357">
        <v>-2.1325360000000002E-2</v>
      </c>
      <c r="P4357">
        <v>0.99105549999999998</v>
      </c>
      <c r="Q4357">
        <v>0.1307198</v>
      </c>
      <c r="R4357">
        <v>-2.6864450000000002E-2</v>
      </c>
      <c r="S4357">
        <v>3.0852659999999998</v>
      </c>
      <c r="T4357">
        <v>-0.28722389999999998</v>
      </c>
      <c r="U4357">
        <v>0.71206669999999905</v>
      </c>
      <c r="V4357">
        <v>5.7634950000000004E-3</v>
      </c>
      <c r="W4357">
        <v>0.14155400000000001</v>
      </c>
      <c r="X4357">
        <v>0.98991379999999995</v>
      </c>
      <c r="Y4357">
        <v>-0.2445205</v>
      </c>
      <c r="Z4357">
        <v>1.316755E-2</v>
      </c>
      <c r="AA4357">
        <v>0.96955469999999999</v>
      </c>
      <c r="AB4357">
        <v>40</v>
      </c>
      <c r="AC4357">
        <v>11.502099999999899</v>
      </c>
      <c r="AD4357">
        <v>-1.1095572692739999</v>
      </c>
      <c r="AE4357">
        <v>2.75952999999999</v>
      </c>
      <c r="AF4357">
        <v>-2.9779995916756601</v>
      </c>
      <c r="AG4357">
        <v>-1.1095572692739999</v>
      </c>
      <c r="AH4357">
        <v>11.340842790713801</v>
      </c>
      <c r="AI4357">
        <v>95.405753340144699</v>
      </c>
      <c r="AJ4357">
        <v>104.71316430866599</v>
      </c>
      <c r="AK4357">
        <v>11.7777041101186</v>
      </c>
      <c r="AL4357">
        <v>81.862220830967104</v>
      </c>
      <c r="AM4357">
        <v>89.666415189398805</v>
      </c>
      <c r="AN4357">
        <v>1.00000004211052</v>
      </c>
    </row>
    <row r="4358" spans="1:40" x14ac:dyDescent="0.25">
      <c r="A4358" t="str">
        <f>"20190312164356618"</f>
        <v>20190312164356618</v>
      </c>
      <c r="B4358" t="str">
        <f>"1552380236609599"</f>
        <v>1552380236609599</v>
      </c>
      <c r="C4358" t="s">
        <v>40</v>
      </c>
      <c r="D4358">
        <v>4.4281350000000002</v>
      </c>
      <c r="E4358">
        <v>0.40561530000000001</v>
      </c>
      <c r="F4358" t="s">
        <v>42</v>
      </c>
      <c r="G4358">
        <v>-341.94740000000002</v>
      </c>
      <c r="H4358" s="1">
        <v>-3.5214700000000001E-6</v>
      </c>
      <c r="I4358">
        <v>19.934339999999999</v>
      </c>
      <c r="J4358">
        <v>-353.64109999999999</v>
      </c>
      <c r="K4358">
        <v>1.1095699999999999</v>
      </c>
      <c r="L4358">
        <v>17.139220000000002</v>
      </c>
      <c r="M4358">
        <v>0.99971010000000005</v>
      </c>
      <c r="N4358">
        <v>0</v>
      </c>
      <c r="O4358">
        <v>-2.138638E-2</v>
      </c>
      <c r="P4358">
        <v>0.99106689999999997</v>
      </c>
      <c r="Q4358">
        <v>0.13068450000000001</v>
      </c>
      <c r="R4358">
        <v>-2.6613069999999999E-2</v>
      </c>
      <c r="S4358">
        <v>3.0837400000000001</v>
      </c>
      <c r="T4358">
        <v>-0.2834083</v>
      </c>
      <c r="U4358">
        <v>0.7118835</v>
      </c>
      <c r="V4358">
        <v>5.4488080000000003E-3</v>
      </c>
      <c r="W4358">
        <v>0.14164370000000001</v>
      </c>
      <c r="X4358">
        <v>0.98990270000000002</v>
      </c>
      <c r="Y4358">
        <v>-0.24465709999999999</v>
      </c>
      <c r="Z4358">
        <v>1.301137E-2</v>
      </c>
      <c r="AA4358">
        <v>0.96952240000000001</v>
      </c>
      <c r="AB4358">
        <v>40</v>
      </c>
      <c r="AC4358">
        <v>11.6936999999999</v>
      </c>
      <c r="AD4358">
        <v>-1.10957352147</v>
      </c>
      <c r="AE4358">
        <v>2.7951199999999901</v>
      </c>
      <c r="AF4358">
        <v>-3.0188706320080798</v>
      </c>
      <c r="AG4358">
        <v>-1.10957352147</v>
      </c>
      <c r="AH4358">
        <v>11.533019203341</v>
      </c>
      <c r="AI4358">
        <v>95.317352953078498</v>
      </c>
      <c r="AJ4358">
        <v>104.66857303192999</v>
      </c>
      <c r="AK4358">
        <v>11.973105914380801</v>
      </c>
      <c r="AL4358">
        <v>81.857028672352499</v>
      </c>
      <c r="AM4358">
        <v>89.684625015310104</v>
      </c>
      <c r="AN4358">
        <v>0.99999999136280004</v>
      </c>
    </row>
    <row r="4359" spans="1:40" x14ac:dyDescent="0.25">
      <c r="A4359" t="str">
        <f>"20190312164356640"</f>
        <v>20190312164356640</v>
      </c>
      <c r="B4359" t="str">
        <f>"1552380236629115"</f>
        <v>1552380236629115</v>
      </c>
      <c r="C4359" t="s">
        <v>40</v>
      </c>
      <c r="D4359">
        <v>4.4224309999999996</v>
      </c>
      <c r="E4359">
        <v>0.40558539999999998</v>
      </c>
      <c r="F4359" t="s">
        <v>42</v>
      </c>
      <c r="G4359">
        <v>-341.5215</v>
      </c>
      <c r="H4359" s="1">
        <v>-3.70308E-6</v>
      </c>
      <c r="I4359">
        <v>19.930230000000002</v>
      </c>
      <c r="J4359">
        <v>-353.2482</v>
      </c>
      <c r="K4359">
        <v>1.1095919999999999</v>
      </c>
      <c r="L4359">
        <v>17.130769999999998</v>
      </c>
      <c r="M4359">
        <v>0.99970729999999997</v>
      </c>
      <c r="N4359">
        <v>0</v>
      </c>
      <c r="O4359">
        <v>-2.1448430000000001E-2</v>
      </c>
      <c r="P4359">
        <v>0.99122739999999998</v>
      </c>
      <c r="Q4359">
        <v>0.1295113</v>
      </c>
      <c r="R4359">
        <v>-2.6368929999999999E-2</v>
      </c>
      <c r="S4359">
        <v>3.0833439999999999</v>
      </c>
      <c r="T4359">
        <v>-0.2822868</v>
      </c>
      <c r="U4359">
        <v>0.71008300000000002</v>
      </c>
      <c r="V4359">
        <v>5.1373449999999998E-3</v>
      </c>
      <c r="W4359">
        <v>0.14060420000000001</v>
      </c>
      <c r="X4359">
        <v>0.99005259999999995</v>
      </c>
      <c r="Y4359">
        <v>-0.2442165</v>
      </c>
      <c r="Z4359">
        <v>1.294828E-2</v>
      </c>
      <c r="AA4359">
        <v>0.96963429999999995</v>
      </c>
      <c r="AB4359">
        <v>40</v>
      </c>
      <c r="AC4359">
        <v>11.7266999999999</v>
      </c>
      <c r="AD4359">
        <v>-1.1095957030800001</v>
      </c>
      <c r="AE4359">
        <v>2.7994599999999901</v>
      </c>
      <c r="AF4359">
        <v>-3.0247301181321902</v>
      </c>
      <c r="AG4359">
        <v>-1.1095957030800001</v>
      </c>
      <c r="AH4359">
        <v>11.5659849803975</v>
      </c>
      <c r="AI4359">
        <v>95.302698304621401</v>
      </c>
      <c r="AJ4359">
        <v>104.65573197419199</v>
      </c>
      <c r="AK4359">
        <v>12.006340136719899</v>
      </c>
      <c r="AL4359">
        <v>81.917190147012207</v>
      </c>
      <c r="AM4359">
        <v>89.702697064137098</v>
      </c>
      <c r="AN4359">
        <v>1.00000004206902</v>
      </c>
    </row>
    <row r="4360" spans="1:40" x14ac:dyDescent="0.25">
      <c r="A4360" t="str">
        <f>"20190312164356676"</f>
        <v>20190312164356676</v>
      </c>
      <c r="B4360" t="str">
        <f>"1552380236669132"</f>
        <v>1552380236669132</v>
      </c>
      <c r="C4360" t="s">
        <v>40</v>
      </c>
      <c r="D4360">
        <v>4.4797390000000004</v>
      </c>
      <c r="E4360">
        <v>0.40600229999999998</v>
      </c>
      <c r="F4360" t="s">
        <v>42</v>
      </c>
      <c r="G4360">
        <v>-341.32510000000002</v>
      </c>
      <c r="H4360" s="1">
        <v>-3.7742249999999999E-6</v>
      </c>
      <c r="I4360">
        <v>19.880939999999999</v>
      </c>
      <c r="J4360">
        <v>-352.60410000000002</v>
      </c>
      <c r="K4360">
        <v>1.1096459999999999</v>
      </c>
      <c r="L4360">
        <v>17.116789999999899</v>
      </c>
      <c r="M4360">
        <v>0.99970320000000001</v>
      </c>
      <c r="N4360">
        <v>0</v>
      </c>
      <c r="O4360">
        <v>-2.1523359999999998E-2</v>
      </c>
      <c r="P4360">
        <v>0.9912318</v>
      </c>
      <c r="Q4360">
        <v>0.12926589999999999</v>
      </c>
      <c r="R4360">
        <v>-2.7388289999999999E-2</v>
      </c>
      <c r="S4360">
        <v>3.082916</v>
      </c>
      <c r="T4360">
        <v>-0.28690339999999998</v>
      </c>
      <c r="U4360">
        <v>0.71112059999999999</v>
      </c>
      <c r="V4360">
        <v>6.0762350000000001E-3</v>
      </c>
      <c r="W4360">
        <v>0.1405796</v>
      </c>
      <c r="X4360">
        <v>0.99005069999999995</v>
      </c>
      <c r="Y4360">
        <v>-0.2445917</v>
      </c>
      <c r="Z4360">
        <v>1.318453E-2</v>
      </c>
      <c r="AA4360">
        <v>0.96953650000000002</v>
      </c>
      <c r="AB4360">
        <v>40</v>
      </c>
      <c r="AC4360">
        <v>11.2789999999999</v>
      </c>
      <c r="AD4360">
        <v>-1.109649774225</v>
      </c>
      <c r="AE4360">
        <v>2.7641499999999999</v>
      </c>
      <c r="AF4360">
        <v>-2.9790864639139998</v>
      </c>
      <c r="AG4360">
        <v>-1.109649774225</v>
      </c>
      <c r="AH4360">
        <v>11.115398646484699</v>
      </c>
      <c r="AI4360">
        <v>95.507817888572902</v>
      </c>
      <c r="AJ4360">
        <v>105.003483696777</v>
      </c>
      <c r="AK4360">
        <v>11.561071137709799</v>
      </c>
      <c r="AL4360">
        <v>81.918613148782796</v>
      </c>
      <c r="AM4360">
        <v>89.648363210253805</v>
      </c>
      <c r="AN4360">
        <v>0.99999996656921097</v>
      </c>
    </row>
    <row r="4361" spans="1:40" x14ac:dyDescent="0.25">
      <c r="A4361" t="str">
        <f>"20190312164356697"</f>
        <v>20190312164356697</v>
      </c>
      <c r="B4361" t="str">
        <f>"1552380236689627"</f>
        <v>1552380236689627</v>
      </c>
      <c r="C4361" t="s">
        <v>40</v>
      </c>
      <c r="D4361">
        <v>4.374053</v>
      </c>
      <c r="E4361">
        <v>0.40641369999999999</v>
      </c>
      <c r="F4361" t="s">
        <v>42</v>
      </c>
      <c r="G4361">
        <v>-340.51870000000002</v>
      </c>
      <c r="H4361" s="1">
        <v>-4.1201270000000003E-6</v>
      </c>
      <c r="I4361">
        <v>19.880769999999998</v>
      </c>
      <c r="J4361">
        <v>-352.22280000000001</v>
      </c>
      <c r="K4361">
        <v>1.1096839999999999</v>
      </c>
      <c r="L4361">
        <v>17.108550000000001</v>
      </c>
      <c r="M4361">
        <v>0.99970130000000001</v>
      </c>
      <c r="N4361">
        <v>0</v>
      </c>
      <c r="O4361">
        <v>-2.1542390000000002E-2</v>
      </c>
      <c r="P4361">
        <v>0.99112489999999998</v>
      </c>
      <c r="Q4361">
        <v>0.12970039999999999</v>
      </c>
      <c r="R4361">
        <v>-2.9145810000000001E-2</v>
      </c>
      <c r="S4361">
        <v>3.0829770000000001</v>
      </c>
      <c r="T4361">
        <v>-0.28307059999999901</v>
      </c>
      <c r="U4361">
        <v>0.70510859999999997</v>
      </c>
      <c r="V4361">
        <v>7.8115040000000004E-3</v>
      </c>
      <c r="W4361">
        <v>0.14114760000000001</v>
      </c>
      <c r="X4361">
        <v>0.98995770000000005</v>
      </c>
      <c r="Y4361">
        <v>-0.24284510000000001</v>
      </c>
      <c r="Z4361">
        <v>1.2934360000000001E-2</v>
      </c>
      <c r="AA4361">
        <v>0.96997889999999998</v>
      </c>
      <c r="AB4361">
        <v>40</v>
      </c>
      <c r="AC4361">
        <v>11.704099999999899</v>
      </c>
      <c r="AD4361">
        <v>-1.1096881201269999</v>
      </c>
      <c r="AE4361">
        <v>2.7722199999999999</v>
      </c>
      <c r="AF4361">
        <v>-2.9982076111518499</v>
      </c>
      <c r="AG4361">
        <v>-1.1096881201269999</v>
      </c>
      <c r="AH4361">
        <v>11.543404501546499</v>
      </c>
      <c r="AI4361">
        <v>95.3157550912575</v>
      </c>
      <c r="AJ4361">
        <v>104.55990701741101</v>
      </c>
      <c r="AK4361">
        <v>11.977931544713501</v>
      </c>
      <c r="AL4361">
        <v>81.885741295625905</v>
      </c>
      <c r="AM4361">
        <v>89.547902984006399</v>
      </c>
      <c r="AN4361">
        <v>0.99999995618489501</v>
      </c>
    </row>
    <row r="4362" spans="1:40" x14ac:dyDescent="0.25">
      <c r="A4362" t="str">
        <f>"20190312164356719"</f>
        <v>20190312164356719</v>
      </c>
      <c r="B4362" t="str">
        <f>"1552380236709151"</f>
        <v>1552380236709151</v>
      </c>
      <c r="C4362" t="s">
        <v>40</v>
      </c>
      <c r="D4362">
        <v>4.4812719999999997</v>
      </c>
      <c r="E4362">
        <v>0.45376509999999998</v>
      </c>
      <c r="F4362" t="s">
        <v>42</v>
      </c>
      <c r="G4362">
        <v>-339.96879999999999</v>
      </c>
      <c r="H4362" s="1">
        <v>-4.3329139999999996E-6</v>
      </c>
      <c r="I4362">
        <v>19.877230000000001</v>
      </c>
      <c r="J4362">
        <v>-351.82760000000002</v>
      </c>
      <c r="K4362">
        <v>1.1097220000000001</v>
      </c>
      <c r="L4362">
        <v>17.099979999999999</v>
      </c>
      <c r="M4362">
        <v>0.99969929999999996</v>
      </c>
      <c r="N4362">
        <v>0</v>
      </c>
      <c r="O4362">
        <v>-2.1551549999999999E-2</v>
      </c>
      <c r="P4362">
        <v>0.99092199999999997</v>
      </c>
      <c r="Q4362">
        <v>0.13046969999999999</v>
      </c>
      <c r="R4362">
        <v>-3.2425519999999999E-2</v>
      </c>
      <c r="S4362">
        <v>3.083923</v>
      </c>
      <c r="T4362">
        <v>-0.27927239999999998</v>
      </c>
      <c r="U4362">
        <v>0.69680790000000004</v>
      </c>
      <c r="V4362">
        <v>1.1081529999999999E-2</v>
      </c>
      <c r="W4362">
        <v>0.1420652</v>
      </c>
      <c r="X4362">
        <v>0.98979530000000004</v>
      </c>
      <c r="Y4362">
        <v>-0.24034359999999999</v>
      </c>
      <c r="Z4362">
        <v>1.265061E-2</v>
      </c>
      <c r="AA4362">
        <v>0.97060539999999995</v>
      </c>
      <c r="AB4362">
        <v>40</v>
      </c>
      <c r="AC4362">
        <v>11.8588</v>
      </c>
      <c r="AD4362">
        <v>-1.1097263329139999</v>
      </c>
      <c r="AE4362">
        <v>2.7772499999999898</v>
      </c>
      <c r="AF4362">
        <v>-3.0072330697495402</v>
      </c>
      <c r="AG4362">
        <v>-1.1097263329139999</v>
      </c>
      <c r="AH4362">
        <v>11.6990663400621</v>
      </c>
      <c r="AI4362">
        <v>95.248995979164803</v>
      </c>
      <c r="AJ4362">
        <v>104.415727848285</v>
      </c>
      <c r="AK4362">
        <v>12.130255417712</v>
      </c>
      <c r="AL4362">
        <v>81.832632094488304</v>
      </c>
      <c r="AM4362">
        <v>89.358555881988494</v>
      </c>
      <c r="AN4362">
        <v>1.00000002863013</v>
      </c>
    </row>
    <row r="4363" spans="1:40" x14ac:dyDescent="0.25">
      <c r="A4363" t="str">
        <f>"20190312164356742"</f>
        <v>20190312164356742</v>
      </c>
      <c r="B4363" t="str">
        <f>"1552380236729644"</f>
        <v>1552380236729644</v>
      </c>
      <c r="C4363" t="s">
        <v>40</v>
      </c>
      <c r="D4363">
        <v>4.5692979999999999</v>
      </c>
      <c r="E4363">
        <v>0.47172380000000003</v>
      </c>
      <c r="F4363" t="s">
        <v>42</v>
      </c>
      <c r="G4363">
        <v>-333.85700000000003</v>
      </c>
      <c r="H4363" s="1">
        <v>-2.7465150000000001E-6</v>
      </c>
      <c r="I4363">
        <v>18.88983</v>
      </c>
      <c r="J4363">
        <v>-351.44600000000003</v>
      </c>
      <c r="K4363">
        <v>1.1097600000000001</v>
      </c>
      <c r="L4363">
        <v>17.091709999999999</v>
      </c>
      <c r="M4363">
        <v>0.99969739999999996</v>
      </c>
      <c r="N4363">
        <v>0</v>
      </c>
      <c r="O4363">
        <v>-2.1549470000000001E-2</v>
      </c>
      <c r="P4363">
        <v>0.99076880000000001</v>
      </c>
      <c r="Q4363">
        <v>0.130718899999999</v>
      </c>
      <c r="R4363">
        <v>-3.5918119999999998E-2</v>
      </c>
      <c r="S4363">
        <v>3.0623779999999998</v>
      </c>
      <c r="T4363">
        <v>-0.18910840000000001</v>
      </c>
      <c r="U4363">
        <v>0.30502319999999999</v>
      </c>
      <c r="V4363">
        <v>1.4575090000000001E-2</v>
      </c>
      <c r="W4363">
        <v>0.14247199999999999</v>
      </c>
      <c r="X4363">
        <v>0.98969149999999995</v>
      </c>
      <c r="Y4363">
        <v>-0.1202672</v>
      </c>
      <c r="Z4363">
        <v>5.027274E-3</v>
      </c>
      <c r="AA4363">
        <v>0.99272879999999997</v>
      </c>
      <c r="AB4363">
        <v>40</v>
      </c>
      <c r="AC4363">
        <v>17.588999999999999</v>
      </c>
      <c r="AD4363">
        <v>-1.109762746515</v>
      </c>
      <c r="AE4363">
        <v>1.7981199999999999</v>
      </c>
      <c r="AF4363">
        <v>-2.1682205579270102</v>
      </c>
      <c r="AG4363">
        <v>-1.109762746515</v>
      </c>
      <c r="AH4363">
        <v>17.4773084148446</v>
      </c>
      <c r="AI4363">
        <v>93.605685075674899</v>
      </c>
      <c r="AJ4363">
        <v>97.071934534023995</v>
      </c>
      <c r="AK4363">
        <v>17.646219514926301</v>
      </c>
      <c r="AL4363">
        <v>81.809084286264806</v>
      </c>
      <c r="AM4363">
        <v>89.156271647380507</v>
      </c>
      <c r="AN4363">
        <v>0.99999998460237804</v>
      </c>
    </row>
    <row r="4364" spans="1:40" x14ac:dyDescent="0.25">
      <c r="A4364" t="str">
        <f>"20190312164356763"</f>
        <v>20190312164356763</v>
      </c>
      <c r="B4364" t="str">
        <f>"1552380236758924"</f>
        <v>1552380236758924</v>
      </c>
      <c r="C4364" t="s">
        <v>40</v>
      </c>
      <c r="D4364">
        <v>4.6596449999999896</v>
      </c>
      <c r="E4364">
        <v>0.54109350000000001</v>
      </c>
      <c r="F4364" t="s">
        <v>42</v>
      </c>
      <c r="G4364">
        <v>-332.62119999999999</v>
      </c>
      <c r="H4364" s="1">
        <v>-3.4302729999999999E-6</v>
      </c>
      <c r="I4364">
        <v>18.023669999999999</v>
      </c>
      <c r="J4364">
        <v>-351.04219999999998</v>
      </c>
      <c r="K4364">
        <v>1.1098059999999901</v>
      </c>
      <c r="L4364">
        <v>17.082979999999999</v>
      </c>
      <c r="M4364">
        <v>0.99969589999999997</v>
      </c>
      <c r="N4364">
        <v>0</v>
      </c>
      <c r="O4364">
        <v>-2.1518269999999999E-2</v>
      </c>
      <c r="P4364">
        <v>0.99057510000000004</v>
      </c>
      <c r="Q4364">
        <v>0.13113920000000001</v>
      </c>
      <c r="R4364">
        <v>-3.9544780000000002E-2</v>
      </c>
      <c r="S4364">
        <v>3.0571899999999999</v>
      </c>
      <c r="T4364">
        <v>-0.18022850000000001</v>
      </c>
      <c r="U4364">
        <v>0.15136720000000001</v>
      </c>
      <c r="V4364">
        <v>1.8227480000000001E-2</v>
      </c>
      <c r="W4364">
        <v>0.1430766</v>
      </c>
      <c r="X4364">
        <v>0.98954370000000003</v>
      </c>
      <c r="Y4364">
        <v>-7.0773450000000002E-2</v>
      </c>
      <c r="Z4364">
        <v>3.3499139999999998E-3</v>
      </c>
      <c r="AA4364">
        <v>0.99748680000000001</v>
      </c>
      <c r="AB4364">
        <v>40</v>
      </c>
      <c r="AC4364">
        <v>18.4209999999999</v>
      </c>
      <c r="AD4364">
        <v>-1.1098094302729999</v>
      </c>
      <c r="AE4364">
        <v>0.94069000000000302</v>
      </c>
      <c r="AF4364">
        <v>-1.3320665409311501</v>
      </c>
      <c r="AG4364">
        <v>-1.1098094302729999</v>
      </c>
      <c r="AH4364">
        <v>18.330130827246599</v>
      </c>
      <c r="AI4364">
        <v>93.455689189224302</v>
      </c>
      <c r="AJ4364">
        <v>94.156427603430103</v>
      </c>
      <c r="AK4364">
        <v>18.4119465126577</v>
      </c>
      <c r="AL4364">
        <v>81.774084362193804</v>
      </c>
      <c r="AM4364">
        <v>88.944726157624501</v>
      </c>
      <c r="AN4364">
        <v>0.99999994435219797</v>
      </c>
    </row>
    <row r="4365" spans="1:40" x14ac:dyDescent="0.25">
      <c r="A4365" t="str">
        <f>"20190312164356788"</f>
        <v>20190312164356788</v>
      </c>
      <c r="B4365" t="str">
        <f>"1552380236779423"</f>
        <v>1552380236779423</v>
      </c>
      <c r="C4365" t="s">
        <v>40</v>
      </c>
      <c r="D4365">
        <v>4.6444039999999998</v>
      </c>
      <c r="E4365">
        <v>0.54119519999999899</v>
      </c>
      <c r="F4365" t="s">
        <v>41</v>
      </c>
      <c r="G4365">
        <v>-350.01069999999999</v>
      </c>
      <c r="H4365">
        <v>1.0332840000000001</v>
      </c>
      <c r="I4365">
        <v>16.943629999999999</v>
      </c>
      <c r="J4365">
        <v>-350.61219999999997</v>
      </c>
      <c r="K4365">
        <v>1.1098680000000001</v>
      </c>
      <c r="L4365">
        <v>17.07376</v>
      </c>
      <c r="M4365">
        <v>0.99969479999999999</v>
      </c>
      <c r="N4365">
        <v>0</v>
      </c>
      <c r="O4365">
        <v>-2.1447270000000001E-2</v>
      </c>
      <c r="P4365">
        <v>0.99042739999999996</v>
      </c>
      <c r="Q4365">
        <v>0.13159989999999999</v>
      </c>
      <c r="R4365">
        <v>-4.1651870000000001E-2</v>
      </c>
      <c r="S4365">
        <v>3.0420530000000001</v>
      </c>
      <c r="T4365">
        <v>-0.2256852</v>
      </c>
      <c r="U4365">
        <v>-0.41027829999999899</v>
      </c>
      <c r="V4365">
        <v>2.0395010000000002E-2</v>
      </c>
      <c r="W4365">
        <v>0.143734</v>
      </c>
      <c r="X4365">
        <v>0.98940620000000001</v>
      </c>
      <c r="Y4365">
        <v>0.112127</v>
      </c>
      <c r="Z4365">
        <v>-2.5536309999999998E-3</v>
      </c>
      <c r="AA4365">
        <v>0.99369059999999998</v>
      </c>
      <c r="AB4365">
        <v>40</v>
      </c>
      <c r="AC4365">
        <v>0.60149999999998705</v>
      </c>
      <c r="AD4365">
        <v>-7.6583999999999902E-2</v>
      </c>
      <c r="AE4365">
        <v>-0.13013000000000099</v>
      </c>
      <c r="AF4365">
        <v>0.115411300373797</v>
      </c>
      <c r="AG4365">
        <v>-7.6583999999999902E-2</v>
      </c>
      <c r="AH4365">
        <v>0.594939528525946</v>
      </c>
      <c r="AI4365">
        <v>97.202285473092402</v>
      </c>
      <c r="AJ4365">
        <v>79.021644998744307</v>
      </c>
      <c r="AK4365">
        <v>0.61085016158845895</v>
      </c>
      <c r="AL4365">
        <v>81.736025393118396</v>
      </c>
      <c r="AM4365">
        <v>88.819107330797706</v>
      </c>
      <c r="AN4365">
        <v>1.0000000238936699</v>
      </c>
    </row>
    <row r="4366" spans="1:40" x14ac:dyDescent="0.25">
      <c r="A4366" t="str">
        <f>"20190312164356808"</f>
        <v>20190312164356808</v>
      </c>
      <c r="B4366" t="str">
        <f>"1552380236798939"</f>
        <v>1552380236798939</v>
      </c>
      <c r="C4366" t="s">
        <v>40</v>
      </c>
      <c r="D4366">
        <v>4.6141629999999996</v>
      </c>
      <c r="E4366">
        <v>0.54001140000000003</v>
      </c>
      <c r="F4366" t="s">
        <v>41</v>
      </c>
      <c r="G4366">
        <v>-349.64490000000001</v>
      </c>
      <c r="H4366">
        <v>1.0458609999999999</v>
      </c>
      <c r="I4366">
        <v>16.940429999999999</v>
      </c>
      <c r="J4366">
        <v>-350.24149999999997</v>
      </c>
      <c r="K4366">
        <v>1.109934</v>
      </c>
      <c r="L4366">
        <v>17.065860000000001</v>
      </c>
      <c r="M4366">
        <v>0.99969529999999995</v>
      </c>
      <c r="N4366">
        <v>0</v>
      </c>
      <c r="O4366">
        <v>-2.1331409999999999E-2</v>
      </c>
      <c r="P4366">
        <v>0.99031049999999998</v>
      </c>
      <c r="Q4366">
        <v>0.131418799999999</v>
      </c>
      <c r="R4366">
        <v>-4.488267E-2</v>
      </c>
      <c r="S4366">
        <v>3.038116</v>
      </c>
      <c r="T4366">
        <v>-0.20103509999999999</v>
      </c>
      <c r="U4366">
        <v>-0.41845700000000002</v>
      </c>
      <c r="V4366">
        <v>2.3726549999999999E-2</v>
      </c>
      <c r="W4366">
        <v>0.14372550000000001</v>
      </c>
      <c r="X4366">
        <v>0.98933320000000002</v>
      </c>
      <c r="Y4366">
        <v>0.1150818</v>
      </c>
      <c r="Z4366">
        <v>-2.3826780000000001E-3</v>
      </c>
      <c r="AA4366">
        <v>0.99335309999999999</v>
      </c>
      <c r="AB4366">
        <v>40</v>
      </c>
      <c r="AC4366">
        <v>0.59659999999996605</v>
      </c>
      <c r="AD4366">
        <v>-6.4072999999999797E-2</v>
      </c>
      <c r="AE4366">
        <v>-0.12543000000000101</v>
      </c>
      <c r="AF4366">
        <v>0.111443169107717</v>
      </c>
      <c r="AG4366">
        <v>-6.4072999999999797E-2</v>
      </c>
      <c r="AH4366">
        <v>0.59259432269724099</v>
      </c>
      <c r="AI4366">
        <v>96.065498833025501</v>
      </c>
      <c r="AJ4366">
        <v>79.349363068009595</v>
      </c>
      <c r="AK4366">
        <v>0.60637691295329899</v>
      </c>
      <c r="AL4366">
        <v>81.736517938687797</v>
      </c>
      <c r="AM4366">
        <v>88.626175044001499</v>
      </c>
      <c r="AN4366">
        <v>1.0000000745736899</v>
      </c>
    </row>
    <row r="4367" spans="1:40" x14ac:dyDescent="0.25">
      <c r="A4367" t="str">
        <f>"20190312164356821"</f>
        <v>20190312164356821</v>
      </c>
      <c r="B4367" t="str">
        <f>"1552380236809676"</f>
        <v>1552380236809676</v>
      </c>
      <c r="C4367" t="s">
        <v>40</v>
      </c>
      <c r="D4367">
        <v>4.6460900000000001</v>
      </c>
      <c r="E4367">
        <v>0.53967880000000001</v>
      </c>
      <c r="F4367" t="s">
        <v>41</v>
      </c>
      <c r="G4367">
        <v>-349.28680000000003</v>
      </c>
      <c r="H4367">
        <v>1.0475840000000001</v>
      </c>
      <c r="I4367">
        <v>16.934290000000001</v>
      </c>
      <c r="J4367">
        <v>-350.01690000000002</v>
      </c>
      <c r="K4367">
        <v>1.1099829999999999</v>
      </c>
      <c r="L4367">
        <v>17.061129999999999</v>
      </c>
      <c r="M4367">
        <v>0.99969609999999998</v>
      </c>
      <c r="N4367">
        <v>0</v>
      </c>
      <c r="O4367">
        <v>-2.1234739999999998E-2</v>
      </c>
      <c r="P4367">
        <v>0.9902552</v>
      </c>
      <c r="Q4367">
        <v>0.1313124</v>
      </c>
      <c r="R4367">
        <v>-4.6387959999999999E-2</v>
      </c>
      <c r="S4367">
        <v>3.0367130000000002</v>
      </c>
      <c r="T4367">
        <v>-0.1982989</v>
      </c>
      <c r="U4367">
        <v>-0.4180603</v>
      </c>
      <c r="V4367">
        <v>2.53168E-2</v>
      </c>
      <c r="W4367">
        <v>0.14372409999999999</v>
      </c>
      <c r="X4367">
        <v>0.98929389999999995</v>
      </c>
      <c r="Y4367">
        <v>0.1151175</v>
      </c>
      <c r="Z4367">
        <v>-2.3588379999999998E-3</v>
      </c>
      <c r="AA4367">
        <v>0.99334909999999998</v>
      </c>
      <c r="AB4367">
        <v>40</v>
      </c>
      <c r="AC4367">
        <v>0.73009999999999298</v>
      </c>
      <c r="AD4367">
        <v>-6.2398999999999802E-2</v>
      </c>
      <c r="AE4367">
        <v>-0.12683999999999701</v>
      </c>
      <c r="AF4367">
        <v>0.11052303295702599</v>
      </c>
      <c r="AG4367">
        <v>-6.2398999999999802E-2</v>
      </c>
      <c r="AH4367">
        <v>0.72747084592233102</v>
      </c>
      <c r="AI4367">
        <v>94.847207416591303</v>
      </c>
      <c r="AJ4367">
        <v>81.361241742719102</v>
      </c>
      <c r="AK4367">
        <v>0.73845975359661398</v>
      </c>
      <c r="AL4367">
        <v>81.736598281662097</v>
      </c>
      <c r="AM4367">
        <v>88.534076408588106</v>
      </c>
      <c r="AN4367">
        <v>0.99999998893012898</v>
      </c>
    </row>
    <row r="4368" spans="1:40" x14ac:dyDescent="0.25">
      <c r="A4368" t="str">
        <f>"20190312164356834"</f>
        <v>20190312164356834</v>
      </c>
      <c r="B4368" t="str">
        <f>"1552380236829196"</f>
        <v>1552380236829196</v>
      </c>
      <c r="C4368" t="s">
        <v>40</v>
      </c>
      <c r="D4368">
        <v>4.764748</v>
      </c>
      <c r="E4368">
        <v>0.53948490000000004</v>
      </c>
      <c r="F4368" t="s">
        <v>41</v>
      </c>
      <c r="G4368">
        <v>-348.93669999999997</v>
      </c>
      <c r="H4368">
        <v>1.038824</v>
      </c>
      <c r="I4368">
        <v>16.91169</v>
      </c>
      <c r="J4368">
        <v>-349.77940000000001</v>
      </c>
      <c r="K4368">
        <v>1.110044</v>
      </c>
      <c r="L4368">
        <v>17.05621</v>
      </c>
      <c r="M4368">
        <v>0.99969819999999998</v>
      </c>
      <c r="N4368">
        <v>0</v>
      </c>
      <c r="O4368">
        <v>-2.1076750000000002E-2</v>
      </c>
      <c r="P4368">
        <v>0.99018729999999999</v>
      </c>
      <c r="Q4368">
        <v>0.13122110000000001</v>
      </c>
      <c r="R4368">
        <v>-4.8066749999999998E-2</v>
      </c>
      <c r="S4368">
        <v>3.0364070000000001</v>
      </c>
      <c r="T4368">
        <v>-0.19998650000000001</v>
      </c>
      <c r="U4368">
        <v>-0.41958620000000002</v>
      </c>
      <c r="V4368">
        <v>2.7136899999999999E-2</v>
      </c>
      <c r="W4368">
        <v>0.14374200000000001</v>
      </c>
      <c r="X4368">
        <v>0.98924299999999998</v>
      </c>
      <c r="Y4368">
        <v>0.1157728</v>
      </c>
      <c r="Z4368">
        <v>-2.4108150000000002E-3</v>
      </c>
      <c r="AA4368">
        <v>0.99327279999999996</v>
      </c>
      <c r="AB4368">
        <v>40</v>
      </c>
      <c r="AC4368">
        <v>0.84270000000003598</v>
      </c>
      <c r="AD4368">
        <v>-7.1220000000000006E-2</v>
      </c>
      <c r="AE4368">
        <v>-0.14451999999999901</v>
      </c>
      <c r="AF4368">
        <v>0.125851869066582</v>
      </c>
      <c r="AG4368">
        <v>-7.1220000000000006E-2</v>
      </c>
      <c r="AH4368">
        <v>0.83973249630128599</v>
      </c>
      <c r="AI4368">
        <v>94.794516522563299</v>
      </c>
      <c r="AJ4368">
        <v>81.476441678963596</v>
      </c>
      <c r="AK4368">
        <v>0.85209251064185598</v>
      </c>
      <c r="AL4368">
        <v>81.735561547927603</v>
      </c>
      <c r="AM4368">
        <v>88.428657059248295</v>
      </c>
      <c r="AN4368">
        <v>0.99999994347730303</v>
      </c>
    </row>
    <row r="4369" spans="1:40" x14ac:dyDescent="0.25">
      <c r="A4369" t="str">
        <f>"20190312164356852"</f>
        <v>20190312164356852</v>
      </c>
      <c r="B4369" t="str">
        <f>"1552380236849693"</f>
        <v>1552380236849693</v>
      </c>
      <c r="C4369" t="s">
        <v>40</v>
      </c>
      <c r="D4369">
        <v>4.6912190000000002</v>
      </c>
      <c r="E4369">
        <v>0.53899300000000006</v>
      </c>
      <c r="F4369" t="s">
        <v>42</v>
      </c>
      <c r="G4369">
        <v>-333.03250000000003</v>
      </c>
      <c r="H4369" s="1">
        <v>-3.8390370000000004E-6</v>
      </c>
      <c r="I4369">
        <v>14.72456</v>
      </c>
      <c r="J4369">
        <v>-349.46710000000002</v>
      </c>
      <c r="K4369">
        <v>1.110131</v>
      </c>
      <c r="L4369">
        <v>17.04984</v>
      </c>
      <c r="M4369">
        <v>0.99970170000000003</v>
      </c>
      <c r="N4369">
        <v>0</v>
      </c>
      <c r="O4369">
        <v>-2.0815119999999999E-2</v>
      </c>
      <c r="P4369">
        <v>0.99004130000000001</v>
      </c>
      <c r="Q4369">
        <v>0.13101949999999901</v>
      </c>
      <c r="R4369">
        <v>-5.1500990000000003E-2</v>
      </c>
      <c r="S4369">
        <v>3.0358890000000001</v>
      </c>
      <c r="T4369">
        <v>-0.20122999999999999</v>
      </c>
      <c r="U4369">
        <v>-0.4226685</v>
      </c>
      <c r="V4369">
        <v>3.0808370000000002E-2</v>
      </c>
      <c r="W4369">
        <v>0.14368249999999999</v>
      </c>
      <c r="X4369">
        <v>0.98914409999999997</v>
      </c>
      <c r="Y4369">
        <v>0.11703909999999999</v>
      </c>
      <c r="Z4369">
        <v>-2.484965E-3</v>
      </c>
      <c r="AA4369">
        <v>0.99312420000000001</v>
      </c>
      <c r="AB4369">
        <v>40</v>
      </c>
      <c r="AC4369">
        <v>16.4345999999999</v>
      </c>
      <c r="AD4369">
        <v>-1.1101348390369901</v>
      </c>
      <c r="AE4369">
        <v>-2.3252799999999998</v>
      </c>
      <c r="AF4369">
        <v>1.97383055365502</v>
      </c>
      <c r="AG4369">
        <v>-1.1101348390369901</v>
      </c>
      <c r="AH4369">
        <v>16.406054947323199</v>
      </c>
      <c r="AI4369">
        <v>93.843452119169797</v>
      </c>
      <c r="AJ4369">
        <v>83.139655424921798</v>
      </c>
      <c r="AK4369">
        <v>16.5616136094879</v>
      </c>
      <c r="AL4369">
        <v>81.739006323437707</v>
      </c>
      <c r="AM4369">
        <v>88.216014126914004</v>
      </c>
      <c r="AN4369">
        <v>0.99999993351655603</v>
      </c>
    </row>
    <row r="4370" spans="1:40" x14ac:dyDescent="0.25">
      <c r="A4370" t="str">
        <f>"20190312164356878"</f>
        <v>20190312164356878</v>
      </c>
      <c r="B4370" t="str">
        <f>"1552380236869212"</f>
        <v>1552380236869212</v>
      </c>
      <c r="C4370" t="s">
        <v>40</v>
      </c>
      <c r="D4370">
        <v>4.7127290000000004</v>
      </c>
      <c r="E4370">
        <v>0.53862270000000001</v>
      </c>
      <c r="F4370" t="s">
        <v>42</v>
      </c>
      <c r="G4370">
        <v>-332.30459999999999</v>
      </c>
      <c r="H4370" s="1">
        <v>-4.1692330000000001E-6</v>
      </c>
      <c r="I4370">
        <v>14.623469999999999</v>
      </c>
      <c r="J4370">
        <v>-348.98610000000002</v>
      </c>
      <c r="K4370">
        <v>1.1102780000000001</v>
      </c>
      <c r="L4370">
        <v>17.04025</v>
      </c>
      <c r="M4370">
        <v>0.9997104</v>
      </c>
      <c r="N4370">
        <v>0</v>
      </c>
      <c r="O4370">
        <v>-2.0267650000000002E-2</v>
      </c>
      <c r="P4370">
        <v>0.98984589999999995</v>
      </c>
      <c r="Q4370">
        <v>0.130965</v>
      </c>
      <c r="R4370">
        <v>-5.526122E-2</v>
      </c>
      <c r="S4370">
        <v>3.0338129999999999</v>
      </c>
      <c r="T4370">
        <v>-0.19623860000000001</v>
      </c>
      <c r="U4370">
        <v>-0.428894</v>
      </c>
      <c r="V4370">
        <v>3.5069749999999997E-2</v>
      </c>
      <c r="W4370">
        <v>0.14383969999999999</v>
      </c>
      <c r="X4370">
        <v>0.98897939999999995</v>
      </c>
      <c r="Y4370">
        <v>0.1196773</v>
      </c>
      <c r="Z4370">
        <v>-2.5447429999999999E-3</v>
      </c>
      <c r="AA4370">
        <v>0.99280959999999996</v>
      </c>
      <c r="AB4370">
        <v>40</v>
      </c>
      <c r="AC4370">
        <v>16.6815</v>
      </c>
      <c r="AD4370">
        <v>-1.110282169233</v>
      </c>
      <c r="AE4370">
        <v>-2.4167799999999899</v>
      </c>
      <c r="AF4370">
        <v>2.0691823378271699</v>
      </c>
      <c r="AG4370">
        <v>-1.110282169233</v>
      </c>
      <c r="AH4370">
        <v>16.654796691082201</v>
      </c>
      <c r="AI4370">
        <v>93.784932399398897</v>
      </c>
      <c r="AJ4370">
        <v>82.917895060742595</v>
      </c>
      <c r="AK4370">
        <v>16.819527189067401</v>
      </c>
      <c r="AL4370">
        <v>81.729905439233804</v>
      </c>
      <c r="AM4370">
        <v>87.969111308379496</v>
      </c>
      <c r="AN4370">
        <v>1.00000000014275</v>
      </c>
    </row>
    <row r="4371" spans="1:40" x14ac:dyDescent="0.25">
      <c r="A4371" t="str">
        <f>"20190312164356900"</f>
        <v>20190312164356900</v>
      </c>
      <c r="B4371" t="str">
        <f>"1552380236889708"</f>
        <v>1552380236889708</v>
      </c>
      <c r="C4371" t="s">
        <v>40</v>
      </c>
      <c r="D4371">
        <v>4.7643940000000002</v>
      </c>
      <c r="E4371">
        <v>0.53827829999999999</v>
      </c>
      <c r="F4371" t="s">
        <v>42</v>
      </c>
      <c r="G4371">
        <v>-332.1782</v>
      </c>
      <c r="H4371" s="1">
        <v>-4.2236219999999999E-6</v>
      </c>
      <c r="I4371">
        <v>14.622590000000001</v>
      </c>
      <c r="J4371">
        <v>-348.61040000000003</v>
      </c>
      <c r="K4371">
        <v>1.1104099999999999</v>
      </c>
      <c r="L4371">
        <v>17.033110000000001</v>
      </c>
      <c r="M4371">
        <v>0.99972000000000005</v>
      </c>
      <c r="N4371">
        <v>0</v>
      </c>
      <c r="O4371">
        <v>-1.9700539999999999E-2</v>
      </c>
      <c r="P4371">
        <v>0.98962430000000001</v>
      </c>
      <c r="Q4371">
        <v>0.13112179999999901</v>
      </c>
      <c r="R4371">
        <v>-5.8746439999999997E-2</v>
      </c>
      <c r="S4371">
        <v>3.032959</v>
      </c>
      <c r="T4371">
        <v>-0.20034850000000001</v>
      </c>
      <c r="U4371">
        <v>-0.43624879999999999</v>
      </c>
      <c r="V4371">
        <v>3.9081930000000001E-2</v>
      </c>
      <c r="W4371">
        <v>0.14415059999999999</v>
      </c>
      <c r="X4371">
        <v>0.98878370000000004</v>
      </c>
      <c r="Y4371">
        <v>0.1226221</v>
      </c>
      <c r="Z4371">
        <v>-2.7320719999999999E-3</v>
      </c>
      <c r="AA4371">
        <v>0.99244969999999999</v>
      </c>
      <c r="AB4371">
        <v>40</v>
      </c>
      <c r="AC4371">
        <v>16.432200000000002</v>
      </c>
      <c r="AD4371">
        <v>-1.110414223622</v>
      </c>
      <c r="AE4371">
        <v>-2.41052</v>
      </c>
      <c r="AF4371">
        <v>2.0770162868501401</v>
      </c>
      <c r="AG4371">
        <v>-1.110414223622</v>
      </c>
      <c r="AH4371">
        <v>16.403176676309901</v>
      </c>
      <c r="AI4371">
        <v>93.842147612232694</v>
      </c>
      <c r="AJ4371">
        <v>82.783452437303197</v>
      </c>
      <c r="AK4371">
        <v>16.571397692352299</v>
      </c>
      <c r="AL4371">
        <v>81.711904574428502</v>
      </c>
      <c r="AM4371">
        <v>87.736547780662207</v>
      </c>
      <c r="AN4371">
        <v>0.99999999905928705</v>
      </c>
    </row>
    <row r="4372" spans="1:40" x14ac:dyDescent="0.25">
      <c r="A4372" t="str">
        <f>"20190312164356920"</f>
        <v>20190312164356920</v>
      </c>
      <c r="B4372" t="str">
        <f>"1552380236909228"</f>
        <v>1552380236909228</v>
      </c>
      <c r="C4372" t="s">
        <v>40</v>
      </c>
      <c r="D4372">
        <v>4.902666</v>
      </c>
      <c r="E4372">
        <v>0.53801949999999998</v>
      </c>
      <c r="F4372" t="s">
        <v>42</v>
      </c>
      <c r="G4372">
        <v>-332.34840000000003</v>
      </c>
      <c r="H4372" s="1">
        <v>-4.144465E-6</v>
      </c>
      <c r="I4372">
        <v>14.6572</v>
      </c>
      <c r="J4372">
        <v>-348.25439999999998</v>
      </c>
      <c r="K4372">
        <v>1.1105320000000001</v>
      </c>
      <c r="L4372">
        <v>17.026669999999999</v>
      </c>
      <c r="M4372">
        <v>0.99973089999999998</v>
      </c>
      <c r="N4372">
        <v>0</v>
      </c>
      <c r="O4372">
        <v>-1.905076E-2</v>
      </c>
      <c r="P4372">
        <v>0.98932339999999996</v>
      </c>
      <c r="Q4372">
        <v>0.1320132</v>
      </c>
      <c r="R4372">
        <v>-6.1741869999999997E-2</v>
      </c>
      <c r="S4372">
        <v>3.0325929999999999</v>
      </c>
      <c r="T4372">
        <v>-0.20707439999999999</v>
      </c>
      <c r="U4372">
        <v>-0.44305420000000001</v>
      </c>
      <c r="V4372">
        <v>4.2687160000000002E-2</v>
      </c>
      <c r="W4372">
        <v>0.14517539999999901</v>
      </c>
      <c r="X4372">
        <v>0.98848460000000005</v>
      </c>
      <c r="Y4372">
        <v>0.1254419</v>
      </c>
      <c r="Z4372">
        <v>-2.9631839999999998E-3</v>
      </c>
      <c r="AA4372">
        <v>0.99209650000000005</v>
      </c>
      <c r="AB4372">
        <v>40</v>
      </c>
      <c r="AC4372">
        <v>15.905999999999899</v>
      </c>
      <c r="AD4372">
        <v>-1.1105361444649999</v>
      </c>
      <c r="AE4372">
        <v>-2.3694700000000002</v>
      </c>
      <c r="AF4372">
        <v>2.0561863806032301</v>
      </c>
      <c r="AG4372">
        <v>-1.1105361444649999</v>
      </c>
      <c r="AH4372">
        <v>15.872563532911901</v>
      </c>
      <c r="AI4372">
        <v>93.969162959720293</v>
      </c>
      <c r="AJ4372">
        <v>82.618813951851195</v>
      </c>
      <c r="AK4372">
        <v>16.043673708545199</v>
      </c>
      <c r="AL4372">
        <v>81.652563214379001</v>
      </c>
      <c r="AM4372">
        <v>87.527249871013893</v>
      </c>
      <c r="AN4372">
        <v>0.99999994741559095</v>
      </c>
    </row>
    <row r="4373" spans="1:40" x14ac:dyDescent="0.25">
      <c r="A4373" t="str">
        <f>"20190312164356935"</f>
        <v>20190312164356935</v>
      </c>
      <c r="B4373" t="str">
        <f>"1552380236929725"</f>
        <v>1552380236929725</v>
      </c>
      <c r="C4373" t="s">
        <v>40</v>
      </c>
      <c r="D4373">
        <v>4.8158289999999999</v>
      </c>
      <c r="E4373">
        <v>0.53738730000000001</v>
      </c>
      <c r="F4373" t="s">
        <v>42</v>
      </c>
      <c r="G4373">
        <v>-332.37970000000001</v>
      </c>
      <c r="H4373" s="1">
        <v>-4.1286149999999999E-6</v>
      </c>
      <c r="I4373">
        <v>14.670920000000001</v>
      </c>
      <c r="J4373">
        <v>-347.9873</v>
      </c>
      <c r="K4373">
        <v>1.110619</v>
      </c>
      <c r="L4373">
        <v>17.02206</v>
      </c>
      <c r="M4373">
        <v>0.99974039999999997</v>
      </c>
      <c r="N4373">
        <v>0</v>
      </c>
      <c r="O4373">
        <v>-1.8490099999999999E-2</v>
      </c>
      <c r="P4373">
        <v>0.98924909999999999</v>
      </c>
      <c r="Q4373">
        <v>0.13189389999999901</v>
      </c>
      <c r="R4373">
        <v>-6.3169810000000007E-2</v>
      </c>
      <c r="S4373">
        <v>3.0325929999999999</v>
      </c>
      <c r="T4373">
        <v>-0.21214939999999999</v>
      </c>
      <c r="U4373">
        <v>-0.45001219999999997</v>
      </c>
      <c r="V4373">
        <v>4.4644049999999998E-2</v>
      </c>
      <c r="W4373">
        <v>0.145149</v>
      </c>
      <c r="X4373">
        <v>0.98840209999999995</v>
      </c>
      <c r="Y4373">
        <v>0.12820589999999901</v>
      </c>
      <c r="Z4373">
        <v>-3.1701030000000001E-3</v>
      </c>
      <c r="AA4373">
        <v>0.99174249999999997</v>
      </c>
      <c r="AB4373">
        <v>40</v>
      </c>
      <c r="AC4373">
        <v>15.6075999999999</v>
      </c>
      <c r="AD4373">
        <v>-1.1106231286149999</v>
      </c>
      <c r="AE4373">
        <v>-2.3511399999999898</v>
      </c>
      <c r="AF4373">
        <v>2.0519664950485801</v>
      </c>
      <c r="AG4373">
        <v>-1.1106231286149999</v>
      </c>
      <c r="AH4373">
        <v>15.5713103107382</v>
      </c>
      <c r="AI4373">
        <v>94.044858540432202</v>
      </c>
      <c r="AJ4373">
        <v>82.492894378353697</v>
      </c>
      <c r="AK4373">
        <v>15.745150206457801</v>
      </c>
      <c r="AL4373">
        <v>81.654092604076197</v>
      </c>
      <c r="AM4373">
        <v>87.4138275606321</v>
      </c>
      <c r="AN4373">
        <v>1.0000000173429</v>
      </c>
    </row>
    <row r="4374" spans="1:40" x14ac:dyDescent="0.25">
      <c r="A4374" t="str">
        <f>"20190312164356953"</f>
        <v>20190312164356953</v>
      </c>
      <c r="B4374" t="str">
        <f>"1552380236949244"</f>
        <v>1552380236949244</v>
      </c>
      <c r="C4374" t="s">
        <v>40</v>
      </c>
      <c r="D4374">
        <v>5.1349080000000002</v>
      </c>
      <c r="E4374">
        <v>0.53687439999999997</v>
      </c>
      <c r="F4374" t="s">
        <v>42</v>
      </c>
      <c r="G4374">
        <v>-332.4717</v>
      </c>
      <c r="H4374" s="1">
        <v>-4.0796760000000003E-6</v>
      </c>
      <c r="I4374">
        <v>14.72418</v>
      </c>
      <c r="J4374">
        <v>-347.67700000000002</v>
      </c>
      <c r="K4374">
        <v>1.1107149999999999</v>
      </c>
      <c r="L4374">
        <v>17.016939999999899</v>
      </c>
      <c r="M4374">
        <v>0.99975199999999997</v>
      </c>
      <c r="N4374">
        <v>0</v>
      </c>
      <c r="O4374">
        <v>-1.7785039999999998E-2</v>
      </c>
      <c r="P4374">
        <v>0.98902449999999997</v>
      </c>
      <c r="Q4374">
        <v>0.13229099999999999</v>
      </c>
      <c r="R4374">
        <v>-6.5801269999999995E-2</v>
      </c>
      <c r="S4374">
        <v>3.032867</v>
      </c>
      <c r="T4374">
        <v>-0.21709629999999999</v>
      </c>
      <c r="U4374">
        <v>-0.44915769999999999</v>
      </c>
      <c r="V4374">
        <v>4.7946660000000002E-2</v>
      </c>
      <c r="W4374">
        <v>0.14564769999999999</v>
      </c>
      <c r="X4374">
        <v>0.988174</v>
      </c>
      <c r="Y4374">
        <v>0.12860369999999999</v>
      </c>
      <c r="Z4374">
        <v>-3.3078579999999999E-3</v>
      </c>
      <c r="AA4374">
        <v>0.99169059999999998</v>
      </c>
      <c r="AB4374">
        <v>40</v>
      </c>
      <c r="AC4374">
        <v>15.2052999999999</v>
      </c>
      <c r="AD4374">
        <v>-1.11071907967599</v>
      </c>
      <c r="AE4374">
        <v>-2.2927599999999901</v>
      </c>
      <c r="AF4374">
        <v>2.0114515771655199</v>
      </c>
      <c r="AG4374">
        <v>-1.11071907967599</v>
      </c>
      <c r="AH4374">
        <v>15.1645554482942</v>
      </c>
      <c r="AI4374">
        <v>94.152871496842906</v>
      </c>
      <c r="AJ4374">
        <v>82.444298746765895</v>
      </c>
      <c r="AK4374">
        <v>15.337645721088601</v>
      </c>
      <c r="AL4374">
        <v>81.625212100907902</v>
      </c>
      <c r="AM4374">
        <v>87.222160779242998</v>
      </c>
      <c r="AN4374">
        <v>0.99999999449822197</v>
      </c>
    </row>
    <row r="4375" spans="1:40" x14ac:dyDescent="0.25">
      <c r="A4375" t="str">
        <f>"20190312164356976"</f>
        <v>20190312164356976</v>
      </c>
      <c r="B4375" t="str">
        <f>"1552380236969740"</f>
        <v>1552380236969740</v>
      </c>
      <c r="C4375" t="s">
        <v>40</v>
      </c>
      <c r="D4375">
        <v>5.1025999999999998</v>
      </c>
      <c r="E4375">
        <v>0.53648589999999996</v>
      </c>
      <c r="F4375" t="s">
        <v>41</v>
      </c>
      <c r="G4375">
        <v>-346.7894</v>
      </c>
      <c r="H4375">
        <v>1.047566</v>
      </c>
      <c r="I4375">
        <v>16.884</v>
      </c>
      <c r="J4375">
        <v>-347.25639999999999</v>
      </c>
      <c r="K4375">
        <v>1.110824</v>
      </c>
      <c r="L4375">
        <v>17.010379999999898</v>
      </c>
      <c r="M4375">
        <v>0.9997684</v>
      </c>
      <c r="N4375">
        <v>0</v>
      </c>
      <c r="O4375">
        <v>-1.6747169999999999E-2</v>
      </c>
      <c r="P4375">
        <v>0.9889175</v>
      </c>
      <c r="Q4375">
        <v>0.1323086</v>
      </c>
      <c r="R4375">
        <v>-6.735534E-2</v>
      </c>
      <c r="S4375">
        <v>3.0319820000000002</v>
      </c>
      <c r="T4375">
        <v>-0.21577109999999999</v>
      </c>
      <c r="U4375">
        <v>-0.45318599999999998</v>
      </c>
      <c r="V4375">
        <v>5.049439E-2</v>
      </c>
      <c r="W4375">
        <v>0.14578869999999999</v>
      </c>
      <c r="X4375">
        <v>0.98802630000000002</v>
      </c>
      <c r="Y4375">
        <v>0.13095860000000001</v>
      </c>
      <c r="Z4375">
        <v>-3.4448840000000001E-3</v>
      </c>
      <c r="AA4375">
        <v>0.99138179999999998</v>
      </c>
      <c r="AB4375">
        <v>40</v>
      </c>
      <c r="AC4375">
        <v>0.46699999999998398</v>
      </c>
      <c r="AD4375">
        <v>-6.3257999999999995E-2</v>
      </c>
      <c r="AE4375">
        <v>-0.12637999999999699</v>
      </c>
      <c r="AF4375">
        <v>0.116548089255944</v>
      </c>
      <c r="AG4375">
        <v>-6.3257999999999995E-2</v>
      </c>
      <c r="AH4375">
        <v>0.46116694815294601</v>
      </c>
      <c r="AI4375">
        <v>97.575212914656703</v>
      </c>
      <c r="AJ4375">
        <v>75.816942460705505</v>
      </c>
      <c r="AK4375">
        <v>0.479854129649744</v>
      </c>
      <c r="AL4375">
        <v>81.617046272453706</v>
      </c>
      <c r="AM4375">
        <v>87.074368794067794</v>
      </c>
      <c r="AN4375">
        <v>0.99999999898042602</v>
      </c>
    </row>
    <row r="4376" spans="1:40" x14ac:dyDescent="0.25">
      <c r="A4376" t="str">
        <f>"20190312164356991"</f>
        <v>20190312164356991</v>
      </c>
      <c r="B4376" t="str">
        <f>"1552380236979500"</f>
        <v>1552380236979500</v>
      </c>
      <c r="C4376" t="s">
        <v>40</v>
      </c>
      <c r="D4376">
        <v>4.8321630000000004</v>
      </c>
      <c r="E4376">
        <v>0.53631070000000003</v>
      </c>
      <c r="F4376" t="s">
        <v>42</v>
      </c>
      <c r="G4376">
        <v>-331.50279999999998</v>
      </c>
      <c r="H4376" s="1">
        <v>-4.5091120000000001E-6</v>
      </c>
      <c r="I4376">
        <v>14.646649999999999</v>
      </c>
      <c r="J4376">
        <v>-347.00389999999999</v>
      </c>
      <c r="K4376">
        <v>1.110876</v>
      </c>
      <c r="L4376">
        <v>17.006679999999999</v>
      </c>
      <c r="M4376">
        <v>0.99977839999999996</v>
      </c>
      <c r="N4376">
        <v>0</v>
      </c>
      <c r="O4376">
        <v>-1.6085820000000001E-2</v>
      </c>
      <c r="P4376">
        <v>0.98888089999999995</v>
      </c>
      <c r="Q4376">
        <v>0.132237299999999</v>
      </c>
      <c r="R4376">
        <v>-6.8030740000000006E-2</v>
      </c>
      <c r="S4376">
        <v>3.03125</v>
      </c>
      <c r="T4376">
        <v>-0.2137414</v>
      </c>
      <c r="U4376">
        <v>-0.45480350000000003</v>
      </c>
      <c r="V4376">
        <v>5.1807300000000001E-2</v>
      </c>
      <c r="W4376">
        <v>0.14578350000000001</v>
      </c>
      <c r="X4376">
        <v>0.98795909999999998</v>
      </c>
      <c r="Y4376">
        <v>0.13216729999999999</v>
      </c>
      <c r="Z4376">
        <v>-3.5018530000000001E-3</v>
      </c>
      <c r="AA4376">
        <v>0.99122120000000002</v>
      </c>
      <c r="AB4376">
        <v>40</v>
      </c>
      <c r="AC4376">
        <v>15.501099999999999</v>
      </c>
      <c r="AD4376">
        <v>-1.110880509112</v>
      </c>
      <c r="AE4376">
        <v>-2.3600300000000001</v>
      </c>
      <c r="AF4376">
        <v>2.0998137456916299</v>
      </c>
      <c r="AG4376">
        <v>-1.110880509112</v>
      </c>
      <c r="AH4376">
        <v>15.4594622593089</v>
      </c>
      <c r="AI4376">
        <v>94.072804889682402</v>
      </c>
      <c r="AJ4376">
        <v>82.265016873306806</v>
      </c>
      <c r="AK4376">
        <v>15.6409157858201</v>
      </c>
      <c r="AL4376">
        <v>81.617347472412604</v>
      </c>
      <c r="AM4376">
        <v>86.998232700076301</v>
      </c>
      <c r="AN4376">
        <v>1.0000000042391699</v>
      </c>
    </row>
    <row r="4377" spans="1:40" x14ac:dyDescent="0.25">
      <c r="A4377" t="str">
        <f>"20190312164357010"</f>
        <v>20190312164357010</v>
      </c>
      <c r="B4377" t="str">
        <f>"1552380236999035"</f>
        <v>1552380236999035</v>
      </c>
      <c r="C4377" t="s">
        <v>40</v>
      </c>
      <c r="D4377">
        <v>5.0036750000000003</v>
      </c>
      <c r="E4377">
        <v>0.53598639999999997</v>
      </c>
      <c r="F4377" t="s">
        <v>41</v>
      </c>
      <c r="G4377">
        <v>-346.08170000000001</v>
      </c>
      <c r="H4377">
        <v>1.045909</v>
      </c>
      <c r="I4377">
        <v>16.867739999999898</v>
      </c>
      <c r="J4377">
        <v>-346.66039999999998</v>
      </c>
      <c r="K4377">
        <v>1.110938</v>
      </c>
      <c r="L4377">
        <v>17.001950000000001</v>
      </c>
      <c r="M4377">
        <v>0.99979189999999996</v>
      </c>
      <c r="N4377">
        <v>0</v>
      </c>
      <c r="O4377">
        <v>-1.5158140000000001E-2</v>
      </c>
      <c r="P4377">
        <v>0.98877999999999999</v>
      </c>
      <c r="Q4377">
        <v>0.13241220000000001</v>
      </c>
      <c r="R4377">
        <v>-6.9148230000000005E-2</v>
      </c>
      <c r="S4377">
        <v>3.0310060000000001</v>
      </c>
      <c r="T4377">
        <v>-0.21362010000000001</v>
      </c>
      <c r="U4377">
        <v>-0.45541379999999998</v>
      </c>
      <c r="V4377">
        <v>5.3823669999999997E-2</v>
      </c>
      <c r="W4377">
        <v>0.14603969999999999</v>
      </c>
      <c r="X4377">
        <v>0.98781350000000001</v>
      </c>
      <c r="Y4377">
        <v>0.1332892</v>
      </c>
      <c r="Z4377">
        <v>-3.6042589999999998E-3</v>
      </c>
      <c r="AA4377">
        <v>0.99107060000000002</v>
      </c>
      <c r="AB4377">
        <v>40</v>
      </c>
      <c r="AC4377">
        <v>0.57869999999996902</v>
      </c>
      <c r="AD4377">
        <v>-6.5028999999999906E-2</v>
      </c>
      <c r="AE4377">
        <v>-0.13421000000000299</v>
      </c>
      <c r="AF4377">
        <v>0.123936647298203</v>
      </c>
      <c r="AG4377">
        <v>-6.5028999999999906E-2</v>
      </c>
      <c r="AH4377">
        <v>0.57379247415586199</v>
      </c>
      <c r="AI4377">
        <v>96.321296353270895</v>
      </c>
      <c r="AJ4377">
        <v>77.811607894056607</v>
      </c>
      <c r="AK4377">
        <v>0.59061566757276696</v>
      </c>
      <c r="AL4377">
        <v>81.602509846308493</v>
      </c>
      <c r="AM4377">
        <v>86.881169728622993</v>
      </c>
      <c r="AN4377">
        <v>1.0000000461053</v>
      </c>
    </row>
    <row r="4378" spans="1:40" x14ac:dyDescent="0.25">
      <c r="A4378" t="str">
        <f>"20190312164357023"</f>
        <v>20190312164357023</v>
      </c>
      <c r="B4378" t="str">
        <f>"1552380237019516"</f>
        <v>1552380237019516</v>
      </c>
      <c r="C4378" t="s">
        <v>40</v>
      </c>
      <c r="D4378">
        <v>5.0254430000000001</v>
      </c>
      <c r="E4378">
        <v>0.53558450000000002</v>
      </c>
      <c r="F4378" t="s">
        <v>42</v>
      </c>
      <c r="G4378">
        <v>-330.78440000000001</v>
      </c>
      <c r="H4378" s="1">
        <v>-4.8235090000000001E-6</v>
      </c>
      <c r="I4378">
        <v>14.61164</v>
      </c>
      <c r="J4378">
        <v>-346.43970000000002</v>
      </c>
      <c r="K4378">
        <v>1.1109739999999999</v>
      </c>
      <c r="L4378">
        <v>16.99905</v>
      </c>
      <c r="M4378">
        <v>0.99980029999999998</v>
      </c>
      <c r="N4378">
        <v>0</v>
      </c>
      <c r="O4378">
        <v>-1.4550840000000001E-2</v>
      </c>
      <c r="P4378">
        <v>0.98872289999999996</v>
      </c>
      <c r="Q4378">
        <v>0.13262119999999999</v>
      </c>
      <c r="R4378">
        <v>-6.9560709999999998E-2</v>
      </c>
      <c r="S4378">
        <v>3.030548</v>
      </c>
      <c r="T4378">
        <v>-0.21206639999999999</v>
      </c>
      <c r="U4378">
        <v>-0.45626830000000002</v>
      </c>
      <c r="V4378">
        <v>5.4826609999999998E-2</v>
      </c>
      <c r="W4378">
        <v>0.14629629999999999</v>
      </c>
      <c r="X4378">
        <v>0.9877203</v>
      </c>
      <c r="Y4378">
        <v>0.13418679999999999</v>
      </c>
      <c r="Z4378">
        <v>-3.6519450000000002E-3</v>
      </c>
      <c r="AA4378">
        <v>0.99094930000000003</v>
      </c>
      <c r="AB4378">
        <v>40</v>
      </c>
      <c r="AC4378">
        <v>15.6553</v>
      </c>
      <c r="AD4378">
        <v>-1.1109788235089999</v>
      </c>
      <c r="AE4378">
        <v>-2.38741</v>
      </c>
      <c r="AF4378">
        <v>2.14876275196454</v>
      </c>
      <c r="AG4378">
        <v>-1.1109788235089999</v>
      </c>
      <c r="AH4378">
        <v>15.611550858928799</v>
      </c>
      <c r="AI4378">
        <v>94.032636973071106</v>
      </c>
      <c r="AJ4378">
        <v>82.163091080649906</v>
      </c>
      <c r="AK4378">
        <v>15.7978471802786</v>
      </c>
      <c r="AL4378">
        <v>81.587647553061501</v>
      </c>
      <c r="AM4378">
        <v>86.822872843429096</v>
      </c>
      <c r="AN4378">
        <v>0.99999997779493499</v>
      </c>
    </row>
    <row r="4379" spans="1:40" x14ac:dyDescent="0.25">
      <c r="A4379" t="str">
        <f>"20190312164357035"</f>
        <v>20190312164357035</v>
      </c>
      <c r="B4379" t="str">
        <f>"1552380237029276"</f>
        <v>1552380237029276</v>
      </c>
      <c r="C4379" t="s">
        <v>40</v>
      </c>
      <c r="D4379">
        <v>5.1415259999999998</v>
      </c>
      <c r="E4379">
        <v>0.53538680000000005</v>
      </c>
      <c r="F4379" t="s">
        <v>41</v>
      </c>
      <c r="G4379">
        <v>-345.38780000000003</v>
      </c>
      <c r="H4379">
        <v>1.0377080000000001</v>
      </c>
      <c r="I4379">
        <v>16.841190000000001</v>
      </c>
      <c r="J4379">
        <v>-346.21179999999998</v>
      </c>
      <c r="K4379">
        <v>1.111002</v>
      </c>
      <c r="L4379">
        <v>16.99625</v>
      </c>
      <c r="M4379">
        <v>0.99980899999999995</v>
      </c>
      <c r="N4379">
        <v>0</v>
      </c>
      <c r="O4379">
        <v>-1.3914030000000001E-2</v>
      </c>
      <c r="P4379">
        <v>0.98868210000000001</v>
      </c>
      <c r="Q4379">
        <v>0.13267119999999999</v>
      </c>
      <c r="R4379">
        <v>-7.0047100000000001E-2</v>
      </c>
      <c r="S4379">
        <v>3.0306090000000001</v>
      </c>
      <c r="T4379">
        <v>-0.21111849999999999</v>
      </c>
      <c r="U4379">
        <v>-0.45419310000000002</v>
      </c>
      <c r="V4379">
        <v>5.5933900000000002E-2</v>
      </c>
      <c r="W4379">
        <v>0.1463902</v>
      </c>
      <c r="X4379">
        <v>0.98764430000000003</v>
      </c>
      <c r="Y4379">
        <v>0.13415250000000001</v>
      </c>
      <c r="Z4379">
        <v>-3.6786229999999998E-3</v>
      </c>
      <c r="AA4379">
        <v>0.99095390000000005</v>
      </c>
      <c r="AB4379">
        <v>40</v>
      </c>
      <c r="AC4379">
        <v>0.82399999999995499</v>
      </c>
      <c r="AD4379">
        <v>-7.3293999999999901E-2</v>
      </c>
      <c r="AE4379">
        <v>-0.155059999999998</v>
      </c>
      <c r="AF4379">
        <v>0.14248993220073</v>
      </c>
      <c r="AG4379">
        <v>-7.3293999999999901E-2</v>
      </c>
      <c r="AH4379">
        <v>0.81981345876975897</v>
      </c>
      <c r="AI4379">
        <v>95.033776228604907</v>
      </c>
      <c r="AJ4379">
        <v>80.140048954147005</v>
      </c>
      <c r="AK4379">
        <v>0.835325983311069</v>
      </c>
      <c r="AL4379">
        <v>81.582208924413706</v>
      </c>
      <c r="AM4379">
        <v>86.758593474469507</v>
      </c>
      <c r="AN4379">
        <v>0.99999997757386905</v>
      </c>
    </row>
    <row r="4380" spans="1:40" x14ac:dyDescent="0.25">
      <c r="A4380" t="str">
        <f>"20190312164357054"</f>
        <v>20190312164357054</v>
      </c>
      <c r="B4380" t="str">
        <f>"1552380237049773"</f>
        <v>1552380237049773</v>
      </c>
      <c r="C4380" t="s">
        <v>40</v>
      </c>
      <c r="D4380">
        <v>5.2000719999999996</v>
      </c>
      <c r="E4380">
        <v>0.53506109999999996</v>
      </c>
      <c r="F4380" t="s">
        <v>42</v>
      </c>
      <c r="G4380">
        <v>-330.21440000000001</v>
      </c>
      <c r="H4380" s="1">
        <v>-5.0701339999999996E-6</v>
      </c>
      <c r="I4380">
        <v>14.599679999999999</v>
      </c>
      <c r="J4380">
        <v>-345.88729999999998</v>
      </c>
      <c r="K4380">
        <v>1.1110450000000001</v>
      </c>
      <c r="L4380">
        <v>16.99249</v>
      </c>
      <c r="M4380">
        <v>0.99982040000000005</v>
      </c>
      <c r="N4380">
        <v>0</v>
      </c>
      <c r="O4380">
        <v>-1.3001830000000001E-2</v>
      </c>
      <c r="P4380">
        <v>0.98857740000000005</v>
      </c>
      <c r="Q4380">
        <v>0.1330616</v>
      </c>
      <c r="R4380">
        <v>-7.0777610000000005E-2</v>
      </c>
      <c r="S4380">
        <v>3.0304570000000002</v>
      </c>
      <c r="T4380">
        <v>-0.21046390000000001</v>
      </c>
      <c r="U4380">
        <v>-0.45397949999999998</v>
      </c>
      <c r="V4380">
        <v>5.755561E-2</v>
      </c>
      <c r="W4380">
        <v>0.14683779999999999</v>
      </c>
      <c r="X4380">
        <v>0.98748469999999999</v>
      </c>
      <c r="Y4380">
        <v>0.1349931</v>
      </c>
      <c r="Z4380">
        <v>-3.759334E-3</v>
      </c>
      <c r="AA4380">
        <v>0.99083940000000004</v>
      </c>
      <c r="AB4380">
        <v>40</v>
      </c>
      <c r="AC4380">
        <v>15.672899999999901</v>
      </c>
      <c r="AD4380">
        <v>-1.111050070134</v>
      </c>
      <c r="AE4380">
        <v>-2.3928099999999999</v>
      </c>
      <c r="AF4380">
        <v>2.17811542201895</v>
      </c>
      <c r="AG4380">
        <v>-1.111050070134</v>
      </c>
      <c r="AH4380">
        <v>15.6259512028637</v>
      </c>
      <c r="AI4380">
        <v>94.0282344934744</v>
      </c>
      <c r="AJ4380">
        <v>82.064620381459704</v>
      </c>
      <c r="AK4380">
        <v>15.8160984457058</v>
      </c>
      <c r="AL4380">
        <v>81.556283451181599</v>
      </c>
      <c r="AM4380">
        <v>86.664285652760498</v>
      </c>
      <c r="AN4380">
        <v>1.0000000102427</v>
      </c>
    </row>
    <row r="4381" spans="1:40" x14ac:dyDescent="0.25">
      <c r="A4381" t="str">
        <f>"20190312164357078"</f>
        <v>20190312164357078</v>
      </c>
      <c r="B4381" t="str">
        <f>"1552380237069295"</f>
        <v>1552380237069295</v>
      </c>
      <c r="C4381" t="s">
        <v>40</v>
      </c>
      <c r="D4381">
        <v>5.0065410000000004</v>
      </c>
      <c r="E4381">
        <v>0.53479969999999999</v>
      </c>
      <c r="F4381" t="s">
        <v>42</v>
      </c>
      <c r="G4381">
        <v>-329.72489999999999</v>
      </c>
      <c r="H4381" s="1">
        <v>-1.430581E-6</v>
      </c>
      <c r="I4381">
        <v>14.577349999999999</v>
      </c>
      <c r="J4381">
        <v>-345.4624</v>
      </c>
      <c r="K4381">
        <v>1.1110899999999999</v>
      </c>
      <c r="L4381">
        <v>16.988009999999999</v>
      </c>
      <c r="M4381">
        <v>0.99983449999999996</v>
      </c>
      <c r="N4381">
        <v>0</v>
      </c>
      <c r="O4381">
        <v>-1.1803320000000001E-2</v>
      </c>
      <c r="P4381">
        <v>0.98850510000000003</v>
      </c>
      <c r="Q4381">
        <v>0.1333963</v>
      </c>
      <c r="R4381">
        <v>-7.1156579999999997E-2</v>
      </c>
      <c r="S4381">
        <v>3.0303040000000001</v>
      </c>
      <c r="T4381">
        <v>-0.20831179999999999</v>
      </c>
      <c r="U4381">
        <v>-0.45281979999999999</v>
      </c>
      <c r="V4381">
        <v>5.9107809999999997E-2</v>
      </c>
      <c r="W4381">
        <v>0.14723919999999999</v>
      </c>
      <c r="X4381">
        <v>0.98733320000000002</v>
      </c>
      <c r="Y4381">
        <v>0.1358183</v>
      </c>
      <c r="Z4381">
        <v>-3.8312509999999999E-3</v>
      </c>
      <c r="AA4381">
        <v>0.99072640000000001</v>
      </c>
      <c r="AB4381">
        <v>40</v>
      </c>
      <c r="AC4381">
        <v>15.737500000000001</v>
      </c>
      <c r="AD4381">
        <v>-1.111091430581</v>
      </c>
      <c r="AE4381">
        <v>-2.41066</v>
      </c>
      <c r="AF4381">
        <v>2.2139369522390799</v>
      </c>
      <c r="AG4381">
        <v>-1.111091430581</v>
      </c>
      <c r="AH4381">
        <v>15.6884525624597</v>
      </c>
      <c r="AI4381">
        <v>94.011437318141503</v>
      </c>
      <c r="AJ4381">
        <v>81.967524182630697</v>
      </c>
      <c r="AK4381">
        <v>15.882807837411701</v>
      </c>
      <c r="AL4381">
        <v>81.533031957204699</v>
      </c>
      <c r="AM4381">
        <v>86.574012816557598</v>
      </c>
      <c r="AN4381">
        <v>0.99999998152093705</v>
      </c>
    </row>
    <row r="4382" spans="1:40" x14ac:dyDescent="0.25">
      <c r="A4382" t="str">
        <f>"20190312164357121"</f>
        <v>20190312164357121</v>
      </c>
      <c r="B4382" t="str">
        <f>"1552380237119068"</f>
        <v>1552380237119068</v>
      </c>
      <c r="C4382" t="s">
        <v>40</v>
      </c>
      <c r="D4382">
        <v>4.9151230000000004</v>
      </c>
      <c r="E4382">
        <v>0.52010920000000005</v>
      </c>
      <c r="F4382" t="s">
        <v>42</v>
      </c>
      <c r="G4382">
        <v>-329.23270000000002</v>
      </c>
      <c r="H4382" s="1">
        <v>-1.6211619999999901E-6</v>
      </c>
      <c r="I4382">
        <v>14.57151</v>
      </c>
      <c r="J4382">
        <v>-344.69380000000001</v>
      </c>
      <c r="K4382">
        <v>1.1111500000000001</v>
      </c>
      <c r="L4382">
        <v>16.98123</v>
      </c>
      <c r="M4382">
        <v>0.99985639999999998</v>
      </c>
      <c r="N4382">
        <v>0</v>
      </c>
      <c r="O4382">
        <v>-9.6415240000000003E-3</v>
      </c>
      <c r="P4382">
        <v>0.9881723</v>
      </c>
      <c r="Q4382">
        <v>0.1357467</v>
      </c>
      <c r="R4382">
        <v>-7.1334090000000003E-2</v>
      </c>
      <c r="S4382">
        <v>3.0303650000000002</v>
      </c>
      <c r="T4382">
        <v>-0.20746029999999999</v>
      </c>
      <c r="U4382">
        <v>-0.4512024</v>
      </c>
      <c r="V4382">
        <v>6.1404210000000001E-2</v>
      </c>
      <c r="W4382">
        <v>0.1496799</v>
      </c>
      <c r="X4382">
        <v>0.98682590000000003</v>
      </c>
      <c r="Y4382">
        <v>0.13743349999999999</v>
      </c>
      <c r="Z4382">
        <v>-4.0175860000000001E-3</v>
      </c>
      <c r="AA4382">
        <v>0.99050280000000002</v>
      </c>
      <c r="AB4382">
        <v>39</v>
      </c>
      <c r="AC4382">
        <v>15.461099999999901</v>
      </c>
      <c r="AD4382">
        <v>-1.1111516211620001</v>
      </c>
      <c r="AE4382">
        <v>-2.4097200000000001</v>
      </c>
      <c r="AF4382">
        <v>2.2491835132559599</v>
      </c>
      <c r="AG4382">
        <v>-1.1111516211620001</v>
      </c>
      <c r="AH4382">
        <v>15.405933068513599</v>
      </c>
      <c r="AI4382">
        <v>94.082183160795495</v>
      </c>
      <c r="AJ4382">
        <v>81.6938060172631</v>
      </c>
      <c r="AK4382">
        <v>15.608851915276601</v>
      </c>
      <c r="AL4382">
        <v>81.391622836744304</v>
      </c>
      <c r="AM4382">
        <v>86.439420589946806</v>
      </c>
      <c r="AN4382">
        <v>0.99999995319027102</v>
      </c>
    </row>
    <row r="4383" spans="1:40" x14ac:dyDescent="0.25">
      <c r="A4383" t="str">
        <f>"20190312164357144"</f>
        <v>20190312164357144</v>
      </c>
      <c r="B4383" t="str">
        <f>"1552380237139564"</f>
        <v>1552380237139564</v>
      </c>
      <c r="C4383" t="s">
        <v>40</v>
      </c>
      <c r="D4383">
        <v>4.8309899999999999</v>
      </c>
      <c r="E4383">
        <v>0.5204415</v>
      </c>
      <c r="F4383" t="s">
        <v>41</v>
      </c>
      <c r="G4383">
        <v>-343.63780000000003</v>
      </c>
      <c r="H4383">
        <v>1.019096</v>
      </c>
      <c r="I4383">
        <v>16.86646</v>
      </c>
      <c r="J4383">
        <v>-344.31369999999998</v>
      </c>
      <c r="K4383">
        <v>1.111165</v>
      </c>
      <c r="L4383">
        <v>16.97852</v>
      </c>
      <c r="M4383">
        <v>0.99986560000000002</v>
      </c>
      <c r="N4383">
        <v>0</v>
      </c>
      <c r="O4383">
        <v>-8.5778529999999999E-3</v>
      </c>
      <c r="P4383">
        <v>0.98807270000000003</v>
      </c>
      <c r="Q4383">
        <v>0.13605210000000001</v>
      </c>
      <c r="R4383">
        <v>-7.2127510000000006E-2</v>
      </c>
      <c r="S4383">
        <v>3.048492</v>
      </c>
      <c r="T4383">
        <v>-0.26579770000000003</v>
      </c>
      <c r="U4383">
        <v>-0.33065800000000001</v>
      </c>
      <c r="V4383">
        <v>6.3244010000000003E-2</v>
      </c>
      <c r="W4383">
        <v>0.15002360000000001</v>
      </c>
      <c r="X4383">
        <v>0.98665760000000002</v>
      </c>
      <c r="Y4383">
        <v>9.8962120000000001E-2</v>
      </c>
      <c r="Z4383">
        <v>-3.5492649999999998E-3</v>
      </c>
      <c r="AA4383">
        <v>0.99508490000000005</v>
      </c>
      <c r="AB4383">
        <v>39</v>
      </c>
      <c r="AC4383">
        <v>0.67589999999995598</v>
      </c>
      <c r="AD4383">
        <v>-9.2068999999999901E-2</v>
      </c>
      <c r="AE4383">
        <v>-0.11205999999999899</v>
      </c>
      <c r="AF4383">
        <v>0.104372708997955</v>
      </c>
      <c r="AG4383">
        <v>-9.2068999999999901E-2</v>
      </c>
      <c r="AH4383">
        <v>0.66483051216782196</v>
      </c>
      <c r="AI4383">
        <v>97.790230725818503</v>
      </c>
      <c r="AJ4383">
        <v>81.077875786698399</v>
      </c>
      <c r="AK4383">
        <v>0.67924220500046995</v>
      </c>
      <c r="AL4383">
        <v>81.371706241227699</v>
      </c>
      <c r="AM4383">
        <v>86.332401176843803</v>
      </c>
      <c r="AN4383">
        <v>1.0000000524977899</v>
      </c>
    </row>
    <row r="4384" spans="1:40" x14ac:dyDescent="0.25">
      <c r="A4384" t="str">
        <f>"20190312164357157"</f>
        <v>20190312164357157</v>
      </c>
      <c r="B4384" t="str">
        <f>"1552380237149324"</f>
        <v>1552380237149324</v>
      </c>
      <c r="C4384" t="s">
        <v>40</v>
      </c>
      <c r="D4384">
        <v>4.8640739999999996</v>
      </c>
      <c r="E4384">
        <v>0.51976619999999996</v>
      </c>
      <c r="F4384" t="s">
        <v>41</v>
      </c>
      <c r="G4384">
        <v>-343.28699999999998</v>
      </c>
      <c r="H4384">
        <v>1.0171889999999999</v>
      </c>
      <c r="I4384">
        <v>16.8658</v>
      </c>
      <c r="J4384">
        <v>-344.06650000000002</v>
      </c>
      <c r="K4384">
        <v>1.1111759999999999</v>
      </c>
      <c r="L4384">
        <v>16.976990000000001</v>
      </c>
      <c r="M4384">
        <v>0.99987099999999995</v>
      </c>
      <c r="N4384">
        <v>0</v>
      </c>
      <c r="O4384">
        <v>-7.8869539999999998E-3</v>
      </c>
      <c r="P4384">
        <v>0.98804689999999995</v>
      </c>
      <c r="Q4384">
        <v>0.1361723</v>
      </c>
      <c r="R4384">
        <v>-7.2251789999999996E-2</v>
      </c>
      <c r="S4384">
        <v>3.050262</v>
      </c>
      <c r="T4384">
        <v>-0.27921509999999999</v>
      </c>
      <c r="U4384">
        <v>-0.334198</v>
      </c>
      <c r="V4384">
        <v>6.4048599999999997E-2</v>
      </c>
      <c r="W4384">
        <v>0.15016599999999999</v>
      </c>
      <c r="X4384">
        <v>0.98658400000000002</v>
      </c>
      <c r="Y4384">
        <v>0.10068439999999999</v>
      </c>
      <c r="Z4384">
        <v>-3.8666809999999999E-3</v>
      </c>
      <c r="AA4384">
        <v>0.99491090000000004</v>
      </c>
      <c r="AB4384">
        <v>39</v>
      </c>
      <c r="AC4384">
        <v>0.77950000000004105</v>
      </c>
      <c r="AD4384">
        <v>-9.3987000000000001E-2</v>
      </c>
      <c r="AE4384">
        <v>-0.11119</v>
      </c>
      <c r="AF4384">
        <v>0.103562494761997</v>
      </c>
      <c r="AG4384">
        <v>-9.3987000000000001E-2</v>
      </c>
      <c r="AH4384">
        <v>0.769390472278902</v>
      </c>
      <c r="AI4384">
        <v>96.902971693152395</v>
      </c>
      <c r="AJ4384">
        <v>82.333875944226506</v>
      </c>
      <c r="AK4384">
        <v>0.78199772718587901</v>
      </c>
      <c r="AL4384">
        <v>81.363453552389601</v>
      </c>
      <c r="AM4384">
        <v>86.285595485424906</v>
      </c>
      <c r="AN4384">
        <v>1.0000000198869701</v>
      </c>
    </row>
    <row r="4385" spans="1:40" x14ac:dyDescent="0.25">
      <c r="A4385" t="str">
        <f>"20190312164357169"</f>
        <v>20190312164357169</v>
      </c>
      <c r="B4385" t="str">
        <f>"1552380237159084"</f>
        <v>1552380237159084</v>
      </c>
      <c r="C4385" t="s">
        <v>40</v>
      </c>
      <c r="D4385">
        <v>4.8490000000000002</v>
      </c>
      <c r="E4385">
        <v>0.51976619999999996</v>
      </c>
      <c r="F4385" t="s">
        <v>41</v>
      </c>
      <c r="G4385">
        <v>-343.27659999999997</v>
      </c>
      <c r="H4385">
        <v>1.0383420000000001</v>
      </c>
      <c r="I4385">
        <v>16.891579999999902</v>
      </c>
      <c r="J4385">
        <v>-343.84930000000003</v>
      </c>
      <c r="K4385">
        <v>1.111189</v>
      </c>
      <c r="L4385">
        <v>16.9758</v>
      </c>
      <c r="M4385">
        <v>0.99987550000000003</v>
      </c>
      <c r="N4385">
        <v>0</v>
      </c>
      <c r="O4385">
        <v>-7.2804590000000004E-3</v>
      </c>
      <c r="P4385">
        <v>0.98794839999999995</v>
      </c>
      <c r="Q4385">
        <v>0.13671410000000001</v>
      </c>
      <c r="R4385">
        <v>-7.2577610000000001E-2</v>
      </c>
      <c r="S4385">
        <v>3.050964</v>
      </c>
      <c r="T4385">
        <v>-0.28132380000000001</v>
      </c>
      <c r="U4385">
        <v>-0.32904050000000001</v>
      </c>
      <c r="V4385">
        <v>6.4971089999999995E-2</v>
      </c>
      <c r="W4385">
        <v>0.1507241</v>
      </c>
      <c r="X4385">
        <v>0.98643860000000005</v>
      </c>
      <c r="Y4385">
        <v>9.9597169999999999E-2</v>
      </c>
      <c r="Z4385">
        <v>-3.900985E-3</v>
      </c>
      <c r="AA4385">
        <v>0.99502020000000002</v>
      </c>
      <c r="AB4385">
        <v>39</v>
      </c>
      <c r="AC4385">
        <v>0.57270000000005405</v>
      </c>
      <c r="AD4385">
        <v>-7.2846999999999801E-2</v>
      </c>
      <c r="AE4385">
        <v>-8.4220000000001904E-2</v>
      </c>
      <c r="AF4385">
        <v>7.87998745248399E-2</v>
      </c>
      <c r="AG4385">
        <v>-7.2846999999999801E-2</v>
      </c>
      <c r="AH4385">
        <v>0.56436018208144301</v>
      </c>
      <c r="AI4385">
        <v>97.285107713061393</v>
      </c>
      <c r="AJ4385">
        <v>82.051355621488199</v>
      </c>
      <c r="AK4385">
        <v>0.57447238467408501</v>
      </c>
      <c r="AL4385">
        <v>81.331108940169599</v>
      </c>
      <c r="AM4385">
        <v>86.231696277706902</v>
      </c>
      <c r="AN4385">
        <v>1.0000000542132701</v>
      </c>
    </row>
    <row r="4386" spans="1:40" x14ac:dyDescent="0.25">
      <c r="A4386" t="str">
        <f>"20190312164357182"</f>
        <v>20190312164357182</v>
      </c>
      <c r="B4386" t="str">
        <f>"1552380237169821"</f>
        <v>1552380237169821</v>
      </c>
      <c r="C4386" t="s">
        <v>40</v>
      </c>
      <c r="D4386">
        <v>4.8759930000000002</v>
      </c>
      <c r="E4386">
        <v>0.50630609999999998</v>
      </c>
      <c r="F4386" t="s">
        <v>41</v>
      </c>
      <c r="G4386">
        <v>-342.9307</v>
      </c>
      <c r="H4386">
        <v>1.0270220000000001</v>
      </c>
      <c r="I4386">
        <v>16.876259999999998</v>
      </c>
      <c r="J4386">
        <v>-343.63869999999997</v>
      </c>
      <c r="K4386">
        <v>1.111199</v>
      </c>
      <c r="L4386">
        <v>16.974699999999999</v>
      </c>
      <c r="M4386">
        <v>0.99987939999999997</v>
      </c>
      <c r="N4386">
        <v>0</v>
      </c>
      <c r="O4386">
        <v>-6.6928029999999998E-3</v>
      </c>
      <c r="P4386">
        <v>0.98793109999999995</v>
      </c>
      <c r="Q4386">
        <v>0.13646839999999999</v>
      </c>
      <c r="R4386">
        <v>-7.3274190000000003E-2</v>
      </c>
      <c r="S4386">
        <v>3.051056</v>
      </c>
      <c r="T4386">
        <v>-0.27964559999999999</v>
      </c>
      <c r="U4386">
        <v>-0.3298645</v>
      </c>
      <c r="V4386">
        <v>6.6247619999999993E-2</v>
      </c>
      <c r="W4386">
        <v>0.15049599999999999</v>
      </c>
      <c r="X4386">
        <v>0.98638840000000005</v>
      </c>
      <c r="Y4386">
        <v>0.100443</v>
      </c>
      <c r="Z4386">
        <v>-3.9697990000000004E-3</v>
      </c>
      <c r="AA4386">
        <v>0.99493489999999996</v>
      </c>
      <c r="AB4386">
        <v>39</v>
      </c>
      <c r="AC4386">
        <v>0.70799999999996899</v>
      </c>
      <c r="AD4386">
        <v>-8.4177000000000099E-2</v>
      </c>
      <c r="AE4386">
        <v>-9.8439999999996503E-2</v>
      </c>
      <c r="AF4386">
        <v>9.2417209944542097E-2</v>
      </c>
      <c r="AG4386">
        <v>-8.4177000000000099E-2</v>
      </c>
      <c r="AH4386">
        <v>0.69895020603195501</v>
      </c>
      <c r="AI4386">
        <v>96.808560416375599</v>
      </c>
      <c r="AJ4386">
        <v>82.467878591463503</v>
      </c>
      <c r="AK4386">
        <v>0.71004091328249896</v>
      </c>
      <c r="AL4386">
        <v>81.344327858695806</v>
      </c>
      <c r="AM4386">
        <v>86.157682598227396</v>
      </c>
      <c r="AN4386">
        <v>0.99999993441310997</v>
      </c>
    </row>
    <row r="4387" spans="1:40" x14ac:dyDescent="0.25">
      <c r="A4387" t="str">
        <f>"20190312164357200"</f>
        <v>20190312164357200</v>
      </c>
      <c r="B4387" t="str">
        <f>"1552380237189343"</f>
        <v>1552380237189343</v>
      </c>
      <c r="C4387" t="s">
        <v>40</v>
      </c>
      <c r="D4387">
        <v>5.1049410000000002</v>
      </c>
      <c r="E4387">
        <v>0.50745220000000002</v>
      </c>
      <c r="F4387" t="s">
        <v>41</v>
      </c>
      <c r="G4387">
        <v>-342.589</v>
      </c>
      <c r="H4387">
        <v>1.0077609999999999</v>
      </c>
      <c r="I4387">
        <v>16.898129999999998</v>
      </c>
      <c r="J4387">
        <v>-343.31729999999999</v>
      </c>
      <c r="K4387">
        <v>1.1112139999999999</v>
      </c>
      <c r="L4387">
        <v>16.973329999999901</v>
      </c>
      <c r="M4387">
        <v>0.99988469999999996</v>
      </c>
      <c r="N4387">
        <v>0</v>
      </c>
      <c r="O4387">
        <v>-5.7957180000000001E-3</v>
      </c>
      <c r="P4387">
        <v>0.98783129999999997</v>
      </c>
      <c r="Q4387">
        <v>0.1364205</v>
      </c>
      <c r="R4387">
        <v>-7.4692670000000003E-2</v>
      </c>
      <c r="S4387">
        <v>3.0618289999999999</v>
      </c>
      <c r="T4387">
        <v>-0.30174489999999998</v>
      </c>
      <c r="U4387">
        <v>-0.22271730000000001</v>
      </c>
      <c r="V4387">
        <v>6.8551940000000006E-2</v>
      </c>
      <c r="W4387">
        <v>0.15047189999999999</v>
      </c>
      <c r="X4387">
        <v>0.98623470000000002</v>
      </c>
      <c r="Y4387">
        <v>6.6473660000000004E-2</v>
      </c>
      <c r="Z4387">
        <v>-2.6942450000000001E-3</v>
      </c>
      <c r="AA4387">
        <v>0.99778460000000002</v>
      </c>
      <c r="AB4387">
        <v>39</v>
      </c>
      <c r="AC4387">
        <v>0.72829999999998996</v>
      </c>
      <c r="AD4387">
        <v>-0.103452999999999</v>
      </c>
      <c r="AE4387">
        <v>-7.5199999999998796E-2</v>
      </c>
      <c r="AF4387">
        <v>6.9588005187278507E-2</v>
      </c>
      <c r="AG4387">
        <v>-0.103452999999999</v>
      </c>
      <c r="AH4387">
        <v>0.71445976741249195</v>
      </c>
      <c r="AI4387">
        <v>98.200827048115201</v>
      </c>
      <c r="AJ4387">
        <v>84.436968483263698</v>
      </c>
      <c r="AK4387">
        <v>0.72525703921165496</v>
      </c>
      <c r="AL4387">
        <v>81.345725359106297</v>
      </c>
      <c r="AM4387">
        <v>86.023837391240406</v>
      </c>
      <c r="AN4387">
        <v>1.0000000223257299</v>
      </c>
    </row>
    <row r="4388" spans="1:40" x14ac:dyDescent="0.25">
      <c r="A4388" t="str">
        <f>"20190312164357212"</f>
        <v>20190312164357212</v>
      </c>
      <c r="B4388" t="str">
        <f>"1552380237209836"</f>
        <v>1552380237209836</v>
      </c>
      <c r="C4388" t="s">
        <v>40</v>
      </c>
      <c r="D4388">
        <v>4.8447420000000001</v>
      </c>
      <c r="E4388">
        <v>0.50620100000000001</v>
      </c>
      <c r="F4388" t="s">
        <v>41</v>
      </c>
      <c r="G4388">
        <v>-342.5729</v>
      </c>
      <c r="H4388">
        <v>1.0400370000000001</v>
      </c>
      <c r="I4388">
        <v>16.91582</v>
      </c>
      <c r="J4388">
        <v>-343.09719999999999</v>
      </c>
      <c r="K4388">
        <v>1.1112219999999999</v>
      </c>
      <c r="L4388">
        <v>16.9726</v>
      </c>
      <c r="M4388">
        <v>0.99988790000000005</v>
      </c>
      <c r="N4388">
        <v>0</v>
      </c>
      <c r="O4388">
        <v>-5.181855E-3</v>
      </c>
      <c r="P4388">
        <v>0.98771019999999998</v>
      </c>
      <c r="Q4388">
        <v>0.1363086</v>
      </c>
      <c r="R4388">
        <v>-7.6478009999999999E-2</v>
      </c>
      <c r="S4388">
        <v>3.0596009999999998</v>
      </c>
      <c r="T4388">
        <v>-0.29263529999999999</v>
      </c>
      <c r="U4388">
        <v>-0.23547360000000001</v>
      </c>
      <c r="V4388">
        <v>7.0944099999999996E-2</v>
      </c>
      <c r="W4388">
        <v>0.1503767</v>
      </c>
      <c r="X4388">
        <v>0.98607999999999996</v>
      </c>
      <c r="Y4388">
        <v>7.1267399999999995E-2</v>
      </c>
      <c r="Z4388">
        <v>-2.9016509999999999E-3</v>
      </c>
      <c r="AA4388">
        <v>0.99745300000000003</v>
      </c>
      <c r="AB4388">
        <v>39</v>
      </c>
      <c r="AC4388">
        <v>0.524299999999982</v>
      </c>
      <c r="AD4388">
        <v>-7.1184999999999804E-2</v>
      </c>
      <c r="AE4388">
        <v>-5.6779999999999803E-2</v>
      </c>
      <c r="AF4388">
        <v>5.3094725718417501E-2</v>
      </c>
      <c r="AG4388">
        <v>-7.1184999999999804E-2</v>
      </c>
      <c r="AH4388">
        <v>0.51520015837460797</v>
      </c>
      <c r="AI4388">
        <v>97.8257963586763</v>
      </c>
      <c r="AJ4388">
        <v>84.116069138254304</v>
      </c>
      <c r="AK4388">
        <v>0.52279781685976401</v>
      </c>
      <c r="AL4388">
        <v>81.3512424301328</v>
      </c>
      <c r="AM4388">
        <v>85.884912120894697</v>
      </c>
      <c r="AN4388">
        <v>0.99999999181385002</v>
      </c>
    </row>
    <row r="4389" spans="1:40" x14ac:dyDescent="0.25">
      <c r="A4389" t="str">
        <f>"20190312164357244"</f>
        <v>20190312164357244</v>
      </c>
      <c r="B4389" t="str">
        <f>"1552380237239117"</f>
        <v>1552380237239117</v>
      </c>
      <c r="C4389" t="s">
        <v>40</v>
      </c>
      <c r="D4389">
        <v>5.0298360000000004</v>
      </c>
      <c r="E4389">
        <v>0.50722469999999997</v>
      </c>
      <c r="F4389" t="s">
        <v>41</v>
      </c>
      <c r="G4389">
        <v>-342.22969999999998</v>
      </c>
      <c r="H4389">
        <v>1.0247389999999901</v>
      </c>
      <c r="I4389">
        <v>16.907329999999899</v>
      </c>
      <c r="J4389">
        <v>-342.54969999999997</v>
      </c>
      <c r="K4389">
        <v>1.1112299999999999</v>
      </c>
      <c r="L4389">
        <v>16.971250000000001</v>
      </c>
      <c r="M4389">
        <v>0.99989430000000001</v>
      </c>
      <c r="N4389">
        <v>0</v>
      </c>
      <c r="O4389">
        <v>-3.6557909999999998E-3</v>
      </c>
      <c r="P4389">
        <v>0.98755959999999998</v>
      </c>
      <c r="Q4389">
        <v>0.13642779999999999</v>
      </c>
      <c r="R4389">
        <v>-7.818986E-2</v>
      </c>
      <c r="S4389">
        <v>3.0616460000000001</v>
      </c>
      <c r="T4389">
        <v>-0.30519950000000001</v>
      </c>
      <c r="U4389">
        <v>-0.23004150000000001</v>
      </c>
      <c r="V4389">
        <v>7.4162909999999999E-2</v>
      </c>
      <c r="W4389">
        <v>0.1505262</v>
      </c>
      <c r="X4389">
        <v>0.98582040000000004</v>
      </c>
      <c r="Y4389">
        <v>7.0947369999999996E-2</v>
      </c>
      <c r="Z4389">
        <v>-3.1594769999999999E-3</v>
      </c>
      <c r="AA4389">
        <v>0.997475</v>
      </c>
      <c r="AB4389">
        <v>39</v>
      </c>
      <c r="AC4389">
        <v>0.31999999999999301</v>
      </c>
      <c r="AD4389">
        <v>-8.6491000000000096E-2</v>
      </c>
      <c r="AE4389">
        <v>-6.3920000000003002E-2</v>
      </c>
      <c r="AF4389">
        <v>5.8630755778680897E-2</v>
      </c>
      <c r="AG4389">
        <v>-8.6491000000000096E-2</v>
      </c>
      <c r="AH4389">
        <v>0.29921174627777603</v>
      </c>
      <c r="AI4389">
        <v>105.83695237687201</v>
      </c>
      <c r="AJ4389">
        <v>78.913323815897797</v>
      </c>
      <c r="AK4389">
        <v>0.316932055360097</v>
      </c>
      <c r="AL4389">
        <v>81.342578749254301</v>
      </c>
      <c r="AM4389">
        <v>85.697763308509494</v>
      </c>
      <c r="AN4389">
        <v>1.00000006758113</v>
      </c>
    </row>
    <row r="4390" spans="1:40" x14ac:dyDescent="0.25">
      <c r="A4390" t="str">
        <f>"20190312164357267"</f>
        <v>20190312164357267</v>
      </c>
      <c r="B4390" t="str">
        <f>"1552380237259619"</f>
        <v>1552380237259619</v>
      </c>
      <c r="C4390" t="s">
        <v>40</v>
      </c>
      <c r="D4390">
        <v>4.9799930000000003</v>
      </c>
      <c r="E4390">
        <v>0.50808169999999997</v>
      </c>
      <c r="F4390" t="s">
        <v>41</v>
      </c>
      <c r="G4390">
        <v>-341.53519999999997</v>
      </c>
      <c r="H4390">
        <v>1.011544</v>
      </c>
      <c r="I4390">
        <v>16.890179999999901</v>
      </c>
      <c r="J4390">
        <v>-342.14269999999999</v>
      </c>
      <c r="K4390">
        <v>1.111224</v>
      </c>
      <c r="L4390">
        <v>16.970829999999999</v>
      </c>
      <c r="M4390">
        <v>0.99989749999999999</v>
      </c>
      <c r="N4390">
        <v>0</v>
      </c>
      <c r="O4390">
        <v>-2.5255970000000001E-3</v>
      </c>
      <c r="P4390">
        <v>0.98739520000000003</v>
      </c>
      <c r="Q4390">
        <v>0.13637079999999999</v>
      </c>
      <c r="R4390">
        <v>-8.0337329999999998E-2</v>
      </c>
      <c r="S4390">
        <v>3.0599059999999998</v>
      </c>
      <c r="T4390">
        <v>-0.30066199999999998</v>
      </c>
      <c r="U4390">
        <v>-0.24487300000000001</v>
      </c>
      <c r="V4390">
        <v>7.7427659999999995E-2</v>
      </c>
      <c r="W4390">
        <v>0.1504894</v>
      </c>
      <c r="X4390">
        <v>0.98557490000000003</v>
      </c>
      <c r="Y4390">
        <v>7.6897380000000001E-2</v>
      </c>
      <c r="Z4390">
        <v>-3.5156749999999998E-3</v>
      </c>
      <c r="AA4390">
        <v>0.99703280000000005</v>
      </c>
      <c r="AB4390">
        <v>39</v>
      </c>
      <c r="AC4390">
        <v>0.60750000000001503</v>
      </c>
      <c r="AD4390">
        <v>-9.9680000000000005E-2</v>
      </c>
      <c r="AE4390">
        <v>-8.0650000000002095E-2</v>
      </c>
      <c r="AF4390">
        <v>7.7076109358420894E-2</v>
      </c>
      <c r="AG4390">
        <v>-9.9680000000000005E-2</v>
      </c>
      <c r="AH4390">
        <v>0.59203837990353902</v>
      </c>
      <c r="AI4390">
        <v>99.478592099737</v>
      </c>
      <c r="AJ4390">
        <v>82.582512972766395</v>
      </c>
      <c r="AK4390">
        <v>0.60529849852171103</v>
      </c>
      <c r="AL4390">
        <v>81.344710876250105</v>
      </c>
      <c r="AM4390">
        <v>85.508017551359799</v>
      </c>
      <c r="AN4390">
        <v>0.999999992777722</v>
      </c>
    </row>
    <row r="4391" spans="1:40" x14ac:dyDescent="0.25">
      <c r="A4391" t="str">
        <f>"20190312164357290"</f>
        <v>20190312164357290</v>
      </c>
      <c r="B4391" t="str">
        <f>"1552380237279133"</f>
        <v>1552380237279133</v>
      </c>
      <c r="C4391" t="s">
        <v>40</v>
      </c>
      <c r="D4391">
        <v>4.877923</v>
      </c>
      <c r="E4391">
        <v>0.50844469999999997</v>
      </c>
      <c r="F4391" t="s">
        <v>41</v>
      </c>
      <c r="G4391">
        <v>-341.18200000000002</v>
      </c>
      <c r="H4391">
        <v>1.0179100000000001</v>
      </c>
      <c r="I4391">
        <v>16.88982</v>
      </c>
      <c r="J4391">
        <v>-341.73360000000002</v>
      </c>
      <c r="K4391">
        <v>1.111216</v>
      </c>
      <c r="L4391">
        <v>16.970859999999998</v>
      </c>
      <c r="M4391">
        <v>0.9998996</v>
      </c>
      <c r="N4391">
        <v>0</v>
      </c>
      <c r="O4391">
        <v>-1.3954289999999999E-3</v>
      </c>
      <c r="P4391">
        <v>0.98730030000000002</v>
      </c>
      <c r="Q4391">
        <v>0.1356994</v>
      </c>
      <c r="R4391">
        <v>-8.2606239999999997E-2</v>
      </c>
      <c r="S4391">
        <v>3.0583499999999999</v>
      </c>
      <c r="T4391">
        <v>-0.29708759999999901</v>
      </c>
      <c r="U4391">
        <v>-0.25775150000000002</v>
      </c>
      <c r="V4391">
        <v>8.0816009999999994E-2</v>
      </c>
      <c r="W4391">
        <v>0.1498369</v>
      </c>
      <c r="X4391">
        <v>0.98540229999999995</v>
      </c>
      <c r="Y4391">
        <v>8.2211820000000005E-2</v>
      </c>
      <c r="Z4391">
        <v>-3.841639E-3</v>
      </c>
      <c r="AA4391">
        <v>0.99660749999999998</v>
      </c>
      <c r="AB4391">
        <v>39</v>
      </c>
      <c r="AC4391">
        <v>0.55160000000006404</v>
      </c>
      <c r="AD4391">
        <v>-9.3305999999999806E-2</v>
      </c>
      <c r="AE4391">
        <v>-8.10400000000015E-2</v>
      </c>
      <c r="AF4391">
        <v>7.8083103546163102E-2</v>
      </c>
      <c r="AG4391">
        <v>-9.3305999999999806E-2</v>
      </c>
      <c r="AH4391">
        <v>0.53668071945889695</v>
      </c>
      <c r="AI4391">
        <v>99.761949411431402</v>
      </c>
      <c r="AJ4391">
        <v>81.721968825943407</v>
      </c>
      <c r="AK4391">
        <v>0.55029916893842401</v>
      </c>
      <c r="AL4391">
        <v>81.382525276784094</v>
      </c>
      <c r="AM4391">
        <v>85.311482086551905</v>
      </c>
      <c r="AN4391">
        <v>1.0000000084596099</v>
      </c>
    </row>
    <row r="4392" spans="1:40" x14ac:dyDescent="0.25">
      <c r="A4392" t="str">
        <f>"20190312164357311"</f>
        <v>20190312164357311</v>
      </c>
      <c r="B4392" t="str">
        <f>"1552380237299628"</f>
        <v>1552380237299628</v>
      </c>
      <c r="C4392" t="s">
        <v>40</v>
      </c>
      <c r="D4392">
        <v>4.8558599999999998</v>
      </c>
      <c r="E4392">
        <v>0.50857680000000005</v>
      </c>
      <c r="F4392" t="s">
        <v>41</v>
      </c>
      <c r="G4392">
        <v>-340.8295</v>
      </c>
      <c r="H4392">
        <v>1.0231889999999999</v>
      </c>
      <c r="I4392">
        <v>16.892050000000001</v>
      </c>
      <c r="J4392">
        <v>-341.37090000000001</v>
      </c>
      <c r="K4392">
        <v>1.1112010000000001</v>
      </c>
      <c r="L4392">
        <v>16.971219999999999</v>
      </c>
      <c r="M4392">
        <v>0.99990040000000002</v>
      </c>
      <c r="N4392">
        <v>0</v>
      </c>
      <c r="O4392">
        <v>-4.0308290000000001E-4</v>
      </c>
      <c r="P4392">
        <v>0.98727450000000005</v>
      </c>
      <c r="Q4392">
        <v>0.1345237</v>
      </c>
      <c r="R4392">
        <v>-8.4809090000000004E-2</v>
      </c>
      <c r="S4392">
        <v>3.05722</v>
      </c>
      <c r="T4392">
        <v>-0.29770920000000001</v>
      </c>
      <c r="U4392">
        <v>-0.26629639999999999</v>
      </c>
      <c r="V4392">
        <v>8.4004389999999998E-2</v>
      </c>
      <c r="W4392">
        <v>0.14867659999999999</v>
      </c>
      <c r="X4392">
        <v>0.98531139999999995</v>
      </c>
      <c r="Y4392">
        <v>8.5972199999999999E-2</v>
      </c>
      <c r="Z4392">
        <v>-4.129143E-3</v>
      </c>
      <c r="AA4392">
        <v>0.99628899999999998</v>
      </c>
      <c r="AB4392">
        <v>39</v>
      </c>
      <c r="AC4392">
        <v>0.54140000000000998</v>
      </c>
      <c r="AD4392">
        <v>-8.8012000000000201E-2</v>
      </c>
      <c r="AE4392">
        <v>-7.9170000000001295E-2</v>
      </c>
      <c r="AF4392">
        <v>7.6960491133787806E-2</v>
      </c>
      <c r="AG4392">
        <v>-8.8012000000000201E-2</v>
      </c>
      <c r="AH4392">
        <v>0.52777635132838396</v>
      </c>
      <c r="AI4392">
        <v>99.370213778447294</v>
      </c>
      <c r="AJ4392">
        <v>81.703587803644893</v>
      </c>
      <c r="AK4392">
        <v>0.54057090780123895</v>
      </c>
      <c r="AL4392">
        <v>81.449758720119803</v>
      </c>
      <c r="AM4392">
        <v>85.126935559835303</v>
      </c>
      <c r="AN4392">
        <v>1.0000000119483901</v>
      </c>
    </row>
    <row r="4393" spans="1:40" x14ac:dyDescent="0.25">
      <c r="A4393" t="str">
        <f>"20190312164357335"</f>
        <v>20190312164357335</v>
      </c>
      <c r="B4393" t="str">
        <f>"1552380237329884"</f>
        <v>1552380237329884</v>
      </c>
      <c r="C4393" t="s">
        <v>40</v>
      </c>
      <c r="D4393">
        <v>4.8820540000000001</v>
      </c>
      <c r="E4393">
        <v>0.50869509999999996</v>
      </c>
      <c r="F4393" t="s">
        <v>41</v>
      </c>
      <c r="G4393">
        <v>-340.47859999999997</v>
      </c>
      <c r="H4393">
        <v>1.025838</v>
      </c>
      <c r="I4393">
        <v>16.891169999999999</v>
      </c>
      <c r="J4393">
        <v>-340.9726</v>
      </c>
      <c r="K4393">
        <v>1.1111850000000001</v>
      </c>
      <c r="L4393">
        <v>16.972079999999998</v>
      </c>
      <c r="M4393">
        <v>0.99990000000000001</v>
      </c>
      <c r="N4393">
        <v>0</v>
      </c>
      <c r="O4393">
        <v>6.7743879999999999E-4</v>
      </c>
      <c r="P4393">
        <v>0.98720870000000005</v>
      </c>
      <c r="Q4393">
        <v>0.1334101</v>
      </c>
      <c r="R4393">
        <v>-8.7297509999999995E-2</v>
      </c>
      <c r="S4393">
        <v>3.0550229999999998</v>
      </c>
      <c r="T4393">
        <v>-0.29234979999999999</v>
      </c>
      <c r="U4393">
        <v>-0.27331539999999999</v>
      </c>
      <c r="V4393">
        <v>8.7565799999999999E-2</v>
      </c>
      <c r="W4393">
        <v>0.14757729999999999</v>
      </c>
      <c r="X4393">
        <v>0.98516649999999995</v>
      </c>
      <c r="Y4393">
        <v>8.9375040000000003E-2</v>
      </c>
      <c r="Z4393">
        <v>-4.3227300000000003E-3</v>
      </c>
      <c r="AA4393">
        <v>0.99598869999999895</v>
      </c>
      <c r="AB4393">
        <v>39</v>
      </c>
      <c r="AC4393">
        <v>0.49400000000002797</v>
      </c>
      <c r="AD4393">
        <v>-8.5347000000000006E-2</v>
      </c>
      <c r="AE4393">
        <v>-8.0909999999995805E-2</v>
      </c>
      <c r="AF4393">
        <v>7.8949702794698401E-2</v>
      </c>
      <c r="AG4393">
        <v>-8.5347000000000006E-2</v>
      </c>
      <c r="AH4393">
        <v>0.47999230764593898</v>
      </c>
      <c r="AI4393">
        <v>99.951349434771402</v>
      </c>
      <c r="AJ4393">
        <v>80.659555471767504</v>
      </c>
      <c r="AK4393">
        <v>0.49387223183698498</v>
      </c>
      <c r="AL4393">
        <v>81.513445860767206</v>
      </c>
      <c r="AM4393">
        <v>84.920655007273098</v>
      </c>
      <c r="AN4393">
        <v>0.99999993076358695</v>
      </c>
    </row>
    <row r="4394" spans="1:40" x14ac:dyDescent="0.25">
      <c r="A4394" t="str">
        <f>"20190312164357357"</f>
        <v>20190312164357357</v>
      </c>
      <c r="B4394" t="str">
        <f>"1552380237349403"</f>
        <v>1552380237349403</v>
      </c>
      <c r="C4394" t="s">
        <v>40</v>
      </c>
      <c r="D4394">
        <v>4.8964429999999997</v>
      </c>
      <c r="E4394">
        <v>0.50861809999999996</v>
      </c>
      <c r="F4394" t="s">
        <v>41</v>
      </c>
      <c r="G4394">
        <v>-340.1259</v>
      </c>
      <c r="H4394">
        <v>1.0326740000000001</v>
      </c>
      <c r="I4394">
        <v>16.893380000000001</v>
      </c>
      <c r="J4394">
        <v>-340.5736</v>
      </c>
      <c r="K4394">
        <v>1.1111869999999999</v>
      </c>
      <c r="L4394">
        <v>16.973329999999901</v>
      </c>
      <c r="M4394">
        <v>0.99989859999999997</v>
      </c>
      <c r="N4394">
        <v>0</v>
      </c>
      <c r="O4394">
        <v>1.7478719999999999E-3</v>
      </c>
      <c r="P4394">
        <v>0.9869367</v>
      </c>
      <c r="Q4394">
        <v>0.13361419999999999</v>
      </c>
      <c r="R4394">
        <v>-9.0017159999999999E-2</v>
      </c>
      <c r="S4394">
        <v>3.0521240000000001</v>
      </c>
      <c r="T4394">
        <v>-0.28305269999999999</v>
      </c>
      <c r="U4394">
        <v>-0.28311160000000002</v>
      </c>
      <c r="V4394">
        <v>9.1345350000000006E-2</v>
      </c>
      <c r="W4394">
        <v>0.147790899999999</v>
      </c>
      <c r="X4394">
        <v>0.98479130000000004</v>
      </c>
      <c r="Y4394">
        <v>9.3696710000000002E-2</v>
      </c>
      <c r="Z4394">
        <v>-4.4875929999999998E-3</v>
      </c>
      <c r="AA4394">
        <v>0.99559070000000005</v>
      </c>
      <c r="AB4394">
        <v>39</v>
      </c>
      <c r="AC4394">
        <v>0.44769999999999699</v>
      </c>
      <c r="AD4394">
        <v>-7.8513000000000194E-2</v>
      </c>
      <c r="AE4394">
        <v>-7.9949999999996593E-2</v>
      </c>
      <c r="AF4394">
        <v>7.8395961083653903E-2</v>
      </c>
      <c r="AG4394">
        <v>-7.8513000000000194E-2</v>
      </c>
      <c r="AH4394">
        <v>0.43460652464890898</v>
      </c>
      <c r="AI4394">
        <v>100.08093382748299</v>
      </c>
      <c r="AJ4394">
        <v>79.774729662547301</v>
      </c>
      <c r="AK4394">
        <v>0.44854548169682001</v>
      </c>
      <c r="AL4394">
        <v>81.501072505712898</v>
      </c>
      <c r="AM4394">
        <v>84.700633186603696</v>
      </c>
      <c r="AN4394">
        <v>1.00000001382256</v>
      </c>
    </row>
    <row r="4395" spans="1:40" x14ac:dyDescent="0.25">
      <c r="A4395" t="str">
        <f>"20190312164357379"</f>
        <v>20190312164357379</v>
      </c>
      <c r="B4395" t="str">
        <f>"1552380237368924"</f>
        <v>1552380237368924</v>
      </c>
      <c r="C4395" t="s">
        <v>40</v>
      </c>
      <c r="D4395">
        <v>4.8932949999999904</v>
      </c>
      <c r="E4395">
        <v>0.50849179999999905</v>
      </c>
      <c r="F4395" t="s">
        <v>41</v>
      </c>
      <c r="G4395">
        <v>-339.77440000000001</v>
      </c>
      <c r="H4395">
        <v>1.037652</v>
      </c>
      <c r="I4395">
        <v>16.896979999999999</v>
      </c>
      <c r="J4395">
        <v>-340.17860000000002</v>
      </c>
      <c r="K4395">
        <v>1.1111930000000001</v>
      </c>
      <c r="L4395">
        <v>16.97495</v>
      </c>
      <c r="M4395">
        <v>0.99989620000000001</v>
      </c>
      <c r="N4395">
        <v>0</v>
      </c>
      <c r="O4395">
        <v>2.7850459999999998E-3</v>
      </c>
      <c r="P4395">
        <v>0.98632960000000003</v>
      </c>
      <c r="Q4395">
        <v>0.1356348</v>
      </c>
      <c r="R4395">
        <v>-9.3578309999999998E-2</v>
      </c>
      <c r="S4395">
        <v>3.0511469999999998</v>
      </c>
      <c r="T4395">
        <v>-0.28077669999999999</v>
      </c>
      <c r="U4395">
        <v>-0.29147339999999999</v>
      </c>
      <c r="V4395">
        <v>9.5928479999999997E-2</v>
      </c>
      <c r="W4395">
        <v>0.14981520000000001</v>
      </c>
      <c r="X4395">
        <v>0.98404939999999996</v>
      </c>
      <c r="Y4395">
        <v>9.7448789999999993E-2</v>
      </c>
      <c r="Z4395">
        <v>-4.7194359999999996E-3</v>
      </c>
      <c r="AA4395">
        <v>0.99522940000000004</v>
      </c>
      <c r="AB4395">
        <v>39</v>
      </c>
      <c r="AC4395">
        <v>0.404200000000003</v>
      </c>
      <c r="AD4395">
        <v>-7.3540999999999995E-2</v>
      </c>
      <c r="AE4395">
        <v>-7.7970000000000497E-2</v>
      </c>
      <c r="AF4395">
        <v>7.6649238166853997E-2</v>
      </c>
      <c r="AG4395">
        <v>-7.3540999999999995E-2</v>
      </c>
      <c r="AH4395">
        <v>0.39148682039690402</v>
      </c>
      <c r="AI4395">
        <v>100.44522193086399</v>
      </c>
      <c r="AJ4395">
        <v>78.922187175185996</v>
      </c>
      <c r="AK4395">
        <v>0.40564185550438098</v>
      </c>
      <c r="AL4395">
        <v>81.383783102707397</v>
      </c>
      <c r="AM4395">
        <v>84.432205150949599</v>
      </c>
      <c r="AN4395">
        <v>1.00000004453325</v>
      </c>
    </row>
    <row r="4396" spans="1:40" x14ac:dyDescent="0.25">
      <c r="A4396" t="str">
        <f>"20190312164357400"</f>
        <v>20190312164357400</v>
      </c>
      <c r="B4396" t="str">
        <f>"1552380237389421"</f>
        <v>1552380237389421</v>
      </c>
      <c r="C4396" t="s">
        <v>40</v>
      </c>
      <c r="D4396">
        <v>4.9214840000000004</v>
      </c>
      <c r="E4396">
        <v>0.50830520000000001</v>
      </c>
      <c r="F4396" t="s">
        <v>41</v>
      </c>
      <c r="G4396">
        <v>-339.42309999999998</v>
      </c>
      <c r="H4396">
        <v>1.0428789999999999</v>
      </c>
      <c r="I4396">
        <v>16.900369999999999</v>
      </c>
      <c r="J4396">
        <v>-339.82100000000003</v>
      </c>
      <c r="K4396">
        <v>1.1111759999999999</v>
      </c>
      <c r="L4396">
        <v>16.976779999999899</v>
      </c>
      <c r="M4396">
        <v>0.99989340000000004</v>
      </c>
      <c r="N4396">
        <v>0</v>
      </c>
      <c r="O4396">
        <v>3.6849500000000002E-3</v>
      </c>
      <c r="P4396">
        <v>0.98563769999999995</v>
      </c>
      <c r="Q4396">
        <v>0.13779359999999999</v>
      </c>
      <c r="R4396">
        <v>-9.7629599999999997E-2</v>
      </c>
      <c r="S4396">
        <v>3.0509339999999998</v>
      </c>
      <c r="T4396">
        <v>-0.27597709999999998</v>
      </c>
      <c r="U4396">
        <v>-0.30111690000000002</v>
      </c>
      <c r="V4396">
        <v>0.1008685</v>
      </c>
      <c r="W4396">
        <v>0.1519732</v>
      </c>
      <c r="X4396">
        <v>0.98322419999999999</v>
      </c>
      <c r="Y4396">
        <v>0.1014611</v>
      </c>
      <c r="Z4396">
        <v>-4.9004259999999899E-3</v>
      </c>
      <c r="AA4396">
        <v>0.99482740000000003</v>
      </c>
      <c r="AB4396">
        <v>39</v>
      </c>
      <c r="AC4396">
        <v>0.39789999999999198</v>
      </c>
      <c r="AD4396">
        <v>-6.8296999999999802E-2</v>
      </c>
      <c r="AE4396">
        <v>-7.6409999999995606E-2</v>
      </c>
      <c r="AF4396">
        <v>7.5724260414316805E-2</v>
      </c>
      <c r="AG4396">
        <v>-6.8296999999999802E-2</v>
      </c>
      <c r="AH4396">
        <v>0.38663009966698397</v>
      </c>
      <c r="AI4396">
        <v>99.834671816055106</v>
      </c>
      <c r="AJ4396">
        <v>78.918487873313396</v>
      </c>
      <c r="AK4396">
        <v>0.39985181979427997</v>
      </c>
      <c r="AL4396">
        <v>81.258706857844501</v>
      </c>
      <c r="AM4396">
        <v>84.142545193316707</v>
      </c>
      <c r="AN4396">
        <v>1.00000006763806</v>
      </c>
    </row>
    <row r="4397" spans="1:40" x14ac:dyDescent="0.25">
      <c r="A4397" t="str">
        <f>"20190312164357423"</f>
        <v>20190312164357423</v>
      </c>
      <c r="B4397" t="str">
        <f>"1552380237419676"</f>
        <v>1552380237419676</v>
      </c>
      <c r="C4397" t="s">
        <v>40</v>
      </c>
      <c r="D4397">
        <v>4.9853360000000002</v>
      </c>
      <c r="E4397">
        <v>0.5083588</v>
      </c>
      <c r="F4397" t="s">
        <v>41</v>
      </c>
      <c r="G4397">
        <v>-339.07339999999999</v>
      </c>
      <c r="H4397">
        <v>1.0446660000000001</v>
      </c>
      <c r="I4397">
        <v>16.900320000000001</v>
      </c>
      <c r="J4397">
        <v>-339.42869999999999</v>
      </c>
      <c r="K4397">
        <v>1.111132</v>
      </c>
      <c r="L4397">
        <v>16.979099999999999</v>
      </c>
      <c r="M4397">
        <v>0.99988940000000004</v>
      </c>
      <c r="N4397">
        <v>0</v>
      </c>
      <c r="O4397">
        <v>4.6040909999999899E-3</v>
      </c>
      <c r="P4397">
        <v>0.9849656</v>
      </c>
      <c r="Q4397">
        <v>0.1396606</v>
      </c>
      <c r="R4397">
        <v>-0.1016741</v>
      </c>
      <c r="S4397">
        <v>3.0508730000000002</v>
      </c>
      <c r="T4397">
        <v>-0.27151140000000001</v>
      </c>
      <c r="U4397">
        <v>-0.3107605</v>
      </c>
      <c r="V4397">
        <v>0.1058284</v>
      </c>
      <c r="W4397">
        <v>0.15383269999999999</v>
      </c>
      <c r="X4397">
        <v>0.98241330000000004</v>
      </c>
      <c r="Y4397">
        <v>0.1054843</v>
      </c>
      <c r="Z4397">
        <v>-5.0804409999999998E-3</v>
      </c>
      <c r="AA4397">
        <v>0.99440799999999996</v>
      </c>
      <c r="AB4397">
        <v>39</v>
      </c>
      <c r="AC4397">
        <v>0.35529999999999901</v>
      </c>
      <c r="AD4397">
        <v>-6.64659999999999E-2</v>
      </c>
      <c r="AE4397">
        <v>-7.8779999999998296E-2</v>
      </c>
      <c r="AF4397">
        <v>7.78194661271739E-2</v>
      </c>
      <c r="AG4397">
        <v>-6.64659999999999E-2</v>
      </c>
      <c r="AH4397">
        <v>0.34347669990808599</v>
      </c>
      <c r="AI4397">
        <v>100.68751686490801</v>
      </c>
      <c r="AJ4397">
        <v>77.234350711958697</v>
      </c>
      <c r="AK4397">
        <v>0.35839899810695303</v>
      </c>
      <c r="AL4397">
        <v>81.150897223680602</v>
      </c>
      <c r="AM4397">
        <v>83.851642189032901</v>
      </c>
      <c r="AN4397">
        <v>1.00000002092637</v>
      </c>
    </row>
    <row r="4398" spans="1:40" x14ac:dyDescent="0.25">
      <c r="A4398" t="str">
        <f>"20190312164357446"</f>
        <v>20190312164357446</v>
      </c>
      <c r="B4398" t="str">
        <f>"1552380237439197"</f>
        <v>1552380237439197</v>
      </c>
      <c r="C4398" t="s">
        <v>40</v>
      </c>
      <c r="D4398">
        <v>4.9653700000000001</v>
      </c>
      <c r="E4398">
        <v>0.50818269999999999</v>
      </c>
      <c r="F4398" t="s">
        <v>41</v>
      </c>
      <c r="G4398">
        <v>-338.38889999999998</v>
      </c>
      <c r="H4398">
        <v>1.020044</v>
      </c>
      <c r="I4398">
        <v>16.8688</v>
      </c>
      <c r="J4398">
        <v>-339.03629999999998</v>
      </c>
      <c r="K4398">
        <v>1.1110690000000001</v>
      </c>
      <c r="L4398">
        <v>16.981719999999999</v>
      </c>
      <c r="M4398">
        <v>0.99988529999999998</v>
      </c>
      <c r="N4398">
        <v>0</v>
      </c>
      <c r="O4398">
        <v>5.4288579999999999E-3</v>
      </c>
      <c r="P4398">
        <v>0.98440989999999995</v>
      </c>
      <c r="Q4398">
        <v>0.14041049999999999</v>
      </c>
      <c r="R4398">
        <v>-0.1059355</v>
      </c>
      <c r="S4398">
        <v>3.0502929999999999</v>
      </c>
      <c r="T4398">
        <v>-0.26725939999999998</v>
      </c>
      <c r="U4398">
        <v>-0.32308959999999998</v>
      </c>
      <c r="V4398">
        <v>0.1109233</v>
      </c>
      <c r="W4398">
        <v>0.1545686</v>
      </c>
      <c r="X4398">
        <v>0.98173549999999998</v>
      </c>
      <c r="Y4398">
        <v>0.11029079999999999</v>
      </c>
      <c r="Z4398">
        <v>-5.2826139999999997E-3</v>
      </c>
      <c r="AA4398">
        <v>0.99388529999999997</v>
      </c>
      <c r="AB4398">
        <v>39</v>
      </c>
      <c r="AC4398">
        <v>0.64740000000000397</v>
      </c>
      <c r="AD4398">
        <v>-9.1025000000000106E-2</v>
      </c>
      <c r="AE4398">
        <v>-0.112920000000002</v>
      </c>
      <c r="AF4398">
        <v>0.114241610405802</v>
      </c>
      <c r="AG4398">
        <v>-9.1025000000000106E-2</v>
      </c>
      <c r="AH4398">
        <v>0.63460255334286297</v>
      </c>
      <c r="AI4398">
        <v>98.0351808772526</v>
      </c>
      <c r="AJ4398">
        <v>79.794876210160993</v>
      </c>
      <c r="AK4398">
        <v>0.65119666528813902</v>
      </c>
      <c r="AL4398">
        <v>81.108222768378297</v>
      </c>
      <c r="AM4398">
        <v>83.553663272319994</v>
      </c>
      <c r="AN4398">
        <v>1.00000001127455</v>
      </c>
    </row>
    <row r="4399" spans="1:40" x14ac:dyDescent="0.25">
      <c r="A4399" t="str">
        <f>"20190312164357467"</f>
        <v>20190312164357467</v>
      </c>
      <c r="B4399" t="str">
        <f>"1552380237459692"</f>
        <v>1552380237459692</v>
      </c>
      <c r="C4399" t="s">
        <v>40</v>
      </c>
      <c r="D4399">
        <v>4.9804789999999999</v>
      </c>
      <c r="E4399">
        <v>0.50792490000000001</v>
      </c>
      <c r="F4399" t="s">
        <v>41</v>
      </c>
      <c r="G4399">
        <v>-338.03910000000002</v>
      </c>
      <c r="H4399">
        <v>1.0241979999999999</v>
      </c>
      <c r="I4399">
        <v>16.872309999999999</v>
      </c>
      <c r="J4399">
        <v>-338.64170000000001</v>
      </c>
      <c r="K4399">
        <v>1.1109899999999999</v>
      </c>
      <c r="L4399">
        <v>16.984559999999998</v>
      </c>
      <c r="M4399">
        <v>0.99988100000000002</v>
      </c>
      <c r="N4399">
        <v>0</v>
      </c>
      <c r="O4399">
        <v>6.1662449999999999E-3</v>
      </c>
      <c r="P4399">
        <v>0.9839987</v>
      </c>
      <c r="Q4399">
        <v>0.13967470000000001</v>
      </c>
      <c r="R4399">
        <v>-0.1106231</v>
      </c>
      <c r="S4399">
        <v>3.0494379999999999</v>
      </c>
      <c r="T4399">
        <v>-0.26565719999999998</v>
      </c>
      <c r="U4399">
        <v>-0.33444210000000002</v>
      </c>
      <c r="V4399">
        <v>0.1163662</v>
      </c>
      <c r="W4399">
        <v>0.15381619999999999</v>
      </c>
      <c r="X4399">
        <v>0.98122350000000003</v>
      </c>
      <c r="Y4399">
        <v>0.1146953</v>
      </c>
      <c r="Z4399">
        <v>-5.5063459999999996E-3</v>
      </c>
      <c r="AA4399">
        <v>0.99338539999999997</v>
      </c>
      <c r="AB4399">
        <v>39</v>
      </c>
      <c r="AC4399">
        <v>0.60259999999999503</v>
      </c>
      <c r="AD4399">
        <v>-8.6791999999999897E-2</v>
      </c>
      <c r="AE4399">
        <v>-0.112250000000003</v>
      </c>
      <c r="AF4399">
        <v>0.113684779186801</v>
      </c>
      <c r="AG4399">
        <v>-8.6791999999999897E-2</v>
      </c>
      <c r="AH4399">
        <v>0.59006622391013597</v>
      </c>
      <c r="AI4399">
        <v>98.218531283449906</v>
      </c>
      <c r="AJ4399">
        <v>79.094763020861194</v>
      </c>
      <c r="AK4399">
        <v>0.60715338167741295</v>
      </c>
      <c r="AL4399">
        <v>81.151854129463302</v>
      </c>
      <c r="AM4399">
        <v>83.236712767425701</v>
      </c>
      <c r="AN4399">
        <v>1.0000000364185599</v>
      </c>
    </row>
    <row r="4400" spans="1:40" x14ac:dyDescent="0.25">
      <c r="A4400" t="str">
        <f>"20190312164357490"</f>
        <v>20190312164357490</v>
      </c>
      <c r="B4400" t="str">
        <f>"1552380237479216"</f>
        <v>1552380237479216</v>
      </c>
      <c r="C4400" t="s">
        <v>40</v>
      </c>
      <c r="D4400">
        <v>4.9965260000000002</v>
      </c>
      <c r="E4400">
        <v>0.50767429999999902</v>
      </c>
      <c r="F4400" t="s">
        <v>41</v>
      </c>
      <c r="G4400">
        <v>-337.6902</v>
      </c>
      <c r="H4400">
        <v>1.0269459999999999</v>
      </c>
      <c r="I4400">
        <v>16.876010000000001</v>
      </c>
      <c r="J4400">
        <v>-338.2466</v>
      </c>
      <c r="K4400">
        <v>1.1108960000000001</v>
      </c>
      <c r="L4400">
        <v>16.987549999999999</v>
      </c>
      <c r="M4400">
        <v>0.99987700000000002</v>
      </c>
      <c r="N4400">
        <v>0</v>
      </c>
      <c r="O4400">
        <v>6.7819839999999996E-3</v>
      </c>
      <c r="P4400">
        <v>0.9836684</v>
      </c>
      <c r="Q4400">
        <v>0.13824400000000001</v>
      </c>
      <c r="R4400">
        <v>-0.11526069999999999</v>
      </c>
      <c r="S4400">
        <v>3.0480040000000002</v>
      </c>
      <c r="T4400">
        <v>-0.26922439999999997</v>
      </c>
      <c r="U4400">
        <v>-0.34680179999999999</v>
      </c>
      <c r="V4400">
        <v>0.1216458</v>
      </c>
      <c r="W4400">
        <v>0.152363</v>
      </c>
      <c r="X4400">
        <v>0.98080979999999995</v>
      </c>
      <c r="Y4400">
        <v>0.1193024</v>
      </c>
      <c r="Z4400">
        <v>-5.8379060000000003E-3</v>
      </c>
      <c r="AA4400">
        <v>0.99284079999999997</v>
      </c>
      <c r="AB4400">
        <v>39</v>
      </c>
      <c r="AC4400">
        <v>0.55639999999999601</v>
      </c>
      <c r="AD4400">
        <v>-8.39499999999999E-2</v>
      </c>
      <c r="AE4400">
        <v>-0.111539999999997</v>
      </c>
      <c r="AF4400">
        <v>0.112841714741978</v>
      </c>
      <c r="AG4400">
        <v>-8.39499999999999E-2</v>
      </c>
      <c r="AH4400">
        <v>0.54373086316002095</v>
      </c>
      <c r="AI4400">
        <v>98.596596963838607</v>
      </c>
      <c r="AJ4400">
        <v>78.275704969607901</v>
      </c>
      <c r="AK4400">
        <v>0.56162630515196799</v>
      </c>
      <c r="AL4400">
        <v>81.236109428822601</v>
      </c>
      <c r="AM4400">
        <v>82.929944444355897</v>
      </c>
      <c r="AN4400">
        <v>1.00000002410133</v>
      </c>
    </row>
    <row r="4401" spans="1:40" x14ac:dyDescent="0.25">
      <c r="A4401" t="str">
        <f>"20190312164357534"</f>
        <v>20190312164357534</v>
      </c>
      <c r="B4401" t="str">
        <f>"1552380237528989"</f>
        <v>1552380237528989</v>
      </c>
      <c r="C4401" t="s">
        <v>40</v>
      </c>
      <c r="D4401">
        <v>4.8565209999999999</v>
      </c>
      <c r="E4401">
        <v>0.5344371</v>
      </c>
      <c r="F4401" t="s">
        <v>41</v>
      </c>
      <c r="G4401">
        <v>-337.34179999999998</v>
      </c>
      <c r="H4401">
        <v>1.029118</v>
      </c>
      <c r="I4401">
        <v>16.8812</v>
      </c>
      <c r="J4401">
        <v>-337.47949999999997</v>
      </c>
      <c r="K4401">
        <v>1.1106499999999999</v>
      </c>
      <c r="L4401">
        <v>16.993679999999902</v>
      </c>
      <c r="M4401">
        <v>0.99987150000000002</v>
      </c>
      <c r="N4401">
        <v>0</v>
      </c>
      <c r="O4401">
        <v>7.5372369999999996E-3</v>
      </c>
      <c r="P4401">
        <v>0.98240950000000005</v>
      </c>
      <c r="Q4401">
        <v>0.1372881</v>
      </c>
      <c r="R4401">
        <v>-0.12658440000000001</v>
      </c>
      <c r="S4401">
        <v>3.04657</v>
      </c>
      <c r="T4401">
        <v>-0.27532820000000002</v>
      </c>
      <c r="U4401">
        <v>-0.35815429999999998</v>
      </c>
      <c r="V4401">
        <v>0.13379160000000001</v>
      </c>
      <c r="W4401">
        <v>0.1513322</v>
      </c>
      <c r="X4401">
        <v>0.97938670000000005</v>
      </c>
      <c r="Y4401">
        <v>0.12371119999999999</v>
      </c>
      <c r="Z4401">
        <v>-6.2372909999999998E-3</v>
      </c>
      <c r="AA4401">
        <v>0.99229869999999998</v>
      </c>
      <c r="AB4401">
        <v>39</v>
      </c>
      <c r="AC4401">
        <v>0.13769999999999499</v>
      </c>
      <c r="AD4401">
        <v>-8.1531999999999896E-2</v>
      </c>
      <c r="AE4401">
        <v>-0.112479999999997</v>
      </c>
      <c r="AF4401">
        <v>9.3792470345752804E-2</v>
      </c>
      <c r="AG4401">
        <v>-8.1531999999999896E-2</v>
      </c>
      <c r="AH4401">
        <v>0.113071896463736</v>
      </c>
      <c r="AI4401">
        <v>119.02951555622199</v>
      </c>
      <c r="AJ4401">
        <v>50.324493922681803</v>
      </c>
      <c r="AK4401">
        <v>0.168017107127413</v>
      </c>
      <c r="AL4401">
        <v>81.295862329051502</v>
      </c>
      <c r="AM4401">
        <v>82.221115343829894</v>
      </c>
      <c r="AN4401">
        <v>0.99999996756214404</v>
      </c>
    </row>
    <row r="4402" spans="1:40" x14ac:dyDescent="0.25">
      <c r="A4402" t="str">
        <f>"20190312164357558"</f>
        <v>20190312164357558</v>
      </c>
      <c r="B4402" t="str">
        <f>"1552380237549484"</f>
        <v>1552380237549484</v>
      </c>
      <c r="C4402" t="s">
        <v>40</v>
      </c>
      <c r="D4402">
        <v>4.9317260000000003</v>
      </c>
      <c r="E4402">
        <v>0.53729059999999995</v>
      </c>
      <c r="F4402" t="s">
        <v>42</v>
      </c>
      <c r="G4402">
        <v>-324.89659999999998</v>
      </c>
      <c r="H4402" s="1">
        <v>-3.3140229999999999E-6</v>
      </c>
      <c r="I4402">
        <v>14.46735</v>
      </c>
      <c r="J4402">
        <v>-337.08929999999998</v>
      </c>
      <c r="K4402">
        <v>1.110519</v>
      </c>
      <c r="L4402">
        <v>16.996829999999999</v>
      </c>
      <c r="M4402">
        <v>0.99987029999999999</v>
      </c>
      <c r="N4402">
        <v>0</v>
      </c>
      <c r="O4402">
        <v>7.7003239999999997E-3</v>
      </c>
      <c r="P4402">
        <v>0.98153539999999995</v>
      </c>
      <c r="Q4402">
        <v>0.13773940000000001</v>
      </c>
      <c r="R4402">
        <v>-0.13272590000000001</v>
      </c>
      <c r="S4402">
        <v>3.0129389999999998</v>
      </c>
      <c r="T4402">
        <v>-0.26594139999999999</v>
      </c>
      <c r="U4402">
        <v>-0.6049194</v>
      </c>
      <c r="V4402">
        <v>0.14013539999999999</v>
      </c>
      <c r="W4402">
        <v>0.15173239999999999</v>
      </c>
      <c r="X4402">
        <v>0.97843720000000001</v>
      </c>
      <c r="Y4402">
        <v>0.20360010000000001</v>
      </c>
      <c r="Z4402">
        <v>-9.5518849999999995E-3</v>
      </c>
      <c r="AA4402">
        <v>0.97900750000000003</v>
      </c>
      <c r="AB4402">
        <v>39</v>
      </c>
      <c r="AC4402">
        <v>12.1927</v>
      </c>
      <c r="AD4402">
        <v>-1.1105223140230001</v>
      </c>
      <c r="AE4402">
        <v>-2.5294799999999902</v>
      </c>
      <c r="AF4402">
        <v>2.6026025199319598</v>
      </c>
      <c r="AG4402">
        <v>-1.1105223140230001</v>
      </c>
      <c r="AH4402">
        <v>12.0768066892141</v>
      </c>
      <c r="AI4402">
        <v>95.136585549941302</v>
      </c>
      <c r="AJ4402">
        <v>77.838510732569603</v>
      </c>
      <c r="AK4402">
        <v>12.403872761978301</v>
      </c>
      <c r="AL4402">
        <v>81.272664988987103</v>
      </c>
      <c r="AM4402">
        <v>81.8493163397861</v>
      </c>
      <c r="AN4402">
        <v>1.00000000294338</v>
      </c>
    </row>
    <row r="4403" spans="1:40" x14ac:dyDescent="0.25">
      <c r="A4403" t="str">
        <f>"20190312164357578"</f>
        <v>20190312164357578</v>
      </c>
      <c r="B4403" t="str">
        <f>"1552380237569004"</f>
        <v>1552380237569004</v>
      </c>
      <c r="C4403" t="s">
        <v>40</v>
      </c>
      <c r="D4403">
        <v>5.4134320000000002</v>
      </c>
      <c r="E4403">
        <v>0.53664709999999904</v>
      </c>
      <c r="F4403" t="s">
        <v>42</v>
      </c>
      <c r="G4403">
        <v>-324.09059999999999</v>
      </c>
      <c r="H4403" s="1">
        <v>-3.733787E-6</v>
      </c>
      <c r="I4403">
        <v>14.20486</v>
      </c>
      <c r="J4403">
        <v>-336.72070000000002</v>
      </c>
      <c r="K4403">
        <v>1.110384</v>
      </c>
      <c r="L4403">
        <v>16.999690000000001</v>
      </c>
      <c r="M4403">
        <v>0.99987040000000005</v>
      </c>
      <c r="N4403">
        <v>0</v>
      </c>
      <c r="O4403">
        <v>7.7086100000000003E-3</v>
      </c>
      <c r="P4403">
        <v>0.98078089999999996</v>
      </c>
      <c r="Q4403">
        <v>0.13701150000000001</v>
      </c>
      <c r="R4403">
        <v>-0.13891439999999999</v>
      </c>
      <c r="S4403">
        <v>3.005188</v>
      </c>
      <c r="T4403">
        <v>-0.25674279999999999</v>
      </c>
      <c r="U4403">
        <v>-0.64547730000000003</v>
      </c>
      <c r="V4403">
        <v>0.14637500000000001</v>
      </c>
      <c r="W4403">
        <v>0.15095140000000001</v>
      </c>
      <c r="X4403">
        <v>0.97764410000000002</v>
      </c>
      <c r="Y4403">
        <v>0.21674750000000001</v>
      </c>
      <c r="Z4403">
        <v>-9.7884300000000007E-3</v>
      </c>
      <c r="AA4403">
        <v>0.97617860000000001</v>
      </c>
      <c r="AB4403">
        <v>39</v>
      </c>
      <c r="AC4403">
        <v>12.630100000000001</v>
      </c>
      <c r="AD4403">
        <v>-1.1103877337870001</v>
      </c>
      <c r="AE4403">
        <v>-2.7948300000000001</v>
      </c>
      <c r="AF4403">
        <v>2.8709627342178998</v>
      </c>
      <c r="AG4403">
        <v>-1.1103877337870001</v>
      </c>
      <c r="AH4403">
        <v>12.5159554755952</v>
      </c>
      <c r="AI4403">
        <v>94.942186040776804</v>
      </c>
      <c r="AJ4403">
        <v>77.080748744400395</v>
      </c>
      <c r="AK4403">
        <v>12.888930498986101</v>
      </c>
      <c r="AL4403">
        <v>81.317934195526902</v>
      </c>
      <c r="AM4403">
        <v>81.484803004818204</v>
      </c>
      <c r="AN4403">
        <v>0.99999997602588397</v>
      </c>
    </row>
    <row r="4404" spans="1:40" x14ac:dyDescent="0.25">
      <c r="A4404" t="str">
        <f>"20190312164357600"</f>
        <v>20190312164357600</v>
      </c>
      <c r="B4404" t="str">
        <f>"1552380237589504"</f>
        <v>1552380237589504</v>
      </c>
      <c r="C4404" t="s">
        <v>40</v>
      </c>
      <c r="D4404">
        <v>5.1914699999999998</v>
      </c>
      <c r="E4404">
        <v>0.53507780000000005</v>
      </c>
      <c r="F4404" t="s">
        <v>42</v>
      </c>
      <c r="G4404">
        <v>-323.80070000000001</v>
      </c>
      <c r="H4404" s="1">
        <v>-3.8772720000000002E-6</v>
      </c>
      <c r="I4404">
        <v>14.168430000000001</v>
      </c>
      <c r="J4404">
        <v>-336.34539999999998</v>
      </c>
      <c r="K4404">
        <v>1.1102369999999999</v>
      </c>
      <c r="L4404">
        <v>17.002500000000001</v>
      </c>
      <c r="M4404">
        <v>0.99987139999999997</v>
      </c>
      <c r="N4404">
        <v>0</v>
      </c>
      <c r="O4404">
        <v>7.5677660000000001E-3</v>
      </c>
      <c r="P4404">
        <v>0.98006660000000001</v>
      </c>
      <c r="Q4404">
        <v>0.13520460000000001</v>
      </c>
      <c r="R4404">
        <v>-0.145566</v>
      </c>
      <c r="S4404">
        <v>3.0016479999999999</v>
      </c>
      <c r="T4404">
        <v>-0.25797209999999998</v>
      </c>
      <c r="U4404">
        <v>-0.65777589999999997</v>
      </c>
      <c r="V4404">
        <v>0.15293519999999999</v>
      </c>
      <c r="W4404">
        <v>0.14908589999999999</v>
      </c>
      <c r="X4404">
        <v>0.97692590000000001</v>
      </c>
      <c r="Y4404">
        <v>0.22064259999999999</v>
      </c>
      <c r="Z4404">
        <v>-9.9954050000000006E-3</v>
      </c>
      <c r="AA4404">
        <v>0.97530349999999999</v>
      </c>
      <c r="AB4404">
        <v>39</v>
      </c>
      <c r="AC4404">
        <v>12.544699999999899</v>
      </c>
      <c r="AD4404">
        <v>-1.110240877272</v>
      </c>
      <c r="AE4404">
        <v>-2.8340700000000001</v>
      </c>
      <c r="AF4404">
        <v>2.9072676034809999</v>
      </c>
      <c r="AG4404">
        <v>-1.110240877272</v>
      </c>
      <c r="AH4404">
        <v>12.4302559594743</v>
      </c>
      <c r="AI4404">
        <v>94.970536945914304</v>
      </c>
      <c r="AJ4404">
        <v>76.835930099019706</v>
      </c>
      <c r="AK4404">
        <v>12.8139027209458</v>
      </c>
      <c r="AL4404">
        <v>81.426043126197001</v>
      </c>
      <c r="AM4404">
        <v>81.102708486772897</v>
      </c>
      <c r="AN4404">
        <v>0.999999997534329</v>
      </c>
    </row>
    <row r="4405" spans="1:40" x14ac:dyDescent="0.25">
      <c r="A4405" t="str">
        <f>"20190312164357623"</f>
        <v>20190312164357623</v>
      </c>
      <c r="B4405" t="str">
        <f>"1552380237619757"</f>
        <v>1552380237619757</v>
      </c>
      <c r="C4405" t="s">
        <v>40</v>
      </c>
      <c r="D4405">
        <v>5.0025320000000004</v>
      </c>
      <c r="E4405">
        <v>0.53498380000000001</v>
      </c>
      <c r="F4405" t="s">
        <v>42</v>
      </c>
      <c r="G4405">
        <v>-323.6669</v>
      </c>
      <c r="H4405" s="1">
        <v>-3.93526E-6</v>
      </c>
      <c r="I4405">
        <v>14.19807</v>
      </c>
      <c r="J4405">
        <v>-335.95530000000002</v>
      </c>
      <c r="K4405">
        <v>1.1100810000000001</v>
      </c>
      <c r="L4405">
        <v>17.00525</v>
      </c>
      <c r="M4405">
        <v>0.99987360000000003</v>
      </c>
      <c r="N4405">
        <v>0</v>
      </c>
      <c r="O4405">
        <v>7.2508929999999996E-3</v>
      </c>
      <c r="P4405">
        <v>0.97931179999999995</v>
      </c>
      <c r="Q4405">
        <v>0.1331852</v>
      </c>
      <c r="R4405">
        <v>-0.15234819999999999</v>
      </c>
      <c r="S4405">
        <v>2.998688</v>
      </c>
      <c r="T4405">
        <v>-0.2625923</v>
      </c>
      <c r="U4405">
        <v>-0.66329959999999999</v>
      </c>
      <c r="V4405">
        <v>0.1594566</v>
      </c>
      <c r="W4405">
        <v>0.1469982</v>
      </c>
      <c r="X4405">
        <v>0.97619929999999999</v>
      </c>
      <c r="Y4405">
        <v>0.2222133</v>
      </c>
      <c r="Z4405">
        <v>-1.0222E-2</v>
      </c>
      <c r="AA4405">
        <v>0.97494449999999999</v>
      </c>
      <c r="AB4405">
        <v>39</v>
      </c>
      <c r="AC4405">
        <v>12.288399999999999</v>
      </c>
      <c r="AD4405">
        <v>-1.11008493526</v>
      </c>
      <c r="AE4405">
        <v>-2.80717999999999</v>
      </c>
      <c r="AF4405">
        <v>2.8739272344004698</v>
      </c>
      <c r="AG4405">
        <v>-1.11008493526</v>
      </c>
      <c r="AH4405">
        <v>12.1733059567967</v>
      </c>
      <c r="AI4405">
        <v>95.071731911082594</v>
      </c>
      <c r="AJ4405">
        <v>76.716584919880901</v>
      </c>
      <c r="AK4405">
        <v>12.5571144866128</v>
      </c>
      <c r="AL4405">
        <v>81.546992093790095</v>
      </c>
      <c r="AM4405">
        <v>80.722989277286402</v>
      </c>
      <c r="AN4405">
        <v>0.99999997570364396</v>
      </c>
    </row>
    <row r="4406" spans="1:40" x14ac:dyDescent="0.25">
      <c r="A4406" t="str">
        <f>"20190312164357647"</f>
        <v>20190312164357647</v>
      </c>
      <c r="B4406" t="str">
        <f>"1552380237639280"</f>
        <v>1552380237639280</v>
      </c>
      <c r="C4406" t="s">
        <v>40</v>
      </c>
      <c r="D4406">
        <v>5.0765900000000004</v>
      </c>
      <c r="E4406">
        <v>0.53638529999999995</v>
      </c>
      <c r="F4406" t="s">
        <v>42</v>
      </c>
      <c r="G4406">
        <v>-323.09570000000002</v>
      </c>
      <c r="H4406" s="1">
        <v>-4.2271240000000004E-6</v>
      </c>
      <c r="I4406">
        <v>14.07484</v>
      </c>
      <c r="J4406">
        <v>-335.5462</v>
      </c>
      <c r="K4406">
        <v>1.10992</v>
      </c>
      <c r="L4406">
        <v>17.007809999999999</v>
      </c>
      <c r="M4406">
        <v>0.99987720000000002</v>
      </c>
      <c r="N4406">
        <v>0</v>
      </c>
      <c r="O4406">
        <v>6.7513139999999996E-3</v>
      </c>
      <c r="P4406">
        <v>0.97829829999999995</v>
      </c>
      <c r="Q4406">
        <v>0.1328115</v>
      </c>
      <c r="R4406">
        <v>-0.15904099999999999</v>
      </c>
      <c r="S4406">
        <v>2.9924620000000002</v>
      </c>
      <c r="T4406">
        <v>-0.25832070000000001</v>
      </c>
      <c r="U4406">
        <v>-0.6819153</v>
      </c>
      <c r="V4406">
        <v>0.16571169999999999</v>
      </c>
      <c r="W4406">
        <v>0.14654400000000001</v>
      </c>
      <c r="X4406">
        <v>0.97522540000000002</v>
      </c>
      <c r="Y4406">
        <v>0.22792999999999999</v>
      </c>
      <c r="Z4406">
        <v>-1.027059E-2</v>
      </c>
      <c r="AA4406">
        <v>0.97362329999999997</v>
      </c>
      <c r="AB4406">
        <v>39</v>
      </c>
      <c r="AC4406">
        <v>12.4504999999999</v>
      </c>
      <c r="AD4406">
        <v>-1.109924227124</v>
      </c>
      <c r="AE4406">
        <v>-2.9329699999999899</v>
      </c>
      <c r="AF4406">
        <v>2.9944227257926901</v>
      </c>
      <c r="AG4406">
        <v>-1.109924227124</v>
      </c>
      <c r="AH4406">
        <v>12.3375192975637</v>
      </c>
      <c r="AI4406">
        <v>94.996389591581305</v>
      </c>
      <c r="AJ4406">
        <v>76.357614982200104</v>
      </c>
      <c r="AK4406">
        <v>12.744131263780099</v>
      </c>
      <c r="AL4406">
        <v>81.573301345523006</v>
      </c>
      <c r="AM4406">
        <v>80.356329712628593</v>
      </c>
      <c r="AN4406">
        <v>1.0000000461290199</v>
      </c>
    </row>
    <row r="4407" spans="1:40" x14ac:dyDescent="0.25">
      <c r="A4407" t="str">
        <f>"20190312164357668"</f>
        <v>20190312164357668</v>
      </c>
      <c r="B4407" t="str">
        <f>"1552380237659772"</f>
        <v>1552380237659772</v>
      </c>
      <c r="C4407" t="s">
        <v>40</v>
      </c>
      <c r="D4407">
        <v>5.0111809999999997</v>
      </c>
      <c r="E4407">
        <v>0.53641569999999905</v>
      </c>
      <c r="F4407" t="s">
        <v>42</v>
      </c>
      <c r="G4407">
        <v>-323.03879999999998</v>
      </c>
      <c r="H4407" s="1">
        <v>-4.2621019999999999E-6</v>
      </c>
      <c r="I4407">
        <v>14.02942</v>
      </c>
      <c r="J4407">
        <v>-335.17320000000001</v>
      </c>
      <c r="K4407">
        <v>1.1097709999999901</v>
      </c>
      <c r="L4407">
        <v>17.00986</v>
      </c>
      <c r="M4407">
        <v>0.99988089999999996</v>
      </c>
      <c r="N4407">
        <v>0</v>
      </c>
      <c r="O4407">
        <v>6.1871879999999997E-3</v>
      </c>
      <c r="P4407">
        <v>0.97691550000000005</v>
      </c>
      <c r="Q4407">
        <v>0.1340566</v>
      </c>
      <c r="R4407">
        <v>-0.16632749999999999</v>
      </c>
      <c r="S4407">
        <v>2.9869080000000001</v>
      </c>
      <c r="T4407">
        <v>-0.26506210000000002</v>
      </c>
      <c r="U4407">
        <v>-0.71127320000000005</v>
      </c>
      <c r="V4407">
        <v>0.17249129999999999</v>
      </c>
      <c r="W4407">
        <v>0.14770510000000001</v>
      </c>
      <c r="X4407">
        <v>0.97387369999999995</v>
      </c>
      <c r="Y4407">
        <v>0.2367639</v>
      </c>
      <c r="Z4407">
        <v>-1.088164E-2</v>
      </c>
      <c r="AA4407">
        <v>0.97150630000000004</v>
      </c>
      <c r="AB4407">
        <v>39</v>
      </c>
      <c r="AC4407">
        <v>12.134399999999999</v>
      </c>
      <c r="AD4407">
        <v>-1.1097752621019901</v>
      </c>
      <c r="AE4407">
        <v>-2.98043999999999</v>
      </c>
      <c r="AF4407">
        <v>3.03155392884806</v>
      </c>
      <c r="AG4407">
        <v>-1.1097752621019901</v>
      </c>
      <c r="AH4407">
        <v>12.020898770725299</v>
      </c>
      <c r="AI4407">
        <v>95.115352037376994</v>
      </c>
      <c r="AJ4407">
        <v>75.845705269023</v>
      </c>
      <c r="AK4407">
        <v>12.4468440824135</v>
      </c>
      <c r="AL4407">
        <v>81.506043039374205</v>
      </c>
      <c r="AM4407">
        <v>79.956008416192205</v>
      </c>
      <c r="AN4407">
        <v>1.0000000143466901</v>
      </c>
    </row>
    <row r="4408" spans="1:40" x14ac:dyDescent="0.25">
      <c r="A4408" t="str">
        <f>"20190312164357691"</f>
        <v>20190312164357691</v>
      </c>
      <c r="B4408" t="str">
        <f>"1552380237679296"</f>
        <v>1552380237679296</v>
      </c>
      <c r="C4408" t="s">
        <v>40</v>
      </c>
      <c r="D4408">
        <v>5.7620630000000004</v>
      </c>
      <c r="E4408">
        <v>0.53622369999999997</v>
      </c>
      <c r="F4408" t="s">
        <v>42</v>
      </c>
      <c r="G4408">
        <v>-322.52170000000001</v>
      </c>
      <c r="H4408" s="1">
        <v>-4.5296730000000003E-6</v>
      </c>
      <c r="I4408">
        <v>13.898929999999901</v>
      </c>
      <c r="J4408">
        <v>-334.78930000000003</v>
      </c>
      <c r="K4408">
        <v>1.1096269999999999</v>
      </c>
      <c r="L4408">
        <v>17.011569999999999</v>
      </c>
      <c r="M4408">
        <v>0.99988500000000002</v>
      </c>
      <c r="N4408">
        <v>0</v>
      </c>
      <c r="O4408">
        <v>5.4822480000000003E-3</v>
      </c>
      <c r="P4408">
        <v>0.97545780000000004</v>
      </c>
      <c r="Q4408">
        <v>0.13502800000000001</v>
      </c>
      <c r="R4408">
        <v>-0.17392439999999901</v>
      </c>
      <c r="S4408">
        <v>2.9819640000000001</v>
      </c>
      <c r="T4408">
        <v>-0.26157459999999999</v>
      </c>
      <c r="U4408">
        <v>-0.73324579999999995</v>
      </c>
      <c r="V4408">
        <v>0.17944479999999999</v>
      </c>
      <c r="W4408">
        <v>0.14858750000000001</v>
      </c>
      <c r="X4408">
        <v>0.97248199999999996</v>
      </c>
      <c r="Y4408">
        <v>0.24320049999999999</v>
      </c>
      <c r="Z4408">
        <v>-1.096392E-2</v>
      </c>
      <c r="AA4408">
        <v>0.9699141</v>
      </c>
      <c r="AB4408">
        <v>39</v>
      </c>
      <c r="AC4408">
        <v>12.2676</v>
      </c>
      <c r="AD4408">
        <v>-1.1096315296729999</v>
      </c>
      <c r="AE4408">
        <v>-3.1126399999999999</v>
      </c>
      <c r="AF4408">
        <v>3.1555976936161501</v>
      </c>
      <c r="AG4408">
        <v>-1.1096315296729999</v>
      </c>
      <c r="AH4408">
        <v>12.1569026432553</v>
      </c>
      <c r="AI4408">
        <v>95.048859000688793</v>
      </c>
      <c r="AJ4408">
        <v>75.448728825459099</v>
      </c>
      <c r="AK4408">
        <v>12.608701789367</v>
      </c>
      <c r="AL4408">
        <v>81.454920675167699</v>
      </c>
      <c r="AM4408">
        <v>79.545238042805593</v>
      </c>
      <c r="AN4408">
        <v>0.99999996086364396</v>
      </c>
    </row>
    <row r="4409" spans="1:40" x14ac:dyDescent="0.25">
      <c r="A4409" t="str">
        <f>"20190312164357713"</f>
        <v>20190312164357713</v>
      </c>
      <c r="B4409" t="str">
        <f>"1552380237709548"</f>
        <v>1552380237709548</v>
      </c>
      <c r="C4409" t="s">
        <v>40</v>
      </c>
      <c r="D4409">
        <v>5.0237400000000001</v>
      </c>
      <c r="E4409">
        <v>0.53573809999999999</v>
      </c>
      <c r="F4409" t="s">
        <v>42</v>
      </c>
      <c r="G4409">
        <v>-321.79059999999998</v>
      </c>
      <c r="H4409" s="1">
        <v>-4.9070260000000001E-6</v>
      </c>
      <c r="I4409">
        <v>13.71987</v>
      </c>
      <c r="J4409">
        <v>-334.39879999999999</v>
      </c>
      <c r="K4409">
        <v>1.1094850000000001</v>
      </c>
      <c r="L4409">
        <v>17.01294</v>
      </c>
      <c r="M4409">
        <v>0.99988940000000004</v>
      </c>
      <c r="N4409">
        <v>0</v>
      </c>
      <c r="O4409">
        <v>4.6162310000000002E-3</v>
      </c>
      <c r="P4409">
        <v>0.9739698</v>
      </c>
      <c r="Q4409">
        <v>0.1350681</v>
      </c>
      <c r="R4409">
        <v>-0.18204290000000001</v>
      </c>
      <c r="S4409">
        <v>2.9762879999999998</v>
      </c>
      <c r="T4409">
        <v>-0.25407030000000003</v>
      </c>
      <c r="U4409">
        <v>-0.75369259999999905</v>
      </c>
      <c r="V4409">
        <v>0.18676499999999999</v>
      </c>
      <c r="W4409">
        <v>0.14853269999999999</v>
      </c>
      <c r="X4409">
        <v>0.97111119999999995</v>
      </c>
      <c r="Y4409">
        <v>0.24908910000000001</v>
      </c>
      <c r="Z4409">
        <v>-1.083576E-2</v>
      </c>
      <c r="AA4409">
        <v>0.96841999999999995</v>
      </c>
      <c r="AB4409">
        <v>39</v>
      </c>
      <c r="AC4409">
        <v>12.6082</v>
      </c>
      <c r="AD4409">
        <v>-1.109489907026</v>
      </c>
      <c r="AE4409">
        <v>-3.2930699999999899</v>
      </c>
      <c r="AF4409">
        <v>3.3271246081646999</v>
      </c>
      <c r="AG4409">
        <v>-1.109489907026</v>
      </c>
      <c r="AH4409">
        <v>12.502233280811399</v>
      </c>
      <c r="AI4409">
        <v>94.901608523530996</v>
      </c>
      <c r="AJ4409">
        <v>75.097699421228199</v>
      </c>
      <c r="AK4409">
        <v>12.9848589911433</v>
      </c>
      <c r="AL4409">
        <v>81.458096444419098</v>
      </c>
      <c r="AM4409">
        <v>79.113742051334299</v>
      </c>
      <c r="AN4409">
        <v>1.0000000454798601</v>
      </c>
    </row>
    <row r="4410" spans="1:40" x14ac:dyDescent="0.25">
      <c r="A4410" t="str">
        <f>"20190312164357735"</f>
        <v>20190312164357735</v>
      </c>
      <c r="B4410" t="str">
        <f>"1552380237729068"</f>
        <v>1552380237729068</v>
      </c>
      <c r="C4410" t="s">
        <v>40</v>
      </c>
      <c r="D4410">
        <v>5.2772180000000004</v>
      </c>
      <c r="E4410">
        <v>0.53541000000000005</v>
      </c>
      <c r="F4410" t="s">
        <v>42</v>
      </c>
      <c r="G4410">
        <v>-320.75569999999999</v>
      </c>
      <c r="H4410" s="1">
        <v>-5.4430290000000004E-6</v>
      </c>
      <c r="I4410">
        <v>13.4561799999999</v>
      </c>
      <c r="J4410">
        <v>-334.00959999999998</v>
      </c>
      <c r="K4410">
        <v>1.1093360000000001</v>
      </c>
      <c r="L4410">
        <v>17.013819999999999</v>
      </c>
      <c r="M4410">
        <v>0.99989349999999999</v>
      </c>
      <c r="N4410">
        <v>0</v>
      </c>
      <c r="O4410">
        <v>3.5898340000000001E-3</v>
      </c>
      <c r="P4410">
        <v>0.97341840000000002</v>
      </c>
      <c r="Q4410">
        <v>0.133942899999999</v>
      </c>
      <c r="R4410">
        <v>-0.18578420000000001</v>
      </c>
      <c r="S4410">
        <v>2.9689939999999999</v>
      </c>
      <c r="T4410">
        <v>-0.24144589999999999</v>
      </c>
      <c r="U4410">
        <v>-0.77401730000000002</v>
      </c>
      <c r="V4410">
        <v>0.189558</v>
      </c>
      <c r="W4410">
        <v>0.14732790000000001</v>
      </c>
      <c r="X4410">
        <v>0.97075339999999999</v>
      </c>
      <c r="Y4410">
        <v>0.25494149999999999</v>
      </c>
      <c r="Z4410">
        <v>-1.04666E-2</v>
      </c>
      <c r="AA4410">
        <v>0.96689979999999998</v>
      </c>
      <c r="AB4410">
        <v>39</v>
      </c>
      <c r="AC4410">
        <v>13.2538999999999</v>
      </c>
      <c r="AD4410">
        <v>-1.1093414430290001</v>
      </c>
      <c r="AE4410">
        <v>-3.5576400000000001</v>
      </c>
      <c r="AF4410">
        <v>3.5817950577531201</v>
      </c>
      <c r="AG4410">
        <v>-1.1093414430290001</v>
      </c>
      <c r="AH4410">
        <v>13.155077044589399</v>
      </c>
      <c r="AI4410">
        <v>94.651678301454496</v>
      </c>
      <c r="AJ4410">
        <v>74.769017756950902</v>
      </c>
      <c r="AK4410">
        <v>13.679033091635199</v>
      </c>
      <c r="AL4410">
        <v>81.527893555961896</v>
      </c>
      <c r="AM4410">
        <v>78.950946372977697</v>
      </c>
      <c r="AN4410">
        <v>0.99999995454698398</v>
      </c>
    </row>
    <row r="4411" spans="1:40" x14ac:dyDescent="0.25">
      <c r="A4411" t="str">
        <f>"20190312164357758"</f>
        <v>20190312164357758</v>
      </c>
      <c r="B4411" t="str">
        <f>"1552380237749564"</f>
        <v>1552380237749564</v>
      </c>
      <c r="C4411" t="s">
        <v>40</v>
      </c>
      <c r="D4411">
        <v>4.8743309999999997</v>
      </c>
      <c r="E4411">
        <v>0.53517910000000002</v>
      </c>
      <c r="F4411" t="s">
        <v>42</v>
      </c>
      <c r="G4411">
        <v>-320.25060000000002</v>
      </c>
      <c r="H4411" s="1">
        <v>-5.6955690000000004E-6</v>
      </c>
      <c r="I4411">
        <v>13.378450000000001</v>
      </c>
      <c r="J4411">
        <v>-333.62630000000001</v>
      </c>
      <c r="K4411">
        <v>1.1091719999999901</v>
      </c>
      <c r="L4411">
        <v>17.01416</v>
      </c>
      <c r="M4411">
        <v>0.99989720000000004</v>
      </c>
      <c r="N4411">
        <v>0</v>
      </c>
      <c r="O4411">
        <v>2.3991059999999998E-3</v>
      </c>
      <c r="P4411">
        <v>0.97209679999999998</v>
      </c>
      <c r="Q4411">
        <v>0.13344439999999999</v>
      </c>
      <c r="R4411">
        <v>-0.19292690000000001</v>
      </c>
      <c r="S4411">
        <v>2.965271</v>
      </c>
      <c r="T4411">
        <v>-0.2390796</v>
      </c>
      <c r="U4411">
        <v>-0.7834778</v>
      </c>
      <c r="V4411">
        <v>0.1955963</v>
      </c>
      <c r="W4411">
        <v>0.14672460000000001</v>
      </c>
      <c r="X4411">
        <v>0.96964629999999996</v>
      </c>
      <c r="Y4411">
        <v>0.25698369999999998</v>
      </c>
      <c r="Z4411">
        <v>-1.035932E-2</v>
      </c>
      <c r="AA4411">
        <v>0.9663602</v>
      </c>
      <c r="AB4411">
        <v>39</v>
      </c>
      <c r="AC4411">
        <v>13.375699999999901</v>
      </c>
      <c r="AD4411">
        <v>-1.10917769556899</v>
      </c>
      <c r="AE4411">
        <v>-3.63571</v>
      </c>
      <c r="AF4411">
        <v>3.6444554740207198</v>
      </c>
      <c r="AG4411">
        <v>-1.10917769556899</v>
      </c>
      <c r="AH4411">
        <v>13.281888623484701</v>
      </c>
      <c r="AI4411">
        <v>94.604310029128996</v>
      </c>
      <c r="AJ4411">
        <v>74.656094281630601</v>
      </c>
      <c r="AK4411">
        <v>13.8174127921662</v>
      </c>
      <c r="AL4411">
        <v>81.562840127889004</v>
      </c>
      <c r="AM4411">
        <v>78.595383217633795</v>
      </c>
      <c r="AN4411">
        <v>0.99999998396126899</v>
      </c>
    </row>
    <row r="4412" spans="1:40" x14ac:dyDescent="0.25">
      <c r="A4412" t="str">
        <f>"20190312164357779"</f>
        <v>20190312164357779</v>
      </c>
      <c r="B4412" t="str">
        <f>"1552380237769084"</f>
        <v>1552380237769084</v>
      </c>
      <c r="C4412" t="s">
        <v>40</v>
      </c>
      <c r="D4412">
        <v>5.4455580000000001</v>
      </c>
      <c r="E4412">
        <v>0.53480490000000003</v>
      </c>
      <c r="F4412" t="s">
        <v>43</v>
      </c>
      <c r="G4412">
        <v>-319.1696</v>
      </c>
      <c r="H4412">
        <v>-0.05</v>
      </c>
      <c r="I4412">
        <v>13.08704</v>
      </c>
      <c r="J4412">
        <v>-333.24630000000002</v>
      </c>
      <c r="K4412">
        <v>1.1089869999999999</v>
      </c>
      <c r="L4412">
        <v>17.013850000000001</v>
      </c>
      <c r="M4412">
        <v>0.99989950000000005</v>
      </c>
      <c r="N4412">
        <v>0</v>
      </c>
      <c r="O4412">
        <v>1.0179989999999999E-3</v>
      </c>
      <c r="P4412">
        <v>0.9706323</v>
      </c>
      <c r="Q4412">
        <v>0.13403029999999999</v>
      </c>
      <c r="R4412">
        <v>-0.19977300000000001</v>
      </c>
      <c r="S4412">
        <v>2.9591059999999998</v>
      </c>
      <c r="T4412">
        <v>-0.2372677</v>
      </c>
      <c r="U4412">
        <v>-0.80383300000000002</v>
      </c>
      <c r="V4412">
        <v>0.20116519999999999</v>
      </c>
      <c r="W4412">
        <v>0.14719199999999999</v>
      </c>
      <c r="X4412">
        <v>0.9684353</v>
      </c>
      <c r="Y4412">
        <v>0.26234220000000003</v>
      </c>
      <c r="Z4412">
        <v>-1.0394779999999999E-2</v>
      </c>
      <c r="AA4412">
        <v>0.96491890000000002</v>
      </c>
      <c r="AB4412">
        <v>39</v>
      </c>
      <c r="AC4412">
        <v>14.076700000000001</v>
      </c>
      <c r="AD4412">
        <v>-1.158987</v>
      </c>
      <c r="AE4412">
        <v>-3.9268100000000001</v>
      </c>
      <c r="AF4412">
        <v>3.9165069336896399</v>
      </c>
      <c r="AG4412">
        <v>-1.158987</v>
      </c>
      <c r="AH4412">
        <v>13.9847390133503</v>
      </c>
      <c r="AI4412">
        <v>94.562797149517095</v>
      </c>
      <c r="AJ4412">
        <v>74.354790197619906</v>
      </c>
      <c r="AK4412">
        <v>14.568980839418</v>
      </c>
      <c r="AL4412">
        <v>81.535765638386096</v>
      </c>
      <c r="AM4412">
        <v>78.2652916173964</v>
      </c>
      <c r="AN4412">
        <v>0.99999992642056201</v>
      </c>
    </row>
    <row r="4413" spans="1:40" x14ac:dyDescent="0.25">
      <c r="A4413" t="str">
        <f>"20190312164357793"</f>
        <v>20190312164357793</v>
      </c>
      <c r="B4413" t="str">
        <f>"1552380237789581"</f>
        <v>1552380237789581</v>
      </c>
      <c r="C4413" t="s">
        <v>40</v>
      </c>
      <c r="D4413">
        <v>4.804449</v>
      </c>
      <c r="E4413">
        <v>0.5346166</v>
      </c>
      <c r="F4413" t="s">
        <v>43</v>
      </c>
      <c r="G4413">
        <v>-318.49310000000003</v>
      </c>
      <c r="H4413">
        <v>-0.05</v>
      </c>
      <c r="I4413">
        <v>12.90822</v>
      </c>
      <c r="J4413">
        <v>-333.01900000000001</v>
      </c>
      <c r="K4413">
        <v>1.1088639999999901</v>
      </c>
      <c r="L4413">
        <v>17.01324</v>
      </c>
      <c r="M4413">
        <v>0.99990009999999996</v>
      </c>
      <c r="N4413">
        <v>0</v>
      </c>
      <c r="O4413" s="1">
        <v>5.8514390000000003E-5</v>
      </c>
      <c r="P4413">
        <v>0.96981289999999998</v>
      </c>
      <c r="Q4413">
        <v>0.13440959999999999</v>
      </c>
      <c r="R4413">
        <v>-0.20346330000000001</v>
      </c>
      <c r="S4413">
        <v>2.9536129999999998</v>
      </c>
      <c r="T4413">
        <v>-0.23203170000000001</v>
      </c>
      <c r="U4413">
        <v>-0.82196039999999904</v>
      </c>
      <c r="V4413">
        <v>0.20396980000000001</v>
      </c>
      <c r="W4413">
        <v>0.14749429999999999</v>
      </c>
      <c r="X4413">
        <v>0.96780250000000001</v>
      </c>
      <c r="Y4413">
        <v>0.2673933</v>
      </c>
      <c r="Z4413">
        <v>-1.0296690000000001E-2</v>
      </c>
      <c r="AA4413">
        <v>0.96353239999999996</v>
      </c>
      <c r="AB4413">
        <v>38</v>
      </c>
      <c r="AC4413">
        <v>14.525899999999901</v>
      </c>
      <c r="AD4413">
        <v>-1.1588639999999999</v>
      </c>
      <c r="AE4413">
        <v>-4.1050199999999997</v>
      </c>
      <c r="AF4413">
        <v>4.0818118454518597</v>
      </c>
      <c r="AG4413">
        <v>-1.1588639999999999</v>
      </c>
      <c r="AH4413">
        <v>14.440547136679999</v>
      </c>
      <c r="AI4413">
        <v>94.415896403399003</v>
      </c>
      <c r="AJ4413">
        <v>74.216352693429002</v>
      </c>
      <c r="AK4413">
        <v>15.051031702805099</v>
      </c>
      <c r="AL4413">
        <v>81.518254307013805</v>
      </c>
      <c r="AM4413">
        <v>78.098762869144593</v>
      </c>
      <c r="AN4413">
        <v>0.99999996342538899</v>
      </c>
    </row>
    <row r="4414" spans="1:40" x14ac:dyDescent="0.25">
      <c r="A4414" t="str">
        <f>"20190312164357806"</f>
        <v>20190312164357806</v>
      </c>
      <c r="B4414" t="str">
        <f>"1552380237799341"</f>
        <v>1552380237799341</v>
      </c>
      <c r="C4414" t="s">
        <v>40</v>
      </c>
      <c r="D4414">
        <v>4.6965709999999996</v>
      </c>
      <c r="E4414">
        <v>0.53451719999999903</v>
      </c>
      <c r="F4414" t="s">
        <v>43</v>
      </c>
      <c r="G4414">
        <v>-318.0609</v>
      </c>
      <c r="H4414">
        <v>-0.05</v>
      </c>
      <c r="I4414">
        <v>12.79707</v>
      </c>
      <c r="J4414">
        <v>-332.79649999999998</v>
      </c>
      <c r="K4414">
        <v>1.1087389999999999</v>
      </c>
      <c r="L4414">
        <v>17.012450000000001</v>
      </c>
      <c r="M4414">
        <v>0.9998996</v>
      </c>
      <c r="N4414">
        <v>0</v>
      </c>
      <c r="O4414">
        <v>-9.4664740000000003E-4</v>
      </c>
      <c r="P4414">
        <v>0.96896559999999998</v>
      </c>
      <c r="Q4414">
        <v>0.13477020000000001</v>
      </c>
      <c r="R4414">
        <v>-0.20722660000000001</v>
      </c>
      <c r="S4414">
        <v>2.9505919999999999</v>
      </c>
      <c r="T4414">
        <v>-0.22859350000000001</v>
      </c>
      <c r="U4414">
        <v>-0.83166499999999999</v>
      </c>
      <c r="V4414">
        <v>0.2068062</v>
      </c>
      <c r="W4414">
        <v>0.14777399999999999</v>
      </c>
      <c r="X4414">
        <v>0.96715770000000001</v>
      </c>
      <c r="Y4414">
        <v>0.26963569999999998</v>
      </c>
      <c r="Z4414">
        <v>-1.015893E-2</v>
      </c>
      <c r="AA4414">
        <v>0.96290880000000001</v>
      </c>
      <c r="AB4414">
        <v>38</v>
      </c>
      <c r="AC4414">
        <v>14.7355999999999</v>
      </c>
      <c r="AD4414">
        <v>-1.158739</v>
      </c>
      <c r="AE4414">
        <v>-4.2153799999999997</v>
      </c>
      <c r="AF4414">
        <v>4.1775493916577204</v>
      </c>
      <c r="AG4414">
        <v>-1.158739</v>
      </c>
      <c r="AH4414">
        <v>14.6558150202336</v>
      </c>
      <c r="AI4414">
        <v>94.3481086503878</v>
      </c>
      <c r="AJ4414">
        <v>74.090126393542207</v>
      </c>
      <c r="AK4414">
        <v>15.2835699002938</v>
      </c>
      <c r="AL4414">
        <v>81.502051333815203</v>
      </c>
      <c r="AM4414">
        <v>77.930273514731496</v>
      </c>
      <c r="AN4414">
        <v>0.99999998805186396</v>
      </c>
    </row>
    <row r="4415" spans="1:40" x14ac:dyDescent="0.25">
      <c r="A4415" t="str">
        <f>"20190312164357817"</f>
        <v>20190312164357817</v>
      </c>
      <c r="B4415" t="str">
        <f>"1552380237809101"</f>
        <v>1552380237809101</v>
      </c>
      <c r="C4415" t="s">
        <v>40</v>
      </c>
      <c r="D4415">
        <v>4.8863440000000002</v>
      </c>
      <c r="E4415">
        <v>0.53410829999999998</v>
      </c>
      <c r="F4415" t="s">
        <v>43</v>
      </c>
      <c r="G4415">
        <v>-317.72730000000001</v>
      </c>
      <c r="H4415">
        <v>-0.05</v>
      </c>
      <c r="I4415">
        <v>12.70735</v>
      </c>
      <c r="J4415">
        <v>-332.58949999999999</v>
      </c>
      <c r="K4415">
        <v>1.108611</v>
      </c>
      <c r="L4415">
        <v>17.01144</v>
      </c>
      <c r="M4415">
        <v>0.99989810000000001</v>
      </c>
      <c r="N4415">
        <v>0</v>
      </c>
      <c r="O4415">
        <v>-1.9615639999999998E-3</v>
      </c>
      <c r="P4415">
        <v>0.96805779999999997</v>
      </c>
      <c r="Q4415">
        <v>0.1352082</v>
      </c>
      <c r="R4415">
        <v>-0.21114769999999999</v>
      </c>
      <c r="S4415">
        <v>2.9475099999999999</v>
      </c>
      <c r="T4415">
        <v>-0.2266474</v>
      </c>
      <c r="U4415">
        <v>-0.84207149999999997</v>
      </c>
      <c r="V4415">
        <v>0.2097926</v>
      </c>
      <c r="W4415">
        <v>0.1481286</v>
      </c>
      <c r="X4415">
        <v>0.96645999999999999</v>
      </c>
      <c r="Y4415">
        <v>0.27207480000000001</v>
      </c>
      <c r="Z4415">
        <v>-1.009345E-2</v>
      </c>
      <c r="AA4415">
        <v>0.96222319999999995</v>
      </c>
      <c r="AB4415">
        <v>38</v>
      </c>
      <c r="AC4415">
        <v>14.8621999999999</v>
      </c>
      <c r="AD4415">
        <v>-1.1586110000000001</v>
      </c>
      <c r="AE4415">
        <v>-4.3040900000000004</v>
      </c>
      <c r="AF4415">
        <v>4.2510896699705096</v>
      </c>
      <c r="AG4415">
        <v>-1.1586110000000001</v>
      </c>
      <c r="AH4415">
        <v>14.787699953910501</v>
      </c>
      <c r="AI4415">
        <v>94.306242221682794</v>
      </c>
      <c r="AJ4415">
        <v>73.961395394593495</v>
      </c>
      <c r="AK4415">
        <v>15.430172155823</v>
      </c>
      <c r="AL4415">
        <v>81.4815080478635</v>
      </c>
      <c r="AM4415">
        <v>77.752628994029493</v>
      </c>
      <c r="AN4415">
        <v>0.99999997437635901</v>
      </c>
    </row>
    <row r="4416" spans="1:40" x14ac:dyDescent="0.25">
      <c r="A4416" t="str">
        <f>"20190312164357836"</f>
        <v>20190312164357836</v>
      </c>
      <c r="B4416" t="str">
        <f>"1552380237829596"</f>
        <v>1552380237829596</v>
      </c>
      <c r="C4416" t="s">
        <v>40</v>
      </c>
      <c r="D4416">
        <v>4.572184</v>
      </c>
      <c r="E4416">
        <v>0.53384160000000003</v>
      </c>
      <c r="F4416" t="s">
        <v>43</v>
      </c>
      <c r="G4416">
        <v>-317.54820000000001</v>
      </c>
      <c r="H4416">
        <v>-0.05</v>
      </c>
      <c r="I4416">
        <v>12.67131</v>
      </c>
      <c r="J4416">
        <v>-332.27440000000001</v>
      </c>
      <c r="K4416">
        <v>1.108401</v>
      </c>
      <c r="L4416">
        <v>17.009309999999999</v>
      </c>
      <c r="M4416">
        <v>0.99989320000000004</v>
      </c>
      <c r="N4416">
        <v>0</v>
      </c>
      <c r="O4416">
        <v>-3.6791810000000001E-3</v>
      </c>
      <c r="P4416">
        <v>0.96642360000000005</v>
      </c>
      <c r="Q4416">
        <v>0.13505149999999999</v>
      </c>
      <c r="R4416">
        <v>-0.21860280000000001</v>
      </c>
      <c r="S4416">
        <v>2.9452820000000002</v>
      </c>
      <c r="T4416">
        <v>-0.22687089999999999</v>
      </c>
      <c r="U4416">
        <v>-0.84985350000000004</v>
      </c>
      <c r="V4416">
        <v>0.21566279999999999</v>
      </c>
      <c r="W4416">
        <v>0.14782919999999999</v>
      </c>
      <c r="X4416">
        <v>0.96521299999999999</v>
      </c>
      <c r="Y4416">
        <v>0.27296340000000002</v>
      </c>
      <c r="Z4416">
        <v>-1.001113E-2</v>
      </c>
      <c r="AA4416">
        <v>0.96197239999999995</v>
      </c>
      <c r="AB4416">
        <v>38</v>
      </c>
      <c r="AC4416">
        <v>14.7262</v>
      </c>
      <c r="AD4416">
        <v>-1.158401</v>
      </c>
      <c r="AE4416">
        <v>-4.3379999999999903</v>
      </c>
      <c r="AF4416">
        <v>4.2595322481006601</v>
      </c>
      <c r="AG4416">
        <v>-1.158401</v>
      </c>
      <c r="AH4416">
        <v>14.6586001393958</v>
      </c>
      <c r="AI4416">
        <v>94.339653640577197</v>
      </c>
      <c r="AJ4416">
        <v>73.797061609091898</v>
      </c>
      <c r="AK4416">
        <v>15.3088231388342</v>
      </c>
      <c r="AL4416">
        <v>81.498853805774004</v>
      </c>
      <c r="AM4416">
        <v>77.404967752082896</v>
      </c>
      <c r="AN4416">
        <v>1.0000000255227299</v>
      </c>
    </row>
    <row r="4417" spans="1:40" x14ac:dyDescent="0.25">
      <c r="A4417" t="str">
        <f>"20190312164357848"</f>
        <v>20190312164357848</v>
      </c>
      <c r="B4417" t="str">
        <f>"1552380237839357"</f>
        <v>1552380237839357</v>
      </c>
      <c r="C4417" t="s">
        <v>40</v>
      </c>
      <c r="D4417">
        <v>4.5354619999999999</v>
      </c>
      <c r="E4417">
        <v>0.5336438</v>
      </c>
      <c r="F4417" t="s">
        <v>43</v>
      </c>
      <c r="G4417">
        <v>-317.46280000000002</v>
      </c>
      <c r="H4417">
        <v>-0.05</v>
      </c>
      <c r="I4417">
        <v>12.631270000000001</v>
      </c>
      <c r="J4417">
        <v>-332.07400000000001</v>
      </c>
      <c r="K4417">
        <v>1.108266</v>
      </c>
      <c r="L4417">
        <v>17.007570000000001</v>
      </c>
      <c r="M4417">
        <v>0.99988809999999995</v>
      </c>
      <c r="N4417">
        <v>0</v>
      </c>
      <c r="O4417">
        <v>-4.8772850000000003E-3</v>
      </c>
      <c r="P4417">
        <v>0.9654914</v>
      </c>
      <c r="Q4417">
        <v>0.13543640000000001</v>
      </c>
      <c r="R4417">
        <v>-0.2224498</v>
      </c>
      <c r="S4417">
        <v>2.939819</v>
      </c>
      <c r="T4417">
        <v>-0.2299204</v>
      </c>
      <c r="U4417">
        <v>-0.86895750000000005</v>
      </c>
      <c r="V4417">
        <v>0.21840570000000001</v>
      </c>
      <c r="W4417">
        <v>0.14812339999999999</v>
      </c>
      <c r="X4417">
        <v>0.96455089999999999</v>
      </c>
      <c r="Y4417">
        <v>0.2780106</v>
      </c>
      <c r="Z4417">
        <v>-1.0255709999999999E-2</v>
      </c>
      <c r="AA4417">
        <v>0.96052320000000002</v>
      </c>
      <c r="AB4417">
        <v>38</v>
      </c>
      <c r="AC4417">
        <v>14.611199999999901</v>
      </c>
      <c r="AD4417">
        <v>-1.158266</v>
      </c>
      <c r="AE4417">
        <v>-4.3762999999999996</v>
      </c>
      <c r="AF4417">
        <v>4.2802942856992097</v>
      </c>
      <c r="AG4417">
        <v>-1.158266</v>
      </c>
      <c r="AH4417">
        <v>14.5484748456379</v>
      </c>
      <c r="AI4417">
        <v>94.367616075426199</v>
      </c>
      <c r="AJ4417">
        <v>73.605634948154304</v>
      </c>
      <c r="AK4417">
        <v>15.209228107734599</v>
      </c>
      <c r="AL4417">
        <v>81.481809658379007</v>
      </c>
      <c r="AM4417">
        <v>77.2415176015909</v>
      </c>
      <c r="AN4417">
        <v>1.00000001505542</v>
      </c>
    </row>
    <row r="4418" spans="1:40" x14ac:dyDescent="0.25">
      <c r="A4418" t="str">
        <f>"20190312164357859"</f>
        <v>20190312164357859</v>
      </c>
      <c r="B4418" t="str">
        <f>"1552380237849117"</f>
        <v>1552380237849117</v>
      </c>
      <c r="C4418" t="s">
        <v>40</v>
      </c>
      <c r="D4418">
        <v>4.5510190000000001</v>
      </c>
      <c r="E4418">
        <v>0.53347699999999998</v>
      </c>
      <c r="F4418" t="s">
        <v>43</v>
      </c>
      <c r="G4418">
        <v>-317.26659999999998</v>
      </c>
      <c r="H4418">
        <v>-0.05</v>
      </c>
      <c r="I4418">
        <v>12.57863</v>
      </c>
      <c r="J4418">
        <v>-331.86599999999999</v>
      </c>
      <c r="K4418">
        <v>1.1081219999999901</v>
      </c>
      <c r="L4418">
        <v>17.005579999999998</v>
      </c>
      <c r="M4418">
        <v>0.99988089999999996</v>
      </c>
      <c r="N4418">
        <v>0</v>
      </c>
      <c r="O4418">
        <v>-6.1773150000000001E-3</v>
      </c>
      <c r="P4418">
        <v>0.96457020000000004</v>
      </c>
      <c r="Q4418">
        <v>0.13597139999999999</v>
      </c>
      <c r="R4418">
        <v>-0.22609029999999999</v>
      </c>
      <c r="S4418">
        <v>2.9370419999999999</v>
      </c>
      <c r="T4418">
        <v>-0.22974220000000001</v>
      </c>
      <c r="U4418">
        <v>-0.87847900000000001</v>
      </c>
      <c r="V4418">
        <v>0.2208493</v>
      </c>
      <c r="W4418">
        <v>0.14856429999999901</v>
      </c>
      <c r="X4418">
        <v>0.96392639999999996</v>
      </c>
      <c r="Y4418">
        <v>0.27986820000000001</v>
      </c>
      <c r="Z4418">
        <v>-1.022409E-2</v>
      </c>
      <c r="AA4418">
        <v>0.95998399999999995</v>
      </c>
      <c r="AB4418">
        <v>38</v>
      </c>
      <c r="AC4418">
        <v>14.599399999999999</v>
      </c>
      <c r="AD4418">
        <v>-1.1581220000000001</v>
      </c>
      <c r="AE4418">
        <v>-4.4269499999999899</v>
      </c>
      <c r="AF4418">
        <v>4.3118230380002096</v>
      </c>
      <c r="AG4418">
        <v>-1.1581220000000001</v>
      </c>
      <c r="AH4418">
        <v>14.5426636798689</v>
      </c>
      <c r="AI4418">
        <v>94.366112265888802</v>
      </c>
      <c r="AJ4418">
        <v>73.485187725351295</v>
      </c>
      <c r="AK4418">
        <v>15.2125649179779</v>
      </c>
      <c r="AL4418">
        <v>81.456264630131599</v>
      </c>
      <c r="AM4418">
        <v>77.095443304435904</v>
      </c>
      <c r="AN4418">
        <v>0.99999993458096703</v>
      </c>
    </row>
    <row r="4419" spans="1:40" x14ac:dyDescent="0.25">
      <c r="A4419" t="str">
        <f>"20190312164357872"</f>
        <v>20190312164357872</v>
      </c>
      <c r="B4419" t="str">
        <f>"1552380237869614"</f>
        <v>1552380237869614</v>
      </c>
      <c r="C4419" t="s">
        <v>40</v>
      </c>
      <c r="D4419">
        <v>4.7324840000000004</v>
      </c>
      <c r="E4419">
        <v>0.53323379999999998</v>
      </c>
      <c r="F4419" t="s">
        <v>43</v>
      </c>
      <c r="G4419">
        <v>-317.0609</v>
      </c>
      <c r="H4419">
        <v>-0.05</v>
      </c>
      <c r="I4419">
        <v>12.5275</v>
      </c>
      <c r="J4419">
        <v>-331.66860000000003</v>
      </c>
      <c r="K4419">
        <v>1.10799</v>
      </c>
      <c r="L4419">
        <v>17.003139999999998</v>
      </c>
      <c r="M4419">
        <v>0.99987130000000002</v>
      </c>
      <c r="N4419">
        <v>0</v>
      </c>
      <c r="O4419">
        <v>-7.5398929999999998E-3</v>
      </c>
      <c r="P4419">
        <v>0.96352280000000001</v>
      </c>
      <c r="Q4419">
        <v>0.1365614</v>
      </c>
      <c r="R4419">
        <v>-0.23016349999999999</v>
      </c>
      <c r="S4419">
        <v>2.9345089999999998</v>
      </c>
      <c r="T4419">
        <v>-0.22955120000000001</v>
      </c>
      <c r="U4419">
        <v>-0.88760380000000005</v>
      </c>
      <c r="V4419">
        <v>0.22366720000000001</v>
      </c>
      <c r="W4419">
        <v>0.1490581</v>
      </c>
      <c r="X4419">
        <v>0.96320019999999995</v>
      </c>
      <c r="Y4419">
        <v>0.28152460000000001</v>
      </c>
      <c r="Z4419">
        <v>-1.01788E-2</v>
      </c>
      <c r="AA4419">
        <v>0.95950000000000002</v>
      </c>
      <c r="AB4419">
        <v>38</v>
      </c>
      <c r="AC4419">
        <v>14.607699999999999</v>
      </c>
      <c r="AD4419">
        <v>-1.1579899999999901</v>
      </c>
      <c r="AE4419">
        <v>-4.4756399999999896</v>
      </c>
      <c r="AF4419">
        <v>4.34042612520307</v>
      </c>
      <c r="AG4419">
        <v>-1.1579899999999901</v>
      </c>
      <c r="AH4419">
        <v>14.5574038487224</v>
      </c>
      <c r="AI4419">
        <v>94.359238069341103</v>
      </c>
      <c r="AJ4419">
        <v>73.397558160107707</v>
      </c>
      <c r="AK4419">
        <v>15.2347709731142</v>
      </c>
      <c r="AL4419">
        <v>81.427653791061402</v>
      </c>
      <c r="AM4419">
        <v>76.926891807927902</v>
      </c>
      <c r="AN4419">
        <v>0.99999997940574403</v>
      </c>
    </row>
    <row r="4420" spans="1:40" x14ac:dyDescent="0.25">
      <c r="A4420" t="str">
        <f>"20190312164357885"</f>
        <v>20190312164357885</v>
      </c>
      <c r="B4420" t="str">
        <f>"1552380237879372"</f>
        <v>1552380237879372</v>
      </c>
      <c r="C4420" t="s">
        <v>40</v>
      </c>
      <c r="D4420">
        <v>4.4733179999999999</v>
      </c>
      <c r="E4420">
        <v>0.53315950000000001</v>
      </c>
      <c r="F4420" t="s">
        <v>43</v>
      </c>
      <c r="G4420">
        <v>-316.85250000000002</v>
      </c>
      <c r="H4420">
        <v>-0.05</v>
      </c>
      <c r="I4420">
        <v>12.466089999999999</v>
      </c>
      <c r="J4420">
        <v>-331.44549999999998</v>
      </c>
      <c r="K4420">
        <v>1.107834</v>
      </c>
      <c r="L4420">
        <v>17.00018</v>
      </c>
      <c r="M4420">
        <v>0.99985800000000002</v>
      </c>
      <c r="N4420">
        <v>0</v>
      </c>
      <c r="O4420">
        <v>-9.1359179999999998E-3</v>
      </c>
      <c r="P4420">
        <v>0.96252079999999995</v>
      </c>
      <c r="Q4420">
        <v>0.1369483</v>
      </c>
      <c r="R4420">
        <v>-0.2340922</v>
      </c>
      <c r="S4420">
        <v>2.9316409999999999</v>
      </c>
      <c r="T4420">
        <v>-0.22912920000000001</v>
      </c>
      <c r="U4420">
        <v>-0.89773559999999997</v>
      </c>
      <c r="V4420">
        <v>0.22612360000000001</v>
      </c>
      <c r="W4420">
        <v>0.14934</v>
      </c>
      <c r="X4420">
        <v>0.96258279999999996</v>
      </c>
      <c r="Y4420">
        <v>0.28328959999999997</v>
      </c>
      <c r="Z4420">
        <v>-1.0110269999999999E-2</v>
      </c>
      <c r="AA4420">
        <v>0.95898119999999998</v>
      </c>
      <c r="AB4420">
        <v>38</v>
      </c>
      <c r="AC4420">
        <v>14.5929999999999</v>
      </c>
      <c r="AD4420">
        <v>-1.157834</v>
      </c>
      <c r="AE4420">
        <v>-4.53409</v>
      </c>
      <c r="AF4420">
        <v>4.3754478877328902</v>
      </c>
      <c r="AG4420">
        <v>-1.157834</v>
      </c>
      <c r="AH4420">
        <v>14.550286276080801</v>
      </c>
      <c r="AI4420">
        <v>94.357730746170901</v>
      </c>
      <c r="AJ4420">
        <v>73.2633289215117</v>
      </c>
      <c r="AK4420">
        <v>15.237977375811001</v>
      </c>
      <c r="AL4420">
        <v>81.4113193077105</v>
      </c>
      <c r="AM4420">
        <v>76.780150943116794</v>
      </c>
      <c r="AN4420">
        <v>0.99999998246639998</v>
      </c>
    </row>
    <row r="4421" spans="1:40" x14ac:dyDescent="0.25">
      <c r="A4421" t="str">
        <f>"20190312164357896"</f>
        <v>20190312164357896</v>
      </c>
      <c r="B4421" t="str">
        <f>"1552380237889133"</f>
        <v>1552380237889133</v>
      </c>
      <c r="C4421" t="s">
        <v>40</v>
      </c>
      <c r="D4421">
        <v>4.4305219999999998</v>
      </c>
      <c r="E4421">
        <v>0.53303730000000005</v>
      </c>
      <c r="F4421" t="s">
        <v>43</v>
      </c>
      <c r="G4421">
        <v>-316.5992</v>
      </c>
      <c r="H4421">
        <v>-0.05</v>
      </c>
      <c r="I4421">
        <v>12.39392</v>
      </c>
      <c r="J4421">
        <v>-331.22820000000002</v>
      </c>
      <c r="K4421">
        <v>1.1076790000000001</v>
      </c>
      <c r="L4421">
        <v>16.996860000000002</v>
      </c>
      <c r="M4421">
        <v>0.99984139999999999</v>
      </c>
      <c r="N4421">
        <v>0</v>
      </c>
      <c r="O4421">
        <v>-1.0799909999999999E-2</v>
      </c>
      <c r="P4421">
        <v>0.96148350000000005</v>
      </c>
      <c r="Q4421">
        <v>0.1374476</v>
      </c>
      <c r="R4421">
        <v>-0.23802899999999999</v>
      </c>
      <c r="S4421">
        <v>2.928375</v>
      </c>
      <c r="T4421">
        <v>-0.22837850000000001</v>
      </c>
      <c r="U4421">
        <v>-0.90856930000000002</v>
      </c>
      <c r="V4421">
        <v>0.22852539999999999</v>
      </c>
      <c r="W4421">
        <v>0.1497346</v>
      </c>
      <c r="X4421">
        <v>0.96195410000000003</v>
      </c>
      <c r="Y4421">
        <v>0.28523599999999999</v>
      </c>
      <c r="Z4421">
        <v>-1.003014E-2</v>
      </c>
      <c r="AA4421">
        <v>0.95840479999999995</v>
      </c>
      <c r="AB4421">
        <v>38</v>
      </c>
      <c r="AC4421">
        <v>14.629</v>
      </c>
      <c r="AD4421">
        <v>-1.1576789999999999</v>
      </c>
      <c r="AE4421">
        <v>-4.6029400000000003</v>
      </c>
      <c r="AF4421">
        <v>4.4194800473559299</v>
      </c>
      <c r="AG4421">
        <v>-1.1576789999999999</v>
      </c>
      <c r="AH4421">
        <v>14.594697348681599</v>
      </c>
      <c r="AI4421">
        <v>94.341426856406002</v>
      </c>
      <c r="AJ4421">
        <v>73.152947932284306</v>
      </c>
      <c r="AK4421">
        <v>15.2930446692486</v>
      </c>
      <c r="AL4421">
        <v>81.388453438469597</v>
      </c>
      <c r="AM4421">
        <v>76.636325342801399</v>
      </c>
      <c r="AN4421">
        <v>0.99999999969456499</v>
      </c>
    </row>
    <row r="4422" spans="1:40" x14ac:dyDescent="0.25">
      <c r="A4422" t="str">
        <f>"20190312164357915"</f>
        <v>20190312164357915</v>
      </c>
      <c r="B4422" t="str">
        <f>"1552380237909629"</f>
        <v>1552380237909629</v>
      </c>
      <c r="C4422" t="s">
        <v>40</v>
      </c>
      <c r="D4422">
        <v>4.7040769999999998</v>
      </c>
      <c r="E4422">
        <v>0.53278959999999997</v>
      </c>
      <c r="F4422" t="s">
        <v>43</v>
      </c>
      <c r="G4422">
        <v>-316.31849999999997</v>
      </c>
      <c r="H4422">
        <v>-0.05</v>
      </c>
      <c r="I4422">
        <v>12.31311</v>
      </c>
      <c r="J4422">
        <v>-330.92660000000001</v>
      </c>
      <c r="K4422">
        <v>1.10747</v>
      </c>
      <c r="L4422">
        <v>16.991420000000002</v>
      </c>
      <c r="M4422">
        <v>0.99981160000000002</v>
      </c>
      <c r="N4422">
        <v>0</v>
      </c>
      <c r="O4422">
        <v>-1.3264659999999999E-2</v>
      </c>
      <c r="P4422">
        <v>0.95949110000000004</v>
      </c>
      <c r="Q4422">
        <v>0.13794770000000001</v>
      </c>
      <c r="R4422">
        <v>-0.24565690000000001</v>
      </c>
      <c r="S4422">
        <v>2.9251710000000002</v>
      </c>
      <c r="T4422">
        <v>-0.22712679999999999</v>
      </c>
      <c r="U4422">
        <v>-0.91891480000000003</v>
      </c>
      <c r="V4422">
        <v>0.23388200000000001</v>
      </c>
      <c r="W4422">
        <v>0.15006939999999999</v>
      </c>
      <c r="X4422">
        <v>0.96061350000000001</v>
      </c>
      <c r="Y4422">
        <v>0.28627079999999999</v>
      </c>
      <c r="Z4422">
        <v>-9.8333280000000006E-3</v>
      </c>
      <c r="AA4422">
        <v>0.95809829999999996</v>
      </c>
      <c r="AB4422">
        <v>38</v>
      </c>
      <c r="AC4422">
        <v>14.6081</v>
      </c>
      <c r="AD4422">
        <v>-1.15747</v>
      </c>
      <c r="AE4422">
        <v>-4.6783099999999997</v>
      </c>
      <c r="AF4422">
        <v>4.4587187862147699</v>
      </c>
      <c r="AG4422">
        <v>-1.15747</v>
      </c>
      <c r="AH4422">
        <v>14.585823140828101</v>
      </c>
      <c r="AI4422">
        <v>94.339814972340406</v>
      </c>
      <c r="AJ4422">
        <v>73.00220885537</v>
      </c>
      <c r="AK4422">
        <v>15.295951971386399</v>
      </c>
      <c r="AL4422">
        <v>81.369051203329093</v>
      </c>
      <c r="AM4422">
        <v>76.316346488722402</v>
      </c>
      <c r="AN4422">
        <v>0.99999995556130405</v>
      </c>
    </row>
    <row r="4423" spans="1:40" x14ac:dyDescent="0.25">
      <c r="A4423" t="str">
        <f>"20190312164357936"</f>
        <v>20190312164357936</v>
      </c>
      <c r="B4423" t="str">
        <f>"1552380237929148"</f>
        <v>1552380237929148</v>
      </c>
      <c r="C4423" t="s">
        <v>40</v>
      </c>
      <c r="D4423">
        <v>4.7204899999999999</v>
      </c>
      <c r="E4423">
        <v>0.53255459999999999</v>
      </c>
      <c r="F4423" t="s">
        <v>43</v>
      </c>
      <c r="G4423">
        <v>-315.96929999999998</v>
      </c>
      <c r="H4423">
        <v>-0.05</v>
      </c>
      <c r="I4423">
        <v>12.18008</v>
      </c>
      <c r="J4423">
        <v>-330.54410000000001</v>
      </c>
      <c r="K4423">
        <v>1.107205</v>
      </c>
      <c r="L4423">
        <v>16.983370000000001</v>
      </c>
      <c r="M4423">
        <v>0.99976149999999997</v>
      </c>
      <c r="N4423">
        <v>0</v>
      </c>
      <c r="O4423">
        <v>-1.6613329999999999E-2</v>
      </c>
      <c r="P4423">
        <v>0.9568837</v>
      </c>
      <c r="Q4423">
        <v>0.1390439</v>
      </c>
      <c r="R4423">
        <v>-0.25502999999999998</v>
      </c>
      <c r="S4423">
        <v>2.9187319999999999</v>
      </c>
      <c r="T4423">
        <v>-0.22586600000000001</v>
      </c>
      <c r="U4423">
        <v>-0.93887330000000002</v>
      </c>
      <c r="V4423">
        <v>0.24017450000000001</v>
      </c>
      <c r="W4423">
        <v>0.15095600000000001</v>
      </c>
      <c r="X4423">
        <v>0.95892049999999995</v>
      </c>
      <c r="Y4423">
        <v>0.28962110000000002</v>
      </c>
      <c r="Z4423">
        <v>-9.6637019999999997E-3</v>
      </c>
      <c r="AA4423">
        <v>0.95709259999999996</v>
      </c>
      <c r="AB4423">
        <v>38</v>
      </c>
      <c r="AC4423">
        <v>14.5748</v>
      </c>
      <c r="AD4423">
        <v>-1.15720499999999</v>
      </c>
      <c r="AE4423">
        <v>-4.8032899999999996</v>
      </c>
      <c r="AF4423">
        <v>4.5346807215379501</v>
      </c>
      <c r="AG4423">
        <v>-1.15720499999999</v>
      </c>
      <c r="AH4423">
        <v>14.5697455754343</v>
      </c>
      <c r="AI4423">
        <v>94.336834693665494</v>
      </c>
      <c r="AJ4423">
        <v>72.711793488884197</v>
      </c>
      <c r="AK4423">
        <v>15.302938893925001</v>
      </c>
      <c r="AL4423">
        <v>81.317667919456497</v>
      </c>
      <c r="AM4423">
        <v>75.938769577398304</v>
      </c>
      <c r="AN4423">
        <v>1.00000001485325</v>
      </c>
    </row>
    <row r="4424" spans="1:40" x14ac:dyDescent="0.25">
      <c r="A4424" t="str">
        <f>"20190312164357949"</f>
        <v>20190312164357949</v>
      </c>
      <c r="B4424" t="str">
        <f>"1552380237938909"</f>
        <v>1552380237938909</v>
      </c>
      <c r="C4424" t="s">
        <v>40</v>
      </c>
      <c r="D4424">
        <v>4.4721310000000001</v>
      </c>
      <c r="E4424">
        <v>0.532412</v>
      </c>
      <c r="F4424" t="s">
        <v>43</v>
      </c>
      <c r="G4424">
        <v>-315.45920000000001</v>
      </c>
      <c r="H4424">
        <v>-0.05</v>
      </c>
      <c r="I4424">
        <v>11.99297</v>
      </c>
      <c r="J4424">
        <v>-330.33940000000001</v>
      </c>
      <c r="K4424">
        <v>1.107073</v>
      </c>
      <c r="L4424">
        <v>16.978390000000001</v>
      </c>
      <c r="M4424">
        <v>0.9997279</v>
      </c>
      <c r="N4424">
        <v>0</v>
      </c>
      <c r="O4424">
        <v>-1.851916E-2</v>
      </c>
      <c r="P4424">
        <v>0.95533469999999998</v>
      </c>
      <c r="Q4424">
        <v>0.13974990000000001</v>
      </c>
      <c r="R4424">
        <v>-0.26039519999999999</v>
      </c>
      <c r="S4424">
        <v>2.9109799999999999</v>
      </c>
      <c r="T4424">
        <v>-0.22330900000000001</v>
      </c>
      <c r="U4424">
        <v>-0.96301270000000005</v>
      </c>
      <c r="V4424">
        <v>0.24378920000000001</v>
      </c>
      <c r="W4424">
        <v>0.1515476</v>
      </c>
      <c r="X4424">
        <v>0.9579145</v>
      </c>
      <c r="Y4424">
        <v>0.29570940000000001</v>
      </c>
      <c r="Z4424">
        <v>-9.6519559999999997E-3</v>
      </c>
      <c r="AA4424">
        <v>0.9552292</v>
      </c>
      <c r="AB4424">
        <v>38</v>
      </c>
      <c r="AC4424">
        <v>14.8802</v>
      </c>
      <c r="AD4424">
        <v>-1.157073</v>
      </c>
      <c r="AE4424">
        <v>-4.9854200000000004</v>
      </c>
      <c r="AF4424">
        <v>4.6835074844532096</v>
      </c>
      <c r="AG4424">
        <v>-1.157073</v>
      </c>
      <c r="AH4424">
        <v>14.8890417342798</v>
      </c>
      <c r="AI4424">
        <v>94.239692055886806</v>
      </c>
      <c r="AJ4424">
        <v>72.538473212213304</v>
      </c>
      <c r="AK4424">
        <v>15.6511221338722</v>
      </c>
      <c r="AL4424">
        <v>81.283377269297603</v>
      </c>
      <c r="AM4424">
        <v>75.721352428591302</v>
      </c>
      <c r="AN4424">
        <v>1.0000000192063201</v>
      </c>
    </row>
    <row r="4425" spans="1:40" x14ac:dyDescent="0.25">
      <c r="A4425" t="str">
        <f>"20190312164357960"</f>
        <v>20190312164357960</v>
      </c>
      <c r="B4425" t="str">
        <f>"1552380237949646"</f>
        <v>1552380237949646</v>
      </c>
      <c r="C4425" t="s">
        <v>40</v>
      </c>
      <c r="D4425">
        <v>4.6219669999999997</v>
      </c>
      <c r="E4425">
        <v>0.53227690000000005</v>
      </c>
      <c r="F4425" t="s">
        <v>43</v>
      </c>
      <c r="G4425">
        <v>-315.16090000000003</v>
      </c>
      <c r="H4425">
        <v>-0.05</v>
      </c>
      <c r="I4425">
        <v>11.87669</v>
      </c>
      <c r="J4425">
        <v>-330.14640000000003</v>
      </c>
      <c r="K4425">
        <v>1.1069500000000001</v>
      </c>
      <c r="L4425">
        <v>16.97345</v>
      </c>
      <c r="M4425">
        <v>0.99969229999999998</v>
      </c>
      <c r="N4425">
        <v>0</v>
      </c>
      <c r="O4425">
        <v>-2.034979E-2</v>
      </c>
      <c r="P4425">
        <v>0.95385850000000005</v>
      </c>
      <c r="Q4425">
        <v>0.1403314</v>
      </c>
      <c r="R4425">
        <v>-0.26544590000000001</v>
      </c>
      <c r="S4425">
        <v>2.9063720000000002</v>
      </c>
      <c r="T4425">
        <v>-0.2215548</v>
      </c>
      <c r="U4425">
        <v>-0.97686770000000001</v>
      </c>
      <c r="V4425">
        <v>0.24716050000000001</v>
      </c>
      <c r="W4425">
        <v>0.15201990000000001</v>
      </c>
      <c r="X4425">
        <v>0.95697529999999997</v>
      </c>
      <c r="Y4425">
        <v>0.29851630000000001</v>
      </c>
      <c r="Z4425">
        <v>-9.5522799999999998E-3</v>
      </c>
      <c r="AA4425">
        <v>0.95435669999999995</v>
      </c>
      <c r="AB4425">
        <v>38</v>
      </c>
      <c r="AC4425">
        <v>14.9855</v>
      </c>
      <c r="AD4425">
        <v>-1.1569499999999999</v>
      </c>
      <c r="AE4425">
        <v>-5.0967599999999997</v>
      </c>
      <c r="AF4425">
        <v>4.7652632567615898</v>
      </c>
      <c r="AG4425">
        <v>-1.1569499999999999</v>
      </c>
      <c r="AH4425">
        <v>15.005954616724001</v>
      </c>
      <c r="AI4425">
        <v>94.202725159335998</v>
      </c>
      <c r="AJ4425">
        <v>72.382329864179397</v>
      </c>
      <c r="AK4425">
        <v>15.7868597627242</v>
      </c>
      <c r="AL4425">
        <v>81.255999480393697</v>
      </c>
      <c r="AM4425">
        <v>75.518528490119095</v>
      </c>
      <c r="AN4425">
        <v>1.00000004378317</v>
      </c>
    </row>
    <row r="4426" spans="1:40" x14ac:dyDescent="0.25">
      <c r="A4426" t="str">
        <f>"20190312164357972"</f>
        <v>20190312164357972</v>
      </c>
      <c r="B4426" t="str">
        <f>"1552380237969165"</f>
        <v>1552380237969165</v>
      </c>
      <c r="C4426" t="s">
        <v>40</v>
      </c>
      <c r="D4426">
        <v>4.6076180000000004</v>
      </c>
      <c r="E4426">
        <v>0.53198440000000002</v>
      </c>
      <c r="F4426" t="s">
        <v>43</v>
      </c>
      <c r="G4426">
        <v>-314.8965</v>
      </c>
      <c r="H4426">
        <v>-0.05</v>
      </c>
      <c r="I4426">
        <v>11.77148</v>
      </c>
      <c r="J4426">
        <v>-329.9522</v>
      </c>
      <c r="K4426">
        <v>1.1068279999999999</v>
      </c>
      <c r="L4426">
        <v>16.967829999999999</v>
      </c>
      <c r="M4426">
        <v>0.99965079999999995</v>
      </c>
      <c r="N4426">
        <v>0</v>
      </c>
      <c r="O4426">
        <v>-2.2283399999999998E-2</v>
      </c>
      <c r="P4426">
        <v>0.95237179999999999</v>
      </c>
      <c r="Q4426">
        <v>0.14049339999999999</v>
      </c>
      <c r="R4426">
        <v>-0.27064670000000002</v>
      </c>
      <c r="S4426">
        <v>2.9020389999999998</v>
      </c>
      <c r="T4426">
        <v>-0.2201669</v>
      </c>
      <c r="U4426">
        <v>-0.98992919999999995</v>
      </c>
      <c r="V4426">
        <v>0.25058200000000003</v>
      </c>
      <c r="W4426">
        <v>0.1520755</v>
      </c>
      <c r="X4426">
        <v>0.95607620000000004</v>
      </c>
      <c r="Y4426">
        <v>0.30096009999999901</v>
      </c>
      <c r="Z4426">
        <v>-9.4471899999999994E-3</v>
      </c>
      <c r="AA4426">
        <v>0.95359000000000005</v>
      </c>
      <c r="AB4426">
        <v>38</v>
      </c>
      <c r="AC4426">
        <v>15.0557</v>
      </c>
      <c r="AD4426">
        <v>-1.156828</v>
      </c>
      <c r="AE4426">
        <v>-5.19634999999999</v>
      </c>
      <c r="AF4426">
        <v>4.8340318255653996</v>
      </c>
      <c r="AG4426">
        <v>-1.156828</v>
      </c>
      <c r="AH4426">
        <v>15.0881682662993</v>
      </c>
      <c r="AI4426">
        <v>94.176059426202599</v>
      </c>
      <c r="AJ4426">
        <v>72.235289629258801</v>
      </c>
      <c r="AK4426">
        <v>15.8858092757129</v>
      </c>
      <c r="AL4426">
        <v>81.252775959648801</v>
      </c>
      <c r="AM4426">
        <v>75.313451561631695</v>
      </c>
      <c r="AN4426">
        <v>0.99999999831534503</v>
      </c>
    </row>
    <row r="4427" spans="1:40" x14ac:dyDescent="0.25">
      <c r="A4427" t="str">
        <f>"20190312164357986"</f>
        <v>20190312164357986</v>
      </c>
      <c r="B4427" t="str">
        <f>"1552380237979901"</f>
        <v>1552380237979901</v>
      </c>
      <c r="C4427" t="s">
        <v>40</v>
      </c>
      <c r="D4427">
        <v>4.3329230000000001</v>
      </c>
      <c r="E4427">
        <v>0.53182700000000005</v>
      </c>
      <c r="F4427" t="s">
        <v>43</v>
      </c>
      <c r="G4427">
        <v>-314.75349999999997</v>
      </c>
      <c r="H4427">
        <v>-0.05</v>
      </c>
      <c r="I4427">
        <v>11.708360000000001</v>
      </c>
      <c r="J4427">
        <v>-329.70859999999999</v>
      </c>
      <c r="K4427">
        <v>1.106681</v>
      </c>
      <c r="L4427">
        <v>16.960419999999999</v>
      </c>
      <c r="M4427">
        <v>0.99959279999999995</v>
      </c>
      <c r="N4427">
        <v>0</v>
      </c>
      <c r="O4427">
        <v>-2.47513E-2</v>
      </c>
      <c r="P4427">
        <v>0.95075589999999999</v>
      </c>
      <c r="Q4427">
        <v>0.14106749999999901</v>
      </c>
      <c r="R4427">
        <v>-0.27597709999999998</v>
      </c>
      <c r="S4427">
        <v>2.8976139999999999</v>
      </c>
      <c r="T4427">
        <v>-0.22054840000000001</v>
      </c>
      <c r="U4427">
        <v>-1.0027159999999999</v>
      </c>
      <c r="V4427">
        <v>0.25364120000000001</v>
      </c>
      <c r="W4427">
        <v>0.15252979999999899</v>
      </c>
      <c r="X4427">
        <v>0.95519670000000001</v>
      </c>
      <c r="Y4427">
        <v>0.30281219999999998</v>
      </c>
      <c r="Z4427">
        <v>-9.3570860000000006E-3</v>
      </c>
      <c r="AA4427">
        <v>0.95300430000000003</v>
      </c>
      <c r="AB4427">
        <v>38</v>
      </c>
      <c r="AC4427">
        <v>14.9551</v>
      </c>
      <c r="AD4427">
        <v>-1.1566809999999901</v>
      </c>
      <c r="AE4427">
        <v>-5.2520600000000002</v>
      </c>
      <c r="AF4427">
        <v>4.8544042574321997</v>
      </c>
      <c r="AG4427">
        <v>-1.1566809999999901</v>
      </c>
      <c r="AH4427">
        <v>15.000643687955201</v>
      </c>
      <c r="AI4427">
        <v>94.195868185784505</v>
      </c>
      <c r="AJ4427">
        <v>72.067741598431596</v>
      </c>
      <c r="AK4427">
        <v>15.8089361654517</v>
      </c>
      <c r="AL4427">
        <v>81.226438962701195</v>
      </c>
      <c r="AM4427">
        <v>75.128964293786595</v>
      </c>
      <c r="AN4427">
        <v>0.99999996695818405</v>
      </c>
    </row>
    <row r="4428" spans="1:40" x14ac:dyDescent="0.25">
      <c r="A4428" t="str">
        <f>"20190312164358004"</f>
        <v>20190312164358004</v>
      </c>
      <c r="B4428" t="str">
        <f>"1552380237999420"</f>
        <v>1552380237999420</v>
      </c>
      <c r="C4428" t="s">
        <v>40</v>
      </c>
      <c r="D4428">
        <v>4.4510459999999998</v>
      </c>
      <c r="E4428">
        <v>0.53159959999999995</v>
      </c>
      <c r="F4428" t="s">
        <v>43</v>
      </c>
      <c r="G4428">
        <v>-314.4649</v>
      </c>
      <c r="H4428">
        <v>-0.05</v>
      </c>
      <c r="I4428">
        <v>11.597989999999999</v>
      </c>
      <c r="J4428">
        <v>-329.41930000000002</v>
      </c>
      <c r="K4428">
        <v>1.1065240000000001</v>
      </c>
      <c r="L4428">
        <v>16.95074</v>
      </c>
      <c r="M4428">
        <v>0.9995134</v>
      </c>
      <c r="N4428">
        <v>0</v>
      </c>
      <c r="O4428">
        <v>-2.7773900000000001E-2</v>
      </c>
      <c r="P4428">
        <v>0.94788159999999999</v>
      </c>
      <c r="Q4428">
        <v>0.1416222</v>
      </c>
      <c r="R4428">
        <v>-0.28541870000000003</v>
      </c>
      <c r="S4428">
        <v>2.8925779999999999</v>
      </c>
      <c r="T4428">
        <v>-0.2194865</v>
      </c>
      <c r="U4428">
        <v>-1.0175479999999999</v>
      </c>
      <c r="V4428">
        <v>0.2603258</v>
      </c>
      <c r="W4428">
        <v>0.15290819999999999</v>
      </c>
      <c r="X4428">
        <v>0.95333599999999996</v>
      </c>
      <c r="Y4428">
        <v>0.3048071</v>
      </c>
      <c r="Z4428">
        <v>-9.1713769999999997E-3</v>
      </c>
      <c r="AA4428">
        <v>0.95237000000000005</v>
      </c>
      <c r="AB4428">
        <v>38</v>
      </c>
      <c r="AC4428">
        <v>14.9544</v>
      </c>
      <c r="AD4428">
        <v>-1.1565239999999899</v>
      </c>
      <c r="AE4428">
        <v>-5.3527500000000003</v>
      </c>
      <c r="AF4428">
        <v>4.9092732276715996</v>
      </c>
      <c r="AG4428">
        <v>-1.1565239999999899</v>
      </c>
      <c r="AH4428">
        <v>15.0176921415576</v>
      </c>
      <c r="AI4428">
        <v>94.186520790486199</v>
      </c>
      <c r="AJ4428">
        <v>71.897467131048401</v>
      </c>
      <c r="AK4428">
        <v>15.842019714831499</v>
      </c>
      <c r="AL4428">
        <v>81.204501051788398</v>
      </c>
      <c r="AM4428">
        <v>74.726698462364695</v>
      </c>
      <c r="AN4428">
        <v>0.99999998433443904</v>
      </c>
    </row>
    <row r="4429" spans="1:40" x14ac:dyDescent="0.25">
      <c r="A4429" t="str">
        <f>"20190312164358016"</f>
        <v>20190312164358016</v>
      </c>
      <c r="B4429" t="str">
        <f>"1552380238009182"</f>
        <v>1552380238009182</v>
      </c>
      <c r="C4429" t="s">
        <v>40</v>
      </c>
      <c r="D4429">
        <v>4.5876729999999997</v>
      </c>
      <c r="E4429">
        <v>0.53139630000000004</v>
      </c>
      <c r="F4429" t="s">
        <v>43</v>
      </c>
      <c r="G4429">
        <v>-314.26209999999998</v>
      </c>
      <c r="H4429">
        <v>-0.05</v>
      </c>
      <c r="I4429">
        <v>11.46909</v>
      </c>
      <c r="J4429">
        <v>-329.17829999999998</v>
      </c>
      <c r="K4429">
        <v>1.1064039999999999</v>
      </c>
      <c r="L4429">
        <v>16.941859999999998</v>
      </c>
      <c r="M4429">
        <v>0.99943789999999999</v>
      </c>
      <c r="N4429">
        <v>0</v>
      </c>
      <c r="O4429">
        <v>-3.036525E-2</v>
      </c>
      <c r="P4429">
        <v>0.94607699999999995</v>
      </c>
      <c r="Q4429">
        <v>0.14112759999999999</v>
      </c>
      <c r="R4429">
        <v>-0.29158440000000002</v>
      </c>
      <c r="S4429">
        <v>2.8837890000000002</v>
      </c>
      <c r="T4429">
        <v>-0.2200387</v>
      </c>
      <c r="U4429">
        <v>-1.0429379999999999</v>
      </c>
      <c r="V4429">
        <v>0.26410479999999997</v>
      </c>
      <c r="W4429">
        <v>0.1522956</v>
      </c>
      <c r="X4429">
        <v>0.95239419999999997</v>
      </c>
      <c r="Y4429">
        <v>0.31066369999999999</v>
      </c>
      <c r="Z4429">
        <v>-9.2330450000000005E-3</v>
      </c>
      <c r="AA4429">
        <v>0.95047499999999996</v>
      </c>
      <c r="AB4429">
        <v>38</v>
      </c>
      <c r="AC4429">
        <v>14.9162</v>
      </c>
      <c r="AD4429">
        <v>-1.156404</v>
      </c>
      <c r="AE4429">
        <v>-5.4727699999999997</v>
      </c>
      <c r="AF4429">
        <v>4.9908281092527398</v>
      </c>
      <c r="AG4429">
        <v>-1.156404</v>
      </c>
      <c r="AH4429">
        <v>14.996080517343399</v>
      </c>
      <c r="AI4429">
        <v>94.184762220782602</v>
      </c>
      <c r="AJ4429">
        <v>71.592101740134396</v>
      </c>
      <c r="AK4429">
        <v>15.847020739242099</v>
      </c>
      <c r="AL4429">
        <v>81.240016583349501</v>
      </c>
      <c r="AM4429">
        <v>74.500976902557099</v>
      </c>
      <c r="AN4429">
        <v>1.0000000036780099</v>
      </c>
    </row>
    <row r="4430" spans="1:40" x14ac:dyDescent="0.25">
      <c r="A4430" t="str">
        <f>"20190312164358029"</f>
        <v>20190312164358029</v>
      </c>
      <c r="B4430" t="str">
        <f>"1552380238018941"</f>
        <v>1552380238018941</v>
      </c>
      <c r="C4430" t="s">
        <v>40</v>
      </c>
      <c r="D4430">
        <v>4.4719470000000001</v>
      </c>
      <c r="E4430">
        <v>0.53120649999999903</v>
      </c>
      <c r="F4430" t="s">
        <v>43</v>
      </c>
      <c r="G4430">
        <v>-314.23009999999999</v>
      </c>
      <c r="H4430">
        <v>-0.05</v>
      </c>
      <c r="I4430">
        <v>11.44473</v>
      </c>
      <c r="J4430">
        <v>-328.98270000000002</v>
      </c>
      <c r="K4430">
        <v>1.106311</v>
      </c>
      <c r="L4430">
        <v>16.934170000000002</v>
      </c>
      <c r="M4430">
        <v>0.9993706</v>
      </c>
      <c r="N4430">
        <v>0</v>
      </c>
      <c r="O4430">
        <v>-3.250695E-2</v>
      </c>
      <c r="P4430">
        <v>0.94425519999999996</v>
      </c>
      <c r="Q4430">
        <v>0.14105719999999999</v>
      </c>
      <c r="R4430">
        <v>-0.29746430000000001</v>
      </c>
      <c r="S4430">
        <v>2.8779599999999999</v>
      </c>
      <c r="T4430">
        <v>-0.22264039999999999</v>
      </c>
      <c r="U4430">
        <v>-1.0583499999999999</v>
      </c>
      <c r="V4430">
        <v>0.2680264</v>
      </c>
      <c r="W4430">
        <v>0.1521198</v>
      </c>
      <c r="X4430">
        <v>0.95132609999999995</v>
      </c>
      <c r="Y4430">
        <v>0.31371199999999999</v>
      </c>
      <c r="Z4430">
        <v>-9.3057160000000003E-3</v>
      </c>
      <c r="AA4430">
        <v>0.9494726</v>
      </c>
      <c r="AB4430">
        <v>38</v>
      </c>
      <c r="AC4430">
        <v>14.752599999999999</v>
      </c>
      <c r="AD4430">
        <v>-1.1563110000000001</v>
      </c>
      <c r="AE4430">
        <v>-5.4894400000000001</v>
      </c>
      <c r="AF4430">
        <v>4.9800540929058403</v>
      </c>
      <c r="AG4430">
        <v>-1.1563110000000001</v>
      </c>
      <c r="AH4430">
        <v>14.8431667764143</v>
      </c>
      <c r="AI4430">
        <v>94.223958592499002</v>
      </c>
      <c r="AJ4430">
        <v>71.452801614978995</v>
      </c>
      <c r="AK4430">
        <v>15.698967923065499</v>
      </c>
      <c r="AL4430">
        <v>81.250207598470993</v>
      </c>
      <c r="AM4430">
        <v>74.265360564165107</v>
      </c>
      <c r="AN4430">
        <v>0.99999996659510404</v>
      </c>
    </row>
    <row r="4431" spans="1:40" x14ac:dyDescent="0.25">
      <c r="A4431" t="str">
        <f>"20190312164358039"</f>
        <v>20190312164358039</v>
      </c>
      <c r="B4431" t="str">
        <f>"1552380238029045"</f>
        <v>1552380238029045</v>
      </c>
      <c r="C4431" t="s">
        <v>40</v>
      </c>
      <c r="D4431">
        <v>4.6384840000000001</v>
      </c>
      <c r="E4431">
        <v>0.53097890000000003</v>
      </c>
      <c r="F4431" t="s">
        <v>43</v>
      </c>
      <c r="G4431">
        <v>-314.14159999999998</v>
      </c>
      <c r="H4431">
        <v>-0.05</v>
      </c>
      <c r="I4431">
        <v>11.390230000000001</v>
      </c>
      <c r="J4431">
        <v>-328.7835</v>
      </c>
      <c r="K4431">
        <v>1.1062259999999999</v>
      </c>
      <c r="L4431">
        <v>16.92606</v>
      </c>
      <c r="M4431">
        <v>0.99929670000000004</v>
      </c>
      <c r="N4431">
        <v>0</v>
      </c>
      <c r="O4431">
        <v>-3.4705229999999997E-2</v>
      </c>
      <c r="P4431">
        <v>0.94256709999999999</v>
      </c>
      <c r="Q4431">
        <v>0.1403208</v>
      </c>
      <c r="R4431">
        <v>-0.30311339999999998</v>
      </c>
      <c r="S4431">
        <v>2.8724980000000002</v>
      </c>
      <c r="T4431">
        <v>-0.22380439999999999</v>
      </c>
      <c r="U4431">
        <v>-1.073029</v>
      </c>
      <c r="V4431">
        <v>0.27165709999999998</v>
      </c>
      <c r="W4431">
        <v>0.15128320000000001</v>
      </c>
      <c r="X4431">
        <v>0.95042930000000003</v>
      </c>
      <c r="Y4431">
        <v>0.31646220000000003</v>
      </c>
      <c r="Z4431">
        <v>-9.3015019999999997E-3</v>
      </c>
      <c r="AA4431">
        <v>0.9485595</v>
      </c>
      <c r="AB4431">
        <v>38</v>
      </c>
      <c r="AC4431">
        <v>14.6419</v>
      </c>
      <c r="AD4431">
        <v>-1.156226</v>
      </c>
      <c r="AE4431">
        <v>-5.53582999999999</v>
      </c>
      <c r="AF4431">
        <v>4.9970295407634699</v>
      </c>
      <c r="AG4431">
        <v>-1.156226</v>
      </c>
      <c r="AH4431">
        <v>14.744773690246401</v>
      </c>
      <c r="AI4431">
        <v>94.247384890045595</v>
      </c>
      <c r="AJ4431">
        <v>71.278390581629395</v>
      </c>
      <c r="AK4431">
        <v>15.6113905200953</v>
      </c>
      <c r="AL4431">
        <v>81.298702985984903</v>
      </c>
      <c r="AM4431">
        <v>74.048703596295496</v>
      </c>
      <c r="AN4431">
        <v>1.0000000204405699</v>
      </c>
    </row>
    <row r="4432" spans="1:40" x14ac:dyDescent="0.25">
      <c r="A4432" t="str">
        <f>"20190312164358051"</f>
        <v>20190312164358051</v>
      </c>
      <c r="B4432" t="str">
        <f>"1552380238039781"</f>
        <v>1552380238039781</v>
      </c>
      <c r="C4432" t="s">
        <v>40</v>
      </c>
      <c r="D4432">
        <v>4.5692599999999999</v>
      </c>
      <c r="E4432">
        <v>0.53097890000000003</v>
      </c>
      <c r="F4432" t="s">
        <v>43</v>
      </c>
      <c r="G4432">
        <v>-314.1678</v>
      </c>
      <c r="H4432">
        <v>-0.05</v>
      </c>
      <c r="I4432">
        <v>11.382709999999999</v>
      </c>
      <c r="J4432">
        <v>-328.59539999999998</v>
      </c>
      <c r="K4432">
        <v>1.106149</v>
      </c>
      <c r="L4432">
        <v>16.91769</v>
      </c>
      <c r="M4432">
        <v>0.99922060000000001</v>
      </c>
      <c r="N4432">
        <v>0</v>
      </c>
      <c r="O4432">
        <v>-3.683169E-2</v>
      </c>
      <c r="P4432">
        <v>0.94095410000000002</v>
      </c>
      <c r="Q4432">
        <v>0.13973459999999999</v>
      </c>
      <c r="R4432">
        <v>-0.30835040000000002</v>
      </c>
      <c r="S4432">
        <v>2.8669129999999998</v>
      </c>
      <c r="T4432">
        <v>-0.22679669999999999</v>
      </c>
      <c r="U4432">
        <v>-1.0873409999999999</v>
      </c>
      <c r="V4432">
        <v>0.27494400000000002</v>
      </c>
      <c r="W4432">
        <v>0.15060680000000001</v>
      </c>
      <c r="X4432">
        <v>0.94959119999999997</v>
      </c>
      <c r="Y4432">
        <v>0.31917259999999997</v>
      </c>
      <c r="Z4432">
        <v>-9.3764439999999994E-3</v>
      </c>
      <c r="AA4432">
        <v>0.9476502</v>
      </c>
      <c r="AB4432">
        <v>38</v>
      </c>
      <c r="AC4432">
        <v>14.427599999999901</v>
      </c>
      <c r="AD4432">
        <v>-1.1561489999999901</v>
      </c>
      <c r="AE4432">
        <v>-5.5349799999999902</v>
      </c>
      <c r="AF4432">
        <v>4.9719458082300596</v>
      </c>
      <c r="AG4432">
        <v>-1.1561489999999901</v>
      </c>
      <c r="AH4432">
        <v>14.5402998525069</v>
      </c>
      <c r="AI4432">
        <v>94.3026270072165</v>
      </c>
      <c r="AJ4432">
        <v>71.122263984432493</v>
      </c>
      <c r="AK4432">
        <v>15.410296734034301</v>
      </c>
      <c r="AL4432">
        <v>81.337907121703296</v>
      </c>
      <c r="AM4432">
        <v>73.852190848081094</v>
      </c>
      <c r="AN4432">
        <v>1.0000000292298299</v>
      </c>
    </row>
    <row r="4433" spans="1:40" x14ac:dyDescent="0.25">
      <c r="A4433" t="str">
        <f>"20190312164358064"</f>
        <v>20190312164358064</v>
      </c>
      <c r="B4433" t="str">
        <f>"1552380238059300"</f>
        <v>1552380238059300</v>
      </c>
      <c r="C4433" t="s">
        <v>40</v>
      </c>
      <c r="D4433">
        <v>4.6371379999999904</v>
      </c>
      <c r="E4433">
        <v>0.51099899999999998</v>
      </c>
      <c r="F4433" t="s">
        <v>43</v>
      </c>
      <c r="G4433">
        <v>-314.13929999999999</v>
      </c>
      <c r="H4433">
        <v>-0.05</v>
      </c>
      <c r="I4433">
        <v>11.34789</v>
      </c>
      <c r="J4433">
        <v>-328.3913</v>
      </c>
      <c r="K4433">
        <v>1.106066</v>
      </c>
      <c r="L4433">
        <v>16.90842</v>
      </c>
      <c r="M4433">
        <v>0.99913209999999997</v>
      </c>
      <c r="N4433">
        <v>0</v>
      </c>
      <c r="O4433">
        <v>-3.9153229999999997E-2</v>
      </c>
      <c r="P4433">
        <v>0.93911080000000002</v>
      </c>
      <c r="Q4433">
        <v>0.1394425</v>
      </c>
      <c r="R4433">
        <v>-0.31404850000000001</v>
      </c>
      <c r="S4433">
        <v>2.8610229999999999</v>
      </c>
      <c r="T4433">
        <v>-0.22881460000000001</v>
      </c>
      <c r="U4433">
        <v>-1.102325</v>
      </c>
      <c r="V4433">
        <v>0.27852399999999999</v>
      </c>
      <c r="W4433">
        <v>0.15021499999999999</v>
      </c>
      <c r="X4433">
        <v>0.94860940000000005</v>
      </c>
      <c r="Y4433">
        <v>0.32192989999999999</v>
      </c>
      <c r="Z4433">
        <v>-9.3973379999999999E-3</v>
      </c>
      <c r="AA4433">
        <v>0.94671680000000002</v>
      </c>
      <c r="AB4433">
        <v>38</v>
      </c>
      <c r="AC4433">
        <v>14.252000000000001</v>
      </c>
      <c r="AD4433">
        <v>-1.156066</v>
      </c>
      <c r="AE4433">
        <v>-5.56053</v>
      </c>
      <c r="AF4433">
        <v>4.96981687550866</v>
      </c>
      <c r="AG4433">
        <v>-1.156066</v>
      </c>
      <c r="AH4433">
        <v>14.3767056039277</v>
      </c>
      <c r="AI4433">
        <v>94.346103642071199</v>
      </c>
      <c r="AJ4433">
        <v>70.930480795323803</v>
      </c>
      <c r="AK4433">
        <v>15.255334555310601</v>
      </c>
      <c r="AL4433">
        <v>81.360613495245104</v>
      </c>
      <c r="AM4433">
        <v>73.637078243144401</v>
      </c>
      <c r="AN4433">
        <v>0.99999997928467899</v>
      </c>
    </row>
    <row r="4434" spans="1:40" x14ac:dyDescent="0.25">
      <c r="A4434" t="str">
        <f>"20190312164358079"</f>
        <v>20190312164358079</v>
      </c>
      <c r="B4434" t="str">
        <f>"1552380238069060"</f>
        <v>1552380238069060</v>
      </c>
      <c r="C4434" t="s">
        <v>40</v>
      </c>
      <c r="D4434">
        <v>4.3728949999999998</v>
      </c>
      <c r="E4434">
        <v>0.53456780000000004</v>
      </c>
      <c r="F4434" t="s">
        <v>43</v>
      </c>
      <c r="G4434">
        <v>-317.79250000000002</v>
      </c>
      <c r="H4434">
        <v>-0.05</v>
      </c>
      <c r="I4434">
        <v>13.431990000000001</v>
      </c>
      <c r="J4434">
        <v>-328.09890000000001</v>
      </c>
      <c r="K4434">
        <v>1.105947</v>
      </c>
      <c r="L4434">
        <v>16.894130000000001</v>
      </c>
      <c r="M4434">
        <v>0.99899349999999998</v>
      </c>
      <c r="N4434">
        <v>0</v>
      </c>
      <c r="O4434">
        <v>-4.2545479999999997E-2</v>
      </c>
      <c r="P4434">
        <v>0.93572460000000002</v>
      </c>
      <c r="Q4434">
        <v>0.13957900000000001</v>
      </c>
      <c r="R4434">
        <v>-0.32394099999999998</v>
      </c>
      <c r="S4434">
        <v>2.9213870000000002</v>
      </c>
      <c r="T4434">
        <v>-0.31865009999999999</v>
      </c>
      <c r="U4434">
        <v>-0.9582214</v>
      </c>
      <c r="V4434">
        <v>0.28536319999999998</v>
      </c>
      <c r="W4434">
        <v>0.15018199999999901</v>
      </c>
      <c r="X4434">
        <v>0.94657979999999997</v>
      </c>
      <c r="Y4434">
        <v>0.26973960000000002</v>
      </c>
      <c r="Z4434">
        <v>-9.7943849999999992E-3</v>
      </c>
      <c r="AA4434">
        <v>0.9628835</v>
      </c>
      <c r="AB4434">
        <v>38</v>
      </c>
      <c r="AC4434">
        <v>10.306399999999901</v>
      </c>
      <c r="AD4434">
        <v>-1.1559469999999901</v>
      </c>
      <c r="AE4434">
        <v>-3.4621400000000002</v>
      </c>
      <c r="AF4434">
        <v>2.98670808868434</v>
      </c>
      <c r="AG4434">
        <v>-1.1559469999999901</v>
      </c>
      <c r="AH4434">
        <v>10.327636805806801</v>
      </c>
      <c r="AI4434">
        <v>96.136955467525198</v>
      </c>
      <c r="AJ4434">
        <v>73.870358532696002</v>
      </c>
      <c r="AK4434">
        <v>10.812803552570299</v>
      </c>
      <c r="AL4434">
        <v>81.362526596266406</v>
      </c>
      <c r="AM4434">
        <v>73.223639360882103</v>
      </c>
      <c r="AN4434">
        <v>1.0000000534031299</v>
      </c>
    </row>
    <row r="4435" spans="1:40" x14ac:dyDescent="0.25">
      <c r="A4435" t="str">
        <f>"20190312164358091"</f>
        <v>20190312164358091</v>
      </c>
      <c r="B4435" t="str">
        <f>"1552380238079796"</f>
        <v>1552380238079796</v>
      </c>
      <c r="C4435" t="s">
        <v>40</v>
      </c>
      <c r="D4435">
        <v>4.3408059999999997</v>
      </c>
      <c r="E4435">
        <v>0.54011189999999998</v>
      </c>
      <c r="F4435" t="s">
        <v>43</v>
      </c>
      <c r="G4435">
        <v>-317.1472</v>
      </c>
      <c r="H4435">
        <v>-0.05</v>
      </c>
      <c r="I4435">
        <v>12.3931</v>
      </c>
      <c r="J4435">
        <v>-327.91320000000002</v>
      </c>
      <c r="K4435">
        <v>1.1058749999999999</v>
      </c>
      <c r="L4435">
        <v>16.884339999999899</v>
      </c>
      <c r="M4435">
        <v>0.99889729999999999</v>
      </c>
      <c r="N4435">
        <v>0</v>
      </c>
      <c r="O4435">
        <v>-4.4744060000000002E-2</v>
      </c>
      <c r="P4435">
        <v>0.93376139999999996</v>
      </c>
      <c r="Q4435">
        <v>0.1398856</v>
      </c>
      <c r="R4435">
        <v>-0.32942680000000002</v>
      </c>
      <c r="S4435">
        <v>2.8459780000000001</v>
      </c>
      <c r="T4435">
        <v>-0.30039359999999998</v>
      </c>
      <c r="U4435">
        <v>-1.169678</v>
      </c>
      <c r="V4435">
        <v>0.28887030000000002</v>
      </c>
      <c r="W4435">
        <v>0.15039269999999999</v>
      </c>
      <c r="X4435">
        <v>0.94548189999999999</v>
      </c>
      <c r="Y4435">
        <v>0.33698650000000002</v>
      </c>
      <c r="Z4435">
        <v>-1.2532039999999999E-2</v>
      </c>
      <c r="AA4435">
        <v>0.94142610000000004</v>
      </c>
      <c r="AB4435">
        <v>38</v>
      </c>
      <c r="AC4435">
        <v>10.766</v>
      </c>
      <c r="AD4435">
        <v>-1.155875</v>
      </c>
      <c r="AE4435">
        <v>-4.4912399999999897</v>
      </c>
      <c r="AF4435">
        <v>3.9660382559463598</v>
      </c>
      <c r="AG4435">
        <v>-1.155875</v>
      </c>
      <c r="AH4435">
        <v>10.8496674256921</v>
      </c>
      <c r="AI4435">
        <v>95.713992092762695</v>
      </c>
      <c r="AJ4435">
        <v>69.920383475523707</v>
      </c>
      <c r="AK4435">
        <v>11.6095128972485</v>
      </c>
      <c r="AL4435">
        <v>81.350315387721594</v>
      </c>
      <c r="AM4435">
        <v>73.010670265789898</v>
      </c>
      <c r="AN4435">
        <v>1.0000000188314899</v>
      </c>
    </row>
    <row r="4436" spans="1:40" x14ac:dyDescent="0.25">
      <c r="A4436" t="str">
        <f>"20190312164358104"</f>
        <v>20190312164358104</v>
      </c>
      <c r="B4436" t="str">
        <f>"1552380238099316"</f>
        <v>1552380238099316</v>
      </c>
      <c r="C4436" t="s">
        <v>40</v>
      </c>
      <c r="D4436">
        <v>4.3673950000000001</v>
      </c>
      <c r="E4436">
        <v>0.54569540000000005</v>
      </c>
      <c r="F4436" t="s">
        <v>43</v>
      </c>
      <c r="G4436">
        <v>-316.67610000000002</v>
      </c>
      <c r="H4436">
        <v>-0.05</v>
      </c>
      <c r="I4436">
        <v>11.991759999999999</v>
      </c>
      <c r="J4436">
        <v>-327.69760000000002</v>
      </c>
      <c r="K4436">
        <v>1.1057950000000001</v>
      </c>
      <c r="L4436">
        <v>16.872710000000001</v>
      </c>
      <c r="M4436">
        <v>0.99877879999999997</v>
      </c>
      <c r="N4436">
        <v>0</v>
      </c>
      <c r="O4436">
        <v>-4.7313840000000003E-2</v>
      </c>
      <c r="P4436">
        <v>0.93168010000000001</v>
      </c>
      <c r="Q4436">
        <v>0.139767</v>
      </c>
      <c r="R4436">
        <v>-0.33531650000000002</v>
      </c>
      <c r="S4436">
        <v>2.8227229999999999</v>
      </c>
      <c r="T4436">
        <v>-0.2903538</v>
      </c>
      <c r="U4436">
        <v>-1.229004</v>
      </c>
      <c r="V4436">
        <v>0.2924407</v>
      </c>
      <c r="W4436">
        <v>0.15016969999999999</v>
      </c>
      <c r="X4436">
        <v>0.94441909999999896</v>
      </c>
      <c r="Y4436">
        <v>0.35401339999999998</v>
      </c>
      <c r="Z4436">
        <v>-1.2744729999999999E-2</v>
      </c>
      <c r="AA4436">
        <v>0.93515349999999997</v>
      </c>
      <c r="AB4436">
        <v>38</v>
      </c>
      <c r="AC4436">
        <v>11.0215</v>
      </c>
      <c r="AD4436">
        <v>-1.1557949999999999</v>
      </c>
      <c r="AE4436">
        <v>-4.8809500000000003</v>
      </c>
      <c r="AF4436">
        <v>4.3142947095921604</v>
      </c>
      <c r="AG4436">
        <v>-1.1557949999999999</v>
      </c>
      <c r="AH4436">
        <v>11.1377139196365</v>
      </c>
      <c r="AI4436">
        <v>95.527127629810096</v>
      </c>
      <c r="AJ4436">
        <v>68.825670440978399</v>
      </c>
      <c r="AK4436">
        <v>11.999903011229099</v>
      </c>
      <c r="AL4436">
        <v>81.3632386848019</v>
      </c>
      <c r="AM4436">
        <v>72.794787570552003</v>
      </c>
      <c r="AN4436">
        <v>0.99999996912969402</v>
      </c>
    </row>
    <row r="4437" spans="1:40" x14ac:dyDescent="0.25">
      <c r="A4437" t="str">
        <f>"20190312164358117"</f>
        <v>20190312164358117</v>
      </c>
      <c r="B4437" t="str">
        <f>"1552380238109077"</f>
        <v>1552380238109077</v>
      </c>
      <c r="C4437" t="s">
        <v>40</v>
      </c>
      <c r="D4437">
        <v>4.5026890000000002</v>
      </c>
      <c r="E4437">
        <v>0.54548369999999902</v>
      </c>
      <c r="F4437" t="s">
        <v>43</v>
      </c>
      <c r="G4437">
        <v>-316.52390000000003</v>
      </c>
      <c r="H4437">
        <v>-0.05</v>
      </c>
      <c r="I4437">
        <v>11.729050000000001</v>
      </c>
      <c r="J4437">
        <v>-327.45359999999999</v>
      </c>
      <c r="K4437">
        <v>1.105704</v>
      </c>
      <c r="L4437">
        <v>16.858729999999898</v>
      </c>
      <c r="M4437">
        <v>0.99863400000000002</v>
      </c>
      <c r="N4437">
        <v>0</v>
      </c>
      <c r="O4437">
        <v>-5.0274739999999998E-2</v>
      </c>
      <c r="P4437">
        <v>0.9294424</v>
      </c>
      <c r="Q4437">
        <v>0.13932079999999999</v>
      </c>
      <c r="R4437">
        <v>-0.34165259999999997</v>
      </c>
      <c r="S4437">
        <v>2.7995909999999999</v>
      </c>
      <c r="T4437">
        <v>-0.28958640000000002</v>
      </c>
      <c r="U4437">
        <v>-1.2887569999999999</v>
      </c>
      <c r="V4437">
        <v>0.29610140000000001</v>
      </c>
      <c r="W4437">
        <v>0.1496092</v>
      </c>
      <c r="X4437">
        <v>0.94336690000000001</v>
      </c>
      <c r="Y4437">
        <v>0.3705543</v>
      </c>
      <c r="Z4437">
        <v>-1.327797E-2</v>
      </c>
      <c r="AA4437">
        <v>0.92871590000000004</v>
      </c>
      <c r="AB4437">
        <v>38</v>
      </c>
      <c r="AC4437">
        <v>10.929699999999899</v>
      </c>
      <c r="AD4437">
        <v>-1.1557040000000001</v>
      </c>
      <c r="AE4437">
        <v>-5.1296799999999898</v>
      </c>
      <c r="AF4437">
        <v>4.5321222574311504</v>
      </c>
      <c r="AG4437">
        <v>-1.1557040000000001</v>
      </c>
      <c r="AH4437">
        <v>11.0723436582873</v>
      </c>
      <c r="AI4437">
        <v>95.517571813944301</v>
      </c>
      <c r="AJ4437">
        <v>67.739774953621094</v>
      </c>
      <c r="AK4437">
        <v>12.019674620351999</v>
      </c>
      <c r="AL4437">
        <v>81.395720445852902</v>
      </c>
      <c r="AM4437">
        <v>72.574113942844306</v>
      </c>
      <c r="AN4437">
        <v>1.0000000299111</v>
      </c>
    </row>
    <row r="4438" spans="1:40" x14ac:dyDescent="0.25">
      <c r="A4438" t="str">
        <f>"20190312164358138"</f>
        <v>20190312164358138</v>
      </c>
      <c r="B4438" t="str">
        <f>"1552380238129103"</f>
        <v>1552380238129103</v>
      </c>
      <c r="C4438" t="s">
        <v>40</v>
      </c>
      <c r="D4438">
        <v>4.4037610000000003</v>
      </c>
      <c r="E4438">
        <v>0.54583000000000004</v>
      </c>
      <c r="F4438" t="s">
        <v>43</v>
      </c>
      <c r="G4438">
        <v>-316.45060000000001</v>
      </c>
      <c r="H4438">
        <v>-0.05</v>
      </c>
      <c r="I4438">
        <v>11.71547</v>
      </c>
      <c r="J4438">
        <v>-327.10550000000001</v>
      </c>
      <c r="K4438">
        <v>1.105566</v>
      </c>
      <c r="L4438">
        <v>16.83746</v>
      </c>
      <c r="M4438">
        <v>0.99840790000000001</v>
      </c>
      <c r="N4438">
        <v>0</v>
      </c>
      <c r="O4438">
        <v>-5.4580679999999999E-2</v>
      </c>
      <c r="P4438">
        <v>0.92583660000000001</v>
      </c>
      <c r="Q4438">
        <v>0.13775019999999999</v>
      </c>
      <c r="R4438">
        <v>-0.3519255</v>
      </c>
      <c r="S4438">
        <v>2.7919619999999998</v>
      </c>
      <c r="T4438">
        <v>-0.2932553</v>
      </c>
      <c r="U4438">
        <v>-1.3050839999999999</v>
      </c>
      <c r="V4438">
        <v>0.30250450000000001</v>
      </c>
      <c r="W4438">
        <v>0.14785789999999999</v>
      </c>
      <c r="X4438">
        <v>0.9416099</v>
      </c>
      <c r="Y4438">
        <v>0.37195679999999998</v>
      </c>
      <c r="Z4438">
        <v>-1.3106929999999999E-2</v>
      </c>
      <c r="AA4438">
        <v>0.92815749999999997</v>
      </c>
      <c r="AB4438">
        <v>38</v>
      </c>
      <c r="AC4438">
        <v>10.6548999999999</v>
      </c>
      <c r="AD4438">
        <v>-1.1555660000000001</v>
      </c>
      <c r="AE4438">
        <v>-5.1219900000000003</v>
      </c>
      <c r="AF4438">
        <v>4.48984523653177</v>
      </c>
      <c r="AG4438">
        <v>-1.1555660000000001</v>
      </c>
      <c r="AH4438">
        <v>10.8152712709838</v>
      </c>
      <c r="AI4438">
        <v>95.635718179452297</v>
      </c>
      <c r="AJ4438">
        <v>67.454736683722004</v>
      </c>
      <c r="AK4438">
        <v>11.767078468903399</v>
      </c>
      <c r="AL4438">
        <v>81.497191504673793</v>
      </c>
      <c r="AM4438">
        <v>72.189705368319395</v>
      </c>
      <c r="AN4438">
        <v>1.00000006744533</v>
      </c>
    </row>
    <row r="4439" spans="1:40" x14ac:dyDescent="0.25">
      <c r="A4439" t="str">
        <f>"20190312164358159"</f>
        <v>20190312164358159</v>
      </c>
      <c r="B4439" t="str">
        <f>"1552380238149599"</f>
        <v>1552380238149599</v>
      </c>
      <c r="C4439" t="s">
        <v>40</v>
      </c>
      <c r="D4439">
        <v>4.4332839999999996</v>
      </c>
      <c r="E4439">
        <v>0.54562880000000002</v>
      </c>
      <c r="F4439" t="s">
        <v>43</v>
      </c>
      <c r="G4439">
        <v>-316.47410000000002</v>
      </c>
      <c r="H4439">
        <v>-0.05</v>
      </c>
      <c r="I4439">
        <v>11.71829</v>
      </c>
      <c r="J4439">
        <v>-326.7681</v>
      </c>
      <c r="K4439">
        <v>1.1054310000000001</v>
      </c>
      <c r="L4439">
        <v>16.815279999999898</v>
      </c>
      <c r="M4439">
        <v>0.99816450000000001</v>
      </c>
      <c r="N4439">
        <v>0</v>
      </c>
      <c r="O4439">
        <v>-5.8862919999999999E-2</v>
      </c>
      <c r="P4439">
        <v>0.922014</v>
      </c>
      <c r="Q4439">
        <v>0.13650880000000001</v>
      </c>
      <c r="R4439">
        <v>-0.36229240000000001</v>
      </c>
      <c r="S4439">
        <v>2.7769170000000001</v>
      </c>
      <c r="T4439">
        <v>-0.30183330000000003</v>
      </c>
      <c r="U4439">
        <v>-1.3371280000000001</v>
      </c>
      <c r="V4439">
        <v>0.309058099999999</v>
      </c>
      <c r="W4439">
        <v>0.14642929999999901</v>
      </c>
      <c r="X4439">
        <v>0.93970290000000001</v>
      </c>
      <c r="Y4439">
        <v>0.3785289</v>
      </c>
      <c r="Z4439">
        <v>-1.342403E-2</v>
      </c>
      <c r="AA4439">
        <v>0.92549219999999999</v>
      </c>
      <c r="AB4439">
        <v>38</v>
      </c>
      <c r="AC4439">
        <v>10.293999999999899</v>
      </c>
      <c r="AD4439">
        <v>-1.1554309999999901</v>
      </c>
      <c r="AE4439">
        <v>-5.0969899999999901</v>
      </c>
      <c r="AF4439">
        <v>4.4372580942233499</v>
      </c>
      <c r="AG4439">
        <v>-1.1554309999999901</v>
      </c>
      <c r="AH4439">
        <v>10.470263858033899</v>
      </c>
      <c r="AI4439">
        <v>95.801672055683596</v>
      </c>
      <c r="AJ4439">
        <v>67.032953491503903</v>
      </c>
      <c r="AK4439">
        <v>11.430253953756299</v>
      </c>
      <c r="AL4439">
        <v>81.579944400388101</v>
      </c>
      <c r="AM4439">
        <v>71.794524894729605</v>
      </c>
      <c r="AN4439">
        <v>0.999999994671254</v>
      </c>
    </row>
    <row r="4440" spans="1:40" x14ac:dyDescent="0.25">
      <c r="A4440" t="str">
        <f>"20190312164358171"</f>
        <v>20190312164358171</v>
      </c>
      <c r="B4440" t="str">
        <f>"1552380238159361"</f>
        <v>1552380238159361</v>
      </c>
      <c r="C4440" t="s">
        <v>40</v>
      </c>
      <c r="D4440">
        <v>4.4464420000000002</v>
      </c>
      <c r="E4440">
        <v>0.54536119999999899</v>
      </c>
      <c r="F4440" t="s">
        <v>43</v>
      </c>
      <c r="G4440">
        <v>-316.28809999999999</v>
      </c>
      <c r="H4440">
        <v>-0.05</v>
      </c>
      <c r="I4440">
        <v>11.63138</v>
      </c>
      <c r="J4440">
        <v>-326.56009999999998</v>
      </c>
      <c r="K4440">
        <v>1.105348</v>
      </c>
      <c r="L4440">
        <v>16.800750000000001</v>
      </c>
      <c r="M4440">
        <v>0.99800109999999997</v>
      </c>
      <c r="N4440">
        <v>0</v>
      </c>
      <c r="O4440">
        <v>-6.157046E-2</v>
      </c>
      <c r="P4440">
        <v>0.91984140000000003</v>
      </c>
      <c r="Q4440">
        <v>0.1357757</v>
      </c>
      <c r="R4440">
        <v>-0.36804480000000001</v>
      </c>
      <c r="S4440">
        <v>2.7619929999999999</v>
      </c>
      <c r="T4440">
        <v>-0.3045119</v>
      </c>
      <c r="U4440">
        <v>-1.3662110000000001</v>
      </c>
      <c r="V4440">
        <v>0.31239739999999999</v>
      </c>
      <c r="W4440">
        <v>0.14558769999999999</v>
      </c>
      <c r="X4440">
        <v>0.93872900000000004</v>
      </c>
      <c r="Y4440">
        <v>0.38576840000000001</v>
      </c>
      <c r="Z4440">
        <v>-1.367619E-2</v>
      </c>
      <c r="AA4440">
        <v>0.92249429999999999</v>
      </c>
      <c r="AB4440">
        <v>38</v>
      </c>
      <c r="AC4440">
        <v>10.271999999999901</v>
      </c>
      <c r="AD4440">
        <v>-1.155348</v>
      </c>
      <c r="AE4440">
        <v>-5.1693699999999998</v>
      </c>
      <c r="AF4440">
        <v>4.4818039166394597</v>
      </c>
      <c r="AG4440">
        <v>-1.155348</v>
      </c>
      <c r="AH4440">
        <v>10.4651818397402</v>
      </c>
      <c r="AI4440">
        <v>95.7947881368964</v>
      </c>
      <c r="AJ4440">
        <v>66.816554642259106</v>
      </c>
      <c r="AK4440">
        <v>11.4429640516405</v>
      </c>
      <c r="AL4440">
        <v>81.628687140125905</v>
      </c>
      <c r="AM4440">
        <v>71.593195582219707</v>
      </c>
      <c r="AN4440">
        <v>1.00000002467952</v>
      </c>
    </row>
    <row r="4441" spans="1:40" x14ac:dyDescent="0.25">
      <c r="A4441" t="str">
        <f>"20190312164358182"</f>
        <v>20190312164358182</v>
      </c>
      <c r="B4441" t="str">
        <f>"1552380238179856"</f>
        <v>1552380238179856</v>
      </c>
      <c r="C4441" t="s">
        <v>40</v>
      </c>
      <c r="D4441">
        <v>4.6824459999999997</v>
      </c>
      <c r="E4441">
        <v>0.54433790000000004</v>
      </c>
      <c r="F4441" t="s">
        <v>43</v>
      </c>
      <c r="G4441">
        <v>-316.1891</v>
      </c>
      <c r="H4441">
        <v>-0.05</v>
      </c>
      <c r="I4441">
        <v>11.601089999999999</v>
      </c>
      <c r="J4441">
        <v>-326.3698</v>
      </c>
      <c r="K4441">
        <v>1.10527</v>
      </c>
      <c r="L4441">
        <v>16.787140000000001</v>
      </c>
      <c r="M4441">
        <v>0.9978437</v>
      </c>
      <c r="N4441">
        <v>0</v>
      </c>
      <c r="O4441">
        <v>-6.4068990000000006E-2</v>
      </c>
      <c r="P4441">
        <v>0.91779460000000002</v>
      </c>
      <c r="Q4441">
        <v>0.13545199999999999</v>
      </c>
      <c r="R4441">
        <v>-0.3732374</v>
      </c>
      <c r="S4441">
        <v>2.7542110000000002</v>
      </c>
      <c r="T4441">
        <v>-0.3068227</v>
      </c>
      <c r="U4441">
        <v>-1.3808590000000001</v>
      </c>
      <c r="V4441">
        <v>0.3153763</v>
      </c>
      <c r="W4441">
        <v>0.1451636</v>
      </c>
      <c r="X4441">
        <v>0.93779809999999997</v>
      </c>
      <c r="Y4441">
        <v>0.38839560000000001</v>
      </c>
      <c r="Z4441">
        <v>-1.367707E-2</v>
      </c>
      <c r="AA4441">
        <v>0.92139119999999997</v>
      </c>
      <c r="AB4441">
        <v>38</v>
      </c>
      <c r="AC4441">
        <v>10.1807</v>
      </c>
      <c r="AD4441">
        <v>-1.15527</v>
      </c>
      <c r="AE4441">
        <v>-5.1860499999999998</v>
      </c>
      <c r="AF4441">
        <v>4.47728412636613</v>
      </c>
      <c r="AG4441">
        <v>-1.15527</v>
      </c>
      <c r="AH4441">
        <v>10.3858933867345</v>
      </c>
      <c r="AI4441">
        <v>95.832373603663001</v>
      </c>
      <c r="AJ4441">
        <v>66.679472627525101</v>
      </c>
      <c r="AK4441">
        <v>11.368707198346</v>
      </c>
      <c r="AL4441">
        <v>81.653246807627298</v>
      </c>
      <c r="AM4441">
        <v>71.4124933155462</v>
      </c>
      <c r="AN4441">
        <v>0.99999997886512904</v>
      </c>
    </row>
    <row r="4442" spans="1:40" x14ac:dyDescent="0.25">
      <c r="A4442" t="str">
        <f>"20190312164358206"</f>
        <v>20190312164358206</v>
      </c>
      <c r="B4442" t="str">
        <f>"1552380238199375"</f>
        <v>1552380238199375</v>
      </c>
      <c r="C4442" t="s">
        <v>40</v>
      </c>
      <c r="D4442">
        <v>4.515301</v>
      </c>
      <c r="E4442">
        <v>0.54358689999999998</v>
      </c>
      <c r="F4442" t="s">
        <v>43</v>
      </c>
      <c r="G4442">
        <v>-316.08339999999998</v>
      </c>
      <c r="H4442">
        <v>-0.05</v>
      </c>
      <c r="I4442">
        <v>11.59404</v>
      </c>
      <c r="J4442">
        <v>-326.00389999999999</v>
      </c>
      <c r="K4442">
        <v>1.105113</v>
      </c>
      <c r="L4442">
        <v>16.75919</v>
      </c>
      <c r="M4442">
        <v>0.9975136</v>
      </c>
      <c r="N4442">
        <v>0</v>
      </c>
      <c r="O4442">
        <v>-6.9017239999999994E-2</v>
      </c>
      <c r="P4442">
        <v>0.91366000000000003</v>
      </c>
      <c r="Q4442">
        <v>0.1353116</v>
      </c>
      <c r="R4442">
        <v>-0.38329669999999999</v>
      </c>
      <c r="S4442">
        <v>2.7497560000000001</v>
      </c>
      <c r="T4442">
        <v>-0.30882609999999999</v>
      </c>
      <c r="U4442">
        <v>-1.3882139999999901</v>
      </c>
      <c r="V4442">
        <v>0.32108239999999999</v>
      </c>
      <c r="W4442">
        <v>0.14482200000000001</v>
      </c>
      <c r="X4442">
        <v>0.93591270000000004</v>
      </c>
      <c r="Y4442">
        <v>0.38640390000000002</v>
      </c>
      <c r="Z4442">
        <v>-1.315497E-2</v>
      </c>
      <c r="AA4442">
        <v>0.92223580000000005</v>
      </c>
      <c r="AB4442">
        <v>38</v>
      </c>
      <c r="AC4442">
        <v>9.9205000000000005</v>
      </c>
      <c r="AD4442">
        <v>-1.1551129999999901</v>
      </c>
      <c r="AE4442">
        <v>-5.1651499999999997</v>
      </c>
      <c r="AF4442">
        <v>4.4209215882490804</v>
      </c>
      <c r="AG4442">
        <v>-1.1551129999999901</v>
      </c>
      <c r="AH4442">
        <v>10.145150121094</v>
      </c>
      <c r="AI4442">
        <v>95.958883428963006</v>
      </c>
      <c r="AJ4442">
        <v>66.454016994264194</v>
      </c>
      <c r="AK4442">
        <v>11.126675366512201</v>
      </c>
      <c r="AL4442">
        <v>81.673027844247102</v>
      </c>
      <c r="AM4442">
        <v>71.064507396456193</v>
      </c>
      <c r="AN4442">
        <v>0.99999995064752301</v>
      </c>
    </row>
    <row r="4443" spans="1:40" x14ac:dyDescent="0.25">
      <c r="A4443" t="str">
        <f>"20190312164358217"</f>
        <v>20190312164358217</v>
      </c>
      <c r="B4443" t="str">
        <f>"1552380238209135"</f>
        <v>1552380238209135</v>
      </c>
      <c r="C4443" t="s">
        <v>40</v>
      </c>
      <c r="D4443">
        <v>4.905697</v>
      </c>
      <c r="E4443">
        <v>0.54329039999999995</v>
      </c>
      <c r="F4443" t="s">
        <v>43</v>
      </c>
      <c r="G4443">
        <v>-315.74020000000002</v>
      </c>
      <c r="H4443">
        <v>-0.05</v>
      </c>
      <c r="I4443">
        <v>11.46011</v>
      </c>
      <c r="J4443">
        <v>-325.75729999999999</v>
      </c>
      <c r="K4443">
        <v>1.105011</v>
      </c>
      <c r="L4443">
        <v>16.739319999999999</v>
      </c>
      <c r="M4443">
        <v>0.99727129999999997</v>
      </c>
      <c r="N4443">
        <v>0</v>
      </c>
      <c r="O4443">
        <v>-7.2432839999999998E-2</v>
      </c>
      <c r="P4443">
        <v>0.911138</v>
      </c>
      <c r="Q4443">
        <v>0.13555139999999999</v>
      </c>
      <c r="R4443">
        <v>-0.38917020000000002</v>
      </c>
      <c r="S4443">
        <v>2.7364199999999999</v>
      </c>
      <c r="T4443">
        <v>-0.30796380000000001</v>
      </c>
      <c r="U4443">
        <v>-1.4127809999999901</v>
      </c>
      <c r="V4443">
        <v>0.3239474</v>
      </c>
      <c r="W4443">
        <v>0.1449405</v>
      </c>
      <c r="X4443">
        <v>0.93490660000000003</v>
      </c>
      <c r="Y4443">
        <v>0.3916038</v>
      </c>
      <c r="Z4443">
        <v>-1.3068150000000001E-2</v>
      </c>
      <c r="AA4443">
        <v>0.92004109999999995</v>
      </c>
      <c r="AB4443">
        <v>38</v>
      </c>
      <c r="AC4443">
        <v>10.0170999999999</v>
      </c>
      <c r="AD4443">
        <v>-1.155011</v>
      </c>
      <c r="AE4443">
        <v>-5.27921</v>
      </c>
      <c r="AF4443">
        <v>4.4929502362139404</v>
      </c>
      <c r="AG4443">
        <v>-1.155011</v>
      </c>
      <c r="AH4443">
        <v>10.2663878799843</v>
      </c>
      <c r="AI4443">
        <v>95.884486302563801</v>
      </c>
      <c r="AJ4443">
        <v>66.364038629435399</v>
      </c>
      <c r="AK4443">
        <v>11.2658498275764</v>
      </c>
      <c r="AL4443">
        <v>81.666166380466194</v>
      </c>
      <c r="AM4443">
        <v>70.888675087162795</v>
      </c>
      <c r="AN4443">
        <v>1.00000000861528</v>
      </c>
    </row>
    <row r="4444" spans="1:40" x14ac:dyDescent="0.25">
      <c r="A4444" t="str">
        <f>"20190312164358229"</f>
        <v>20190312164358229</v>
      </c>
      <c r="B4444" t="str">
        <f>"1552380238219873"</f>
        <v>1552380238219873</v>
      </c>
      <c r="C4444" t="s">
        <v>40</v>
      </c>
      <c r="D4444">
        <v>4.5565329999999999</v>
      </c>
      <c r="E4444">
        <v>0.54298829999999998</v>
      </c>
      <c r="F4444" t="s">
        <v>43</v>
      </c>
      <c r="G4444">
        <v>-315.35770000000002</v>
      </c>
      <c r="H4444">
        <v>-0.05</v>
      </c>
      <c r="I4444">
        <v>11.29208</v>
      </c>
      <c r="J4444">
        <v>-325.57859999999999</v>
      </c>
      <c r="K4444">
        <v>1.104941</v>
      </c>
      <c r="L4444">
        <v>16.724239999999899</v>
      </c>
      <c r="M4444">
        <v>0.99708490000000005</v>
      </c>
      <c r="N4444">
        <v>0</v>
      </c>
      <c r="O4444">
        <v>-7.4953729999999996E-2</v>
      </c>
      <c r="P4444">
        <v>0.90919649999999996</v>
      </c>
      <c r="Q4444">
        <v>0.135300799999999</v>
      </c>
      <c r="R4444">
        <v>-0.39377099999999998</v>
      </c>
      <c r="S4444">
        <v>2.7274479999999999</v>
      </c>
      <c r="T4444">
        <v>-0.30291829999999997</v>
      </c>
      <c r="U4444">
        <v>-1.4286190000000001</v>
      </c>
      <c r="V4444">
        <v>0.32633259999999997</v>
      </c>
      <c r="W4444">
        <v>0.14459839999999999</v>
      </c>
      <c r="X4444">
        <v>0.93412969999999895</v>
      </c>
      <c r="Y4444">
        <v>0.39475719999999997</v>
      </c>
      <c r="Z4444">
        <v>-1.27814E-2</v>
      </c>
      <c r="AA4444">
        <v>0.91869659999999997</v>
      </c>
      <c r="AB4444">
        <v>38</v>
      </c>
      <c r="AC4444">
        <v>10.220899999999901</v>
      </c>
      <c r="AD4444">
        <v>-1.154941</v>
      </c>
      <c r="AE4444">
        <v>-5.4321599999999899</v>
      </c>
      <c r="AF4444">
        <v>4.6048566378889202</v>
      </c>
      <c r="AG4444">
        <v>-1.154941</v>
      </c>
      <c r="AH4444">
        <v>10.494855699175201</v>
      </c>
      <c r="AI4444">
        <v>95.754520222271793</v>
      </c>
      <c r="AJ4444">
        <v>66.309443479494107</v>
      </c>
      <c r="AK4444">
        <v>11.518706069498499</v>
      </c>
      <c r="AL4444">
        <v>81.685975710626906</v>
      </c>
      <c r="AM4444">
        <v>70.7434451658347</v>
      </c>
      <c r="AN4444">
        <v>0.99999997976370403</v>
      </c>
    </row>
    <row r="4445" spans="1:40" x14ac:dyDescent="0.25">
      <c r="A4445" t="str">
        <f>"20190312164358239"</f>
        <v>20190312164358239</v>
      </c>
      <c r="B4445" t="str">
        <f>"1552380238229163"</f>
        <v>1552380238229163</v>
      </c>
      <c r="C4445" t="s">
        <v>40</v>
      </c>
      <c r="D4445">
        <v>4.7160149999999996</v>
      </c>
      <c r="E4445">
        <v>0.54268159999999999</v>
      </c>
      <c r="F4445" t="s">
        <v>43</v>
      </c>
      <c r="G4445">
        <v>-315.1198</v>
      </c>
      <c r="H4445">
        <v>-0.05</v>
      </c>
      <c r="I4445">
        <v>11.18646</v>
      </c>
      <c r="J4445">
        <v>-325.38630000000001</v>
      </c>
      <c r="K4445">
        <v>1.104862</v>
      </c>
      <c r="L4445">
        <v>16.70776</v>
      </c>
      <c r="M4445">
        <v>0.99687590000000004</v>
      </c>
      <c r="N4445">
        <v>0</v>
      </c>
      <c r="O4445">
        <v>-7.76839E-2</v>
      </c>
      <c r="P4445">
        <v>0.90697589999999995</v>
      </c>
      <c r="Q4445">
        <v>0.13515829999999901</v>
      </c>
      <c r="R4445">
        <v>-0.39890799999999998</v>
      </c>
      <c r="S4445">
        <v>2.720459</v>
      </c>
      <c r="T4445">
        <v>-0.30041190000000001</v>
      </c>
      <c r="U4445">
        <v>-1.4404300000000001</v>
      </c>
      <c r="V4445">
        <v>0.32908579999999998</v>
      </c>
      <c r="W4445">
        <v>0.14435400000000001</v>
      </c>
      <c r="X4445">
        <v>0.93320119999999895</v>
      </c>
      <c r="Y4445">
        <v>0.3963603</v>
      </c>
      <c r="Z4445">
        <v>-1.249713E-2</v>
      </c>
      <c r="AA4445">
        <v>0.91800990000000005</v>
      </c>
      <c r="AB4445">
        <v>38</v>
      </c>
      <c r="AC4445">
        <v>10.266500000000001</v>
      </c>
      <c r="AD4445">
        <v>-1.1548620000000001</v>
      </c>
      <c r="AE4445">
        <v>-5.5213000000000001</v>
      </c>
      <c r="AF4445">
        <v>4.6612388395588704</v>
      </c>
      <c r="AG4445">
        <v>-1.1548620000000001</v>
      </c>
      <c r="AH4445">
        <v>10.5607754859828</v>
      </c>
      <c r="AI4445">
        <v>95.713008447693198</v>
      </c>
      <c r="AJ4445">
        <v>66.184641979929694</v>
      </c>
      <c r="AK4445">
        <v>11.6013289162833</v>
      </c>
      <c r="AL4445">
        <v>81.700127529666403</v>
      </c>
      <c r="AM4445">
        <v>70.575216907934603</v>
      </c>
      <c r="AN4445">
        <v>1.0000000103795399</v>
      </c>
    </row>
    <row r="4446" spans="1:40" x14ac:dyDescent="0.25">
      <c r="A4446" t="str">
        <f>"20190312164358251"</f>
        <v>20190312164358251</v>
      </c>
      <c r="B4446" t="str">
        <f>"1552380238238923"</f>
        <v>1552380238238923</v>
      </c>
      <c r="C4446" t="s">
        <v>40</v>
      </c>
      <c r="D4446">
        <v>4.5566890000000004</v>
      </c>
      <c r="E4446">
        <v>0.54237360000000001</v>
      </c>
      <c r="F4446" t="s">
        <v>43</v>
      </c>
      <c r="G4446">
        <v>-314.87349999999998</v>
      </c>
      <c r="H4446">
        <v>-0.05</v>
      </c>
      <c r="I4446">
        <v>11.0755</v>
      </c>
      <c r="J4446">
        <v>-325.19380000000001</v>
      </c>
      <c r="K4446">
        <v>1.104786</v>
      </c>
      <c r="L4446">
        <v>16.690370000000001</v>
      </c>
      <c r="M4446">
        <v>0.99665329999999996</v>
      </c>
      <c r="N4446">
        <v>0</v>
      </c>
      <c r="O4446">
        <v>-8.0487749999999997E-2</v>
      </c>
      <c r="P4446">
        <v>0.90472419999999998</v>
      </c>
      <c r="Q4446">
        <v>0.1349929</v>
      </c>
      <c r="R4446">
        <v>-0.40404390000000001</v>
      </c>
      <c r="S4446">
        <v>2.71286</v>
      </c>
      <c r="T4446">
        <v>-0.29801759999999999</v>
      </c>
      <c r="U4446">
        <v>-1.45343</v>
      </c>
      <c r="V4446">
        <v>0.33177790000000001</v>
      </c>
      <c r="W4446">
        <v>0.14408599999999999</v>
      </c>
      <c r="X4446">
        <v>0.93228889999999998</v>
      </c>
      <c r="Y4446">
        <v>0.39829160000000002</v>
      </c>
      <c r="Z4446">
        <v>-1.2230629999999999E-2</v>
      </c>
      <c r="AA4446">
        <v>0.91717729999999997</v>
      </c>
      <c r="AB4446">
        <v>38</v>
      </c>
      <c r="AC4446">
        <v>10.3203</v>
      </c>
      <c r="AD4446">
        <v>-1.1547860000000001</v>
      </c>
      <c r="AE4446">
        <v>-5.6148699999999998</v>
      </c>
      <c r="AF4446">
        <v>4.7203050692654998</v>
      </c>
      <c r="AG4446">
        <v>-1.1547860000000001</v>
      </c>
      <c r="AH4446">
        <v>10.636031818136299</v>
      </c>
      <c r="AI4446">
        <v>95.667412379786001</v>
      </c>
      <c r="AJ4446">
        <v>66.068198111958793</v>
      </c>
      <c r="AK4446">
        <v>11.693587280605399</v>
      </c>
      <c r="AL4446">
        <v>81.715644701053606</v>
      </c>
      <c r="AM4446">
        <v>70.410649631904107</v>
      </c>
      <c r="AN4446">
        <v>0.99999997169380905</v>
      </c>
    </row>
    <row r="4447" spans="1:40" x14ac:dyDescent="0.25">
      <c r="A4447" t="str">
        <f>"20190312164358263"</f>
        <v>20190312164358263</v>
      </c>
      <c r="B4447" t="str">
        <f>"1552380238259419"</f>
        <v>1552380238259419</v>
      </c>
      <c r="C4447" t="s">
        <v>40</v>
      </c>
      <c r="D4447">
        <v>4.6129369999999996</v>
      </c>
      <c r="E4447">
        <v>0.54167180000000004</v>
      </c>
      <c r="F4447" t="s">
        <v>43</v>
      </c>
      <c r="G4447">
        <v>-314.66489999999999</v>
      </c>
      <c r="H4447">
        <v>-0.05</v>
      </c>
      <c r="I4447">
        <v>10.983510000000001</v>
      </c>
      <c r="J4447">
        <v>-325.00760000000002</v>
      </c>
      <c r="K4447">
        <v>1.1047119999999999</v>
      </c>
      <c r="L4447">
        <v>16.673249999999999</v>
      </c>
      <c r="M4447">
        <v>0.99642929999999996</v>
      </c>
      <c r="N4447">
        <v>0</v>
      </c>
      <c r="O4447">
        <v>-8.3215860000000003E-2</v>
      </c>
      <c r="P4447">
        <v>0.90243079999999998</v>
      </c>
      <c r="Q4447">
        <v>0.1349117</v>
      </c>
      <c r="R4447">
        <v>-0.40916760000000002</v>
      </c>
      <c r="S4447">
        <v>2.7053829999999999</v>
      </c>
      <c r="T4447">
        <v>-0.29671999999999998</v>
      </c>
      <c r="U4447">
        <v>-1.46637</v>
      </c>
      <c r="V4447">
        <v>0.3345397</v>
      </c>
      <c r="W4447">
        <v>0.14390149999999999</v>
      </c>
      <c r="X4447">
        <v>0.93132999999999999</v>
      </c>
      <c r="Y4447">
        <v>0.40024710000000002</v>
      </c>
      <c r="Z4447">
        <v>-1.201903E-2</v>
      </c>
      <c r="AA4447">
        <v>0.91632840000000004</v>
      </c>
      <c r="AB4447">
        <v>38</v>
      </c>
      <c r="AC4447">
        <v>10.342700000000001</v>
      </c>
      <c r="AD4447">
        <v>-1.154712</v>
      </c>
      <c r="AE4447">
        <v>-5.6897399999999898</v>
      </c>
      <c r="AF4447">
        <v>4.7636545508485701</v>
      </c>
      <c r="AG4447">
        <v>-1.154712</v>
      </c>
      <c r="AH4447">
        <v>10.678167148346599</v>
      </c>
      <c r="AI4447">
        <v>95.640027897963904</v>
      </c>
      <c r="AJ4447">
        <v>65.957794031698199</v>
      </c>
      <c r="AK4447">
        <v>11.7494262894319</v>
      </c>
      <c r="AL4447">
        <v>81.726327423573096</v>
      </c>
      <c r="AM4447">
        <v>70.241386757647206</v>
      </c>
      <c r="AN4447">
        <v>1.00000001073917</v>
      </c>
    </row>
    <row r="4448" spans="1:40" x14ac:dyDescent="0.25">
      <c r="A4448" t="str">
        <f>"20190312164358275"</f>
        <v>20190312164358275</v>
      </c>
      <c r="B4448" t="str">
        <f>"1552380238269179"</f>
        <v>1552380238269179</v>
      </c>
      <c r="C4448" t="s">
        <v>40</v>
      </c>
      <c r="D4448">
        <v>4.9813169999999998</v>
      </c>
      <c r="E4448">
        <v>0.54130959999999995</v>
      </c>
      <c r="F4448" t="s">
        <v>43</v>
      </c>
      <c r="G4448">
        <v>-314.41070000000002</v>
      </c>
      <c r="H4448">
        <v>-0.05</v>
      </c>
      <c r="I4448">
        <v>10.877789999999999</v>
      </c>
      <c r="J4448">
        <v>-324.8</v>
      </c>
      <c r="K4448">
        <v>1.104633</v>
      </c>
      <c r="L4448">
        <v>16.653320000000001</v>
      </c>
      <c r="M4448">
        <v>0.9961641</v>
      </c>
      <c r="N4448">
        <v>0</v>
      </c>
      <c r="O4448">
        <v>-8.6330100000000007E-2</v>
      </c>
      <c r="P4448">
        <v>0.89993129999999999</v>
      </c>
      <c r="Q4448">
        <v>0.13454199999999999</v>
      </c>
      <c r="R4448">
        <v>-0.41475580000000001</v>
      </c>
      <c r="S4448">
        <v>2.699036</v>
      </c>
      <c r="T4448">
        <v>-0.29410589999999998</v>
      </c>
      <c r="U4448">
        <v>-1.476105</v>
      </c>
      <c r="V4448">
        <v>0.3374277</v>
      </c>
      <c r="W4448">
        <v>0.14341870000000001</v>
      </c>
      <c r="X4448">
        <v>0.93036209999999997</v>
      </c>
      <c r="Y4448">
        <v>0.40086919999999998</v>
      </c>
      <c r="Z4448">
        <v>-1.164833E-2</v>
      </c>
      <c r="AA4448">
        <v>0.91606120000000002</v>
      </c>
      <c r="AB4448">
        <v>38</v>
      </c>
      <c r="AC4448">
        <v>10.389299999999899</v>
      </c>
      <c r="AD4448">
        <v>-1.154633</v>
      </c>
      <c r="AE4448">
        <v>-5.7755299999999998</v>
      </c>
      <c r="AF4448">
        <v>4.8115629257818497</v>
      </c>
      <c r="AG4448">
        <v>-1.154633</v>
      </c>
      <c r="AH4448">
        <v>10.747747530168599</v>
      </c>
      <c r="AI4448">
        <v>95.600112831048705</v>
      </c>
      <c r="AJ4448">
        <v>65.882841911303203</v>
      </c>
      <c r="AK4448">
        <v>11.8320916209135</v>
      </c>
      <c r="AL4448">
        <v>81.754279739408005</v>
      </c>
      <c r="AM4448">
        <v>70.065088186972105</v>
      </c>
      <c r="AN4448">
        <v>1.0000000066766901</v>
      </c>
    </row>
    <row r="4449" spans="1:40" x14ac:dyDescent="0.25">
      <c r="A4449" t="str">
        <f>"20190312164358287"</f>
        <v>20190312164358287</v>
      </c>
      <c r="B4449" t="str">
        <f>"1552380238279916"</f>
        <v>1552380238279916</v>
      </c>
      <c r="C4449" t="s">
        <v>40</v>
      </c>
      <c r="D4449">
        <v>5.10222</v>
      </c>
      <c r="E4449">
        <v>0.54091279999999997</v>
      </c>
      <c r="F4449" t="s">
        <v>43</v>
      </c>
      <c r="G4449">
        <v>-314.2321</v>
      </c>
      <c r="H4449">
        <v>-0.05</v>
      </c>
      <c r="I4449">
        <v>10.80302</v>
      </c>
      <c r="J4449">
        <v>-324.59100000000001</v>
      </c>
      <c r="K4449">
        <v>1.1045480000000001</v>
      </c>
      <c r="L4449">
        <v>16.632629999999999</v>
      </c>
      <c r="M4449">
        <v>0.99588359999999998</v>
      </c>
      <c r="N4449">
        <v>0</v>
      </c>
      <c r="O4449">
        <v>-8.9506740000000001E-2</v>
      </c>
      <c r="P4449">
        <v>0.89753499999999997</v>
      </c>
      <c r="Q4449">
        <v>0.13422010000000001</v>
      </c>
      <c r="R4449">
        <v>-0.42001860000000002</v>
      </c>
      <c r="S4449">
        <v>2.6909480000000001</v>
      </c>
      <c r="T4449">
        <v>-0.29400859999999901</v>
      </c>
      <c r="U4449">
        <v>-1.4896849999999999</v>
      </c>
      <c r="V4449">
        <v>0.33993289999999998</v>
      </c>
      <c r="W4449">
        <v>0.1429888</v>
      </c>
      <c r="X4449">
        <v>0.92951589999999995</v>
      </c>
      <c r="Y4449">
        <v>0.4026575</v>
      </c>
      <c r="Z4449">
        <v>-1.1434700000000001E-2</v>
      </c>
      <c r="AA4449">
        <v>0.91527930000000002</v>
      </c>
      <c r="AB4449">
        <v>38</v>
      </c>
      <c r="AC4449">
        <v>10.3589</v>
      </c>
      <c r="AD4449">
        <v>-1.1545479999999999</v>
      </c>
      <c r="AE4449">
        <v>-5.82960999999999</v>
      </c>
      <c r="AF4449">
        <v>4.8333213416427503</v>
      </c>
      <c r="AG4449">
        <v>-1.1545479999999999</v>
      </c>
      <c r="AH4449">
        <v>10.7378518677692</v>
      </c>
      <c r="AI4449">
        <v>95.599758502370506</v>
      </c>
      <c r="AJ4449">
        <v>65.7665396733817</v>
      </c>
      <c r="AK4449">
        <v>11.8319668276258</v>
      </c>
      <c r="AL4449">
        <v>81.779167579013304</v>
      </c>
      <c r="AM4449">
        <v>69.912048075171796</v>
      </c>
      <c r="AN4449">
        <v>0.99999999089032998</v>
      </c>
    </row>
    <row r="4450" spans="1:40" x14ac:dyDescent="0.25">
      <c r="A4450" t="str">
        <f>"20190312164358298"</f>
        <v>20190312164358298</v>
      </c>
      <c r="B4450" t="str">
        <f>"1552380238289675"</f>
        <v>1552380238289675</v>
      </c>
      <c r="C4450" t="s">
        <v>40</v>
      </c>
      <c r="D4450">
        <v>4.6802419999999998</v>
      </c>
      <c r="E4450">
        <v>0.54060450000000004</v>
      </c>
      <c r="F4450" t="s">
        <v>43</v>
      </c>
      <c r="G4450">
        <v>-314.05590000000001</v>
      </c>
      <c r="H4450">
        <v>-0.05</v>
      </c>
      <c r="I4450">
        <v>10.73245</v>
      </c>
      <c r="J4450">
        <v>-324.40019999999998</v>
      </c>
      <c r="K4450">
        <v>1.1044700000000001</v>
      </c>
      <c r="L4450">
        <v>16.613219999999998</v>
      </c>
      <c r="M4450">
        <v>0.99561540000000004</v>
      </c>
      <c r="N4450">
        <v>0</v>
      </c>
      <c r="O4450">
        <v>-9.2440800000000004E-2</v>
      </c>
      <c r="P4450">
        <v>0.89525710000000003</v>
      </c>
      <c r="Q4450">
        <v>0.1341125</v>
      </c>
      <c r="R4450">
        <v>-0.4248866</v>
      </c>
      <c r="S4450">
        <v>2.6832280000000002</v>
      </c>
      <c r="T4450">
        <v>-0.29405759999999997</v>
      </c>
      <c r="U4450">
        <v>-1.5027469999999901</v>
      </c>
      <c r="V4450">
        <v>0.34226879999999998</v>
      </c>
      <c r="W4450">
        <v>0.14278070000000001</v>
      </c>
      <c r="X4450">
        <v>0.92869040000000003</v>
      </c>
      <c r="Y4450">
        <v>0.40447739999999999</v>
      </c>
      <c r="Z4450">
        <v>-1.125136E-2</v>
      </c>
      <c r="AA4450">
        <v>0.91447880000000004</v>
      </c>
      <c r="AB4450">
        <v>38</v>
      </c>
      <c r="AC4450">
        <v>10.344299999999899</v>
      </c>
      <c r="AD4450">
        <v>-1.1544700000000001</v>
      </c>
      <c r="AE4450">
        <v>-5.8807700000000001</v>
      </c>
      <c r="AF4450">
        <v>4.8535634787077697</v>
      </c>
      <c r="AG4450">
        <v>-1.1544700000000001</v>
      </c>
      <c r="AH4450">
        <v>10.7425550445962</v>
      </c>
      <c r="AI4450">
        <v>95.593431371786806</v>
      </c>
      <c r="AJ4450">
        <v>65.686205938359507</v>
      </c>
      <c r="AK4450">
        <v>11.844507938657699</v>
      </c>
      <c r="AL4450">
        <v>81.791215005937204</v>
      </c>
      <c r="AM4450">
        <v>69.768638222363805</v>
      </c>
      <c r="AN4450">
        <v>1.0000000593990399</v>
      </c>
    </row>
    <row r="4451" spans="1:40" x14ac:dyDescent="0.25">
      <c r="A4451" t="str">
        <f>"20190312164358312"</f>
        <v>20190312164358312</v>
      </c>
      <c r="B4451" t="str">
        <f>"1552380238299436"</f>
        <v>1552380238299436</v>
      </c>
      <c r="C4451" t="s">
        <v>40</v>
      </c>
      <c r="D4451">
        <v>4.9904739999999999</v>
      </c>
      <c r="E4451">
        <v>0.54028009999999904</v>
      </c>
      <c r="F4451" t="s">
        <v>43</v>
      </c>
      <c r="G4451">
        <v>-313.86669999999998</v>
      </c>
      <c r="H4451">
        <v>-0.05</v>
      </c>
      <c r="I4451">
        <v>10.64537</v>
      </c>
      <c r="J4451">
        <v>-324.18630000000002</v>
      </c>
      <c r="K4451">
        <v>1.1043780000000001</v>
      </c>
      <c r="L4451">
        <v>16.590520000000001</v>
      </c>
      <c r="M4451">
        <v>0.99529769999999895</v>
      </c>
      <c r="N4451">
        <v>0</v>
      </c>
      <c r="O4451">
        <v>-9.5800839999999998E-2</v>
      </c>
      <c r="P4451">
        <v>0.89273250000000004</v>
      </c>
      <c r="Q4451">
        <v>0.13399920000000001</v>
      </c>
      <c r="R4451">
        <v>-0.4302011</v>
      </c>
      <c r="S4451">
        <v>2.6754760000000002</v>
      </c>
      <c r="T4451">
        <v>-0.29322989999999999</v>
      </c>
      <c r="U4451">
        <v>-1.515808</v>
      </c>
      <c r="V4451">
        <v>0.34468549999999998</v>
      </c>
      <c r="W4451">
        <v>0.1425565</v>
      </c>
      <c r="X4451">
        <v>0.92783059999999995</v>
      </c>
      <c r="Y4451">
        <v>0.4059217</v>
      </c>
      <c r="Z4451">
        <v>-1.097305E-2</v>
      </c>
      <c r="AA4451">
        <v>0.91384200000000004</v>
      </c>
      <c r="AB4451">
        <v>38</v>
      </c>
      <c r="AC4451">
        <v>10.319599999999999</v>
      </c>
      <c r="AD4451">
        <v>-1.1543779999999999</v>
      </c>
      <c r="AE4451">
        <v>-5.9451499999999999</v>
      </c>
      <c r="AF4451">
        <v>4.8831942485260802</v>
      </c>
      <c r="AG4451">
        <v>-1.1543779999999999</v>
      </c>
      <c r="AH4451">
        <v>10.740823235778301</v>
      </c>
      <c r="AI4451">
        <v>95.587969942998498</v>
      </c>
      <c r="AJ4451">
        <v>65.551616143980993</v>
      </c>
      <c r="AK4451">
        <v>11.855102632114001</v>
      </c>
      <c r="AL4451">
        <v>81.804193288583093</v>
      </c>
      <c r="AM4451">
        <v>69.6201620772826</v>
      </c>
      <c r="AN4451">
        <v>1.0000000359494201</v>
      </c>
    </row>
    <row r="4452" spans="1:40" x14ac:dyDescent="0.25">
      <c r="A4452" t="str">
        <f>"20190312164358329"</f>
        <v>20190312164358329</v>
      </c>
      <c r="B4452" t="str">
        <f>"1552380238318955"</f>
        <v>1552380238318955</v>
      </c>
      <c r="C4452" t="s">
        <v>40</v>
      </c>
      <c r="D4452">
        <v>4.7483120000000003</v>
      </c>
      <c r="E4452">
        <v>0.52382759999999995</v>
      </c>
      <c r="F4452" t="s">
        <v>43</v>
      </c>
      <c r="G4452">
        <v>-313.64190000000002</v>
      </c>
      <c r="H4452">
        <v>-0.05</v>
      </c>
      <c r="I4452">
        <v>10.541499999999999</v>
      </c>
      <c r="J4452">
        <v>-323.89789999999999</v>
      </c>
      <c r="K4452">
        <v>1.104252</v>
      </c>
      <c r="L4452">
        <v>16.55884</v>
      </c>
      <c r="M4452">
        <v>0.99484349999999999</v>
      </c>
      <c r="N4452">
        <v>0</v>
      </c>
      <c r="O4452">
        <v>-0.1004048</v>
      </c>
      <c r="P4452">
        <v>0.88855980000000001</v>
      </c>
      <c r="Q4452">
        <v>0.13304469999999999</v>
      </c>
      <c r="R4452">
        <v>-0.43904500000000002</v>
      </c>
      <c r="S4452">
        <v>2.666992</v>
      </c>
      <c r="T4452">
        <v>-0.29197590000000001</v>
      </c>
      <c r="U4452">
        <v>-1.529968</v>
      </c>
      <c r="V4452">
        <v>0.34962459999999901</v>
      </c>
      <c r="W4452">
        <v>0.1414185</v>
      </c>
      <c r="X4452">
        <v>0.92615510000000001</v>
      </c>
      <c r="Y4452">
        <v>0.40662749999999998</v>
      </c>
      <c r="Z4452">
        <v>-1.0520089999999999E-2</v>
      </c>
      <c r="AA4452">
        <v>0.91353340000000005</v>
      </c>
      <c r="AB4452">
        <v>38</v>
      </c>
      <c r="AC4452">
        <v>10.255999999999901</v>
      </c>
      <c r="AD4452">
        <v>-1.1542520000000001</v>
      </c>
      <c r="AE4452">
        <v>-6.0173399999999999</v>
      </c>
      <c r="AF4452">
        <v>4.9107963461840498</v>
      </c>
      <c r="AG4452">
        <v>-1.1542520000000001</v>
      </c>
      <c r="AH4452">
        <v>10.7075017639935</v>
      </c>
      <c r="AI4452">
        <v>95.596245897030798</v>
      </c>
      <c r="AJ4452">
        <v>65.362324387528105</v>
      </c>
      <c r="AK4452">
        <v>11.836334418185499</v>
      </c>
      <c r="AL4452">
        <v>81.870062230483995</v>
      </c>
      <c r="AM4452">
        <v>69.318421480231507</v>
      </c>
      <c r="AN4452">
        <v>0.99999991116170595</v>
      </c>
    </row>
    <row r="4453" spans="1:40" x14ac:dyDescent="0.25">
      <c r="A4453" t="str">
        <f>"20190312164358350"</f>
        <v>20190312164358350</v>
      </c>
      <c r="B4453" t="str">
        <f>"1552380238338981"</f>
        <v>1552380238338981</v>
      </c>
      <c r="C4453" t="s">
        <v>40</v>
      </c>
      <c r="D4453">
        <v>4.7733889999999999</v>
      </c>
      <c r="E4453">
        <v>0.52251139999999996</v>
      </c>
      <c r="F4453" t="s">
        <v>43</v>
      </c>
      <c r="G4453">
        <v>-314.20920000000001</v>
      </c>
      <c r="H4453">
        <v>-0.05</v>
      </c>
      <c r="I4453">
        <v>11.43892</v>
      </c>
      <c r="J4453">
        <v>-323.54140000000001</v>
      </c>
      <c r="K4453">
        <v>1.1040970000000001</v>
      </c>
      <c r="L4453">
        <v>16.517759999999999</v>
      </c>
      <c r="M4453">
        <v>0.99423779999999995</v>
      </c>
      <c r="N4453">
        <v>0</v>
      </c>
      <c r="O4453">
        <v>-0.10623539999999999</v>
      </c>
      <c r="P4453">
        <v>0.88340799999999997</v>
      </c>
      <c r="Q4453">
        <v>0.1315065</v>
      </c>
      <c r="R4453">
        <v>-0.44977440000000002</v>
      </c>
      <c r="S4453">
        <v>2.715576</v>
      </c>
      <c r="T4453">
        <v>-0.32351740000000001</v>
      </c>
      <c r="U4453">
        <v>-1.435028</v>
      </c>
      <c r="V4453">
        <v>0.3554214</v>
      </c>
      <c r="W4453">
        <v>0.139653799999999</v>
      </c>
      <c r="X4453">
        <v>0.92421450000000005</v>
      </c>
      <c r="Y4453">
        <v>0.369201</v>
      </c>
      <c r="Z4453">
        <v>-8.828631E-3</v>
      </c>
      <c r="AA4453">
        <v>0.92930760000000001</v>
      </c>
      <c r="AB4453">
        <v>38</v>
      </c>
      <c r="AC4453">
        <v>9.3322000000000003</v>
      </c>
      <c r="AD4453">
        <v>-1.1540969999999999</v>
      </c>
      <c r="AE4453">
        <v>-5.0788399999999996</v>
      </c>
      <c r="AF4453">
        <v>4.0112519269617302</v>
      </c>
      <c r="AG4453">
        <v>-1.1540969999999999</v>
      </c>
      <c r="AH4453">
        <v>9.7044818023732997</v>
      </c>
      <c r="AI4453">
        <v>96.271947159774399</v>
      </c>
      <c r="AJ4453">
        <v>67.542727610415</v>
      </c>
      <c r="AK4453">
        <v>10.564045104010001</v>
      </c>
      <c r="AL4453">
        <v>81.972186342330303</v>
      </c>
      <c r="AM4453">
        <v>68.964957879721993</v>
      </c>
      <c r="AN4453">
        <v>0.99999999872132495</v>
      </c>
    </row>
    <row r="4454" spans="1:40" x14ac:dyDescent="0.25">
      <c r="A4454" t="str">
        <f>"20190312164358371"</f>
        <v>20190312164358371</v>
      </c>
      <c r="B4454" t="str">
        <f>"1552380238359478"</f>
        <v>1552380238359478</v>
      </c>
      <c r="C4454" t="s">
        <v>40</v>
      </c>
      <c r="D4454">
        <v>4.7892929999999998</v>
      </c>
      <c r="E4454">
        <v>0.52236050000000001</v>
      </c>
      <c r="F4454" t="s">
        <v>43</v>
      </c>
      <c r="G4454">
        <v>-314.17649999999998</v>
      </c>
      <c r="H4454">
        <v>-0.05</v>
      </c>
      <c r="I4454">
        <v>11.47714</v>
      </c>
      <c r="J4454">
        <v>-323.18599999999998</v>
      </c>
      <c r="K4454">
        <v>1.1039369999999999</v>
      </c>
      <c r="L4454">
        <v>16.474519999999998</v>
      </c>
      <c r="M4454">
        <v>0.99358259999999998</v>
      </c>
      <c r="N4454">
        <v>0</v>
      </c>
      <c r="O4454">
        <v>-0.11219609999999999</v>
      </c>
      <c r="P4454">
        <v>0.87816589999999894</v>
      </c>
      <c r="Q4454">
        <v>0.12933529999999999</v>
      </c>
      <c r="R4454">
        <v>-0.46054020000000001</v>
      </c>
      <c r="S4454">
        <v>2.704437</v>
      </c>
      <c r="T4454">
        <v>-0.33328600000000003</v>
      </c>
      <c r="U4454">
        <v>-1.4556579999999999</v>
      </c>
      <c r="V4454">
        <v>0.36116419999999999</v>
      </c>
      <c r="W4454">
        <v>0.13725379999999901</v>
      </c>
      <c r="X4454">
        <v>0.92234579999999999</v>
      </c>
      <c r="Y4454">
        <v>0.37065939999999997</v>
      </c>
      <c r="Z4454">
        <v>-8.5228930000000001E-3</v>
      </c>
      <c r="AA4454">
        <v>0.92872980000000005</v>
      </c>
      <c r="AB4454">
        <v>38</v>
      </c>
      <c r="AC4454">
        <v>9.0094999999999992</v>
      </c>
      <c r="AD4454">
        <v>-1.153937</v>
      </c>
      <c r="AE4454">
        <v>-4.9973799999999997</v>
      </c>
      <c r="AF4454">
        <v>3.9058870147736</v>
      </c>
      <c r="AG4454">
        <v>-1.153937</v>
      </c>
      <c r="AH4454">
        <v>9.3954824406791406</v>
      </c>
      <c r="AI4454">
        <v>96.470201855359406</v>
      </c>
      <c r="AJ4454">
        <v>67.426382230780604</v>
      </c>
      <c r="AK4454">
        <v>10.2402448342437</v>
      </c>
      <c r="AL4454">
        <v>82.1110333511172</v>
      </c>
      <c r="AM4454">
        <v>68.616111687190596</v>
      </c>
      <c r="AN4454">
        <v>0.99999997987685896</v>
      </c>
    </row>
    <row r="4455" spans="1:40" x14ac:dyDescent="0.25">
      <c r="A4455" t="str">
        <f>"20190312164358394"</f>
        <v>20190312164358394</v>
      </c>
      <c r="B4455" t="str">
        <f>"1552380238389734"</f>
        <v>1552380238389734</v>
      </c>
      <c r="C4455" t="s">
        <v>40</v>
      </c>
      <c r="D4455">
        <v>4.8292609999999998</v>
      </c>
      <c r="E4455">
        <v>0.52165439999999996</v>
      </c>
      <c r="F4455" t="s">
        <v>43</v>
      </c>
      <c r="G4455">
        <v>-314.09309999999999</v>
      </c>
      <c r="H4455">
        <v>-0.05</v>
      </c>
      <c r="I4455">
        <v>11.44374</v>
      </c>
      <c r="J4455">
        <v>-322.80689999999998</v>
      </c>
      <c r="K4455">
        <v>1.103766</v>
      </c>
      <c r="L4455">
        <v>16.425899999999999</v>
      </c>
      <c r="M4455">
        <v>0.99282369999999998</v>
      </c>
      <c r="N4455">
        <v>0</v>
      </c>
      <c r="O4455">
        <v>-0.1187233</v>
      </c>
      <c r="P4455">
        <v>0.87229729999999905</v>
      </c>
      <c r="Q4455">
        <v>0.1278667</v>
      </c>
      <c r="R4455">
        <v>-0.47196179999999899</v>
      </c>
      <c r="S4455">
        <v>2.6868590000000001</v>
      </c>
      <c r="T4455">
        <v>-0.34097640000000001</v>
      </c>
      <c r="U4455">
        <v>-1.486542</v>
      </c>
      <c r="V4455">
        <v>0.36714980000000003</v>
      </c>
      <c r="W4455">
        <v>0.13553670000000001</v>
      </c>
      <c r="X4455">
        <v>0.92023410000000005</v>
      </c>
      <c r="Y4455">
        <v>0.37523669999999998</v>
      </c>
      <c r="Z4455">
        <v>-8.26262E-3</v>
      </c>
      <c r="AA4455">
        <v>0.92689219999999894</v>
      </c>
      <c r="AB4455">
        <v>38</v>
      </c>
      <c r="AC4455">
        <v>8.7137999999999902</v>
      </c>
      <c r="AD4455">
        <v>-1.1537660000000001</v>
      </c>
      <c r="AE4455">
        <v>-4.9821599999999897</v>
      </c>
      <c r="AF4455">
        <v>3.8612617529990798</v>
      </c>
      <c r="AG4455">
        <v>-1.1537660000000001</v>
      </c>
      <c r="AH4455">
        <v>9.1231783929319992</v>
      </c>
      <c r="AI4455">
        <v>96.642956457005496</v>
      </c>
      <c r="AJ4455">
        <v>67.060146824203201</v>
      </c>
      <c r="AK4455">
        <v>9.9736102940304896</v>
      </c>
      <c r="AL4455">
        <v>82.2103441034822</v>
      </c>
      <c r="AM4455">
        <v>68.249268367164106</v>
      </c>
      <c r="AN4455">
        <v>0.99999998574487003</v>
      </c>
    </row>
    <row r="4456" spans="1:40" x14ac:dyDescent="0.25">
      <c r="A4456" t="str">
        <f>"20190312164358407"</f>
        <v>20190312164358407</v>
      </c>
      <c r="B4456" t="str">
        <f>"1552380238399494"</f>
        <v>1552380238399494</v>
      </c>
      <c r="C4456" t="s">
        <v>40</v>
      </c>
      <c r="D4456">
        <v>5.2015699999999896</v>
      </c>
      <c r="E4456">
        <v>0.52172580000000002</v>
      </c>
      <c r="F4456" t="s">
        <v>43</v>
      </c>
      <c r="G4456">
        <v>-313.81259999999997</v>
      </c>
      <c r="H4456">
        <v>-0.05</v>
      </c>
      <c r="I4456">
        <v>11.31039</v>
      </c>
      <c r="J4456">
        <v>-322.57639999999998</v>
      </c>
      <c r="K4456">
        <v>1.1036699999999999</v>
      </c>
      <c r="L4456">
        <v>16.395019999999999</v>
      </c>
      <c r="M4456">
        <v>0.99232949999999998</v>
      </c>
      <c r="N4456">
        <v>0</v>
      </c>
      <c r="O4456">
        <v>-0.1227838</v>
      </c>
      <c r="P4456">
        <v>0.8689114</v>
      </c>
      <c r="Q4456">
        <v>0.1271216</v>
      </c>
      <c r="R4456">
        <v>-0.47836529999999999</v>
      </c>
      <c r="S4456">
        <v>2.6682739999999998</v>
      </c>
      <c r="T4456">
        <v>-0.34227940000000001</v>
      </c>
      <c r="U4456">
        <v>-1.5175780000000001</v>
      </c>
      <c r="V4456">
        <v>0.3701662</v>
      </c>
      <c r="W4456">
        <v>0.13464849999999901</v>
      </c>
      <c r="X4456">
        <v>0.91915550000000001</v>
      </c>
      <c r="Y4456">
        <v>0.38231619999999999</v>
      </c>
      <c r="Z4456">
        <v>-8.2729969999999903E-3</v>
      </c>
      <c r="AA4456">
        <v>0.92399450000000005</v>
      </c>
      <c r="AB4456">
        <v>37</v>
      </c>
      <c r="AC4456">
        <v>8.7637999999999998</v>
      </c>
      <c r="AD4456">
        <v>-1.15367</v>
      </c>
      <c r="AE4456">
        <v>-5.0846299999999998</v>
      </c>
      <c r="AF4456">
        <v>3.9191732036825</v>
      </c>
      <c r="AG4456">
        <v>-1.15367</v>
      </c>
      <c r="AH4456">
        <v>9.2025383417314597</v>
      </c>
      <c r="AI4456">
        <v>96.579428247406099</v>
      </c>
      <c r="AJ4456">
        <v>66.931835247812998</v>
      </c>
      <c r="AK4456">
        <v>10.068643652468801</v>
      </c>
      <c r="AL4456">
        <v>82.261705417468704</v>
      </c>
      <c r="AM4456">
        <v>68.064158903988499</v>
      </c>
      <c r="AN4456">
        <v>1.0000000336774599</v>
      </c>
    </row>
    <row r="4457" spans="1:40" x14ac:dyDescent="0.25">
      <c r="A4457" t="str">
        <f>"20190312164358418"</f>
        <v>20190312164358418</v>
      </c>
      <c r="B4457" t="str">
        <f>"1552380238409254"</f>
        <v>1552380238409254</v>
      </c>
      <c r="C4457" t="s">
        <v>40</v>
      </c>
      <c r="D4457">
        <v>4.8859669999999999</v>
      </c>
      <c r="E4457">
        <v>0.52178809999999998</v>
      </c>
      <c r="F4457" t="s">
        <v>43</v>
      </c>
      <c r="G4457">
        <v>-313.54250000000002</v>
      </c>
      <c r="H4457">
        <v>-0.05</v>
      </c>
      <c r="I4457">
        <v>11.161759999999999</v>
      </c>
      <c r="J4457">
        <v>-322.39659999999998</v>
      </c>
      <c r="K4457">
        <v>1.1035839999999999</v>
      </c>
      <c r="L4457">
        <v>16.370329999999999</v>
      </c>
      <c r="M4457">
        <v>0.99192689999999994</v>
      </c>
      <c r="N4457">
        <v>0</v>
      </c>
      <c r="O4457">
        <v>-0.12599369999999999</v>
      </c>
      <c r="P4457">
        <v>0.86579719999999905</v>
      </c>
      <c r="Q4457">
        <v>0.12704669999999901</v>
      </c>
      <c r="R4457">
        <v>-0.4839985</v>
      </c>
      <c r="S4457">
        <v>2.6553339999999999</v>
      </c>
      <c r="T4457">
        <v>-0.3390977</v>
      </c>
      <c r="U4457">
        <v>-1.538208</v>
      </c>
      <c r="V4457">
        <v>0.37318950000000001</v>
      </c>
      <c r="W4457">
        <v>0.13444339999999999</v>
      </c>
      <c r="X4457">
        <v>0.91796219999999995</v>
      </c>
      <c r="Y4457">
        <v>0.38666780000000001</v>
      </c>
      <c r="Z4457">
        <v>-8.1044710000000002E-3</v>
      </c>
      <c r="AA4457">
        <v>0.92218350000000004</v>
      </c>
      <c r="AB4457">
        <v>37</v>
      </c>
      <c r="AC4457">
        <v>8.8540999999999599</v>
      </c>
      <c r="AD4457">
        <v>-1.1535839999999999</v>
      </c>
      <c r="AE4457">
        <v>-5.2085699999999902</v>
      </c>
      <c r="AF4457">
        <v>4.0009231942696903</v>
      </c>
      <c r="AG4457">
        <v>-1.1535839999999999</v>
      </c>
      <c r="AH4457">
        <v>9.3222798952148196</v>
      </c>
      <c r="AI4457">
        <v>96.487489895145799</v>
      </c>
      <c r="AJ4457">
        <v>66.772024951530398</v>
      </c>
      <c r="AK4457">
        <v>10.209948329753001</v>
      </c>
      <c r="AL4457">
        <v>82.273564472940393</v>
      </c>
      <c r="AM4457">
        <v>67.876229659360504</v>
      </c>
      <c r="AN4457">
        <v>1.00000001567132</v>
      </c>
    </row>
    <row r="4458" spans="1:40" x14ac:dyDescent="0.25">
      <c r="A4458" t="str">
        <f>"20190312164358429"</f>
        <v>20190312164358429</v>
      </c>
      <c r="B4458" t="str">
        <f>"1552380238419014"</f>
        <v>1552380238419014</v>
      </c>
      <c r="C4458" t="s">
        <v>40</v>
      </c>
      <c r="D4458">
        <v>4.8789309999999997</v>
      </c>
      <c r="E4458">
        <v>0.52178340000000001</v>
      </c>
      <c r="F4458" t="s">
        <v>43</v>
      </c>
      <c r="G4458">
        <v>-313.27440000000001</v>
      </c>
      <c r="H4458">
        <v>-0.05</v>
      </c>
      <c r="I4458">
        <v>11.00009</v>
      </c>
      <c r="J4458">
        <v>-322.21050000000002</v>
      </c>
      <c r="K4458">
        <v>1.10349599999999</v>
      </c>
      <c r="L4458">
        <v>16.343869999999999</v>
      </c>
      <c r="M4458">
        <v>0.99148970000000003</v>
      </c>
      <c r="N4458">
        <v>0</v>
      </c>
      <c r="O4458">
        <v>-0.129389</v>
      </c>
      <c r="P4458">
        <v>0.86238269999999995</v>
      </c>
      <c r="Q4458">
        <v>0.1273386</v>
      </c>
      <c r="R4458">
        <v>-0.48998059999999899</v>
      </c>
      <c r="S4458">
        <v>2.6439509999999999</v>
      </c>
      <c r="T4458">
        <v>-0.33434979999999997</v>
      </c>
      <c r="U4458">
        <v>-1.5564880000000001</v>
      </c>
      <c r="V4458">
        <v>0.37644450000000002</v>
      </c>
      <c r="W4458">
        <v>0.13459179999999901</v>
      </c>
      <c r="X4458">
        <v>0.91661040000000005</v>
      </c>
      <c r="Y4458">
        <v>0.390019</v>
      </c>
      <c r="Z4458">
        <v>-7.8185459999999991E-3</v>
      </c>
      <c r="AA4458">
        <v>0.92077359999999997</v>
      </c>
      <c r="AB4458">
        <v>37</v>
      </c>
      <c r="AC4458">
        <v>8.9361000000000104</v>
      </c>
      <c r="AD4458">
        <v>-1.1534960000000001</v>
      </c>
      <c r="AE4458">
        <v>-5.3437799999999998</v>
      </c>
      <c r="AF4458">
        <v>4.0922719407534096</v>
      </c>
      <c r="AG4458">
        <v>-1.1534960000000001</v>
      </c>
      <c r="AH4458">
        <v>9.4366452557301699</v>
      </c>
      <c r="AI4458">
        <v>96.398693958493894</v>
      </c>
      <c r="AJ4458">
        <v>66.555672207528701</v>
      </c>
      <c r="AK4458">
        <v>10.350242332505401</v>
      </c>
      <c r="AL4458">
        <v>82.264983823441796</v>
      </c>
      <c r="AM4458">
        <v>67.672439329013898</v>
      </c>
      <c r="AN4458">
        <v>1.0000000197978201</v>
      </c>
    </row>
    <row r="4459" spans="1:40" x14ac:dyDescent="0.25">
      <c r="A4459" t="str">
        <f>"20190312164358441"</f>
        <v>20190312164358441</v>
      </c>
      <c r="B4459" t="str">
        <f>"1552380238429281"</f>
        <v>1552380238429281</v>
      </c>
      <c r="C4459" t="s">
        <v>40</v>
      </c>
      <c r="D4459">
        <v>4.8756279999999999</v>
      </c>
      <c r="E4459">
        <v>0.52167870000000005</v>
      </c>
      <c r="F4459" t="s">
        <v>43</v>
      </c>
      <c r="G4459">
        <v>-312.97050000000002</v>
      </c>
      <c r="H4459">
        <v>-0.05</v>
      </c>
      <c r="I4459">
        <v>10.813929999999999</v>
      </c>
      <c r="J4459">
        <v>-322.01569999999998</v>
      </c>
      <c r="K4459">
        <v>1.1033999999999999</v>
      </c>
      <c r="L4459">
        <v>16.315829999999998</v>
      </c>
      <c r="M4459">
        <v>0.99101600000000001</v>
      </c>
      <c r="N4459">
        <v>0</v>
      </c>
      <c r="O4459">
        <v>-0.13296759999999999</v>
      </c>
      <c r="P4459">
        <v>0.85904990000000003</v>
      </c>
      <c r="Q4459">
        <v>0.12775829999999999</v>
      </c>
      <c r="R4459">
        <v>-0.49569279999999999</v>
      </c>
      <c r="S4459">
        <v>2.6322019999999999</v>
      </c>
      <c r="T4459">
        <v>-0.32859840000000001</v>
      </c>
      <c r="U4459">
        <v>-1.5753170000000001</v>
      </c>
      <c r="V4459">
        <v>0.37926769999999999</v>
      </c>
      <c r="W4459">
        <v>0.13487060000000001</v>
      </c>
      <c r="X4459">
        <v>0.91540480000000002</v>
      </c>
      <c r="Y4459">
        <v>0.3934029</v>
      </c>
      <c r="Z4459">
        <v>-7.4961849999999998E-3</v>
      </c>
      <c r="AA4459">
        <v>0.91933560000000003</v>
      </c>
      <c r="AB4459">
        <v>37</v>
      </c>
      <c r="AC4459">
        <v>9.0451999999999604</v>
      </c>
      <c r="AD4459">
        <v>-1.1534</v>
      </c>
      <c r="AE4459">
        <v>-5.5018999999999902</v>
      </c>
      <c r="AF4459">
        <v>4.2003391719127601</v>
      </c>
      <c r="AG4459">
        <v>-1.1534</v>
      </c>
      <c r="AH4459">
        <v>9.5827795552099904</v>
      </c>
      <c r="AI4459">
        <v>96.290715146858105</v>
      </c>
      <c r="AJ4459">
        <v>66.331123199926694</v>
      </c>
      <c r="AK4459">
        <v>10.526293019047801</v>
      </c>
      <c r="AL4459">
        <v>82.248862675193095</v>
      </c>
      <c r="AM4459">
        <v>67.494945334452098</v>
      </c>
      <c r="AN4459">
        <v>1.0000000074353399</v>
      </c>
    </row>
    <row r="4460" spans="1:40" x14ac:dyDescent="0.25">
      <c r="A4460" t="str">
        <f>"20190312164358452"</f>
        <v>20190312164358452</v>
      </c>
      <c r="B4460" t="str">
        <f>"1552380238449777"</f>
        <v>1552380238449777</v>
      </c>
      <c r="C4460" t="s">
        <v>40</v>
      </c>
      <c r="D4460">
        <v>5.1117169999999996</v>
      </c>
      <c r="E4460">
        <v>0.5215149</v>
      </c>
      <c r="F4460" t="s">
        <v>43</v>
      </c>
      <c r="G4460">
        <v>-312.678</v>
      </c>
      <c r="H4460">
        <v>-0.05</v>
      </c>
      <c r="I4460">
        <v>10.643520000000001</v>
      </c>
      <c r="J4460">
        <v>-321.81959999999998</v>
      </c>
      <c r="K4460">
        <v>1.1032999999999999</v>
      </c>
      <c r="L4460">
        <v>16.28632</v>
      </c>
      <c r="M4460">
        <v>0.99051080000000002</v>
      </c>
      <c r="N4460">
        <v>0</v>
      </c>
      <c r="O4460">
        <v>-0.13667939999999901</v>
      </c>
      <c r="P4460">
        <v>0.85570900000000005</v>
      </c>
      <c r="Q4460">
        <v>0.12804099999999999</v>
      </c>
      <c r="R4460">
        <v>-0.50136650000000005</v>
      </c>
      <c r="S4460">
        <v>2.6214900000000001</v>
      </c>
      <c r="T4460">
        <v>-0.32380999999999999</v>
      </c>
      <c r="U4460">
        <v>-1.592468</v>
      </c>
      <c r="V4460">
        <v>0.38194359999999999</v>
      </c>
      <c r="W4460">
        <v>0.1350066</v>
      </c>
      <c r="X4460">
        <v>0.91427150000000001</v>
      </c>
      <c r="Y4460">
        <v>0.39606370000000002</v>
      </c>
      <c r="Z4460">
        <v>-7.1438949999999999E-3</v>
      </c>
      <c r="AA4460">
        <v>0.91819519999999999</v>
      </c>
      <c r="AB4460">
        <v>37</v>
      </c>
      <c r="AC4460">
        <v>9.1415999999999809</v>
      </c>
      <c r="AD4460">
        <v>-1.1533</v>
      </c>
      <c r="AE4460">
        <v>-5.6427999999999896</v>
      </c>
      <c r="AF4460">
        <v>4.2907840943675097</v>
      </c>
      <c r="AG4460">
        <v>-1.1533</v>
      </c>
      <c r="AH4460">
        <v>9.7151584688416097</v>
      </c>
      <c r="AI4460">
        <v>96.197568175080406</v>
      </c>
      <c r="AJ4460">
        <v>66.170933288450101</v>
      </c>
      <c r="AK4460">
        <v>10.6829412199628</v>
      </c>
      <c r="AL4460">
        <v>82.240998743810806</v>
      </c>
      <c r="AM4460">
        <v>67.326910520548694</v>
      </c>
      <c r="AN4460">
        <v>1.00000003566838</v>
      </c>
    </row>
    <row r="4461" spans="1:40" x14ac:dyDescent="0.25">
      <c r="A4461" t="str">
        <f>"20190312164358465"</f>
        <v>20190312164358465</v>
      </c>
      <c r="B4461" t="str">
        <f>"1552380238459537"</f>
        <v>1552380238459537</v>
      </c>
      <c r="C4461" t="s">
        <v>40</v>
      </c>
      <c r="D4461">
        <v>4.9429129999999999</v>
      </c>
      <c r="E4461">
        <v>0.52133569999999996</v>
      </c>
      <c r="F4461" t="s">
        <v>43</v>
      </c>
      <c r="G4461">
        <v>-312.33190000000002</v>
      </c>
      <c r="H4461">
        <v>-0.05</v>
      </c>
      <c r="I4461">
        <v>10.434939999999999</v>
      </c>
      <c r="J4461">
        <v>-321.62639999999999</v>
      </c>
      <c r="K4461">
        <v>1.1031959999999901</v>
      </c>
      <c r="L4461">
        <v>16.256810000000002</v>
      </c>
      <c r="M4461">
        <v>0.9899945</v>
      </c>
      <c r="N4461">
        <v>0</v>
      </c>
      <c r="O4461">
        <v>-0.14036899999999999</v>
      </c>
      <c r="P4461">
        <v>0.85227030000000004</v>
      </c>
      <c r="Q4461">
        <v>0.1285617</v>
      </c>
      <c r="R4461">
        <v>-0.50705749999999905</v>
      </c>
      <c r="S4461">
        <v>2.6101679999999998</v>
      </c>
      <c r="T4461">
        <v>-0.31728390000000001</v>
      </c>
      <c r="U4461">
        <v>-1.609772</v>
      </c>
      <c r="V4461">
        <v>0.38468730000000001</v>
      </c>
      <c r="W4461">
        <v>0.135377</v>
      </c>
      <c r="X4461">
        <v>0.91306560000000003</v>
      </c>
      <c r="Y4461">
        <v>0.39888820000000003</v>
      </c>
      <c r="Z4461">
        <v>-6.7742219999999999E-3</v>
      </c>
      <c r="AA4461">
        <v>0.91697450000000003</v>
      </c>
      <c r="AB4461">
        <v>37</v>
      </c>
      <c r="AC4461">
        <v>9.2944999999999691</v>
      </c>
      <c r="AD4461">
        <v>-1.1531960000000001</v>
      </c>
      <c r="AE4461">
        <v>-5.8218699999999997</v>
      </c>
      <c r="AF4461">
        <v>4.4106570346185601</v>
      </c>
      <c r="AG4461">
        <v>-1.1531960000000001</v>
      </c>
      <c r="AH4461">
        <v>9.9101842212948306</v>
      </c>
      <c r="AI4461">
        <v>96.068379571646105</v>
      </c>
      <c r="AJ4461">
        <v>66.007919625562593</v>
      </c>
      <c r="AK4461">
        <v>10.908506212651</v>
      </c>
      <c r="AL4461">
        <v>82.219579630037899</v>
      </c>
      <c r="AM4461">
        <v>67.153627885330906</v>
      </c>
      <c r="AN4461">
        <v>1.00000002040682</v>
      </c>
    </row>
    <row r="4462" spans="1:40" x14ac:dyDescent="0.25">
      <c r="A4462" t="str">
        <f>"20190312164358476"</f>
        <v>20190312164358476</v>
      </c>
      <c r="B4462" t="str">
        <f>"1552380238469297"</f>
        <v>1552380238469297</v>
      </c>
      <c r="C4462" t="s">
        <v>40</v>
      </c>
      <c r="D4462">
        <v>4.9132350000000002</v>
      </c>
      <c r="E4462">
        <v>0.52100829999999998</v>
      </c>
      <c r="F4462" t="s">
        <v>43</v>
      </c>
      <c r="G4462">
        <v>-312.03719999999998</v>
      </c>
      <c r="H4462">
        <v>-0.05</v>
      </c>
      <c r="I4462">
        <v>10.254440000000001</v>
      </c>
      <c r="J4462">
        <v>-321.42840000000001</v>
      </c>
      <c r="K4462">
        <v>1.103089</v>
      </c>
      <c r="L4462">
        <v>16.22559</v>
      </c>
      <c r="M4462">
        <v>0.98943919999999996</v>
      </c>
      <c r="N4462">
        <v>0</v>
      </c>
      <c r="O4462">
        <v>-0.1442292</v>
      </c>
      <c r="P4462">
        <v>0.84894530000000001</v>
      </c>
      <c r="Q4462">
        <v>0.128578</v>
      </c>
      <c r="R4462">
        <v>-0.51260099999999997</v>
      </c>
      <c r="S4462">
        <v>2.5991819999999999</v>
      </c>
      <c r="T4462">
        <v>-0.31257590000000002</v>
      </c>
      <c r="U4462">
        <v>-1.6269530000000001</v>
      </c>
      <c r="V4462">
        <v>0.38711709999999999</v>
      </c>
      <c r="W4462">
        <v>0.1352448</v>
      </c>
      <c r="X4462">
        <v>0.91205760000000002</v>
      </c>
      <c r="Y4462">
        <v>0.40145320000000001</v>
      </c>
      <c r="Z4462">
        <v>-6.4173590000000001E-3</v>
      </c>
      <c r="AA4462">
        <v>0.91585709999999998</v>
      </c>
      <c r="AB4462">
        <v>37</v>
      </c>
      <c r="AC4462">
        <v>9.3912000000000209</v>
      </c>
      <c r="AD4462">
        <v>-1.153089</v>
      </c>
      <c r="AE4462">
        <v>-5.9711499999999997</v>
      </c>
      <c r="AF4462">
        <v>4.5057061668419003</v>
      </c>
      <c r="AG4462">
        <v>-1.153089</v>
      </c>
      <c r="AH4462">
        <v>10.0464357636539</v>
      </c>
      <c r="AI4462">
        <v>95.978553905615101</v>
      </c>
      <c r="AJ4462">
        <v>65.844336674976702</v>
      </c>
      <c r="AK4462">
        <v>11.070766633664601</v>
      </c>
      <c r="AL4462">
        <v>82.227223774814902</v>
      </c>
      <c r="AM4462">
        <v>67.001510784137494</v>
      </c>
      <c r="AN4462">
        <v>0.99999993537860299</v>
      </c>
    </row>
    <row r="4463" spans="1:40" x14ac:dyDescent="0.25">
      <c r="A4463" t="str">
        <f>"20190312164358488"</f>
        <v>20190312164358488</v>
      </c>
      <c r="B4463" t="str">
        <f>"1552380238479056"</f>
        <v>1552380238479056</v>
      </c>
      <c r="C4463" t="s">
        <v>40</v>
      </c>
      <c r="D4463">
        <v>4.9629760000000003</v>
      </c>
      <c r="E4463">
        <v>0.52066170000000001</v>
      </c>
      <c r="F4463" t="s">
        <v>43</v>
      </c>
      <c r="G4463">
        <v>-311.80070000000001</v>
      </c>
      <c r="H4463">
        <v>-0.05</v>
      </c>
      <c r="I4463">
        <v>10.117900000000001</v>
      </c>
      <c r="J4463">
        <v>-321.2303</v>
      </c>
      <c r="K4463">
        <v>1.102962</v>
      </c>
      <c r="L4463">
        <v>16.193629999999999</v>
      </c>
      <c r="M4463">
        <v>0.98879899999999998</v>
      </c>
      <c r="N4463">
        <v>0</v>
      </c>
      <c r="O4463">
        <v>-0.14857290000000001</v>
      </c>
      <c r="P4463">
        <v>0.84496559999999898</v>
      </c>
      <c r="Q4463">
        <v>0.12955510000000001</v>
      </c>
      <c r="R4463">
        <v>-0.51889160000000001</v>
      </c>
      <c r="S4463">
        <v>2.5890499999999999</v>
      </c>
      <c r="T4463">
        <v>-0.31008429999999998</v>
      </c>
      <c r="U4463">
        <v>-1.6424559999999999</v>
      </c>
      <c r="V4463">
        <v>0.38994879999999998</v>
      </c>
      <c r="W4463">
        <v>0.13592170000000001</v>
      </c>
      <c r="X4463">
        <v>0.91074980000000005</v>
      </c>
      <c r="Y4463">
        <v>0.40299649999999998</v>
      </c>
      <c r="Z4463">
        <v>-6.0029910000000001E-3</v>
      </c>
      <c r="AA4463">
        <v>0.91518189999999999</v>
      </c>
      <c r="AB4463">
        <v>37</v>
      </c>
      <c r="AC4463">
        <v>9.42959999999999</v>
      </c>
      <c r="AD4463">
        <v>-1.152962</v>
      </c>
      <c r="AE4463">
        <v>-6.0757299999999903</v>
      </c>
      <c r="AF4463">
        <v>4.5589970648337301</v>
      </c>
      <c r="AG4463">
        <v>-1.152962</v>
      </c>
      <c r="AH4463">
        <v>10.120785465518701</v>
      </c>
      <c r="AI4463">
        <v>95.929959229078193</v>
      </c>
      <c r="AJ4463">
        <v>65.750397002801407</v>
      </c>
      <c r="AK4463">
        <v>11.1599316328399</v>
      </c>
      <c r="AL4463">
        <v>82.188079195106496</v>
      </c>
      <c r="AM4463">
        <v>66.821212540901101</v>
      </c>
      <c r="AN4463">
        <v>0.99999998667618495</v>
      </c>
    </row>
    <row r="4464" spans="1:40" x14ac:dyDescent="0.25">
      <c r="A4464" t="str">
        <f>"20190312164358505"</f>
        <v>20190312164358505</v>
      </c>
      <c r="B4464" t="str">
        <f>"1552380238499552"</f>
        <v>1552380238499552</v>
      </c>
      <c r="C4464" t="s">
        <v>40</v>
      </c>
      <c r="D4464">
        <v>5.0403739999999999</v>
      </c>
      <c r="E4464">
        <v>0.52118679999999995</v>
      </c>
      <c r="F4464" t="s">
        <v>43</v>
      </c>
      <c r="G4464">
        <v>-311.47989999999999</v>
      </c>
      <c r="H4464">
        <v>-0.05</v>
      </c>
      <c r="I4464">
        <v>9.9144740000000002</v>
      </c>
      <c r="J4464">
        <v>-320.94729999999998</v>
      </c>
      <c r="K4464">
        <v>1.1027149999999999</v>
      </c>
      <c r="L4464">
        <v>16.146729999999899</v>
      </c>
      <c r="M4464">
        <v>0.98778770000000005</v>
      </c>
      <c r="N4464">
        <v>0</v>
      </c>
      <c r="O4464">
        <v>-0.15519279999999999</v>
      </c>
      <c r="P4464">
        <v>0.83784150000000002</v>
      </c>
      <c r="Q4464">
        <v>0.130967</v>
      </c>
      <c r="R4464">
        <v>-0.52997150000000004</v>
      </c>
      <c r="S4464">
        <v>2.577728</v>
      </c>
      <c r="T4464">
        <v>-0.30481079999999999</v>
      </c>
      <c r="U4464">
        <v>-1.660034</v>
      </c>
      <c r="V4464">
        <v>0.3959338</v>
      </c>
      <c r="W4464">
        <v>0.136688</v>
      </c>
      <c r="X4464">
        <v>0.90804890000000005</v>
      </c>
      <c r="Y4464">
        <v>0.40318300000000001</v>
      </c>
      <c r="Z4464">
        <v>-5.234041E-3</v>
      </c>
      <c r="AA4464">
        <v>0.91510440000000004</v>
      </c>
      <c r="AB4464">
        <v>37</v>
      </c>
      <c r="AC4464">
        <v>9.4673999999999907</v>
      </c>
      <c r="AD4464">
        <v>-1.1527149999999999</v>
      </c>
      <c r="AE4464">
        <v>-6.2322559999999898</v>
      </c>
      <c r="AF4464">
        <v>4.6393371735102402</v>
      </c>
      <c r="AG4464">
        <v>-1.1527149999999999</v>
      </c>
      <c r="AH4464">
        <v>10.214322872056099</v>
      </c>
      <c r="AI4464">
        <v>95.866599600855807</v>
      </c>
      <c r="AJ4464">
        <v>65.572489693479596</v>
      </c>
      <c r="AK4464">
        <v>11.2776146864196</v>
      </c>
      <c r="AL4464">
        <v>82.143759860365407</v>
      </c>
      <c r="AM4464">
        <v>66.441500442153298</v>
      </c>
      <c r="AN4464">
        <v>0.999999994058825</v>
      </c>
    </row>
    <row r="4465" spans="1:40" x14ac:dyDescent="0.25">
      <c r="A4465" t="str">
        <f>"20190312164358529"</f>
        <v>20190312164358529</v>
      </c>
      <c r="B4465" t="str">
        <f>"1552380238519072"</f>
        <v>1552380238519072</v>
      </c>
      <c r="C4465" t="s">
        <v>40</v>
      </c>
      <c r="D4465">
        <v>4.9817359999999997</v>
      </c>
      <c r="E4465">
        <v>0.56268119999999999</v>
      </c>
      <c r="F4465" t="s">
        <v>43</v>
      </c>
      <c r="G4465">
        <v>-311.10980000000001</v>
      </c>
      <c r="H4465">
        <v>-0.05</v>
      </c>
      <c r="I4465">
        <v>9.6029210000000003</v>
      </c>
      <c r="J4465">
        <v>-320.5609</v>
      </c>
      <c r="K4465">
        <v>1.102082</v>
      </c>
      <c r="L4465">
        <v>16.079740000000001</v>
      </c>
      <c r="M4465">
        <v>0.98636179999999996</v>
      </c>
      <c r="N4465">
        <v>0</v>
      </c>
      <c r="O4465">
        <v>-0.1640441</v>
      </c>
      <c r="P4465">
        <v>0.82917929999999995</v>
      </c>
      <c r="Q4465">
        <v>0.13312009999999999</v>
      </c>
      <c r="R4465">
        <v>-0.54290019999999894</v>
      </c>
      <c r="S4465">
        <v>2.5531619999999999</v>
      </c>
      <c r="T4465">
        <v>-0.29916659999999901</v>
      </c>
      <c r="U4465">
        <v>-1.698334</v>
      </c>
      <c r="V4465">
        <v>0.40210190000000001</v>
      </c>
      <c r="W4465">
        <v>0.13793820000000001</v>
      </c>
      <c r="X4465">
        <v>0.90514479999999997</v>
      </c>
      <c r="Y4465">
        <v>0.40860869999999999</v>
      </c>
      <c r="Z4465">
        <v>-4.5437070000000001E-3</v>
      </c>
      <c r="AA4465">
        <v>0.91269840000000002</v>
      </c>
      <c r="AB4465">
        <v>38</v>
      </c>
      <c r="AC4465">
        <v>9.4510999999999896</v>
      </c>
      <c r="AD4465">
        <v>-1.1520820000000001</v>
      </c>
      <c r="AE4465">
        <v>-6.4768189999999999</v>
      </c>
      <c r="AF4465">
        <v>4.7900924647119796</v>
      </c>
      <c r="AG4465">
        <v>-1.1520820000000001</v>
      </c>
      <c r="AH4465">
        <v>10.2816646791065</v>
      </c>
      <c r="AI4465">
        <v>95.799645502319294</v>
      </c>
      <c r="AJ4465">
        <v>65.019806999579899</v>
      </c>
      <c r="AK4465">
        <v>11.4010923743649</v>
      </c>
      <c r="AL4465">
        <v>82.071443693622996</v>
      </c>
      <c r="AM4465">
        <v>66.047273622812895</v>
      </c>
      <c r="AN4465">
        <v>0.99999999698494402</v>
      </c>
    </row>
    <row r="4466" spans="1:40" x14ac:dyDescent="0.25">
      <c r="A4466" t="str">
        <f>"20190312164358550"</f>
        <v>20190312164358550</v>
      </c>
      <c r="B4466" t="str">
        <f>"1552380238539098"</f>
        <v>1552380238539098</v>
      </c>
      <c r="C4466" t="s">
        <v>40</v>
      </c>
      <c r="D4466">
        <v>5.0791979999999999</v>
      </c>
      <c r="E4466">
        <v>0.56575109999999995</v>
      </c>
      <c r="F4466" t="s">
        <v>43</v>
      </c>
      <c r="G4466">
        <v>-311.36239999999998</v>
      </c>
      <c r="H4466">
        <v>-0.05</v>
      </c>
      <c r="I4466">
        <v>8.1606450000000006</v>
      </c>
      <c r="J4466">
        <v>-320.19459999999998</v>
      </c>
      <c r="K4466">
        <v>1.101313</v>
      </c>
      <c r="L4466">
        <v>16.013210000000001</v>
      </c>
      <c r="M4466">
        <v>0.98497869999999998</v>
      </c>
      <c r="N4466">
        <v>0</v>
      </c>
      <c r="O4466">
        <v>-0.17213539999999999</v>
      </c>
      <c r="P4466">
        <v>0.82111299999999898</v>
      </c>
      <c r="Q4466">
        <v>0.13399990000000001</v>
      </c>
      <c r="R4466">
        <v>-0.55481269999999905</v>
      </c>
      <c r="S4466">
        <v>2.3439640000000002</v>
      </c>
      <c r="T4466">
        <v>-0.29357369999999999</v>
      </c>
      <c r="U4466">
        <v>-2.017944</v>
      </c>
      <c r="V4466">
        <v>0.40795619999999999</v>
      </c>
      <c r="W4466">
        <v>0.13838449999999999</v>
      </c>
      <c r="X4466">
        <v>0.90245299999999995</v>
      </c>
      <c r="Y4466">
        <v>0.51075599999999999</v>
      </c>
      <c r="Z4466">
        <v>-9.3211349999999995E-3</v>
      </c>
      <c r="AA4466">
        <v>0.85967519999999997</v>
      </c>
      <c r="AB4466">
        <v>38</v>
      </c>
      <c r="AC4466">
        <v>8.8322000000000003</v>
      </c>
      <c r="AD4466">
        <v>-1.151313</v>
      </c>
      <c r="AE4466">
        <v>-7.8525649999999896</v>
      </c>
      <c r="AF4466">
        <v>6.1564275028247497</v>
      </c>
      <c r="AG4466">
        <v>-1.151313</v>
      </c>
      <c r="AH4466">
        <v>9.9576683068041998</v>
      </c>
      <c r="AI4466">
        <v>95.616575202001897</v>
      </c>
      <c r="AJ4466">
        <v>58.273158296371498</v>
      </c>
      <c r="AK4466">
        <v>11.7635997606956</v>
      </c>
      <c r="AL4466">
        <v>82.045624795232399</v>
      </c>
      <c r="AM4466">
        <v>65.674530482205697</v>
      </c>
      <c r="AN4466">
        <v>0.999999974083844</v>
      </c>
    </row>
    <row r="4467" spans="1:40" x14ac:dyDescent="0.25">
      <c r="A4467" t="str">
        <f>"20190312164358564"</f>
        <v>20190312164358564</v>
      </c>
      <c r="B4467" t="str">
        <f>"1552380238559595"</f>
        <v>1552380238559595</v>
      </c>
      <c r="C4467" t="s">
        <v>40</v>
      </c>
      <c r="D4467">
        <v>5.0376200000000004</v>
      </c>
      <c r="E4467">
        <v>0.56890299999999905</v>
      </c>
      <c r="F4467" t="s">
        <v>43</v>
      </c>
      <c r="G4467">
        <v>-312.45859999999999</v>
      </c>
      <c r="H4467">
        <v>-0.05</v>
      </c>
      <c r="I4467">
        <v>9.0809169999999995</v>
      </c>
      <c r="J4467">
        <v>-319.96910000000003</v>
      </c>
      <c r="K4467">
        <v>1.1007420000000001</v>
      </c>
      <c r="L4467">
        <v>15.97086</v>
      </c>
      <c r="M4467">
        <v>0.9840932</v>
      </c>
      <c r="N4467">
        <v>0</v>
      </c>
      <c r="O4467">
        <v>-0.1771006</v>
      </c>
      <c r="P4467">
        <v>0.81676559999999998</v>
      </c>
      <c r="Q4467">
        <v>0.13422049999999999</v>
      </c>
      <c r="R4467">
        <v>-0.56114039999999998</v>
      </c>
      <c r="S4467">
        <v>2.310638</v>
      </c>
      <c r="T4467">
        <v>-0.34388210000000002</v>
      </c>
      <c r="U4467">
        <v>-2.0705870000000002</v>
      </c>
      <c r="V4467">
        <v>0.4105106</v>
      </c>
      <c r="W4467">
        <v>0.13851440000000001</v>
      </c>
      <c r="X4467">
        <v>0.90127400000000002</v>
      </c>
      <c r="Y4467">
        <v>0.52285729999999997</v>
      </c>
      <c r="Z4467">
        <v>-1.1129979999999999E-2</v>
      </c>
      <c r="AA4467">
        <v>0.85234759999999998</v>
      </c>
      <c r="AB4467">
        <v>38</v>
      </c>
      <c r="AC4467">
        <v>7.5105000000000297</v>
      </c>
      <c r="AD4467">
        <v>-1.1507419999999999</v>
      </c>
      <c r="AE4467">
        <v>-6.8899429999999997</v>
      </c>
      <c r="AF4467">
        <v>5.3821564799167199</v>
      </c>
      <c r="AG4467">
        <v>-1.1507419999999999</v>
      </c>
      <c r="AH4467">
        <v>8.5036872167585802</v>
      </c>
      <c r="AI4467">
        <v>96.523129233197807</v>
      </c>
      <c r="AJ4467">
        <v>57.669448831192597</v>
      </c>
      <c r="AK4467">
        <v>10.129388520800999</v>
      </c>
      <c r="AL4467">
        <v>82.038109966114007</v>
      </c>
      <c r="AM4467">
        <v>65.511772618309806</v>
      </c>
      <c r="AN4467">
        <v>1.0000000073978501</v>
      </c>
    </row>
    <row r="4468" spans="1:40" x14ac:dyDescent="0.25">
      <c r="A4468" t="str">
        <f>"20190312164358575"</f>
        <v>20190312164358575</v>
      </c>
      <c r="B4468" t="str">
        <f>"1552380238569354"</f>
        <v>1552380238569354</v>
      </c>
      <c r="C4468" t="s">
        <v>40</v>
      </c>
      <c r="D4468">
        <v>5.2236549999999999</v>
      </c>
      <c r="E4468">
        <v>0.56975669999999901</v>
      </c>
      <c r="F4468" t="s">
        <v>43</v>
      </c>
      <c r="G4468">
        <v>-312.42770000000002</v>
      </c>
      <c r="H4468">
        <v>-0.05</v>
      </c>
      <c r="I4468">
        <v>8.9960020000000007</v>
      </c>
      <c r="J4468">
        <v>-319.77600000000001</v>
      </c>
      <c r="K4468">
        <v>1.100158</v>
      </c>
      <c r="L4468">
        <v>15.933439999999999</v>
      </c>
      <c r="M4468">
        <v>0.98331950000000001</v>
      </c>
      <c r="N4468">
        <v>0</v>
      </c>
      <c r="O4468">
        <v>-0.1813128</v>
      </c>
      <c r="P4468">
        <v>0.81292089999999995</v>
      </c>
      <c r="Q4468">
        <v>0.13394329999999999</v>
      </c>
      <c r="R4468">
        <v>-0.56676210000000005</v>
      </c>
      <c r="S4468">
        <v>2.2808839999999999</v>
      </c>
      <c r="T4468">
        <v>-0.34803919999999999</v>
      </c>
      <c r="U4468">
        <v>-2.1095280000000001</v>
      </c>
      <c r="V4468">
        <v>0.41296919999999998</v>
      </c>
      <c r="W4468">
        <v>0.1382669</v>
      </c>
      <c r="X4468">
        <v>0.90018809999999905</v>
      </c>
      <c r="Y4468">
        <v>0.53248949999999995</v>
      </c>
      <c r="Z4468">
        <v>-1.142759E-2</v>
      </c>
      <c r="AA4468">
        <v>0.84635939999999998</v>
      </c>
      <c r="AB4468">
        <v>37</v>
      </c>
      <c r="AC4468">
        <v>7.3482999999999903</v>
      </c>
      <c r="AD4468">
        <v>-1.150158</v>
      </c>
      <c r="AE4468">
        <v>-6.9374379999999896</v>
      </c>
      <c r="AF4468">
        <v>5.4197457653844001</v>
      </c>
      <c r="AG4468">
        <v>-1.150158</v>
      </c>
      <c r="AH4468">
        <v>8.3759608733538293</v>
      </c>
      <c r="AI4468">
        <v>96.576415652239902</v>
      </c>
      <c r="AJ4468">
        <v>57.094726330150799</v>
      </c>
      <c r="AK4468">
        <v>10.042570793293899</v>
      </c>
      <c r="AL4468">
        <v>82.052428033454206</v>
      </c>
      <c r="AM4468">
        <v>65.356293627497806</v>
      </c>
      <c r="AN4468">
        <v>0.99999995558292898</v>
      </c>
    </row>
    <row r="4469" spans="1:40" x14ac:dyDescent="0.25">
      <c r="A4469" t="str">
        <f>"20190312164358586"</f>
        <v>20190312164358586</v>
      </c>
      <c r="B4469" t="str">
        <f>"1552380238579114"</f>
        <v>1552380238579114</v>
      </c>
      <c r="C4469" t="s">
        <v>40</v>
      </c>
      <c r="D4469">
        <v>5.0298999999999996</v>
      </c>
      <c r="E4469">
        <v>0.56944799999999995</v>
      </c>
      <c r="F4469" t="s">
        <v>43</v>
      </c>
      <c r="G4469">
        <v>-312.39389999999997</v>
      </c>
      <c r="H4469">
        <v>-0.05</v>
      </c>
      <c r="I4469">
        <v>8.9801330000000004</v>
      </c>
      <c r="J4469">
        <v>-319.58190000000002</v>
      </c>
      <c r="K4469">
        <v>1.099499</v>
      </c>
      <c r="L4469">
        <v>15.89499</v>
      </c>
      <c r="M4469">
        <v>0.98253500000000005</v>
      </c>
      <c r="N4469">
        <v>0</v>
      </c>
      <c r="O4469">
        <v>-0.18547359999999999</v>
      </c>
      <c r="P4469">
        <v>0.80910170000000003</v>
      </c>
      <c r="Q4469">
        <v>0.13383149999999999</v>
      </c>
      <c r="R4469">
        <v>-0.57222729999999999</v>
      </c>
      <c r="S4469">
        <v>2.2626040000000001</v>
      </c>
      <c r="T4469">
        <v>-0.3525238</v>
      </c>
      <c r="U4469">
        <v>-2.131195</v>
      </c>
      <c r="V4469">
        <v>0.4153365</v>
      </c>
      <c r="W4469">
        <v>0.13826739999999901</v>
      </c>
      <c r="X4469">
        <v>0.89909830000000002</v>
      </c>
      <c r="Y4469">
        <v>0.53655439999999999</v>
      </c>
      <c r="Z4469">
        <v>-1.136237E-2</v>
      </c>
      <c r="AA4469">
        <v>0.84378920000000002</v>
      </c>
      <c r="AB4469">
        <v>37</v>
      </c>
      <c r="AC4469">
        <v>7.1880000000000397</v>
      </c>
      <c r="AD4469">
        <v>-1.149499</v>
      </c>
      <c r="AE4469">
        <v>-6.9148569999999996</v>
      </c>
      <c r="AF4469">
        <v>5.3899278091040896</v>
      </c>
      <c r="AG4469">
        <v>-1.149499</v>
      </c>
      <c r="AH4469">
        <v>8.2365227906469904</v>
      </c>
      <c r="AI4469">
        <v>96.660785644045703</v>
      </c>
      <c r="AJ4469">
        <v>56.799521107880402</v>
      </c>
      <c r="AK4469">
        <v>9.9102460826763501</v>
      </c>
      <c r="AL4469">
        <v>82.052399603794996</v>
      </c>
      <c r="AM4469">
        <v>65.2055267537378</v>
      </c>
      <c r="AN4469">
        <v>1.0000000175989401</v>
      </c>
    </row>
    <row r="4470" spans="1:40" x14ac:dyDescent="0.25">
      <c r="A4470" t="str">
        <f>"20190312164358597"</f>
        <v>20190312164358597</v>
      </c>
      <c r="B4470" t="str">
        <f>"1552380238589851"</f>
        <v>1552380238589851</v>
      </c>
      <c r="C4470" t="s">
        <v>40</v>
      </c>
      <c r="D4470">
        <v>4.9410309999999997</v>
      </c>
      <c r="E4470">
        <v>0.56984349999999995</v>
      </c>
      <c r="F4470" t="s">
        <v>43</v>
      </c>
      <c r="G4470">
        <v>-312.358</v>
      </c>
      <c r="H4470">
        <v>-0.05</v>
      </c>
      <c r="I4470">
        <v>9.0079349999999998</v>
      </c>
      <c r="J4470">
        <v>-319.39859999999999</v>
      </c>
      <c r="K4470">
        <v>1.0988209999999901</v>
      </c>
      <c r="L4470">
        <v>15.85797</v>
      </c>
      <c r="M4470">
        <v>0.98178670000000001</v>
      </c>
      <c r="N4470">
        <v>0</v>
      </c>
      <c r="O4470">
        <v>-0.1893463</v>
      </c>
      <c r="P4470">
        <v>0.80534439999999996</v>
      </c>
      <c r="Q4470">
        <v>0.13370560000000001</v>
      </c>
      <c r="R4470">
        <v>-0.57753189999999999</v>
      </c>
      <c r="S4470">
        <v>2.25</v>
      </c>
      <c r="T4470">
        <v>-0.3580294</v>
      </c>
      <c r="U4470">
        <v>-2.1450809999999998</v>
      </c>
      <c r="V4470">
        <v>0.4178074</v>
      </c>
      <c r="W4470">
        <v>0.13830419999999999</v>
      </c>
      <c r="X4470">
        <v>0.8979471</v>
      </c>
      <c r="Y4470">
        <v>0.5382595</v>
      </c>
      <c r="Z4470">
        <v>-1.119126E-2</v>
      </c>
      <c r="AA4470">
        <v>0.84270489999999998</v>
      </c>
      <c r="AB4470">
        <v>37</v>
      </c>
      <c r="AC4470">
        <v>7.04059999999998</v>
      </c>
      <c r="AD4470">
        <v>-1.1488210000000001</v>
      </c>
      <c r="AE4470">
        <v>-6.8500350000000001</v>
      </c>
      <c r="AF4470">
        <v>5.3200512240354101</v>
      </c>
      <c r="AG4470">
        <v>-1.1488210000000001</v>
      </c>
      <c r="AH4470">
        <v>8.0996102988487593</v>
      </c>
      <c r="AI4470">
        <v>96.760901148400094</v>
      </c>
      <c r="AJ4470">
        <v>56.701968257181903</v>
      </c>
      <c r="AK4470">
        <v>9.7584026207990906</v>
      </c>
      <c r="AL4470">
        <v>82.050270802832699</v>
      </c>
      <c r="AM4470">
        <v>65.047828497736703</v>
      </c>
      <c r="AN4470">
        <v>1.0000000348153999</v>
      </c>
    </row>
    <row r="4471" spans="1:40" x14ac:dyDescent="0.25">
      <c r="A4471" t="str">
        <f>"20190312164358609"</f>
        <v>20190312164358609</v>
      </c>
      <c r="B4471" t="str">
        <f>"1552380238599610"</f>
        <v>1552380238599610</v>
      </c>
      <c r="C4471" t="s">
        <v>40</v>
      </c>
      <c r="D4471">
        <v>5.0616180000000002</v>
      </c>
      <c r="E4471">
        <v>0.56901139999999995</v>
      </c>
      <c r="F4471" t="s">
        <v>43</v>
      </c>
      <c r="G4471">
        <v>-312.0926</v>
      </c>
      <c r="H4471">
        <v>-0.05</v>
      </c>
      <c r="I4471">
        <v>8.7769009999999898</v>
      </c>
      <c r="J4471">
        <v>-319.2167</v>
      </c>
      <c r="K4471">
        <v>1.098071</v>
      </c>
      <c r="L4471">
        <v>15.82001</v>
      </c>
      <c r="M4471">
        <v>0.98103649999999998</v>
      </c>
      <c r="N4471">
        <v>0</v>
      </c>
      <c r="O4471">
        <v>-0.19314129999999999</v>
      </c>
      <c r="P4471">
        <v>0.80159380000000002</v>
      </c>
      <c r="Q4471">
        <v>0.13330069999999999</v>
      </c>
      <c r="R4471">
        <v>-0.58281949999999905</v>
      </c>
      <c r="S4471">
        <v>2.2320250000000001</v>
      </c>
      <c r="T4471">
        <v>-0.3509698</v>
      </c>
      <c r="U4471">
        <v>-2.1633</v>
      </c>
      <c r="V4471">
        <v>0.42033389999999998</v>
      </c>
      <c r="W4471">
        <v>0.13813699999999901</v>
      </c>
      <c r="X4471">
        <v>0.8967929</v>
      </c>
      <c r="Y4471">
        <v>0.54201440000000001</v>
      </c>
      <c r="Z4471">
        <v>-1.078868E-2</v>
      </c>
      <c r="AA4471">
        <v>0.84030000000000005</v>
      </c>
      <c r="AB4471">
        <v>37</v>
      </c>
      <c r="AC4471">
        <v>7.1240999999999897</v>
      </c>
      <c r="AD4471">
        <v>-1.1480709999999901</v>
      </c>
      <c r="AE4471">
        <v>-7.0431090000000003</v>
      </c>
      <c r="AF4471">
        <v>5.4625757233961103</v>
      </c>
      <c r="AG4471">
        <v>-1.1480709999999901</v>
      </c>
      <c r="AH4471">
        <v>8.2421693683841397</v>
      </c>
      <c r="AI4471">
        <v>96.622797260292401</v>
      </c>
      <c r="AJ4471">
        <v>56.465196535696897</v>
      </c>
      <c r="AK4471">
        <v>9.9544541011552994</v>
      </c>
      <c r="AL4471">
        <v>82.059942917655405</v>
      </c>
      <c r="AM4471">
        <v>64.8871436480607</v>
      </c>
      <c r="AN4471">
        <v>0.99999996187430895</v>
      </c>
    </row>
    <row r="4472" spans="1:40" x14ac:dyDescent="0.25">
      <c r="A4472" t="str">
        <f>"20190312164358621"</f>
        <v>20190312164358621</v>
      </c>
      <c r="B4472" t="str">
        <f>"1552380238609369"</f>
        <v>1552380238609369</v>
      </c>
      <c r="C4472" t="s">
        <v>40</v>
      </c>
      <c r="D4472">
        <v>4.9632079999999998</v>
      </c>
      <c r="E4472">
        <v>0.56899519999999904</v>
      </c>
      <c r="F4472" t="s">
        <v>43</v>
      </c>
      <c r="G4472">
        <v>-311.89019999999999</v>
      </c>
      <c r="H4472">
        <v>-0.05</v>
      </c>
      <c r="I4472">
        <v>8.6520390000000003</v>
      </c>
      <c r="J4472">
        <v>-319.02789999999999</v>
      </c>
      <c r="K4472">
        <v>1.097269</v>
      </c>
      <c r="L4472">
        <v>15.780239999999999</v>
      </c>
      <c r="M4472">
        <v>0.98024339999999999</v>
      </c>
      <c r="N4472">
        <v>0</v>
      </c>
      <c r="O4472">
        <v>-0.19706589999999999</v>
      </c>
      <c r="P4472">
        <v>0.79793639999999999</v>
      </c>
      <c r="Q4472">
        <v>0.13314229999999999</v>
      </c>
      <c r="R4472">
        <v>-0.58785269999999901</v>
      </c>
      <c r="S4472">
        <v>2.2207029999999999</v>
      </c>
      <c r="T4472">
        <v>-0.34798420000000002</v>
      </c>
      <c r="U4472">
        <v>-2.1726380000000001</v>
      </c>
      <c r="V4472">
        <v>0.42249500000000001</v>
      </c>
      <c r="W4472">
        <v>0.138257399999999</v>
      </c>
      <c r="X4472">
        <v>0.89575830000000001</v>
      </c>
      <c r="Y4472">
        <v>0.54264880000000004</v>
      </c>
      <c r="Z4472">
        <v>-1.0283209999999999E-2</v>
      </c>
      <c r="AA4472">
        <v>0.83989669999999905</v>
      </c>
      <c r="AB4472">
        <v>37</v>
      </c>
      <c r="AC4472">
        <v>7.1376999999999899</v>
      </c>
      <c r="AD4472">
        <v>-1.1472690000000001</v>
      </c>
      <c r="AE4472">
        <v>-7.12820099999999</v>
      </c>
      <c r="AF4472">
        <v>5.5103032277536403</v>
      </c>
      <c r="AG4472">
        <v>-1.1472690000000001</v>
      </c>
      <c r="AH4472">
        <v>8.2953194984604401</v>
      </c>
      <c r="AI4472">
        <v>96.571655651687905</v>
      </c>
      <c r="AJ4472">
        <v>56.405241909329199</v>
      </c>
      <c r="AK4472">
        <v>10.024569487099701</v>
      </c>
      <c r="AL4472">
        <v>82.052978239819694</v>
      </c>
      <c r="AM4472">
        <v>64.748537089937301</v>
      </c>
      <c r="AN4472">
        <v>1.0000000328493199</v>
      </c>
    </row>
    <row r="4473" spans="1:40" x14ac:dyDescent="0.25">
      <c r="A4473" t="str">
        <f>"20190312164358632"</f>
        <v>20190312164358632</v>
      </c>
      <c r="B4473" t="str">
        <f>"1552380238629397"</f>
        <v>1552380238629397</v>
      </c>
      <c r="C4473" t="s">
        <v>40</v>
      </c>
      <c r="D4473">
        <v>5.1951780000000003</v>
      </c>
      <c r="E4473">
        <v>0.56959989999999905</v>
      </c>
      <c r="F4473" t="s">
        <v>43</v>
      </c>
      <c r="G4473">
        <v>-311.67869999999999</v>
      </c>
      <c r="H4473">
        <v>-0.05</v>
      </c>
      <c r="I4473">
        <v>8.4938509999999994</v>
      </c>
      <c r="J4473">
        <v>-318.85050000000001</v>
      </c>
      <c r="K4473">
        <v>1.096454</v>
      </c>
      <c r="L4473">
        <v>15.74127</v>
      </c>
      <c r="M4473">
        <v>0.97947419999999996</v>
      </c>
      <c r="N4473">
        <v>0</v>
      </c>
      <c r="O4473">
        <v>-0.2007912</v>
      </c>
      <c r="P4473">
        <v>0.79456070000000001</v>
      </c>
      <c r="Q4473">
        <v>0.13239239999999999</v>
      </c>
      <c r="R4473">
        <v>-0.59257559999999998</v>
      </c>
      <c r="S4473">
        <v>2.2059329999999999</v>
      </c>
      <c r="T4473">
        <v>-0.34436739999999999</v>
      </c>
      <c r="U4473">
        <v>-2.187103</v>
      </c>
      <c r="V4473">
        <v>0.42445630000000001</v>
      </c>
      <c r="W4473">
        <v>0.13785549999999999</v>
      </c>
      <c r="X4473">
        <v>0.89489259999999904</v>
      </c>
      <c r="Y4473">
        <v>0.54508809999999996</v>
      </c>
      <c r="Z4473">
        <v>-9.9123309999999999E-3</v>
      </c>
      <c r="AA4473">
        <v>0.83832009999999901</v>
      </c>
      <c r="AB4473">
        <v>37</v>
      </c>
      <c r="AC4473">
        <v>7.1718000000000099</v>
      </c>
      <c r="AD4473">
        <v>-1.1464540000000001</v>
      </c>
      <c r="AE4473">
        <v>-7.2474189999999998</v>
      </c>
      <c r="AF4473">
        <v>5.5888524191630102</v>
      </c>
      <c r="AG4473">
        <v>-1.1464540000000001</v>
      </c>
      <c r="AH4473">
        <v>8.3752514696717508</v>
      </c>
      <c r="AI4473">
        <v>96.495858069455906</v>
      </c>
      <c r="AJ4473">
        <v>56.284594816623098</v>
      </c>
      <c r="AK4473">
        <v>10.1338277722457</v>
      </c>
      <c r="AL4473">
        <v>82.076228002159397</v>
      </c>
      <c r="AM4473">
        <v>64.6245577125637</v>
      </c>
      <c r="AN4473">
        <v>1.00000002751234</v>
      </c>
    </row>
    <row r="4474" spans="1:40" x14ac:dyDescent="0.25">
      <c r="A4474" t="str">
        <f>"20190312164358644"</f>
        <v>20190312164358644</v>
      </c>
      <c r="B4474" t="str">
        <f>"1552380238639157"</f>
        <v>1552380238639157</v>
      </c>
      <c r="C4474" t="s">
        <v>40</v>
      </c>
      <c r="D4474">
        <v>4.8811739999999997</v>
      </c>
      <c r="E4474">
        <v>0.56920979999999999</v>
      </c>
      <c r="F4474" t="s">
        <v>43</v>
      </c>
      <c r="G4474">
        <v>-311.6395</v>
      </c>
      <c r="H4474">
        <v>-0.05</v>
      </c>
      <c r="I4474">
        <v>8.4816590000000005</v>
      </c>
      <c r="J4474">
        <v>-318.65219999999999</v>
      </c>
      <c r="K4474">
        <v>1.0955549999999901</v>
      </c>
      <c r="L4474">
        <v>15.697329999999999</v>
      </c>
      <c r="M4474">
        <v>0.97855820000000004</v>
      </c>
      <c r="N4474">
        <v>0</v>
      </c>
      <c r="O4474">
        <v>-0.20514009999999999</v>
      </c>
      <c r="P4474">
        <v>0.79101319999999997</v>
      </c>
      <c r="Q4474">
        <v>0.13204099999999999</v>
      </c>
      <c r="R4474">
        <v>-0.59738069999999999</v>
      </c>
      <c r="S4474">
        <v>2.1896360000000001</v>
      </c>
      <c r="T4474">
        <v>-0.3481243</v>
      </c>
      <c r="U4474">
        <v>-2.2044069999999998</v>
      </c>
      <c r="V4474">
        <v>0.42597810000000003</v>
      </c>
      <c r="W4474">
        <v>0.1379292</v>
      </c>
      <c r="X4474">
        <v>0.8941578</v>
      </c>
      <c r="Y4474">
        <v>0.54773519999999998</v>
      </c>
      <c r="Z4474">
        <v>-9.6894689999999992E-3</v>
      </c>
      <c r="AA4474">
        <v>0.83659570000000005</v>
      </c>
      <c r="AB4474">
        <v>37</v>
      </c>
      <c r="AC4474">
        <v>7.0126999999999899</v>
      </c>
      <c r="AD4474">
        <v>-1.1455550000000001</v>
      </c>
      <c r="AE4474">
        <v>-7.2156709999999897</v>
      </c>
      <c r="AF4474">
        <v>5.5513725750376803</v>
      </c>
      <c r="AG4474">
        <v>-1.1455550000000001</v>
      </c>
      <c r="AH4474">
        <v>8.2372143574441097</v>
      </c>
      <c r="AI4474">
        <v>96.578591142942301</v>
      </c>
      <c r="AJ4474">
        <v>56.022468802697702</v>
      </c>
      <c r="AK4474">
        <v>9.9990866630602309</v>
      </c>
      <c r="AL4474">
        <v>82.071964265251196</v>
      </c>
      <c r="AM4474">
        <v>64.526800761299995</v>
      </c>
      <c r="AN4474">
        <v>0.99999998859654504</v>
      </c>
    </row>
    <row r="4475" spans="1:40" x14ac:dyDescent="0.25">
      <c r="A4475" t="str">
        <f>"20190312164358660"</f>
        <v>20190312164358660</v>
      </c>
      <c r="B4475" t="str">
        <f>"1552380238649893"</f>
        <v>1552380238649893</v>
      </c>
      <c r="C4475" t="s">
        <v>40</v>
      </c>
      <c r="D4475">
        <v>4.9509569999999998</v>
      </c>
      <c r="E4475">
        <v>0.56895249999999997</v>
      </c>
      <c r="F4475" t="s">
        <v>43</v>
      </c>
      <c r="G4475">
        <v>-311.43849999999998</v>
      </c>
      <c r="H4475">
        <v>-0.05</v>
      </c>
      <c r="I4475">
        <v>8.3539890000000003</v>
      </c>
      <c r="J4475">
        <v>-318.37540000000001</v>
      </c>
      <c r="K4475">
        <v>1.0943419999999999</v>
      </c>
      <c r="L4475">
        <v>15.63416</v>
      </c>
      <c r="M4475">
        <v>0.97706280000000001</v>
      </c>
      <c r="N4475">
        <v>0</v>
      </c>
      <c r="O4475">
        <v>-0.21205779999999999</v>
      </c>
      <c r="P4475">
        <v>0.78454069999999998</v>
      </c>
      <c r="Q4475">
        <v>0.13023669999999901</v>
      </c>
      <c r="R4475">
        <v>-0.60624609999999901</v>
      </c>
      <c r="S4475">
        <v>2.1768190000000001</v>
      </c>
      <c r="T4475">
        <v>-0.34568539999999998</v>
      </c>
      <c r="U4475">
        <v>-2.2159420000000001</v>
      </c>
      <c r="V4475">
        <v>0.4296759</v>
      </c>
      <c r="W4475">
        <v>0.1367612</v>
      </c>
      <c r="X4475">
        <v>0.89256650000000004</v>
      </c>
      <c r="Y4475">
        <v>0.54653090000000004</v>
      </c>
      <c r="Z4475">
        <v>-8.7218880000000006E-3</v>
      </c>
      <c r="AA4475">
        <v>0.83739349999999901</v>
      </c>
      <c r="AB4475">
        <v>37</v>
      </c>
      <c r="AC4475">
        <v>6.9369000000000298</v>
      </c>
      <c r="AD4475">
        <v>-1.144342</v>
      </c>
      <c r="AE4475">
        <v>-7.2801710000000002</v>
      </c>
      <c r="AF4475">
        <v>5.5710868578922197</v>
      </c>
      <c r="AG4475">
        <v>-1.144342</v>
      </c>
      <c r="AH4475">
        <v>8.21677768899462</v>
      </c>
      <c r="AI4475">
        <v>96.575551588487102</v>
      </c>
      <c r="AJ4475">
        <v>55.862196273148498</v>
      </c>
      <c r="AK4475">
        <v>9.9930957656525692</v>
      </c>
      <c r="AL4475">
        <v>82.139525945843502</v>
      </c>
      <c r="AM4475">
        <v>64.294128809622606</v>
      </c>
      <c r="AN4475">
        <v>0.99999998089424902</v>
      </c>
    </row>
    <row r="4476" spans="1:40" x14ac:dyDescent="0.25">
      <c r="A4476" t="str">
        <f>"20190312164358672"</f>
        <v>20190312164358672</v>
      </c>
      <c r="B4476" t="str">
        <f>"1552380238659653"</f>
        <v>1552380238659653</v>
      </c>
      <c r="C4476" t="s">
        <v>40</v>
      </c>
      <c r="D4476">
        <v>4.9095000000000004</v>
      </c>
      <c r="E4476">
        <v>0.56863999999999904</v>
      </c>
      <c r="F4476" t="s">
        <v>43</v>
      </c>
      <c r="G4476">
        <v>-311.32010000000002</v>
      </c>
      <c r="H4476">
        <v>-0.05</v>
      </c>
      <c r="I4476">
        <v>8.2927400000000002</v>
      </c>
      <c r="J4476">
        <v>-318.19830000000002</v>
      </c>
      <c r="K4476">
        <v>1.0934969999999999</v>
      </c>
      <c r="L4476">
        <v>15.592320000000001</v>
      </c>
      <c r="M4476">
        <v>0.97597469999999997</v>
      </c>
      <c r="N4476">
        <v>0</v>
      </c>
      <c r="O4476">
        <v>-0.21695900000000001</v>
      </c>
      <c r="P4476">
        <v>0.78031549999999905</v>
      </c>
      <c r="Q4476">
        <v>0.12927269999999999</v>
      </c>
      <c r="R4476">
        <v>-0.61187950000000002</v>
      </c>
      <c r="S4476">
        <v>2.1517029999999999</v>
      </c>
      <c r="T4476">
        <v>-0.34899530000000001</v>
      </c>
      <c r="U4476">
        <v>-2.238953</v>
      </c>
      <c r="V4476">
        <v>0.43159720000000001</v>
      </c>
      <c r="W4476">
        <v>0.13618250000000001</v>
      </c>
      <c r="X4476">
        <v>0.89172759999999995</v>
      </c>
      <c r="Y4476">
        <v>0.55145259999999996</v>
      </c>
      <c r="Z4476">
        <v>-8.5731000000000002E-3</v>
      </c>
      <c r="AA4476">
        <v>0.83416209999999902</v>
      </c>
      <c r="AB4476">
        <v>37</v>
      </c>
      <c r="AC4476">
        <v>6.8781999999999899</v>
      </c>
      <c r="AD4476">
        <v>-1.143497</v>
      </c>
      <c r="AE4476">
        <v>-7.2995799999999997</v>
      </c>
      <c r="AF4476">
        <v>5.5607680732593998</v>
      </c>
      <c r="AG4476">
        <v>-1.143497</v>
      </c>
      <c r="AH4476">
        <v>8.1918442499558708</v>
      </c>
      <c r="AI4476">
        <v>96.588122450434597</v>
      </c>
      <c r="AJ4476">
        <v>55.830648827010201</v>
      </c>
      <c r="AK4476">
        <v>9.9667466692559792</v>
      </c>
      <c r="AL4476">
        <v>82.172996034352394</v>
      </c>
      <c r="AM4476">
        <v>64.172963653079506</v>
      </c>
      <c r="AN4476">
        <v>0.99999996447792405</v>
      </c>
    </row>
    <row r="4477" spans="1:40" x14ac:dyDescent="0.25">
      <c r="A4477" t="str">
        <f>"20190312164358683"</f>
        <v>20190312164358683</v>
      </c>
      <c r="B4477" t="str">
        <f>"1552380238679173"</f>
        <v>1552380238679173</v>
      </c>
      <c r="C4477" t="s">
        <v>40</v>
      </c>
      <c r="D4477">
        <v>4.9862989999999998</v>
      </c>
      <c r="E4477">
        <v>0.56825199999999998</v>
      </c>
      <c r="F4477" t="s">
        <v>43</v>
      </c>
      <c r="G4477">
        <v>-311.2002</v>
      </c>
      <c r="H4477">
        <v>-0.05</v>
      </c>
      <c r="I4477">
        <v>8.2134859999999996</v>
      </c>
      <c r="J4477">
        <v>-318.01029999999997</v>
      </c>
      <c r="K4477">
        <v>1.0925560000000001</v>
      </c>
      <c r="L4477">
        <v>15.5475799999999</v>
      </c>
      <c r="M4477">
        <v>0.97478030000000004</v>
      </c>
      <c r="N4477">
        <v>0</v>
      </c>
      <c r="O4477">
        <v>-0.2222095</v>
      </c>
      <c r="P4477">
        <v>0.7758659</v>
      </c>
      <c r="Q4477">
        <v>0.12816</v>
      </c>
      <c r="R4477">
        <v>-0.61774419999999897</v>
      </c>
      <c r="S4477">
        <v>2.1362000000000001</v>
      </c>
      <c r="T4477">
        <v>-0.34905609999999998</v>
      </c>
      <c r="U4477">
        <v>-2.2524109999999999</v>
      </c>
      <c r="V4477">
        <v>0.4334906</v>
      </c>
      <c r="W4477">
        <v>0.13545309999999999</v>
      </c>
      <c r="X4477">
        <v>0.89092000000000005</v>
      </c>
      <c r="Y4477">
        <v>0.55249320000000002</v>
      </c>
      <c r="Z4477">
        <v>-8.0224440000000001E-3</v>
      </c>
      <c r="AA4477">
        <v>0.83347879999999996</v>
      </c>
      <c r="AB4477">
        <v>37</v>
      </c>
      <c r="AC4477">
        <v>6.8100999999999701</v>
      </c>
      <c r="AD4477">
        <v>-1.1425559999999999</v>
      </c>
      <c r="AE4477">
        <v>-7.3340939999999897</v>
      </c>
      <c r="AF4477">
        <v>5.5645423479613099</v>
      </c>
      <c r="AG4477">
        <v>-1.1425559999999999</v>
      </c>
      <c r="AH4477">
        <v>8.1634284452977202</v>
      </c>
      <c r="AI4477">
        <v>96.596863688906694</v>
      </c>
      <c r="AJ4477">
        <v>55.719982703217397</v>
      </c>
      <c r="AK4477">
        <v>9.9454074696257102</v>
      </c>
      <c r="AL4477">
        <v>82.215179074554797</v>
      </c>
      <c r="AM4477">
        <v>64.054061303854695</v>
      </c>
      <c r="AN4477">
        <v>1.0000000444939801</v>
      </c>
    </row>
    <row r="4478" spans="1:40" x14ac:dyDescent="0.25">
      <c r="A4478" t="str">
        <f>"20190312164358706"</f>
        <v>20190312164358706</v>
      </c>
      <c r="B4478" t="str">
        <f>"1552380238699669"</f>
        <v>1552380238699669</v>
      </c>
      <c r="C4478" t="s">
        <v>40</v>
      </c>
      <c r="D4478">
        <v>4.8861739999999996</v>
      </c>
      <c r="E4478">
        <v>0.56761490000000003</v>
      </c>
      <c r="F4478" t="s">
        <v>43</v>
      </c>
      <c r="G4478">
        <v>-311.15359999999998</v>
      </c>
      <c r="H4478">
        <v>-0.05</v>
      </c>
      <c r="I4478">
        <v>8.2245939999999997</v>
      </c>
      <c r="J4478">
        <v>-317.63060000000002</v>
      </c>
      <c r="K4478">
        <v>1.0901529999999999</v>
      </c>
      <c r="L4478">
        <v>15.45355</v>
      </c>
      <c r="M4478">
        <v>0.97219270000000002</v>
      </c>
      <c r="N4478">
        <v>0</v>
      </c>
      <c r="O4478">
        <v>-0.23317099999999999</v>
      </c>
      <c r="P4478">
        <v>0.76683129999999999</v>
      </c>
      <c r="Q4478">
        <v>0.12631999999999999</v>
      </c>
      <c r="R4478">
        <v>-0.62929579999999996</v>
      </c>
      <c r="S4478">
        <v>2.1212460000000002</v>
      </c>
      <c r="T4478">
        <v>-0.35347089999999998</v>
      </c>
      <c r="U4478">
        <v>-2.2655029999999998</v>
      </c>
      <c r="V4478">
        <v>0.43684830000000002</v>
      </c>
      <c r="W4478">
        <v>0.13402430000000001</v>
      </c>
      <c r="X4478">
        <v>0.88949480000000003</v>
      </c>
      <c r="Y4478">
        <v>0.54847999999999997</v>
      </c>
      <c r="Z4478">
        <v>-6.5018350000000001E-3</v>
      </c>
      <c r="AA4478">
        <v>0.83613839999999995</v>
      </c>
      <c r="AB4478">
        <v>37</v>
      </c>
      <c r="AC4478">
        <v>6.4770000000000296</v>
      </c>
      <c r="AD4478">
        <v>-1.140153</v>
      </c>
      <c r="AE4478">
        <v>-7.2289560000000002</v>
      </c>
      <c r="AF4478">
        <v>5.4438766729551604</v>
      </c>
      <c r="AG4478">
        <v>-1.140153</v>
      </c>
      <c r="AH4478">
        <v>7.8756892869644801</v>
      </c>
      <c r="AI4478">
        <v>96.791253051221801</v>
      </c>
      <c r="AJ4478">
        <v>55.346786031509303</v>
      </c>
      <c r="AK4478">
        <v>9.6416919593275505</v>
      </c>
      <c r="AL4478">
        <v>82.2977961235744</v>
      </c>
      <c r="AM4478">
        <v>63.843442082783397</v>
      </c>
      <c r="AN4478">
        <v>0.99999997471520896</v>
      </c>
    </row>
    <row r="4479" spans="1:40" x14ac:dyDescent="0.25">
      <c r="A4479" t="str">
        <f>"20190312164358718"</f>
        <v>20190312164358718</v>
      </c>
      <c r="B4479" t="str">
        <f>"1552380238709430"</f>
        <v>1552380238709430</v>
      </c>
      <c r="C4479" t="s">
        <v>40</v>
      </c>
      <c r="D4479">
        <v>4.8425289999999999</v>
      </c>
      <c r="E4479">
        <v>0.56689899999999904</v>
      </c>
      <c r="F4479" t="s">
        <v>43</v>
      </c>
      <c r="G4479">
        <v>-310.97039999999998</v>
      </c>
      <c r="H4479">
        <v>-0.05</v>
      </c>
      <c r="I4479">
        <v>8.144577</v>
      </c>
      <c r="J4479">
        <v>-317.43720000000002</v>
      </c>
      <c r="K4479">
        <v>1.0887290000000001</v>
      </c>
      <c r="L4479">
        <v>15.40414</v>
      </c>
      <c r="M4479">
        <v>0.97082109999999999</v>
      </c>
      <c r="N4479">
        <v>0</v>
      </c>
      <c r="O4479">
        <v>-0.23877100000000001</v>
      </c>
      <c r="P4479">
        <v>0.76245339999999995</v>
      </c>
      <c r="Q4479">
        <v>0.12539210000000001</v>
      </c>
      <c r="R4479">
        <v>-0.63477680000000003</v>
      </c>
      <c r="S4479">
        <v>2.0894170000000001</v>
      </c>
      <c r="T4479">
        <v>-0.35768870000000003</v>
      </c>
      <c r="U4479">
        <v>-2.2929689999999998</v>
      </c>
      <c r="V4479">
        <v>0.43815389999999999</v>
      </c>
      <c r="W4479">
        <v>0.1331571</v>
      </c>
      <c r="X4479">
        <v>0.88898269999999902</v>
      </c>
      <c r="Y4479">
        <v>0.55490430000000002</v>
      </c>
      <c r="Z4479">
        <v>-6.3598489999999999E-3</v>
      </c>
      <c r="AA4479">
        <v>0.83188989999999996</v>
      </c>
      <c r="AB4479">
        <v>37</v>
      </c>
      <c r="AC4479">
        <v>6.4668000000000303</v>
      </c>
      <c r="AD4479">
        <v>-1.1387290000000001</v>
      </c>
      <c r="AE4479">
        <v>-7.259563</v>
      </c>
      <c r="AF4479">
        <v>5.4305150358651701</v>
      </c>
      <c r="AG4479">
        <v>-1.1387290000000001</v>
      </c>
      <c r="AH4479">
        <v>7.9050151044845398</v>
      </c>
      <c r="AI4479">
        <v>96.771242885338296</v>
      </c>
      <c r="AJ4479">
        <v>55.512068984909</v>
      </c>
      <c r="AK4479">
        <v>9.6579739641566391</v>
      </c>
      <c r="AL4479">
        <v>82.347932206303796</v>
      </c>
      <c r="AM4479">
        <v>63.762643436339197</v>
      </c>
      <c r="AN4479">
        <v>0.99999994713245299</v>
      </c>
    </row>
    <row r="4480" spans="1:40" x14ac:dyDescent="0.25">
      <c r="A4480" t="str">
        <f>"20190312164358731"</f>
        <v>20190312164358731</v>
      </c>
      <c r="B4480" t="str">
        <f>"1552380238720165"</f>
        <v>1552380238720165</v>
      </c>
      <c r="C4480" t="s">
        <v>40</v>
      </c>
      <c r="D4480">
        <v>4.8354730000000004</v>
      </c>
      <c r="E4480">
        <v>0.56626279999999996</v>
      </c>
      <c r="F4480" t="s">
        <v>43</v>
      </c>
      <c r="G4480">
        <v>-310.82459999999998</v>
      </c>
      <c r="H4480">
        <v>-0.05</v>
      </c>
      <c r="I4480">
        <v>8.0621949999999991</v>
      </c>
      <c r="J4480">
        <v>-317.22579999999999</v>
      </c>
      <c r="K4480">
        <v>1.086994</v>
      </c>
      <c r="L4480">
        <v>15.34836</v>
      </c>
      <c r="M4480">
        <v>0.9692885</v>
      </c>
      <c r="N4480">
        <v>0</v>
      </c>
      <c r="O4480">
        <v>-0.2448755</v>
      </c>
      <c r="P4480">
        <v>0.75750890000000004</v>
      </c>
      <c r="Q4480">
        <v>0.124903</v>
      </c>
      <c r="R4480">
        <v>-0.64076499999999903</v>
      </c>
      <c r="S4480">
        <v>2.0751949999999999</v>
      </c>
      <c r="T4480">
        <v>-0.35735980000000001</v>
      </c>
      <c r="U4480">
        <v>-2.3040769999999999</v>
      </c>
      <c r="V4480">
        <v>0.43968410000000002</v>
      </c>
      <c r="W4480">
        <v>0.13256689999999999</v>
      </c>
      <c r="X4480">
        <v>0.88831530000000003</v>
      </c>
      <c r="Y4480">
        <v>0.55453920000000001</v>
      </c>
      <c r="Z4480">
        <v>-5.574903E-3</v>
      </c>
      <c r="AA4480">
        <v>0.83213890000000001</v>
      </c>
      <c r="AB4480">
        <v>37</v>
      </c>
      <c r="AC4480">
        <v>6.40120000000001</v>
      </c>
      <c r="AD4480">
        <v>-1.1369940000000001</v>
      </c>
      <c r="AE4480">
        <v>-7.2861649999999996</v>
      </c>
      <c r="AF4480">
        <v>5.4218024310233002</v>
      </c>
      <c r="AG4480">
        <v>-1.1369940000000001</v>
      </c>
      <c r="AH4480">
        <v>7.8825408328969599</v>
      </c>
      <c r="AI4480">
        <v>96.777443794406096</v>
      </c>
      <c r="AJ4480">
        <v>55.4788650230972</v>
      </c>
      <c r="AK4480">
        <v>9.6344769935567403</v>
      </c>
      <c r="AL4480">
        <v>82.382051682841706</v>
      </c>
      <c r="AM4480">
        <v>63.666246428881998</v>
      </c>
      <c r="AN4480">
        <v>1.00000008149125</v>
      </c>
    </row>
    <row r="4481" spans="1:40" x14ac:dyDescent="0.25">
      <c r="A4481" t="str">
        <f>"20190312164358750"</f>
        <v>20190312164358750</v>
      </c>
      <c r="B4481" t="str">
        <f>"1552380238739215"</f>
        <v>1552380238739215</v>
      </c>
      <c r="C4481" t="s">
        <v>40</v>
      </c>
      <c r="D4481">
        <v>4.8847769999999997</v>
      </c>
      <c r="E4481">
        <v>0.56528690000000004</v>
      </c>
      <c r="F4481" t="s">
        <v>43</v>
      </c>
      <c r="G4481">
        <v>-310.64890000000003</v>
      </c>
      <c r="H4481">
        <v>-0.05</v>
      </c>
      <c r="I4481">
        <v>7.9473269999999996</v>
      </c>
      <c r="J4481">
        <v>-316.91030000000001</v>
      </c>
      <c r="K4481">
        <v>1.0841909999999999</v>
      </c>
      <c r="L4481">
        <v>15.262510000000001</v>
      </c>
      <c r="M4481">
        <v>0.96695399999999998</v>
      </c>
      <c r="N4481">
        <v>0</v>
      </c>
      <c r="O4481">
        <v>-0.25388260000000001</v>
      </c>
      <c r="P4481">
        <v>0.74950939999999999</v>
      </c>
      <c r="Q4481">
        <v>0.1234876</v>
      </c>
      <c r="R4481">
        <v>-0.65037440000000002</v>
      </c>
      <c r="S4481">
        <v>2.0590820000000001</v>
      </c>
      <c r="T4481">
        <v>-0.35596820000000001</v>
      </c>
      <c r="U4481">
        <v>-2.3171080000000002</v>
      </c>
      <c r="V4481">
        <v>0.44290079999999998</v>
      </c>
      <c r="W4481">
        <v>0.1307886</v>
      </c>
      <c r="X4481">
        <v>0.88697979999999998</v>
      </c>
      <c r="Y4481">
        <v>0.55243580000000003</v>
      </c>
      <c r="Z4481">
        <v>-4.2898169999999996E-3</v>
      </c>
      <c r="AA4481">
        <v>0.83354439999999996</v>
      </c>
      <c r="AB4481">
        <v>37</v>
      </c>
      <c r="AC4481">
        <v>6.2613999999999796</v>
      </c>
      <c r="AD4481">
        <v>-1.1341909999999999</v>
      </c>
      <c r="AE4481">
        <v>-7.3151830000000002</v>
      </c>
      <c r="AF4481">
        <v>5.4102127919866296</v>
      </c>
      <c r="AG4481">
        <v>-1.1341909999999999</v>
      </c>
      <c r="AH4481">
        <v>7.8055378571443601</v>
      </c>
      <c r="AI4481">
        <v>96.810221184005201</v>
      </c>
      <c r="AJ4481">
        <v>55.273205807314604</v>
      </c>
      <c r="AK4481">
        <v>9.5646857197908304</v>
      </c>
      <c r="AL4481">
        <v>82.484834923434093</v>
      </c>
      <c r="AM4481">
        <v>63.465399942472096</v>
      </c>
      <c r="AN4481">
        <v>0.99999997106931904</v>
      </c>
    </row>
    <row r="4482" spans="1:40" x14ac:dyDescent="0.25">
      <c r="A4482" t="str">
        <f>"20190312164358772"</f>
        <v>20190312164358772</v>
      </c>
      <c r="B4482" t="str">
        <f>"1552380238769470"</f>
        <v>1552380238769470</v>
      </c>
      <c r="C4482" t="s">
        <v>40</v>
      </c>
      <c r="D4482">
        <v>5.0303420000000001</v>
      </c>
      <c r="E4482">
        <v>0.56531750000000003</v>
      </c>
      <c r="F4482" t="s">
        <v>43</v>
      </c>
      <c r="G4482">
        <v>-310.48480000000001</v>
      </c>
      <c r="H4482">
        <v>-0.05</v>
      </c>
      <c r="I4482">
        <v>7.8764500000000002</v>
      </c>
      <c r="J4482">
        <v>-316.55169999999998</v>
      </c>
      <c r="K4482">
        <v>1.0808180000000001</v>
      </c>
      <c r="L4482">
        <v>15.1604299999999</v>
      </c>
      <c r="M4482">
        <v>0.96424659999999995</v>
      </c>
      <c r="N4482">
        <v>0</v>
      </c>
      <c r="O4482">
        <v>-0.26392739999999998</v>
      </c>
      <c r="P4482">
        <v>0.74033190000000004</v>
      </c>
      <c r="Q4482">
        <v>0.1218023</v>
      </c>
      <c r="R4482">
        <v>-0.66111489999999995</v>
      </c>
      <c r="S4482">
        <v>2.0334780000000001</v>
      </c>
      <c r="T4482">
        <v>-0.35893259999999899</v>
      </c>
      <c r="U4482">
        <v>-2.3374329999999999</v>
      </c>
      <c r="V4482">
        <v>0.44663239999999998</v>
      </c>
      <c r="W4482">
        <v>0.12852479999999999</v>
      </c>
      <c r="X4482">
        <v>0.88543830000000001</v>
      </c>
      <c r="Y4482">
        <v>0.55257509999999999</v>
      </c>
      <c r="Z4482">
        <v>-3.0827889999999998E-3</v>
      </c>
      <c r="AA4482">
        <v>0.83345740000000001</v>
      </c>
      <c r="AB4482">
        <v>37</v>
      </c>
      <c r="AC4482">
        <v>6.0668999999999702</v>
      </c>
      <c r="AD4482">
        <v>-1.1308180000000001</v>
      </c>
      <c r="AE4482">
        <v>-7.2839799999999899</v>
      </c>
      <c r="AF4482">
        <v>5.3477817381342998</v>
      </c>
      <c r="AG4482">
        <v>-1.1308180000000001</v>
      </c>
      <c r="AH4482">
        <v>7.6655687189521098</v>
      </c>
      <c r="AI4482">
        <v>96.8984899515942</v>
      </c>
      <c r="AJ4482">
        <v>55.098959636656097</v>
      </c>
      <c r="AK4482">
        <v>9.4148001918693893</v>
      </c>
      <c r="AL4482">
        <v>82.615645936360906</v>
      </c>
      <c r="AM4482">
        <v>63.232729325097999</v>
      </c>
      <c r="AN4482">
        <v>1.00000005402584</v>
      </c>
    </row>
    <row r="4483" spans="1:40" x14ac:dyDescent="0.25">
      <c r="A4483" t="str">
        <f>"20190312164358785"</f>
        <v>20190312164358785</v>
      </c>
      <c r="B4483" t="str">
        <f>"1552380238779232"</f>
        <v>1552380238779232</v>
      </c>
      <c r="C4483" t="s">
        <v>40</v>
      </c>
      <c r="D4483">
        <v>5.514373</v>
      </c>
      <c r="E4483">
        <v>0.56531750000000003</v>
      </c>
      <c r="F4483" t="s">
        <v>43</v>
      </c>
      <c r="G4483">
        <v>-310.23399999999998</v>
      </c>
      <c r="H4483">
        <v>-0.05</v>
      </c>
      <c r="I4483">
        <v>7.6736300000000002</v>
      </c>
      <c r="J4483">
        <v>-316.3492</v>
      </c>
      <c r="K4483">
        <v>1.078884</v>
      </c>
      <c r="L4483">
        <v>15.1008</v>
      </c>
      <c r="M4483">
        <v>0.96268279999999995</v>
      </c>
      <c r="N4483">
        <v>0</v>
      </c>
      <c r="O4483">
        <v>-0.26955200000000001</v>
      </c>
      <c r="P4483">
        <v>0.73540269999999996</v>
      </c>
      <c r="Q4483">
        <v>0.1209194</v>
      </c>
      <c r="R4483">
        <v>-0.66675490000000004</v>
      </c>
      <c r="S4483">
        <v>1.9973449999999999</v>
      </c>
      <c r="T4483">
        <v>-0.35750720000000002</v>
      </c>
      <c r="U4483">
        <v>-2.366943</v>
      </c>
      <c r="V4483">
        <v>0.44831779999999999</v>
      </c>
      <c r="W4483">
        <v>0.12730369999999999</v>
      </c>
      <c r="X4483">
        <v>0.88476259999999995</v>
      </c>
      <c r="Y4483">
        <v>0.56022629999999995</v>
      </c>
      <c r="Z4483">
        <v>-2.9273519999999998E-3</v>
      </c>
      <c r="AA4483">
        <v>0.82833440000000003</v>
      </c>
      <c r="AB4483">
        <v>37</v>
      </c>
      <c r="AC4483">
        <v>6.1151999999999598</v>
      </c>
      <c r="AD4483">
        <v>-1.128884</v>
      </c>
      <c r="AE4483">
        <v>-7.4271699999999896</v>
      </c>
      <c r="AF4483">
        <v>5.4285086938297704</v>
      </c>
      <c r="AG4483">
        <v>-1.128884</v>
      </c>
      <c r="AH4483">
        <v>7.7841344287237897</v>
      </c>
      <c r="AI4483">
        <v>96.783697672162901</v>
      </c>
      <c r="AJ4483">
        <v>55.108807443989903</v>
      </c>
      <c r="AK4483">
        <v>9.5569783158111505</v>
      </c>
      <c r="AL4483">
        <v>82.686188693827901</v>
      </c>
      <c r="AM4483">
        <v>63.128224545482198</v>
      </c>
      <c r="AN4483">
        <v>0.99999997009464403</v>
      </c>
    </row>
    <row r="4484" spans="1:40" x14ac:dyDescent="0.25">
      <c r="A4484" t="str">
        <f>"20190312164358796"</f>
        <v>20190312164358796</v>
      </c>
      <c r="B4484" t="str">
        <f>"1552380238789967"</f>
        <v>1552380238789967</v>
      </c>
      <c r="C4484" t="s">
        <v>40</v>
      </c>
      <c r="D4484">
        <v>4.8815489999999997</v>
      </c>
      <c r="E4484">
        <v>0.59846759999999999</v>
      </c>
      <c r="F4484" t="s">
        <v>43</v>
      </c>
      <c r="G4484">
        <v>-310.13400000000001</v>
      </c>
      <c r="H4484">
        <v>-0.05</v>
      </c>
      <c r="I4484">
        <v>7.6132350000000004</v>
      </c>
      <c r="J4484">
        <v>-316.15899999999999</v>
      </c>
      <c r="K4484">
        <v>1.0770759999999999</v>
      </c>
      <c r="L4484">
        <v>15.043150000000001</v>
      </c>
      <c r="M4484">
        <v>0.96118289999999995</v>
      </c>
      <c r="N4484">
        <v>0</v>
      </c>
      <c r="O4484">
        <v>-0.27483489999999999</v>
      </c>
      <c r="P4484">
        <v>0.73048789999999997</v>
      </c>
      <c r="Q4484">
        <v>0.1197063</v>
      </c>
      <c r="R4484">
        <v>-0.67235259999999997</v>
      </c>
      <c r="S4484">
        <v>1.977997</v>
      </c>
      <c r="T4484">
        <v>-0.359265</v>
      </c>
      <c r="U4484">
        <v>-2.3829039999999999</v>
      </c>
      <c r="V4484">
        <v>0.45025130000000002</v>
      </c>
      <c r="W4484">
        <v>0.1257499</v>
      </c>
      <c r="X4484">
        <v>0.88400270000000003</v>
      </c>
      <c r="Y4484">
        <v>0.56238259999999995</v>
      </c>
      <c r="Z4484">
        <v>-2.4359379999999999E-3</v>
      </c>
      <c r="AA4484">
        <v>0.82687359999999899</v>
      </c>
      <c r="AB4484">
        <v>37</v>
      </c>
      <c r="AC4484">
        <v>6.0249999999999702</v>
      </c>
      <c r="AD4484">
        <v>-1.127076</v>
      </c>
      <c r="AE4484">
        <v>-7.4299149999999896</v>
      </c>
      <c r="AF4484">
        <v>5.4121214379492599</v>
      </c>
      <c r="AG4484">
        <v>-1.127076</v>
      </c>
      <c r="AH4484">
        <v>7.7281656815645796</v>
      </c>
      <c r="AI4484">
        <v>96.812234001358505</v>
      </c>
      <c r="AJ4484">
        <v>54.9960125414758</v>
      </c>
      <c r="AK4484">
        <v>9.5018894737098805</v>
      </c>
      <c r="AL4484">
        <v>82.775936549142799</v>
      </c>
      <c r="AM4484">
        <v>63.0087775876558</v>
      </c>
      <c r="AN4484">
        <v>1.00000002205449</v>
      </c>
    </row>
    <row r="4485" spans="1:40" x14ac:dyDescent="0.25">
      <c r="A4485" t="str">
        <f>"20190312164358808"</f>
        <v>20190312164358808</v>
      </c>
      <c r="B4485" t="str">
        <f>"1552380238799727"</f>
        <v>1552380238799727</v>
      </c>
      <c r="C4485" t="s">
        <v>40</v>
      </c>
      <c r="D4485">
        <v>5.479152</v>
      </c>
      <c r="E4485">
        <v>0.60034169999999998</v>
      </c>
      <c r="F4485" t="s">
        <v>43</v>
      </c>
      <c r="G4485">
        <v>-309.95999999999998</v>
      </c>
      <c r="H4485">
        <v>-0.05</v>
      </c>
      <c r="I4485">
        <v>5.9614719999999997</v>
      </c>
      <c r="J4485">
        <v>-315.97430000000003</v>
      </c>
      <c r="K4485">
        <v>1.0753740000000001</v>
      </c>
      <c r="L4485">
        <v>14.98563</v>
      </c>
      <c r="M4485">
        <v>0.95967970000000002</v>
      </c>
      <c r="N4485">
        <v>0</v>
      </c>
      <c r="O4485">
        <v>-0.2800279</v>
      </c>
      <c r="P4485">
        <v>0.72561030000000004</v>
      </c>
      <c r="Q4485">
        <v>0.1188594</v>
      </c>
      <c r="R4485">
        <v>-0.67776289999999995</v>
      </c>
      <c r="S4485">
        <v>1.7712399999999999</v>
      </c>
      <c r="T4485">
        <v>-0.3220363</v>
      </c>
      <c r="U4485">
        <v>-2.5948790000000002</v>
      </c>
      <c r="V4485">
        <v>0.45207720000000001</v>
      </c>
      <c r="W4485">
        <v>0.12458180000000001</v>
      </c>
      <c r="X4485">
        <v>0.88323589999999996</v>
      </c>
      <c r="Y4485">
        <v>0.63321819999999995</v>
      </c>
      <c r="Z4485">
        <v>-6.3978730000000001E-3</v>
      </c>
      <c r="AA4485">
        <v>0.77394689999999999</v>
      </c>
      <c r="AB4485">
        <v>37</v>
      </c>
      <c r="AC4485">
        <v>6.0143000000000404</v>
      </c>
      <c r="AD4485">
        <v>-1.1253739999999901</v>
      </c>
      <c r="AE4485">
        <v>-9.0241579999999892</v>
      </c>
      <c r="AF4485">
        <v>6.9038754457893896</v>
      </c>
      <c r="AG4485">
        <v>-1.1253739999999901</v>
      </c>
      <c r="AH4485">
        <v>8.2128641328714806</v>
      </c>
      <c r="AI4485">
        <v>95.987825185277401</v>
      </c>
      <c r="AJ4485">
        <v>49.949011159577502</v>
      </c>
      <c r="AK4485">
        <v>10.7880072337692</v>
      </c>
      <c r="AL4485">
        <v>82.843394360445501</v>
      </c>
      <c r="AM4485">
        <v>62.894728053801202</v>
      </c>
      <c r="AN4485">
        <v>1.00000003734994</v>
      </c>
    </row>
    <row r="4486" spans="1:40" x14ac:dyDescent="0.25">
      <c r="A4486" t="str">
        <f>"20190312164358820"</f>
        <v>20190312164358820</v>
      </c>
      <c r="B4486" t="str">
        <f>"1552380238809487"</f>
        <v>1552380238809487</v>
      </c>
      <c r="C4486" t="s">
        <v>40</v>
      </c>
      <c r="D4486">
        <v>5.119523</v>
      </c>
      <c r="E4486">
        <v>0.6012767</v>
      </c>
      <c r="F4486" t="s">
        <v>43</v>
      </c>
      <c r="G4486">
        <v>-310.26159999999999</v>
      </c>
      <c r="H4486">
        <v>-0.05</v>
      </c>
      <c r="I4486">
        <v>6.4057769999999996</v>
      </c>
      <c r="J4486">
        <v>-315.78449999999998</v>
      </c>
      <c r="K4486">
        <v>1.0736490000000001</v>
      </c>
      <c r="L4486">
        <v>14.925660000000001</v>
      </c>
      <c r="M4486">
        <v>0.95809560000000005</v>
      </c>
      <c r="N4486">
        <v>0</v>
      </c>
      <c r="O4486">
        <v>-0.28539310000000001</v>
      </c>
      <c r="P4486">
        <v>0.72019339999999998</v>
      </c>
      <c r="Q4486">
        <v>0.1182303</v>
      </c>
      <c r="R4486">
        <v>-0.68362509999999999</v>
      </c>
      <c r="S4486">
        <v>1.744049</v>
      </c>
      <c r="T4486">
        <v>-0.34357140000000003</v>
      </c>
      <c r="U4486">
        <v>-2.6193849999999999</v>
      </c>
      <c r="V4486">
        <v>0.45434209999999903</v>
      </c>
      <c r="W4486">
        <v>0.1236057</v>
      </c>
      <c r="X4486">
        <v>0.88221019999999895</v>
      </c>
      <c r="Y4486">
        <v>0.63756679999999999</v>
      </c>
      <c r="Z4486">
        <v>-6.498279E-3</v>
      </c>
      <c r="AA4486">
        <v>0.77036769999999999</v>
      </c>
      <c r="AB4486">
        <v>37</v>
      </c>
      <c r="AC4486">
        <v>5.5228999999999902</v>
      </c>
      <c r="AD4486">
        <v>-1.1236489999999999</v>
      </c>
      <c r="AE4486">
        <v>-8.5198830000000001</v>
      </c>
      <c r="AF4486">
        <v>6.5089365459562902</v>
      </c>
      <c r="AG4486">
        <v>-1.1236489999999999</v>
      </c>
      <c r="AH4486">
        <v>7.6318441726065203</v>
      </c>
      <c r="AI4486">
        <v>96.391798093657101</v>
      </c>
      <c r="AJ4486">
        <v>49.5402827596252</v>
      </c>
      <c r="AK4486">
        <v>10.0932595086738</v>
      </c>
      <c r="AL4486">
        <v>82.899755976356303</v>
      </c>
      <c r="AM4486">
        <v>62.7513351019537</v>
      </c>
      <c r="AN4486">
        <v>0.99999997494446902</v>
      </c>
    </row>
    <row r="4487" spans="1:40" x14ac:dyDescent="0.25">
      <c r="A4487" t="str">
        <f>"20190312164358831"</f>
        <v>20190312164358831</v>
      </c>
      <c r="B4487" t="str">
        <f>"1552380238829982"</f>
        <v>1552380238829982</v>
      </c>
      <c r="C4487" t="s">
        <v>40</v>
      </c>
      <c r="D4487">
        <v>5.1781499999999996</v>
      </c>
      <c r="E4487">
        <v>0.60228429999999999</v>
      </c>
      <c r="F4487" t="s">
        <v>43</v>
      </c>
      <c r="G4487">
        <v>-310.6986</v>
      </c>
      <c r="H4487">
        <v>-0.05</v>
      </c>
      <c r="I4487">
        <v>7.1344450000000004</v>
      </c>
      <c r="J4487">
        <v>-315.60730000000001</v>
      </c>
      <c r="K4487">
        <v>1.072152</v>
      </c>
      <c r="L4487">
        <v>14.867520000000001</v>
      </c>
      <c r="M4487">
        <v>0.95653900000000003</v>
      </c>
      <c r="N4487">
        <v>0</v>
      </c>
      <c r="O4487">
        <v>-0.29056680000000001</v>
      </c>
      <c r="P4487">
        <v>0.71472880000000005</v>
      </c>
      <c r="Q4487">
        <v>0.1174005</v>
      </c>
      <c r="R4487">
        <v>-0.68947769999999897</v>
      </c>
      <c r="S4487">
        <v>1.722809</v>
      </c>
      <c r="T4487">
        <v>-0.38063279999999999</v>
      </c>
      <c r="U4487">
        <v>-2.6392519999999999</v>
      </c>
      <c r="V4487">
        <v>0.45675690000000002</v>
      </c>
      <c r="W4487">
        <v>0.1224724</v>
      </c>
      <c r="X4487">
        <v>0.88112069999999998</v>
      </c>
      <c r="Y4487">
        <v>0.63999349999999999</v>
      </c>
      <c r="Z4487">
        <v>-6.6988949999999998E-3</v>
      </c>
      <c r="AA4487">
        <v>0.76835109999999995</v>
      </c>
      <c r="AB4487">
        <v>37</v>
      </c>
      <c r="AC4487">
        <v>4.9086999999999996</v>
      </c>
      <c r="AD4487">
        <v>-1.122152</v>
      </c>
      <c r="AE4487">
        <v>-7.7330750000000004</v>
      </c>
      <c r="AF4487">
        <v>5.88416894163145</v>
      </c>
      <c r="AG4487">
        <v>-1.122152</v>
      </c>
      <c r="AH4487">
        <v>6.8417451799180196</v>
      </c>
      <c r="AI4487">
        <v>97.088439293518704</v>
      </c>
      <c r="AJ4487">
        <v>49.3031784144111</v>
      </c>
      <c r="AK4487">
        <v>9.0935222192336305</v>
      </c>
      <c r="AL4487">
        <v>82.965186767553504</v>
      </c>
      <c r="AM4487">
        <v>62.598600235870798</v>
      </c>
      <c r="AN4487">
        <v>1.00000002121392</v>
      </c>
    </row>
    <row r="4488" spans="1:40" x14ac:dyDescent="0.25">
      <c r="A4488" t="str">
        <f>"20190312164358843"</f>
        <v>20190312164358843</v>
      </c>
      <c r="B4488" t="str">
        <f>"1552380238839743"</f>
        <v>1552380238839743</v>
      </c>
      <c r="C4488" t="s">
        <v>40</v>
      </c>
      <c r="D4488">
        <v>4.9241570000000001</v>
      </c>
      <c r="E4488">
        <v>0.60324599999999995</v>
      </c>
      <c r="F4488" t="s">
        <v>43</v>
      </c>
      <c r="G4488">
        <v>-311.07619999999997</v>
      </c>
      <c r="H4488">
        <v>-0.05</v>
      </c>
      <c r="I4488">
        <v>7.787598</v>
      </c>
      <c r="J4488">
        <v>-315.42129999999997</v>
      </c>
      <c r="K4488">
        <v>1.0706169999999999</v>
      </c>
      <c r="L4488">
        <v>14.805910000000001</v>
      </c>
      <c r="M4488">
        <v>0.95485660000000006</v>
      </c>
      <c r="N4488">
        <v>0</v>
      </c>
      <c r="O4488">
        <v>-0.29605199999999998</v>
      </c>
      <c r="P4488">
        <v>0.70927980000000002</v>
      </c>
      <c r="Q4488">
        <v>0.1167369</v>
      </c>
      <c r="R4488">
        <v>-0.6951946</v>
      </c>
      <c r="S4488">
        <v>1.70166</v>
      </c>
      <c r="T4488">
        <v>-0.42143029999999998</v>
      </c>
      <c r="U4488">
        <v>-2.6589049999999999</v>
      </c>
      <c r="V4488">
        <v>0.45876509999999998</v>
      </c>
      <c r="W4488">
        <v>0.1215244</v>
      </c>
      <c r="X4488">
        <v>0.8802082</v>
      </c>
      <c r="Y4488">
        <v>0.64200999999999997</v>
      </c>
      <c r="Z4488">
        <v>-6.7781550000000001E-3</v>
      </c>
      <c r="AA4488">
        <v>0.76666639999999997</v>
      </c>
      <c r="AB4488">
        <v>37</v>
      </c>
      <c r="AC4488">
        <v>4.3451000000000004</v>
      </c>
      <c r="AD4488">
        <v>-1.120617</v>
      </c>
      <c r="AE4488">
        <v>-7.0183119999999999</v>
      </c>
      <c r="AF4488">
        <v>5.3187111120213704</v>
      </c>
      <c r="AG4488">
        <v>-1.120617</v>
      </c>
      <c r="AH4488">
        <v>6.11588998645896</v>
      </c>
      <c r="AI4488">
        <v>97.871840659114</v>
      </c>
      <c r="AJ4488">
        <v>48.9880010276893</v>
      </c>
      <c r="AK4488">
        <v>8.1822112341528808</v>
      </c>
      <c r="AL4488">
        <v>83.0199120525144</v>
      </c>
      <c r="AM4488">
        <v>62.4714442569623</v>
      </c>
      <c r="AN4488">
        <v>1.0000000360603001</v>
      </c>
    </row>
    <row r="4489" spans="1:40" x14ac:dyDescent="0.25">
      <c r="A4489" t="str">
        <f>"20190312164358855"</f>
        <v>20190312164358855</v>
      </c>
      <c r="B4489" t="str">
        <f>"1552380238849503"</f>
        <v>1552380238849503</v>
      </c>
      <c r="C4489" t="s">
        <v>40</v>
      </c>
      <c r="D4489">
        <v>5.071885</v>
      </c>
      <c r="E4489">
        <v>0.60248429999999997</v>
      </c>
      <c r="F4489" t="s">
        <v>43</v>
      </c>
      <c r="G4489">
        <v>-310.97089999999997</v>
      </c>
      <c r="H4489">
        <v>-0.05</v>
      </c>
      <c r="I4489">
        <v>7.6900179999999896</v>
      </c>
      <c r="J4489">
        <v>-315.233</v>
      </c>
      <c r="K4489">
        <v>1.0691729999999999</v>
      </c>
      <c r="L4489">
        <v>14.741669999999999</v>
      </c>
      <c r="M4489">
        <v>0.95306020000000002</v>
      </c>
      <c r="N4489">
        <v>0</v>
      </c>
      <c r="O4489">
        <v>-0.30179220000000001</v>
      </c>
      <c r="P4489">
        <v>0.70341430000000005</v>
      </c>
      <c r="Q4489">
        <v>0.1160086</v>
      </c>
      <c r="R4489">
        <v>-0.70124929999999996</v>
      </c>
      <c r="S4489">
        <v>1.6746220000000001</v>
      </c>
      <c r="T4489">
        <v>-0.42167130000000003</v>
      </c>
      <c r="U4489">
        <v>-2.6776119999999999</v>
      </c>
      <c r="V4489">
        <v>0.4609704</v>
      </c>
      <c r="W4489">
        <v>0.12053800000000001</v>
      </c>
      <c r="X4489">
        <v>0.87919099999999994</v>
      </c>
      <c r="Y4489">
        <v>0.64538090000000004</v>
      </c>
      <c r="Z4489">
        <v>-6.2447259999999999E-3</v>
      </c>
      <c r="AA4489">
        <v>0.76383540000000005</v>
      </c>
      <c r="AB4489">
        <v>37</v>
      </c>
      <c r="AC4489">
        <v>4.2621000000000304</v>
      </c>
      <c r="AD4489">
        <v>-1.119173</v>
      </c>
      <c r="AE4489">
        <v>-7.0516519999999998</v>
      </c>
      <c r="AF4489">
        <v>5.3375313597270599</v>
      </c>
      <c r="AG4489">
        <v>-1.119173</v>
      </c>
      <c r="AH4489">
        <v>6.07985312519952</v>
      </c>
      <c r="AI4489">
        <v>97.875981308755499</v>
      </c>
      <c r="AJ4489">
        <v>48.719952301039498</v>
      </c>
      <c r="AK4489">
        <v>8.1673988052498796</v>
      </c>
      <c r="AL4489">
        <v>83.076846674773407</v>
      </c>
      <c r="AM4489">
        <v>62.331437615644496</v>
      </c>
      <c r="AN4489">
        <v>0.99999996680057901</v>
      </c>
    </row>
    <row r="4490" spans="1:40" x14ac:dyDescent="0.25">
      <c r="A4490" t="str">
        <f>"20190312164358868"</f>
        <v>20190312164358868</v>
      </c>
      <c r="B4490" t="str">
        <f>"1552380238859262"</f>
        <v>1552380238859262</v>
      </c>
      <c r="C4490" t="s">
        <v>40</v>
      </c>
      <c r="D4490">
        <v>5.501544</v>
      </c>
      <c r="E4490">
        <v>0.60065299999999999</v>
      </c>
      <c r="F4490" t="s">
        <v>43</v>
      </c>
      <c r="G4490">
        <v>-310.96230000000003</v>
      </c>
      <c r="H4490">
        <v>-0.05</v>
      </c>
      <c r="I4490">
        <v>7.8159029999999996</v>
      </c>
      <c r="J4490">
        <v>-315.0301</v>
      </c>
      <c r="K4490">
        <v>1.067701</v>
      </c>
      <c r="L4490">
        <v>14.670929999999901</v>
      </c>
      <c r="M4490">
        <v>0.9510345</v>
      </c>
      <c r="N4490">
        <v>0</v>
      </c>
      <c r="O4490">
        <v>-0.30812790000000001</v>
      </c>
      <c r="P4490">
        <v>0.69743140000000003</v>
      </c>
      <c r="Q4490">
        <v>0.1152875</v>
      </c>
      <c r="R4490">
        <v>-0.7073178</v>
      </c>
      <c r="S4490">
        <v>1.657257</v>
      </c>
      <c r="T4490">
        <v>-0.4342974</v>
      </c>
      <c r="U4490">
        <v>-2.6875610000000001</v>
      </c>
      <c r="V4490">
        <v>0.46267540000000001</v>
      </c>
      <c r="W4490">
        <v>0.1195978</v>
      </c>
      <c r="X4490">
        <v>0.87842350000000002</v>
      </c>
      <c r="Y4490">
        <v>0.64502530000000002</v>
      </c>
      <c r="Z4490">
        <v>-5.4271069999999996E-3</v>
      </c>
      <c r="AA4490">
        <v>0.76414199999999999</v>
      </c>
      <c r="AB4490">
        <v>37</v>
      </c>
      <c r="AC4490">
        <v>4.0677999999999699</v>
      </c>
      <c r="AD4490">
        <v>-1.1177010000000001</v>
      </c>
      <c r="AE4490">
        <v>-6.85502699999999</v>
      </c>
      <c r="AF4490">
        <v>5.1659502131694603</v>
      </c>
      <c r="AG4490">
        <v>-1.1177010000000001</v>
      </c>
      <c r="AH4490">
        <v>5.86725152610554</v>
      </c>
      <c r="AI4490">
        <v>98.1367830407074</v>
      </c>
      <c r="AJ4490">
        <v>48.636987959478702</v>
      </c>
      <c r="AK4490">
        <v>7.8968941743532604</v>
      </c>
      <c r="AL4490">
        <v>83.131108965464094</v>
      </c>
      <c r="AM4490">
        <v>62.223726220696499</v>
      </c>
      <c r="AN4490">
        <v>1.00000000244112</v>
      </c>
    </row>
    <row r="4491" spans="1:40" x14ac:dyDescent="0.25">
      <c r="A4491" t="str">
        <f>"20190312164358885"</f>
        <v>20190312164358885</v>
      </c>
      <c r="B4491" t="str">
        <f>"1552380238879759"</f>
        <v>1552380238879759</v>
      </c>
      <c r="C4491" t="s">
        <v>40</v>
      </c>
      <c r="D4491">
        <v>5.0921240000000001</v>
      </c>
      <c r="E4491">
        <v>0.59934339999999997</v>
      </c>
      <c r="F4491" t="s">
        <v>43</v>
      </c>
      <c r="G4491">
        <v>-310.6918</v>
      </c>
      <c r="H4491">
        <v>-0.05</v>
      </c>
      <c r="I4491">
        <v>7.5563509999999896</v>
      </c>
      <c r="J4491">
        <v>-314.77269999999999</v>
      </c>
      <c r="K4491">
        <v>1.065949</v>
      </c>
      <c r="L4491">
        <v>14.5791</v>
      </c>
      <c r="M4491">
        <v>0.9483258</v>
      </c>
      <c r="N4491">
        <v>0</v>
      </c>
      <c r="O4491">
        <v>-0.31638450000000001</v>
      </c>
      <c r="P4491">
        <v>0.68870030000000004</v>
      </c>
      <c r="Q4491">
        <v>0.1139024</v>
      </c>
      <c r="R4491">
        <v>-0.71604350000000005</v>
      </c>
      <c r="S4491">
        <v>1.641418</v>
      </c>
      <c r="T4491">
        <v>-0.42288179999999997</v>
      </c>
      <c r="U4491">
        <v>-2.6918030000000002</v>
      </c>
      <c r="V4491">
        <v>0.46595350000000002</v>
      </c>
      <c r="W4491">
        <v>0.1179142</v>
      </c>
      <c r="X4491">
        <v>0.8769171</v>
      </c>
      <c r="Y4491">
        <v>0.64242909999999998</v>
      </c>
      <c r="Z4491">
        <v>-3.8131850000000002E-3</v>
      </c>
      <c r="AA4491">
        <v>0.76633560000000001</v>
      </c>
      <c r="AB4491">
        <v>37</v>
      </c>
      <c r="AC4491">
        <v>4.0808999999999802</v>
      </c>
      <c r="AD4491">
        <v>-1.1159490000000001</v>
      </c>
      <c r="AE4491">
        <v>-7.0227490000000001</v>
      </c>
      <c r="AF4491">
        <v>5.27078104072445</v>
      </c>
      <c r="AG4491">
        <v>-1.1159490000000001</v>
      </c>
      <c r="AH4491">
        <v>5.9807792720162896</v>
      </c>
      <c r="AI4491">
        <v>97.968806456418307</v>
      </c>
      <c r="AJ4491">
        <v>48.610702458091502</v>
      </c>
      <c r="AK4491">
        <v>8.0496084159691303</v>
      </c>
      <c r="AL4491">
        <v>83.228259703193601</v>
      </c>
      <c r="AM4491">
        <v>62.015873964286399</v>
      </c>
      <c r="AN4491">
        <v>1.00000001149815</v>
      </c>
    </row>
    <row r="4492" spans="1:40" x14ac:dyDescent="0.25">
      <c r="A4492" t="str">
        <f>"20190312164358907"</f>
        <v>20190312164358907</v>
      </c>
      <c r="B4492" t="str">
        <f>"1552380238899282"</f>
        <v>1552380238899282</v>
      </c>
      <c r="C4492" t="s">
        <v>40</v>
      </c>
      <c r="D4492">
        <v>5.0954509999999997</v>
      </c>
      <c r="E4492">
        <v>0.60079450000000001</v>
      </c>
      <c r="F4492" t="s">
        <v>43</v>
      </c>
      <c r="G4492">
        <v>-310.47199999999998</v>
      </c>
      <c r="H4492">
        <v>-0.05</v>
      </c>
      <c r="I4492">
        <v>7.3619690000000002</v>
      </c>
      <c r="J4492">
        <v>-314.43669999999997</v>
      </c>
      <c r="K4492">
        <v>1.063866</v>
      </c>
      <c r="L4492">
        <v>14.4549</v>
      </c>
      <c r="M4492">
        <v>0.94452309999999995</v>
      </c>
      <c r="N4492">
        <v>0</v>
      </c>
      <c r="O4492">
        <v>-0.32759300000000002</v>
      </c>
      <c r="P4492">
        <v>0.67744850000000001</v>
      </c>
      <c r="Q4492">
        <v>0.1130201</v>
      </c>
      <c r="R4492">
        <v>-0.72683580000000003</v>
      </c>
      <c r="S4492">
        <v>1.6122129999999999</v>
      </c>
      <c r="T4492">
        <v>-0.41834280000000001</v>
      </c>
      <c r="U4492">
        <v>-2.7055359999999999</v>
      </c>
      <c r="V4492">
        <v>0.46928249999999999</v>
      </c>
      <c r="W4492">
        <v>0.116728</v>
      </c>
      <c r="X4492">
        <v>0.8752991</v>
      </c>
      <c r="Y4492">
        <v>0.64131949999999904</v>
      </c>
      <c r="Z4492">
        <v>-2.0069739999999999E-3</v>
      </c>
      <c r="AA4492">
        <v>0.76727140000000005</v>
      </c>
      <c r="AB4492">
        <v>37</v>
      </c>
      <c r="AC4492">
        <v>3.9646999999999899</v>
      </c>
      <c r="AD4492">
        <v>-1.113866</v>
      </c>
      <c r="AE4492">
        <v>-7.0929310000000001</v>
      </c>
      <c r="AF4492">
        <v>5.30250337898112</v>
      </c>
      <c r="AG4492">
        <v>-1.113866</v>
      </c>
      <c r="AH4492">
        <v>5.9580874939403703</v>
      </c>
      <c r="AI4492">
        <v>97.950141141209002</v>
      </c>
      <c r="AJ4492">
        <v>48.3319610409105</v>
      </c>
      <c r="AK4492">
        <v>8.0533251601752003</v>
      </c>
      <c r="AL4492">
        <v>83.296696523315902</v>
      </c>
      <c r="AM4492">
        <v>61.802479058434798</v>
      </c>
      <c r="AN4492">
        <v>1.00000000262553</v>
      </c>
    </row>
    <row r="4493" spans="1:40" x14ac:dyDescent="0.25">
      <c r="A4493" t="str">
        <f>"20190312164358918"</f>
        <v>20190312164358918</v>
      </c>
      <c r="B4493" t="str">
        <f>"1552380238909039"</f>
        <v>1552380238909039</v>
      </c>
      <c r="C4493" t="s">
        <v>40</v>
      </c>
      <c r="D4493">
        <v>5.3691259999999996</v>
      </c>
      <c r="E4493">
        <v>0.60176839999999998</v>
      </c>
      <c r="F4493" t="s">
        <v>43</v>
      </c>
      <c r="G4493">
        <v>-310.37950000000001</v>
      </c>
      <c r="H4493">
        <v>-0.05</v>
      </c>
      <c r="I4493">
        <v>7.3379969999999997</v>
      </c>
      <c r="J4493">
        <v>-314.23840000000001</v>
      </c>
      <c r="K4493">
        <v>1.0627139999999999</v>
      </c>
      <c r="L4493">
        <v>14.379670000000001</v>
      </c>
      <c r="M4493">
        <v>0.94214520000000002</v>
      </c>
      <c r="N4493">
        <v>0</v>
      </c>
      <c r="O4493">
        <v>-0.33438899999999999</v>
      </c>
      <c r="P4493">
        <v>0.67067639999999995</v>
      </c>
      <c r="Q4493">
        <v>0.11335580000000001</v>
      </c>
      <c r="R4493">
        <v>-0.73303750000000001</v>
      </c>
      <c r="S4493">
        <v>1.5613709999999901</v>
      </c>
      <c r="T4493">
        <v>-0.42865989999999998</v>
      </c>
      <c r="U4493">
        <v>-2.738861</v>
      </c>
      <c r="V4493">
        <v>0.47101579999999899</v>
      </c>
      <c r="W4493">
        <v>0.1169108</v>
      </c>
      <c r="X4493">
        <v>0.87434319999999899</v>
      </c>
      <c r="Y4493">
        <v>0.65037100000000003</v>
      </c>
      <c r="Z4493">
        <v>-1.8745809999999999E-3</v>
      </c>
      <c r="AA4493">
        <v>0.75961449999999997</v>
      </c>
      <c r="AB4493">
        <v>37</v>
      </c>
      <c r="AC4493">
        <v>3.8589000000000002</v>
      </c>
      <c r="AD4493">
        <v>-1.112714</v>
      </c>
      <c r="AE4493">
        <v>-7.0416729999999896</v>
      </c>
      <c r="AF4493">
        <v>5.2446526762732404</v>
      </c>
      <c r="AG4493">
        <v>-1.112714</v>
      </c>
      <c r="AH4493">
        <v>5.87904457554093</v>
      </c>
      <c r="AI4493">
        <v>98.039033913094698</v>
      </c>
      <c r="AJ4493">
        <v>48.264080912595801</v>
      </c>
      <c r="AK4493">
        <v>7.95661229806589</v>
      </c>
      <c r="AL4493">
        <v>83.286150801305297</v>
      </c>
      <c r="AM4493">
        <v>61.688291918566698</v>
      </c>
      <c r="AN4493">
        <v>1.00000002519625</v>
      </c>
    </row>
    <row r="4494" spans="1:40" x14ac:dyDescent="0.25">
      <c r="A4494" t="str">
        <f>"20190312164358941"</f>
        <v>20190312164358941</v>
      </c>
      <c r="B4494" t="str">
        <f>"1552380238929535"</f>
        <v>1552380238929535</v>
      </c>
      <c r="C4494" t="s">
        <v>40</v>
      </c>
      <c r="D4494">
        <v>5.0634499999999996</v>
      </c>
      <c r="E4494">
        <v>0.59966529999999996</v>
      </c>
      <c r="F4494" t="s">
        <v>43</v>
      </c>
      <c r="G4494">
        <v>-310.24059999999997</v>
      </c>
      <c r="H4494">
        <v>-0.05</v>
      </c>
      <c r="I4494">
        <v>7.1745759999999903</v>
      </c>
      <c r="J4494">
        <v>-313.91370000000001</v>
      </c>
      <c r="K4494">
        <v>1.060948</v>
      </c>
      <c r="L4494">
        <v>14.252660000000001</v>
      </c>
      <c r="M4494">
        <v>0.93798899999999996</v>
      </c>
      <c r="N4494">
        <v>0</v>
      </c>
      <c r="O4494">
        <v>-0.34590549999999998</v>
      </c>
      <c r="P4494">
        <v>0.6591477</v>
      </c>
      <c r="Q4494">
        <v>0.1132002</v>
      </c>
      <c r="R4494">
        <v>-0.74344500000000002</v>
      </c>
      <c r="S4494">
        <v>1.5304260000000001</v>
      </c>
      <c r="T4494">
        <v>-0.42596200000000001</v>
      </c>
      <c r="U4494">
        <v>-2.7582089999999999</v>
      </c>
      <c r="V4494">
        <v>0.47389540000000002</v>
      </c>
      <c r="W4494">
        <v>0.1165172</v>
      </c>
      <c r="X4494">
        <v>0.87283840000000001</v>
      </c>
      <c r="Y4494">
        <v>0.64998730000000005</v>
      </c>
      <c r="Z4494" s="1">
        <v>-6.9297850000000003E-5</v>
      </c>
      <c r="AA4494">
        <v>0.75994499999999998</v>
      </c>
      <c r="AB4494">
        <v>37</v>
      </c>
      <c r="AC4494">
        <v>3.67310000000003</v>
      </c>
      <c r="AD4494">
        <v>-1.110948</v>
      </c>
      <c r="AE4494">
        <v>-7.0780839999999996</v>
      </c>
      <c r="AF4494">
        <v>5.2677919972596001</v>
      </c>
      <c r="AG4494">
        <v>-1.110948</v>
      </c>
      <c r="AH4494">
        <v>5.78298711631213</v>
      </c>
      <c r="AI4494">
        <v>98.082997135385895</v>
      </c>
      <c r="AJ4494">
        <v>47.669236931579697</v>
      </c>
      <c r="AK4494">
        <v>7.9010618256363703</v>
      </c>
      <c r="AL4494">
        <v>83.308857373135893</v>
      </c>
      <c r="AM4494">
        <v>61.500871198800702</v>
      </c>
      <c r="AN4494">
        <v>0.99999999027578002</v>
      </c>
    </row>
    <row r="4495" spans="1:40" x14ac:dyDescent="0.25">
      <c r="A4495" t="str">
        <f>"20190312164358963"</f>
        <v>20190312164358963</v>
      </c>
      <c r="B4495" t="str">
        <f>"1552380238959792"</f>
        <v>1552380238959792</v>
      </c>
      <c r="C4495" t="s">
        <v>40</v>
      </c>
      <c r="D4495">
        <v>4.9366820000000002</v>
      </c>
      <c r="E4495">
        <v>0.59791300000000003</v>
      </c>
      <c r="F4495" t="s">
        <v>43</v>
      </c>
      <c r="G4495">
        <v>-310.05759999999998</v>
      </c>
      <c r="H4495">
        <v>-0.05</v>
      </c>
      <c r="I4495">
        <v>7.1351469999999999</v>
      </c>
      <c r="J4495">
        <v>-313.57479999999998</v>
      </c>
      <c r="K4495">
        <v>1.059212</v>
      </c>
      <c r="L4495">
        <v>14.11505</v>
      </c>
      <c r="M4495">
        <v>0.93330559999999996</v>
      </c>
      <c r="N4495">
        <v>0</v>
      </c>
      <c r="O4495">
        <v>-0.35837999999999998</v>
      </c>
      <c r="P4495">
        <v>0.64708030000000005</v>
      </c>
      <c r="Q4495">
        <v>0.1131346</v>
      </c>
      <c r="R4495">
        <v>-0.75398120000000002</v>
      </c>
      <c r="S4495">
        <v>1.5009459999999999</v>
      </c>
      <c r="T4495">
        <v>-0.4324152</v>
      </c>
      <c r="U4495">
        <v>-2.7703549999999999</v>
      </c>
      <c r="V4495">
        <v>0.47626249999999998</v>
      </c>
      <c r="W4495">
        <v>0.11618100000000001</v>
      </c>
      <c r="X4495">
        <v>0.87159399999999998</v>
      </c>
      <c r="Y4495">
        <v>0.64754330000000004</v>
      </c>
      <c r="Z4495">
        <v>2.1040999999999998E-3</v>
      </c>
      <c r="AA4495">
        <v>0.76202579999999998</v>
      </c>
      <c r="AB4495">
        <v>37</v>
      </c>
      <c r="AC4495">
        <v>3.5171999999999999</v>
      </c>
      <c r="AD4495">
        <v>-1.1092120000000001</v>
      </c>
      <c r="AE4495">
        <v>-6.9799030000000002</v>
      </c>
      <c r="AF4495">
        <v>5.1514632437719703</v>
      </c>
      <c r="AG4495">
        <v>-1.1092120000000001</v>
      </c>
      <c r="AH4495">
        <v>5.6713187663771301</v>
      </c>
      <c r="AI4495">
        <v>98.237697971279701</v>
      </c>
      <c r="AJ4495">
        <v>47.750000125418602</v>
      </c>
      <c r="AK4495">
        <v>7.7415619459343699</v>
      </c>
      <c r="AL4495">
        <v>83.328252316835801</v>
      </c>
      <c r="AM4495">
        <v>61.346616073560199</v>
      </c>
      <c r="AN4495">
        <v>1.00000004725162</v>
      </c>
    </row>
    <row r="4496" spans="1:40" x14ac:dyDescent="0.25">
      <c r="A4496" t="str">
        <f>"20190312164358975"</f>
        <v>20190312164358975</v>
      </c>
      <c r="B4496" t="str">
        <f>"1552380238969551"</f>
        <v>1552380238969551</v>
      </c>
      <c r="C4496" t="s">
        <v>40</v>
      </c>
      <c r="D4496">
        <v>4.9970610000000004</v>
      </c>
      <c r="E4496">
        <v>0.59750159999999997</v>
      </c>
      <c r="F4496" t="s">
        <v>43</v>
      </c>
      <c r="G4496">
        <v>-309.79450000000003</v>
      </c>
      <c r="H4496">
        <v>-0.05</v>
      </c>
      <c r="I4496">
        <v>6.9318239999999998</v>
      </c>
      <c r="J4496">
        <v>-313.36709999999999</v>
      </c>
      <c r="K4496">
        <v>1.0581799999999999</v>
      </c>
      <c r="L4496">
        <v>14.02792</v>
      </c>
      <c r="M4496">
        <v>0.93026260000000005</v>
      </c>
      <c r="N4496">
        <v>0</v>
      </c>
      <c r="O4496">
        <v>-0.36622379999999999</v>
      </c>
      <c r="P4496">
        <v>0.63988819999999902</v>
      </c>
      <c r="Q4496">
        <v>0.11303439999999999</v>
      </c>
      <c r="R4496">
        <v>-0.76010919999999904</v>
      </c>
      <c r="S4496">
        <v>1.465851</v>
      </c>
      <c r="T4496">
        <v>-0.43011309999999903</v>
      </c>
      <c r="U4496">
        <v>-2.7854000000000001</v>
      </c>
      <c r="V4496">
        <v>0.47718729999999998</v>
      </c>
      <c r="W4496">
        <v>0.1158793</v>
      </c>
      <c r="X4496">
        <v>0.87112819999999902</v>
      </c>
      <c r="Y4496">
        <v>0.65038940000000001</v>
      </c>
      <c r="Z4496">
        <v>3.045954E-3</v>
      </c>
      <c r="AA4496">
        <v>0.75959489999999996</v>
      </c>
      <c r="AB4496">
        <v>36</v>
      </c>
      <c r="AC4496">
        <v>3.57259999999996</v>
      </c>
      <c r="AD4496">
        <v>-1.1081799999999999</v>
      </c>
      <c r="AE4496">
        <v>-7.0960960000000002</v>
      </c>
      <c r="AF4496">
        <v>5.1931225628351596</v>
      </c>
      <c r="AG4496">
        <v>-1.1081799999999999</v>
      </c>
      <c r="AH4496">
        <v>5.8106168210507398</v>
      </c>
      <c r="AI4496">
        <v>98.093249605893007</v>
      </c>
      <c r="AJ4496">
        <v>48.211885120161497</v>
      </c>
      <c r="AK4496">
        <v>7.8714581054659396</v>
      </c>
      <c r="AL4496">
        <v>83.345655928355498</v>
      </c>
      <c r="AM4496">
        <v>61.286918414801399</v>
      </c>
      <c r="AN4496">
        <v>1.0000000361425001</v>
      </c>
    </row>
    <row r="4497" spans="1:40" x14ac:dyDescent="0.25">
      <c r="A4497" t="str">
        <f>"20190312164358992"</f>
        <v>20190312164358992</v>
      </c>
      <c r="B4497" t="str">
        <f>"1552380238989071"</f>
        <v>1552380238989071</v>
      </c>
      <c r="C4497" t="s">
        <v>40</v>
      </c>
      <c r="D4497">
        <v>5.1086330000000002</v>
      </c>
      <c r="E4497">
        <v>0.5961571</v>
      </c>
      <c r="F4497" t="s">
        <v>43</v>
      </c>
      <c r="G4497">
        <v>-309.6198</v>
      </c>
      <c r="H4497">
        <v>-0.05</v>
      </c>
      <c r="I4497">
        <v>6.7494959999999997</v>
      </c>
      <c r="J4497">
        <v>-313.12939999999998</v>
      </c>
      <c r="K4497">
        <v>1.057032</v>
      </c>
      <c r="L4497">
        <v>13.9259</v>
      </c>
      <c r="M4497">
        <v>0.92664400000000002</v>
      </c>
      <c r="N4497">
        <v>0</v>
      </c>
      <c r="O4497">
        <v>-0.3753051</v>
      </c>
      <c r="P4497">
        <v>0.63133689999999998</v>
      </c>
      <c r="Q4497">
        <v>0.1135164</v>
      </c>
      <c r="R4497">
        <v>-0.7671559</v>
      </c>
      <c r="S4497">
        <v>1.440369</v>
      </c>
      <c r="T4497">
        <v>-0.42595119999999997</v>
      </c>
      <c r="U4497">
        <v>-2.7976070000000002</v>
      </c>
      <c r="V4497">
        <v>0.47834949999999998</v>
      </c>
      <c r="W4497">
        <v>0.1160858</v>
      </c>
      <c r="X4497">
        <v>0.87046299999999899</v>
      </c>
      <c r="Y4497">
        <v>0.64990170000000003</v>
      </c>
      <c r="Z4497">
        <v>4.4678490000000003E-3</v>
      </c>
      <c r="AA4497">
        <v>0.76000509999999999</v>
      </c>
      <c r="AB4497">
        <v>36</v>
      </c>
      <c r="AC4497">
        <v>3.5095999999999701</v>
      </c>
      <c r="AD4497">
        <v>-1.107032</v>
      </c>
      <c r="AE4497">
        <v>-7.1764039999999998</v>
      </c>
      <c r="AF4497">
        <v>5.2335711700982097</v>
      </c>
      <c r="AG4497">
        <v>-1.107032</v>
      </c>
      <c r="AH4497">
        <v>5.8348604557046597</v>
      </c>
      <c r="AI4497">
        <v>98.039123896636895</v>
      </c>
      <c r="AJ4497">
        <v>48.109519826529898</v>
      </c>
      <c r="AK4497">
        <v>7.91589436381342</v>
      </c>
      <c r="AL4497">
        <v>83.3337436888593</v>
      </c>
      <c r="AM4497">
        <v>61.209684645348197</v>
      </c>
      <c r="AN4497">
        <v>0.99999999574044396</v>
      </c>
    </row>
    <row r="4498" spans="1:40" x14ac:dyDescent="0.25">
      <c r="A4498" t="str">
        <f>"20190312164359005"</f>
        <v>20190312164359005</v>
      </c>
      <c r="B4498" t="str">
        <f>"1552380238999808"</f>
        <v>1552380238999808</v>
      </c>
      <c r="C4498" t="s">
        <v>40</v>
      </c>
      <c r="D4498">
        <v>5.0978339999999998</v>
      </c>
      <c r="E4498">
        <v>0.59537280000000004</v>
      </c>
      <c r="F4498" t="s">
        <v>43</v>
      </c>
      <c r="G4498">
        <v>-309.32560000000001</v>
      </c>
      <c r="H4498">
        <v>-0.05</v>
      </c>
      <c r="I4498">
        <v>6.3826900000000002</v>
      </c>
      <c r="J4498">
        <v>-312.92430000000002</v>
      </c>
      <c r="K4498">
        <v>1.0560719999999999</v>
      </c>
      <c r="L4498">
        <v>13.835940000000001</v>
      </c>
      <c r="M4498">
        <v>0.92340710000000004</v>
      </c>
      <c r="N4498">
        <v>0</v>
      </c>
      <c r="O4498">
        <v>-0.38321660000000002</v>
      </c>
      <c r="P4498">
        <v>0.6237916</v>
      </c>
      <c r="Q4498">
        <v>0.11353870000000001</v>
      </c>
      <c r="R4498">
        <v>-0.77329999999999999</v>
      </c>
      <c r="S4498">
        <v>1.4153439999999999</v>
      </c>
      <c r="T4498">
        <v>-0.41191220000000001</v>
      </c>
      <c r="U4498">
        <v>-2.8067319999999998</v>
      </c>
      <c r="V4498">
        <v>0.47941739999999999</v>
      </c>
      <c r="W4498">
        <v>0.1158376</v>
      </c>
      <c r="X4498">
        <v>0.86990840000000003</v>
      </c>
      <c r="Y4498">
        <v>0.64999680000000004</v>
      </c>
      <c r="Z4498">
        <v>5.5062770000000004E-3</v>
      </c>
      <c r="AA4498">
        <v>0.75991699999999995</v>
      </c>
      <c r="AB4498">
        <v>36</v>
      </c>
      <c r="AC4498">
        <v>3.5987</v>
      </c>
      <c r="AD4498">
        <v>-1.1060719999999999</v>
      </c>
      <c r="AE4498">
        <v>-7.4532499999999899</v>
      </c>
      <c r="AF4498">
        <v>5.4079971633071002</v>
      </c>
      <c r="AG4498">
        <v>-1.1060719999999999</v>
      </c>
      <c r="AH4498">
        <v>6.0722626660748196</v>
      </c>
      <c r="AI4498">
        <v>97.746154959156101</v>
      </c>
      <c r="AJ4498">
        <v>48.3115296586451</v>
      </c>
      <c r="AK4498">
        <v>8.2062294918755292</v>
      </c>
      <c r="AL4498">
        <v>83.348061177682695</v>
      </c>
      <c r="AM4498">
        <v>61.1402910448925</v>
      </c>
      <c r="AN4498">
        <v>1.0000000086935299</v>
      </c>
    </row>
    <row r="4499" spans="1:40" x14ac:dyDescent="0.25">
      <c r="A4499" t="str">
        <f>"20190312164359018"</f>
        <v>20190312164359018</v>
      </c>
      <c r="B4499" t="str">
        <f>"1552380239009567"</f>
        <v>1552380239009567</v>
      </c>
      <c r="C4499" t="s">
        <v>40</v>
      </c>
      <c r="D4499">
        <v>5.5744669999999896</v>
      </c>
      <c r="E4499">
        <v>0.59469930000000004</v>
      </c>
      <c r="F4499" t="s">
        <v>43</v>
      </c>
      <c r="G4499">
        <v>-309.15929999999997</v>
      </c>
      <c r="H4499">
        <v>-0.05</v>
      </c>
      <c r="I4499">
        <v>6.2190250000000002</v>
      </c>
      <c r="J4499">
        <v>-312.7174</v>
      </c>
      <c r="K4499">
        <v>1.0551349999999999</v>
      </c>
      <c r="L4499">
        <v>13.7431</v>
      </c>
      <c r="M4499">
        <v>0.92002379999999995</v>
      </c>
      <c r="N4499">
        <v>0</v>
      </c>
      <c r="O4499">
        <v>-0.39128540000000001</v>
      </c>
      <c r="P4499">
        <v>0.61583589999999999</v>
      </c>
      <c r="Q4499">
        <v>0.113831</v>
      </c>
      <c r="R4499">
        <v>-0.77960830000000003</v>
      </c>
      <c r="S4499">
        <v>1.3921809999999999</v>
      </c>
      <c r="T4499">
        <v>-0.40898610000000002</v>
      </c>
      <c r="U4499">
        <v>-2.8164669999999998</v>
      </c>
      <c r="V4499">
        <v>0.48068270000000002</v>
      </c>
      <c r="W4499">
        <v>0.1158125</v>
      </c>
      <c r="X4499">
        <v>0.86921319999999902</v>
      </c>
      <c r="Y4499">
        <v>0.64949999999999997</v>
      </c>
      <c r="Z4499">
        <v>6.7228189999999997E-3</v>
      </c>
      <c r="AA4499">
        <v>0.76033189999999995</v>
      </c>
      <c r="AB4499">
        <v>36</v>
      </c>
      <c r="AC4499">
        <v>3.55810000000002</v>
      </c>
      <c r="AD4499">
        <v>-1.105135</v>
      </c>
      <c r="AE4499">
        <v>-7.5240749999999998</v>
      </c>
      <c r="AF4499">
        <v>5.4355126162849103</v>
      </c>
      <c r="AG4499">
        <v>-1.105135</v>
      </c>
      <c r="AH4499">
        <v>6.1112559536937603</v>
      </c>
      <c r="AI4499">
        <v>97.695336738283004</v>
      </c>
      <c r="AJ4499">
        <v>48.3492601227017</v>
      </c>
      <c r="AK4499">
        <v>8.2530945772828108</v>
      </c>
      <c r="AL4499">
        <v>83.349508922513607</v>
      </c>
      <c r="AM4499">
        <v>61.057012446653196</v>
      </c>
      <c r="AN4499">
        <v>0.99999999014488905</v>
      </c>
    </row>
    <row r="4500" spans="1:40" x14ac:dyDescent="0.25">
      <c r="A4500" t="str">
        <f>"20190312164359040"</f>
        <v>20190312164359040</v>
      </c>
      <c r="B4500" t="str">
        <f>"1552380239029087"</f>
        <v>1552380239029087</v>
      </c>
      <c r="C4500" t="s">
        <v>40</v>
      </c>
      <c r="D4500">
        <v>5.1416950000000003</v>
      </c>
      <c r="E4500">
        <v>0.59361169999999996</v>
      </c>
      <c r="F4500" t="s">
        <v>43</v>
      </c>
      <c r="G4500">
        <v>-308.98390000000001</v>
      </c>
      <c r="H4500">
        <v>-0.05</v>
      </c>
      <c r="I4500">
        <v>6.0207980000000001</v>
      </c>
      <c r="J4500">
        <v>-312.39760000000001</v>
      </c>
      <c r="K4500">
        <v>1.0537609999999999</v>
      </c>
      <c r="L4500">
        <v>13.59512</v>
      </c>
      <c r="M4500">
        <v>0.91455719999999996</v>
      </c>
      <c r="N4500">
        <v>0</v>
      </c>
      <c r="O4500">
        <v>-0.40392119999999998</v>
      </c>
      <c r="P4500">
        <v>0.60408759999999995</v>
      </c>
      <c r="Q4500">
        <v>0.1146108</v>
      </c>
      <c r="R4500">
        <v>-0.78863380000000005</v>
      </c>
      <c r="S4500">
        <v>1.366943</v>
      </c>
      <c r="T4500">
        <v>-0.40462160000000003</v>
      </c>
      <c r="U4500">
        <v>-2.8273619999999999</v>
      </c>
      <c r="V4500">
        <v>0.4816609</v>
      </c>
      <c r="W4500">
        <v>0.1160986</v>
      </c>
      <c r="X4500">
        <v>0.86863330000000005</v>
      </c>
      <c r="Y4500">
        <v>0.64583029999999997</v>
      </c>
      <c r="Z4500">
        <v>8.8553729999999997E-3</v>
      </c>
      <c r="AA4500">
        <v>0.76342959999999904</v>
      </c>
      <c r="AB4500">
        <v>36</v>
      </c>
      <c r="AC4500">
        <v>3.4137</v>
      </c>
      <c r="AD4500">
        <v>-1.103761</v>
      </c>
      <c r="AE4500">
        <v>-7.5743220000000004</v>
      </c>
      <c r="AF4500">
        <v>5.4532347618287398</v>
      </c>
      <c r="AG4500">
        <v>-1.103761</v>
      </c>
      <c r="AH4500">
        <v>6.0755558982068303</v>
      </c>
      <c r="AI4500">
        <v>97.699662834370599</v>
      </c>
      <c r="AJ4500">
        <v>48.089812634420802</v>
      </c>
      <c r="AK4500">
        <v>8.2382302216540495</v>
      </c>
      <c r="AL4500">
        <v>83.333005062151102</v>
      </c>
      <c r="AM4500">
        <v>60.991443166674003</v>
      </c>
      <c r="AN4500">
        <v>0.99999995868982905</v>
      </c>
    </row>
    <row r="4501" spans="1:40" x14ac:dyDescent="0.25">
      <c r="A4501" t="str">
        <f>"20190312164359063"</f>
        <v>20190312164359063</v>
      </c>
      <c r="B4501" t="str">
        <f>"1552380239059344"</f>
        <v>1552380239059344</v>
      </c>
      <c r="C4501" t="s">
        <v>40</v>
      </c>
      <c r="D4501">
        <v>5.0557990000000004</v>
      </c>
      <c r="E4501">
        <v>0.59230749999999999</v>
      </c>
      <c r="F4501" t="s">
        <v>43</v>
      </c>
      <c r="G4501">
        <v>-308.67430000000002</v>
      </c>
      <c r="H4501">
        <v>-0.05</v>
      </c>
      <c r="I4501">
        <v>5.6363370000000002</v>
      </c>
      <c r="J4501">
        <v>-312.07429999999999</v>
      </c>
      <c r="K4501">
        <v>1.0524899999999999</v>
      </c>
      <c r="L4501">
        <v>13.43976</v>
      </c>
      <c r="M4501">
        <v>0.90871610000000003</v>
      </c>
      <c r="N4501">
        <v>0</v>
      </c>
      <c r="O4501">
        <v>-0.4169175</v>
      </c>
      <c r="P4501">
        <v>0.59190430000000005</v>
      </c>
      <c r="Q4501">
        <v>0.11575820000000001</v>
      </c>
      <c r="R4501">
        <v>-0.79765240000000004</v>
      </c>
      <c r="S4501">
        <v>1.329895</v>
      </c>
      <c r="T4501">
        <v>-0.39423970000000003</v>
      </c>
      <c r="U4501">
        <v>-2.8427120000000001</v>
      </c>
      <c r="V4501">
        <v>0.48252620000000002</v>
      </c>
      <c r="W4501">
        <v>0.1167171</v>
      </c>
      <c r="X4501">
        <v>0.86807009999999996</v>
      </c>
      <c r="Y4501">
        <v>0.64487299999999903</v>
      </c>
      <c r="Z4501">
        <v>1.0609820000000001E-2</v>
      </c>
      <c r="AA4501">
        <v>0.76421619999999901</v>
      </c>
      <c r="AB4501">
        <v>36</v>
      </c>
      <c r="AC4501">
        <v>3.3999999999999702</v>
      </c>
      <c r="AD4501">
        <v>-1.10249</v>
      </c>
      <c r="AE4501">
        <v>-7.8034229999999898</v>
      </c>
      <c r="AF4501">
        <v>5.5811244278221999</v>
      </c>
      <c r="AG4501">
        <v>-1.10249</v>
      </c>
      <c r="AH4501">
        <v>6.2396574599173702</v>
      </c>
      <c r="AI4501">
        <v>97.502415504063705</v>
      </c>
      <c r="AJ4501">
        <v>48.188638655080297</v>
      </c>
      <c r="AK4501">
        <v>8.4438000506902195</v>
      </c>
      <c r="AL4501">
        <v>83.297325710476798</v>
      </c>
      <c r="AM4501">
        <v>60.932030216823001</v>
      </c>
      <c r="AN4501">
        <v>1.00000005681642</v>
      </c>
    </row>
    <row r="4502" spans="1:40" x14ac:dyDescent="0.25">
      <c r="A4502" t="str">
        <f>"20190312164359075"</f>
        <v>20190312164359075</v>
      </c>
      <c r="B4502" t="str">
        <f>"1552380239069103"</f>
        <v>1552380239069103</v>
      </c>
      <c r="C4502" t="s">
        <v>40</v>
      </c>
      <c r="D4502">
        <v>5.0803789999999998</v>
      </c>
      <c r="E4502">
        <v>0.59189389999999997</v>
      </c>
      <c r="F4502" t="s">
        <v>43</v>
      </c>
      <c r="G4502">
        <v>-308.40629999999999</v>
      </c>
      <c r="H4502">
        <v>-0.05</v>
      </c>
      <c r="I4502">
        <v>5.3387909999999996</v>
      </c>
      <c r="J4502">
        <v>-311.8673</v>
      </c>
      <c r="K4502">
        <v>1.0517350000000001</v>
      </c>
      <c r="L4502">
        <v>13.337009999999999</v>
      </c>
      <c r="M4502">
        <v>0.90479370000000003</v>
      </c>
      <c r="N4502">
        <v>0</v>
      </c>
      <c r="O4502">
        <v>-0.42537540000000001</v>
      </c>
      <c r="P4502">
        <v>0.58434619999999904</v>
      </c>
      <c r="Q4502">
        <v>0.1165538</v>
      </c>
      <c r="R4502">
        <v>-0.80309069999999905</v>
      </c>
      <c r="S4502">
        <v>1.2938229999999999</v>
      </c>
      <c r="T4502">
        <v>-0.38887310000000003</v>
      </c>
      <c r="U4502">
        <v>-2.8573909999999998</v>
      </c>
      <c r="V4502">
        <v>0.4825663</v>
      </c>
      <c r="W4502">
        <v>0.1171864</v>
      </c>
      <c r="X4502">
        <v>0.86798449999999905</v>
      </c>
      <c r="Y4502">
        <v>0.64729680000000001</v>
      </c>
      <c r="Z4502">
        <v>1.14924E-2</v>
      </c>
      <c r="AA4502">
        <v>0.76215140000000003</v>
      </c>
      <c r="AB4502">
        <v>36</v>
      </c>
      <c r="AC4502">
        <v>3.4610000000000101</v>
      </c>
      <c r="AD4502">
        <v>-1.1017349999999999</v>
      </c>
      <c r="AE4502">
        <v>-7.9982189999999997</v>
      </c>
      <c r="AF4502">
        <v>5.6749824879360897</v>
      </c>
      <c r="AG4502">
        <v>-1.1017349999999999</v>
      </c>
      <c r="AH4502">
        <v>6.4322580223718004</v>
      </c>
      <c r="AI4502">
        <v>97.318978994021705</v>
      </c>
      <c r="AJ4502">
        <v>48.579035468218002</v>
      </c>
      <c r="AK4502">
        <v>8.6483055863546294</v>
      </c>
      <c r="AL4502">
        <v>83.270250548048494</v>
      </c>
      <c r="AM4502">
        <v>60.927608738484302</v>
      </c>
      <c r="AN4502">
        <v>0.99999998924044897</v>
      </c>
    </row>
    <row r="4503" spans="1:40" x14ac:dyDescent="0.25">
      <c r="A4503" t="str">
        <f>"20190312164359097"</f>
        <v>20190312164359097</v>
      </c>
      <c r="B4503" t="str">
        <f>"1552380239089601"</f>
        <v>1552380239089601</v>
      </c>
      <c r="C4503" t="s">
        <v>40</v>
      </c>
      <c r="D4503">
        <v>5.1083689999999997</v>
      </c>
      <c r="E4503">
        <v>0.59124489999999996</v>
      </c>
      <c r="F4503" t="s">
        <v>43</v>
      </c>
      <c r="G4503">
        <v>-308.25510000000003</v>
      </c>
      <c r="H4503">
        <v>-0.05</v>
      </c>
      <c r="I4503">
        <v>5.1780549999999996</v>
      </c>
      <c r="J4503">
        <v>-311.56540000000001</v>
      </c>
      <c r="K4503">
        <v>1.050718</v>
      </c>
      <c r="L4503">
        <v>13.18317</v>
      </c>
      <c r="M4503">
        <v>0.89883279999999999</v>
      </c>
      <c r="N4503">
        <v>0</v>
      </c>
      <c r="O4503">
        <v>-0.4378476</v>
      </c>
      <c r="P4503">
        <v>0.57271749999999999</v>
      </c>
      <c r="Q4503">
        <v>0.1180712</v>
      </c>
      <c r="R4503">
        <v>-0.81120550000000002</v>
      </c>
      <c r="S4503">
        <v>1.269714</v>
      </c>
      <c r="T4503">
        <v>-0.38726280000000002</v>
      </c>
      <c r="U4503">
        <v>-2.8678889999999999</v>
      </c>
      <c r="V4503">
        <v>0.48294720000000002</v>
      </c>
      <c r="W4503">
        <v>0.1182291</v>
      </c>
      <c r="X4503">
        <v>0.86763119999999905</v>
      </c>
      <c r="Y4503">
        <v>0.64325730000000003</v>
      </c>
      <c r="Z4503">
        <v>1.3580170000000001E-2</v>
      </c>
      <c r="AA4503">
        <v>0.76552959999999903</v>
      </c>
      <c r="AB4503">
        <v>36</v>
      </c>
      <c r="AC4503">
        <v>3.3102999999999798</v>
      </c>
      <c r="AD4503">
        <v>-1.1007180000000001</v>
      </c>
      <c r="AE4503">
        <v>-8.005115</v>
      </c>
      <c r="AF4503">
        <v>5.6556560394979396</v>
      </c>
      <c r="AG4503">
        <v>-1.1007180000000001</v>
      </c>
      <c r="AH4503">
        <v>6.37869847375151</v>
      </c>
      <c r="AI4503">
        <v>97.357195260460301</v>
      </c>
      <c r="AJ4503">
        <v>48.438284920236498</v>
      </c>
      <c r="AK4503">
        <v>8.5956861024396094</v>
      </c>
      <c r="AL4503">
        <v>83.210090148408696</v>
      </c>
      <c r="AM4503">
        <v>60.898494085036099</v>
      </c>
      <c r="AN4503">
        <v>1.0000000086440399</v>
      </c>
    </row>
    <row r="4504" spans="1:40" x14ac:dyDescent="0.25">
      <c r="A4504" t="str">
        <f>"20190312164359119"</f>
        <v>20190312164359119</v>
      </c>
      <c r="B4504" t="str">
        <f>"1552380239109122"</f>
        <v>1552380239109122</v>
      </c>
      <c r="C4504" t="s">
        <v>40</v>
      </c>
      <c r="D4504">
        <v>5.2000419999999998</v>
      </c>
      <c r="E4504">
        <v>0.59088779999999996</v>
      </c>
      <c r="F4504" t="s">
        <v>43</v>
      </c>
      <c r="G4504">
        <v>-308.03750000000002</v>
      </c>
      <c r="H4504">
        <v>-0.05</v>
      </c>
      <c r="I4504">
        <v>4.9231259999999999</v>
      </c>
      <c r="J4504">
        <v>-311.24619999999999</v>
      </c>
      <c r="K4504">
        <v>1.0497459999999901</v>
      </c>
      <c r="L4504">
        <v>13.01474</v>
      </c>
      <c r="M4504">
        <v>0.892179099999999</v>
      </c>
      <c r="N4504">
        <v>0</v>
      </c>
      <c r="O4504">
        <v>-0.45126620000000001</v>
      </c>
      <c r="P4504">
        <v>0.56088680000000002</v>
      </c>
      <c r="Q4504">
        <v>0.1186982</v>
      </c>
      <c r="R4504">
        <v>-0.81933909999999999</v>
      </c>
      <c r="S4504">
        <v>1.2319639999999901</v>
      </c>
      <c r="T4504">
        <v>-0.3843702</v>
      </c>
      <c r="U4504">
        <v>-2.8843990000000002</v>
      </c>
      <c r="V4504">
        <v>0.48250530000000003</v>
      </c>
      <c r="W4504">
        <v>0.118409</v>
      </c>
      <c r="X4504">
        <v>0.86785239999999997</v>
      </c>
      <c r="Y4504">
        <v>0.64195329999999995</v>
      </c>
      <c r="Z4504">
        <v>1.551714E-2</v>
      </c>
      <c r="AA4504">
        <v>0.76658669999999995</v>
      </c>
      <c r="AB4504">
        <v>36</v>
      </c>
      <c r="AC4504">
        <v>3.2086999999999599</v>
      </c>
      <c r="AD4504">
        <v>-1.0997459999999999</v>
      </c>
      <c r="AE4504">
        <v>-8.0916139999999999</v>
      </c>
      <c r="AF4504">
        <v>5.6815846963926404</v>
      </c>
      <c r="AG4504">
        <v>-1.0997459999999999</v>
      </c>
      <c r="AH4504">
        <v>6.4130642060402101</v>
      </c>
      <c r="AI4504">
        <v>97.314349207897493</v>
      </c>
      <c r="AJ4504">
        <v>48.461009975929798</v>
      </c>
      <c r="AK4504">
        <v>8.6381270213856691</v>
      </c>
      <c r="AL4504">
        <v>83.199709129791401</v>
      </c>
      <c r="AM4504">
        <v>60.926981239050598</v>
      </c>
      <c r="AN4504">
        <v>0.99999992199742105</v>
      </c>
    </row>
    <row r="4505" spans="1:40" x14ac:dyDescent="0.25">
      <c r="A4505" t="str">
        <f>"20190312164359141"</f>
        <v>20190312164359141</v>
      </c>
      <c r="B4505" t="str">
        <f>"1552380239129615"</f>
        <v>1552380239129615</v>
      </c>
      <c r="C4505" t="s">
        <v>40</v>
      </c>
      <c r="D4505">
        <v>5.0849859999999998</v>
      </c>
      <c r="E4505">
        <v>0.59031389999999995</v>
      </c>
      <c r="F4505" t="s">
        <v>43</v>
      </c>
      <c r="G4505">
        <v>-307.85050000000001</v>
      </c>
      <c r="H4505">
        <v>-0.05</v>
      </c>
      <c r="I4505">
        <v>4.7460019999999998</v>
      </c>
      <c r="J4505">
        <v>-310.93209999999999</v>
      </c>
      <c r="K4505">
        <v>1.048875</v>
      </c>
      <c r="L4505">
        <v>12.84286</v>
      </c>
      <c r="M4505">
        <v>0.8852527</v>
      </c>
      <c r="N4505">
        <v>0</v>
      </c>
      <c r="O4505">
        <v>-0.46472039999999998</v>
      </c>
      <c r="P4505">
        <v>0.54912689999999997</v>
      </c>
      <c r="Q4505">
        <v>0.1188299</v>
      </c>
      <c r="R4505">
        <v>-0.82724799999999998</v>
      </c>
      <c r="S4505">
        <v>1.1916199999999999</v>
      </c>
      <c r="T4505">
        <v>-0.38592349999999997</v>
      </c>
      <c r="U4505">
        <v>-2.901672</v>
      </c>
      <c r="V4505">
        <v>0.48178330000000003</v>
      </c>
      <c r="W4505">
        <v>0.1181249</v>
      </c>
      <c r="X4505">
        <v>0.86829219999999896</v>
      </c>
      <c r="Y4505">
        <v>0.64114579999999999</v>
      </c>
      <c r="Z4505">
        <v>1.7598229999999999E-2</v>
      </c>
      <c r="AA4505">
        <v>0.76721729999999999</v>
      </c>
      <c r="AB4505">
        <v>36</v>
      </c>
      <c r="AC4505">
        <v>3.0815999999999799</v>
      </c>
      <c r="AD4505">
        <v>-1.098875</v>
      </c>
      <c r="AE4505">
        <v>-8.0968579999999992</v>
      </c>
      <c r="AF4505">
        <v>5.64588946312454</v>
      </c>
      <c r="AG4505">
        <v>-1.098875</v>
      </c>
      <c r="AH4505">
        <v>6.3891551772688997</v>
      </c>
      <c r="AI4505">
        <v>97.343855361612199</v>
      </c>
      <c r="AJ4505">
        <v>48.5340101195751</v>
      </c>
      <c r="AK4505">
        <v>8.5967957969622493</v>
      </c>
      <c r="AL4505">
        <v>83.216102388938793</v>
      </c>
      <c r="AM4505">
        <v>60.975722424971103</v>
      </c>
      <c r="AN4505">
        <v>0.99999999236986903</v>
      </c>
    </row>
    <row r="4506" spans="1:40" x14ac:dyDescent="0.25">
      <c r="A4506" t="str">
        <f>"20190312164359164"</f>
        <v>20190312164359164</v>
      </c>
      <c r="B4506" t="str">
        <f>"1552380239159872"</f>
        <v>1552380239159872</v>
      </c>
      <c r="C4506" t="s">
        <v>40</v>
      </c>
      <c r="D4506">
        <v>5.2024269999999904</v>
      </c>
      <c r="E4506">
        <v>0.58959499999999998</v>
      </c>
      <c r="F4506" t="s">
        <v>43</v>
      </c>
      <c r="G4506">
        <v>-307.65679999999998</v>
      </c>
      <c r="H4506">
        <v>-0.05</v>
      </c>
      <c r="I4506">
        <v>4.5529019999999996</v>
      </c>
      <c r="J4506">
        <v>-310.61</v>
      </c>
      <c r="K4506">
        <v>1.0480780000000001</v>
      </c>
      <c r="L4506">
        <v>12.659520000000001</v>
      </c>
      <c r="M4506">
        <v>0.87770769999999998</v>
      </c>
      <c r="N4506">
        <v>0</v>
      </c>
      <c r="O4506">
        <v>-0.47882980000000003</v>
      </c>
      <c r="P4506">
        <v>0.53605509999999901</v>
      </c>
      <c r="Q4506">
        <v>0.119452</v>
      </c>
      <c r="R4506">
        <v>-0.83568889999999996</v>
      </c>
      <c r="S4506">
        <v>1.152466</v>
      </c>
      <c r="T4506">
        <v>-0.38666129999999999</v>
      </c>
      <c r="U4506">
        <v>-2.916992</v>
      </c>
      <c r="V4506">
        <v>0.48151939999999999</v>
      </c>
      <c r="W4506">
        <v>0.1183143</v>
      </c>
      <c r="X4506">
        <v>0.86841279999999998</v>
      </c>
      <c r="Y4506">
        <v>0.63923339999999995</v>
      </c>
      <c r="Z4506">
        <v>1.985253E-2</v>
      </c>
      <c r="AA4506">
        <v>0.76875649999999995</v>
      </c>
      <c r="AB4506">
        <v>36</v>
      </c>
      <c r="AC4506">
        <v>2.95320000000003</v>
      </c>
      <c r="AD4506">
        <v>-1.0980780000000001</v>
      </c>
      <c r="AE4506">
        <v>-8.1066179999999992</v>
      </c>
      <c r="AF4506">
        <v>5.6112695971922104</v>
      </c>
      <c r="AG4506">
        <v>-1.0980780000000001</v>
      </c>
      <c r="AH4506">
        <v>6.3716640304375796</v>
      </c>
      <c r="AI4506">
        <v>97.369378907158904</v>
      </c>
      <c r="AJ4506">
        <v>48.630918447003303</v>
      </c>
      <c r="AK4506">
        <v>8.5609709906779692</v>
      </c>
      <c r="AL4506">
        <v>83.205173975219395</v>
      </c>
      <c r="AM4506">
        <v>60.992413647749501</v>
      </c>
      <c r="AN4506">
        <v>0.99999999868234501</v>
      </c>
    </row>
    <row r="4507" spans="1:40" x14ac:dyDescent="0.25">
      <c r="A4507" t="str">
        <f>"20190312164359186"</f>
        <v>20190312164359186</v>
      </c>
      <c r="B4507" t="str">
        <f>"1552380239179391"</f>
        <v>1552380239179391</v>
      </c>
      <c r="C4507" t="s">
        <v>40</v>
      </c>
      <c r="D4507">
        <v>5.0846349999999996</v>
      </c>
      <c r="E4507">
        <v>0.58915859999999998</v>
      </c>
      <c r="F4507" t="s">
        <v>43</v>
      </c>
      <c r="G4507">
        <v>-307.45269999999999</v>
      </c>
      <c r="H4507">
        <v>-0.05</v>
      </c>
      <c r="I4507">
        <v>4.3242190000000003</v>
      </c>
      <c r="J4507">
        <v>-310.28699999999998</v>
      </c>
      <c r="K4507">
        <v>1.0473619999999999</v>
      </c>
      <c r="L4507">
        <v>12.46848</v>
      </c>
      <c r="M4507">
        <v>0.86968179999999995</v>
      </c>
      <c r="N4507">
        <v>0</v>
      </c>
      <c r="O4507">
        <v>-0.49326629999999999</v>
      </c>
      <c r="P4507">
        <v>0.52250699999999894</v>
      </c>
      <c r="Q4507">
        <v>0.1198461</v>
      </c>
      <c r="R4507">
        <v>-0.84417030000000004</v>
      </c>
      <c r="S4507">
        <v>1.1108089999999999</v>
      </c>
      <c r="T4507">
        <v>-0.3863299</v>
      </c>
      <c r="U4507">
        <v>-2.9325559999999999</v>
      </c>
      <c r="V4507">
        <v>0.4811879</v>
      </c>
      <c r="W4507">
        <v>0.11829439999999999</v>
      </c>
      <c r="X4507">
        <v>0.86859920000000002</v>
      </c>
      <c r="Y4507">
        <v>0.63751930000000001</v>
      </c>
      <c r="Z4507">
        <v>2.2098260000000002E-2</v>
      </c>
      <c r="AA4507">
        <v>0.77011739999999995</v>
      </c>
      <c r="AB4507">
        <v>36</v>
      </c>
      <c r="AC4507">
        <v>2.8343000000000398</v>
      </c>
      <c r="AD4507">
        <v>-1.0973619999999999</v>
      </c>
      <c r="AE4507">
        <v>-8.1442610000000002</v>
      </c>
      <c r="AF4507">
        <v>5.5952155303948796</v>
      </c>
      <c r="AG4507">
        <v>-1.0973619999999999</v>
      </c>
      <c r="AH4507">
        <v>6.3800206741328997</v>
      </c>
      <c r="AI4507">
        <v>97.368335028899395</v>
      </c>
      <c r="AJ4507">
        <v>48.749555488899297</v>
      </c>
      <c r="AK4507">
        <v>8.5565941818564397</v>
      </c>
      <c r="AL4507">
        <v>83.206321996475197</v>
      </c>
      <c r="AM4507">
        <v>61.014357612837699</v>
      </c>
      <c r="AN4507">
        <v>0.99999996520920398</v>
      </c>
    </row>
    <row r="4508" spans="1:40" x14ac:dyDescent="0.25">
      <c r="A4508" t="str">
        <f>"20190312164359207"</f>
        <v>20190312164359207</v>
      </c>
      <c r="B4508" t="str">
        <f>"1552380239199526"</f>
        <v>1552380239199526</v>
      </c>
      <c r="C4508" t="s">
        <v>40</v>
      </c>
      <c r="D4508">
        <v>5.1311629999999999</v>
      </c>
      <c r="E4508">
        <v>0.58868869999999995</v>
      </c>
      <c r="F4508" t="s">
        <v>43</v>
      </c>
      <c r="G4508">
        <v>-307.25659999999999</v>
      </c>
      <c r="H4508">
        <v>-0.05</v>
      </c>
      <c r="I4508">
        <v>4.0841219999999998</v>
      </c>
      <c r="J4508">
        <v>-309.99439999999998</v>
      </c>
      <c r="K4508">
        <v>1.0467879999999901</v>
      </c>
      <c r="L4508">
        <v>12.289339999999999</v>
      </c>
      <c r="M4508">
        <v>0.8620101</v>
      </c>
      <c r="N4508">
        <v>0</v>
      </c>
      <c r="O4508">
        <v>-0.50656140000000005</v>
      </c>
      <c r="P4508">
        <v>0.509671599999999</v>
      </c>
      <c r="Q4508">
        <v>0.1206298</v>
      </c>
      <c r="R4508">
        <v>-0.85187080000000004</v>
      </c>
      <c r="S4508">
        <v>1.0658259999999999</v>
      </c>
      <c r="T4508">
        <v>-0.3859553</v>
      </c>
      <c r="U4508">
        <v>-2.9488829999999999</v>
      </c>
      <c r="V4508">
        <v>0.4809716</v>
      </c>
      <c r="W4508">
        <v>0.11872480000000001</v>
      </c>
      <c r="X4508">
        <v>0.86866030000000005</v>
      </c>
      <c r="Y4508">
        <v>0.63751599999999997</v>
      </c>
      <c r="Z4508">
        <v>2.4045710000000001E-2</v>
      </c>
      <c r="AA4508">
        <v>0.77006180000000002</v>
      </c>
      <c r="AB4508">
        <v>36</v>
      </c>
      <c r="AC4508">
        <v>2.7377999999999898</v>
      </c>
      <c r="AD4508">
        <v>-1.0967880000000001</v>
      </c>
      <c r="AE4508">
        <v>-8.2052179999999897</v>
      </c>
      <c r="AF4508">
        <v>5.5970796320004803</v>
      </c>
      <c r="AG4508">
        <v>-1.0967880000000001</v>
      </c>
      <c r="AH4508">
        <v>6.41441853032119</v>
      </c>
      <c r="AI4508">
        <v>97.341320783086402</v>
      </c>
      <c r="AJ4508">
        <v>48.892769210474</v>
      </c>
      <c r="AK4508">
        <v>8.5834147870195903</v>
      </c>
      <c r="AL4508">
        <v>83.181487028989196</v>
      </c>
      <c r="AM4508">
        <v>61.026984093109803</v>
      </c>
      <c r="AN4508">
        <v>0.999999987468845</v>
      </c>
    </row>
    <row r="4509" spans="1:40" x14ac:dyDescent="0.25">
      <c r="A4509" t="str">
        <f>"20190312164359229"</f>
        <v>20190312164359229</v>
      </c>
      <c r="B4509" t="str">
        <f>"1552380239220023"</f>
        <v>1552380239220023</v>
      </c>
      <c r="C4509" t="s">
        <v>40</v>
      </c>
      <c r="D4509">
        <v>5.1568740000000002</v>
      </c>
      <c r="E4509">
        <v>0.58809659999999997</v>
      </c>
      <c r="F4509" t="s">
        <v>43</v>
      </c>
      <c r="G4509">
        <v>-307.07010000000002</v>
      </c>
      <c r="H4509">
        <v>-0.05</v>
      </c>
      <c r="I4509">
        <v>3.8301850000000002</v>
      </c>
      <c r="J4509">
        <v>-309.6893</v>
      </c>
      <c r="K4509">
        <v>1.0462450000000001</v>
      </c>
      <c r="L4509">
        <v>12.09567</v>
      </c>
      <c r="M4509">
        <v>0.8535642</v>
      </c>
      <c r="N4509">
        <v>0</v>
      </c>
      <c r="O4509">
        <v>-0.52067330000000001</v>
      </c>
      <c r="P4509">
        <v>0.49594379999999999</v>
      </c>
      <c r="Q4509">
        <v>0.1219673</v>
      </c>
      <c r="R4509">
        <v>-0.85974660000000003</v>
      </c>
      <c r="S4509">
        <v>1.024384</v>
      </c>
      <c r="T4509">
        <v>-0.38419490000000001</v>
      </c>
      <c r="U4509">
        <v>-2.963165</v>
      </c>
      <c r="V4509">
        <v>0.48054639999999998</v>
      </c>
      <c r="W4509">
        <v>0.11972190000000001</v>
      </c>
      <c r="X4509">
        <v>0.86875879999999905</v>
      </c>
      <c r="Y4509">
        <v>0.63569949999999997</v>
      </c>
      <c r="Z4509">
        <v>2.6168819999999999E-2</v>
      </c>
      <c r="AA4509">
        <v>0.77149290000000004</v>
      </c>
      <c r="AB4509">
        <v>36</v>
      </c>
      <c r="AC4509">
        <v>2.61919999999997</v>
      </c>
      <c r="AD4509">
        <v>-1.0962449999999999</v>
      </c>
      <c r="AE4509">
        <v>-8.265485</v>
      </c>
      <c r="AF4509">
        <v>5.60274491125225</v>
      </c>
      <c r="AG4509">
        <v>-1.0962449999999999</v>
      </c>
      <c r="AH4509">
        <v>6.4374390266120196</v>
      </c>
      <c r="AI4509">
        <v>97.319800283890004</v>
      </c>
      <c r="AJ4509">
        <v>48.9657246782564</v>
      </c>
      <c r="AK4509">
        <v>8.6042503951207507</v>
      </c>
      <c r="AL4509">
        <v>83.1239471823543</v>
      </c>
      <c r="AM4509">
        <v>61.051205258393097</v>
      </c>
      <c r="AN4509">
        <v>1.0000000142350001</v>
      </c>
    </row>
    <row r="4510" spans="1:40" x14ac:dyDescent="0.25">
      <c r="A4510" t="str">
        <f>"20190312164359264"</f>
        <v>20190312164359264</v>
      </c>
      <c r="B4510" t="str">
        <f>"1552380239260040"</f>
        <v>1552380239260040</v>
      </c>
      <c r="C4510" t="s">
        <v>40</v>
      </c>
      <c r="D4510">
        <v>5.2869519999999897</v>
      </c>
      <c r="E4510">
        <v>0.58701979999999998</v>
      </c>
      <c r="F4510" t="s">
        <v>43</v>
      </c>
      <c r="G4510">
        <v>-306.85899999999998</v>
      </c>
      <c r="H4510">
        <v>-0.05</v>
      </c>
      <c r="I4510">
        <v>3.5004580000000001</v>
      </c>
      <c r="J4510">
        <v>-309.2165</v>
      </c>
      <c r="K4510">
        <v>1.045501</v>
      </c>
      <c r="L4510">
        <v>11.78149</v>
      </c>
      <c r="M4510">
        <v>0.83952559999999998</v>
      </c>
      <c r="N4510">
        <v>0</v>
      </c>
      <c r="O4510">
        <v>-0.54302649999999997</v>
      </c>
      <c r="P4510">
        <v>0.47460590000000002</v>
      </c>
      <c r="Q4510">
        <v>0.1235313</v>
      </c>
      <c r="R4510">
        <v>-0.87148700000000001</v>
      </c>
      <c r="S4510">
        <v>0.98052980000000001</v>
      </c>
      <c r="T4510">
        <v>-0.37977490000000003</v>
      </c>
      <c r="U4510">
        <v>-2.9776609999999999</v>
      </c>
      <c r="V4510">
        <v>0.47896569999999999</v>
      </c>
      <c r="W4510">
        <v>0.12083380000000001</v>
      </c>
      <c r="X4510">
        <v>0.86947750000000001</v>
      </c>
      <c r="Y4510">
        <v>0.62682510000000002</v>
      </c>
      <c r="Z4510">
        <v>2.9824670000000001E-2</v>
      </c>
      <c r="AA4510">
        <v>0.77858899999999998</v>
      </c>
      <c r="AB4510">
        <v>36</v>
      </c>
      <c r="AC4510">
        <v>2.3574999999999502</v>
      </c>
      <c r="AD4510">
        <v>-1.0955010000000001</v>
      </c>
      <c r="AE4510">
        <v>-8.2810319999999997</v>
      </c>
      <c r="AF4510">
        <v>5.5824850113093198</v>
      </c>
      <c r="AG4510">
        <v>-1.0955010000000001</v>
      </c>
      <c r="AH4510">
        <v>6.3738501426931498</v>
      </c>
      <c r="AI4510">
        <v>97.367165447100703</v>
      </c>
      <c r="AJ4510">
        <v>48.786766020688503</v>
      </c>
      <c r="AK4510">
        <v>8.5434318036725596</v>
      </c>
      <c r="AL4510">
        <v>83.059774275132796</v>
      </c>
      <c r="AM4510">
        <v>61.151120208895001</v>
      </c>
      <c r="AN4510">
        <v>1.00000003600258</v>
      </c>
    </row>
    <row r="4511" spans="1:40" x14ac:dyDescent="0.25">
      <c r="A4511" t="str">
        <f>"20190312164359286"</f>
        <v>20190312164359286</v>
      </c>
      <c r="B4511" t="str">
        <f>"1552380239279558"</f>
        <v>1552380239279558</v>
      </c>
      <c r="C4511" t="s">
        <v>40</v>
      </c>
      <c r="D4511">
        <v>5.3401769999999997</v>
      </c>
      <c r="E4511">
        <v>0.58660730000000005</v>
      </c>
      <c r="F4511" t="s">
        <v>43</v>
      </c>
      <c r="G4511">
        <v>-306.56389999999999</v>
      </c>
      <c r="H4511">
        <v>-0.05</v>
      </c>
      <c r="I4511">
        <v>3.0711360000000001</v>
      </c>
      <c r="J4511">
        <v>-308.92930000000001</v>
      </c>
      <c r="K4511">
        <v>1.0450980000000001</v>
      </c>
      <c r="L4511">
        <v>11.581239999999999</v>
      </c>
      <c r="M4511">
        <v>0.83037479999999997</v>
      </c>
      <c r="N4511">
        <v>0</v>
      </c>
      <c r="O4511">
        <v>-0.55692229999999998</v>
      </c>
      <c r="P4511">
        <v>0.46082060000000002</v>
      </c>
      <c r="Q4511">
        <v>0.1247694</v>
      </c>
      <c r="R4511">
        <v>-0.87867899999999999</v>
      </c>
      <c r="S4511">
        <v>0.91317749999999998</v>
      </c>
      <c r="T4511">
        <v>-0.37712649999999998</v>
      </c>
      <c r="U4511">
        <v>-2.998535</v>
      </c>
      <c r="V4511">
        <v>0.47814020000000002</v>
      </c>
      <c r="W4511">
        <v>0.1218122</v>
      </c>
      <c r="X4511">
        <v>0.86979519999999899</v>
      </c>
      <c r="Y4511">
        <v>0.63141040000000004</v>
      </c>
      <c r="Z4511">
        <v>3.1341029999999999E-2</v>
      </c>
      <c r="AA4511">
        <v>0.77481529999999998</v>
      </c>
      <c r="AB4511">
        <v>36</v>
      </c>
      <c r="AC4511">
        <v>2.3654000000000202</v>
      </c>
      <c r="AD4511">
        <v>-1.0950979999999999</v>
      </c>
      <c r="AE4511">
        <v>-8.5101039999999895</v>
      </c>
      <c r="AF4511">
        <v>5.6630880487000601</v>
      </c>
      <c r="AG4511">
        <v>-1.0950979999999999</v>
      </c>
      <c r="AH4511">
        <v>6.60319105364447</v>
      </c>
      <c r="AI4511">
        <v>97.1750910986229</v>
      </c>
      <c r="AJ4511">
        <v>49.3826526950672</v>
      </c>
      <c r="AK4511">
        <v>8.7676643393701994</v>
      </c>
      <c r="AL4511">
        <v>83.003298486314407</v>
      </c>
      <c r="AM4511">
        <v>61.201707643682198</v>
      </c>
      <c r="AN4511">
        <v>0.99999997643395899</v>
      </c>
    </row>
    <row r="4512" spans="1:40" x14ac:dyDescent="0.25">
      <c r="A4512" t="str">
        <f>"20190312164359307"</f>
        <v>20190312164359307</v>
      </c>
      <c r="B4512" t="str">
        <f>"1552380239300056"</f>
        <v>1552380239300056</v>
      </c>
      <c r="C4512" t="s">
        <v>40</v>
      </c>
      <c r="D4512">
        <v>5.3047339999999998</v>
      </c>
      <c r="E4512">
        <v>0.58617669999999999</v>
      </c>
      <c r="F4512" t="s">
        <v>43</v>
      </c>
      <c r="G4512">
        <v>-306.3974</v>
      </c>
      <c r="H4512">
        <v>-0.05</v>
      </c>
      <c r="I4512">
        <v>2.8049930000000001</v>
      </c>
      <c r="J4512">
        <v>-308.64670000000001</v>
      </c>
      <c r="K4512">
        <v>1.04474</v>
      </c>
      <c r="L4512">
        <v>11.37711</v>
      </c>
      <c r="M4512">
        <v>0.82089820000000002</v>
      </c>
      <c r="N4512">
        <v>0</v>
      </c>
      <c r="O4512">
        <v>-0.57080129999999996</v>
      </c>
      <c r="P4512">
        <v>0.44670549999999998</v>
      </c>
      <c r="Q4512">
        <v>0.1252933</v>
      </c>
      <c r="R4512">
        <v>-0.88586430000000005</v>
      </c>
      <c r="S4512">
        <v>0.86889649999999996</v>
      </c>
      <c r="T4512">
        <v>-0.37582389999999999</v>
      </c>
      <c r="U4512">
        <v>-3.0119020000000001</v>
      </c>
      <c r="V4512">
        <v>0.47743970000000002</v>
      </c>
      <c r="W4512">
        <v>0.1220995</v>
      </c>
      <c r="X4512">
        <v>0.87013969999999896</v>
      </c>
      <c r="Y4512">
        <v>0.62988169999999899</v>
      </c>
      <c r="Z4512">
        <v>3.3396120000000001E-2</v>
      </c>
      <c r="AA4512">
        <v>0.77597269999999996</v>
      </c>
      <c r="AB4512">
        <v>36</v>
      </c>
      <c r="AC4512">
        <v>2.2492999999999999</v>
      </c>
      <c r="AD4512">
        <v>-1.09474</v>
      </c>
      <c r="AE4512">
        <v>-8.5721170000000004</v>
      </c>
      <c r="AF4512">
        <v>5.6673512654091303</v>
      </c>
      <c r="AG4512">
        <v>-1.09474</v>
      </c>
      <c r="AH4512">
        <v>6.6391660114544502</v>
      </c>
      <c r="AI4512">
        <v>97.148287655329298</v>
      </c>
      <c r="AJ4512">
        <v>49.515134039617699</v>
      </c>
      <c r="AK4512">
        <v>8.7974911969712402</v>
      </c>
      <c r="AL4512">
        <v>82.986713962352894</v>
      </c>
      <c r="AM4512">
        <v>61.246724753101702</v>
      </c>
      <c r="AN4512">
        <v>1.0000000262762101</v>
      </c>
    </row>
    <row r="4513" spans="1:40" x14ac:dyDescent="0.25">
      <c r="A4513" t="str">
        <f>"20190312164359331"</f>
        <v>20190312164359331</v>
      </c>
      <c r="B4513" t="str">
        <f>"1552380239319575"</f>
        <v>1552380239319575</v>
      </c>
      <c r="C4513" t="s">
        <v>40</v>
      </c>
      <c r="D4513">
        <v>5.1729250000000002</v>
      </c>
      <c r="E4513">
        <v>0.5856633</v>
      </c>
      <c r="F4513" t="s">
        <v>43</v>
      </c>
      <c r="G4513">
        <v>-306.25279999999998</v>
      </c>
      <c r="H4513">
        <v>-0.05</v>
      </c>
      <c r="I4513">
        <v>2.5882719999999999</v>
      </c>
      <c r="J4513">
        <v>-308.35140000000001</v>
      </c>
      <c r="K4513">
        <v>1.044394</v>
      </c>
      <c r="L4513">
        <v>11.15591</v>
      </c>
      <c r="M4513">
        <v>0.81046079999999998</v>
      </c>
      <c r="N4513">
        <v>0</v>
      </c>
      <c r="O4513">
        <v>-0.58552910000000002</v>
      </c>
      <c r="P4513">
        <v>0.43281710000000001</v>
      </c>
      <c r="Q4513">
        <v>0.1258233</v>
      </c>
      <c r="R4513">
        <v>-0.8926579</v>
      </c>
      <c r="S4513">
        <v>0.82379150000000001</v>
      </c>
      <c r="T4513">
        <v>-0.37671850000000001</v>
      </c>
      <c r="U4513">
        <v>-3.024384</v>
      </c>
      <c r="V4513">
        <v>0.47532390000000002</v>
      </c>
      <c r="W4513">
        <v>0.1224662</v>
      </c>
      <c r="X4513">
        <v>0.87124579999999996</v>
      </c>
      <c r="Y4513">
        <v>0.6275115</v>
      </c>
      <c r="Z4513">
        <v>3.5844139999999997E-2</v>
      </c>
      <c r="AA4513">
        <v>0.77778179999999997</v>
      </c>
      <c r="AB4513">
        <v>36</v>
      </c>
      <c r="AC4513">
        <v>2.09860000000003</v>
      </c>
      <c r="AD4513">
        <v>-1.0943940000000001</v>
      </c>
      <c r="AE4513">
        <v>-8.5676380000000005</v>
      </c>
      <c r="AF4513">
        <v>5.62917714456706</v>
      </c>
      <c r="AG4513">
        <v>-1.0943940000000001</v>
      </c>
      <c r="AH4513">
        <v>6.6166234209891703</v>
      </c>
      <c r="AI4513">
        <v>97.1801742178409</v>
      </c>
      <c r="AJ4513">
        <v>49.6100994597452</v>
      </c>
      <c r="AK4513">
        <v>8.7558574136023193</v>
      </c>
      <c r="AL4513">
        <v>82.965544630863604</v>
      </c>
      <c r="AM4513">
        <v>61.384527041479402</v>
      </c>
      <c r="AN4513">
        <v>1.00000001203564</v>
      </c>
    </row>
    <row r="4514" spans="1:40" x14ac:dyDescent="0.25">
      <c r="A4514" t="str">
        <f>"20190312164359354"</f>
        <v>20190312164359354</v>
      </c>
      <c r="B4514" t="str">
        <f>"1552380239349831"</f>
        <v>1552380239349831</v>
      </c>
      <c r="C4514" t="s">
        <v>40</v>
      </c>
      <c r="D4514">
        <v>5.6576259999999996</v>
      </c>
      <c r="E4514">
        <v>0.58500019999999997</v>
      </c>
      <c r="F4514" t="s">
        <v>43</v>
      </c>
      <c r="G4514">
        <v>-306.07240000000002</v>
      </c>
      <c r="H4514">
        <v>-0.05</v>
      </c>
      <c r="I4514">
        <v>2.2583310000000001</v>
      </c>
      <c r="J4514">
        <v>-308.05099999999999</v>
      </c>
      <c r="K4514">
        <v>1.044065</v>
      </c>
      <c r="L4514">
        <v>10.922269999999999</v>
      </c>
      <c r="M4514">
        <v>0.79925669999999904</v>
      </c>
      <c r="N4514">
        <v>0</v>
      </c>
      <c r="O4514">
        <v>-0.6007344</v>
      </c>
      <c r="P4514">
        <v>0.41867939999999998</v>
      </c>
      <c r="Q4514">
        <v>0.12563270000000001</v>
      </c>
      <c r="R4514">
        <v>-0.89940229999999999</v>
      </c>
      <c r="S4514">
        <v>0.77771000000000001</v>
      </c>
      <c r="T4514">
        <v>-0.37346410000000002</v>
      </c>
      <c r="U4514">
        <v>-3.0363159999999998</v>
      </c>
      <c r="V4514">
        <v>0.47266970000000003</v>
      </c>
      <c r="W4514">
        <v>0.1221539</v>
      </c>
      <c r="X4514">
        <v>0.87273239999999996</v>
      </c>
      <c r="Y4514">
        <v>0.62469609999999998</v>
      </c>
      <c r="Z4514">
        <v>3.8000939999999997E-2</v>
      </c>
      <c r="AA4514">
        <v>0.77994280000000005</v>
      </c>
      <c r="AB4514">
        <v>35</v>
      </c>
      <c r="AC4514">
        <v>1.9785999999999699</v>
      </c>
      <c r="AD4514">
        <v>-1.0940650000000001</v>
      </c>
      <c r="AE4514">
        <v>-8.6639389999999992</v>
      </c>
      <c r="AF4514">
        <v>5.6513287413408397</v>
      </c>
      <c r="AG4514">
        <v>-1.0940650000000001</v>
      </c>
      <c r="AH4514">
        <v>6.6858483253035601</v>
      </c>
      <c r="AI4514">
        <v>97.1235679838897</v>
      </c>
      <c r="AJ4514">
        <v>49.7932571677525</v>
      </c>
      <c r="AK4514">
        <v>8.8224181830093809</v>
      </c>
      <c r="AL4514">
        <v>82.983573600042504</v>
      </c>
      <c r="AM4514">
        <v>61.560134732517099</v>
      </c>
      <c r="AN4514">
        <v>1.00000003129652</v>
      </c>
    </row>
    <row r="4515" spans="1:40" x14ac:dyDescent="0.25">
      <c r="A4515" t="str">
        <f>"20190312164359377"</f>
        <v>20190312164359377</v>
      </c>
      <c r="B4515" t="str">
        <f>"1552380239369352"</f>
        <v>1552380239369352</v>
      </c>
      <c r="C4515" t="s">
        <v>40</v>
      </c>
      <c r="D4515">
        <v>5.1633239999999896</v>
      </c>
      <c r="E4515">
        <v>0.5604981</v>
      </c>
      <c r="F4515" t="s">
        <v>43</v>
      </c>
      <c r="G4515">
        <v>-305.89789999999999</v>
      </c>
      <c r="H4515">
        <v>-0.05</v>
      </c>
      <c r="I4515">
        <v>1.950699</v>
      </c>
      <c r="J4515">
        <v>-307.7713</v>
      </c>
      <c r="K4515">
        <v>1.0437809999999901</v>
      </c>
      <c r="L4515">
        <v>10.6965</v>
      </c>
      <c r="M4515">
        <v>0.78826770000000002</v>
      </c>
      <c r="N4515">
        <v>0</v>
      </c>
      <c r="O4515">
        <v>-0.61508419999999997</v>
      </c>
      <c r="P4515">
        <v>0.40585660000000001</v>
      </c>
      <c r="Q4515">
        <v>0.1240222</v>
      </c>
      <c r="R4515">
        <v>-0.90548309999999999</v>
      </c>
      <c r="S4515">
        <v>0.73126219999999997</v>
      </c>
      <c r="T4515">
        <v>-0.37157829999999997</v>
      </c>
      <c r="U4515">
        <v>-3.0470280000000001</v>
      </c>
      <c r="V4515">
        <v>0.46944279999999999</v>
      </c>
      <c r="W4515">
        <v>0.1204887</v>
      </c>
      <c r="X4515">
        <v>0.87470329999999996</v>
      </c>
      <c r="Y4515">
        <v>0.62250899999999998</v>
      </c>
      <c r="Z4515">
        <v>4.0111420000000002E-2</v>
      </c>
      <c r="AA4515">
        <v>0.781584099999999</v>
      </c>
      <c r="AB4515">
        <v>35</v>
      </c>
      <c r="AC4515">
        <v>1.8734</v>
      </c>
      <c r="AD4515">
        <v>-1.0937809999999999</v>
      </c>
      <c r="AE4515">
        <v>-8.7458010000000002</v>
      </c>
      <c r="AF4515">
        <v>5.6579971232582</v>
      </c>
      <c r="AG4515">
        <v>-1.0937809999999999</v>
      </c>
      <c r="AH4515">
        <v>6.7561557435291704</v>
      </c>
      <c r="AI4515">
        <v>97.075268156316497</v>
      </c>
      <c r="AJ4515">
        <v>50.055238226011497</v>
      </c>
      <c r="AK4515">
        <v>8.8800297721112003</v>
      </c>
      <c r="AL4515">
        <v>83.079692090638204</v>
      </c>
      <c r="AM4515">
        <v>61.778076665645301</v>
      </c>
      <c r="AN4515">
        <v>0.99999996616520903</v>
      </c>
    </row>
    <row r="4516" spans="1:40" x14ac:dyDescent="0.25">
      <c r="A4516" t="str">
        <f>"20190312164359398"</f>
        <v>20190312164359398</v>
      </c>
      <c r="B4516" t="str">
        <f>"1552380239389847"</f>
        <v>1552380239389847</v>
      </c>
      <c r="C4516" t="s">
        <v>40</v>
      </c>
      <c r="D4516">
        <v>5.3533460000000002</v>
      </c>
      <c r="E4516">
        <v>0.55957800000000002</v>
      </c>
      <c r="F4516" t="s">
        <v>43</v>
      </c>
      <c r="G4516">
        <v>-304.64929999999998</v>
      </c>
      <c r="H4516">
        <v>-0.05</v>
      </c>
      <c r="I4516">
        <v>-0.15763849999999999</v>
      </c>
      <c r="J4516">
        <v>-307.50490000000002</v>
      </c>
      <c r="K4516">
        <v>1.0435319999999999</v>
      </c>
      <c r="L4516">
        <v>10.47348</v>
      </c>
      <c r="M4516">
        <v>0.77726859999999998</v>
      </c>
      <c r="N4516">
        <v>0</v>
      </c>
      <c r="O4516">
        <v>-0.62892689999999996</v>
      </c>
      <c r="P4516">
        <v>0.39330860000000001</v>
      </c>
      <c r="Q4516">
        <v>0.1229061</v>
      </c>
      <c r="R4516">
        <v>-0.91115469999999998</v>
      </c>
      <c r="S4516">
        <v>0.85458369999999995</v>
      </c>
      <c r="T4516">
        <v>-0.29940029999999901</v>
      </c>
      <c r="U4516">
        <v>-2.9710999999999999</v>
      </c>
      <c r="V4516">
        <v>0.46616540000000001</v>
      </c>
      <c r="W4516">
        <v>0.1193483</v>
      </c>
      <c r="X4516">
        <v>0.87661039999999901</v>
      </c>
      <c r="Y4516">
        <v>0.57305220000000001</v>
      </c>
      <c r="Z4516">
        <v>3.7085269999999997E-2</v>
      </c>
      <c r="AA4516">
        <v>0.8186793</v>
      </c>
      <c r="AB4516">
        <v>35</v>
      </c>
      <c r="AC4516">
        <v>2.8556000000000301</v>
      </c>
      <c r="AD4516">
        <v>-1.0935319999999999</v>
      </c>
      <c r="AE4516">
        <v>-10.631118499999999</v>
      </c>
      <c r="AF4516">
        <v>6.4050477596676396</v>
      </c>
      <c r="AG4516">
        <v>-1.0935319999999999</v>
      </c>
      <c r="AH4516">
        <v>8.8200801009109107</v>
      </c>
      <c r="AI4516">
        <v>95.7287723041417</v>
      </c>
      <c r="AJ4516">
        <v>54.013248626081598</v>
      </c>
      <c r="AK4516">
        <v>10.955102100169199</v>
      </c>
      <c r="AL4516">
        <v>83.145507341631301</v>
      </c>
      <c r="AM4516">
        <v>61.996770452185302</v>
      </c>
      <c r="AN4516">
        <v>0.99999999512910398</v>
      </c>
    </row>
    <row r="4517" spans="1:40" x14ac:dyDescent="0.25">
      <c r="A4517" t="str">
        <f>"20190312164359420"</f>
        <v>20190312164359420</v>
      </c>
      <c r="B4517" t="str">
        <f>"1552380239409368"</f>
        <v>1552380239409368</v>
      </c>
      <c r="C4517" t="s">
        <v>40</v>
      </c>
      <c r="D4517">
        <v>5.274858</v>
      </c>
      <c r="E4517">
        <v>0.56353319999999996</v>
      </c>
      <c r="F4517" t="s">
        <v>43</v>
      </c>
      <c r="G4517">
        <v>-304.52519999999998</v>
      </c>
      <c r="H4517">
        <v>-0.05</v>
      </c>
      <c r="I4517">
        <v>-0.3872833</v>
      </c>
      <c r="J4517">
        <v>-307.23540000000003</v>
      </c>
      <c r="K4517">
        <v>1.0433140000000001</v>
      </c>
      <c r="L4517">
        <v>10.239560000000001</v>
      </c>
      <c r="M4517">
        <v>0.76559069999999996</v>
      </c>
      <c r="N4517">
        <v>0</v>
      </c>
      <c r="O4517">
        <v>-0.64309179999999999</v>
      </c>
      <c r="P4517">
        <v>0.37922159999999999</v>
      </c>
      <c r="Q4517">
        <v>0.1242789</v>
      </c>
      <c r="R4517">
        <v>-0.91692229999999997</v>
      </c>
      <c r="S4517">
        <v>0.8175964</v>
      </c>
      <c r="T4517">
        <v>-0.30005279999999901</v>
      </c>
      <c r="U4517">
        <v>-2.9800719999999998</v>
      </c>
      <c r="V4517">
        <v>0.46352870000000002</v>
      </c>
      <c r="W4517">
        <v>0.1206753</v>
      </c>
      <c r="X4517">
        <v>0.87782610000000005</v>
      </c>
      <c r="Y4517">
        <v>0.56811579999999995</v>
      </c>
      <c r="Z4517">
        <v>3.915109E-2</v>
      </c>
      <c r="AA4517">
        <v>0.82201679999999999</v>
      </c>
      <c r="AB4517">
        <v>35</v>
      </c>
      <c r="AC4517">
        <v>2.7102000000000399</v>
      </c>
      <c r="AD4517">
        <v>-1.0933139999999999</v>
      </c>
      <c r="AE4517">
        <v>-10.626843300000001</v>
      </c>
      <c r="AF4517">
        <v>6.33095706168071</v>
      </c>
      <c r="AG4517">
        <v>-1.0933139999999999</v>
      </c>
      <c r="AH4517">
        <v>8.8226111093855693</v>
      </c>
      <c r="AI4517">
        <v>95.749283166885107</v>
      </c>
      <c r="AJ4517">
        <v>54.337415516641002</v>
      </c>
      <c r="AK4517">
        <v>10.913973593833401</v>
      </c>
      <c r="AL4517">
        <v>83.068922507708805</v>
      </c>
      <c r="AM4517">
        <v>62.164082124530402</v>
      </c>
      <c r="AN4517">
        <v>1.0000000227974899</v>
      </c>
    </row>
    <row r="4518" spans="1:40" x14ac:dyDescent="0.25">
      <c r="A4518" t="str">
        <f>"20190312164359442"</f>
        <v>20190312164359442</v>
      </c>
      <c r="B4518" t="str">
        <f>"1552380239439623"</f>
        <v>1552380239439623</v>
      </c>
      <c r="C4518" t="s">
        <v>40</v>
      </c>
      <c r="D4518">
        <v>5.1581609999999998</v>
      </c>
      <c r="E4518">
        <v>0.56586179999999997</v>
      </c>
      <c r="F4518" t="s">
        <v>43</v>
      </c>
      <c r="G4518">
        <v>-304.64920000000001</v>
      </c>
      <c r="H4518">
        <v>-0.05</v>
      </c>
      <c r="I4518">
        <v>-0.21343989999999999</v>
      </c>
      <c r="J4518">
        <v>-306.97179999999997</v>
      </c>
      <c r="K4518">
        <v>1.04312</v>
      </c>
      <c r="L4518">
        <v>10.00183</v>
      </c>
      <c r="M4518">
        <v>0.75359140000000002</v>
      </c>
      <c r="N4518">
        <v>0</v>
      </c>
      <c r="O4518">
        <v>-0.65711209999999998</v>
      </c>
      <c r="P4518">
        <v>0.36464970000000002</v>
      </c>
      <c r="Q4518">
        <v>0.12604879999999999</v>
      </c>
      <c r="R4518">
        <v>-0.92257389999999995</v>
      </c>
      <c r="S4518">
        <v>0.743927</v>
      </c>
      <c r="T4518">
        <v>-0.31448779999999998</v>
      </c>
      <c r="U4518">
        <v>-3.0067750000000002</v>
      </c>
      <c r="V4518">
        <v>0.46115859999999897</v>
      </c>
      <c r="W4518">
        <v>0.1224061</v>
      </c>
      <c r="X4518">
        <v>0.87883409999999995</v>
      </c>
      <c r="Y4518">
        <v>0.57364890000000002</v>
      </c>
      <c r="Z4518">
        <v>4.2437990000000002E-2</v>
      </c>
      <c r="AA4518">
        <v>0.81800119999999998</v>
      </c>
      <c r="AB4518">
        <v>35</v>
      </c>
      <c r="AC4518">
        <v>2.32259999999996</v>
      </c>
      <c r="AD4518">
        <v>-1.0931200000000001</v>
      </c>
      <c r="AE4518">
        <v>-10.215269899999999</v>
      </c>
      <c r="AF4518">
        <v>6.10638238089527</v>
      </c>
      <c r="AG4518">
        <v>-1.0931200000000001</v>
      </c>
      <c r="AH4518">
        <v>8.3729894807077407</v>
      </c>
      <c r="AI4518">
        <v>96.021375879832505</v>
      </c>
      <c r="AJ4518">
        <v>53.896902275309202</v>
      </c>
      <c r="AK4518">
        <v>10.420641533041501</v>
      </c>
      <c r="AL4518">
        <v>82.969013712469405</v>
      </c>
      <c r="AM4518">
        <v>62.312247745747499</v>
      </c>
      <c r="AN4518">
        <v>0.99999994149698801</v>
      </c>
    </row>
    <row r="4519" spans="1:40" x14ac:dyDescent="0.25">
      <c r="A4519" t="str">
        <f>"20190312164359464"</f>
        <v>20190312164359464</v>
      </c>
      <c r="B4519" t="str">
        <f>"1552380239459143"</f>
        <v>1552380239459143</v>
      </c>
      <c r="C4519" t="s">
        <v>40</v>
      </c>
      <c r="D4519">
        <v>5.0769409999999997</v>
      </c>
      <c r="E4519">
        <v>0.56666879999999997</v>
      </c>
      <c r="F4519" t="s">
        <v>42</v>
      </c>
      <c r="G4519">
        <v>-304.61450000000002</v>
      </c>
      <c r="H4519" s="1">
        <v>-5.0577979999999996E-6</v>
      </c>
      <c r="I4519">
        <v>-0.51049040000000001</v>
      </c>
      <c r="J4519">
        <v>-306.70589999999999</v>
      </c>
      <c r="K4519">
        <v>1.0429360000000001</v>
      </c>
      <c r="L4519">
        <v>9.7526860000000006</v>
      </c>
      <c r="M4519">
        <v>0.74089169999999904</v>
      </c>
      <c r="N4519">
        <v>0</v>
      </c>
      <c r="O4519">
        <v>-0.67139859999999996</v>
      </c>
      <c r="P4519">
        <v>0.3497498</v>
      </c>
      <c r="Q4519">
        <v>0.1274401</v>
      </c>
      <c r="R4519">
        <v>-0.92813489999999998</v>
      </c>
      <c r="S4519">
        <v>0.678253199999999</v>
      </c>
      <c r="T4519">
        <v>-0.30013610000000002</v>
      </c>
      <c r="U4519">
        <v>-3.024689</v>
      </c>
      <c r="V4519">
        <v>0.45845540000000001</v>
      </c>
      <c r="W4519">
        <v>0.1237888</v>
      </c>
      <c r="X4519">
        <v>0.88005389999999994</v>
      </c>
      <c r="Y4519">
        <v>0.57598719999999903</v>
      </c>
      <c r="Z4519">
        <v>4.2134400000000002E-2</v>
      </c>
      <c r="AA4519">
        <v>0.81637209999999905</v>
      </c>
      <c r="AB4519">
        <v>35</v>
      </c>
      <c r="AC4519">
        <v>2.0913999999999602</v>
      </c>
      <c r="AD4519">
        <v>-1.0429410577980001</v>
      </c>
      <c r="AE4519">
        <v>-10.263176400000001</v>
      </c>
      <c r="AF4519">
        <v>6.13980466986186</v>
      </c>
      <c r="AG4519">
        <v>-1.0429410577980001</v>
      </c>
      <c r="AH4519">
        <v>8.3585896983591095</v>
      </c>
      <c r="AI4519">
        <v>95.742393431442395</v>
      </c>
      <c r="AJ4519">
        <v>53.700845391519799</v>
      </c>
      <c r="AK4519">
        <v>10.423576602088801</v>
      </c>
      <c r="AL4519">
        <v>82.889183703287003</v>
      </c>
      <c r="AM4519">
        <v>62.483183926468101</v>
      </c>
      <c r="AN4519">
        <v>0.99999994384990298</v>
      </c>
    </row>
    <row r="4520" spans="1:40" x14ac:dyDescent="0.25">
      <c r="A4520" t="str">
        <f>"20190312164359487"</f>
        <v>20190312164359487</v>
      </c>
      <c r="B4520" t="str">
        <f>"1552380239479643"</f>
        <v>1552380239479643</v>
      </c>
      <c r="C4520" t="s">
        <v>40</v>
      </c>
      <c r="D4520">
        <v>5.0806509999999996</v>
      </c>
      <c r="E4520">
        <v>0.56682569999999999</v>
      </c>
      <c r="F4520" t="s">
        <v>42</v>
      </c>
      <c r="G4520">
        <v>-304.48289999999997</v>
      </c>
      <c r="H4520" s="1">
        <v>-4.8013430000000002E-6</v>
      </c>
      <c r="I4520">
        <v>-1.1175120000000001</v>
      </c>
      <c r="J4520">
        <v>-306.44600000000003</v>
      </c>
      <c r="K4520">
        <v>1.0427709999999999</v>
      </c>
      <c r="L4520">
        <v>9.4997249999999998</v>
      </c>
      <c r="M4520">
        <v>0.72787539999999995</v>
      </c>
      <c r="N4520">
        <v>0</v>
      </c>
      <c r="O4520">
        <v>-0.68548809999999905</v>
      </c>
      <c r="P4520">
        <v>0.33554630000000002</v>
      </c>
      <c r="Q4520">
        <v>0.1279631</v>
      </c>
      <c r="R4520">
        <v>-0.93329229999999996</v>
      </c>
      <c r="S4520">
        <v>0.6213379</v>
      </c>
      <c r="T4520">
        <v>-0.29149770000000003</v>
      </c>
      <c r="U4520">
        <v>-3.0381770000000001</v>
      </c>
      <c r="V4520">
        <v>0.4549977</v>
      </c>
      <c r="W4520">
        <v>0.12436179999999999</v>
      </c>
      <c r="X4520">
        <v>0.88176599999999905</v>
      </c>
      <c r="Y4520">
        <v>0.5757388</v>
      </c>
      <c r="Z4520">
        <v>4.2628939999999997E-2</v>
      </c>
      <c r="AA4520">
        <v>0.81652159999999996</v>
      </c>
      <c r="AB4520">
        <v>35</v>
      </c>
      <c r="AC4520">
        <v>1.9630999999999901</v>
      </c>
      <c r="AD4520">
        <v>-1.042775801343</v>
      </c>
      <c r="AE4520">
        <v>-10.617236999999999</v>
      </c>
      <c r="AF4520">
        <v>6.3243231961689501</v>
      </c>
      <c r="AG4520">
        <v>-1.042775801343</v>
      </c>
      <c r="AH4520">
        <v>8.6277291165910501</v>
      </c>
      <c r="AI4520">
        <v>95.567556299735003</v>
      </c>
      <c r="AJ4520">
        <v>53.757729581431498</v>
      </c>
      <c r="AK4520">
        <v>10.748123323201099</v>
      </c>
      <c r="AL4520">
        <v>82.856098114006699</v>
      </c>
      <c r="AM4520">
        <v>62.705935281030698</v>
      </c>
      <c r="AN4520">
        <v>1.00000002153026</v>
      </c>
    </row>
    <row r="4521" spans="1:40" x14ac:dyDescent="0.25">
      <c r="A4521" t="str">
        <f>"20190312164359508"</f>
        <v>20190312164359508</v>
      </c>
      <c r="B4521" t="str">
        <f>"1552380239499159"</f>
        <v>1552380239499159</v>
      </c>
      <c r="C4521" t="s">
        <v>40</v>
      </c>
      <c r="D4521">
        <v>5.1047690000000001</v>
      </c>
      <c r="E4521">
        <v>0.56656680000000004</v>
      </c>
      <c r="F4521" t="s">
        <v>42</v>
      </c>
      <c r="G4521">
        <v>-304.39089999999999</v>
      </c>
      <c r="H4521" s="1">
        <v>-4.6577399999999997E-6</v>
      </c>
      <c r="I4521">
        <v>-1.4489909999999999</v>
      </c>
      <c r="J4521">
        <v>-306.20609999999999</v>
      </c>
      <c r="K4521">
        <v>1.042621</v>
      </c>
      <c r="L4521">
        <v>9.2575380000000003</v>
      </c>
      <c r="M4521">
        <v>0.71531029999999995</v>
      </c>
      <c r="N4521">
        <v>0</v>
      </c>
      <c r="O4521">
        <v>-0.69858959999999903</v>
      </c>
      <c r="P4521">
        <v>0.3235382</v>
      </c>
      <c r="Q4521">
        <v>0.12696859999999999</v>
      </c>
      <c r="R4521">
        <v>-0.93765810000000005</v>
      </c>
      <c r="S4521">
        <v>0.57220459999999995</v>
      </c>
      <c r="T4521">
        <v>-0.29034690000000002</v>
      </c>
      <c r="U4521">
        <v>-3.0485229999999999</v>
      </c>
      <c r="V4521">
        <v>0.45037949999999999</v>
      </c>
      <c r="W4521">
        <v>0.1235002</v>
      </c>
      <c r="X4521">
        <v>0.88425450000000005</v>
      </c>
      <c r="Y4521">
        <v>0.57413910000000001</v>
      </c>
      <c r="Z4521">
        <v>4.411561E-2</v>
      </c>
      <c r="AA4521">
        <v>0.81756839999999997</v>
      </c>
      <c r="AB4521">
        <v>35</v>
      </c>
      <c r="AC4521">
        <v>1.8151999999999999</v>
      </c>
      <c r="AD4521">
        <v>-1.0426256577399999</v>
      </c>
      <c r="AE4521">
        <v>-10.706529</v>
      </c>
      <c r="AF4521">
        <v>6.3330017155985798</v>
      </c>
      <c r="AG4521">
        <v>-1.0426256577399999</v>
      </c>
      <c r="AH4521">
        <v>8.6990438878601193</v>
      </c>
      <c r="AI4521">
        <v>95.534521056105802</v>
      </c>
      <c r="AJ4521">
        <v>53.944960965105203</v>
      </c>
      <c r="AK4521">
        <v>10.810520040907701</v>
      </c>
      <c r="AL4521">
        <v>82.905847582754504</v>
      </c>
      <c r="AM4521">
        <v>63.008780156081897</v>
      </c>
      <c r="AN4521">
        <v>1.0000000070952699</v>
      </c>
    </row>
    <row r="4522" spans="1:40" x14ac:dyDescent="0.25">
      <c r="A4522" t="str">
        <f>"20190312164359531"</f>
        <v>20190312164359531</v>
      </c>
      <c r="B4522" t="str">
        <f>"1552380239519656"</f>
        <v>1552380239519656</v>
      </c>
      <c r="C4522" t="s">
        <v>40</v>
      </c>
      <c r="D4522">
        <v>5.2641869999999997</v>
      </c>
      <c r="E4522">
        <v>0.56603939999999997</v>
      </c>
      <c r="F4522" t="s">
        <v>42</v>
      </c>
      <c r="G4522">
        <v>-304.30220000000003</v>
      </c>
      <c r="H4522" s="1">
        <v>-4.5474400000000001E-6</v>
      </c>
      <c r="I4522">
        <v>-1.6952100000000001</v>
      </c>
      <c r="J4522">
        <v>-305.9581</v>
      </c>
      <c r="K4522">
        <v>1.0424869999999999</v>
      </c>
      <c r="L4522">
        <v>8.9977420000000006</v>
      </c>
      <c r="M4522">
        <v>0.70173439999999998</v>
      </c>
      <c r="N4522">
        <v>0</v>
      </c>
      <c r="O4522">
        <v>-0.71222540000000001</v>
      </c>
      <c r="P4522">
        <v>0.30998629999999999</v>
      </c>
      <c r="Q4522">
        <v>0.12622059999999999</v>
      </c>
      <c r="R4522">
        <v>-0.94232550000000004</v>
      </c>
      <c r="S4522">
        <v>0.53115840000000003</v>
      </c>
      <c r="T4522">
        <v>-0.2908694</v>
      </c>
      <c r="U4522">
        <v>-3.0555729999999999</v>
      </c>
      <c r="V4522">
        <v>0.44616729999999999</v>
      </c>
      <c r="W4522">
        <v>0.1228713</v>
      </c>
      <c r="X4522">
        <v>0.88647469999999995</v>
      </c>
      <c r="Y4522">
        <v>0.56938319999999998</v>
      </c>
      <c r="Z4522">
        <v>4.6081320000000002E-2</v>
      </c>
      <c r="AA4522">
        <v>0.820779699999999</v>
      </c>
      <c r="AB4522">
        <v>35</v>
      </c>
      <c r="AC4522">
        <v>1.65589999999997</v>
      </c>
      <c r="AD4522">
        <v>-1.0424915474400001</v>
      </c>
      <c r="AE4522">
        <v>-10.692952</v>
      </c>
      <c r="AF4522">
        <v>6.2670264067255301</v>
      </c>
      <c r="AG4522">
        <v>-1.0424915474400001</v>
      </c>
      <c r="AH4522">
        <v>8.69838626621023</v>
      </c>
      <c r="AI4522">
        <v>95.553937340341506</v>
      </c>
      <c r="AJ4522">
        <v>54.227947726606899</v>
      </c>
      <c r="AK4522">
        <v>10.771459151167599</v>
      </c>
      <c r="AL4522">
        <v>82.942157432244599</v>
      </c>
      <c r="AM4522">
        <v>63.283651345875398</v>
      </c>
      <c r="AN4522">
        <v>1.0000000048465301</v>
      </c>
    </row>
    <row r="4523" spans="1:40" x14ac:dyDescent="0.25">
      <c r="A4523" t="str">
        <f>"20190312164359555"</f>
        <v>20190312164359555</v>
      </c>
      <c r="B4523" t="str">
        <f>"1552380239549911"</f>
        <v>1552380239549911</v>
      </c>
      <c r="C4523" t="s">
        <v>40</v>
      </c>
      <c r="D4523">
        <v>5.2744619999999998</v>
      </c>
      <c r="E4523">
        <v>0.56508359999999902</v>
      </c>
      <c r="F4523" t="s">
        <v>42</v>
      </c>
      <c r="G4523">
        <v>-304.17099999999999</v>
      </c>
      <c r="H4523" s="1">
        <v>-4.339211E-6</v>
      </c>
      <c r="I4523">
        <v>-2.1768679999999998</v>
      </c>
      <c r="J4523">
        <v>-305.70339999999999</v>
      </c>
      <c r="K4523">
        <v>1.042362</v>
      </c>
      <c r="L4523">
        <v>8.7204899999999999</v>
      </c>
      <c r="M4523">
        <v>0.68714310000000001</v>
      </c>
      <c r="N4523">
        <v>0</v>
      </c>
      <c r="O4523">
        <v>-0.72631259999999997</v>
      </c>
      <c r="P4523">
        <v>0.29463709999999999</v>
      </c>
      <c r="Q4523">
        <v>0.124572699999999</v>
      </c>
      <c r="R4523">
        <v>-0.94745480000000004</v>
      </c>
      <c r="S4523">
        <v>0.48950199999999999</v>
      </c>
      <c r="T4523">
        <v>-0.28555009999999997</v>
      </c>
      <c r="U4523">
        <v>-3.0608520000000001</v>
      </c>
      <c r="V4523">
        <v>0.44268420000000003</v>
      </c>
      <c r="W4523">
        <v>0.1213142</v>
      </c>
      <c r="X4523">
        <v>0.88843320000000003</v>
      </c>
      <c r="Y4523">
        <v>0.56383749999999999</v>
      </c>
      <c r="Z4523">
        <v>4.721061E-2</v>
      </c>
      <c r="AA4523">
        <v>0.82453529999999997</v>
      </c>
      <c r="AB4523">
        <v>35</v>
      </c>
      <c r="AC4523">
        <v>1.53239999999999</v>
      </c>
      <c r="AD4523">
        <v>-1.0423663392110001</v>
      </c>
      <c r="AE4523">
        <v>-10.897358000000001</v>
      </c>
      <c r="AF4523">
        <v>6.3193157772091704</v>
      </c>
      <c r="AG4523">
        <v>-1.0423663392110001</v>
      </c>
      <c r="AH4523">
        <v>8.8894743047868801</v>
      </c>
      <c r="AI4523">
        <v>95.459235891928998</v>
      </c>
      <c r="AJ4523">
        <v>54.591884543737699</v>
      </c>
      <c r="AK4523">
        <v>10.9564151478789</v>
      </c>
      <c r="AL4523">
        <v>83.032045097507805</v>
      </c>
      <c r="AM4523">
        <v>63.514063934534398</v>
      </c>
      <c r="AN4523">
        <v>0.99999999345676005</v>
      </c>
    </row>
    <row r="4524" spans="1:40" x14ac:dyDescent="0.25">
      <c r="A4524" t="str">
        <f>"20190312164359577"</f>
        <v>20190312164359577</v>
      </c>
      <c r="B4524" t="str">
        <f>"1552380239569431"</f>
        <v>1552380239569431</v>
      </c>
      <c r="C4524" t="s">
        <v>40</v>
      </c>
      <c r="D4524">
        <v>5.1727280000000002</v>
      </c>
      <c r="E4524">
        <v>0.56440009999999996</v>
      </c>
      <c r="F4524" t="s">
        <v>42</v>
      </c>
      <c r="G4524">
        <v>-304.06119999999999</v>
      </c>
      <c r="H4524" s="1">
        <v>-4.1800359999999999E-6</v>
      </c>
      <c r="I4524">
        <v>-2.540645</v>
      </c>
      <c r="J4524">
        <v>-305.4683</v>
      </c>
      <c r="K4524">
        <v>1.0422610000000001</v>
      </c>
      <c r="L4524">
        <v>8.4541930000000001</v>
      </c>
      <c r="M4524">
        <v>0.67304469999999905</v>
      </c>
      <c r="N4524">
        <v>0</v>
      </c>
      <c r="O4524">
        <v>-0.73939600000000005</v>
      </c>
      <c r="P4524">
        <v>0.28084130000000002</v>
      </c>
      <c r="Q4524">
        <v>0.12333180000000001</v>
      </c>
      <c r="R4524">
        <v>-0.95179689999999995</v>
      </c>
      <c r="S4524">
        <v>0.44692989999999999</v>
      </c>
      <c r="T4524">
        <v>-0.28367819999999999</v>
      </c>
      <c r="U4524">
        <v>-3.0646969999999998</v>
      </c>
      <c r="V4524">
        <v>0.43856840000000002</v>
      </c>
      <c r="W4524">
        <v>0.12021179999999999</v>
      </c>
      <c r="X4524">
        <v>0.89062160000000001</v>
      </c>
      <c r="Y4524">
        <v>0.55932349999999997</v>
      </c>
      <c r="Z4524">
        <v>4.8715799999999997E-2</v>
      </c>
      <c r="AA4524">
        <v>0.82751679999999905</v>
      </c>
      <c r="AB4524">
        <v>35</v>
      </c>
      <c r="AC4524">
        <v>1.40710000000001</v>
      </c>
      <c r="AD4524">
        <v>-1.0422651800360001</v>
      </c>
      <c r="AE4524">
        <v>-10.994838</v>
      </c>
      <c r="AF4524">
        <v>6.3048375571707203</v>
      </c>
      <c r="AG4524">
        <v>-1.0422651800360001</v>
      </c>
      <c r="AH4524">
        <v>8.9984032415566499</v>
      </c>
      <c r="AI4524">
        <v>95.418880971353502</v>
      </c>
      <c r="AJ4524">
        <v>54.982538539512603</v>
      </c>
      <c r="AK4524">
        <v>11.0366912716394</v>
      </c>
      <c r="AL4524">
        <v>83.095673523974497</v>
      </c>
      <c r="AM4524">
        <v>63.783002064859502</v>
      </c>
      <c r="AN4524">
        <v>0.99999997636217897</v>
      </c>
    </row>
    <row r="4525" spans="1:40" x14ac:dyDescent="0.25">
      <c r="A4525" t="str">
        <f>"20190312164359599"</f>
        <v>20190312164359599</v>
      </c>
      <c r="B4525" t="str">
        <f>"1552380239589926"</f>
        <v>1552380239589926</v>
      </c>
      <c r="C4525" t="s">
        <v>40</v>
      </c>
      <c r="D4525">
        <v>5.1975519999999999</v>
      </c>
      <c r="E4525">
        <v>0.5639189</v>
      </c>
      <c r="F4525" t="s">
        <v>42</v>
      </c>
      <c r="G4525">
        <v>-303.98849999999999</v>
      </c>
      <c r="H4525" s="1">
        <v>-4.0990159999999997E-6</v>
      </c>
      <c r="I4525">
        <v>-2.718067</v>
      </c>
      <c r="J4525">
        <v>-305.2466</v>
      </c>
      <c r="K4525">
        <v>1.0421659999999999</v>
      </c>
      <c r="L4525">
        <v>8.1933899999999902</v>
      </c>
      <c r="M4525">
        <v>0.65917040000000005</v>
      </c>
      <c r="N4525">
        <v>0</v>
      </c>
      <c r="O4525">
        <v>-0.75179119999999899</v>
      </c>
      <c r="P4525">
        <v>0.26818360000000002</v>
      </c>
      <c r="Q4525">
        <v>0.1218312</v>
      </c>
      <c r="R4525">
        <v>-0.95563319999999996</v>
      </c>
      <c r="S4525">
        <v>0.40649410000000002</v>
      </c>
      <c r="T4525">
        <v>-0.28631689999999999</v>
      </c>
      <c r="U4525">
        <v>-3.0690919999999999</v>
      </c>
      <c r="V4525">
        <v>0.43388599999999999</v>
      </c>
      <c r="W4525">
        <v>0.1188905</v>
      </c>
      <c r="X4525">
        <v>0.89308899999999902</v>
      </c>
      <c r="Y4525">
        <v>0.55477860000000001</v>
      </c>
      <c r="Z4525">
        <v>5.0897959999999999E-2</v>
      </c>
      <c r="AA4525">
        <v>0.830439699999999</v>
      </c>
      <c r="AB4525">
        <v>35</v>
      </c>
      <c r="AC4525">
        <v>1.25810000000001</v>
      </c>
      <c r="AD4525">
        <v>-1.0421700990160001</v>
      </c>
      <c r="AE4525">
        <v>-10.911457</v>
      </c>
      <c r="AF4525">
        <v>6.19188771316478</v>
      </c>
      <c r="AG4525">
        <v>-1.0421700990160001</v>
      </c>
      <c r="AH4525">
        <v>8.9532108774014993</v>
      </c>
      <c r="AI4525">
        <v>95.468666539496098</v>
      </c>
      <c r="AJ4525">
        <v>55.332927872219798</v>
      </c>
      <c r="AK4525">
        <v>10.9355190541164</v>
      </c>
      <c r="AL4525">
        <v>83.171925392370795</v>
      </c>
      <c r="AM4525">
        <v>64.0883058322799</v>
      </c>
      <c r="AN4525">
        <v>0.99999998695362402</v>
      </c>
    </row>
    <row r="4526" spans="1:40" x14ac:dyDescent="0.25">
      <c r="A4526" t="str">
        <f>"20190312164359621"</f>
        <v>20190312164359621</v>
      </c>
      <c r="B4526" t="str">
        <f>"1552380239609447"</f>
        <v>1552380239609447</v>
      </c>
      <c r="C4526" t="s">
        <v>40</v>
      </c>
      <c r="D4526">
        <v>5.2154819999999997</v>
      </c>
      <c r="E4526">
        <v>0.56394299999999997</v>
      </c>
      <c r="F4526" t="s">
        <v>42</v>
      </c>
      <c r="G4526">
        <v>-303.93819999999999</v>
      </c>
      <c r="H4526" s="1">
        <v>-4.0789939999999997E-6</v>
      </c>
      <c r="I4526">
        <v>-2.7469540000000001</v>
      </c>
      <c r="J4526">
        <v>-305.02699999999999</v>
      </c>
      <c r="K4526">
        <v>1.0420860000000001</v>
      </c>
      <c r="L4526">
        <v>7.9250179999999997</v>
      </c>
      <c r="M4526">
        <v>0.64482220000000001</v>
      </c>
      <c r="N4526">
        <v>0</v>
      </c>
      <c r="O4526">
        <v>-0.76413359999999997</v>
      </c>
      <c r="P4526">
        <v>0.25428849999999997</v>
      </c>
      <c r="Q4526">
        <v>0.1205663</v>
      </c>
      <c r="R4526">
        <v>-0.9595844</v>
      </c>
      <c r="S4526">
        <v>0.36758420000000003</v>
      </c>
      <c r="T4526">
        <v>-0.29277530000000002</v>
      </c>
      <c r="U4526">
        <v>-3.0734560000000002</v>
      </c>
      <c r="V4526">
        <v>0.4299963</v>
      </c>
      <c r="W4526">
        <v>0.11777120000000001</v>
      </c>
      <c r="X4526">
        <v>0.89511629999999998</v>
      </c>
      <c r="Y4526">
        <v>0.54954340000000002</v>
      </c>
      <c r="Z4526">
        <v>5.3825039999999998E-2</v>
      </c>
      <c r="AA4526">
        <v>0.83372950000000001</v>
      </c>
      <c r="AB4526">
        <v>35</v>
      </c>
      <c r="AC4526">
        <v>1.08879999999999</v>
      </c>
      <c r="AD4526">
        <v>-1.042090078994</v>
      </c>
      <c r="AE4526">
        <v>-10.671972</v>
      </c>
      <c r="AF4526">
        <v>5.9938929890116901</v>
      </c>
      <c r="AG4526">
        <v>-1.042090078994</v>
      </c>
      <c r="AH4526">
        <v>8.7754302764399696</v>
      </c>
      <c r="AI4526">
        <v>95.600508977075904</v>
      </c>
      <c r="AJ4526">
        <v>55.665703546111899</v>
      </c>
      <c r="AK4526">
        <v>10.678056069955799</v>
      </c>
      <c r="AL4526">
        <v>83.236510628399103</v>
      </c>
      <c r="AM4526">
        <v>64.341284162091398</v>
      </c>
      <c r="AN4526">
        <v>1.0000000320444</v>
      </c>
    </row>
    <row r="4527" spans="1:40" x14ac:dyDescent="0.25">
      <c r="A4527" t="str">
        <f>"20190312164359643"</f>
        <v>20190312164359643</v>
      </c>
      <c r="B4527" t="str">
        <f>"1552380239639704"</f>
        <v>1552380239639704</v>
      </c>
      <c r="C4527" t="s">
        <v>40</v>
      </c>
      <c r="D4527">
        <v>5.3426799999999997</v>
      </c>
      <c r="E4527">
        <v>0.56323120000000004</v>
      </c>
      <c r="F4527" t="s">
        <v>42</v>
      </c>
      <c r="G4527">
        <v>-303.89440000000002</v>
      </c>
      <c r="H4527" s="1">
        <v>-4.0200590000000002E-6</v>
      </c>
      <c r="I4527">
        <v>-2.880185</v>
      </c>
      <c r="J4527">
        <v>-304.80799999999999</v>
      </c>
      <c r="K4527">
        <v>1.0420229999999999</v>
      </c>
      <c r="L4527">
        <v>7.6459659999999996</v>
      </c>
      <c r="M4527">
        <v>0.62985049999999998</v>
      </c>
      <c r="N4527">
        <v>0</v>
      </c>
      <c r="O4527">
        <v>-0.77652030000000005</v>
      </c>
      <c r="P4527">
        <v>0.24029030000000001</v>
      </c>
      <c r="Q4527">
        <v>0.1191825</v>
      </c>
      <c r="R4527">
        <v>-0.96335660000000001</v>
      </c>
      <c r="S4527">
        <v>0.32266240000000002</v>
      </c>
      <c r="T4527">
        <v>-0.29686770000000001</v>
      </c>
      <c r="U4527">
        <v>-3.0781559999999999</v>
      </c>
      <c r="V4527">
        <v>0.42568590000000001</v>
      </c>
      <c r="W4527">
        <v>0.11656130000000001</v>
      </c>
      <c r="X4527">
        <v>0.89733220000000002</v>
      </c>
      <c r="Y4527">
        <v>0.54548680000000005</v>
      </c>
      <c r="Z4527">
        <v>5.6345810000000003E-2</v>
      </c>
      <c r="AA4527">
        <v>0.83622319999999895</v>
      </c>
      <c r="AB4527">
        <v>35</v>
      </c>
      <c r="AC4527">
        <v>0.91359999999997399</v>
      </c>
      <c r="AD4527">
        <v>-1.0420270200589901</v>
      </c>
      <c r="AE4527">
        <v>-10.526150999999899</v>
      </c>
      <c r="AF4527">
        <v>5.8643345080977101</v>
      </c>
      <c r="AG4527">
        <v>-1.0420270200589901</v>
      </c>
      <c r="AH4527">
        <v>8.66624128044187</v>
      </c>
      <c r="AI4527">
        <v>95.686914297624199</v>
      </c>
      <c r="AJ4527">
        <v>55.9142911826657</v>
      </c>
      <c r="AK4527">
        <v>10.515701472761201</v>
      </c>
      <c r="AL4527">
        <v>83.3063136932616</v>
      </c>
      <c r="AM4527">
        <v>64.620780146839707</v>
      </c>
      <c r="AN4527">
        <v>1.0000000496366599</v>
      </c>
    </row>
    <row r="4528" spans="1:40" x14ac:dyDescent="0.25">
      <c r="A4528" t="str">
        <f>"20190312164359666"</f>
        <v>20190312164359666</v>
      </c>
      <c r="B4528" t="str">
        <f>"1552380239659223"</f>
        <v>1552380239659223</v>
      </c>
      <c r="C4528" t="s">
        <v>40</v>
      </c>
      <c r="D4528">
        <v>5.1541759999999996</v>
      </c>
      <c r="E4528">
        <v>0.56315590000000004</v>
      </c>
      <c r="F4528" t="s">
        <v>42</v>
      </c>
      <c r="G4528">
        <v>-303.80849999999998</v>
      </c>
      <c r="H4528" s="1">
        <v>-3.8760160000000003E-6</v>
      </c>
      <c r="I4528">
        <v>-3.2156359999999999</v>
      </c>
      <c r="J4528">
        <v>-304.59100000000001</v>
      </c>
      <c r="K4528">
        <v>1.0419639999999999</v>
      </c>
      <c r="L4528">
        <v>7.357971</v>
      </c>
      <c r="M4528">
        <v>0.61434040000000001</v>
      </c>
      <c r="N4528">
        <v>0</v>
      </c>
      <c r="O4528">
        <v>-0.78884790000000005</v>
      </c>
      <c r="P4528">
        <v>0.22634770000000001</v>
      </c>
      <c r="Q4528">
        <v>0.1184409</v>
      </c>
      <c r="R4528">
        <v>-0.96681899999999998</v>
      </c>
      <c r="S4528">
        <v>0.28341670000000002</v>
      </c>
      <c r="T4528">
        <v>-0.29548380000000002</v>
      </c>
      <c r="U4528">
        <v>-3.079987</v>
      </c>
      <c r="V4528">
        <v>0.42089359999999998</v>
      </c>
      <c r="W4528">
        <v>0.11602419999999999</v>
      </c>
      <c r="X4528">
        <v>0.8996594</v>
      </c>
      <c r="Y4528">
        <v>0.53949449999999999</v>
      </c>
      <c r="Z4528">
        <v>5.7956729999999998E-2</v>
      </c>
      <c r="AA4528">
        <v>0.83999210000000002</v>
      </c>
      <c r="AB4528">
        <v>35</v>
      </c>
      <c r="AC4528">
        <v>0.78250000000002695</v>
      </c>
      <c r="AD4528">
        <v>-1.0419678760159901</v>
      </c>
      <c r="AE4528">
        <v>-10.573607000000001</v>
      </c>
      <c r="AF4528">
        <v>5.8231761141072003</v>
      </c>
      <c r="AG4528">
        <v>-1.0419678760159901</v>
      </c>
      <c r="AH4528">
        <v>8.7386357077500492</v>
      </c>
      <c r="AI4528">
        <v>95.666603972561504</v>
      </c>
      <c r="AJ4528">
        <v>56.321649825678598</v>
      </c>
      <c r="AK4528">
        <v>10.5526693847254</v>
      </c>
      <c r="AL4528">
        <v>83.337297394702802</v>
      </c>
      <c r="AM4528">
        <v>64.928086212668006</v>
      </c>
      <c r="AN4528">
        <v>1.00000003675747</v>
      </c>
    </row>
    <row r="4529" spans="1:40" x14ac:dyDescent="0.25">
      <c r="A4529" t="str">
        <f>"20190312164359688"</f>
        <v>20190312164359688</v>
      </c>
      <c r="B4529" t="str">
        <f>"1552380239679719"</f>
        <v>1552380239679719</v>
      </c>
      <c r="C4529" t="s">
        <v>40</v>
      </c>
      <c r="D4529">
        <v>5.2559500000000003</v>
      </c>
      <c r="E4529">
        <v>0.56316999999999995</v>
      </c>
      <c r="F4529" t="s">
        <v>42</v>
      </c>
      <c r="G4529">
        <v>-303.75360000000001</v>
      </c>
      <c r="H4529" s="1">
        <v>-3.747565E-6</v>
      </c>
      <c r="I4529">
        <v>-3.524769</v>
      </c>
      <c r="J4529">
        <v>-304.3886</v>
      </c>
      <c r="K4529">
        <v>1.0419160000000001</v>
      </c>
      <c r="L4529">
        <v>7.0783079999999998</v>
      </c>
      <c r="M4529">
        <v>0.59921849999999999</v>
      </c>
      <c r="N4529">
        <v>0</v>
      </c>
      <c r="O4529">
        <v>-0.80039530000000003</v>
      </c>
      <c r="P4529">
        <v>0.21362510000000001</v>
      </c>
      <c r="Q4529">
        <v>0.118604</v>
      </c>
      <c r="R4529">
        <v>-0.96968960000000004</v>
      </c>
      <c r="S4529">
        <v>0.23727419999999999</v>
      </c>
      <c r="T4529">
        <v>-0.2952381</v>
      </c>
      <c r="U4529">
        <v>-3.0835880000000002</v>
      </c>
      <c r="V4529">
        <v>0.41558640000000002</v>
      </c>
      <c r="W4529">
        <v>0.1164244</v>
      </c>
      <c r="X4529">
        <v>0.90207170000000003</v>
      </c>
      <c r="Y4529">
        <v>0.53605519999999995</v>
      </c>
      <c r="Z4529">
        <v>5.9557159999999998E-2</v>
      </c>
      <c r="AA4529">
        <v>0.84207940000000003</v>
      </c>
      <c r="AB4529">
        <v>34</v>
      </c>
      <c r="AC4529">
        <v>0.63499999999999002</v>
      </c>
      <c r="AD4529">
        <v>-1.0419197475649999</v>
      </c>
      <c r="AE4529">
        <v>-10.603077000000001</v>
      </c>
      <c r="AF4529">
        <v>5.7904851270443798</v>
      </c>
      <c r="AG4529">
        <v>-1.0419197475649999</v>
      </c>
      <c r="AH4529">
        <v>8.7839907693479002</v>
      </c>
      <c r="AI4529">
        <v>95.655778650102107</v>
      </c>
      <c r="AJ4529">
        <v>56.606772578872899</v>
      </c>
      <c r="AK4529">
        <v>10.572313304233701</v>
      </c>
      <c r="AL4529">
        <v>83.314211085639499</v>
      </c>
      <c r="AM4529">
        <v>65.264372920603805</v>
      </c>
      <c r="AN4529">
        <v>1.0000000243606</v>
      </c>
    </row>
    <row r="4530" spans="1:40" x14ac:dyDescent="0.25">
      <c r="A4530" t="str">
        <f>"20190312164359709"</f>
        <v>20190312164359709</v>
      </c>
      <c r="B4530" t="str">
        <f>"1552380239699239"</f>
        <v>1552380239699239</v>
      </c>
      <c r="C4530" t="s">
        <v>40</v>
      </c>
      <c r="D4530">
        <v>5.4693880000000004</v>
      </c>
      <c r="E4530">
        <v>0.562461199999999</v>
      </c>
      <c r="F4530" t="s">
        <v>42</v>
      </c>
      <c r="G4530">
        <v>-303.69580000000002</v>
      </c>
      <c r="H4530" s="1">
        <v>-3.5760679999999999E-6</v>
      </c>
      <c r="I4530">
        <v>-3.9446539999999999</v>
      </c>
      <c r="J4530">
        <v>-304.19130000000001</v>
      </c>
      <c r="K4530">
        <v>1.041873</v>
      </c>
      <c r="L4530">
        <v>6.794556</v>
      </c>
      <c r="M4530">
        <v>0.58382419999999902</v>
      </c>
      <c r="N4530">
        <v>0</v>
      </c>
      <c r="O4530">
        <v>-0.81169250000000004</v>
      </c>
      <c r="P4530">
        <v>0.2008538</v>
      </c>
      <c r="Q4530">
        <v>0.1179704</v>
      </c>
      <c r="R4530">
        <v>-0.97249229999999998</v>
      </c>
      <c r="S4530">
        <v>0.19400020000000001</v>
      </c>
      <c r="T4530">
        <v>-0.29176590000000002</v>
      </c>
      <c r="U4530">
        <v>-3.0867309999999999</v>
      </c>
      <c r="V4530">
        <v>0.41023520000000002</v>
      </c>
      <c r="W4530">
        <v>0.1160379</v>
      </c>
      <c r="X4530">
        <v>0.90456749999999997</v>
      </c>
      <c r="Y4530">
        <v>0.53175909999999904</v>
      </c>
      <c r="Z4530">
        <v>6.049057E-2</v>
      </c>
      <c r="AA4530">
        <v>0.84473259999999994</v>
      </c>
      <c r="AB4530">
        <v>34</v>
      </c>
      <c r="AC4530">
        <v>0.495499999999992</v>
      </c>
      <c r="AD4530">
        <v>-1.041876576068</v>
      </c>
      <c r="AE4530">
        <v>-10.73921</v>
      </c>
      <c r="AF4530">
        <v>5.8139058750715398</v>
      </c>
      <c r="AG4530">
        <v>-1.041876576068</v>
      </c>
      <c r="AH4530">
        <v>8.9237796732039403</v>
      </c>
      <c r="AI4530">
        <v>95.587082809808706</v>
      </c>
      <c r="AJ4530">
        <v>56.915470657688701</v>
      </c>
      <c r="AK4530">
        <v>10.701441584190301</v>
      </c>
      <c r="AL4530">
        <v>83.3365071116243</v>
      </c>
      <c r="AM4530">
        <v>65.604981000461095</v>
      </c>
      <c r="AN4530">
        <v>1.00000003780584</v>
      </c>
    </row>
    <row r="4531" spans="1:40" x14ac:dyDescent="0.25">
      <c r="A4531" t="str">
        <f>"20190312164359734"</f>
        <v>20190312164359734</v>
      </c>
      <c r="B4531" t="str">
        <f>"1552380239729496"</f>
        <v>1552380239729496</v>
      </c>
      <c r="C4531" t="s">
        <v>40</v>
      </c>
      <c r="D4531">
        <v>5.1142899999999996</v>
      </c>
      <c r="E4531">
        <v>0.5612338</v>
      </c>
      <c r="F4531" t="s">
        <v>42</v>
      </c>
      <c r="G4531">
        <v>-303.62360000000001</v>
      </c>
      <c r="H4531" s="1">
        <v>-3.4338780000000001E-6</v>
      </c>
      <c r="I4531">
        <v>-4.2380190000000004</v>
      </c>
      <c r="J4531">
        <v>-303.98160000000001</v>
      </c>
      <c r="K4531">
        <v>1.041833</v>
      </c>
      <c r="L4531">
        <v>6.4797060000000002</v>
      </c>
      <c r="M4531">
        <v>0.56668469999999904</v>
      </c>
      <c r="N4531">
        <v>0</v>
      </c>
      <c r="O4531">
        <v>-0.82374979999999998</v>
      </c>
      <c r="P4531">
        <v>0.18676010000000001</v>
      </c>
      <c r="Q4531">
        <v>0.1172038</v>
      </c>
      <c r="R4531">
        <v>-0.97538950000000002</v>
      </c>
      <c r="S4531">
        <v>0.1588745</v>
      </c>
      <c r="T4531">
        <v>-0.29156330000000003</v>
      </c>
      <c r="U4531">
        <v>-3.087402</v>
      </c>
      <c r="V4531">
        <v>0.40437770000000001</v>
      </c>
      <c r="W4531">
        <v>0.11554730000000001</v>
      </c>
      <c r="X4531">
        <v>0.90726379999999995</v>
      </c>
      <c r="Y4531">
        <v>0.52359630000000001</v>
      </c>
      <c r="Z4531">
        <v>6.2345110000000002E-2</v>
      </c>
      <c r="AA4531">
        <v>0.8496823</v>
      </c>
      <c r="AB4531">
        <v>34</v>
      </c>
      <c r="AC4531">
        <v>0.35800000000000398</v>
      </c>
      <c r="AD4531">
        <v>-1.041836433878</v>
      </c>
      <c r="AE4531">
        <v>-10.717725</v>
      </c>
      <c r="AF4531">
        <v>5.7255079531587496</v>
      </c>
      <c r="AG4531">
        <v>-1.041836433878</v>
      </c>
      <c r="AH4531">
        <v>8.94851149800051</v>
      </c>
      <c r="AI4531">
        <v>95.601067627475501</v>
      </c>
      <c r="AJ4531">
        <v>57.387749918891799</v>
      </c>
      <c r="AK4531">
        <v>10.6743956506439</v>
      </c>
      <c r="AL4531">
        <v>83.364806880332694</v>
      </c>
      <c r="AM4531">
        <v>65.976928380119602</v>
      </c>
      <c r="AN4531">
        <v>1.0000000527924999</v>
      </c>
    </row>
    <row r="4532" spans="1:40" x14ac:dyDescent="0.25">
      <c r="A4532" t="str">
        <f>"20190312164359760"</f>
        <v>20190312164359760</v>
      </c>
      <c r="B4532" t="str">
        <f>"1552380239749991"</f>
        <v>1552380239749991</v>
      </c>
      <c r="C4532" t="s">
        <v>40</v>
      </c>
      <c r="D4532">
        <v>5.4187849999999997</v>
      </c>
      <c r="E4532">
        <v>0.54394319999999996</v>
      </c>
      <c r="F4532" t="s">
        <v>42</v>
      </c>
      <c r="G4532">
        <v>-303.53410000000002</v>
      </c>
      <c r="H4532" s="1">
        <v>-3.1820409999999998E-6</v>
      </c>
      <c r="I4532">
        <v>-4.7204220000000001</v>
      </c>
      <c r="J4532">
        <v>-303.75959999999998</v>
      </c>
      <c r="K4532">
        <v>1.041804</v>
      </c>
      <c r="L4532">
        <v>6.1306760000000002</v>
      </c>
      <c r="M4532">
        <v>0.5476105</v>
      </c>
      <c r="N4532">
        <v>0</v>
      </c>
      <c r="O4532">
        <v>-0.83655109999999999</v>
      </c>
      <c r="P4532">
        <v>0.1718249</v>
      </c>
      <c r="Q4532">
        <v>0.1175008</v>
      </c>
      <c r="R4532">
        <v>-0.9780951</v>
      </c>
      <c r="S4532">
        <v>0.1233215</v>
      </c>
      <c r="T4532">
        <v>-0.28711350000000002</v>
      </c>
      <c r="U4532">
        <v>-3.0865779999999998</v>
      </c>
      <c r="V4532">
        <v>0.39738509999999999</v>
      </c>
      <c r="W4532">
        <v>0.11618100000000001</v>
      </c>
      <c r="X4532">
        <v>0.91026759999999995</v>
      </c>
      <c r="Y4532">
        <v>0.51376679999999997</v>
      </c>
      <c r="Z4532">
        <v>6.3445299999999996E-2</v>
      </c>
      <c r="AA4532">
        <v>0.85558069999999897</v>
      </c>
      <c r="AB4532">
        <v>34</v>
      </c>
      <c r="AC4532">
        <v>0.22549999999995399</v>
      </c>
      <c r="AD4532">
        <v>-1.041807182041</v>
      </c>
      <c r="AE4532">
        <v>-10.851098</v>
      </c>
      <c r="AF4532">
        <v>5.7018744800061096</v>
      </c>
      <c r="AG4532">
        <v>-1.041807182041</v>
      </c>
      <c r="AH4532">
        <v>9.1183725354781</v>
      </c>
      <c r="AI4532">
        <v>95.533153122784398</v>
      </c>
      <c r="AJ4532">
        <v>57.981552725161798</v>
      </c>
      <c r="AK4532">
        <v>10.804695853473</v>
      </c>
      <c r="AL4532">
        <v>83.328252154543605</v>
      </c>
      <c r="AM4532">
        <v>66.415913268700095</v>
      </c>
      <c r="AN4532">
        <v>1.0000000230363799</v>
      </c>
    </row>
    <row r="4533" spans="1:40" x14ac:dyDescent="0.25">
      <c r="A4533" t="str">
        <f>"20190312164359789"</f>
        <v>20190312164359789</v>
      </c>
      <c r="B4533" t="str">
        <f>"1552380239779271"</f>
        <v>1552380239779271</v>
      </c>
      <c r="C4533" t="s">
        <v>40</v>
      </c>
      <c r="D4533">
        <v>5.1255649999999999</v>
      </c>
      <c r="E4533">
        <v>0.54196919999999904</v>
      </c>
      <c r="F4533" t="s">
        <v>42</v>
      </c>
      <c r="G4533">
        <v>-302.79860000000002</v>
      </c>
      <c r="H4533" s="1">
        <v>-1.382029E-6</v>
      </c>
      <c r="I4533">
        <v>-8.1143049999999999</v>
      </c>
      <c r="J4533">
        <v>-303.54419999999999</v>
      </c>
      <c r="K4533">
        <v>1.041782</v>
      </c>
      <c r="L4533">
        <v>5.7719120000000004</v>
      </c>
      <c r="M4533">
        <v>0.52796949999999998</v>
      </c>
      <c r="N4533">
        <v>0</v>
      </c>
      <c r="O4533">
        <v>-0.84908399999999995</v>
      </c>
      <c r="P4533">
        <v>0.15606989999999901</v>
      </c>
      <c r="Q4533">
        <v>0.1168381</v>
      </c>
      <c r="R4533">
        <v>-0.98081169999999995</v>
      </c>
      <c r="S4533">
        <v>0.20626829999999999</v>
      </c>
      <c r="T4533">
        <v>-0.22363189999999999</v>
      </c>
      <c r="U4533">
        <v>-3.0577999999999999</v>
      </c>
      <c r="V4533">
        <v>0.39081450000000001</v>
      </c>
      <c r="W4533">
        <v>0.1158423</v>
      </c>
      <c r="X4533">
        <v>0.91315089999999999</v>
      </c>
      <c r="Y4533">
        <v>0.46971499999999999</v>
      </c>
      <c r="Z4533">
        <v>5.2228820000000002E-2</v>
      </c>
      <c r="AA4533">
        <v>0.88127180000000005</v>
      </c>
      <c r="AB4533">
        <v>34</v>
      </c>
      <c r="AC4533">
        <v>0.74559999999996696</v>
      </c>
      <c r="AD4533">
        <v>-1.0417833820289999</v>
      </c>
      <c r="AE4533">
        <v>-13.886217</v>
      </c>
      <c r="AF4533">
        <v>6.6620532309354603</v>
      </c>
      <c r="AG4533">
        <v>-1.0417833820289999</v>
      </c>
      <c r="AH4533">
        <v>12.11806505957</v>
      </c>
      <c r="AI4533">
        <v>94.308260376010296</v>
      </c>
      <c r="AJ4533">
        <v>61.199671091549703</v>
      </c>
      <c r="AK4533">
        <v>13.8677960273022</v>
      </c>
      <c r="AL4533">
        <v>83.347789930914502</v>
      </c>
      <c r="AM4533">
        <v>66.829822192568201</v>
      </c>
      <c r="AN4533">
        <v>0.99999998902517395</v>
      </c>
    </row>
    <row r="4534" spans="1:40" x14ac:dyDescent="0.25">
      <c r="A4534" t="str">
        <f>"20190312164359822"</f>
        <v>20190312164359822</v>
      </c>
      <c r="B4534" t="str">
        <f>"1552380239809531"</f>
        <v>1552380239809531</v>
      </c>
      <c r="C4534" t="s">
        <v>40</v>
      </c>
      <c r="D4534">
        <v>5.1684269999999897</v>
      </c>
      <c r="E4534">
        <v>0.5408693</v>
      </c>
      <c r="F4534" t="s">
        <v>42</v>
      </c>
      <c r="G4534">
        <v>-302.77050000000003</v>
      </c>
      <c r="H4534" s="1">
        <v>-1.4295160000000001E-6</v>
      </c>
      <c r="I4534">
        <v>-7.9980179999999903</v>
      </c>
      <c r="J4534">
        <v>-303.27850000000001</v>
      </c>
      <c r="K4534">
        <v>1.0417799999999999</v>
      </c>
      <c r="L4534">
        <v>5.303223</v>
      </c>
      <c r="M4534">
        <v>0.50220489999999995</v>
      </c>
      <c r="N4534">
        <v>0</v>
      </c>
      <c r="O4534">
        <v>-0.86457249999999997</v>
      </c>
      <c r="P4534">
        <v>0.14020150000000001</v>
      </c>
      <c r="Q4534">
        <v>0.1162035</v>
      </c>
      <c r="R4534">
        <v>-0.98328070000000001</v>
      </c>
      <c r="S4534">
        <v>0.171875</v>
      </c>
      <c r="T4534">
        <v>-0.2314254</v>
      </c>
      <c r="U4534">
        <v>-3.0588989999999998</v>
      </c>
      <c r="V4534">
        <v>0.37807420000000003</v>
      </c>
      <c r="W4534">
        <v>0.11584940000000001</v>
      </c>
      <c r="X4534">
        <v>0.91849809999999998</v>
      </c>
      <c r="Y4534">
        <v>0.45299810000000001</v>
      </c>
      <c r="Z4534">
        <v>5.6085210000000003E-2</v>
      </c>
      <c r="AA4534">
        <v>0.88974560000000003</v>
      </c>
      <c r="AB4534">
        <v>34</v>
      </c>
      <c r="AC4534">
        <v>0.50799999999998102</v>
      </c>
      <c r="AD4534">
        <v>-1.0417814295159999</v>
      </c>
      <c r="AE4534">
        <v>-13.301240999999999</v>
      </c>
      <c r="AF4534">
        <v>6.2036961091317799</v>
      </c>
      <c r="AG4534">
        <v>-1.0417814295159999</v>
      </c>
      <c r="AH4534">
        <v>11.685221260046299</v>
      </c>
      <c r="AI4534">
        <v>94.502435074355205</v>
      </c>
      <c r="AJ4534">
        <v>62.036121043520403</v>
      </c>
      <c r="AK4534">
        <v>13.270853395979399</v>
      </c>
      <c r="AL4534">
        <v>83.347380259265805</v>
      </c>
      <c r="AM4534">
        <v>67.626847062250405</v>
      </c>
      <c r="AN4534">
        <v>0.99999997194480394</v>
      </c>
    </row>
    <row r="4535" spans="1:40" x14ac:dyDescent="0.25">
      <c r="A4535" t="str">
        <f>"20190312164359845"</f>
        <v>20190312164359845</v>
      </c>
      <c r="B4535" t="str">
        <f>"1552380239839783"</f>
        <v>1552380239839783</v>
      </c>
      <c r="C4535" t="s">
        <v>40</v>
      </c>
      <c r="D4535">
        <v>5.179176</v>
      </c>
      <c r="E4535">
        <v>0.53937630000000003</v>
      </c>
      <c r="F4535" t="s">
        <v>42</v>
      </c>
      <c r="G4535">
        <v>-302.70690000000002</v>
      </c>
      <c r="H4535" s="1">
        <v>-1.4004359999999999E-6</v>
      </c>
      <c r="I4535">
        <v>-8.0237499999999997</v>
      </c>
      <c r="J4535">
        <v>-303.10930000000002</v>
      </c>
      <c r="K4535">
        <v>1.041785</v>
      </c>
      <c r="L4535">
        <v>4.9850770000000004</v>
      </c>
      <c r="M4535">
        <v>0.4846838</v>
      </c>
      <c r="N4535">
        <v>0</v>
      </c>
      <c r="O4535">
        <v>-0.87451540000000005</v>
      </c>
      <c r="P4535">
        <v>0.12876089999999901</v>
      </c>
      <c r="Q4535">
        <v>0.1155897</v>
      </c>
      <c r="R4535">
        <v>-0.98491629999999997</v>
      </c>
      <c r="S4535">
        <v>0.13125609999999999</v>
      </c>
      <c r="T4535">
        <v>-0.23924819999999999</v>
      </c>
      <c r="U4535">
        <v>-3.0605769999999999</v>
      </c>
      <c r="V4535">
        <v>0.37023010000000001</v>
      </c>
      <c r="W4535">
        <v>0.1156339</v>
      </c>
      <c r="X4535">
        <v>0.92171499999999995</v>
      </c>
      <c r="Y4535">
        <v>0.44683879999999998</v>
      </c>
      <c r="Z4535">
        <v>5.92144E-2</v>
      </c>
      <c r="AA4535">
        <v>0.89265260000000002</v>
      </c>
      <c r="AB4535">
        <v>34</v>
      </c>
      <c r="AC4535">
        <v>0.40239999999999998</v>
      </c>
      <c r="AD4535">
        <v>-1.041786400436</v>
      </c>
      <c r="AE4535">
        <v>-13.008827</v>
      </c>
      <c r="AF4535">
        <v>5.9162626312265703</v>
      </c>
      <c r="AG4535">
        <v>-1.041786400436</v>
      </c>
      <c r="AH4535">
        <v>11.4995386424561</v>
      </c>
      <c r="AI4535">
        <v>94.605665542388607</v>
      </c>
      <c r="AJ4535">
        <v>62.775164614988</v>
      </c>
      <c r="AK4535">
        <v>12.9740846079838</v>
      </c>
      <c r="AL4535">
        <v>83.359811453632105</v>
      </c>
      <c r="AM4535">
        <v>68.115893028584793</v>
      </c>
      <c r="AN4535">
        <v>1.0000000335001</v>
      </c>
    </row>
    <row r="4536" spans="1:40" x14ac:dyDescent="0.25">
      <c r="A4536" t="str">
        <f>"20190312164359893"</f>
        <v>20190312164359893</v>
      </c>
      <c r="B4536" t="str">
        <f>"1552380239889559"</f>
        <v>1552380239889559</v>
      </c>
      <c r="C4536" t="s">
        <v>40</v>
      </c>
      <c r="D4536">
        <v>5.2558069999999999</v>
      </c>
      <c r="E4536">
        <v>0.52967749999999902</v>
      </c>
      <c r="F4536" t="s">
        <v>42</v>
      </c>
      <c r="G4536">
        <v>-302.64580000000001</v>
      </c>
      <c r="H4536" s="1">
        <v>-1.2121659999999999E-6</v>
      </c>
      <c r="I4536">
        <v>-8.3875879999999992</v>
      </c>
      <c r="J4536">
        <v>-302.78219999999999</v>
      </c>
      <c r="K4536">
        <v>1.041817</v>
      </c>
      <c r="L4536">
        <v>4.3214110000000003</v>
      </c>
      <c r="M4536">
        <v>0.44804319999999997</v>
      </c>
      <c r="N4536">
        <v>0</v>
      </c>
      <c r="O4536">
        <v>-0.89384189999999997</v>
      </c>
      <c r="P4536">
        <v>0.1034901</v>
      </c>
      <c r="Q4536">
        <v>0.1144901</v>
      </c>
      <c r="R4536">
        <v>-0.98801939999999999</v>
      </c>
      <c r="S4536">
        <v>0.1060791</v>
      </c>
      <c r="T4536">
        <v>-0.2383913</v>
      </c>
      <c r="U4536">
        <v>-3.0600589999999999</v>
      </c>
      <c r="V4536">
        <v>0.35559030000000003</v>
      </c>
      <c r="W4536">
        <v>0.11528770000000001</v>
      </c>
      <c r="X4536">
        <v>0.92750429999999995</v>
      </c>
      <c r="Y4536">
        <v>0.416879</v>
      </c>
      <c r="Z4536">
        <v>6.1808950000000001E-2</v>
      </c>
      <c r="AA4536">
        <v>0.9068581</v>
      </c>
      <c r="AB4536">
        <v>34</v>
      </c>
      <c r="AC4536">
        <v>0.13639999999998001</v>
      </c>
      <c r="AD4536">
        <v>-1.041818212166</v>
      </c>
      <c r="AE4536">
        <v>-12.708999</v>
      </c>
      <c r="AF4536">
        <v>5.5359112321487096</v>
      </c>
      <c r="AG4536">
        <v>-1.041818212166</v>
      </c>
      <c r="AH4536">
        <v>11.346447067883799</v>
      </c>
      <c r="AI4536">
        <v>94.717409984054001</v>
      </c>
      <c r="AJ4536">
        <v>63.992334590959899</v>
      </c>
      <c r="AK4536">
        <v>12.667815889951999</v>
      </c>
      <c r="AL4536">
        <v>83.379780389746301</v>
      </c>
      <c r="AM4536">
        <v>69.023976021256701</v>
      </c>
      <c r="AN4536">
        <v>0.99999997087193404</v>
      </c>
    </row>
    <row r="4537" spans="1:40" x14ac:dyDescent="0.25">
      <c r="A4537" t="str">
        <f>"20190312164359915"</f>
        <v>20190312164359915</v>
      </c>
      <c r="B4537" t="str">
        <f>"1552380239910055"</f>
        <v>1552380239910055</v>
      </c>
      <c r="C4537" t="s">
        <v>40</v>
      </c>
      <c r="D4537">
        <v>5.2145489999999999</v>
      </c>
      <c r="E4537">
        <v>0.52836249999999996</v>
      </c>
      <c r="F4537" t="s">
        <v>42</v>
      </c>
      <c r="G4537">
        <v>-302.29579999999999</v>
      </c>
      <c r="H4537" s="1">
        <v>-5.0660090000000003E-7</v>
      </c>
      <c r="I4537">
        <v>-9.6832119999999993</v>
      </c>
      <c r="J4537">
        <v>-302.6404</v>
      </c>
      <c r="K4537">
        <v>1.0418400000000001</v>
      </c>
      <c r="L4537">
        <v>4.010345</v>
      </c>
      <c r="M4537">
        <v>0.43085099999999998</v>
      </c>
      <c r="N4537">
        <v>0</v>
      </c>
      <c r="O4537">
        <v>-0.90225480000000002</v>
      </c>
      <c r="P4537">
        <v>9.3083460000000007E-2</v>
      </c>
      <c r="Q4537">
        <v>0.11363189999999999</v>
      </c>
      <c r="R4537">
        <v>-0.9891527</v>
      </c>
      <c r="S4537">
        <v>0.1059875</v>
      </c>
      <c r="T4537">
        <v>-0.2270095</v>
      </c>
      <c r="U4537">
        <v>-3.0515750000000001</v>
      </c>
      <c r="V4537">
        <v>0.34757389999999999</v>
      </c>
      <c r="W4537">
        <v>0.1148453</v>
      </c>
      <c r="X4537">
        <v>0.9305928</v>
      </c>
      <c r="Y4537">
        <v>0.39935130000000002</v>
      </c>
      <c r="Z4537">
        <v>6.0258279999999997E-2</v>
      </c>
      <c r="AA4537">
        <v>0.9148155</v>
      </c>
      <c r="AB4537">
        <v>34</v>
      </c>
      <c r="AC4537">
        <v>0.34460000000001401</v>
      </c>
      <c r="AD4537">
        <v>-1.04184050660089</v>
      </c>
      <c r="AE4537">
        <v>-13.693556999999901</v>
      </c>
      <c r="AF4537">
        <v>5.5576641108004896</v>
      </c>
      <c r="AG4537">
        <v>-1.04184050660089</v>
      </c>
      <c r="AH4537">
        <v>12.4335212981652</v>
      </c>
      <c r="AI4537">
        <v>94.374517984972002</v>
      </c>
      <c r="AJ4537">
        <v>65.915817237900697</v>
      </c>
      <c r="AK4537">
        <v>13.658898706762701</v>
      </c>
      <c r="AL4537">
        <v>83.405297787347607</v>
      </c>
      <c r="AM4537">
        <v>69.519475450173204</v>
      </c>
      <c r="AN4537">
        <v>1.00000000915257</v>
      </c>
    </row>
    <row r="4538" spans="1:40" x14ac:dyDescent="0.25">
      <c r="A4538" t="str">
        <f>"20190312164359938"</f>
        <v>20190312164359938</v>
      </c>
      <c r="B4538" t="str">
        <f>"1552380239929576"</f>
        <v>1552380239929576</v>
      </c>
      <c r="C4538" t="s">
        <v>40</v>
      </c>
      <c r="D4538">
        <v>5.1656700000000004</v>
      </c>
      <c r="E4538">
        <v>0.5275301</v>
      </c>
      <c r="F4538" t="s">
        <v>42</v>
      </c>
      <c r="G4538">
        <v>-302.31560000000002</v>
      </c>
      <c r="H4538" s="1">
        <v>-1.595692E-6</v>
      </c>
      <c r="I4538">
        <v>-7.3903860000000003</v>
      </c>
      <c r="J4538">
        <v>-302.50119999999998</v>
      </c>
      <c r="K4538">
        <v>1.0418769999999999</v>
      </c>
      <c r="L4538">
        <v>3.6887509999999999</v>
      </c>
      <c r="M4538">
        <v>0.41308450000000002</v>
      </c>
      <c r="N4538">
        <v>0</v>
      </c>
      <c r="O4538">
        <v>-0.91052650000000002</v>
      </c>
      <c r="P4538">
        <v>8.2311200000000001E-2</v>
      </c>
      <c r="Q4538">
        <v>0.11279</v>
      </c>
      <c r="R4538">
        <v>-0.99020379999999997</v>
      </c>
      <c r="S4538">
        <v>8.7097170000000002E-2</v>
      </c>
      <c r="T4538">
        <v>-0.27934120000000001</v>
      </c>
      <c r="U4538">
        <v>-3.0567929999999999</v>
      </c>
      <c r="V4538">
        <v>0.33943250000000003</v>
      </c>
      <c r="W4538">
        <v>0.114428</v>
      </c>
      <c r="X4538">
        <v>0.93364440000000004</v>
      </c>
      <c r="Y4538">
        <v>0.38706079999999998</v>
      </c>
      <c r="Z4538">
        <v>7.5289549999999997E-2</v>
      </c>
      <c r="AA4538">
        <v>0.91897519999999999</v>
      </c>
      <c r="AB4538">
        <v>34</v>
      </c>
      <c r="AC4538">
        <v>0.18559999999996499</v>
      </c>
      <c r="AD4538">
        <v>-1.041878595692</v>
      </c>
      <c r="AE4538">
        <v>-11.079136999999999</v>
      </c>
      <c r="AF4538">
        <v>4.3696611747024301</v>
      </c>
      <c r="AG4538">
        <v>-1.041878595692</v>
      </c>
      <c r="AH4538">
        <v>10.0769647464268</v>
      </c>
      <c r="AI4538">
        <v>95.418736818863394</v>
      </c>
      <c r="AJ4538">
        <v>66.557060642602494</v>
      </c>
      <c r="AK4538">
        <v>11.032890296318101</v>
      </c>
      <c r="AL4538">
        <v>83.429366106700201</v>
      </c>
      <c r="AM4538">
        <v>70.0209344999911</v>
      </c>
      <c r="AN4538">
        <v>1.0000000274458001</v>
      </c>
    </row>
    <row r="4539" spans="1:40" x14ac:dyDescent="0.25">
      <c r="A4539" t="str">
        <f>"20190312164359964"</f>
        <v>20190312164359964</v>
      </c>
      <c r="B4539" t="str">
        <f>"1552380239959831"</f>
        <v>1552380239959831</v>
      </c>
      <c r="C4539" t="s">
        <v>40</v>
      </c>
      <c r="D4539">
        <v>5.1992019999999997</v>
      </c>
      <c r="E4539">
        <v>0.52709319999999904</v>
      </c>
      <c r="F4539" t="s">
        <v>42</v>
      </c>
      <c r="G4539">
        <v>-302.28989999999999</v>
      </c>
      <c r="H4539" s="1">
        <v>-1.7154280000000001E-6</v>
      </c>
      <c r="I4539">
        <v>-7.1226440000000002</v>
      </c>
      <c r="J4539">
        <v>-302.34780000000001</v>
      </c>
      <c r="K4539">
        <v>1.0419389999999999</v>
      </c>
      <c r="L4539">
        <v>3.3119510000000001</v>
      </c>
      <c r="M4539">
        <v>0.39230799999999999</v>
      </c>
      <c r="N4539">
        <v>0</v>
      </c>
      <c r="O4539">
        <v>-0.91966990000000004</v>
      </c>
      <c r="P4539">
        <v>6.7446580000000006E-2</v>
      </c>
      <c r="Q4539">
        <v>0.1127591</v>
      </c>
      <c r="R4539">
        <v>-0.99133070000000001</v>
      </c>
      <c r="S4539">
        <v>5.9783940000000001E-2</v>
      </c>
      <c r="T4539">
        <v>-0.29472290000000001</v>
      </c>
      <c r="U4539">
        <v>-3.0582889999999998</v>
      </c>
      <c r="V4539">
        <v>0.33220630000000001</v>
      </c>
      <c r="W4539">
        <v>0.11478090000000001</v>
      </c>
      <c r="X4539">
        <v>0.93619669999999999</v>
      </c>
      <c r="Y4539">
        <v>0.37431589999999998</v>
      </c>
      <c r="Z4539">
        <v>8.0924259999999998E-2</v>
      </c>
      <c r="AA4539">
        <v>0.92376340000000001</v>
      </c>
      <c r="AB4539">
        <v>34</v>
      </c>
      <c r="AC4539">
        <v>5.7900000000017798E-2</v>
      </c>
      <c r="AD4539">
        <v>-1.041940715428</v>
      </c>
      <c r="AE4539">
        <v>-10.434595</v>
      </c>
      <c r="AF4539">
        <v>4.0010430315326504</v>
      </c>
      <c r="AG4539">
        <v>-1.041940715428</v>
      </c>
      <c r="AH4539">
        <v>9.5255732665758703</v>
      </c>
      <c r="AI4539">
        <v>95.758723424331194</v>
      </c>
      <c r="AJ4539">
        <v>67.216048831342803</v>
      </c>
      <c r="AK4539">
        <v>10.384148104276401</v>
      </c>
      <c r="AL4539">
        <v>83.409011945446906</v>
      </c>
      <c r="AM4539">
        <v>70.462938967077307</v>
      </c>
      <c r="AN4539">
        <v>0.99999997092769399</v>
      </c>
    </row>
    <row r="4540" spans="1:40" x14ac:dyDescent="0.25">
      <c r="A4540" t="str">
        <f>"20190312164400002"</f>
        <v>20190312164400002</v>
      </c>
      <c r="B4540" t="str">
        <f>"1552380239989112"</f>
        <v>1552380239989112</v>
      </c>
      <c r="C4540" t="s">
        <v>40</v>
      </c>
      <c r="D4540">
        <v>5.3425779999999996</v>
      </c>
      <c r="E4540">
        <v>0.5261825</v>
      </c>
      <c r="F4540" t="s">
        <v>42</v>
      </c>
      <c r="G4540">
        <v>-302.2826</v>
      </c>
      <c r="H4540" s="1">
        <v>-1.462148E-6</v>
      </c>
      <c r="I4540">
        <v>-7.6543619999999999</v>
      </c>
      <c r="J4540">
        <v>-302.14499999999998</v>
      </c>
      <c r="K4540">
        <v>1.0420510000000001</v>
      </c>
      <c r="L4540">
        <v>2.771515</v>
      </c>
      <c r="M4540">
        <v>0.3626103</v>
      </c>
      <c r="N4540">
        <v>0</v>
      </c>
      <c r="O4540">
        <v>-0.93177980000000005</v>
      </c>
      <c r="P4540">
        <v>5.1637660000000002E-2</v>
      </c>
      <c r="Q4540">
        <v>0.10870100000000001</v>
      </c>
      <c r="R4540">
        <v>-0.99273230000000001</v>
      </c>
      <c r="S4540">
        <v>1.818848E-2</v>
      </c>
      <c r="T4540">
        <v>-0.29055330000000001</v>
      </c>
      <c r="U4540">
        <v>-3.0580440000000002</v>
      </c>
      <c r="V4540">
        <v>0.31699240000000001</v>
      </c>
      <c r="W4540">
        <v>0.11151510000000001</v>
      </c>
      <c r="X4540">
        <v>0.94184939999999995</v>
      </c>
      <c r="Y4540">
        <v>0.35708129999999999</v>
      </c>
      <c r="Z4540">
        <v>8.1826659999999996E-2</v>
      </c>
      <c r="AA4540">
        <v>0.93048229999999998</v>
      </c>
      <c r="AB4540">
        <v>34</v>
      </c>
      <c r="AC4540">
        <v>-0.13760000000002001</v>
      </c>
      <c r="AD4540">
        <v>-1.0420524621480001</v>
      </c>
      <c r="AE4540">
        <v>-10.425877</v>
      </c>
      <c r="AF4540">
        <v>3.8706698396424799</v>
      </c>
      <c r="AG4540">
        <v>-1.0420524621480001</v>
      </c>
      <c r="AH4540">
        <v>9.5705863162106102</v>
      </c>
      <c r="AI4540">
        <v>95.763808512518693</v>
      </c>
      <c r="AJ4540">
        <v>67.979921171795695</v>
      </c>
      <c r="AK4540">
        <v>10.3761303373379</v>
      </c>
      <c r="AL4540">
        <v>83.597338478770197</v>
      </c>
      <c r="AM4540">
        <v>71.398630751037899</v>
      </c>
      <c r="AN4540">
        <v>1.00000004573306</v>
      </c>
    </row>
    <row r="4541" spans="1:40" x14ac:dyDescent="0.25">
      <c r="A4541" t="str">
        <f>"20190312164400047"</f>
        <v>20190312164400047</v>
      </c>
      <c r="B4541" t="str">
        <f>"1552380240039864"</f>
        <v>1552380240039864</v>
      </c>
      <c r="C4541" t="s">
        <v>40</v>
      </c>
      <c r="D4541">
        <v>5.2931660000000003</v>
      </c>
      <c r="E4541">
        <v>0.52378549999999902</v>
      </c>
      <c r="F4541" t="s">
        <v>42</v>
      </c>
      <c r="G4541">
        <v>-302.2296</v>
      </c>
      <c r="H4541" s="1">
        <v>-1.2022070000000001E-6</v>
      </c>
      <c r="I4541">
        <v>-8.1744310000000002</v>
      </c>
      <c r="J4541">
        <v>-301.92770000000002</v>
      </c>
      <c r="K4541">
        <v>1.0422340000000001</v>
      </c>
      <c r="L4541">
        <v>2.121521</v>
      </c>
      <c r="M4541">
        <v>0.3271385</v>
      </c>
      <c r="N4541">
        <v>0</v>
      </c>
      <c r="O4541">
        <v>-0.94481919999999997</v>
      </c>
      <c r="P4541">
        <v>3.3006819999999999E-2</v>
      </c>
      <c r="Q4541">
        <v>0.1055995</v>
      </c>
      <c r="R4541">
        <v>-0.99386099999999999</v>
      </c>
      <c r="S4541">
        <v>-2.362061E-2</v>
      </c>
      <c r="T4541">
        <v>-0.29083759999999997</v>
      </c>
      <c r="U4541">
        <v>-3.0550229999999998</v>
      </c>
      <c r="V4541">
        <v>0.29890870000000003</v>
      </c>
      <c r="W4541">
        <v>0.1093469</v>
      </c>
      <c r="X4541">
        <v>0.94799619999999996</v>
      </c>
      <c r="Y4541">
        <v>0.3344105</v>
      </c>
      <c r="Z4541">
        <v>8.4225380000000002E-2</v>
      </c>
      <c r="AA4541">
        <v>0.9386563</v>
      </c>
      <c r="AB4541">
        <v>33</v>
      </c>
      <c r="AC4541">
        <v>-0.30189999999998901</v>
      </c>
      <c r="AD4541">
        <v>-1.0422352022070001</v>
      </c>
      <c r="AE4541">
        <v>-10.295952</v>
      </c>
      <c r="AF4541">
        <v>3.6169547720508199</v>
      </c>
      <c r="AG4541">
        <v>-1.0422352022070001</v>
      </c>
      <c r="AH4541">
        <v>9.5328807416052204</v>
      </c>
      <c r="AI4541">
        <v>95.836509635927897</v>
      </c>
      <c r="AJ4541">
        <v>69.2223099320979</v>
      </c>
      <c r="AK4541">
        <v>10.249118560805501</v>
      </c>
      <c r="AL4541">
        <v>83.722331248405297</v>
      </c>
      <c r="AM4541">
        <v>72.499634630175294</v>
      </c>
      <c r="AN4541">
        <v>0.99999997534486895</v>
      </c>
    </row>
    <row r="4542" spans="1:40" x14ac:dyDescent="0.25">
      <c r="A4542" t="str">
        <f>"20190312164400079"</f>
        <v>20190312164400079</v>
      </c>
      <c r="B4542" t="str">
        <f>"1552380240069144"</f>
        <v>1552380240069144</v>
      </c>
      <c r="C4542" t="s">
        <v>40</v>
      </c>
      <c r="D4542">
        <v>5.2334230000000002</v>
      </c>
      <c r="E4542">
        <v>0.52138909999999905</v>
      </c>
      <c r="F4542" t="s">
        <v>42</v>
      </c>
      <c r="G4542">
        <v>-302.1508</v>
      </c>
      <c r="H4542" s="1">
        <v>-1.0200899999999999E-6</v>
      </c>
      <c r="I4542">
        <v>-8.5153560000000006</v>
      </c>
      <c r="J4542">
        <v>-301.78710000000001</v>
      </c>
      <c r="K4542">
        <v>1.042392</v>
      </c>
      <c r="L4542">
        <v>1.652161</v>
      </c>
      <c r="M4542">
        <v>0.30171750000000003</v>
      </c>
      <c r="N4542">
        <v>0</v>
      </c>
      <c r="O4542">
        <v>-0.95324299999999995</v>
      </c>
      <c r="P4542">
        <v>1.557037E-2</v>
      </c>
      <c r="Q4542">
        <v>0.1045117</v>
      </c>
      <c r="R4542">
        <v>-0.99440220000000001</v>
      </c>
      <c r="S4542">
        <v>-6.4025879999999993E-2</v>
      </c>
      <c r="T4542">
        <v>-0.29908669999999998</v>
      </c>
      <c r="U4542">
        <v>-3.0524290000000001</v>
      </c>
      <c r="V4542">
        <v>0.29006680000000001</v>
      </c>
      <c r="W4542">
        <v>0.1087289</v>
      </c>
      <c r="X4542">
        <v>0.95080980000000004</v>
      </c>
      <c r="Y4542">
        <v>0.32156410000000002</v>
      </c>
      <c r="Z4542">
        <v>8.8100689999999995E-2</v>
      </c>
      <c r="AA4542">
        <v>0.94278039999999996</v>
      </c>
      <c r="AB4542">
        <v>33</v>
      </c>
      <c r="AC4542">
        <v>-0.36369999999999397</v>
      </c>
      <c r="AD4542">
        <v>-1.04239302009</v>
      </c>
      <c r="AE4542">
        <v>-10.167517</v>
      </c>
      <c r="AF4542">
        <v>3.3794398756562498</v>
      </c>
      <c r="AG4542">
        <v>-1.04239302009</v>
      </c>
      <c r="AH4542">
        <v>9.4842313975090704</v>
      </c>
      <c r="AI4542">
        <v>95.910880167318894</v>
      </c>
      <c r="AJ4542">
        <v>70.387900384666594</v>
      </c>
      <c r="AK4542">
        <v>10.122146130292901</v>
      </c>
      <c r="AL4542">
        <v>83.757952577632693</v>
      </c>
      <c r="AM4542">
        <v>73.034445415341494</v>
      </c>
      <c r="AN4542">
        <v>0.99999999896674496</v>
      </c>
    </row>
    <row r="4543" spans="1:40" x14ac:dyDescent="0.25">
      <c r="A4543" t="str">
        <f>"20190312164400113"</f>
        <v>20190312164400113</v>
      </c>
      <c r="B4543" t="str">
        <f>"1552380240109160"</f>
        <v>1552380240109160</v>
      </c>
      <c r="C4543" t="s">
        <v>40</v>
      </c>
      <c r="D4543">
        <v>5.2271429999999999</v>
      </c>
      <c r="E4543">
        <v>0.51883009999999996</v>
      </c>
      <c r="F4543" t="s">
        <v>42</v>
      </c>
      <c r="G4543">
        <v>-302.11430000000001</v>
      </c>
      <c r="H4543" s="1">
        <v>-9.4592219999999998E-7</v>
      </c>
      <c r="I4543">
        <v>-8.65167299999999</v>
      </c>
      <c r="J4543">
        <v>-301.65390000000002</v>
      </c>
      <c r="K4543">
        <v>1.0428170000000001</v>
      </c>
      <c r="L4543">
        <v>1.156952</v>
      </c>
      <c r="M4543">
        <v>0.2750396</v>
      </c>
      <c r="N4543">
        <v>0</v>
      </c>
      <c r="O4543">
        <v>-0.96127779999999996</v>
      </c>
      <c r="P4543">
        <v>9.3035229999999993E-3</v>
      </c>
      <c r="Q4543">
        <v>9.9350220000000003E-2</v>
      </c>
      <c r="R4543">
        <v>-0.99500909999999998</v>
      </c>
      <c r="S4543">
        <v>-9.6862790000000004E-2</v>
      </c>
      <c r="T4543">
        <v>-0.30864000000000003</v>
      </c>
      <c r="U4543">
        <v>-3.0508419999999998</v>
      </c>
      <c r="V4543">
        <v>0.26931470000000002</v>
      </c>
      <c r="W4543">
        <v>0.1048857</v>
      </c>
      <c r="X4543">
        <v>0.9573237</v>
      </c>
      <c r="Y4543">
        <v>0.3052763</v>
      </c>
      <c r="Z4543">
        <v>9.2401849999999994E-2</v>
      </c>
      <c r="AA4543">
        <v>0.94777020000000001</v>
      </c>
      <c r="AB4543">
        <v>33</v>
      </c>
      <c r="AC4543">
        <v>-0.46039999999999198</v>
      </c>
      <c r="AD4543">
        <v>-1.0428179459222</v>
      </c>
      <c r="AE4543">
        <v>-9.8086249999999993</v>
      </c>
      <c r="AF4543">
        <v>3.10577299459879</v>
      </c>
      <c r="AG4543">
        <v>-1.0428179459222</v>
      </c>
      <c r="AH4543">
        <v>9.1998139672829193</v>
      </c>
      <c r="AI4543">
        <v>96.129913587871101</v>
      </c>
      <c r="AJ4543">
        <v>71.345788466334099</v>
      </c>
      <c r="AK4543">
        <v>9.7657499555810006</v>
      </c>
      <c r="AL4543">
        <v>83.979418964308294</v>
      </c>
      <c r="AM4543">
        <v>74.287623529419307</v>
      </c>
      <c r="AN4543">
        <v>1.0000000421411299</v>
      </c>
    </row>
    <row r="4544" spans="1:40" x14ac:dyDescent="0.25">
      <c r="A4544" t="str">
        <f>"20190312164400158"</f>
        <v>20190312164400158</v>
      </c>
      <c r="B4544" t="str">
        <f>"1552380240149175"</f>
        <v>1552380240149175</v>
      </c>
      <c r="C4544" t="s">
        <v>40</v>
      </c>
      <c r="D4544">
        <v>5.2260119999999999</v>
      </c>
      <c r="E4544">
        <v>0.5168085</v>
      </c>
      <c r="F4544" t="s">
        <v>42</v>
      </c>
      <c r="G4544">
        <v>-301.96850000000001</v>
      </c>
      <c r="H4544" s="1">
        <v>-9.9615650000000006E-7</v>
      </c>
      <c r="I4544">
        <v>-8.4633369999999992</v>
      </c>
      <c r="J4544">
        <v>-301.4948</v>
      </c>
      <c r="K4544">
        <v>1.043874</v>
      </c>
      <c r="L4544">
        <v>0.49273679999999997</v>
      </c>
      <c r="M4544">
        <v>0.2387078</v>
      </c>
      <c r="N4544">
        <v>0</v>
      </c>
      <c r="O4544">
        <v>-0.97092719999999999</v>
      </c>
      <c r="P4544">
        <v>-6.1553490000000001E-3</v>
      </c>
      <c r="Q4544">
        <v>9.779699E-2</v>
      </c>
      <c r="R4544">
        <v>-0.9951875</v>
      </c>
      <c r="S4544">
        <v>-9.9700929999999993E-2</v>
      </c>
      <c r="T4544">
        <v>-0.33050259999999998</v>
      </c>
      <c r="U4544">
        <v>-3.0489809999999999</v>
      </c>
      <c r="V4544">
        <v>0.24800320000000001</v>
      </c>
      <c r="W4544">
        <v>0.1051328</v>
      </c>
      <c r="X4544">
        <v>0.9630377</v>
      </c>
      <c r="Y4544">
        <v>0.27015689999999998</v>
      </c>
      <c r="Z4544">
        <v>0.10106329999999999</v>
      </c>
      <c r="AA4544">
        <v>0.9574975</v>
      </c>
      <c r="AB4544">
        <v>33</v>
      </c>
      <c r="AC4544">
        <v>-0.473700000000007</v>
      </c>
      <c r="AD4544">
        <v>-1.0438749961564999</v>
      </c>
      <c r="AE4544">
        <v>-8.9560737999999898</v>
      </c>
      <c r="AF4544">
        <v>2.5634991389732602</v>
      </c>
      <c r="AG4544">
        <v>-1.0438749961564999</v>
      </c>
      <c r="AH4544">
        <v>8.4692544634813292</v>
      </c>
      <c r="AI4544">
        <v>96.728034375283002</v>
      </c>
      <c r="AJ4544">
        <v>73.1598296955612</v>
      </c>
      <c r="AK4544">
        <v>8.9100771046223795</v>
      </c>
      <c r="AL4544">
        <v>83.9651825287891</v>
      </c>
      <c r="AM4544">
        <v>75.558863616891799</v>
      </c>
      <c r="AN4544">
        <v>1.00000005223368</v>
      </c>
    </row>
    <row r="4545" spans="1:40" x14ac:dyDescent="0.25">
      <c r="A4545" t="str">
        <f>"20190312164400202"</f>
        <v>20190312164400202</v>
      </c>
      <c r="B4545" t="str">
        <f>"1552380240199927"</f>
        <v>1552380240199927</v>
      </c>
      <c r="C4545" t="s">
        <v>40</v>
      </c>
      <c r="D4545">
        <v>5.58582</v>
      </c>
      <c r="E4545">
        <v>0.51484300000000005</v>
      </c>
      <c r="F4545" t="s">
        <v>42</v>
      </c>
      <c r="G4545">
        <v>-301.89909999999998</v>
      </c>
      <c r="H4545" s="1">
        <v>-7.6501110000000001E-7</v>
      </c>
      <c r="I4545">
        <v>-8.9132639999999999</v>
      </c>
      <c r="J4545">
        <v>-301.36320000000001</v>
      </c>
      <c r="K4545">
        <v>1.0445899999999999</v>
      </c>
      <c r="L4545">
        <v>-0.1549683</v>
      </c>
      <c r="M4545">
        <v>0.20855029999999999</v>
      </c>
      <c r="N4545">
        <v>0</v>
      </c>
      <c r="O4545">
        <v>-0.97787539999999995</v>
      </c>
      <c r="P4545">
        <v>-1.702008E-2</v>
      </c>
      <c r="Q4545">
        <v>0.1033456</v>
      </c>
      <c r="R4545">
        <v>-0.99449980000000004</v>
      </c>
      <c r="S4545">
        <v>-0.1309814</v>
      </c>
      <c r="T4545">
        <v>-0.3381479</v>
      </c>
      <c r="U4545">
        <v>-3.0469360000000001</v>
      </c>
      <c r="V4545">
        <v>0.2288801</v>
      </c>
      <c r="W4545">
        <v>0.1096408</v>
      </c>
      <c r="X4545">
        <v>0.96726049999999997</v>
      </c>
      <c r="Y4545">
        <v>0.25012679999999998</v>
      </c>
      <c r="Z4545">
        <v>0.1048629</v>
      </c>
      <c r="AA4545">
        <v>0.96251770000000003</v>
      </c>
      <c r="AB4545">
        <v>33</v>
      </c>
      <c r="AC4545">
        <v>-0.53589999999996896</v>
      </c>
      <c r="AD4545">
        <v>-1.0445907650110999</v>
      </c>
      <c r="AE4545">
        <v>-8.7582956999999997</v>
      </c>
      <c r="AF4545">
        <v>2.3180505287022299</v>
      </c>
      <c r="AG4545">
        <v>-1.0445907650110999</v>
      </c>
      <c r="AH4545">
        <v>8.3357522227206804</v>
      </c>
      <c r="AI4545">
        <v>96.884182774318603</v>
      </c>
      <c r="AJ4545">
        <v>74.459530365549696</v>
      </c>
      <c r="AK4545">
        <v>8.7148891696083002</v>
      </c>
      <c r="AL4545">
        <v>83.705390568387998</v>
      </c>
      <c r="AM4545">
        <v>76.687130909876103</v>
      </c>
      <c r="AN4545">
        <v>1.0000000400304401</v>
      </c>
    </row>
    <row r="4546" spans="1:40" x14ac:dyDescent="0.25">
      <c r="A4546" t="str">
        <f>"20190312164400229"</f>
        <v>20190312164400229</v>
      </c>
      <c r="B4546" t="str">
        <f>"1552380240219448"</f>
        <v>1552380240219448</v>
      </c>
      <c r="C4546" t="s">
        <v>40</v>
      </c>
      <c r="D4546">
        <v>5.2981939999999996</v>
      </c>
      <c r="E4546">
        <v>0.51433249999999997</v>
      </c>
      <c r="F4546" t="s">
        <v>42</v>
      </c>
      <c r="G4546">
        <v>-301.84690000000001</v>
      </c>
      <c r="H4546" s="1">
        <v>-2.1006420000000001E-7</v>
      </c>
      <c r="I4546">
        <v>-10.05786</v>
      </c>
      <c r="J4546">
        <v>-301.29640000000001</v>
      </c>
      <c r="K4546">
        <v>1.0457510000000001</v>
      </c>
      <c r="L4546">
        <v>-0.54965209999999998</v>
      </c>
      <c r="M4546">
        <v>0.19035540000000001</v>
      </c>
      <c r="N4546">
        <v>0</v>
      </c>
      <c r="O4546">
        <v>-0.98161639999999994</v>
      </c>
      <c r="P4546">
        <v>-2.60378E-2</v>
      </c>
      <c r="Q4546">
        <v>0.10420649999999999</v>
      </c>
      <c r="R4546">
        <v>-0.99421519999999997</v>
      </c>
      <c r="S4546">
        <v>-0.14886469999999999</v>
      </c>
      <c r="T4546">
        <v>-0.32145559999999901</v>
      </c>
      <c r="U4546">
        <v>-3.0474549999999998</v>
      </c>
      <c r="V4546">
        <v>0.21961610000000001</v>
      </c>
      <c r="W4546">
        <v>0.1085549</v>
      </c>
      <c r="X4546">
        <v>0.96952799999999995</v>
      </c>
      <c r="Y4546">
        <v>0.23777889999999999</v>
      </c>
      <c r="Z4546">
        <v>0.10045949999999999</v>
      </c>
      <c r="AA4546">
        <v>0.96611029999999998</v>
      </c>
      <c r="AB4546">
        <v>33</v>
      </c>
      <c r="AC4546">
        <v>-0.55049999999999899</v>
      </c>
      <c r="AD4546">
        <v>-1.0457512100641999</v>
      </c>
      <c r="AE4546">
        <v>-9.5082079000000004</v>
      </c>
      <c r="AF4546">
        <v>2.3225458429226999</v>
      </c>
      <c r="AG4546">
        <v>-1.0457512100641999</v>
      </c>
      <c r="AH4546">
        <v>9.1195715027931801</v>
      </c>
      <c r="AI4546">
        <v>96.340917390231397</v>
      </c>
      <c r="AJ4546">
        <v>75.711821803992805</v>
      </c>
      <c r="AK4546">
        <v>9.4686006981172106</v>
      </c>
      <c r="AL4546">
        <v>83.767981224662805</v>
      </c>
      <c r="AM4546">
        <v>77.236828136788503</v>
      </c>
      <c r="AN4546">
        <v>0.99999997023860898</v>
      </c>
    </row>
    <row r="4547" spans="1:40" x14ac:dyDescent="0.25">
      <c r="A4547" t="str">
        <f>"20190312164400255"</f>
        <v>20190312164400255</v>
      </c>
      <c r="B4547" t="str">
        <f>"1552380240249703"</f>
        <v>1552380240249703</v>
      </c>
      <c r="C4547" t="s">
        <v>40</v>
      </c>
      <c r="D4547">
        <v>5.3187350000000002</v>
      </c>
      <c r="E4547">
        <v>0.51361849999999998</v>
      </c>
      <c r="F4547" t="s">
        <v>42</v>
      </c>
      <c r="G4547">
        <v>-301.86759999999998</v>
      </c>
      <c r="H4547" s="1">
        <v>-4.5458690000000002E-6</v>
      </c>
      <c r="I4547">
        <v>-10.62843</v>
      </c>
      <c r="J4547">
        <v>-301.23939999999999</v>
      </c>
      <c r="K4547">
        <v>1.0478940000000001</v>
      </c>
      <c r="L4547">
        <v>-0.9343262</v>
      </c>
      <c r="M4547">
        <v>0.17253779999999999</v>
      </c>
      <c r="N4547">
        <v>0</v>
      </c>
      <c r="O4547">
        <v>-0.98493330000000001</v>
      </c>
      <c r="P4547">
        <v>-3.6636839999999997E-2</v>
      </c>
      <c r="Q4547">
        <v>0.10377409999999999</v>
      </c>
      <c r="R4547">
        <v>-0.99392619999999998</v>
      </c>
      <c r="S4547">
        <v>-0.17263789999999901</v>
      </c>
      <c r="T4547">
        <v>-0.31605270000000002</v>
      </c>
      <c r="U4547">
        <v>-3.0460509999999998</v>
      </c>
      <c r="V4547">
        <v>0.21213870000000001</v>
      </c>
      <c r="W4547">
        <v>0.1065681</v>
      </c>
      <c r="X4547">
        <v>0.97141160000000004</v>
      </c>
      <c r="Y4547">
        <v>0.22771269999999999</v>
      </c>
      <c r="Z4547">
        <v>9.9446549999999995E-2</v>
      </c>
      <c r="AA4547">
        <v>0.96863679999999996</v>
      </c>
      <c r="AB4547">
        <v>33</v>
      </c>
      <c r="AC4547">
        <v>-0.62819999999999199</v>
      </c>
      <c r="AD4547">
        <v>-1.047898545869</v>
      </c>
      <c r="AE4547">
        <v>-9.6941038000000006</v>
      </c>
      <c r="AF4547">
        <v>2.26513445692254</v>
      </c>
      <c r="AG4547">
        <v>-1.047898545869</v>
      </c>
      <c r="AH4547">
        <v>9.3317207868135306</v>
      </c>
      <c r="AI4547">
        <v>96.227782407185202</v>
      </c>
      <c r="AJ4547">
        <v>76.3561941242736</v>
      </c>
      <c r="AK4547">
        <v>9.6597069475952395</v>
      </c>
      <c r="AL4547">
        <v>83.882481221787103</v>
      </c>
      <c r="AM4547">
        <v>77.681042327397407</v>
      </c>
      <c r="AN4547">
        <v>1.00000004229492</v>
      </c>
    </row>
    <row r="4548" spans="1:40" x14ac:dyDescent="0.25">
      <c r="A4548" t="str">
        <f>"20190312164400291"</f>
        <v>20190312164400291</v>
      </c>
      <c r="B4548" t="str">
        <f>"1552380240279960"</f>
        <v>1552380240279960</v>
      </c>
      <c r="C4548" t="s">
        <v>40</v>
      </c>
      <c r="D4548">
        <v>5.2650920000000001</v>
      </c>
      <c r="E4548">
        <v>0.51297729999999997</v>
      </c>
      <c r="F4548" t="s">
        <v>42</v>
      </c>
      <c r="G4548">
        <v>-301.88279999999997</v>
      </c>
      <c r="H4548" s="1">
        <v>-4.404872E-6</v>
      </c>
      <c r="I4548">
        <v>-11.05071</v>
      </c>
      <c r="J4548">
        <v>-301.17200000000003</v>
      </c>
      <c r="K4548">
        <v>1.052009</v>
      </c>
      <c r="L4548">
        <v>-1.471222</v>
      </c>
      <c r="M4548">
        <v>0.1470021</v>
      </c>
      <c r="N4548">
        <v>0</v>
      </c>
      <c r="O4548">
        <v>-0.98909539999999996</v>
      </c>
      <c r="P4548">
        <v>-4.6550540000000001E-2</v>
      </c>
      <c r="Q4548">
        <v>0.1033615</v>
      </c>
      <c r="R4548">
        <v>-0.99355400000000005</v>
      </c>
      <c r="S4548">
        <v>-0.19360350000000001</v>
      </c>
      <c r="T4548">
        <v>-0.3153241</v>
      </c>
      <c r="U4548">
        <v>-3.0441280000000002</v>
      </c>
      <c r="V4548">
        <v>0.19616739999999999</v>
      </c>
      <c r="W4548">
        <v>0.1048468</v>
      </c>
      <c r="X4548">
        <v>0.97494899999999995</v>
      </c>
      <c r="Y4548">
        <v>0.20916170000000001</v>
      </c>
      <c r="Z4548">
        <v>0.10011349999999999</v>
      </c>
      <c r="AA4548">
        <v>0.97274289999999997</v>
      </c>
      <c r="AB4548">
        <v>33</v>
      </c>
      <c r="AC4548">
        <v>-0.71079999999994903</v>
      </c>
      <c r="AD4548">
        <v>-1.052013404872</v>
      </c>
      <c r="AE4548">
        <v>-9.5794879999999996</v>
      </c>
      <c r="AF4548">
        <v>2.0863152228166602</v>
      </c>
      <c r="AG4548">
        <v>-1.052013404872</v>
      </c>
      <c r="AH4548">
        <v>9.2598513599651096</v>
      </c>
      <c r="AI4548">
        <v>96.324388508612401</v>
      </c>
      <c r="AJ4548">
        <v>77.3028406819069</v>
      </c>
      <c r="AK4548">
        <v>9.5500937493636506</v>
      </c>
      <c r="AL4548">
        <v>83.981660032256599</v>
      </c>
      <c r="AM4548">
        <v>78.623539577644195</v>
      </c>
      <c r="AN4548">
        <v>1.0000000264469899</v>
      </c>
    </row>
    <row r="4549" spans="1:40" x14ac:dyDescent="0.25">
      <c r="A4549" t="str">
        <f>"20190312164400319"</f>
        <v>20190312164400319</v>
      </c>
      <c r="B4549" t="str">
        <f>"1552380240309240"</f>
        <v>1552380240309240</v>
      </c>
      <c r="C4549" t="s">
        <v>40</v>
      </c>
      <c r="D4549">
        <v>5.2847220000000004</v>
      </c>
      <c r="E4549">
        <v>0.51227219999999996</v>
      </c>
      <c r="F4549" t="s">
        <v>41</v>
      </c>
      <c r="G4549">
        <v>-301.23469999999998</v>
      </c>
      <c r="H4549">
        <v>0.96085860000000001</v>
      </c>
      <c r="I4549">
        <v>-2.3527140000000002</v>
      </c>
      <c r="J4549">
        <v>-301.12779999999998</v>
      </c>
      <c r="K4549">
        <v>1.0559350000000001</v>
      </c>
      <c r="L4549">
        <v>-1.877869</v>
      </c>
      <c r="M4549">
        <v>0.12662999999999999</v>
      </c>
      <c r="N4549">
        <v>0</v>
      </c>
      <c r="O4549">
        <v>-0.99191839999999998</v>
      </c>
      <c r="P4549">
        <v>-6.0546349999999999E-2</v>
      </c>
      <c r="Q4549">
        <v>0.1010378</v>
      </c>
      <c r="R4549">
        <v>-0.9930388</v>
      </c>
      <c r="S4549">
        <v>-0.21624760000000001</v>
      </c>
      <c r="T4549">
        <v>-0.31444870000000003</v>
      </c>
      <c r="U4549">
        <v>-3.0420530000000001</v>
      </c>
      <c r="V4549">
        <v>0.18938489999999999</v>
      </c>
      <c r="W4549">
        <v>0.10245750000000001</v>
      </c>
      <c r="X4549">
        <v>0.97654280000000004</v>
      </c>
      <c r="Y4549">
        <v>0.1962834</v>
      </c>
      <c r="Z4549">
        <v>0.1004515</v>
      </c>
      <c r="AA4549">
        <v>0.97538829999999999</v>
      </c>
      <c r="AB4549">
        <v>33</v>
      </c>
      <c r="AC4549">
        <v>-0.106899999999996</v>
      </c>
      <c r="AD4549">
        <v>-9.5076400000000102E-2</v>
      </c>
      <c r="AE4549">
        <v>-0.47484500000000002</v>
      </c>
      <c r="AF4549">
        <v>0.160063423326225</v>
      </c>
      <c r="AG4549">
        <v>-9.5076400000000102E-2</v>
      </c>
      <c r="AH4549">
        <v>0.44067057114726099</v>
      </c>
      <c r="AI4549">
        <v>101.46359849628</v>
      </c>
      <c r="AJ4549">
        <v>70.037614773791702</v>
      </c>
      <c r="AK4549">
        <v>0.47838308247587902</v>
      </c>
      <c r="AL4549">
        <v>84.119298144351205</v>
      </c>
      <c r="AM4549">
        <v>79.024639925168799</v>
      </c>
      <c r="AN4549">
        <v>1.0000000099430499</v>
      </c>
    </row>
    <row r="4550" spans="1:40" x14ac:dyDescent="0.25">
      <c r="A4550" t="str">
        <f>"20190312164400344"</f>
        <v>20190312164400344</v>
      </c>
      <c r="B4550" t="str">
        <f>"1552380240339495"</f>
        <v>1552380240339495</v>
      </c>
      <c r="C4550" t="s">
        <v>40</v>
      </c>
      <c r="D4550">
        <v>5.3746150000000004</v>
      </c>
      <c r="E4550">
        <v>0.51182090000000002</v>
      </c>
      <c r="F4550" t="s">
        <v>41</v>
      </c>
      <c r="G4550">
        <v>-301.19150000000002</v>
      </c>
      <c r="H4550">
        <v>0.97504849999999998</v>
      </c>
      <c r="I4550">
        <v>-2.6473550000000001</v>
      </c>
      <c r="J4550">
        <v>-301.0933</v>
      </c>
      <c r="K4550">
        <v>1.059447</v>
      </c>
      <c r="L4550">
        <v>-2.2402039999999999</v>
      </c>
      <c r="M4550">
        <v>0.1092645</v>
      </c>
      <c r="N4550">
        <v>0</v>
      </c>
      <c r="O4550">
        <v>-0.99398030000000004</v>
      </c>
      <c r="P4550">
        <v>-7.2022039999999996E-2</v>
      </c>
      <c r="Q4550">
        <v>9.8246929999999996E-2</v>
      </c>
      <c r="R4550">
        <v>-0.99255280000000001</v>
      </c>
      <c r="S4550">
        <v>-0.25155640000000001</v>
      </c>
      <c r="T4550">
        <v>-0.31915690000000002</v>
      </c>
      <c r="U4550">
        <v>-3.0381770000000001</v>
      </c>
      <c r="V4550">
        <v>0.1833562</v>
      </c>
      <c r="W4550">
        <v>0.10028720000000001</v>
      </c>
      <c r="X4550">
        <v>0.9779177</v>
      </c>
      <c r="Y4550">
        <v>0.19047549999999999</v>
      </c>
      <c r="Z4550">
        <v>0.102405</v>
      </c>
      <c r="AA4550">
        <v>0.97633619999999999</v>
      </c>
      <c r="AB4550">
        <v>33</v>
      </c>
      <c r="AC4550">
        <v>-9.8200000000019799E-2</v>
      </c>
      <c r="AD4550">
        <v>-8.4398499999999904E-2</v>
      </c>
      <c r="AE4550">
        <v>-0.40715099999999899</v>
      </c>
      <c r="AF4550">
        <v>0.13655546831674001</v>
      </c>
      <c r="AG4550">
        <v>-8.4398499999999904E-2</v>
      </c>
      <c r="AH4550">
        <v>0.37860877641804902</v>
      </c>
      <c r="AI4550">
        <v>101.84303746759301</v>
      </c>
      <c r="AJ4550">
        <v>70.166793388148903</v>
      </c>
      <c r="AK4550">
        <v>0.41123607369761001</v>
      </c>
      <c r="AL4550">
        <v>84.244291170104603</v>
      </c>
      <c r="AM4550">
        <v>79.380535394329499</v>
      </c>
      <c r="AN4550">
        <v>1.0000000232677799</v>
      </c>
    </row>
    <row r="4551" spans="1:40" x14ac:dyDescent="0.25">
      <c r="A4551" t="str">
        <f>"20190312164400382"</f>
        <v>20190312164400382</v>
      </c>
      <c r="B4551" t="str">
        <f>"1552380240369752"</f>
        <v>1552380240369752</v>
      </c>
      <c r="C4551" t="s">
        <v>40</v>
      </c>
      <c r="D4551">
        <v>5.3160660000000002</v>
      </c>
      <c r="E4551">
        <v>0.50068809999999997</v>
      </c>
      <c r="F4551" t="s">
        <v>41</v>
      </c>
      <c r="G4551">
        <v>-301.18459999999999</v>
      </c>
      <c r="H4551">
        <v>0.95370350000000004</v>
      </c>
      <c r="I4551">
        <v>-3.2210070000000002</v>
      </c>
      <c r="J4551">
        <v>-301.05079999999998</v>
      </c>
      <c r="K4551">
        <v>1.064786</v>
      </c>
      <c r="L4551">
        <v>-2.7977599999999998</v>
      </c>
      <c r="M4551">
        <v>8.5571149999999999E-2</v>
      </c>
      <c r="N4551">
        <v>0</v>
      </c>
      <c r="O4551">
        <v>-0.99630030000000003</v>
      </c>
      <c r="P4551">
        <v>-8.3122890000000005E-2</v>
      </c>
      <c r="Q4551">
        <v>9.4670309999999994E-2</v>
      </c>
      <c r="R4551">
        <v>-0.99203240000000004</v>
      </c>
      <c r="S4551">
        <v>-0.2820435</v>
      </c>
      <c r="T4551">
        <v>-0.32664680000000001</v>
      </c>
      <c r="U4551">
        <v>-3.0343930000000001</v>
      </c>
      <c r="V4551">
        <v>0.17079</v>
      </c>
      <c r="W4551">
        <v>9.7266030000000003E-2</v>
      </c>
      <c r="X4551">
        <v>0.9804948</v>
      </c>
      <c r="Y4551">
        <v>0.1768961</v>
      </c>
      <c r="Z4551">
        <v>0.1053716</v>
      </c>
      <c r="AA4551">
        <v>0.97857269999999996</v>
      </c>
      <c r="AB4551">
        <v>32</v>
      </c>
      <c r="AC4551">
        <v>-0.133800000000007</v>
      </c>
      <c r="AD4551">
        <v>-0.111082499999999</v>
      </c>
      <c r="AE4551">
        <v>-0.42324699999999998</v>
      </c>
      <c r="AF4551">
        <v>0.15953732550959099</v>
      </c>
      <c r="AG4551">
        <v>-0.111082499999999</v>
      </c>
      <c r="AH4551">
        <v>0.38606783801737199</v>
      </c>
      <c r="AI4551">
        <v>104.891346699444</v>
      </c>
      <c r="AJ4551">
        <v>67.547799316584204</v>
      </c>
      <c r="AK4551">
        <v>0.43224976065743698</v>
      </c>
      <c r="AL4551">
        <v>84.418241959991306</v>
      </c>
      <c r="AM4551">
        <v>80.118926703576605</v>
      </c>
      <c r="AN4551">
        <v>0.99999997875949997</v>
      </c>
    </row>
    <row r="4552" spans="1:40" x14ac:dyDescent="0.25">
      <c r="A4552" t="str">
        <f>"20190312164400426"</f>
        <v>20190312164400426</v>
      </c>
      <c r="B4552" t="str">
        <f>"1552380240419528"</f>
        <v>1552380240419528</v>
      </c>
      <c r="C4552" t="s">
        <v>40</v>
      </c>
      <c r="D4552">
        <v>5.3200029999999998</v>
      </c>
      <c r="E4552">
        <v>0.49914930000000002</v>
      </c>
      <c r="F4552" t="s">
        <v>41</v>
      </c>
      <c r="G4552">
        <v>-301.12670000000003</v>
      </c>
      <c r="H4552">
        <v>0.96112169999999997</v>
      </c>
      <c r="I4552">
        <v>-3.803499</v>
      </c>
      <c r="J4552">
        <v>-301.0172</v>
      </c>
      <c r="K4552">
        <v>1.07169</v>
      </c>
      <c r="L4552">
        <v>-3.4478759999999999</v>
      </c>
      <c r="M4552">
        <v>6.034076E-2</v>
      </c>
      <c r="N4552">
        <v>0</v>
      </c>
      <c r="O4552">
        <v>-0.99814740000000002</v>
      </c>
      <c r="P4552">
        <v>-9.0523779999999998E-2</v>
      </c>
      <c r="Q4552">
        <v>8.9898679999999995E-2</v>
      </c>
      <c r="R4552">
        <v>-0.99182890000000001</v>
      </c>
      <c r="S4552">
        <v>-0.2283936</v>
      </c>
      <c r="T4552">
        <v>-0.3122394</v>
      </c>
      <c r="U4552">
        <v>-3.0347599999999999</v>
      </c>
      <c r="V4552">
        <v>0.15293199999999901</v>
      </c>
      <c r="W4552">
        <v>9.3250330000000006E-2</v>
      </c>
      <c r="X4552">
        <v>0.98382729999999996</v>
      </c>
      <c r="Y4552">
        <v>0.13469329999999999</v>
      </c>
      <c r="Z4552">
        <v>0.10145899999999999</v>
      </c>
      <c r="AA4552">
        <v>0.98567930000000004</v>
      </c>
      <c r="AB4552">
        <v>32</v>
      </c>
      <c r="AC4552">
        <v>-0.10950000000002499</v>
      </c>
      <c r="AD4552">
        <v>-0.11056829999999999</v>
      </c>
      <c r="AE4552">
        <v>-0.35562299999999902</v>
      </c>
      <c r="AF4552">
        <v>0.120150785492408</v>
      </c>
      <c r="AG4552">
        <v>-0.11056829999999999</v>
      </c>
      <c r="AH4552">
        <v>0.32010344136175101</v>
      </c>
      <c r="AI4552">
        <v>107.92039070934599</v>
      </c>
      <c r="AJ4552">
        <v>69.426382100420795</v>
      </c>
      <c r="AK4552">
        <v>0.35934353116616502</v>
      </c>
      <c r="AL4552">
        <v>84.649375897192201</v>
      </c>
      <c r="AM4552">
        <v>81.164315362223903</v>
      </c>
      <c r="AN4552">
        <v>0.99999998844719895</v>
      </c>
    </row>
    <row r="4553" spans="1:40" x14ac:dyDescent="0.25">
      <c r="A4553" t="str">
        <f>"20190312164400470"</f>
        <v>20190312164400470</v>
      </c>
      <c r="B4553" t="str">
        <f>"1552380240459287"</f>
        <v>1552380240459287</v>
      </c>
      <c r="C4553" t="s">
        <v>40</v>
      </c>
      <c r="D4553">
        <v>5.5642809999999896</v>
      </c>
      <c r="E4553">
        <v>0.49831419999999998</v>
      </c>
      <c r="F4553" t="s">
        <v>41</v>
      </c>
      <c r="G4553">
        <v>-301.0933</v>
      </c>
      <c r="H4553">
        <v>0.96934549999999997</v>
      </c>
      <c r="I4553">
        <v>-4.3912649999999998</v>
      </c>
      <c r="J4553">
        <v>-300.99900000000002</v>
      </c>
      <c r="K4553">
        <v>1.0783849999999999</v>
      </c>
      <c r="L4553">
        <v>-4.0980829999999999</v>
      </c>
      <c r="M4553">
        <v>3.7648029999999999E-2</v>
      </c>
      <c r="N4553">
        <v>0</v>
      </c>
      <c r="O4553">
        <v>-0.99925730000000001</v>
      </c>
      <c r="P4553">
        <v>-9.7556050000000005E-2</v>
      </c>
      <c r="Q4553">
        <v>8.9884770000000003E-2</v>
      </c>
      <c r="R4553">
        <v>-0.99116280000000001</v>
      </c>
      <c r="S4553">
        <v>-0.243866</v>
      </c>
      <c r="T4553">
        <v>-0.32846110000000001</v>
      </c>
      <c r="U4553">
        <v>-3.0322269999999998</v>
      </c>
      <c r="V4553">
        <v>0.1373317</v>
      </c>
      <c r="W4553">
        <v>9.4426239999999995E-2</v>
      </c>
      <c r="X4553">
        <v>0.9860141</v>
      </c>
      <c r="Y4553">
        <v>0.1171755</v>
      </c>
      <c r="Z4553">
        <v>0.1070368</v>
      </c>
      <c r="AA4553">
        <v>0.98732620000000004</v>
      </c>
      <c r="AB4553">
        <v>33</v>
      </c>
      <c r="AC4553">
        <v>-9.4299999999975598E-2</v>
      </c>
      <c r="AD4553">
        <v>-0.109039499999999</v>
      </c>
      <c r="AE4553">
        <v>-0.293181999999999</v>
      </c>
      <c r="AF4553">
        <v>9.3544987187837297E-2</v>
      </c>
      <c r="AG4553">
        <v>-0.109039499999999</v>
      </c>
      <c r="AH4553">
        <v>0.25718464580949002</v>
      </c>
      <c r="AI4553">
        <v>111.724117685026</v>
      </c>
      <c r="AJ4553">
        <v>70.012309476897101</v>
      </c>
      <c r="AK4553">
        <v>0.29459161432120801</v>
      </c>
      <c r="AL4553">
        <v>84.581702978738306</v>
      </c>
      <c r="AM4553">
        <v>82.070873145873406</v>
      </c>
      <c r="AN4553">
        <v>1.00000005801211</v>
      </c>
    </row>
    <row r="4554" spans="1:40" x14ac:dyDescent="0.25">
      <c r="A4554" t="str">
        <f>"20190312164400497"</f>
        <v>20190312164400497</v>
      </c>
      <c r="B4554" t="str">
        <f>"1552380240489543"</f>
        <v>1552380240489543</v>
      </c>
      <c r="C4554" t="s">
        <v>40</v>
      </c>
      <c r="D4554">
        <v>5.3427199999999999</v>
      </c>
      <c r="E4554">
        <v>0.49791360000000001</v>
      </c>
      <c r="F4554" t="s">
        <v>41</v>
      </c>
      <c r="G4554">
        <v>-301.07339999999999</v>
      </c>
      <c r="H4554">
        <v>0.98391899999999999</v>
      </c>
      <c r="I4554">
        <v>-4.9832989999999997</v>
      </c>
      <c r="J4554">
        <v>-300.99459999999999</v>
      </c>
      <c r="K4554">
        <v>1.082325</v>
      </c>
      <c r="L4554">
        <v>-4.5127560000000004</v>
      </c>
      <c r="M4554">
        <v>2.45212E-2</v>
      </c>
      <c r="N4554">
        <v>0</v>
      </c>
      <c r="O4554">
        <v>-0.99966140000000003</v>
      </c>
      <c r="P4554">
        <v>-0.10168489999999999</v>
      </c>
      <c r="Q4554">
        <v>9.0247419999999995E-2</v>
      </c>
      <c r="R4554">
        <v>-0.99071480000000001</v>
      </c>
      <c r="S4554">
        <v>-0.25454710000000003</v>
      </c>
      <c r="T4554">
        <v>-0.32322299999999998</v>
      </c>
      <c r="U4554">
        <v>-3.0310060000000001</v>
      </c>
      <c r="V4554">
        <v>0.12836320000000001</v>
      </c>
      <c r="W4554">
        <v>9.5685560000000003E-2</v>
      </c>
      <c r="X4554">
        <v>0.98710039999999999</v>
      </c>
      <c r="Y4554">
        <v>0.1076299</v>
      </c>
      <c r="Z4554">
        <v>0.10549799999999999</v>
      </c>
      <c r="AA4554">
        <v>0.98857779999999995</v>
      </c>
      <c r="AB4554">
        <v>33</v>
      </c>
      <c r="AC4554">
        <v>-7.8800000000000994E-2</v>
      </c>
      <c r="AD4554">
        <v>-9.8405999999999799E-2</v>
      </c>
      <c r="AE4554">
        <v>-0.47054299999999999</v>
      </c>
      <c r="AF4554">
        <v>8.6629504393875401E-2</v>
      </c>
      <c r="AG4554">
        <v>-9.8405999999999799E-2</v>
      </c>
      <c r="AH4554">
        <v>0.44935217761415902</v>
      </c>
      <c r="AI4554">
        <v>102.13583003953499</v>
      </c>
      <c r="AJ4554">
        <v>79.087962132150807</v>
      </c>
      <c r="AK4554">
        <v>0.46808737581151999</v>
      </c>
      <c r="AL4554">
        <v>84.5092208370842</v>
      </c>
      <c r="AM4554">
        <v>82.590796240368803</v>
      </c>
      <c r="AN4554">
        <v>1.0000000185934499</v>
      </c>
    </row>
    <row r="4555" spans="1:40" x14ac:dyDescent="0.25">
      <c r="A4555" t="str">
        <f>"20190312164400522"</f>
        <v>20190312164400522</v>
      </c>
      <c r="B4555" t="str">
        <f>"1552380240519800"</f>
        <v>1552380240519800</v>
      </c>
      <c r="C4555" t="s">
        <v>40</v>
      </c>
      <c r="D4555">
        <v>5.4587729999999999</v>
      </c>
      <c r="E4555">
        <v>0.4975292</v>
      </c>
      <c r="F4555" t="s">
        <v>41</v>
      </c>
      <c r="G4555">
        <v>-301.06220000000002</v>
      </c>
      <c r="H4555">
        <v>0.99928360000000005</v>
      </c>
      <c r="I4555">
        <v>-5.2832670000000004</v>
      </c>
      <c r="J4555">
        <v>-300.99489999999997</v>
      </c>
      <c r="K4555">
        <v>1.0854919999999999</v>
      </c>
      <c r="L4555">
        <v>-4.8715210000000004</v>
      </c>
      <c r="M4555">
        <v>1.405724E-2</v>
      </c>
      <c r="N4555">
        <v>0</v>
      </c>
      <c r="O4555">
        <v>-0.99985930000000001</v>
      </c>
      <c r="P4555">
        <v>-0.1009414</v>
      </c>
      <c r="Q4555">
        <v>9.070715E-2</v>
      </c>
      <c r="R4555">
        <v>-0.99074879999999999</v>
      </c>
      <c r="S4555">
        <v>-0.26525880000000002</v>
      </c>
      <c r="T4555">
        <v>-0.3264205</v>
      </c>
      <c r="U4555">
        <v>-3.0306090000000001</v>
      </c>
      <c r="V4555">
        <v>0.11716849999999999</v>
      </c>
      <c r="W4555">
        <v>9.7042959999999998E-2</v>
      </c>
      <c r="X4555">
        <v>0.98835930000000005</v>
      </c>
      <c r="Y4555">
        <v>0.1006918</v>
      </c>
      <c r="Z4555">
        <v>0.1065989</v>
      </c>
      <c r="AA4555">
        <v>0.98919049999999997</v>
      </c>
      <c r="AB4555">
        <v>33</v>
      </c>
      <c r="AC4555">
        <v>-6.7300000000045601E-2</v>
      </c>
      <c r="AD4555">
        <v>-8.6208399999999893E-2</v>
      </c>
      <c r="AE4555">
        <v>-0.411746</v>
      </c>
      <c r="AF4555">
        <v>7.0089062071503394E-2</v>
      </c>
      <c r="AG4555">
        <v>-8.6208399999999893E-2</v>
      </c>
      <c r="AH4555">
        <v>0.39393947002595803</v>
      </c>
      <c r="AI4555">
        <v>102.15869455311901</v>
      </c>
      <c r="AJ4555">
        <v>79.911594539708901</v>
      </c>
      <c r="AK4555">
        <v>0.40930755050078899</v>
      </c>
      <c r="AL4555">
        <v>84.431083517581897</v>
      </c>
      <c r="AM4555">
        <v>83.239225575081406</v>
      </c>
      <c r="AN4555">
        <v>0.999999949687149</v>
      </c>
    </row>
    <row r="4556" spans="1:40" x14ac:dyDescent="0.25">
      <c r="A4556" t="str">
        <f>"20190312164400559"</f>
        <v>20190312164400559</v>
      </c>
      <c r="B4556" t="str">
        <f>"1552380240549098"</f>
        <v>1552380240549098</v>
      </c>
      <c r="C4556" t="s">
        <v>40</v>
      </c>
      <c r="D4556">
        <v>5.4476319999999996</v>
      </c>
      <c r="E4556">
        <v>0.49704999999999999</v>
      </c>
      <c r="F4556" t="s">
        <v>41</v>
      </c>
      <c r="G4556">
        <v>-301.07920000000001</v>
      </c>
      <c r="H4556">
        <v>0.97815469999999904</v>
      </c>
      <c r="I4556">
        <v>-5.8579040000000004</v>
      </c>
      <c r="J4556">
        <v>-301.00200000000001</v>
      </c>
      <c r="K4556">
        <v>1.0899589999999999</v>
      </c>
      <c r="L4556">
        <v>-5.4246829999999999</v>
      </c>
      <c r="M4556">
        <v>-2.9708209999999998E-4</v>
      </c>
      <c r="N4556">
        <v>0</v>
      </c>
      <c r="O4556">
        <v>-0.99995149999999999</v>
      </c>
      <c r="P4556">
        <v>-9.9117170000000004E-2</v>
      </c>
      <c r="Q4556">
        <v>9.0668780000000004E-2</v>
      </c>
      <c r="R4556">
        <v>-0.99093640000000005</v>
      </c>
      <c r="S4556">
        <v>-0.25921630000000001</v>
      </c>
      <c r="T4556">
        <v>-0.32995380000000002</v>
      </c>
      <c r="U4556">
        <v>-3.0317989999999999</v>
      </c>
      <c r="V4556">
        <v>0.1009077</v>
      </c>
      <c r="W4556">
        <v>9.8338030000000007E-2</v>
      </c>
      <c r="X4556">
        <v>0.99002389999999996</v>
      </c>
      <c r="Y4556">
        <v>8.4395890000000001E-2</v>
      </c>
      <c r="Z4556">
        <v>0.10780480000000001</v>
      </c>
      <c r="AA4556">
        <v>0.9905834</v>
      </c>
      <c r="AB4556">
        <v>32</v>
      </c>
      <c r="AC4556">
        <v>-7.7200000000004806E-2</v>
      </c>
      <c r="AD4556">
        <v>-0.1118043</v>
      </c>
      <c r="AE4556">
        <v>-0.43322100000000002</v>
      </c>
      <c r="AF4556">
        <v>7.2397743932086103E-2</v>
      </c>
      <c r="AG4556">
        <v>-0.1118043</v>
      </c>
      <c r="AH4556">
        <v>0.406972335557436</v>
      </c>
      <c r="AI4556">
        <v>105.134975525456</v>
      </c>
      <c r="AJ4556">
        <v>79.912973411020104</v>
      </c>
      <c r="AK4556">
        <v>0.42821503562348201</v>
      </c>
      <c r="AL4556">
        <v>84.356525277003001</v>
      </c>
      <c r="AM4556">
        <v>84.180253289544495</v>
      </c>
      <c r="AN4556">
        <v>1.0000000273173899</v>
      </c>
    </row>
    <row r="4557" spans="1:40" x14ac:dyDescent="0.25">
      <c r="A4557" t="str">
        <f>"20190312164400605"</f>
        <v>20190312164400605</v>
      </c>
      <c r="B4557" t="str">
        <f>"1552380240599832"</f>
        <v>1552380240599832</v>
      </c>
      <c r="C4557" t="s">
        <v>40</v>
      </c>
      <c r="D4557">
        <v>5.4668900000000002</v>
      </c>
      <c r="E4557">
        <v>0.49654949999999998</v>
      </c>
      <c r="F4557" t="s">
        <v>41</v>
      </c>
      <c r="G4557">
        <v>-301.06299999999999</v>
      </c>
      <c r="H4557">
        <v>1.0098510000000001</v>
      </c>
      <c r="I4557">
        <v>-6.1654460000000002</v>
      </c>
      <c r="J4557">
        <v>-301.01889999999997</v>
      </c>
      <c r="K4557">
        <v>1.094517</v>
      </c>
      <c r="L4557">
        <v>-6.0811460000000004</v>
      </c>
      <c r="M4557">
        <v>-1.4693629999999999E-2</v>
      </c>
      <c r="N4557">
        <v>0</v>
      </c>
      <c r="O4557">
        <v>-0.99983569999999999</v>
      </c>
      <c r="P4557">
        <v>-0.1005506</v>
      </c>
      <c r="Q4557">
        <v>9.2362089999999994E-2</v>
      </c>
      <c r="R4557">
        <v>-0.99063559999999995</v>
      </c>
      <c r="S4557">
        <v>-0.24890139999999999</v>
      </c>
      <c r="T4557">
        <v>-0.32764219999999999</v>
      </c>
      <c r="U4557">
        <v>-3.0325319999999998</v>
      </c>
      <c r="V4557">
        <v>8.7792700000000001E-2</v>
      </c>
      <c r="W4557">
        <v>0.10134749999999999</v>
      </c>
      <c r="X4557">
        <v>0.99096980000000001</v>
      </c>
      <c r="Y4557">
        <v>6.6677500000000001E-2</v>
      </c>
      <c r="Z4557">
        <v>0.1071027</v>
      </c>
      <c r="AA4557">
        <v>0.99200960000000005</v>
      </c>
      <c r="AB4557">
        <v>32</v>
      </c>
      <c r="AC4557">
        <v>-4.4100000000014399E-2</v>
      </c>
      <c r="AD4557">
        <v>-8.4665999999999894E-2</v>
      </c>
      <c r="AE4557">
        <v>-8.4300000000000694E-2</v>
      </c>
      <c r="AF4557">
        <v>2.3915894679063701E-2</v>
      </c>
      <c r="AG4557">
        <v>-8.4665999999999894E-2</v>
      </c>
      <c r="AH4557">
        <v>4.7399823977912203E-2</v>
      </c>
      <c r="AI4557">
        <v>147.90938603259499</v>
      </c>
      <c r="AJ4557">
        <v>63.226469937968197</v>
      </c>
      <c r="AK4557">
        <v>9.9935203444217399E-2</v>
      </c>
      <c r="AL4557">
        <v>84.183229258560502</v>
      </c>
      <c r="AM4557">
        <v>84.937229354671203</v>
      </c>
      <c r="AN4557">
        <v>1.0000000092207899</v>
      </c>
    </row>
    <row r="4558" spans="1:40" x14ac:dyDescent="0.25">
      <c r="A4558" t="str">
        <f>"20190312164400633"</f>
        <v>20190312164400633</v>
      </c>
      <c r="B4558" t="str">
        <f>"1552380240629112"</f>
        <v>1552380240629112</v>
      </c>
      <c r="C4558" t="s">
        <v>40</v>
      </c>
      <c r="D4558">
        <v>5.8131269999999997</v>
      </c>
      <c r="E4558">
        <v>0.49632349999999997</v>
      </c>
      <c r="F4558" t="s">
        <v>41</v>
      </c>
      <c r="G4558">
        <v>-301.09500000000003</v>
      </c>
      <c r="H4558">
        <v>0.9938591</v>
      </c>
      <c r="I4558">
        <v>-7.0314420000000002</v>
      </c>
      <c r="J4558">
        <v>-301.03269999999998</v>
      </c>
      <c r="K4558">
        <v>1.096903</v>
      </c>
      <c r="L4558">
        <v>-6.4823300000000001</v>
      </c>
      <c r="M4558">
        <v>-2.2081770000000001E-2</v>
      </c>
      <c r="N4558">
        <v>0</v>
      </c>
      <c r="O4558">
        <v>-0.99969549999999996</v>
      </c>
      <c r="P4558">
        <v>-0.1017603</v>
      </c>
      <c r="Q4558">
        <v>9.0463680000000005E-2</v>
      </c>
      <c r="R4558">
        <v>-0.99068730000000005</v>
      </c>
      <c r="S4558">
        <v>-0.24291989999999999</v>
      </c>
      <c r="T4558">
        <v>-0.32132899999999998</v>
      </c>
      <c r="U4558">
        <v>-3.0336609999999999</v>
      </c>
      <c r="V4558">
        <v>8.1439990000000004E-2</v>
      </c>
      <c r="W4558">
        <v>0.100133</v>
      </c>
      <c r="X4558">
        <v>0.9916355</v>
      </c>
      <c r="Y4558">
        <v>5.7345670000000001E-2</v>
      </c>
      <c r="Z4558">
        <v>0.10504090000000001</v>
      </c>
      <c r="AA4558">
        <v>0.9928131</v>
      </c>
      <c r="AB4558">
        <v>32</v>
      </c>
      <c r="AC4558">
        <v>-6.2300000000050197E-2</v>
      </c>
      <c r="AD4558">
        <v>-0.10304389999999899</v>
      </c>
      <c r="AE4558">
        <v>-0.54911200000000004</v>
      </c>
      <c r="AF4558">
        <v>4.8473428194035197E-2</v>
      </c>
      <c r="AG4558">
        <v>-0.10304389999999899</v>
      </c>
      <c r="AH4558">
        <v>0.53186256958738198</v>
      </c>
      <c r="AI4558">
        <v>100.92056602530999</v>
      </c>
      <c r="AJ4558">
        <v>84.792505932858802</v>
      </c>
      <c r="AK4558">
        <v>0.54391682406061403</v>
      </c>
      <c r="AL4558">
        <v>84.253170899918302</v>
      </c>
      <c r="AM4558">
        <v>85.305009633401497</v>
      </c>
      <c r="AN4558">
        <v>1.0000000272602201</v>
      </c>
    </row>
    <row r="4559" spans="1:40" x14ac:dyDescent="0.25">
      <c r="A4559" t="str">
        <f>"20190312164400671"</f>
        <v>20190312164400671</v>
      </c>
      <c r="B4559" t="str">
        <f>"1552380240659874"</f>
        <v>1552380240659874</v>
      </c>
      <c r="C4559" t="s">
        <v>40</v>
      </c>
      <c r="D4559">
        <v>5.456448</v>
      </c>
      <c r="E4559">
        <v>0.4794408</v>
      </c>
      <c r="F4559" t="s">
        <v>41</v>
      </c>
      <c r="G4559">
        <v>-301.10059999999999</v>
      </c>
      <c r="H4559">
        <v>1.005439</v>
      </c>
      <c r="I4559">
        <v>-7.3279100000000001</v>
      </c>
      <c r="J4559">
        <v>-301.05509999999998</v>
      </c>
      <c r="K4559">
        <v>1.0997809999999999</v>
      </c>
      <c r="L4559">
        <v>-7.0425719999999998</v>
      </c>
      <c r="M4559">
        <v>-3.0681480000000001E-2</v>
      </c>
      <c r="N4559">
        <v>0</v>
      </c>
      <c r="O4559">
        <v>-0.99946279999999998</v>
      </c>
      <c r="P4559">
        <v>-9.5055810000000004E-2</v>
      </c>
      <c r="Q4559">
        <v>8.1548239999999994E-2</v>
      </c>
      <c r="R4559">
        <v>-0.99212630000000002</v>
      </c>
      <c r="S4559">
        <v>-0.2433167</v>
      </c>
      <c r="T4559">
        <v>-0.32792379999999999</v>
      </c>
      <c r="U4559">
        <v>-3.0331730000000001</v>
      </c>
      <c r="V4559">
        <v>6.5767740000000005E-2</v>
      </c>
      <c r="W4559">
        <v>9.2155470000000003E-2</v>
      </c>
      <c r="X4559">
        <v>0.99357030000000002</v>
      </c>
      <c r="Y4559">
        <v>4.8878070000000003E-2</v>
      </c>
      <c r="Z4559">
        <v>0.1071764</v>
      </c>
      <c r="AA4559">
        <v>0.99303779999999997</v>
      </c>
      <c r="AB4559">
        <v>32</v>
      </c>
      <c r="AC4559">
        <v>-4.5500000000004003E-2</v>
      </c>
      <c r="AD4559">
        <v>-9.4341999999999898E-2</v>
      </c>
      <c r="AE4559">
        <v>-0.28533799999999998</v>
      </c>
      <c r="AF4559">
        <v>3.3185585266253599E-2</v>
      </c>
      <c r="AG4559">
        <v>-9.4341999999999898E-2</v>
      </c>
      <c r="AH4559">
        <v>0.25898962559775701</v>
      </c>
      <c r="AI4559">
        <v>109.865566300409</v>
      </c>
      <c r="AJ4559">
        <v>82.698204548792305</v>
      </c>
      <c r="AK4559">
        <v>0.27762802848547202</v>
      </c>
      <c r="AL4559">
        <v>84.712378031917694</v>
      </c>
      <c r="AM4559">
        <v>86.212925443440497</v>
      </c>
      <c r="AN4559">
        <v>0.999999983658859</v>
      </c>
    </row>
    <row r="4560" spans="1:40" x14ac:dyDescent="0.25">
      <c r="A4560" t="str">
        <f>"20190312164400698"</f>
        <v>20190312164400698</v>
      </c>
      <c r="B4560" t="str">
        <f>"1552380240690131"</f>
        <v>1552380240690131</v>
      </c>
      <c r="C4560" t="s">
        <v>40</v>
      </c>
      <c r="D4560">
        <v>5.5983489999999998</v>
      </c>
      <c r="E4560">
        <v>0.46841820000000001</v>
      </c>
      <c r="F4560" t="s">
        <v>41</v>
      </c>
      <c r="G4560">
        <v>-301.08159999999998</v>
      </c>
      <c r="H4560">
        <v>0.99757620000000002</v>
      </c>
      <c r="I4560">
        <v>-7.9062869999999998</v>
      </c>
      <c r="J4560">
        <v>-301.07339999999999</v>
      </c>
      <c r="K4560">
        <v>1.101685</v>
      </c>
      <c r="L4560">
        <v>-7.4514769999999997</v>
      </c>
      <c r="M4560">
        <v>-3.5556900000000002E-2</v>
      </c>
      <c r="N4560">
        <v>0</v>
      </c>
      <c r="O4560">
        <v>-0.99929769999999896</v>
      </c>
      <c r="P4560">
        <v>-9.2844300000000005E-2</v>
      </c>
      <c r="Q4560">
        <v>7.7892310000000006E-2</v>
      </c>
      <c r="R4560">
        <v>-0.99262910000000004</v>
      </c>
      <c r="S4560">
        <v>-9.2742920000000006E-2</v>
      </c>
      <c r="T4560">
        <v>-0.36014930000000001</v>
      </c>
      <c r="U4560">
        <v>-3.0445250000000001</v>
      </c>
      <c r="V4560">
        <v>5.8453230000000002E-2</v>
      </c>
      <c r="W4560">
        <v>8.9031750000000007E-2</v>
      </c>
      <c r="X4560">
        <v>0.99431210000000003</v>
      </c>
      <c r="Y4560">
        <v>-5.3245439999999996E-3</v>
      </c>
      <c r="Z4560">
        <v>0.11733639999999999</v>
      </c>
      <c r="AA4560">
        <v>0.99307789999999996</v>
      </c>
      <c r="AB4560">
        <v>32</v>
      </c>
      <c r="AC4560">
        <v>-8.1999999999879895E-3</v>
      </c>
      <c r="AD4560">
        <v>-0.1041088</v>
      </c>
      <c r="AE4560">
        <v>-0.45480999999999899</v>
      </c>
      <c r="AF4560">
        <v>-7.5808574464230503E-3</v>
      </c>
      <c r="AG4560">
        <v>-0.1041088</v>
      </c>
      <c r="AH4560">
        <v>0.43217613447098702</v>
      </c>
      <c r="AI4560">
        <v>103.542169977735</v>
      </c>
      <c r="AJ4560">
        <v>91.004929614746004</v>
      </c>
      <c r="AK4560">
        <v>0.44460355693960402</v>
      </c>
      <c r="AL4560">
        <v>84.892093125505198</v>
      </c>
      <c r="AM4560">
        <v>86.635590387082701</v>
      </c>
      <c r="AN4560">
        <v>0.99999999240595205</v>
      </c>
    </row>
    <row r="4561" spans="1:40" x14ac:dyDescent="0.25">
      <c r="A4561" t="str">
        <f>"20190312164400723"</f>
        <v>20190312164400723</v>
      </c>
      <c r="B4561" t="str">
        <f>"1552380240719410"</f>
        <v>1552380240719410</v>
      </c>
      <c r="C4561" t="s">
        <v>40</v>
      </c>
      <c r="D4561">
        <v>5.3041359999999997</v>
      </c>
      <c r="E4561">
        <v>0.46632170000000001</v>
      </c>
      <c r="F4561" t="s">
        <v>41</v>
      </c>
      <c r="G4561">
        <v>-301.07339999999999</v>
      </c>
      <c r="H4561">
        <v>1.0128600000000001</v>
      </c>
      <c r="I4561">
        <v>-8.2055969999999991</v>
      </c>
      <c r="J4561">
        <v>-301.08929999999998</v>
      </c>
      <c r="K4561">
        <v>1.1031230000000001</v>
      </c>
      <c r="L4561">
        <v>-7.7928769999999998</v>
      </c>
      <c r="M4561">
        <v>-3.8757819999999998E-2</v>
      </c>
      <c r="N4561">
        <v>0</v>
      </c>
      <c r="O4561">
        <v>-0.99917610000000001</v>
      </c>
      <c r="P4561">
        <v>-8.9876059999999994E-2</v>
      </c>
      <c r="Q4561">
        <v>7.7596170000000006E-2</v>
      </c>
      <c r="R4561">
        <v>-0.99292579999999997</v>
      </c>
      <c r="S4561">
        <v>9.765625E-4</v>
      </c>
      <c r="T4561">
        <v>-0.35922399999999999</v>
      </c>
      <c r="U4561">
        <v>-3.0505680000000002</v>
      </c>
      <c r="V4561">
        <v>5.2128090000000002E-2</v>
      </c>
      <c r="W4561">
        <v>8.9124339999999996E-2</v>
      </c>
      <c r="X4561">
        <v>0.99465550000000003</v>
      </c>
      <c r="Y4561">
        <v>-3.9078219999999997E-2</v>
      </c>
      <c r="Z4561">
        <v>0.11677220000000001</v>
      </c>
      <c r="AA4561">
        <v>0.99238959999999998</v>
      </c>
      <c r="AB4561">
        <v>32</v>
      </c>
      <c r="AC4561">
        <v>1.5899999999987799E-2</v>
      </c>
      <c r="AD4561">
        <v>-9.0262999999999705E-2</v>
      </c>
      <c r="AE4561">
        <v>-0.41271999999999998</v>
      </c>
      <c r="AF4561">
        <v>-3.04319101414109E-2</v>
      </c>
      <c r="AG4561">
        <v>-9.0262999999999705E-2</v>
      </c>
      <c r="AH4561">
        <v>0.39302278485582898</v>
      </c>
      <c r="AI4561">
        <v>102.897145446032</v>
      </c>
      <c r="AJ4561">
        <v>94.427600529318795</v>
      </c>
      <c r="AK4561">
        <v>0.40440131025960602</v>
      </c>
      <c r="AL4561">
        <v>84.886767101402896</v>
      </c>
      <c r="AM4561">
        <v>86.999976786510103</v>
      </c>
      <c r="AN4561">
        <v>1.0000000247138601</v>
      </c>
    </row>
    <row r="4562" spans="1:40" x14ac:dyDescent="0.25">
      <c r="A4562" t="str">
        <f>"20190312164400760"</f>
        <v>20190312164400760</v>
      </c>
      <c r="B4562" t="str">
        <f>"1552380240749197"</f>
        <v>1552380240749197</v>
      </c>
      <c r="C4562" t="s">
        <v>40</v>
      </c>
      <c r="D4562">
        <v>5.3267810000000004</v>
      </c>
      <c r="E4562">
        <v>0.46534320000000001</v>
      </c>
      <c r="F4562" t="s">
        <v>41</v>
      </c>
      <c r="G4562">
        <v>-301.08089999999999</v>
      </c>
      <c r="H4562">
        <v>0.98892270000000004</v>
      </c>
      <c r="I4562">
        <v>-8.771922</v>
      </c>
      <c r="J4562">
        <v>-301.11540000000002</v>
      </c>
      <c r="K4562">
        <v>1.1051139999999999</v>
      </c>
      <c r="L4562">
        <v>-8.3429869999999902</v>
      </c>
      <c r="M4562">
        <v>-4.2366389999999997E-2</v>
      </c>
      <c r="N4562">
        <v>0</v>
      </c>
      <c r="O4562">
        <v>-0.99902579999999996</v>
      </c>
      <c r="P4562">
        <v>-8.1164639999999996E-2</v>
      </c>
      <c r="Q4562">
        <v>7.7059820000000001E-2</v>
      </c>
      <c r="R4562">
        <v>-0.99371770000000004</v>
      </c>
      <c r="S4562">
        <v>2.651978E-2</v>
      </c>
      <c r="T4562">
        <v>-0.35591909999999999</v>
      </c>
      <c r="U4562">
        <v>-3.0516049999999999</v>
      </c>
      <c r="V4562">
        <v>3.9557299999999997E-2</v>
      </c>
      <c r="W4562">
        <v>8.9123399999999894E-2</v>
      </c>
      <c r="X4562">
        <v>0.99523479999999998</v>
      </c>
      <c r="Y4562">
        <v>-5.0991809999999999E-2</v>
      </c>
      <c r="Z4562">
        <v>0.1156148</v>
      </c>
      <c r="AA4562">
        <v>0.99198439999999999</v>
      </c>
      <c r="AB4562">
        <v>32</v>
      </c>
      <c r="AC4562">
        <v>3.45000000000368E-2</v>
      </c>
      <c r="AD4562">
        <v>-0.1161913</v>
      </c>
      <c r="AE4562">
        <v>-0.42893500000000001</v>
      </c>
      <c r="AF4562">
        <v>-4.9065648821534497E-2</v>
      </c>
      <c r="AG4562">
        <v>-0.1161913</v>
      </c>
      <c r="AH4562">
        <v>0.39806659247918602</v>
      </c>
      <c r="AI4562">
        <v>106.15612883594601</v>
      </c>
      <c r="AJ4562">
        <v>97.026828944998698</v>
      </c>
      <c r="AK4562">
        <v>0.41757019546174401</v>
      </c>
      <c r="AL4562">
        <v>84.8868212210498</v>
      </c>
      <c r="AM4562">
        <v>87.723879884808497</v>
      </c>
      <c r="AN4562">
        <v>1.00000003377094</v>
      </c>
    </row>
    <row r="4563" spans="1:40" x14ac:dyDescent="0.25">
      <c r="A4563" t="str">
        <f>"20190312164400806"</f>
        <v>20190312164400806</v>
      </c>
      <c r="B4563" t="str">
        <f>"1552380240799949"</f>
        <v>1552380240799949</v>
      </c>
      <c r="C4563" t="s">
        <v>40</v>
      </c>
      <c r="D4563">
        <v>5.4107079999999996</v>
      </c>
      <c r="E4563">
        <v>0.46501550000000003</v>
      </c>
      <c r="F4563" t="s">
        <v>42</v>
      </c>
      <c r="G4563">
        <v>-300.9366</v>
      </c>
      <c r="H4563" s="1">
        <v>-1.4681720000000001E-6</v>
      </c>
      <c r="I4563">
        <v>-17.569459999999999</v>
      </c>
      <c r="J4563">
        <v>-301.14699999999999</v>
      </c>
      <c r="K4563">
        <v>1.1068499999999999</v>
      </c>
      <c r="L4563">
        <v>-8.9976500000000001</v>
      </c>
      <c r="M4563">
        <v>-4.4731899999999998E-2</v>
      </c>
      <c r="N4563">
        <v>0</v>
      </c>
      <c r="O4563">
        <v>-0.99891870000000005</v>
      </c>
      <c r="P4563">
        <v>-6.9118070000000004E-2</v>
      </c>
      <c r="Q4563">
        <v>7.227227E-2</v>
      </c>
      <c r="R4563">
        <v>-0.99498719999999996</v>
      </c>
      <c r="S4563">
        <v>5.9143069999999999E-2</v>
      </c>
      <c r="T4563">
        <v>-0.36557650000000003</v>
      </c>
      <c r="U4563">
        <v>-3.052155</v>
      </c>
      <c r="V4563">
        <v>2.4878580000000001E-2</v>
      </c>
      <c r="W4563">
        <v>8.4792069999999997E-2</v>
      </c>
      <c r="X4563">
        <v>0.99608799999999997</v>
      </c>
      <c r="Y4563">
        <v>-6.3944299999999996E-2</v>
      </c>
      <c r="Z4563">
        <v>0.1186154</v>
      </c>
      <c r="AA4563">
        <v>0.99087919999999996</v>
      </c>
      <c r="AB4563">
        <v>32</v>
      </c>
      <c r="AC4563">
        <v>0.21039999999999201</v>
      </c>
      <c r="AD4563">
        <v>-1.1068514681720001</v>
      </c>
      <c r="AE4563">
        <v>-8.5718099999999993</v>
      </c>
      <c r="AF4563">
        <v>-0.58392314756330599</v>
      </c>
      <c r="AG4563">
        <v>-1.1068514681720001</v>
      </c>
      <c r="AH4563">
        <v>8.4136139953769309</v>
      </c>
      <c r="AI4563">
        <v>97.476718138151398</v>
      </c>
      <c r="AJ4563">
        <v>93.970085944932606</v>
      </c>
      <c r="AK4563">
        <v>8.5061734568522205</v>
      </c>
      <c r="AL4563">
        <v>85.135931667779204</v>
      </c>
      <c r="AM4563">
        <v>88.569261609335996</v>
      </c>
      <c r="AN4563">
        <v>0.99999997131085006</v>
      </c>
    </row>
    <row r="4564" spans="1:40" x14ac:dyDescent="0.25">
      <c r="A4564" t="str">
        <f>"20190312164400836"</f>
        <v>20190312164400836</v>
      </c>
      <c r="B4564" t="str">
        <f>"1552380240829229"</f>
        <v>1552380240829229</v>
      </c>
      <c r="C4564" t="s">
        <v>40</v>
      </c>
      <c r="D4564">
        <v>5.4243810000000003</v>
      </c>
      <c r="E4564">
        <v>0.46497270000000002</v>
      </c>
      <c r="F4564" t="s">
        <v>42</v>
      </c>
      <c r="G4564">
        <v>-300.86709999999999</v>
      </c>
      <c r="H4564" s="1">
        <v>-1.277467E-6</v>
      </c>
      <c r="I4564">
        <v>-17.970879999999902</v>
      </c>
      <c r="J4564">
        <v>-301.16719999999998</v>
      </c>
      <c r="K4564">
        <v>1.1076870000000001</v>
      </c>
      <c r="L4564">
        <v>-9.4193730000000002</v>
      </c>
      <c r="M4564">
        <v>-4.5509279999999999E-2</v>
      </c>
      <c r="N4564">
        <v>0</v>
      </c>
      <c r="O4564">
        <v>-0.99888169999999998</v>
      </c>
      <c r="P4564">
        <v>-6.3757969999999997E-2</v>
      </c>
      <c r="Q4564">
        <v>7.3135539999999999E-2</v>
      </c>
      <c r="R4564">
        <v>-0.99528190000000005</v>
      </c>
      <c r="S4564">
        <v>9.5092769999999993E-2</v>
      </c>
      <c r="T4564">
        <v>-0.3761002</v>
      </c>
      <c r="U4564">
        <v>-3.049042</v>
      </c>
      <c r="V4564">
        <v>1.8641600000000001E-2</v>
      </c>
      <c r="W4564">
        <v>8.5857230000000007E-2</v>
      </c>
      <c r="X4564">
        <v>0.99613300000000005</v>
      </c>
      <c r="Y4564">
        <v>-7.6397519999999997E-2</v>
      </c>
      <c r="Z4564">
        <v>0.1220242</v>
      </c>
      <c r="AA4564">
        <v>0.98958250000000003</v>
      </c>
      <c r="AB4564">
        <v>32</v>
      </c>
      <c r="AC4564">
        <v>0.30009999999998599</v>
      </c>
      <c r="AD4564">
        <v>-1.107688277467</v>
      </c>
      <c r="AE4564">
        <v>-8.5515069999999902</v>
      </c>
      <c r="AF4564">
        <v>-0.67763823114886002</v>
      </c>
      <c r="AG4564">
        <v>-1.107688277467</v>
      </c>
      <c r="AH4564">
        <v>8.38841616181859</v>
      </c>
      <c r="AI4564">
        <v>97.498225082122403</v>
      </c>
      <c r="AJ4564">
        <v>94.618474118411598</v>
      </c>
      <c r="AK4564">
        <v>8.4883268431541694</v>
      </c>
      <c r="AL4564">
        <v>85.0746790760262</v>
      </c>
      <c r="AM4564">
        <v>88.927893821436598</v>
      </c>
      <c r="AN4564">
        <v>0.99999996344141495</v>
      </c>
    </row>
    <row r="4565" spans="1:40" x14ac:dyDescent="0.25">
      <c r="A4565" t="str">
        <f>"20190312164400858"</f>
        <v>20190312164400858</v>
      </c>
      <c r="B4565" t="str">
        <f>"1552380240849256"</f>
        <v>1552380240849256</v>
      </c>
      <c r="C4565" t="s">
        <v>40</v>
      </c>
      <c r="D4565">
        <v>5.9939859999999996</v>
      </c>
      <c r="E4565">
        <v>0.46488259999999998</v>
      </c>
      <c r="F4565" t="s">
        <v>42</v>
      </c>
      <c r="G4565">
        <v>-300.83139999999997</v>
      </c>
      <c r="H4565" s="1">
        <v>-1.072436E-6</v>
      </c>
      <c r="I4565">
        <v>-18.426649999999999</v>
      </c>
      <c r="J4565">
        <v>-301.18259999999998</v>
      </c>
      <c r="K4565">
        <v>1.108201</v>
      </c>
      <c r="L4565">
        <v>-9.7410580000000007</v>
      </c>
      <c r="M4565">
        <v>-4.5854079999999998E-2</v>
      </c>
      <c r="N4565">
        <v>0</v>
      </c>
      <c r="O4565">
        <v>-0.99886470000000005</v>
      </c>
      <c r="P4565">
        <v>-5.808112E-2</v>
      </c>
      <c r="Q4565">
        <v>7.4217859999999997E-2</v>
      </c>
      <c r="R4565">
        <v>-0.99554920000000002</v>
      </c>
      <c r="S4565">
        <v>0.113678</v>
      </c>
      <c r="T4565">
        <v>-0.37496570000000001</v>
      </c>
      <c r="U4565">
        <v>-3.0490719999999998</v>
      </c>
      <c r="V4565">
        <v>1.2556609999999999E-2</v>
      </c>
      <c r="W4565">
        <v>8.7068619999999999E-2</v>
      </c>
      <c r="X4565">
        <v>0.99612319999999999</v>
      </c>
      <c r="Y4565">
        <v>-8.2766350000000002E-2</v>
      </c>
      <c r="Z4565">
        <v>0.121613899999999</v>
      </c>
      <c r="AA4565">
        <v>0.98912069999999996</v>
      </c>
      <c r="AB4565">
        <v>32</v>
      </c>
      <c r="AC4565">
        <v>0.35120000000000501</v>
      </c>
      <c r="AD4565">
        <v>-1.108202072436</v>
      </c>
      <c r="AE4565">
        <v>-8.6855919999999909</v>
      </c>
      <c r="AF4565">
        <v>-0.73715272699740497</v>
      </c>
      <c r="AG4565">
        <v>-1.108202072436</v>
      </c>
      <c r="AH4565">
        <v>8.5218449405813992</v>
      </c>
      <c r="AI4565">
        <v>97.382046131149295</v>
      </c>
      <c r="AJ4565">
        <v>94.943866923499101</v>
      </c>
      <c r="AK4565">
        <v>8.6251578053728402</v>
      </c>
      <c r="AL4565">
        <v>85.005010921028997</v>
      </c>
      <c r="AM4565">
        <v>89.277797509684106</v>
      </c>
      <c r="AN4565">
        <v>1.00000002131081</v>
      </c>
    </row>
    <row r="4566" spans="1:40" x14ac:dyDescent="0.25">
      <c r="A4566" t="str">
        <f>"20190312164400896"</f>
        <v>20190312164400896</v>
      </c>
      <c r="B4566" t="str">
        <f>"1552380240889276"</f>
        <v>1552380240889276</v>
      </c>
      <c r="C4566" t="s">
        <v>40</v>
      </c>
      <c r="D4566">
        <v>5.4764359999999996</v>
      </c>
      <c r="E4566">
        <v>0.46552769999999999</v>
      </c>
      <c r="F4566" t="s">
        <v>42</v>
      </c>
      <c r="G4566">
        <v>-300.78100000000001</v>
      </c>
      <c r="H4566" s="1">
        <v>-8.8195669999999898E-7</v>
      </c>
      <c r="I4566">
        <v>-18.83944</v>
      </c>
      <c r="J4566">
        <v>-301.20769999999999</v>
      </c>
      <c r="K4566">
        <v>1.108922</v>
      </c>
      <c r="L4566">
        <v>-10.274570000000001</v>
      </c>
      <c r="M4566">
        <v>-4.590872E-2</v>
      </c>
      <c r="N4566">
        <v>0</v>
      </c>
      <c r="O4566">
        <v>-0.99886030000000003</v>
      </c>
      <c r="P4566">
        <v>-4.2570070000000002E-2</v>
      </c>
      <c r="Q4566">
        <v>6.9361919999999994E-2</v>
      </c>
      <c r="R4566">
        <v>-0.99668319999999999</v>
      </c>
      <c r="S4566">
        <v>0.134552</v>
      </c>
      <c r="T4566">
        <v>-0.37136859999999999</v>
      </c>
      <c r="U4566">
        <v>-3.04895</v>
      </c>
      <c r="V4566">
        <v>-3.1447990000000002E-3</v>
      </c>
      <c r="W4566">
        <v>8.2395319999999994E-2</v>
      </c>
      <c r="X4566">
        <v>0.9965948</v>
      </c>
      <c r="Y4566">
        <v>-8.9587349999999996E-2</v>
      </c>
      <c r="Z4566">
        <v>0.12041640000000001</v>
      </c>
      <c r="AA4566">
        <v>0.98867289999999997</v>
      </c>
      <c r="AB4566">
        <v>32</v>
      </c>
      <c r="AC4566">
        <v>0.42669999999998198</v>
      </c>
      <c r="AD4566">
        <v>-1.1089228819567001</v>
      </c>
      <c r="AE4566">
        <v>-8.5648699999999902</v>
      </c>
      <c r="AF4566">
        <v>-0.806007820009084</v>
      </c>
      <c r="AG4566">
        <v>-1.1089228819567001</v>
      </c>
      <c r="AH4566">
        <v>8.3958528076694297</v>
      </c>
      <c r="AI4566">
        <v>97.490024596869603</v>
      </c>
      <c r="AJ4566">
        <v>95.483630681421999</v>
      </c>
      <c r="AK4566">
        <v>8.5070384348546195</v>
      </c>
      <c r="AL4566">
        <v>85.273738007917999</v>
      </c>
      <c r="AM4566">
        <v>90.180798768027998</v>
      </c>
      <c r="AN4566">
        <v>1.0000000369528399</v>
      </c>
    </row>
    <row r="4567" spans="1:40" x14ac:dyDescent="0.25">
      <c r="A4567" t="str">
        <f>"20190312164400923"</f>
        <v>20190312164400923</v>
      </c>
      <c r="B4567" t="str">
        <f>"1552380240919528"</f>
        <v>1552380240919528</v>
      </c>
      <c r="C4567" t="s">
        <v>40</v>
      </c>
      <c r="D4567">
        <v>5.5664629999999997</v>
      </c>
      <c r="E4567">
        <v>0.46608189999999999</v>
      </c>
      <c r="F4567" t="s">
        <v>42</v>
      </c>
      <c r="G4567">
        <v>-300.7029</v>
      </c>
      <c r="H4567" s="1">
        <v>-7.8065030000000002E-7</v>
      </c>
      <c r="I4567">
        <v>-19.02711</v>
      </c>
      <c r="J4567">
        <v>-301.22590000000002</v>
      </c>
      <c r="K4567">
        <v>1.1094029999999999</v>
      </c>
      <c r="L4567">
        <v>-10.66901</v>
      </c>
      <c r="M4567">
        <v>-4.5618880000000001E-2</v>
      </c>
      <c r="N4567">
        <v>0</v>
      </c>
      <c r="O4567">
        <v>-0.99887219999999999</v>
      </c>
      <c r="P4567">
        <v>-3.4906470000000002E-2</v>
      </c>
      <c r="Q4567">
        <v>6.7058439999999997E-2</v>
      </c>
      <c r="R4567">
        <v>-0.99713830000000003</v>
      </c>
      <c r="S4567">
        <v>0.17559810000000001</v>
      </c>
      <c r="T4567">
        <v>-0.38570569999999998</v>
      </c>
      <c r="U4567">
        <v>-3.0443120000000001</v>
      </c>
      <c r="V4567">
        <v>-1.05941E-2</v>
      </c>
      <c r="W4567">
        <v>8.0185850000000003E-2</v>
      </c>
      <c r="X4567">
        <v>0.99672369999999999</v>
      </c>
      <c r="Y4567">
        <v>-0.1026186</v>
      </c>
      <c r="Z4567">
        <v>0.1250618</v>
      </c>
      <c r="AA4567">
        <v>0.98682769999999997</v>
      </c>
      <c r="AB4567">
        <v>32</v>
      </c>
      <c r="AC4567">
        <v>0.523000000000024</v>
      </c>
      <c r="AD4567">
        <v>-1.1094037806503001</v>
      </c>
      <c r="AE4567">
        <v>-8.3581000000000003</v>
      </c>
      <c r="AF4567">
        <v>-0.88818827191612604</v>
      </c>
      <c r="AG4567">
        <v>-1.1094037806503001</v>
      </c>
      <c r="AH4567">
        <v>8.18194646209162</v>
      </c>
      <c r="AI4567">
        <v>97.677179248128098</v>
      </c>
      <c r="AJ4567">
        <v>96.195462852868403</v>
      </c>
      <c r="AK4567">
        <v>8.3044507984227405</v>
      </c>
      <c r="AL4567">
        <v>85.400751846022601</v>
      </c>
      <c r="AM4567">
        <v>90.608969527848501</v>
      </c>
      <c r="AN4567">
        <v>1.00000006981835</v>
      </c>
    </row>
    <row r="4568" spans="1:40" x14ac:dyDescent="0.25">
      <c r="A4568" t="str">
        <f>"20190312164400946"</f>
        <v>20190312164400946</v>
      </c>
      <c r="B4568" t="str">
        <f>"1552380240939555"</f>
        <v>1552380240939555</v>
      </c>
      <c r="C4568" t="s">
        <v>40</v>
      </c>
      <c r="D4568">
        <v>5.5099609999999997</v>
      </c>
      <c r="E4568">
        <v>0.46649309999999999</v>
      </c>
      <c r="F4568" t="s">
        <v>42</v>
      </c>
      <c r="G4568">
        <v>-300.67559999999997</v>
      </c>
      <c r="H4568" s="1">
        <v>-6.547691E-7</v>
      </c>
      <c r="I4568">
        <v>-19.303629999999998</v>
      </c>
      <c r="J4568">
        <v>-301.24099999999999</v>
      </c>
      <c r="K4568">
        <v>1.1097570000000001</v>
      </c>
      <c r="L4568">
        <v>-11.006740000000001</v>
      </c>
      <c r="M4568">
        <v>-4.5104819999999997E-2</v>
      </c>
      <c r="N4568">
        <v>0</v>
      </c>
      <c r="O4568">
        <v>-0.99889479999999997</v>
      </c>
      <c r="P4568">
        <v>-2.9399310000000001E-2</v>
      </c>
      <c r="Q4568">
        <v>6.7316290000000001E-2</v>
      </c>
      <c r="R4568">
        <v>-0.99729869999999998</v>
      </c>
      <c r="S4568">
        <v>0.19384770000000001</v>
      </c>
      <c r="T4568">
        <v>-0.39080569999999998</v>
      </c>
      <c r="U4568">
        <v>-3.041687</v>
      </c>
      <c r="V4568">
        <v>-1.563811E-2</v>
      </c>
      <c r="W4568">
        <v>8.0502859999999996E-2</v>
      </c>
      <c r="X4568">
        <v>0.99663170000000001</v>
      </c>
      <c r="Y4568">
        <v>-0.1080395</v>
      </c>
      <c r="Z4568">
        <v>0.1267413</v>
      </c>
      <c r="AA4568">
        <v>0.98603450000000004</v>
      </c>
      <c r="AB4568">
        <v>32</v>
      </c>
      <c r="AC4568">
        <v>0.565400000000011</v>
      </c>
      <c r="AD4568">
        <v>-1.1097576547690999</v>
      </c>
      <c r="AE4568">
        <v>-8.2968899999999994</v>
      </c>
      <c r="AF4568">
        <v>-0.92265629788407699</v>
      </c>
      <c r="AG4568">
        <v>-1.1097576547690999</v>
      </c>
      <c r="AH4568">
        <v>8.1183685939228205</v>
      </c>
      <c r="AI4568">
        <v>97.734740072877798</v>
      </c>
      <c r="AJ4568">
        <v>96.483870867250403</v>
      </c>
      <c r="AK4568">
        <v>8.2456512976923904</v>
      </c>
      <c r="AL4568">
        <v>85.382529294400598</v>
      </c>
      <c r="AM4568">
        <v>90.898952120427595</v>
      </c>
      <c r="AN4568">
        <v>1.00000000319872</v>
      </c>
    </row>
    <row r="4569" spans="1:40" x14ac:dyDescent="0.25">
      <c r="A4569" t="str">
        <f>"20190312164400986"</f>
        <v>20190312164400986</v>
      </c>
      <c r="B4569" t="str">
        <f>"1552380240979571"</f>
        <v>1552380240979571</v>
      </c>
      <c r="C4569" t="s">
        <v>40</v>
      </c>
      <c r="D4569">
        <v>5.4209630000000004</v>
      </c>
      <c r="E4569">
        <v>0.46729419999999999</v>
      </c>
      <c r="F4569" t="s">
        <v>42</v>
      </c>
      <c r="G4569">
        <v>-300.64420000000001</v>
      </c>
      <c r="H4569" s="1">
        <v>-4.8261599999999996E-7</v>
      </c>
      <c r="I4569">
        <v>-19.685459999999999</v>
      </c>
      <c r="J4569">
        <v>-301.26479999999998</v>
      </c>
      <c r="K4569">
        <v>1.1102719999999999</v>
      </c>
      <c r="L4569">
        <v>-11.561920000000001</v>
      </c>
      <c r="M4569">
        <v>-4.376857E-2</v>
      </c>
      <c r="N4569">
        <v>0</v>
      </c>
      <c r="O4569">
        <v>-0.99895279999999997</v>
      </c>
      <c r="P4569">
        <v>-2.3220660000000001E-2</v>
      </c>
      <c r="Q4569">
        <v>7.1320159999999994E-2</v>
      </c>
      <c r="R4569">
        <v>-0.99718320000000005</v>
      </c>
      <c r="S4569">
        <v>0.20907590000000001</v>
      </c>
      <c r="T4569">
        <v>-0.38879590000000003</v>
      </c>
      <c r="U4569">
        <v>-3.040527</v>
      </c>
      <c r="V4569">
        <v>-2.0547679999999999E-2</v>
      </c>
      <c r="W4569">
        <v>8.4578269999999997E-2</v>
      </c>
      <c r="X4569">
        <v>0.99620500000000001</v>
      </c>
      <c r="Y4569">
        <v>-0.1116553</v>
      </c>
      <c r="Z4569">
        <v>0.12611269999999999</v>
      </c>
      <c r="AA4569">
        <v>0.98571229999999999</v>
      </c>
      <c r="AB4569">
        <v>32</v>
      </c>
      <c r="AC4569">
        <v>0.62059999999996696</v>
      </c>
      <c r="AD4569">
        <v>-1.110272482616</v>
      </c>
      <c r="AE4569">
        <v>-8.1235400000000002</v>
      </c>
      <c r="AF4569">
        <v>-0.95780484393859899</v>
      </c>
      <c r="AG4569">
        <v>-1.110272482616</v>
      </c>
      <c r="AH4569">
        <v>7.9411122049796896</v>
      </c>
      <c r="AI4569">
        <v>97.902571443055606</v>
      </c>
      <c r="AJ4569">
        <v>96.877419360047</v>
      </c>
      <c r="AK4569">
        <v>8.0753549864265395</v>
      </c>
      <c r="AL4569">
        <v>85.148226034349094</v>
      </c>
      <c r="AM4569">
        <v>91.1816126531386</v>
      </c>
      <c r="AN4569">
        <v>1.00000004646728</v>
      </c>
    </row>
    <row r="4570" spans="1:40" x14ac:dyDescent="0.25">
      <c r="A4570" t="str">
        <f>"20190312164401029"</f>
        <v>20190312164401029</v>
      </c>
      <c r="B4570" t="str">
        <f>"1552380241019587"</f>
        <v>1552380241019587</v>
      </c>
      <c r="C4570" t="s">
        <v>40</v>
      </c>
      <c r="D4570">
        <v>5.42422</v>
      </c>
      <c r="E4570">
        <v>0.46829660000000001</v>
      </c>
      <c r="F4570" t="s">
        <v>42</v>
      </c>
      <c r="G4570">
        <v>-300.6046</v>
      </c>
      <c r="H4570" s="1">
        <v>-4.3673389999999997E-6</v>
      </c>
      <c r="I4570">
        <v>-20.494700000000002</v>
      </c>
      <c r="J4570">
        <v>-301.28910000000002</v>
      </c>
      <c r="K4570">
        <v>1.1107659999999999</v>
      </c>
      <c r="L4570">
        <v>-12.170680000000001</v>
      </c>
      <c r="M4570">
        <v>-4.1520420000000002E-2</v>
      </c>
      <c r="N4570">
        <v>0</v>
      </c>
      <c r="O4570">
        <v>-0.99904800000000005</v>
      </c>
      <c r="P4570">
        <v>-1.9493489999999999E-2</v>
      </c>
      <c r="Q4570">
        <v>7.0011210000000004E-2</v>
      </c>
      <c r="R4570">
        <v>-0.99735589999999996</v>
      </c>
      <c r="S4570">
        <v>0.22476199999999999</v>
      </c>
      <c r="T4570">
        <v>-0.37794100000000003</v>
      </c>
      <c r="U4570">
        <v>-3.0407410000000001</v>
      </c>
      <c r="V4570">
        <v>-2.210997E-2</v>
      </c>
      <c r="W4570">
        <v>8.3334800000000001E-2</v>
      </c>
      <c r="X4570">
        <v>0.9962763</v>
      </c>
      <c r="Y4570">
        <v>-0.1145056</v>
      </c>
      <c r="Z4570">
        <v>0.122613</v>
      </c>
      <c r="AA4570">
        <v>0.9858268</v>
      </c>
      <c r="AB4570">
        <v>32</v>
      </c>
      <c r="AC4570">
        <v>0.68450000000001399</v>
      </c>
      <c r="AD4570">
        <v>-1.1107703673389999</v>
      </c>
      <c r="AE4570">
        <v>-8.3240199999999902</v>
      </c>
      <c r="AF4570">
        <v>-1.0116640325702799</v>
      </c>
      <c r="AG4570">
        <v>-1.1107703673389999</v>
      </c>
      <c r="AH4570">
        <v>8.1443674053683708</v>
      </c>
      <c r="AI4570">
        <v>97.707856219486402</v>
      </c>
      <c r="AJ4570">
        <v>97.080806073710704</v>
      </c>
      <c r="AK4570">
        <v>8.2817869664331205</v>
      </c>
      <c r="AL4570">
        <v>85.219723839103693</v>
      </c>
      <c r="AM4570">
        <v>91.271334121809502</v>
      </c>
      <c r="AN4570">
        <v>1.00000000280306</v>
      </c>
    </row>
    <row r="4571" spans="1:40" x14ac:dyDescent="0.25">
      <c r="A4571" t="str">
        <f>"20190312164401073"</f>
        <v>20190312164401073</v>
      </c>
      <c r="B4571" t="str">
        <f>"1552380241069869"</f>
        <v>1552380241069869</v>
      </c>
      <c r="C4571" t="s">
        <v>40</v>
      </c>
      <c r="D4571">
        <v>5.4232009999999997</v>
      </c>
      <c r="E4571">
        <v>0.46926639999999997</v>
      </c>
      <c r="F4571" t="s">
        <v>42</v>
      </c>
      <c r="G4571">
        <v>-300.61840000000001</v>
      </c>
      <c r="H4571" s="1">
        <v>-4.1828290000000002E-6</v>
      </c>
      <c r="I4571">
        <v>-21.044129999999999</v>
      </c>
      <c r="J4571">
        <v>-301.31220000000002</v>
      </c>
      <c r="K4571">
        <v>1.111181</v>
      </c>
      <c r="L4571">
        <v>-12.808960000000001</v>
      </c>
      <c r="M4571">
        <v>-3.8446580000000001E-2</v>
      </c>
      <c r="N4571">
        <v>0</v>
      </c>
      <c r="O4571">
        <v>-0.9991698</v>
      </c>
      <c r="P4571">
        <v>-1.427986E-2</v>
      </c>
      <c r="Q4571">
        <v>6.9917569999999998E-2</v>
      </c>
      <c r="R4571">
        <v>-0.99745050000000002</v>
      </c>
      <c r="S4571">
        <v>0.22970579999999999</v>
      </c>
      <c r="T4571">
        <v>-0.38043840000000001</v>
      </c>
      <c r="U4571">
        <v>-3.0391539999999999</v>
      </c>
      <c r="V4571">
        <v>-2.4321889999999999E-2</v>
      </c>
      <c r="W4571">
        <v>8.3288699999999993E-2</v>
      </c>
      <c r="X4571">
        <v>0.99622860000000002</v>
      </c>
      <c r="Y4571">
        <v>-0.1130738</v>
      </c>
      <c r="Z4571">
        <v>0.12349980000000001</v>
      </c>
      <c r="AA4571">
        <v>0.98588140000000002</v>
      </c>
      <c r="AB4571">
        <v>32</v>
      </c>
      <c r="AC4571">
        <v>0.69380000000000996</v>
      </c>
      <c r="AD4571">
        <v>-1.111185182829</v>
      </c>
      <c r="AE4571">
        <v>-8.2351699999999894</v>
      </c>
      <c r="AF4571">
        <v>-0.99199627592199402</v>
      </c>
      <c r="AG4571">
        <v>-1.111185182829</v>
      </c>
      <c r="AH4571">
        <v>8.0567517429837299</v>
      </c>
      <c r="AI4571">
        <v>97.794549858728203</v>
      </c>
      <c r="AJ4571">
        <v>97.019276299148203</v>
      </c>
      <c r="AK4571">
        <v>8.1932922424415704</v>
      </c>
      <c r="AL4571">
        <v>85.2223743405535</v>
      </c>
      <c r="AM4571">
        <v>91.398539327339805</v>
      </c>
      <c r="AN4571">
        <v>0.99999999266941098</v>
      </c>
    </row>
    <row r="4572" spans="1:40" x14ac:dyDescent="0.25">
      <c r="A4572" t="str">
        <f>"20190312164401103"</f>
        <v>20190312164401103</v>
      </c>
      <c r="B4572" t="str">
        <f>"1552380241100125"</f>
        <v>1552380241100125</v>
      </c>
      <c r="C4572" t="s">
        <v>40</v>
      </c>
      <c r="D4572">
        <v>5.3889310000000004</v>
      </c>
      <c r="E4572">
        <v>0.47005160000000001</v>
      </c>
      <c r="F4572" t="s">
        <v>42</v>
      </c>
      <c r="G4572">
        <v>-300.63350000000003</v>
      </c>
      <c r="H4572" s="1">
        <v>-3.9313419999999998E-6</v>
      </c>
      <c r="I4572">
        <v>-21.639759999999999</v>
      </c>
      <c r="J4572">
        <v>-301.32560000000001</v>
      </c>
      <c r="K4572">
        <v>1.1113580000000001</v>
      </c>
      <c r="L4572">
        <v>-13.21738</v>
      </c>
      <c r="M4572">
        <v>-3.6230949999999998E-2</v>
      </c>
      <c r="N4572">
        <v>0</v>
      </c>
      <c r="O4572">
        <v>-0.99925200000000003</v>
      </c>
      <c r="P4572">
        <v>-1.0995710000000001E-2</v>
      </c>
      <c r="Q4572">
        <v>7.0483539999999997E-2</v>
      </c>
      <c r="R4572">
        <v>-0.99745249999999996</v>
      </c>
      <c r="S4572">
        <v>0.23345949999999999</v>
      </c>
      <c r="T4572">
        <v>-0.38224970000000003</v>
      </c>
      <c r="U4572">
        <v>-3.037811</v>
      </c>
      <c r="V4572">
        <v>-2.542318E-2</v>
      </c>
      <c r="W4572">
        <v>8.3879339999999997E-2</v>
      </c>
      <c r="X4572">
        <v>0.99615160000000003</v>
      </c>
      <c r="Y4572">
        <v>-0.1121086</v>
      </c>
      <c r="Z4572">
        <v>0.1241491</v>
      </c>
      <c r="AA4572">
        <v>0.98591010000000001</v>
      </c>
      <c r="AB4572">
        <v>32</v>
      </c>
      <c r="AC4572">
        <v>0.69209999999998195</v>
      </c>
      <c r="AD4572">
        <v>-1.111361931342</v>
      </c>
      <c r="AE4572">
        <v>-8.4223800000000004</v>
      </c>
      <c r="AF4572">
        <v>-0.97987732840887098</v>
      </c>
      <c r="AG4572">
        <v>-1.111361931342</v>
      </c>
      <c r="AH4572">
        <v>8.2491038741190703</v>
      </c>
      <c r="AI4572">
        <v>97.620047074607498</v>
      </c>
      <c r="AJ4572">
        <v>96.774188962167798</v>
      </c>
      <c r="AK4572">
        <v>8.3811096906777305</v>
      </c>
      <c r="AL4572">
        <v>85.188414582510006</v>
      </c>
      <c r="AM4572">
        <v>91.461950954410497</v>
      </c>
      <c r="AN4572">
        <v>1.0000000459713501</v>
      </c>
    </row>
    <row r="4573" spans="1:40" x14ac:dyDescent="0.25">
      <c r="A4573" t="str">
        <f>"20190312164401125"</f>
        <v>20190312164401125</v>
      </c>
      <c r="B4573" t="str">
        <f>"1552380241119645"</f>
        <v>1552380241119645</v>
      </c>
      <c r="C4573" t="s">
        <v>40</v>
      </c>
      <c r="D4573">
        <v>5.4500080000000004</v>
      </c>
      <c r="E4573">
        <v>0.47041889999999997</v>
      </c>
      <c r="F4573" t="s">
        <v>42</v>
      </c>
      <c r="G4573">
        <v>-300.642</v>
      </c>
      <c r="H4573" s="1">
        <v>-3.7413940000000001E-6</v>
      </c>
      <c r="I4573">
        <v>-22.087779999999999</v>
      </c>
      <c r="J4573">
        <v>-301.33580000000001</v>
      </c>
      <c r="K4573">
        <v>1.111442</v>
      </c>
      <c r="L4573">
        <v>-13.55179</v>
      </c>
      <c r="M4573">
        <v>-3.4354490000000001E-2</v>
      </c>
      <c r="N4573">
        <v>0</v>
      </c>
      <c r="O4573">
        <v>-0.99931789999999998</v>
      </c>
      <c r="P4573">
        <v>-8.7810609999999997E-3</v>
      </c>
      <c r="Q4573">
        <v>6.9851910000000003E-2</v>
      </c>
      <c r="R4573">
        <v>-0.99751869999999998</v>
      </c>
      <c r="S4573">
        <v>0.23406979999999999</v>
      </c>
      <c r="T4573">
        <v>-0.38051960000000001</v>
      </c>
      <c r="U4573">
        <v>-3.03714</v>
      </c>
      <c r="V4573">
        <v>-2.5776960000000002E-2</v>
      </c>
      <c r="W4573">
        <v>8.3268270000000005E-2</v>
      </c>
      <c r="X4573">
        <v>0.99619369999999996</v>
      </c>
      <c r="Y4573">
        <v>-0.1104612</v>
      </c>
      <c r="Z4573">
        <v>0.12364550000000001</v>
      </c>
      <c r="AA4573">
        <v>0.98615929999999996</v>
      </c>
      <c r="AB4573">
        <v>32</v>
      </c>
      <c r="AC4573">
        <v>0.69380000000000996</v>
      </c>
      <c r="AD4573">
        <v>-1.111445741394</v>
      </c>
      <c r="AE4573">
        <v>-8.53599</v>
      </c>
      <c r="AF4573">
        <v>-0.97032409637071104</v>
      </c>
      <c r="AG4573">
        <v>-1.111445741394</v>
      </c>
      <c r="AH4573">
        <v>8.3662044197804892</v>
      </c>
      <c r="AI4573">
        <v>97.517590880528999</v>
      </c>
      <c r="AJ4573">
        <v>96.615686310596303</v>
      </c>
      <c r="AK4573">
        <v>8.4953055790604193</v>
      </c>
      <c r="AL4573">
        <v>85.223548875587198</v>
      </c>
      <c r="AM4573">
        <v>91.482223319190297</v>
      </c>
      <c r="AN4573">
        <v>0.99999997218766101</v>
      </c>
    </row>
    <row r="4574" spans="1:40" x14ac:dyDescent="0.25">
      <c r="A4574" t="str">
        <f>"20190312164401163"</f>
        <v>20190312164401163</v>
      </c>
      <c r="B4574" t="str">
        <f>"1552380241159192"</f>
        <v>1552380241159192</v>
      </c>
      <c r="C4574" t="s">
        <v>40</v>
      </c>
      <c r="D4574">
        <v>5.4057839999999997</v>
      </c>
      <c r="E4574">
        <v>0.47114210000000001</v>
      </c>
      <c r="F4574" t="s">
        <v>42</v>
      </c>
      <c r="G4574">
        <v>-300.64850000000001</v>
      </c>
      <c r="H4574" s="1">
        <v>-3.6233410000000002E-6</v>
      </c>
      <c r="I4574">
        <v>-22.367010000000001</v>
      </c>
      <c r="J4574">
        <v>-301.35039999999998</v>
      </c>
      <c r="K4574">
        <v>1.1114820000000001</v>
      </c>
      <c r="L4574">
        <v>-14.06842</v>
      </c>
      <c r="M4574">
        <v>-3.1476369999999997E-2</v>
      </c>
      <c r="N4574">
        <v>0</v>
      </c>
      <c r="O4574">
        <v>-0.99941219999999997</v>
      </c>
      <c r="P4574">
        <v>-4.475059E-3</v>
      </c>
      <c r="Q4574">
        <v>7.0790480000000003E-2</v>
      </c>
      <c r="R4574">
        <v>-0.99748119999999996</v>
      </c>
      <c r="S4574">
        <v>0.23672489999999999</v>
      </c>
      <c r="T4574">
        <v>-0.38283030000000001</v>
      </c>
      <c r="U4574">
        <v>-3.036346</v>
      </c>
      <c r="V4574">
        <v>-2.7214990000000001E-2</v>
      </c>
      <c r="W4574">
        <v>8.4230940000000004E-2</v>
      </c>
      <c r="X4574">
        <v>0.99607460000000003</v>
      </c>
      <c r="Y4574">
        <v>-0.1084681</v>
      </c>
      <c r="Z4574">
        <v>0.124443899999999</v>
      </c>
      <c r="AA4574">
        <v>0.98628009999999999</v>
      </c>
      <c r="AB4574">
        <v>32</v>
      </c>
      <c r="AC4574">
        <v>0.701899999999966</v>
      </c>
      <c r="AD4574">
        <v>-1.111485623341</v>
      </c>
      <c r="AE4574">
        <v>-8.2985899999999901</v>
      </c>
      <c r="AF4574">
        <v>-0.94593706508837305</v>
      </c>
      <c r="AG4574">
        <v>-1.111485623341</v>
      </c>
      <c r="AH4574">
        <v>8.12761600559908</v>
      </c>
      <c r="AI4574">
        <v>97.735557376516098</v>
      </c>
      <c r="AJ4574">
        <v>96.638534063539396</v>
      </c>
      <c r="AK4574">
        <v>8.2576230936312491</v>
      </c>
      <c r="AL4574">
        <v>85.168197899864595</v>
      </c>
      <c r="AM4574">
        <v>91.565059716255504</v>
      </c>
      <c r="AN4574">
        <v>1.00000005784957</v>
      </c>
    </row>
    <row r="4575" spans="1:40" x14ac:dyDescent="0.25">
      <c r="A4575" t="str">
        <f>"20190312164401197"</f>
        <v>20190312164401197</v>
      </c>
      <c r="B4575" t="str">
        <f>"1552380241189447"</f>
        <v>1552380241189447</v>
      </c>
      <c r="C4575" t="s">
        <v>40</v>
      </c>
      <c r="D4575">
        <v>5.655742</v>
      </c>
      <c r="E4575">
        <v>0.4717189</v>
      </c>
      <c r="F4575" t="s">
        <v>42</v>
      </c>
      <c r="G4575">
        <v>-300.62810000000002</v>
      </c>
      <c r="H4575" s="1">
        <v>-3.3651749999999999E-6</v>
      </c>
      <c r="I4575">
        <v>-22.956119999999999</v>
      </c>
      <c r="J4575">
        <v>-301.36279999999999</v>
      </c>
      <c r="K4575">
        <v>1.111451</v>
      </c>
      <c r="L4575">
        <v>-14.55627</v>
      </c>
      <c r="M4575">
        <v>-2.8929570000000002E-2</v>
      </c>
      <c r="N4575">
        <v>0</v>
      </c>
      <c r="O4575">
        <v>-0.99948890000000001</v>
      </c>
      <c r="P4575">
        <v>-1.8063350000000001E-4</v>
      </c>
      <c r="Q4575">
        <v>7.1202029999999999E-2</v>
      </c>
      <c r="R4575">
        <v>-0.99746199999999996</v>
      </c>
      <c r="S4575">
        <v>0.24670410000000001</v>
      </c>
      <c r="T4575">
        <v>-0.37963059999999998</v>
      </c>
      <c r="U4575">
        <v>-3.0356139999999998</v>
      </c>
      <c r="V4575">
        <v>-2.8957480000000001E-2</v>
      </c>
      <c r="W4575">
        <v>8.4660940000000004E-2</v>
      </c>
      <c r="X4575">
        <v>0.99598900000000001</v>
      </c>
      <c r="Y4575">
        <v>-0.1091857</v>
      </c>
      <c r="Z4575">
        <v>0.1234427</v>
      </c>
      <c r="AA4575">
        <v>0.9863267</v>
      </c>
      <c r="AB4575">
        <v>32</v>
      </c>
      <c r="AC4575">
        <v>0.73469999999997504</v>
      </c>
      <c r="AD4575">
        <v>-1.111454365175</v>
      </c>
      <c r="AE4575">
        <v>-8.3998500000000007</v>
      </c>
      <c r="AF4575">
        <v>-0.96072613729346801</v>
      </c>
      <c r="AG4575">
        <v>-1.111454365175</v>
      </c>
      <c r="AH4575">
        <v>8.2320435005126598</v>
      </c>
      <c r="AI4575">
        <v>97.6381038687678</v>
      </c>
      <c r="AJ4575">
        <v>96.656629651504403</v>
      </c>
      <c r="AK4575">
        <v>8.3621089272430602</v>
      </c>
      <c r="AL4575">
        <v>85.143472356170506</v>
      </c>
      <c r="AM4575">
        <v>91.665353868223903</v>
      </c>
      <c r="AN4575">
        <v>1.0000000492653101</v>
      </c>
    </row>
    <row r="4576" spans="1:40" x14ac:dyDescent="0.25">
      <c r="A4576" t="str">
        <f>"20190312164401230"</f>
        <v>20190312164401230</v>
      </c>
      <c r="B4576" t="str">
        <f>"1552380241219703"</f>
        <v>1552380241219703</v>
      </c>
      <c r="C4576" t="s">
        <v>40</v>
      </c>
      <c r="D4576">
        <v>5.5685320000000003</v>
      </c>
      <c r="E4576">
        <v>0.47211799999999998</v>
      </c>
      <c r="F4576" t="s">
        <v>42</v>
      </c>
      <c r="G4576">
        <v>-300.6123</v>
      </c>
      <c r="H4576" s="1">
        <v>-3.132597E-6</v>
      </c>
      <c r="I4576">
        <v>-23.488479999999999</v>
      </c>
      <c r="J4576">
        <v>-301.37360000000001</v>
      </c>
      <c r="K4576">
        <v>1.1113949999999999</v>
      </c>
      <c r="L4576">
        <v>-15.01581</v>
      </c>
      <c r="M4576">
        <v>-2.674207E-2</v>
      </c>
      <c r="N4576">
        <v>0</v>
      </c>
      <c r="O4576">
        <v>-0.99954969999999999</v>
      </c>
      <c r="P4576">
        <v>5.5946349999999997E-3</v>
      </c>
      <c r="Q4576">
        <v>7.5117890000000007E-2</v>
      </c>
      <c r="R4576">
        <v>-0.99715920000000002</v>
      </c>
      <c r="S4576">
        <v>0.25497439999999999</v>
      </c>
      <c r="T4576">
        <v>-0.37760650000000001</v>
      </c>
      <c r="U4576">
        <v>-3.034637</v>
      </c>
      <c r="V4576">
        <v>-3.2535149999999999E-2</v>
      </c>
      <c r="W4576">
        <v>8.8582910000000001E-2</v>
      </c>
      <c r="X4576">
        <v>0.99553729999999996</v>
      </c>
      <c r="Y4576">
        <v>-0.1097122</v>
      </c>
      <c r="Z4576">
        <v>0.12282750000000001</v>
      </c>
      <c r="AA4576">
        <v>0.98634509999999997</v>
      </c>
      <c r="AB4576">
        <v>32</v>
      </c>
      <c r="AC4576">
        <v>0.76130000000000497</v>
      </c>
      <c r="AD4576">
        <v>-1.1113981325969999</v>
      </c>
      <c r="AE4576">
        <v>-8.4726699999999902</v>
      </c>
      <c r="AF4576">
        <v>-0.97105060684805</v>
      </c>
      <c r="AG4576">
        <v>-1.1113981325969999</v>
      </c>
      <c r="AH4576">
        <v>8.3074788753223494</v>
      </c>
      <c r="AI4576">
        <v>97.569018209763897</v>
      </c>
      <c r="AJ4576">
        <v>96.666976834877104</v>
      </c>
      <c r="AK4576">
        <v>8.4375559467257499</v>
      </c>
      <c r="AL4576">
        <v>84.9179117746272</v>
      </c>
      <c r="AM4576">
        <v>91.871816904463898</v>
      </c>
      <c r="AN4576">
        <v>0.99999999181043997</v>
      </c>
    </row>
    <row r="4577" spans="1:40" x14ac:dyDescent="0.25">
      <c r="A4577" t="str">
        <f>"20190312164401275"</f>
        <v>20190312164401275</v>
      </c>
      <c r="B4577" t="str">
        <f>"1552380241269483"</f>
        <v>1552380241269483</v>
      </c>
      <c r="C4577" t="s">
        <v>40</v>
      </c>
      <c r="D4577">
        <v>5.4605230000000002</v>
      </c>
      <c r="E4577">
        <v>0.48914299999999999</v>
      </c>
      <c r="F4577" t="s">
        <v>42</v>
      </c>
      <c r="G4577">
        <v>-300.54899999999998</v>
      </c>
      <c r="H4577" s="1">
        <v>-2.779048E-6</v>
      </c>
      <c r="I4577">
        <v>-24.27338</v>
      </c>
      <c r="J4577">
        <v>-301.38709999999998</v>
      </c>
      <c r="K4577">
        <v>1.1112919999999999</v>
      </c>
      <c r="L4577">
        <v>-15.64667</v>
      </c>
      <c r="M4577">
        <v>-2.4123470000000001E-2</v>
      </c>
      <c r="N4577">
        <v>0</v>
      </c>
      <c r="O4577">
        <v>-0.99961630000000001</v>
      </c>
      <c r="P4577">
        <v>1.227171E-2</v>
      </c>
      <c r="Q4577">
        <v>8.2249719999999998E-2</v>
      </c>
      <c r="R4577">
        <v>-0.99653659999999999</v>
      </c>
      <c r="S4577">
        <v>0.2702637</v>
      </c>
      <c r="T4577">
        <v>-0.36429820000000002</v>
      </c>
      <c r="U4577">
        <v>-3.0344850000000001</v>
      </c>
      <c r="V4577">
        <v>-3.6571739999999998E-2</v>
      </c>
      <c r="W4577">
        <v>9.5722119999999994E-2</v>
      </c>
      <c r="X4577">
        <v>0.99473599999999995</v>
      </c>
      <c r="Y4577">
        <v>-0.1120915</v>
      </c>
      <c r="Z4577">
        <v>0.11853760000000001</v>
      </c>
      <c r="AA4577">
        <v>0.98660239999999999</v>
      </c>
      <c r="AB4577">
        <v>32</v>
      </c>
      <c r="AC4577">
        <v>0.83809999999994</v>
      </c>
      <c r="AD4577">
        <v>-1.1112947790479999</v>
      </c>
      <c r="AE4577">
        <v>-8.6267099999999992</v>
      </c>
      <c r="AF4577">
        <v>-1.0290642316949401</v>
      </c>
      <c r="AG4577">
        <v>-1.1112947790479999</v>
      </c>
      <c r="AH4577">
        <v>8.4648219506062503</v>
      </c>
      <c r="AI4577">
        <v>97.425188305206106</v>
      </c>
      <c r="AJ4577">
        <v>96.931406460942</v>
      </c>
      <c r="AK4577">
        <v>8.5992534521526096</v>
      </c>
      <c r="AL4577">
        <v>84.5071161379731</v>
      </c>
      <c r="AM4577">
        <v>92.105546603761496</v>
      </c>
      <c r="AN4577">
        <v>0.99999996305995997</v>
      </c>
    </row>
    <row r="4578" spans="1:40" x14ac:dyDescent="0.25">
      <c r="A4578" t="str">
        <f>"20190312164401303"</f>
        <v>20190312164401303</v>
      </c>
      <c r="B4578" t="str">
        <f>"1552380241299736"</f>
        <v>1552380241299736</v>
      </c>
      <c r="C4578" t="s">
        <v>40</v>
      </c>
      <c r="D4578">
        <v>5.4488770000000004</v>
      </c>
      <c r="E4578">
        <v>0.48891099999999998</v>
      </c>
      <c r="F4578" t="s">
        <v>42</v>
      </c>
      <c r="G4578">
        <v>-300.78199999999998</v>
      </c>
      <c r="H4578" s="1">
        <v>-1.3672860000000001E-6</v>
      </c>
      <c r="I4578">
        <v>-27.70871</v>
      </c>
      <c r="J4578">
        <v>-301.39510000000001</v>
      </c>
      <c r="K4578">
        <v>1.111229</v>
      </c>
      <c r="L4578">
        <v>-16.0444</v>
      </c>
      <c r="M4578">
        <v>-2.2661669999999998E-2</v>
      </c>
      <c r="N4578">
        <v>0</v>
      </c>
      <c r="O4578">
        <v>-0.99965020000000004</v>
      </c>
      <c r="P4578">
        <v>1.7070189999999999E-2</v>
      </c>
      <c r="Q4578">
        <v>8.7222110000000005E-2</v>
      </c>
      <c r="R4578">
        <v>-0.99604300000000001</v>
      </c>
      <c r="S4578">
        <v>0.1520996</v>
      </c>
      <c r="T4578">
        <v>-0.27930709999999997</v>
      </c>
      <c r="U4578">
        <v>-3.0316160000000001</v>
      </c>
      <c r="V4578">
        <v>-3.9892530000000002E-2</v>
      </c>
      <c r="W4578">
        <v>0.1006942</v>
      </c>
      <c r="X4578">
        <v>0.99411729999999998</v>
      </c>
      <c r="Y4578">
        <v>-7.2520029999999999E-2</v>
      </c>
      <c r="Z4578">
        <v>9.1529620000000006E-2</v>
      </c>
      <c r="AA4578">
        <v>0.99315819999999999</v>
      </c>
      <c r="AB4578">
        <v>32</v>
      </c>
      <c r="AC4578">
        <v>0.61310000000003095</v>
      </c>
      <c r="AD4578">
        <v>-1.111230367286</v>
      </c>
      <c r="AE4578">
        <v>-11.664309999999899</v>
      </c>
      <c r="AF4578">
        <v>-0.86943070925702104</v>
      </c>
      <c r="AG4578">
        <v>-1.111230367286</v>
      </c>
      <c r="AH4578">
        <v>11.542944716656001</v>
      </c>
      <c r="AI4578">
        <v>95.483437213302807</v>
      </c>
      <c r="AJ4578">
        <v>94.307464516991004</v>
      </c>
      <c r="AK4578">
        <v>11.6288570125853</v>
      </c>
      <c r="AL4578">
        <v>84.220852841859198</v>
      </c>
      <c r="AM4578">
        <v>92.297966156109297</v>
      </c>
      <c r="AN4578">
        <v>0.99999997101136495</v>
      </c>
    </row>
    <row r="4579" spans="1:40" x14ac:dyDescent="0.25">
      <c r="A4579" t="str">
        <f>"20190312164401353"</f>
        <v>20190312164401353</v>
      </c>
      <c r="B4579" t="str">
        <f>"1552380241349512"</f>
        <v>1552380241349512</v>
      </c>
      <c r="C4579" t="s">
        <v>40</v>
      </c>
      <c r="D4579">
        <v>5.426507</v>
      </c>
      <c r="E4579">
        <v>0.48927599999999999</v>
      </c>
      <c r="F4579" t="s">
        <v>42</v>
      </c>
      <c r="G4579">
        <v>-300.68270000000001</v>
      </c>
      <c r="H4579" s="1">
        <v>-8.013691E-7</v>
      </c>
      <c r="I4579">
        <v>-28.9663</v>
      </c>
      <c r="J4579">
        <v>-301.40800000000002</v>
      </c>
      <c r="K4579">
        <v>1.111135</v>
      </c>
      <c r="L4579">
        <v>-16.746189999999999</v>
      </c>
      <c r="M4579">
        <v>-2.040175E-2</v>
      </c>
      <c r="N4579">
        <v>0</v>
      </c>
      <c r="O4579">
        <v>-0.99969870000000005</v>
      </c>
      <c r="P4579">
        <v>2.353798E-2</v>
      </c>
      <c r="Q4579">
        <v>9.6929479999999998E-2</v>
      </c>
      <c r="R4579">
        <v>-0.99501289999999998</v>
      </c>
      <c r="S4579">
        <v>0.16714479999999901</v>
      </c>
      <c r="T4579">
        <v>-0.26072990000000001</v>
      </c>
      <c r="U4579">
        <v>-3.0318909999999999</v>
      </c>
      <c r="V4579">
        <v>-4.4075309999999999E-2</v>
      </c>
      <c r="W4579">
        <v>0.1104001</v>
      </c>
      <c r="X4579">
        <v>0.99290940000000005</v>
      </c>
      <c r="Y4579">
        <v>-7.5205010000000003E-2</v>
      </c>
      <c r="Z4579">
        <v>8.5467029999999999E-2</v>
      </c>
      <c r="AA4579">
        <v>0.99349869999999996</v>
      </c>
      <c r="AB4579">
        <v>32</v>
      </c>
      <c r="AC4579">
        <v>0.72530000000000405</v>
      </c>
      <c r="AD4579">
        <v>-1.1111358013691</v>
      </c>
      <c r="AE4579">
        <v>-12.22011</v>
      </c>
      <c r="AF4579">
        <v>-0.96652102047451705</v>
      </c>
      <c r="AG4579">
        <v>-1.1111358013691</v>
      </c>
      <c r="AH4579">
        <v>12.1030542932128</v>
      </c>
      <c r="AI4579">
        <v>95.228852185039003</v>
      </c>
      <c r="AJ4579">
        <v>94.565814848967307</v>
      </c>
      <c r="AK4579">
        <v>12.192321718055201</v>
      </c>
      <c r="AL4579">
        <v>83.661619568147799</v>
      </c>
      <c r="AM4579">
        <v>92.541694640467199</v>
      </c>
      <c r="AN4579">
        <v>0.99999994581998097</v>
      </c>
    </row>
    <row r="4580" spans="1:40" x14ac:dyDescent="0.25">
      <c r="A4580" t="str">
        <f>"20190312164401388"</f>
        <v>20190312164401388</v>
      </c>
      <c r="B4580" t="str">
        <f>"1552380241379768"</f>
        <v>1552380241379768</v>
      </c>
      <c r="C4580" t="s">
        <v>40</v>
      </c>
      <c r="D4580">
        <v>5.5993360000000001</v>
      </c>
      <c r="E4580">
        <v>0.4900023</v>
      </c>
      <c r="F4580" t="s">
        <v>42</v>
      </c>
      <c r="G4580">
        <v>-300.57769999999999</v>
      </c>
      <c r="H4580" s="1">
        <v>-2.213758E-7</v>
      </c>
      <c r="I4580">
        <v>-30.253160000000001</v>
      </c>
      <c r="J4580">
        <v>-301.41629999999998</v>
      </c>
      <c r="K4580">
        <v>1.1110770000000001</v>
      </c>
      <c r="L4580">
        <v>-17.241</v>
      </c>
      <c r="M4580">
        <v>-1.8965260000000001E-2</v>
      </c>
      <c r="N4580">
        <v>0</v>
      </c>
      <c r="O4580">
        <v>-0.99972680000000003</v>
      </c>
      <c r="P4580">
        <v>2.7787940000000001E-2</v>
      </c>
      <c r="Q4580">
        <v>0.103982</v>
      </c>
      <c r="R4580">
        <v>-0.99419089999999999</v>
      </c>
      <c r="S4580">
        <v>0.186554</v>
      </c>
      <c r="T4580">
        <v>-0.2496661</v>
      </c>
      <c r="U4580">
        <v>-3.0349430000000002</v>
      </c>
      <c r="V4580">
        <v>-4.6872980000000002E-2</v>
      </c>
      <c r="W4580">
        <v>0.11744830000000001</v>
      </c>
      <c r="X4580">
        <v>0.99197219999999997</v>
      </c>
      <c r="Y4580">
        <v>-8.0067639999999995E-2</v>
      </c>
      <c r="Z4580">
        <v>8.1756490000000001E-2</v>
      </c>
      <c r="AA4580">
        <v>0.99343099999999995</v>
      </c>
      <c r="AB4580">
        <v>31</v>
      </c>
      <c r="AC4580">
        <v>0.83859999999998502</v>
      </c>
      <c r="AD4580">
        <v>-1.1110772213758</v>
      </c>
      <c r="AE4580">
        <v>-13.0121599999999</v>
      </c>
      <c r="AF4580">
        <v>-1.07742809239853</v>
      </c>
      <c r="AG4580">
        <v>-1.1110772213758</v>
      </c>
      <c r="AH4580">
        <v>12.9002462723414</v>
      </c>
      <c r="AI4580">
        <v>94.905647671544003</v>
      </c>
      <c r="AJ4580">
        <v>94.774260877951804</v>
      </c>
      <c r="AK4580">
        <v>12.992755588142501</v>
      </c>
      <c r="AL4580">
        <v>83.255140597590199</v>
      </c>
      <c r="AM4580">
        <v>92.705345772102106</v>
      </c>
      <c r="AN4580">
        <v>1.0000000124999</v>
      </c>
    </row>
    <row r="4581" spans="1:40" x14ac:dyDescent="0.25">
      <c r="A4581" t="str">
        <f>"20190312164401422"</f>
        <v>20190312164401422</v>
      </c>
      <c r="B4581" t="str">
        <f>"1552380241410024"</f>
        <v>1552380241410024</v>
      </c>
      <c r="C4581" t="s">
        <v>40</v>
      </c>
      <c r="D4581">
        <v>5.4052749999999996</v>
      </c>
      <c r="E4581">
        <v>0.49078090000000002</v>
      </c>
      <c r="F4581" t="s">
        <v>42</v>
      </c>
      <c r="G4581">
        <v>-300.476</v>
      </c>
      <c r="H4581" s="1">
        <v>-3.7639099999999999E-6</v>
      </c>
      <c r="I4581">
        <v>-31.932359999999999</v>
      </c>
      <c r="J4581">
        <v>-301.4237</v>
      </c>
      <c r="K4581">
        <v>1.11104</v>
      </c>
      <c r="L4581">
        <v>-17.712039999999998</v>
      </c>
      <c r="M4581">
        <v>-1.7696819999999999E-2</v>
      </c>
      <c r="N4581">
        <v>0</v>
      </c>
      <c r="O4581">
        <v>-0.99975040000000004</v>
      </c>
      <c r="P4581">
        <v>3.158362E-2</v>
      </c>
      <c r="Q4581">
        <v>0.1106311</v>
      </c>
      <c r="R4581">
        <v>-0.99335989999999996</v>
      </c>
      <c r="S4581">
        <v>0.19430539999999999</v>
      </c>
      <c r="T4581">
        <v>-0.2296147</v>
      </c>
      <c r="U4581">
        <v>-3.0361020000000001</v>
      </c>
      <c r="V4581">
        <v>-4.9385909999999998E-2</v>
      </c>
      <c r="W4581">
        <v>0.1240907</v>
      </c>
      <c r="X4581">
        <v>0.99104110000000001</v>
      </c>
      <c r="Y4581">
        <v>-8.1339049999999996E-2</v>
      </c>
      <c r="Z4581">
        <v>7.5193579999999996E-2</v>
      </c>
      <c r="AA4581">
        <v>0.99384600000000001</v>
      </c>
      <c r="AB4581">
        <v>31</v>
      </c>
      <c r="AC4581">
        <v>0.94769999999999699</v>
      </c>
      <c r="AD4581">
        <v>-1.1110437639099999</v>
      </c>
      <c r="AE4581">
        <v>-14.220319999999999</v>
      </c>
      <c r="AF4581">
        <v>-1.1919852169598499</v>
      </c>
      <c r="AG4581">
        <v>-1.1110437639099999</v>
      </c>
      <c r="AH4581">
        <v>14.115533860499999</v>
      </c>
      <c r="AI4581">
        <v>94.484617038823799</v>
      </c>
      <c r="AJ4581">
        <v>94.826886195646395</v>
      </c>
      <c r="AK4581">
        <v>14.209276658918901</v>
      </c>
      <c r="AL4581">
        <v>82.871751859291805</v>
      </c>
      <c r="AM4581">
        <v>92.852823638197194</v>
      </c>
      <c r="AN4581">
        <v>0.99999996591111295</v>
      </c>
    </row>
    <row r="4582" spans="1:40" x14ac:dyDescent="0.25">
      <c r="A4582" t="str">
        <f>"20190312164401452"</f>
        <v>20190312164401452</v>
      </c>
      <c r="B4582" t="str">
        <f>"1552380241450040"</f>
        <v>1552380241450040</v>
      </c>
      <c r="C4582" t="s">
        <v>40</v>
      </c>
      <c r="D4582">
        <v>5.3459120000000002</v>
      </c>
      <c r="E4582">
        <v>0.49203479999999999</v>
      </c>
      <c r="F4582" t="s">
        <v>42</v>
      </c>
      <c r="G4582">
        <v>-300.3399</v>
      </c>
      <c r="H4582" s="1">
        <v>-2.8188579999999999E-6</v>
      </c>
      <c r="I4582">
        <v>-34.050899999999999</v>
      </c>
      <c r="J4582">
        <v>-301.43009999999998</v>
      </c>
      <c r="K4582">
        <v>1.1110120000000001</v>
      </c>
      <c r="L4582">
        <v>-18.154209999999999</v>
      </c>
      <c r="M4582">
        <v>-1.6601649999999999E-2</v>
      </c>
      <c r="N4582">
        <v>0</v>
      </c>
      <c r="O4582">
        <v>-0.99976920000000002</v>
      </c>
      <c r="P4582">
        <v>3.6706660000000002E-2</v>
      </c>
      <c r="Q4582">
        <v>0.1155891</v>
      </c>
      <c r="R4582">
        <v>-0.99261909999999998</v>
      </c>
      <c r="S4582">
        <v>0.20141600000000001</v>
      </c>
      <c r="T4582">
        <v>-0.20649229999999999</v>
      </c>
      <c r="U4582">
        <v>-3.0366520000000001</v>
      </c>
      <c r="V4582">
        <v>-5.3398059999999997E-2</v>
      </c>
      <c r="W4582">
        <v>0.12903970000000001</v>
      </c>
      <c r="X4582">
        <v>0.99020070000000004</v>
      </c>
      <c r="Y4582">
        <v>-8.2588930000000005E-2</v>
      </c>
      <c r="Z4582">
        <v>6.7639420000000006E-2</v>
      </c>
      <c r="AA4582">
        <v>0.99428559999999999</v>
      </c>
      <c r="AB4582">
        <v>31</v>
      </c>
      <c r="AC4582">
        <v>1.0901999999999801</v>
      </c>
      <c r="AD4582">
        <v>-1.111014818858</v>
      </c>
      <c r="AE4582">
        <v>-15.89669</v>
      </c>
      <c r="AF4582">
        <v>-1.3474347175422601</v>
      </c>
      <c r="AG4582">
        <v>-1.111014818858</v>
      </c>
      <c r="AH4582">
        <v>15.7995850583207</v>
      </c>
      <c r="AI4582">
        <v>94.007873559397396</v>
      </c>
      <c r="AJ4582">
        <v>94.874556266608096</v>
      </c>
      <c r="AK4582">
        <v>15.8958114690905</v>
      </c>
      <c r="AL4582">
        <v>82.585896298998804</v>
      </c>
      <c r="AM4582">
        <v>93.086771103996199</v>
      </c>
      <c r="AN4582">
        <v>1.0000000116341701</v>
      </c>
    </row>
    <row r="4583" spans="1:40" x14ac:dyDescent="0.25">
      <c r="A4583" t="str">
        <f>"20190312164401488"</f>
        <v>20190312164401488</v>
      </c>
      <c r="B4583" t="str">
        <f>"1552380241479323"</f>
        <v>1552380241479323</v>
      </c>
      <c r="C4583" t="s">
        <v>40</v>
      </c>
      <c r="D4583">
        <v>5.1601599999999896</v>
      </c>
      <c r="E4583">
        <v>0.49814580000000003</v>
      </c>
      <c r="F4583" t="s">
        <v>42</v>
      </c>
      <c r="G4583">
        <v>-300.25959999999998</v>
      </c>
      <c r="H4583" s="1">
        <v>-2.2944680000000002E-6</v>
      </c>
      <c r="I4583">
        <v>-35.223399999999998</v>
      </c>
      <c r="J4583">
        <v>-301.43669999999997</v>
      </c>
      <c r="K4583">
        <v>1.1109659999999999</v>
      </c>
      <c r="L4583">
        <v>-18.630980000000001</v>
      </c>
      <c r="M4583">
        <v>-1.5524619999999999E-2</v>
      </c>
      <c r="N4583">
        <v>0</v>
      </c>
      <c r="O4583">
        <v>-0.99978630000000002</v>
      </c>
      <c r="P4583">
        <v>4.274203E-2</v>
      </c>
      <c r="Q4583">
        <v>0.1230063</v>
      </c>
      <c r="R4583">
        <v>-0.99148519999999896</v>
      </c>
      <c r="S4583">
        <v>0.208313</v>
      </c>
      <c r="T4583">
        <v>-0.1977158</v>
      </c>
      <c r="U4583">
        <v>-3.0376280000000002</v>
      </c>
      <c r="V4583">
        <v>-5.8335430000000001E-2</v>
      </c>
      <c r="W4583">
        <v>0.13644229999999999</v>
      </c>
      <c r="X4583">
        <v>0.98892899999999995</v>
      </c>
      <c r="Y4583">
        <v>-8.3754629999999997E-2</v>
      </c>
      <c r="Z4583">
        <v>6.4749829999999994E-2</v>
      </c>
      <c r="AA4583">
        <v>0.9943805</v>
      </c>
      <c r="AB4583">
        <v>31</v>
      </c>
      <c r="AC4583">
        <v>1.17709999999999</v>
      </c>
      <c r="AD4583">
        <v>-1.1109682944679999</v>
      </c>
      <c r="AE4583">
        <v>-16.592420000000001</v>
      </c>
      <c r="AF4583">
        <v>-1.4282023435095901</v>
      </c>
      <c r="AG4583">
        <v>-1.1109682944679999</v>
      </c>
      <c r="AH4583">
        <v>16.4985490885323</v>
      </c>
      <c r="AI4583">
        <v>93.838019220872397</v>
      </c>
      <c r="AJ4583">
        <v>94.947494540070906</v>
      </c>
      <c r="AK4583">
        <v>16.597473738856401</v>
      </c>
      <c r="AL4583">
        <v>82.157970976986803</v>
      </c>
      <c r="AM4583">
        <v>93.3758796170263</v>
      </c>
      <c r="AN4583">
        <v>1.0000000453317801</v>
      </c>
    </row>
    <row r="4584" spans="1:40" x14ac:dyDescent="0.25">
      <c r="A4584" t="str">
        <f>"20190312164401519"</f>
        <v>20190312164401519</v>
      </c>
      <c r="B4584" t="str">
        <f>"1552380241509576"</f>
        <v>1552380241509576</v>
      </c>
      <c r="C4584" t="s">
        <v>40</v>
      </c>
      <c r="D4584">
        <v>5.0946049999999996</v>
      </c>
      <c r="E4584">
        <v>0.49921070000000001</v>
      </c>
      <c r="F4584" t="s">
        <v>42</v>
      </c>
      <c r="G4584">
        <v>-300.63189999999997</v>
      </c>
      <c r="H4584" s="1">
        <v>-3.7932380000000002E-6</v>
      </c>
      <c r="I4584">
        <v>-31.96067</v>
      </c>
      <c r="J4584">
        <v>-301.4427</v>
      </c>
      <c r="K4584">
        <v>1.110916</v>
      </c>
      <c r="L4584">
        <v>-19.085170000000002</v>
      </c>
      <c r="M4584">
        <v>-1.4641609999999999E-2</v>
      </c>
      <c r="N4584">
        <v>0</v>
      </c>
      <c r="O4584">
        <v>-0.99979969999999996</v>
      </c>
      <c r="P4584">
        <v>4.8637319999999998E-2</v>
      </c>
      <c r="Q4584">
        <v>0.13148699999999999</v>
      </c>
      <c r="R4584">
        <v>-0.99012449999999996</v>
      </c>
      <c r="S4584">
        <v>0.18411250000000001</v>
      </c>
      <c r="T4584">
        <v>-0.25414959999999998</v>
      </c>
      <c r="U4584">
        <v>-3.049347</v>
      </c>
      <c r="V4584">
        <v>-6.331937E-2</v>
      </c>
      <c r="W4584">
        <v>0.14490839999999999</v>
      </c>
      <c r="X4584">
        <v>0.98741690000000004</v>
      </c>
      <c r="Y4584">
        <v>-7.4670529999999999E-2</v>
      </c>
      <c r="Z4584">
        <v>8.2853319999999994E-2</v>
      </c>
      <c r="AA4584">
        <v>0.99376030000000004</v>
      </c>
      <c r="AB4584">
        <v>31</v>
      </c>
      <c r="AC4584">
        <v>0.81080000000002805</v>
      </c>
      <c r="AD4584">
        <v>-1.1109197932379999</v>
      </c>
      <c r="AE4584">
        <v>-12.875500000000001</v>
      </c>
      <c r="AF4584">
        <v>-0.99189365796041495</v>
      </c>
      <c r="AG4584">
        <v>-1.1109197932379999</v>
      </c>
      <c r="AH4584">
        <v>12.7675739008258</v>
      </c>
      <c r="AI4584">
        <v>94.957975905380195</v>
      </c>
      <c r="AJ4584">
        <v>94.442300301740104</v>
      </c>
      <c r="AK4584">
        <v>12.854140933129599</v>
      </c>
      <c r="AL4584">
        <v>81.668024797022298</v>
      </c>
      <c r="AM4584">
        <v>93.669141162975293</v>
      </c>
      <c r="AN4584">
        <v>0.99999996070668196</v>
      </c>
    </row>
    <row r="4585" spans="1:40" x14ac:dyDescent="0.25">
      <c r="A4585" t="str">
        <f>"20190312164401554"</f>
        <v>20190312164401554</v>
      </c>
      <c r="B4585" t="str">
        <f>"1552380241549592"</f>
        <v>1552380241549592</v>
      </c>
      <c r="C4585" t="s">
        <v>40</v>
      </c>
      <c r="D4585">
        <v>4.9612429999999996</v>
      </c>
      <c r="E4585">
        <v>0.50030149999999995</v>
      </c>
      <c r="F4585" t="s">
        <v>42</v>
      </c>
      <c r="G4585">
        <v>-300.37900000000002</v>
      </c>
      <c r="H4585" s="1">
        <v>-2.0537980000000001E-6</v>
      </c>
      <c r="I4585">
        <v>-35.858509999999903</v>
      </c>
      <c r="J4585">
        <v>-301.4486</v>
      </c>
      <c r="K4585">
        <v>1.110849</v>
      </c>
      <c r="L4585">
        <v>-19.553889999999999</v>
      </c>
      <c r="M4585">
        <v>-1.3927139999999999E-2</v>
      </c>
      <c r="N4585">
        <v>0</v>
      </c>
      <c r="O4585">
        <v>-0.99980970000000002</v>
      </c>
      <c r="P4585">
        <v>5.6392640000000001E-2</v>
      </c>
      <c r="Q4585">
        <v>0.13893150000000001</v>
      </c>
      <c r="R4585">
        <v>-0.98869499999999999</v>
      </c>
      <c r="S4585">
        <v>0.1932373</v>
      </c>
      <c r="T4585">
        <v>-0.20182249999999999</v>
      </c>
      <c r="U4585">
        <v>-3.0472410000000001</v>
      </c>
      <c r="V4585">
        <v>-7.0318179999999994E-2</v>
      </c>
      <c r="W4585">
        <v>0.15233940000000001</v>
      </c>
      <c r="X4585">
        <v>0.98582360000000002</v>
      </c>
      <c r="Y4585">
        <v>-7.7043440000000005E-2</v>
      </c>
      <c r="Z4585">
        <v>6.5912680000000001E-2</v>
      </c>
      <c r="AA4585">
        <v>0.99484660000000003</v>
      </c>
      <c r="AB4585">
        <v>31</v>
      </c>
      <c r="AC4585">
        <v>1.0695999999999799</v>
      </c>
      <c r="AD4585">
        <v>-1.1108510537980001</v>
      </c>
      <c r="AE4585">
        <v>-16.3046199999999</v>
      </c>
      <c r="AF4585">
        <v>-1.29062893392013</v>
      </c>
      <c r="AG4585">
        <v>-1.1108510537980001</v>
      </c>
      <c r="AH4585">
        <v>16.2132038727074</v>
      </c>
      <c r="AI4585">
        <v>93.907185441914095</v>
      </c>
      <c r="AJ4585">
        <v>94.551351313702199</v>
      </c>
      <c r="AK4585">
        <v>16.302383044413101</v>
      </c>
      <c r="AL4585">
        <v>81.237477851297598</v>
      </c>
      <c r="AM4585">
        <v>94.079961981689706</v>
      </c>
      <c r="AN4585">
        <v>1.0000000547739101</v>
      </c>
    </row>
    <row r="4586" spans="1:40" x14ac:dyDescent="0.25">
      <c r="A4586" t="str">
        <f>"20190312164401588"</f>
        <v>20190312164401588</v>
      </c>
      <c r="B4586" t="str">
        <f>"1552380241579849"</f>
        <v>1552380241579849</v>
      </c>
      <c r="C4586" t="s">
        <v>40</v>
      </c>
      <c r="D4586">
        <v>4.8949730000000002</v>
      </c>
      <c r="E4586">
        <v>0.50131419999999904</v>
      </c>
      <c r="F4586" t="s">
        <v>42</v>
      </c>
      <c r="G4586">
        <v>-300.1474</v>
      </c>
      <c r="H4586" s="1">
        <v>-8.7952090000000001E-7</v>
      </c>
      <c r="I4586">
        <v>-38.452089999999998</v>
      </c>
      <c r="J4586">
        <v>-301.4545</v>
      </c>
      <c r="K4586">
        <v>1.110751</v>
      </c>
      <c r="L4586">
        <v>-20.02994</v>
      </c>
      <c r="M4586">
        <v>-1.341795E-2</v>
      </c>
      <c r="N4586">
        <v>0</v>
      </c>
      <c r="O4586">
        <v>-0.99981679999999995</v>
      </c>
      <c r="P4586">
        <v>6.3707659999999999E-2</v>
      </c>
      <c r="Q4586">
        <v>0.1447851</v>
      </c>
      <c r="R4586">
        <v>-0.98741020000000002</v>
      </c>
      <c r="S4586">
        <v>0.20983889999999999</v>
      </c>
      <c r="T4586">
        <v>-0.17913519999999999</v>
      </c>
      <c r="U4586">
        <v>-3.0475159999999999</v>
      </c>
      <c r="V4586">
        <v>-7.7071630000000002E-2</v>
      </c>
      <c r="W4586">
        <v>0.158188</v>
      </c>
      <c r="X4586">
        <v>0.98439650000000001</v>
      </c>
      <c r="Y4586">
        <v>-8.1956689999999999E-2</v>
      </c>
      <c r="Z4586">
        <v>5.8503779999999998E-2</v>
      </c>
      <c r="AA4586">
        <v>0.9949173</v>
      </c>
      <c r="AB4586">
        <v>31</v>
      </c>
      <c r="AC4586">
        <v>1.3070999999999899</v>
      </c>
      <c r="AD4586">
        <v>-1.1107518795208999</v>
      </c>
      <c r="AE4586">
        <v>-18.422149999999998</v>
      </c>
      <c r="AF4586">
        <v>-1.5485912606829999</v>
      </c>
      <c r="AG4586">
        <v>-1.1107518795208999</v>
      </c>
      <c r="AH4586">
        <v>18.336623755806301</v>
      </c>
      <c r="AI4586">
        <v>93.454223438405904</v>
      </c>
      <c r="AJ4586">
        <v>94.827371489814496</v>
      </c>
      <c r="AK4586">
        <v>18.435391924028199</v>
      </c>
      <c r="AL4586">
        <v>80.898262879668593</v>
      </c>
      <c r="AM4586">
        <v>94.476742131784604</v>
      </c>
      <c r="AN4586">
        <v>0.99999997435355303</v>
      </c>
    </row>
    <row r="4587" spans="1:40" x14ac:dyDescent="0.25">
      <c r="A4587" t="str">
        <f>"20190312164401622"</f>
        <v>20190312164401622</v>
      </c>
      <c r="B4587" t="str">
        <f>"1552380241610104"</f>
        <v>1552380241610104</v>
      </c>
      <c r="C4587" t="s">
        <v>40</v>
      </c>
      <c r="D4587">
        <v>4.9944940000000004</v>
      </c>
      <c r="E4587">
        <v>0.50530299999999995</v>
      </c>
      <c r="F4587" t="s">
        <v>50</v>
      </c>
      <c r="G4587">
        <v>-299.91419999999999</v>
      </c>
      <c r="H4587" s="1">
        <v>-3.3735240000000001E-7</v>
      </c>
      <c r="I4587">
        <v>-40.898629999999997</v>
      </c>
      <c r="J4587">
        <v>-301.46039999999999</v>
      </c>
      <c r="K4587">
        <v>1.1106689999999999</v>
      </c>
      <c r="L4587">
        <v>-20.503689999999999</v>
      </c>
      <c r="M4587">
        <v>-1.311177E-2</v>
      </c>
      <c r="N4587">
        <v>0</v>
      </c>
      <c r="O4587">
        <v>-0.99982090000000001</v>
      </c>
      <c r="P4587">
        <v>6.9724019999999998E-2</v>
      </c>
      <c r="Q4587">
        <v>0.15139079999999999</v>
      </c>
      <c r="R4587">
        <v>-0.98601209999999995</v>
      </c>
      <c r="S4587">
        <v>0.22494510000000001</v>
      </c>
      <c r="T4587">
        <v>-0.16220619999999999</v>
      </c>
      <c r="U4587">
        <v>-3.0475159999999999</v>
      </c>
      <c r="V4587">
        <v>-8.2727899999999993E-2</v>
      </c>
      <c r="W4587">
        <v>0.1647902</v>
      </c>
      <c r="X4587">
        <v>0.98285310000000004</v>
      </c>
      <c r="Y4587">
        <v>-8.6580039999999997E-2</v>
      </c>
      <c r="Z4587">
        <v>5.2971959999999998E-2</v>
      </c>
      <c r="AA4587">
        <v>0.99483560000000004</v>
      </c>
      <c r="AB4587">
        <v>31</v>
      </c>
      <c r="AC4587">
        <v>1.54619999999999</v>
      </c>
      <c r="AD4587">
        <v>-1.1106693373523999</v>
      </c>
      <c r="AE4587">
        <v>-20.394939999999998</v>
      </c>
      <c r="AF4587">
        <v>-1.8081739029974</v>
      </c>
      <c r="AG4587">
        <v>-1.1106693373523999</v>
      </c>
      <c r="AH4587">
        <v>20.313013470095299</v>
      </c>
      <c r="AI4587">
        <v>93.117384501412403</v>
      </c>
      <c r="AJ4587">
        <v>95.086807579017304</v>
      </c>
      <c r="AK4587">
        <v>20.4235549177093</v>
      </c>
      <c r="AL4587">
        <v>80.514952692004897</v>
      </c>
      <c r="AM4587">
        <v>94.811312082026006</v>
      </c>
      <c r="AN4587">
        <v>0.99999996581702899</v>
      </c>
    </row>
    <row r="4588" spans="1:40" x14ac:dyDescent="0.25">
      <c r="A4588" t="str">
        <f>"20190312164401654"</f>
        <v>20190312164401654</v>
      </c>
      <c r="B4588" t="str">
        <f>"1552380241650120"</f>
        <v>1552380241650120</v>
      </c>
      <c r="C4588" t="s">
        <v>40</v>
      </c>
      <c r="D4588">
        <v>4.7918789999999998</v>
      </c>
      <c r="E4588">
        <v>0.50715920000000003</v>
      </c>
      <c r="F4588" t="s">
        <v>42</v>
      </c>
      <c r="G4588">
        <v>-300.45769999999999</v>
      </c>
      <c r="H4588" s="1">
        <v>-2.6577640000000001E-6</v>
      </c>
      <c r="I4588">
        <v>-34.499429999999997</v>
      </c>
      <c r="J4588">
        <v>-301.46600000000001</v>
      </c>
      <c r="K4588">
        <v>1.110598</v>
      </c>
      <c r="L4588">
        <v>-20.950710000000001</v>
      </c>
      <c r="M4588">
        <v>-1.2993680000000001E-2</v>
      </c>
      <c r="N4588">
        <v>0</v>
      </c>
      <c r="O4588">
        <v>-0.9998224</v>
      </c>
      <c r="P4588">
        <v>7.632978E-2</v>
      </c>
      <c r="Q4588">
        <v>0.1576806</v>
      </c>
      <c r="R4588">
        <v>-0.98453590000000002</v>
      </c>
      <c r="S4588">
        <v>0.2195435</v>
      </c>
      <c r="T4588">
        <v>-0.24318110000000001</v>
      </c>
      <c r="U4588">
        <v>-3.064362</v>
      </c>
      <c r="V4588">
        <v>-8.9163709999999993E-2</v>
      </c>
      <c r="W4588">
        <v>0.17107259999999999</v>
      </c>
      <c r="X4588">
        <v>0.98121559999999997</v>
      </c>
      <c r="Y4588">
        <v>-8.4193950000000004E-2</v>
      </c>
      <c r="Z4588">
        <v>7.8858170000000005E-2</v>
      </c>
      <c r="AA4588">
        <v>0.99332410000000004</v>
      </c>
      <c r="AB4588">
        <v>31</v>
      </c>
      <c r="AC4588">
        <v>1.00830000000001</v>
      </c>
      <c r="AD4588">
        <v>-1.110600657764</v>
      </c>
      <c r="AE4588">
        <v>-13.5487199999999</v>
      </c>
      <c r="AF4588">
        <v>-1.1764179167036299</v>
      </c>
      <c r="AG4588">
        <v>-1.110600657764</v>
      </c>
      <c r="AH4588">
        <v>13.4446332608282</v>
      </c>
      <c r="AI4588">
        <v>94.704331368306796</v>
      </c>
      <c r="AJ4588">
        <v>95.000697489912298</v>
      </c>
      <c r="AK4588">
        <v>13.541623110023901</v>
      </c>
      <c r="AL4588">
        <v>80.1498121421169</v>
      </c>
      <c r="AM4588">
        <v>95.192245067692397</v>
      </c>
      <c r="AN4588">
        <v>1.00000002766754</v>
      </c>
    </row>
    <row r="4589" spans="1:40" x14ac:dyDescent="0.25">
      <c r="A4589" t="str">
        <f>"20190312164401688"</f>
        <v>20190312164401688</v>
      </c>
      <c r="B4589" t="str">
        <f>"1552380241679403"</f>
        <v>1552380241679403</v>
      </c>
      <c r="C4589" t="s">
        <v>40</v>
      </c>
      <c r="D4589">
        <v>4.7283229999999996</v>
      </c>
      <c r="E4589">
        <v>0.508876</v>
      </c>
      <c r="F4589" t="s">
        <v>42</v>
      </c>
      <c r="G4589">
        <v>-300.2296</v>
      </c>
      <c r="H4589" s="1">
        <v>-1.1682530000000001E-6</v>
      </c>
      <c r="I4589">
        <v>-37.830030000000001</v>
      </c>
      <c r="J4589">
        <v>-301.47199999999998</v>
      </c>
      <c r="K4589">
        <v>1.110549</v>
      </c>
      <c r="L4589">
        <v>-21.41602</v>
      </c>
      <c r="M4589">
        <v>-1.296515E-2</v>
      </c>
      <c r="N4589">
        <v>0</v>
      </c>
      <c r="O4589">
        <v>-0.99982289999999996</v>
      </c>
      <c r="P4589">
        <v>8.2197500000000007E-2</v>
      </c>
      <c r="Q4589">
        <v>0.1629669</v>
      </c>
      <c r="R4589">
        <v>-0.98320160000000001</v>
      </c>
      <c r="S4589">
        <v>0.22430420000000001</v>
      </c>
      <c r="T4589">
        <v>-0.20146939999999999</v>
      </c>
      <c r="U4589">
        <v>-3.0620120000000002</v>
      </c>
      <c r="V4589">
        <v>-9.4957689999999997E-2</v>
      </c>
      <c r="W4589">
        <v>0.1763517</v>
      </c>
      <c r="X4589">
        <v>0.9797363</v>
      </c>
      <c r="Y4589">
        <v>-8.5827029999999999E-2</v>
      </c>
      <c r="Z4589">
        <v>6.543773E-2</v>
      </c>
      <c r="AA4589">
        <v>0.99415869999999995</v>
      </c>
      <c r="AB4589">
        <v>31</v>
      </c>
      <c r="AC4589">
        <v>1.24239999999997</v>
      </c>
      <c r="AD4589">
        <v>-1.1105501682529999</v>
      </c>
      <c r="AE4589">
        <v>-16.414010000000001</v>
      </c>
      <c r="AF4589">
        <v>-1.4485322917819099</v>
      </c>
      <c r="AG4589">
        <v>-1.1105501682529999</v>
      </c>
      <c r="AH4589">
        <v>16.322228159582401</v>
      </c>
      <c r="AI4589">
        <v>93.877164647268103</v>
      </c>
      <c r="AJ4589">
        <v>95.071484420440001</v>
      </c>
      <c r="AK4589">
        <v>16.423967229935801</v>
      </c>
      <c r="AL4589">
        <v>79.842672233084897</v>
      </c>
      <c r="AM4589">
        <v>95.535912086117094</v>
      </c>
      <c r="AN4589">
        <v>1.00000005126035</v>
      </c>
    </row>
    <row r="4590" spans="1:40" x14ac:dyDescent="0.25">
      <c r="A4590" t="str">
        <f>"20190312164401721"</f>
        <v>20190312164401721</v>
      </c>
      <c r="B4590" t="str">
        <f>"1552380241709656"</f>
        <v>1552380241709656</v>
      </c>
      <c r="C4590" t="s">
        <v>40</v>
      </c>
      <c r="D4590">
        <v>4.7235550000000002</v>
      </c>
      <c r="E4590">
        <v>0.50996819999999998</v>
      </c>
      <c r="F4590" t="s">
        <v>50</v>
      </c>
      <c r="G4590">
        <v>-300.03930000000003</v>
      </c>
      <c r="H4590" s="1">
        <v>-6.7666019999999998E-8</v>
      </c>
      <c r="I4590">
        <v>-40.474730000000001</v>
      </c>
      <c r="J4590">
        <v>-301.47789999999998</v>
      </c>
      <c r="K4590">
        <v>1.110538</v>
      </c>
      <c r="L4590">
        <v>-21.88007</v>
      </c>
      <c r="M4590">
        <v>-1.298154E-2</v>
      </c>
      <c r="N4590">
        <v>0</v>
      </c>
      <c r="O4590">
        <v>-0.99982260000000001</v>
      </c>
      <c r="P4590">
        <v>8.6706729999999996E-2</v>
      </c>
      <c r="Q4590">
        <v>0.1679126</v>
      </c>
      <c r="R4590">
        <v>-0.98198149999999995</v>
      </c>
      <c r="S4590">
        <v>0.23013310000000001</v>
      </c>
      <c r="T4590">
        <v>-0.17839829999999901</v>
      </c>
      <c r="U4590">
        <v>-3.0615839999999999</v>
      </c>
      <c r="V4590">
        <v>-9.9450330000000003E-2</v>
      </c>
      <c r="W4590">
        <v>0.18128630000000001</v>
      </c>
      <c r="X4590">
        <v>0.97838899999999995</v>
      </c>
      <c r="Y4590">
        <v>-8.7770329999999994E-2</v>
      </c>
      <c r="Z4590">
        <v>5.797012E-2</v>
      </c>
      <c r="AA4590">
        <v>0.99445249999999996</v>
      </c>
      <c r="AB4590">
        <v>31</v>
      </c>
      <c r="AC4590">
        <v>1.4385999999999499</v>
      </c>
      <c r="AD4590">
        <v>-1.1105380676660199</v>
      </c>
      <c r="AE4590">
        <v>-18.594660000000001</v>
      </c>
      <c r="AF4590">
        <v>-1.6739532694252199</v>
      </c>
      <c r="AG4590">
        <v>-1.1105380676660199</v>
      </c>
      <c r="AH4590">
        <v>18.508789754135801</v>
      </c>
      <c r="AI4590">
        <v>93.419739120382502</v>
      </c>
      <c r="AJ4590">
        <v>95.167827419292607</v>
      </c>
      <c r="AK4590">
        <v>18.6174840542635</v>
      </c>
      <c r="AL4590">
        <v>79.555308559605393</v>
      </c>
      <c r="AM4590">
        <v>95.804011003407297</v>
      </c>
      <c r="AN4590">
        <v>1.00000006301289</v>
      </c>
    </row>
    <row r="4591" spans="1:40" x14ac:dyDescent="0.25">
      <c r="A4591" t="str">
        <f>"20190312164401754"</f>
        <v>20190312164401754</v>
      </c>
      <c r="B4591" t="str">
        <f>"1552380241749672"</f>
        <v>1552380241749672</v>
      </c>
      <c r="C4591" t="s">
        <v>40</v>
      </c>
      <c r="D4591">
        <v>4.7501439999999997</v>
      </c>
      <c r="E4591">
        <v>0.51157470000000005</v>
      </c>
      <c r="F4591" t="s">
        <v>50</v>
      </c>
      <c r="G4591">
        <v>-299.96010000000001</v>
      </c>
      <c r="H4591" s="1">
        <v>-6.1755649999999999E-7</v>
      </c>
      <c r="I4591">
        <v>-41.357219999999998</v>
      </c>
      <c r="J4591">
        <v>-301.48390000000001</v>
      </c>
      <c r="K4591">
        <v>1.1105210000000001</v>
      </c>
      <c r="L4591">
        <v>-22.342410000000001</v>
      </c>
      <c r="M4591">
        <v>-1.3009E-2</v>
      </c>
      <c r="N4591">
        <v>0</v>
      </c>
      <c r="O4591">
        <v>-0.9998224</v>
      </c>
      <c r="P4591">
        <v>9.0851710000000002E-2</v>
      </c>
      <c r="Q4591">
        <v>0.17377709999999999</v>
      </c>
      <c r="R4591">
        <v>-0.98058559999999995</v>
      </c>
      <c r="S4591">
        <v>0.2387695</v>
      </c>
      <c r="T4591">
        <v>-0.1746926</v>
      </c>
      <c r="U4591">
        <v>-3.0638429999999999</v>
      </c>
      <c r="V4591">
        <v>-0.1035961</v>
      </c>
      <c r="W4591">
        <v>0.1871321</v>
      </c>
      <c r="X4591">
        <v>0.97685690000000003</v>
      </c>
      <c r="Y4591">
        <v>-9.0535009999999999E-2</v>
      </c>
      <c r="Z4591">
        <v>5.6715189999999999E-2</v>
      </c>
      <c r="AA4591">
        <v>0.99427699999999997</v>
      </c>
      <c r="AB4591">
        <v>31</v>
      </c>
      <c r="AC4591">
        <v>1.5237999999999901</v>
      </c>
      <c r="AD4591">
        <v>-1.11052161755649</v>
      </c>
      <c r="AE4591">
        <v>-19.014810000000001</v>
      </c>
      <c r="AF4591">
        <v>-1.76507560032291</v>
      </c>
      <c r="AG4591">
        <v>-1.11052161755649</v>
      </c>
      <c r="AH4591">
        <v>18.929221854544501</v>
      </c>
      <c r="AI4591">
        <v>93.3430568308316</v>
      </c>
      <c r="AJ4591">
        <v>95.327202361537005</v>
      </c>
      <c r="AK4591">
        <v>19.043744121271999</v>
      </c>
      <c r="AL4591">
        <v>79.214535951590307</v>
      </c>
      <c r="AM4591">
        <v>96.053615664793298</v>
      </c>
      <c r="AN4591">
        <v>0.99999998893161501</v>
      </c>
    </row>
    <row r="4592" spans="1:40" x14ac:dyDescent="0.25">
      <c r="A4592" t="str">
        <f>"20190312164401788"</f>
        <v>20190312164401788</v>
      </c>
      <c r="B4592" t="str">
        <f>"1552380241779928"</f>
        <v>1552380241779928</v>
      </c>
      <c r="C4592" t="s">
        <v>40</v>
      </c>
      <c r="D4592">
        <v>4.7579060000000002</v>
      </c>
      <c r="E4592">
        <v>0.51283769999999995</v>
      </c>
      <c r="F4592" t="s">
        <v>50</v>
      </c>
      <c r="G4592">
        <v>-299.80149999999998</v>
      </c>
      <c r="H4592" s="1">
        <v>-2.2003770000000001E-6</v>
      </c>
      <c r="I4592">
        <v>-43.782449999999997</v>
      </c>
      <c r="J4592">
        <v>-301.49</v>
      </c>
      <c r="K4592">
        <v>1.1105320000000001</v>
      </c>
      <c r="L4592">
        <v>-22.809360000000002</v>
      </c>
      <c r="M4592">
        <v>-1.302849E-2</v>
      </c>
      <c r="N4592">
        <v>0</v>
      </c>
      <c r="O4592">
        <v>-0.99982210000000005</v>
      </c>
      <c r="P4592">
        <v>9.4831440000000003E-2</v>
      </c>
      <c r="Q4592">
        <v>0.17634839999999999</v>
      </c>
      <c r="R4592">
        <v>-0.97974939999999999</v>
      </c>
      <c r="S4592">
        <v>0.24053959999999999</v>
      </c>
      <c r="T4592">
        <v>-0.15876960000000001</v>
      </c>
      <c r="U4592">
        <v>-3.0652469999999998</v>
      </c>
      <c r="V4592">
        <v>-0.1075813</v>
      </c>
      <c r="W4592">
        <v>0.18968989999999999</v>
      </c>
      <c r="X4592">
        <v>0.97593240000000003</v>
      </c>
      <c r="Y4592">
        <v>-9.1111769999999995E-2</v>
      </c>
      <c r="Z4592">
        <v>5.1534160000000002E-2</v>
      </c>
      <c r="AA4592">
        <v>0.99450640000000001</v>
      </c>
      <c r="AB4592">
        <v>31</v>
      </c>
      <c r="AC4592">
        <v>1.6885000000000301</v>
      </c>
      <c r="AD4592">
        <v>-1.110534200377</v>
      </c>
      <c r="AE4592">
        <v>-20.973089999999999</v>
      </c>
      <c r="AF4592">
        <v>-1.9561804576477</v>
      </c>
      <c r="AG4592">
        <v>-1.110534200377</v>
      </c>
      <c r="AH4592">
        <v>20.891112716073799</v>
      </c>
      <c r="AI4592">
        <v>93.029649207171502</v>
      </c>
      <c r="AJ4592">
        <v>95.349405156165403</v>
      </c>
      <c r="AK4592">
        <v>21.011866140559501</v>
      </c>
      <c r="AL4592">
        <v>79.065312565816001</v>
      </c>
      <c r="AM4592">
        <v>96.290566411997702</v>
      </c>
      <c r="AN4592">
        <v>1.0000000218207199</v>
      </c>
    </row>
    <row r="4593" spans="1:40" x14ac:dyDescent="0.25">
      <c r="A4593" t="str">
        <f>"20190312164401821"</f>
        <v>20190312164401821</v>
      </c>
      <c r="B4593" t="str">
        <f>"1552380241809208"</f>
        <v>1552380241809208</v>
      </c>
      <c r="C4593" t="s">
        <v>40</v>
      </c>
      <c r="D4593">
        <v>4.7759710000000002</v>
      </c>
      <c r="E4593">
        <v>0.51397179999999998</v>
      </c>
      <c r="F4593" t="s">
        <v>50</v>
      </c>
      <c r="G4593">
        <v>-299.73090000000002</v>
      </c>
      <c r="H4593" s="1">
        <v>-2.9917300000000001E-6</v>
      </c>
      <c r="I4593">
        <v>-44.997920000000001</v>
      </c>
      <c r="J4593">
        <v>-301.49599999999998</v>
      </c>
      <c r="K4593">
        <v>1.110541</v>
      </c>
      <c r="L4593">
        <v>-23.270569999999999</v>
      </c>
      <c r="M4593">
        <v>-1.3036600000000001E-2</v>
      </c>
      <c r="N4593">
        <v>0</v>
      </c>
      <c r="O4593">
        <v>-0.99982210000000005</v>
      </c>
      <c r="P4593">
        <v>9.7625649999999994E-2</v>
      </c>
      <c r="Q4593">
        <v>0.1787947</v>
      </c>
      <c r="R4593">
        <v>-0.97903130000000005</v>
      </c>
      <c r="S4593">
        <v>0.2430725</v>
      </c>
      <c r="T4593">
        <v>-0.15345799999999901</v>
      </c>
      <c r="U4593">
        <v>-3.0661010000000002</v>
      </c>
      <c r="V4593">
        <v>-0.11037279999999999</v>
      </c>
      <c r="W4593">
        <v>0.19212380000000001</v>
      </c>
      <c r="X4593">
        <v>0.97514420000000002</v>
      </c>
      <c r="Y4593">
        <v>-9.1921660000000002E-2</v>
      </c>
      <c r="Z4593">
        <v>4.9797180000000003E-2</v>
      </c>
      <c r="AA4593">
        <v>0.99452030000000002</v>
      </c>
      <c r="AB4593">
        <v>31</v>
      </c>
      <c r="AC4593">
        <v>1.7650999999999599</v>
      </c>
      <c r="AD4593">
        <v>-1.11054399173</v>
      </c>
      <c r="AE4593">
        <v>-21.727350000000001</v>
      </c>
      <c r="AF4593">
        <v>-2.04292489509043</v>
      </c>
      <c r="AG4593">
        <v>-1.11054399173</v>
      </c>
      <c r="AH4593">
        <v>21.646309791317201</v>
      </c>
      <c r="AI4593">
        <v>92.9239617751103</v>
      </c>
      <c r="AJ4593">
        <v>95.391463588771003</v>
      </c>
      <c r="AK4593">
        <v>21.770842373831599</v>
      </c>
      <c r="AL4593">
        <v>78.923246801227293</v>
      </c>
      <c r="AM4593">
        <v>96.457604895007506</v>
      </c>
      <c r="AN4593">
        <v>0.99999996014995896</v>
      </c>
    </row>
    <row r="4594" spans="1:40" x14ac:dyDescent="0.25">
      <c r="A4594" t="str">
        <f>"20190312164401856"</f>
        <v>20190312164401856</v>
      </c>
      <c r="B4594" t="str">
        <f>"1552380241849226"</f>
        <v>1552380241849226</v>
      </c>
      <c r="C4594" t="s">
        <v>40</v>
      </c>
      <c r="D4594">
        <v>4.7862910000000003</v>
      </c>
      <c r="E4594">
        <v>0.51732889999999998</v>
      </c>
      <c r="F4594" t="s">
        <v>50</v>
      </c>
      <c r="G4594">
        <v>-299.6789</v>
      </c>
      <c r="H4594" s="1">
        <v>-3.6790569999999999E-6</v>
      </c>
      <c r="I4594">
        <v>-46.248489999999997</v>
      </c>
      <c r="J4594">
        <v>-301.50209999999998</v>
      </c>
      <c r="K4594">
        <v>1.1105499999999999</v>
      </c>
      <c r="L4594">
        <v>-23.739470000000001</v>
      </c>
      <c r="M4594">
        <v>-1.303736E-2</v>
      </c>
      <c r="N4594">
        <v>0</v>
      </c>
      <c r="O4594">
        <v>-0.99982210000000005</v>
      </c>
      <c r="P4594">
        <v>9.9467120000000006E-2</v>
      </c>
      <c r="Q4594">
        <v>0.1814722</v>
      </c>
      <c r="R4594">
        <v>-0.97835280000000002</v>
      </c>
      <c r="S4594">
        <v>0.24255370000000001</v>
      </c>
      <c r="T4594">
        <v>-0.1482377</v>
      </c>
      <c r="U4594">
        <v>-3.0671390000000001</v>
      </c>
      <c r="V4594">
        <v>-0.1122068</v>
      </c>
      <c r="W4594">
        <v>0.19478909999999999</v>
      </c>
      <c r="X4594">
        <v>0.97440590000000005</v>
      </c>
      <c r="Y4594">
        <v>-9.1735330000000004E-2</v>
      </c>
      <c r="Z4594">
        <v>4.8091750000000003E-2</v>
      </c>
      <c r="AA4594">
        <v>0.99462150000000005</v>
      </c>
      <c r="AB4594">
        <v>31</v>
      </c>
      <c r="AC4594">
        <v>1.8231999999999799</v>
      </c>
      <c r="AD4594">
        <v>-1.1105536790570001</v>
      </c>
      <c r="AE4594">
        <v>-22.50902</v>
      </c>
      <c r="AF4594">
        <v>-2.11142423737761</v>
      </c>
      <c r="AG4594">
        <v>-1.1105536790570001</v>
      </c>
      <c r="AH4594">
        <v>22.429092437784401</v>
      </c>
      <c r="AI4594">
        <v>92.822170188445696</v>
      </c>
      <c r="AJ4594">
        <v>95.377846976217597</v>
      </c>
      <c r="AK4594">
        <v>22.555611926235301</v>
      </c>
      <c r="AL4594">
        <v>78.767596430926702</v>
      </c>
      <c r="AM4594">
        <v>96.568908285458804</v>
      </c>
      <c r="AN4594">
        <v>1.0000000086999301</v>
      </c>
    </row>
    <row r="4595" spans="1:40" x14ac:dyDescent="0.25">
      <c r="A4595" t="str">
        <f>"20190312164401888"</f>
        <v>20190312164401888</v>
      </c>
      <c r="B4595" t="str">
        <f>"1552380241879485"</f>
        <v>1552380241879485</v>
      </c>
      <c r="C4595" t="s">
        <v>40</v>
      </c>
      <c r="D4595">
        <v>4.868042</v>
      </c>
      <c r="E4595">
        <v>0.51716969999999995</v>
      </c>
      <c r="F4595" t="s">
        <v>42</v>
      </c>
      <c r="G4595">
        <v>-300.40339999999998</v>
      </c>
      <c r="H4595" s="1">
        <v>-9.9301379999999994E-7</v>
      </c>
      <c r="I4595">
        <v>-38.346359999999997</v>
      </c>
      <c r="J4595">
        <v>-301.50799999999998</v>
      </c>
      <c r="K4595">
        <v>1.1105419999999999</v>
      </c>
      <c r="L4595">
        <v>-24.186309999999999</v>
      </c>
      <c r="M4595">
        <v>-1.3036239999999999E-2</v>
      </c>
      <c r="N4595">
        <v>0</v>
      </c>
      <c r="O4595">
        <v>-0.99982210000000005</v>
      </c>
      <c r="P4595">
        <v>0.1025142</v>
      </c>
      <c r="Q4595">
        <v>0.1812667</v>
      </c>
      <c r="R4595">
        <v>-0.97807650000000002</v>
      </c>
      <c r="S4595">
        <v>0.2321472</v>
      </c>
      <c r="T4595">
        <v>-0.23464940000000001</v>
      </c>
      <c r="U4595">
        <v>-3.0863040000000002</v>
      </c>
      <c r="V4595">
        <v>-0.1152495</v>
      </c>
      <c r="W4595">
        <v>0.1945762</v>
      </c>
      <c r="X4595">
        <v>0.97409330000000005</v>
      </c>
      <c r="Y4595">
        <v>-8.7786539999999996E-2</v>
      </c>
      <c r="Z4595">
        <v>7.5548329999999997E-2</v>
      </c>
      <c r="AA4595">
        <v>0.99327030000000005</v>
      </c>
      <c r="AB4595">
        <v>31</v>
      </c>
      <c r="AC4595">
        <v>1.1046</v>
      </c>
      <c r="AD4595">
        <v>-1.1105429930138</v>
      </c>
      <c r="AE4595">
        <v>-14.160049999999901</v>
      </c>
      <c r="AF4595">
        <v>-1.28128365773132</v>
      </c>
      <c r="AG4595">
        <v>-1.1105429930138</v>
      </c>
      <c r="AH4595">
        <v>14.058495480675299</v>
      </c>
      <c r="AI4595">
        <v>94.498102899084998</v>
      </c>
      <c r="AJ4595">
        <v>95.207519505899597</v>
      </c>
      <c r="AK4595">
        <v>14.1603774219146</v>
      </c>
      <c r="AL4595">
        <v>78.780033134007994</v>
      </c>
      <c r="AM4595">
        <v>96.747561394477998</v>
      </c>
      <c r="AN4595">
        <v>1.00000005098078</v>
      </c>
    </row>
    <row r="4596" spans="1:40" x14ac:dyDescent="0.25">
      <c r="A4596" t="str">
        <f>"20190312164401922"</f>
        <v>20190312164401922</v>
      </c>
      <c r="B4596" t="str">
        <f>"1552380241909736"</f>
        <v>1552380241909736</v>
      </c>
      <c r="C4596" t="s">
        <v>40</v>
      </c>
      <c r="D4596">
        <v>4.9406980000000003</v>
      </c>
      <c r="E4596">
        <v>0.51805909999999999</v>
      </c>
      <c r="F4596" t="s">
        <v>42</v>
      </c>
      <c r="G4596">
        <v>-300.3698</v>
      </c>
      <c r="H4596" s="1">
        <v>-8.7871830000000005E-7</v>
      </c>
      <c r="I4596">
        <v>-38.591920000000002</v>
      </c>
      <c r="J4596">
        <v>-301.51389999999998</v>
      </c>
      <c r="K4596">
        <v>1.1105430000000001</v>
      </c>
      <c r="L4596">
        <v>-24.644780000000001</v>
      </c>
      <c r="M4596">
        <v>-1.303489E-2</v>
      </c>
      <c r="N4596">
        <v>0</v>
      </c>
      <c r="O4596">
        <v>-0.9998224</v>
      </c>
      <c r="P4596">
        <v>0.1054542</v>
      </c>
      <c r="Q4596">
        <v>0.17978569999999999</v>
      </c>
      <c r="R4596">
        <v>-0.97803770000000001</v>
      </c>
      <c r="S4596">
        <v>0.24380489999999999</v>
      </c>
      <c r="T4596">
        <v>-0.23788629999999999</v>
      </c>
      <c r="U4596">
        <v>-3.085785</v>
      </c>
      <c r="V4596">
        <v>-0.1181878</v>
      </c>
      <c r="W4596">
        <v>0.19309190000000001</v>
      </c>
      <c r="X4596">
        <v>0.97403649999999997</v>
      </c>
      <c r="Y4596">
        <v>-9.1521160000000004E-2</v>
      </c>
      <c r="Z4596">
        <v>7.6573210000000003E-2</v>
      </c>
      <c r="AA4596">
        <v>0.99285469999999998</v>
      </c>
      <c r="AB4596">
        <v>31</v>
      </c>
      <c r="AC4596">
        <v>1.1440999999999799</v>
      </c>
      <c r="AD4596">
        <v>-1.1105438787183</v>
      </c>
      <c r="AE4596">
        <v>-13.947139999999999</v>
      </c>
      <c r="AF4596">
        <v>-1.31752157953217</v>
      </c>
      <c r="AG4596">
        <v>-1.1105438787183</v>
      </c>
      <c r="AH4596">
        <v>13.843854509708301</v>
      </c>
      <c r="AI4596">
        <v>94.565861409880796</v>
      </c>
      <c r="AJ4596">
        <v>95.436473487708795</v>
      </c>
      <c r="AK4596">
        <v>13.9506802165723</v>
      </c>
      <c r="AL4596">
        <v>78.866720458194493</v>
      </c>
      <c r="AM4596">
        <v>96.918344130160605</v>
      </c>
      <c r="AN4596">
        <v>0.999999970623349</v>
      </c>
    </row>
    <row r="4597" spans="1:40" x14ac:dyDescent="0.25">
      <c r="A4597" t="str">
        <f>"20190312164401956"</f>
        <v>20190312164401956</v>
      </c>
      <c r="B4597" t="str">
        <f>"1552380241949752"</f>
        <v>1552380241949752</v>
      </c>
      <c r="C4597" t="s">
        <v>40</v>
      </c>
      <c r="D4597">
        <v>4.9584619999999999</v>
      </c>
      <c r="E4597">
        <v>0.51883069999999998</v>
      </c>
      <c r="F4597" t="s">
        <v>42</v>
      </c>
      <c r="G4597">
        <v>-300.42610000000002</v>
      </c>
      <c r="H4597" s="1">
        <v>-1.0499249999999999E-6</v>
      </c>
      <c r="I4597">
        <v>-38.227789999999999</v>
      </c>
      <c r="J4597">
        <v>-301.52019999999999</v>
      </c>
      <c r="K4597">
        <v>1.110544</v>
      </c>
      <c r="L4597">
        <v>-25.128299999999999</v>
      </c>
      <c r="M4597">
        <v>-1.303379E-2</v>
      </c>
      <c r="N4597">
        <v>0</v>
      </c>
      <c r="O4597">
        <v>-0.9998224</v>
      </c>
      <c r="P4597">
        <v>0.10837529999999999</v>
      </c>
      <c r="Q4597">
        <v>0.1793814</v>
      </c>
      <c r="R4597">
        <v>-0.97779249999999995</v>
      </c>
      <c r="S4597">
        <v>0.2472229</v>
      </c>
      <c r="T4597">
        <v>-0.25240040000000002</v>
      </c>
      <c r="U4597">
        <v>-3.087097</v>
      </c>
      <c r="V4597">
        <v>-0.1211052</v>
      </c>
      <c r="W4597">
        <v>0.19268109999999999</v>
      </c>
      <c r="X4597">
        <v>0.9737595</v>
      </c>
      <c r="Y4597">
        <v>-9.2550149999999998E-2</v>
      </c>
      <c r="Z4597">
        <v>8.1173490000000001E-2</v>
      </c>
      <c r="AA4597">
        <v>0.99239370000000005</v>
      </c>
      <c r="AB4597">
        <v>31</v>
      </c>
      <c r="AC4597">
        <v>1.0940999999999601</v>
      </c>
      <c r="AD4597">
        <v>-1.110545049925</v>
      </c>
      <c r="AE4597">
        <v>-13.099489999999999</v>
      </c>
      <c r="AF4597">
        <v>-1.2557956603074301</v>
      </c>
      <c r="AG4597">
        <v>-1.110545049925</v>
      </c>
      <c r="AH4597">
        <v>12.991389793903901</v>
      </c>
      <c r="AI4597">
        <v>94.863387128333798</v>
      </c>
      <c r="AJ4597">
        <v>95.521267375819207</v>
      </c>
      <c r="AK4597">
        <v>13.099104619229101</v>
      </c>
      <c r="AL4597">
        <v>78.890708579359099</v>
      </c>
      <c r="AM4597">
        <v>97.089399053500699</v>
      </c>
      <c r="AN4597">
        <v>1.0000000198022401</v>
      </c>
    </row>
    <row r="4598" spans="1:40" x14ac:dyDescent="0.25">
      <c r="A4598" t="str">
        <f>"20190312164401990"</f>
        <v>20190312164401990</v>
      </c>
      <c r="B4598" t="str">
        <f>"1552380241980008"</f>
        <v>1552380241980008</v>
      </c>
      <c r="C4598" t="s">
        <v>40</v>
      </c>
      <c r="D4598">
        <v>5.0345829999999996</v>
      </c>
      <c r="E4598">
        <v>0.51929269999999905</v>
      </c>
      <c r="F4598" t="s">
        <v>42</v>
      </c>
      <c r="G4598">
        <v>-300.44170000000003</v>
      </c>
      <c r="H4598" s="1">
        <v>-9.6539539999999994E-7</v>
      </c>
      <c r="I4598">
        <v>-38.434449999999998</v>
      </c>
      <c r="J4598">
        <v>-301.52609999999999</v>
      </c>
      <c r="K4598">
        <v>1.110538</v>
      </c>
      <c r="L4598">
        <v>-25.578130000000002</v>
      </c>
      <c r="M4598">
        <v>-1.3033110000000001E-2</v>
      </c>
      <c r="N4598">
        <v>0</v>
      </c>
      <c r="O4598">
        <v>-0.99982210000000005</v>
      </c>
      <c r="P4598">
        <v>0.1114322</v>
      </c>
      <c r="Q4598">
        <v>0.17836199999999999</v>
      </c>
      <c r="R4598">
        <v>-0.97763500000000003</v>
      </c>
      <c r="S4598">
        <v>0.25027470000000002</v>
      </c>
      <c r="T4598">
        <v>-0.2577007</v>
      </c>
      <c r="U4598">
        <v>-3.0876769999999998</v>
      </c>
      <c r="V4598">
        <v>-0.1241588</v>
      </c>
      <c r="W4598">
        <v>0.1916563</v>
      </c>
      <c r="X4598">
        <v>0.97357709999999997</v>
      </c>
      <c r="Y4598">
        <v>-9.3498020000000001E-2</v>
      </c>
      <c r="Z4598">
        <v>8.2844119999999993E-2</v>
      </c>
      <c r="AA4598">
        <v>0.99216680000000002</v>
      </c>
      <c r="AB4598">
        <v>31</v>
      </c>
      <c r="AC4598">
        <v>1.0843999999999501</v>
      </c>
      <c r="AD4598">
        <v>-1.1105389653953901</v>
      </c>
      <c r="AE4598">
        <v>-12.85632</v>
      </c>
      <c r="AF4598">
        <v>-1.2426744041016</v>
      </c>
      <c r="AG4598">
        <v>-1.1105389653953901</v>
      </c>
      <c r="AH4598">
        <v>12.7466543828375</v>
      </c>
      <c r="AI4598">
        <v>94.955884232968003</v>
      </c>
      <c r="AJ4598">
        <v>95.568183177162993</v>
      </c>
      <c r="AK4598">
        <v>12.8551442786062</v>
      </c>
      <c r="AL4598">
        <v>78.950539748602594</v>
      </c>
      <c r="AM4598">
        <v>97.267613675306194</v>
      </c>
      <c r="AN4598">
        <v>0.99999995729576896</v>
      </c>
    </row>
    <row r="4599" spans="1:40" x14ac:dyDescent="0.25">
      <c r="A4599" t="str">
        <f>"20190312164402026"</f>
        <v>20190312164402026</v>
      </c>
      <c r="B4599" t="str">
        <f>"1552380242020024"</f>
        <v>1552380242020024</v>
      </c>
      <c r="C4599" t="s">
        <v>40</v>
      </c>
      <c r="D4599">
        <v>5.3151840000000004</v>
      </c>
      <c r="E4599">
        <v>0.49023749999999999</v>
      </c>
      <c r="F4599" t="s">
        <v>42</v>
      </c>
      <c r="G4599">
        <v>-300.44940000000003</v>
      </c>
      <c r="H4599" s="1">
        <v>-9.0574999999999997E-7</v>
      </c>
      <c r="I4599">
        <v>-38.578299999999999</v>
      </c>
      <c r="J4599">
        <v>-301.53250000000003</v>
      </c>
      <c r="K4599">
        <v>1.1105339999999999</v>
      </c>
      <c r="L4599">
        <v>-26.071439999999999</v>
      </c>
      <c r="M4599">
        <v>-1.303268E-2</v>
      </c>
      <c r="N4599">
        <v>0</v>
      </c>
      <c r="O4599">
        <v>-0.99982210000000005</v>
      </c>
      <c r="P4599">
        <v>0.1173781</v>
      </c>
      <c r="Q4599">
        <v>0.17689270000000001</v>
      </c>
      <c r="R4599">
        <v>-0.97720600000000002</v>
      </c>
      <c r="S4599">
        <v>0.25570680000000001</v>
      </c>
      <c r="T4599">
        <v>-0.26375680000000001</v>
      </c>
      <c r="U4599">
        <v>-3.0875849999999998</v>
      </c>
      <c r="V4599">
        <v>-0.1300983</v>
      </c>
      <c r="W4599">
        <v>0.19017819999999999</v>
      </c>
      <c r="X4599">
        <v>0.97309129999999999</v>
      </c>
      <c r="Y4599">
        <v>-9.5220379999999993E-2</v>
      </c>
      <c r="Z4599">
        <v>8.4766599999999998E-2</v>
      </c>
      <c r="AA4599">
        <v>0.99184050000000001</v>
      </c>
      <c r="AB4599">
        <v>31</v>
      </c>
      <c r="AC4599">
        <v>1.0831</v>
      </c>
      <c r="AD4599">
        <v>-1.11053490574999</v>
      </c>
      <c r="AE4599">
        <v>-12.50686</v>
      </c>
      <c r="AF4599">
        <v>-1.23634578892697</v>
      </c>
      <c r="AG4599">
        <v>-1.11053490574999</v>
      </c>
      <c r="AH4599">
        <v>12.3946835790317</v>
      </c>
      <c r="AI4599">
        <v>95.0947489965355</v>
      </c>
      <c r="AJ4599">
        <v>95.696301279950802</v>
      </c>
      <c r="AK4599">
        <v>12.5055995342488</v>
      </c>
      <c r="AL4599">
        <v>79.036816037541698</v>
      </c>
      <c r="AM4599">
        <v>97.615052090279903</v>
      </c>
      <c r="AN4599">
        <v>0.99999999677690998</v>
      </c>
    </row>
    <row r="4600" spans="1:40" x14ac:dyDescent="0.25">
      <c r="A4600" t="str">
        <f>"20190312164402056"</f>
        <v>20190312164402056</v>
      </c>
      <c r="B4600" t="str">
        <f>"1552380242049304"</f>
        <v>1552380242049304</v>
      </c>
      <c r="C4600" t="s">
        <v>40</v>
      </c>
      <c r="D4600">
        <v>5.1219089999999996</v>
      </c>
      <c r="E4600">
        <v>0.42457159999999999</v>
      </c>
      <c r="F4600" t="s">
        <v>42</v>
      </c>
      <c r="G4600">
        <v>-299.2287</v>
      </c>
      <c r="H4600" s="1">
        <v>-2.9779509999999999E-7</v>
      </c>
      <c r="I4600">
        <v>-40.079900000000002</v>
      </c>
      <c r="J4600">
        <v>-301.53800000000001</v>
      </c>
      <c r="K4600">
        <v>1.1105160000000001</v>
      </c>
      <c r="L4600">
        <v>-26.489719999999998</v>
      </c>
      <c r="M4600">
        <v>-1.3032510000000001E-2</v>
      </c>
      <c r="N4600">
        <v>0</v>
      </c>
      <c r="O4600">
        <v>-0.9998224</v>
      </c>
      <c r="P4600">
        <v>0.1238882</v>
      </c>
      <c r="Q4600">
        <v>0.17655470000000001</v>
      </c>
      <c r="R4600">
        <v>-0.97646339999999998</v>
      </c>
      <c r="S4600">
        <v>0.50216669999999997</v>
      </c>
      <c r="T4600">
        <v>-0.2420667</v>
      </c>
      <c r="U4600">
        <v>-3.0534669999999999</v>
      </c>
      <c r="V4600">
        <v>-0.1365981</v>
      </c>
      <c r="W4600">
        <v>0.18982660000000001</v>
      </c>
      <c r="X4600">
        <v>0.97226889999999999</v>
      </c>
      <c r="Y4600">
        <v>-0.1746318</v>
      </c>
      <c r="Z4600">
        <v>7.7890810000000005E-2</v>
      </c>
      <c r="AA4600">
        <v>0.98154810000000003</v>
      </c>
      <c r="AB4600">
        <v>31</v>
      </c>
      <c r="AC4600">
        <v>2.3092999999999999</v>
      </c>
      <c r="AD4600">
        <v>-1.1105162977951</v>
      </c>
      <c r="AE4600">
        <v>-13.590179999999901</v>
      </c>
      <c r="AF4600">
        <v>-2.47020307282888</v>
      </c>
      <c r="AG4600">
        <v>-1.1105162977951</v>
      </c>
      <c r="AH4600">
        <v>13.4714983427983</v>
      </c>
      <c r="AI4600">
        <v>94.635553434258199</v>
      </c>
      <c r="AJ4600">
        <v>100.390620493131</v>
      </c>
      <c r="AK4600">
        <v>13.7410486233293</v>
      </c>
      <c r="AL4600">
        <v>79.057335011548901</v>
      </c>
      <c r="AM4600">
        <v>97.997377379218094</v>
      </c>
      <c r="AN4600">
        <v>0.99999999644919002</v>
      </c>
    </row>
    <row r="4601" spans="1:40" x14ac:dyDescent="0.25">
      <c r="A4601" t="str">
        <f>"20190312164402089"</f>
        <v>20190312164402089</v>
      </c>
      <c r="B4601" t="str">
        <f>"1552380242079560"</f>
        <v>1552380242079560</v>
      </c>
      <c r="C4601" t="s">
        <v>40</v>
      </c>
      <c r="D4601">
        <v>5.1102299999999996</v>
      </c>
      <c r="E4601">
        <v>0.42065449999999999</v>
      </c>
      <c r="F4601" t="s">
        <v>50</v>
      </c>
      <c r="G4601">
        <v>-295.4554</v>
      </c>
      <c r="H4601" s="1">
        <v>-3.3654899999999999E-6</v>
      </c>
      <c r="I4601">
        <v>-43.903829999999999</v>
      </c>
      <c r="J4601">
        <v>-301.54379999999998</v>
      </c>
      <c r="K4601">
        <v>1.110525</v>
      </c>
      <c r="L4601">
        <v>-26.935120000000001</v>
      </c>
      <c r="M4601">
        <v>-1.3032409999999999E-2</v>
      </c>
      <c r="N4601">
        <v>0</v>
      </c>
      <c r="O4601">
        <v>-0.9998224</v>
      </c>
      <c r="P4601">
        <v>0.1272954</v>
      </c>
      <c r="Q4601">
        <v>0.17779130000000001</v>
      </c>
      <c r="R4601">
        <v>-0.97580029999999995</v>
      </c>
      <c r="S4601">
        <v>1.0390629999999901</v>
      </c>
      <c r="T4601">
        <v>-0.18970609999999999</v>
      </c>
      <c r="U4601">
        <v>-2.9747919999999999</v>
      </c>
      <c r="V4601">
        <v>-0.13999589999999901</v>
      </c>
      <c r="W4601">
        <v>0.1910511</v>
      </c>
      <c r="X4601">
        <v>0.97154549999999995</v>
      </c>
      <c r="Y4601">
        <v>-0.34143519999999999</v>
      </c>
      <c r="Z4601">
        <v>5.9952409999999998E-2</v>
      </c>
      <c r="AA4601">
        <v>0.93799129999999997</v>
      </c>
      <c r="AB4601">
        <v>31</v>
      </c>
      <c r="AC4601">
        <v>6.0883999999999698</v>
      </c>
      <c r="AD4601">
        <v>-1.11052836549</v>
      </c>
      <c r="AE4601">
        <v>-16.968709999999898</v>
      </c>
      <c r="AF4601">
        <v>-6.2851965917993597</v>
      </c>
      <c r="AG4601">
        <v>-1.11052836549</v>
      </c>
      <c r="AH4601">
        <v>16.824073812203402</v>
      </c>
      <c r="AI4601">
        <v>93.538335837825201</v>
      </c>
      <c r="AJ4601">
        <v>110.48485923115</v>
      </c>
      <c r="AK4601">
        <v>17.9940664966703</v>
      </c>
      <c r="AL4601">
        <v>78.985868644205894</v>
      </c>
      <c r="AM4601">
        <v>98.199656517983797</v>
      </c>
      <c r="AN4601">
        <v>1.0000000166991301</v>
      </c>
    </row>
    <row r="4602" spans="1:40" x14ac:dyDescent="0.25">
      <c r="A4602" t="str">
        <f>"20190312164402123"</f>
        <v>20190312164402123</v>
      </c>
      <c r="B4602" t="str">
        <f>"1552380242119576"</f>
        <v>1552380242119576</v>
      </c>
      <c r="C4602" t="s">
        <v>40</v>
      </c>
      <c r="D4602">
        <v>5.0341170000000002</v>
      </c>
      <c r="E4602">
        <v>0.4197728</v>
      </c>
      <c r="F4602" t="s">
        <v>50</v>
      </c>
      <c r="G4602">
        <v>-296.54829999999998</v>
      </c>
      <c r="H4602" s="1">
        <v>-1.068669E-6</v>
      </c>
      <c r="I4602">
        <v>-40.640250000000002</v>
      </c>
      <c r="J4602">
        <v>-301.54969999999997</v>
      </c>
      <c r="K4602">
        <v>1.110527</v>
      </c>
      <c r="L4602">
        <v>-27.39481</v>
      </c>
      <c r="M4602">
        <v>-1.303229E-2</v>
      </c>
      <c r="N4602">
        <v>0</v>
      </c>
      <c r="O4602">
        <v>-0.99982260000000001</v>
      </c>
      <c r="P4602">
        <v>0.13266339999999999</v>
      </c>
      <c r="Q4602">
        <v>0.17903129999999901</v>
      </c>
      <c r="R4602">
        <v>-0.97485820000000001</v>
      </c>
      <c r="S4602">
        <v>1.0850219999999999</v>
      </c>
      <c r="T4602">
        <v>-0.2412106</v>
      </c>
      <c r="U4602">
        <v>-2.976807</v>
      </c>
      <c r="V4602">
        <v>-0.145350799999999</v>
      </c>
      <c r="W4602">
        <v>0.192275</v>
      </c>
      <c r="X4602">
        <v>0.97051710000000002</v>
      </c>
      <c r="Y4602">
        <v>-0.35368480000000002</v>
      </c>
      <c r="Z4602">
        <v>7.5723310000000002E-2</v>
      </c>
      <c r="AA4602">
        <v>0.93229450000000003</v>
      </c>
      <c r="AB4602">
        <v>31</v>
      </c>
      <c r="AC4602">
        <v>5.0013999999999896</v>
      </c>
      <c r="AD4602">
        <v>-1.110528068669</v>
      </c>
      <c r="AE4602">
        <v>-13.24544</v>
      </c>
      <c r="AF4602">
        <v>-5.1419743593791898</v>
      </c>
      <c r="AG4602">
        <v>-1.110528068669</v>
      </c>
      <c r="AH4602">
        <v>13.098542457714199</v>
      </c>
      <c r="AI4602">
        <v>94.512399246079397</v>
      </c>
      <c r="AJ4602">
        <v>111.433025997496</v>
      </c>
      <c r="AK4602">
        <v>14.1154166576958</v>
      </c>
      <c r="AL4602">
        <v>78.914419384923804</v>
      </c>
      <c r="AM4602">
        <v>98.517672373007201</v>
      </c>
      <c r="AN4602">
        <v>0.99999998603902496</v>
      </c>
    </row>
    <row r="4603" spans="1:40" x14ac:dyDescent="0.25">
      <c r="A4603" t="str">
        <f>"20190312164402152"</f>
        <v>20190312164402152</v>
      </c>
      <c r="B4603" t="str">
        <f>"1552380242149832"</f>
        <v>1552380242149832</v>
      </c>
      <c r="C4603" t="s">
        <v>40</v>
      </c>
      <c r="D4603">
        <v>5.051596</v>
      </c>
      <c r="E4603">
        <v>0.4195526</v>
      </c>
      <c r="F4603" t="s">
        <v>42</v>
      </c>
      <c r="G4603">
        <v>-296.88420000000002</v>
      </c>
      <c r="H4603" s="1">
        <v>-9.8979690000000001E-7</v>
      </c>
      <c r="I4603">
        <v>-39.879489999999997</v>
      </c>
      <c r="J4603">
        <v>-301.55500000000001</v>
      </c>
      <c r="K4603">
        <v>1.11053</v>
      </c>
      <c r="L4603">
        <v>-27.79984</v>
      </c>
      <c r="M4603">
        <v>-1.3032149999999999E-2</v>
      </c>
      <c r="N4603">
        <v>0</v>
      </c>
      <c r="O4603">
        <v>-0.99982260000000001</v>
      </c>
      <c r="P4603">
        <v>0.1363771</v>
      </c>
      <c r="Q4603">
        <v>0.1791372</v>
      </c>
      <c r="R4603">
        <v>-0.97432649999999998</v>
      </c>
      <c r="S4603">
        <v>1.1116330000000001</v>
      </c>
      <c r="T4603">
        <v>-0.26460329999999999</v>
      </c>
      <c r="U4603">
        <v>-2.974701</v>
      </c>
      <c r="V4603">
        <v>-0.14905750000000001</v>
      </c>
      <c r="W4603">
        <v>0.19237090000000001</v>
      </c>
      <c r="X4603">
        <v>0.96993569999999996</v>
      </c>
      <c r="Y4603">
        <v>-0.36102679999999998</v>
      </c>
      <c r="Z4603">
        <v>8.2825949999999995E-2</v>
      </c>
      <c r="AA4603">
        <v>0.92886999999999997</v>
      </c>
      <c r="AB4603">
        <v>30</v>
      </c>
      <c r="AC4603">
        <v>4.6707999999999803</v>
      </c>
      <c r="AD4603">
        <v>-1.11053098979689</v>
      </c>
      <c r="AE4603">
        <v>-12.079650000000001</v>
      </c>
      <c r="AF4603">
        <v>-4.7926036656510203</v>
      </c>
      <c r="AG4603">
        <v>-1.11053098979689</v>
      </c>
      <c r="AH4603">
        <v>11.9300313403118</v>
      </c>
      <c r="AI4603">
        <v>94.936819238148601</v>
      </c>
      <c r="AJ4603">
        <v>111.886610450059</v>
      </c>
      <c r="AK4603">
        <v>12.9045719323088</v>
      </c>
      <c r="AL4603">
        <v>78.908820144541295</v>
      </c>
      <c r="AM4603">
        <v>98.736734210053399</v>
      </c>
      <c r="AN4603">
        <v>0.99999998180377403</v>
      </c>
    </row>
    <row r="4604" spans="1:40" x14ac:dyDescent="0.25">
      <c r="A4604" t="str">
        <f>"20190312164402190"</f>
        <v>20190312164402190</v>
      </c>
      <c r="B4604" t="str">
        <f>"1552380242179115"</f>
        <v>1552380242179115</v>
      </c>
      <c r="C4604" t="s">
        <v>40</v>
      </c>
      <c r="D4604">
        <v>5.085496</v>
      </c>
      <c r="E4604">
        <v>0.41949320000000001</v>
      </c>
      <c r="F4604" t="s">
        <v>42</v>
      </c>
      <c r="G4604">
        <v>-297.07870000000003</v>
      </c>
      <c r="H4604" s="1">
        <v>-1.0251139999999999E-6</v>
      </c>
      <c r="I4604">
        <v>-39.62368</v>
      </c>
      <c r="J4604">
        <v>-301.5616</v>
      </c>
      <c r="K4604">
        <v>1.110517</v>
      </c>
      <c r="L4604">
        <v>-28.308109999999999</v>
      </c>
      <c r="M4604">
        <v>-1.303198E-2</v>
      </c>
      <c r="N4604">
        <v>0</v>
      </c>
      <c r="O4604">
        <v>-0.9998224</v>
      </c>
      <c r="P4604">
        <v>0.1424204</v>
      </c>
      <c r="Q4604">
        <v>0.1780361</v>
      </c>
      <c r="R4604">
        <v>-0.9736629</v>
      </c>
      <c r="S4604">
        <v>1.1254879999999901</v>
      </c>
      <c r="T4604">
        <v>-0.27922079999999999</v>
      </c>
      <c r="U4604">
        <v>-2.9728699999999999</v>
      </c>
      <c r="V4604">
        <v>-0.15509129999999999</v>
      </c>
      <c r="W4604">
        <v>0.1912576</v>
      </c>
      <c r="X4604">
        <v>0.9692096</v>
      </c>
      <c r="Y4604">
        <v>-0.36486829999999998</v>
      </c>
      <c r="Z4604">
        <v>8.7278549999999996E-2</v>
      </c>
      <c r="AA4604">
        <v>0.92695930000000004</v>
      </c>
      <c r="AB4604">
        <v>30</v>
      </c>
      <c r="AC4604">
        <v>4.4828999999999697</v>
      </c>
      <c r="AD4604">
        <v>-1.1105180251140001</v>
      </c>
      <c r="AE4604">
        <v>-11.315569999999999</v>
      </c>
      <c r="AF4604">
        <v>-4.5917707883486996</v>
      </c>
      <c r="AG4604">
        <v>-1.1105180251140001</v>
      </c>
      <c r="AH4604">
        <v>11.163248599199999</v>
      </c>
      <c r="AI4604">
        <v>95.256466879426398</v>
      </c>
      <c r="AJ4604">
        <v>112.35879948074199</v>
      </c>
      <c r="AK4604">
        <v>12.121704853046699</v>
      </c>
      <c r="AL4604">
        <v>78.973814771719802</v>
      </c>
      <c r="AM4604">
        <v>99.091300841788197</v>
      </c>
      <c r="AN4604">
        <v>1.0000000148128001</v>
      </c>
    </row>
    <row r="4605" spans="1:40" x14ac:dyDescent="0.25">
      <c r="A4605" t="str">
        <f>"20190312164402236"</f>
        <v>20190312164402236</v>
      </c>
      <c r="B4605" t="str">
        <f>"1552380242229863"</f>
        <v>1552380242229863</v>
      </c>
      <c r="C4605" t="s">
        <v>40</v>
      </c>
      <c r="D4605">
        <v>5.2317030000000004</v>
      </c>
      <c r="E4605">
        <v>0.41898760000000002</v>
      </c>
      <c r="F4605" t="s">
        <v>42</v>
      </c>
      <c r="G4605">
        <v>-297.25130000000001</v>
      </c>
      <c r="H4605" s="1">
        <v>-1.033127E-6</v>
      </c>
      <c r="I4605">
        <v>-39.465130000000002</v>
      </c>
      <c r="J4605">
        <v>-301.56970000000001</v>
      </c>
      <c r="K4605">
        <v>1.110509</v>
      </c>
      <c r="L4605">
        <v>-28.923649999999999</v>
      </c>
      <c r="M4605">
        <v>-1.303175E-2</v>
      </c>
      <c r="N4605">
        <v>0</v>
      </c>
      <c r="O4605">
        <v>-0.99982260000000001</v>
      </c>
      <c r="P4605">
        <v>0.14768329999999999</v>
      </c>
      <c r="Q4605">
        <v>0.1747311</v>
      </c>
      <c r="R4605">
        <v>-0.97347819999999996</v>
      </c>
      <c r="S4605">
        <v>1.146423</v>
      </c>
      <c r="T4605">
        <v>-0.29536800000000002</v>
      </c>
      <c r="U4605">
        <v>-2.9674680000000002</v>
      </c>
      <c r="V4605">
        <v>-0.1603511</v>
      </c>
      <c r="W4605">
        <v>0.1879461</v>
      </c>
      <c r="X4605">
        <v>0.96900149999999996</v>
      </c>
      <c r="Y4605">
        <v>-0.3709615</v>
      </c>
      <c r="Z4605">
        <v>9.2209639999999995E-2</v>
      </c>
      <c r="AA4605">
        <v>0.92405890000000002</v>
      </c>
      <c r="AB4605">
        <v>30</v>
      </c>
      <c r="AC4605">
        <v>4.3183999999999898</v>
      </c>
      <c r="AD4605">
        <v>-1.1105100331269999</v>
      </c>
      <c r="AE4605">
        <v>-10.54148</v>
      </c>
      <c r="AF4605">
        <v>-4.4134780678349701</v>
      </c>
      <c r="AG4605">
        <v>-1.1105100331269999</v>
      </c>
      <c r="AH4605">
        <v>10.385607532938399</v>
      </c>
      <c r="AI4605">
        <v>95.620399461515504</v>
      </c>
      <c r="AJ4605">
        <v>113.023598866572</v>
      </c>
      <c r="AK4605">
        <v>11.338997531403001</v>
      </c>
      <c r="AL4605">
        <v>79.167055504841898</v>
      </c>
      <c r="AM4605">
        <v>99.396198223504499</v>
      </c>
      <c r="AN4605">
        <v>1.0000000593893299</v>
      </c>
    </row>
    <row r="4606" spans="1:40" x14ac:dyDescent="0.25">
      <c r="A4606" t="str">
        <f>"20190312164402279"</f>
        <v>20190312164402279</v>
      </c>
      <c r="B4606" t="str">
        <f>"1552380242269880"</f>
        <v>1552380242269880</v>
      </c>
      <c r="C4606" t="s">
        <v>40</v>
      </c>
      <c r="D4606">
        <v>5.1080449999999997</v>
      </c>
      <c r="E4606">
        <v>0.41705950000000003</v>
      </c>
      <c r="F4606" t="s">
        <v>42</v>
      </c>
      <c r="G4606">
        <v>-297.387</v>
      </c>
      <c r="H4606" s="1">
        <v>-9.7970680000000001E-7</v>
      </c>
      <c r="I4606">
        <v>-39.516080000000002</v>
      </c>
      <c r="J4606">
        <v>-301.57740000000001</v>
      </c>
      <c r="K4606">
        <v>1.1104909999999999</v>
      </c>
      <c r="L4606">
        <v>-29.514309999999998</v>
      </c>
      <c r="M4606">
        <v>-1.3031559999999999E-2</v>
      </c>
      <c r="N4606">
        <v>0</v>
      </c>
      <c r="O4606">
        <v>-0.99982260000000001</v>
      </c>
      <c r="P4606">
        <v>0.15146389999999901</v>
      </c>
      <c r="Q4606">
        <v>0.1719957</v>
      </c>
      <c r="R4606">
        <v>-0.97338420000000003</v>
      </c>
      <c r="S4606">
        <v>1.168884</v>
      </c>
      <c r="T4606">
        <v>-0.3103379</v>
      </c>
      <c r="U4606">
        <v>-2.9601139999999999</v>
      </c>
      <c r="V4606">
        <v>-0.1641301</v>
      </c>
      <c r="W4606">
        <v>0.1852055</v>
      </c>
      <c r="X4606">
        <v>0.96889639999999999</v>
      </c>
      <c r="Y4606">
        <v>-0.37764399999999998</v>
      </c>
      <c r="Z4606">
        <v>9.6795439999999996E-2</v>
      </c>
      <c r="AA4606">
        <v>0.92087759999999996</v>
      </c>
      <c r="AB4606">
        <v>30</v>
      </c>
      <c r="AC4606">
        <v>4.1904000000000101</v>
      </c>
      <c r="AD4606">
        <v>-1.11049197970679</v>
      </c>
      <c r="AE4606">
        <v>-10.00177</v>
      </c>
      <c r="AF4606">
        <v>-4.27555795514147</v>
      </c>
      <c r="AG4606">
        <v>-1.11049197970679</v>
      </c>
      <c r="AH4606">
        <v>9.8430856864191707</v>
      </c>
      <c r="AI4606">
        <v>95.907878539028204</v>
      </c>
      <c r="AJ4606">
        <v>113.478762797512</v>
      </c>
      <c r="AK4606">
        <v>10.788879649665001</v>
      </c>
      <c r="AL4606">
        <v>79.326886277088605</v>
      </c>
      <c r="AM4606">
        <v>99.614575522055304</v>
      </c>
      <c r="AN4606">
        <v>1.0000000004446099</v>
      </c>
    </row>
    <row r="4607" spans="1:40" x14ac:dyDescent="0.25">
      <c r="A4607" t="str">
        <f>"20190312164402309"</f>
        <v>20190312164402309</v>
      </c>
      <c r="B4607" t="str">
        <f>"1552380242299161"</f>
        <v>1552380242299161</v>
      </c>
      <c r="C4607" t="s">
        <v>40</v>
      </c>
      <c r="D4607">
        <v>4.9928269999999904</v>
      </c>
      <c r="E4607">
        <v>0.4158425</v>
      </c>
      <c r="F4607" t="s">
        <v>42</v>
      </c>
      <c r="G4607">
        <v>-297.41669999999999</v>
      </c>
      <c r="H4607" s="1">
        <v>-8.7693759999999899E-7</v>
      </c>
      <c r="I4607">
        <v>-39.794809999999998</v>
      </c>
      <c r="J4607">
        <v>-301.58269999999999</v>
      </c>
      <c r="K4607">
        <v>1.110498</v>
      </c>
      <c r="L4607">
        <v>-29.922940000000001</v>
      </c>
      <c r="M4607">
        <v>-1.303138E-2</v>
      </c>
      <c r="N4607">
        <v>0</v>
      </c>
      <c r="O4607">
        <v>-0.99982260000000001</v>
      </c>
      <c r="P4607">
        <v>0.1531689</v>
      </c>
      <c r="Q4607">
        <v>0.1706068</v>
      </c>
      <c r="R4607">
        <v>-0.97336180000000005</v>
      </c>
      <c r="S4607">
        <v>1.1949160000000001</v>
      </c>
      <c r="T4607">
        <v>-0.31892199999999998</v>
      </c>
      <c r="U4607">
        <v>-2.9524539999999999</v>
      </c>
      <c r="V4607">
        <v>-0.16583439999999999</v>
      </c>
      <c r="W4607">
        <v>0.18381420000000001</v>
      </c>
      <c r="X4607">
        <v>0.96887120000000004</v>
      </c>
      <c r="Y4607">
        <v>-0.38534879999999999</v>
      </c>
      <c r="Z4607">
        <v>9.9362069999999997E-2</v>
      </c>
      <c r="AA4607">
        <v>0.91740580000000005</v>
      </c>
      <c r="AB4607">
        <v>30</v>
      </c>
      <c r="AC4607">
        <v>4.1659999999999897</v>
      </c>
      <c r="AD4607">
        <v>-1.1104988769376001</v>
      </c>
      <c r="AE4607">
        <v>-9.8718699999999906</v>
      </c>
      <c r="AF4607">
        <v>-4.2486657688837903</v>
      </c>
      <c r="AG4607">
        <v>-1.1104988769376001</v>
      </c>
      <c r="AH4607">
        <v>9.7124134143990801</v>
      </c>
      <c r="AI4607">
        <v>95.980136068400697</v>
      </c>
      <c r="AJ4607">
        <v>113.626827170712</v>
      </c>
      <c r="AK4607">
        <v>10.659049812415899</v>
      </c>
      <c r="AL4607">
        <v>79.407995063713699</v>
      </c>
      <c r="AM4607">
        <v>99.712767381531904</v>
      </c>
      <c r="AN4607">
        <v>1.0000000552672099</v>
      </c>
    </row>
    <row r="4608" spans="1:40" x14ac:dyDescent="0.25">
      <c r="A4608" t="str">
        <f>"20190312164402332"</f>
        <v>20190312164402332</v>
      </c>
      <c r="B4608" t="str">
        <f>"1552380242329417"</f>
        <v>1552380242329417</v>
      </c>
      <c r="C4608" t="s">
        <v>40</v>
      </c>
      <c r="D4608">
        <v>5.0501519999999998</v>
      </c>
      <c r="E4608">
        <v>0.41487550000000001</v>
      </c>
      <c r="F4608" t="s">
        <v>42</v>
      </c>
      <c r="G4608">
        <v>-297.45530000000002</v>
      </c>
      <c r="H4608" s="1">
        <v>-8.0102869999999996E-7</v>
      </c>
      <c r="I4608">
        <v>-39.987729999999999</v>
      </c>
      <c r="J4608">
        <v>-301.58679999999998</v>
      </c>
      <c r="K4608">
        <v>1.1104830000000001</v>
      </c>
      <c r="L4608">
        <v>-30.23395</v>
      </c>
      <c r="M4608">
        <v>-1.3031249999999999E-2</v>
      </c>
      <c r="N4608">
        <v>0</v>
      </c>
      <c r="O4608">
        <v>-0.99982260000000001</v>
      </c>
      <c r="P4608">
        <v>0.15363750000000001</v>
      </c>
      <c r="Q4608">
        <v>0.16835349999999999</v>
      </c>
      <c r="R4608">
        <v>-0.97367990000000004</v>
      </c>
      <c r="S4608">
        <v>1.20929</v>
      </c>
      <c r="T4608">
        <v>-0.32536159999999997</v>
      </c>
      <c r="U4608">
        <v>-2.9488530000000002</v>
      </c>
      <c r="V4608">
        <v>-0.16630699999999901</v>
      </c>
      <c r="W4608">
        <v>0.18156430000000001</v>
      </c>
      <c r="X4608">
        <v>0.96921429999999997</v>
      </c>
      <c r="Y4608">
        <v>-0.38949509999999998</v>
      </c>
      <c r="Z4608">
        <v>0.10127899999999999</v>
      </c>
      <c r="AA4608">
        <v>0.91544309999999995</v>
      </c>
      <c r="AB4608">
        <v>30</v>
      </c>
      <c r="AC4608">
        <v>4.13149999999996</v>
      </c>
      <c r="AD4608">
        <v>-1.1104838010286999</v>
      </c>
      <c r="AE4608">
        <v>-9.7537800000000008</v>
      </c>
      <c r="AF4608">
        <v>-4.2119738983253301</v>
      </c>
      <c r="AG4608">
        <v>-1.1104838010286999</v>
      </c>
      <c r="AH4608">
        <v>9.5936705737173096</v>
      </c>
      <c r="AI4608">
        <v>96.050014819633006</v>
      </c>
      <c r="AJ4608">
        <v>113.703239418981</v>
      </c>
      <c r="AK4608">
        <v>10.536242853575899</v>
      </c>
      <c r="AL4608">
        <v>79.539110728465204</v>
      </c>
      <c r="AM4608">
        <v>99.736535769303103</v>
      </c>
      <c r="AN4608">
        <v>0.99999998630399001</v>
      </c>
    </row>
    <row r="4609" spans="1:40" x14ac:dyDescent="0.25">
      <c r="A4609" t="str">
        <f>"20190312164402369"</f>
        <v>20190312164402369</v>
      </c>
      <c r="B4609" t="str">
        <f>"1552380242359672"</f>
        <v>1552380242359672</v>
      </c>
      <c r="C4609" t="s">
        <v>40</v>
      </c>
      <c r="D4609">
        <v>5.0493670000000002</v>
      </c>
      <c r="E4609">
        <v>0.41494510000000001</v>
      </c>
      <c r="F4609" t="s">
        <v>42</v>
      </c>
      <c r="G4609">
        <v>-297.49970000000002</v>
      </c>
      <c r="H4609" s="1">
        <v>-7.466538E-7</v>
      </c>
      <c r="I4609">
        <v>-40.112749999999998</v>
      </c>
      <c r="J4609">
        <v>-301.5933</v>
      </c>
      <c r="K4609">
        <v>1.110473</v>
      </c>
      <c r="L4609">
        <v>-30.727720000000001</v>
      </c>
      <c r="M4609">
        <v>-1.299613E-2</v>
      </c>
      <c r="N4609">
        <v>0</v>
      </c>
      <c r="O4609">
        <v>-0.99982329999999997</v>
      </c>
      <c r="P4609">
        <v>0.15334449999999999</v>
      </c>
      <c r="Q4609">
        <v>0.1622651</v>
      </c>
      <c r="R4609">
        <v>-0.97475970000000001</v>
      </c>
      <c r="S4609">
        <v>1.218842</v>
      </c>
      <c r="T4609">
        <v>-0.3311673</v>
      </c>
      <c r="U4609">
        <v>-2.9460449999999998</v>
      </c>
      <c r="V4609">
        <v>-0.166000799999999</v>
      </c>
      <c r="W4609">
        <v>0.17548279999999999</v>
      </c>
      <c r="X4609">
        <v>0.97038630000000003</v>
      </c>
      <c r="Y4609">
        <v>-0.39223550000000001</v>
      </c>
      <c r="Z4609">
        <v>0.103032399999999</v>
      </c>
      <c r="AA4609">
        <v>0.91407640000000001</v>
      </c>
      <c r="AB4609">
        <v>30</v>
      </c>
      <c r="AC4609">
        <v>4.0935999999999799</v>
      </c>
      <c r="AD4609">
        <v>-1.1104737466537999</v>
      </c>
      <c r="AE4609">
        <v>-9.3850299999999898</v>
      </c>
      <c r="AF4609">
        <v>-4.1662287027735401</v>
      </c>
      <c r="AG4609">
        <v>-1.1104737466537999</v>
      </c>
      <c r="AH4609">
        <v>9.2225498833547803</v>
      </c>
      <c r="AI4609">
        <v>96.262093374157402</v>
      </c>
      <c r="AJ4609">
        <v>114.31077299379599</v>
      </c>
      <c r="AK4609">
        <v>10.180669913949099</v>
      </c>
      <c r="AL4609">
        <v>79.893244954365301</v>
      </c>
      <c r="AM4609">
        <v>99.7074365833396</v>
      </c>
      <c r="AN4609">
        <v>1.00000002496208</v>
      </c>
    </row>
    <row r="4610" spans="1:40" x14ac:dyDescent="0.25">
      <c r="A4610" t="str">
        <f>"20190312164402414"</f>
        <v>20190312164402414</v>
      </c>
      <c r="B4610" t="str">
        <f>"1552380242409448"</f>
        <v>1552380242409448</v>
      </c>
      <c r="C4610" t="s">
        <v>40</v>
      </c>
      <c r="D4610">
        <v>4.878431</v>
      </c>
      <c r="E4610">
        <v>0.51708659999999995</v>
      </c>
      <c r="F4610" t="s">
        <v>42</v>
      </c>
      <c r="G4610">
        <v>-297.73750000000001</v>
      </c>
      <c r="H4610" s="1">
        <v>-7.0442049999999896E-7</v>
      </c>
      <c r="I4610">
        <v>-40.05095</v>
      </c>
      <c r="J4610">
        <v>-301.60090000000002</v>
      </c>
      <c r="K4610">
        <v>1.110533</v>
      </c>
      <c r="L4610">
        <v>-31.334009999999999</v>
      </c>
      <c r="M4610">
        <v>-1.277989E-2</v>
      </c>
      <c r="N4610">
        <v>0</v>
      </c>
      <c r="O4610">
        <v>-0.99982599999999999</v>
      </c>
      <c r="P4610">
        <v>0.1538649</v>
      </c>
      <c r="Q4610">
        <v>0.16043959999999999</v>
      </c>
      <c r="R4610">
        <v>-0.9749797</v>
      </c>
      <c r="S4610">
        <v>1.217743</v>
      </c>
      <c r="T4610">
        <v>-0.350713</v>
      </c>
      <c r="U4610">
        <v>-2.9444889999999999</v>
      </c>
      <c r="V4610">
        <v>-0.16634560000000001</v>
      </c>
      <c r="W4610">
        <v>0.17362729999999901</v>
      </c>
      <c r="X4610">
        <v>0.970661</v>
      </c>
      <c r="Y4610">
        <v>-0.39166810000000002</v>
      </c>
      <c r="Z4610">
        <v>0.1091111</v>
      </c>
      <c r="AA4610">
        <v>0.91361420000000004</v>
      </c>
      <c r="AB4610">
        <v>30</v>
      </c>
      <c r="AC4610">
        <v>3.8634000000000102</v>
      </c>
      <c r="AD4610">
        <v>-1.1105337044204999</v>
      </c>
      <c r="AE4610">
        <v>-8.7169399999999992</v>
      </c>
      <c r="AF4610">
        <v>-3.9213004179306701</v>
      </c>
      <c r="AG4610">
        <v>-1.1105337044204999</v>
      </c>
      <c r="AH4610">
        <v>8.5508499208325706</v>
      </c>
      <c r="AI4610">
        <v>96.732757062916704</v>
      </c>
      <c r="AJ4610">
        <v>114.635529168894</v>
      </c>
      <c r="AK4610">
        <v>9.4724292789610995</v>
      </c>
      <c r="AL4610">
        <v>80.001215031407199</v>
      </c>
      <c r="AM4610">
        <v>99.724514799478897</v>
      </c>
      <c r="AN4610">
        <v>1.00000003743282</v>
      </c>
    </row>
    <row r="4611" spans="1:40" x14ac:dyDescent="0.25">
      <c r="A4611" t="str">
        <f>"20190312164402458"</f>
        <v>20190312164402458</v>
      </c>
      <c r="B4611" t="str">
        <f>"1552380242449464"</f>
        <v>1552380242449464</v>
      </c>
      <c r="C4611" t="s">
        <v>40</v>
      </c>
      <c r="D4611">
        <v>4.8858670000000002</v>
      </c>
      <c r="E4611">
        <v>0.51753090000000002</v>
      </c>
      <c r="F4611" t="s">
        <v>50</v>
      </c>
      <c r="G4611">
        <v>-300.14249999999998</v>
      </c>
      <c r="H4611" s="1">
        <v>-1.2245249999999999E-6</v>
      </c>
      <c r="I4611">
        <v>-42.27216</v>
      </c>
      <c r="J4611">
        <v>-301.6078</v>
      </c>
      <c r="K4611">
        <v>1.1106910000000001</v>
      </c>
      <c r="L4611">
        <v>-31.92502</v>
      </c>
      <c r="M4611">
        <v>-1.216591E-2</v>
      </c>
      <c r="N4611">
        <v>0</v>
      </c>
      <c r="O4611">
        <v>-0.99983359999999999</v>
      </c>
      <c r="P4611">
        <v>0.15531349999999999</v>
      </c>
      <c r="Q4611">
        <v>0.1588282</v>
      </c>
      <c r="R4611">
        <v>-0.97501340000000003</v>
      </c>
      <c r="S4611">
        <v>0.4084778</v>
      </c>
      <c r="T4611">
        <v>-0.31105519999999998</v>
      </c>
      <c r="U4611">
        <v>-3.0637210000000001</v>
      </c>
      <c r="V4611">
        <v>-0.1672661</v>
      </c>
      <c r="W4611">
        <v>0.1719473</v>
      </c>
      <c r="X4611">
        <v>0.97080180000000005</v>
      </c>
      <c r="Y4611">
        <v>-0.14354520000000001</v>
      </c>
      <c r="Z4611">
        <v>0.1000368</v>
      </c>
      <c r="AA4611">
        <v>0.98457470000000002</v>
      </c>
      <c r="AB4611">
        <v>30</v>
      </c>
      <c r="AC4611">
        <v>1.46530000000001</v>
      </c>
      <c r="AD4611">
        <v>-1.1106922245249999</v>
      </c>
      <c r="AE4611">
        <v>-10.34714</v>
      </c>
      <c r="AF4611">
        <v>-1.5733134445510499</v>
      </c>
      <c r="AG4611">
        <v>-1.1106922245249999</v>
      </c>
      <c r="AH4611">
        <v>10.2131780139715</v>
      </c>
      <c r="AI4611">
        <v>96.134773353122</v>
      </c>
      <c r="AJ4611">
        <v>98.757425467743701</v>
      </c>
      <c r="AK4611">
        <v>10.3931687928897</v>
      </c>
      <c r="AL4611">
        <v>80.098941254230695</v>
      </c>
      <c r="AM4611">
        <v>99.775900438149904</v>
      </c>
      <c r="AN4611">
        <v>0.99999997853486899</v>
      </c>
    </row>
    <row r="4612" spans="1:40" x14ac:dyDescent="0.25">
      <c r="A4612" t="str">
        <f>"20190312164402503"</f>
        <v>20190312164402503</v>
      </c>
      <c r="B4612" t="str">
        <f>"1552380242499241"</f>
        <v>1552380242499241</v>
      </c>
      <c r="C4612" t="s">
        <v>40</v>
      </c>
      <c r="D4612">
        <v>4.8442290000000003</v>
      </c>
      <c r="E4612">
        <v>0.5173934</v>
      </c>
      <c r="F4612" t="s">
        <v>50</v>
      </c>
      <c r="G4612">
        <v>-300.1422</v>
      </c>
      <c r="H4612" s="1">
        <v>-1.6134019999999999E-6</v>
      </c>
      <c r="I4612">
        <v>-42.884039999999999</v>
      </c>
      <c r="J4612">
        <v>-301.61360000000002</v>
      </c>
      <c r="K4612">
        <v>1.1109960000000001</v>
      </c>
      <c r="L4612">
        <v>-32.52261</v>
      </c>
      <c r="M4612">
        <v>-1.075681E-2</v>
      </c>
      <c r="N4612">
        <v>0</v>
      </c>
      <c r="O4612">
        <v>-0.99984989999999996</v>
      </c>
      <c r="P4612">
        <v>0.15877179999999999</v>
      </c>
      <c r="Q4612">
        <v>0.15811449999999999</v>
      </c>
      <c r="R4612">
        <v>-0.97457249999999995</v>
      </c>
      <c r="S4612">
        <v>0.40954590000000002</v>
      </c>
      <c r="T4612">
        <v>-0.31035239999999997</v>
      </c>
      <c r="U4612">
        <v>-3.062195</v>
      </c>
      <c r="V4612">
        <v>-0.16948079999999999</v>
      </c>
      <c r="W4612">
        <v>0.171098</v>
      </c>
      <c r="X4612">
        <v>0.97056779999999998</v>
      </c>
      <c r="Y4612">
        <v>-0.1425544</v>
      </c>
      <c r="Z4612">
        <v>9.9869180000000002E-2</v>
      </c>
      <c r="AA4612">
        <v>0.98473569999999999</v>
      </c>
      <c r="AB4612">
        <v>30</v>
      </c>
      <c r="AC4612">
        <v>1.47140000000001</v>
      </c>
      <c r="AD4612">
        <v>-1.1109976134020001</v>
      </c>
      <c r="AE4612">
        <v>-10.36143</v>
      </c>
      <c r="AF4612">
        <v>-1.5651422399253201</v>
      </c>
      <c r="AG4612">
        <v>-1.1109976134020001</v>
      </c>
      <c r="AH4612">
        <v>10.229714613428801</v>
      </c>
      <c r="AI4612">
        <v>96.127558626673206</v>
      </c>
      <c r="AJ4612">
        <v>98.698773738485201</v>
      </c>
      <c r="AK4612">
        <v>10.4082201648688</v>
      </c>
      <c r="AL4612">
        <v>80.148335380973094</v>
      </c>
      <c r="AM4612">
        <v>99.905133079885303</v>
      </c>
      <c r="AN4612">
        <v>1.0000000607847299</v>
      </c>
    </row>
    <row r="4613" spans="1:40" x14ac:dyDescent="0.25">
      <c r="A4613" t="str">
        <f>"20190312164402531"</f>
        <v>20190312164402531</v>
      </c>
      <c r="B4613" t="str">
        <f>"1552380242519737"</f>
        <v>1552380242519737</v>
      </c>
      <c r="C4613" t="s">
        <v>40</v>
      </c>
      <c r="D4613">
        <v>4.8504849999999999</v>
      </c>
      <c r="E4613">
        <v>0.51721220000000001</v>
      </c>
      <c r="F4613" t="s">
        <v>50</v>
      </c>
      <c r="G4613">
        <v>-300.09570000000002</v>
      </c>
      <c r="H4613" s="1">
        <v>-2.018223E-6</v>
      </c>
      <c r="I4613">
        <v>-43.531089999999999</v>
      </c>
      <c r="J4613">
        <v>-301.61619999999999</v>
      </c>
      <c r="K4613">
        <v>1.111262</v>
      </c>
      <c r="L4613">
        <v>-32.906979999999997</v>
      </c>
      <c r="M4613">
        <v>-9.2497039999999992E-3</v>
      </c>
      <c r="N4613">
        <v>0</v>
      </c>
      <c r="O4613">
        <v>-0.99986459999999999</v>
      </c>
      <c r="P4613">
        <v>0.1609168</v>
      </c>
      <c r="Q4613">
        <v>0.15831609999999999</v>
      </c>
      <c r="R4613">
        <v>-0.97418780000000005</v>
      </c>
      <c r="S4613">
        <v>0.421875</v>
      </c>
      <c r="T4613">
        <v>-0.30878749999999999</v>
      </c>
      <c r="U4613">
        <v>-3.0596619999999999</v>
      </c>
      <c r="V4613">
        <v>-0.170268</v>
      </c>
      <c r="W4613">
        <v>0.17118820000000001</v>
      </c>
      <c r="X4613">
        <v>0.970414</v>
      </c>
      <c r="Y4613">
        <v>-0.145071799999999</v>
      </c>
      <c r="Z4613">
        <v>9.9408769999999994E-2</v>
      </c>
      <c r="AA4613">
        <v>0.98441460000000003</v>
      </c>
      <c r="AB4613">
        <v>30</v>
      </c>
      <c r="AC4613">
        <v>1.52049999999997</v>
      </c>
      <c r="AD4613">
        <v>-1.111264018223</v>
      </c>
      <c r="AE4613">
        <v>-10.62411</v>
      </c>
      <c r="AF4613">
        <v>-1.60154343621396</v>
      </c>
      <c r="AG4613">
        <v>-1.111264018223</v>
      </c>
      <c r="AH4613">
        <v>10.4970488979504</v>
      </c>
      <c r="AI4613">
        <v>95.974448736544502</v>
      </c>
      <c r="AJ4613">
        <v>98.674767294504704</v>
      </c>
      <c r="AK4613">
        <v>10.6765108842842</v>
      </c>
      <c r="AL4613">
        <v>80.143088923062095</v>
      </c>
      <c r="AM4613">
        <v>99.9517682567772</v>
      </c>
      <c r="AN4613">
        <v>0.99999996151961901</v>
      </c>
    </row>
    <row r="4614" spans="1:40" x14ac:dyDescent="0.25">
      <c r="A4614" t="str">
        <f>"20190312164402555"</f>
        <v>20190312164402555</v>
      </c>
      <c r="B4614" t="str">
        <f>"1552380242549992"</f>
        <v>1552380242549992</v>
      </c>
      <c r="C4614" t="s">
        <v>40</v>
      </c>
      <c r="D4614">
        <v>4.9382720000000004</v>
      </c>
      <c r="E4614">
        <v>0.51710089999999997</v>
      </c>
      <c r="F4614" t="s">
        <v>50</v>
      </c>
      <c r="G4614">
        <v>-300.06259999999997</v>
      </c>
      <c r="H4614" s="1">
        <v>-2.291737E-6</v>
      </c>
      <c r="I4614">
        <v>-43.96866</v>
      </c>
      <c r="J4614">
        <v>-301.61759999999998</v>
      </c>
      <c r="K4614">
        <v>1.1115029999999999</v>
      </c>
      <c r="L4614">
        <v>-33.23715</v>
      </c>
      <c r="M4614">
        <v>-7.5913980000000001E-3</v>
      </c>
      <c r="N4614">
        <v>0</v>
      </c>
      <c r="O4614">
        <v>-0.99987879999999996</v>
      </c>
      <c r="P4614">
        <v>0.16239919999999999</v>
      </c>
      <c r="Q4614">
        <v>0.1591217</v>
      </c>
      <c r="R4614">
        <v>-0.97381070000000003</v>
      </c>
      <c r="S4614">
        <v>0.42956539999999999</v>
      </c>
      <c r="T4614">
        <v>-0.30725649999999999</v>
      </c>
      <c r="U4614">
        <v>-3.0584720000000001</v>
      </c>
      <c r="V4614">
        <v>-0.17023650000000001</v>
      </c>
      <c r="W4614">
        <v>0.17189470000000001</v>
      </c>
      <c r="X4614">
        <v>0.97029469999999995</v>
      </c>
      <c r="Y4614">
        <v>-0.14591750000000001</v>
      </c>
      <c r="Z4614">
        <v>9.8937559999999994E-2</v>
      </c>
      <c r="AA4614">
        <v>0.98433700000000002</v>
      </c>
      <c r="AB4614">
        <v>30</v>
      </c>
      <c r="AC4614">
        <v>1.5549999999999999</v>
      </c>
      <c r="AD4614">
        <v>-1.1115052917370001</v>
      </c>
      <c r="AE4614">
        <v>-10.73151</v>
      </c>
      <c r="AF4614">
        <v>-1.61941473981173</v>
      </c>
      <c r="AG4614">
        <v>-1.1115052917370001</v>
      </c>
      <c r="AH4614">
        <v>10.6079377627509</v>
      </c>
      <c r="AI4614">
        <v>95.913636166807294</v>
      </c>
      <c r="AJ4614">
        <v>98.6797969538502</v>
      </c>
      <c r="AK4614">
        <v>10.7882478508549</v>
      </c>
      <c r="AL4614">
        <v>80.102001071020595</v>
      </c>
      <c r="AM4614">
        <v>99.951162870151293</v>
      </c>
      <c r="AN4614">
        <v>1.0000000293342099</v>
      </c>
    </row>
    <row r="4615" spans="1:40" x14ac:dyDescent="0.25">
      <c r="A4615" t="str">
        <f>"20190312164402592"</f>
        <v>20190312164402592</v>
      </c>
      <c r="B4615" t="str">
        <f>"1552380242579276"</f>
        <v>1552380242579276</v>
      </c>
      <c r="C4615" t="s">
        <v>40</v>
      </c>
      <c r="D4615">
        <v>4.7852430000000004</v>
      </c>
      <c r="E4615">
        <v>0.51688080000000003</v>
      </c>
      <c r="F4615" t="s">
        <v>50</v>
      </c>
      <c r="G4615">
        <v>-300.03789999999998</v>
      </c>
      <c r="H4615" s="1">
        <v>-2.5352279999999998E-6</v>
      </c>
      <c r="I4615">
        <v>-44.357140000000001</v>
      </c>
      <c r="J4615">
        <v>-301.61770000000001</v>
      </c>
      <c r="K4615">
        <v>1.112012</v>
      </c>
      <c r="L4615">
        <v>-33.718229999999998</v>
      </c>
      <c r="M4615">
        <v>-4.1794170000000004E-3</v>
      </c>
      <c r="N4615">
        <v>0</v>
      </c>
      <c r="O4615">
        <v>-0.99989859999999997</v>
      </c>
      <c r="P4615">
        <v>0.1647642</v>
      </c>
      <c r="Q4615">
        <v>0.1599573</v>
      </c>
      <c r="R4615">
        <v>-0.97327629999999998</v>
      </c>
      <c r="S4615">
        <v>0.43444820000000001</v>
      </c>
      <c r="T4615">
        <v>-0.30568400000000001</v>
      </c>
      <c r="U4615">
        <v>-3.0581969999999998</v>
      </c>
      <c r="V4615">
        <v>-0.169486</v>
      </c>
      <c r="W4615">
        <v>0.17254340000000001</v>
      </c>
      <c r="X4615">
        <v>0.97031089999999998</v>
      </c>
      <c r="Y4615">
        <v>-0.144101799999999</v>
      </c>
      <c r="Z4615">
        <v>9.845023E-2</v>
      </c>
      <c r="AA4615">
        <v>0.98465340000000001</v>
      </c>
      <c r="AB4615">
        <v>30</v>
      </c>
      <c r="AC4615">
        <v>1.5798000000000301</v>
      </c>
      <c r="AD4615">
        <v>-1.112014535228</v>
      </c>
      <c r="AE4615">
        <v>-10.638909999999999</v>
      </c>
      <c r="AF4615">
        <v>-1.6070760374191499</v>
      </c>
      <c r="AG4615">
        <v>-1.112014535228</v>
      </c>
      <c r="AH4615">
        <v>10.519763549610801</v>
      </c>
      <c r="AI4615">
        <v>95.965465184933805</v>
      </c>
      <c r="AJ4615">
        <v>98.685768809822605</v>
      </c>
      <c r="AK4615">
        <v>10.6997520932181</v>
      </c>
      <c r="AL4615">
        <v>80.064269104046801</v>
      </c>
      <c r="AM4615">
        <v>99.908001571366597</v>
      </c>
      <c r="AN4615">
        <v>0.99999998586918404</v>
      </c>
    </row>
    <row r="4616" spans="1:40" x14ac:dyDescent="0.25">
      <c r="A4616" t="str">
        <f>"20190312164402637"</f>
        <v>20190312164402637</v>
      </c>
      <c r="B4616" t="str">
        <f>"1552380242630025"</f>
        <v>1552380242630025</v>
      </c>
      <c r="C4616" t="s">
        <v>40</v>
      </c>
      <c r="D4616">
        <v>4.910228</v>
      </c>
      <c r="E4616">
        <v>0.51634990000000003</v>
      </c>
      <c r="F4616" t="s">
        <v>50</v>
      </c>
      <c r="G4616">
        <v>-299.99329999999998</v>
      </c>
      <c r="H4616" s="1">
        <v>-2.9028520000000001E-6</v>
      </c>
      <c r="I4616">
        <v>-44.945259999999998</v>
      </c>
      <c r="J4616">
        <v>-301.61369999999999</v>
      </c>
      <c r="K4616">
        <v>1.1126830000000001</v>
      </c>
      <c r="L4616">
        <v>-34.31662</v>
      </c>
      <c r="M4616">
        <v>1.5841080000000001E-3</v>
      </c>
      <c r="N4616">
        <v>0</v>
      </c>
      <c r="O4616">
        <v>-0.99990579999999996</v>
      </c>
      <c r="P4616">
        <v>0.1713026</v>
      </c>
      <c r="Q4616">
        <v>0.15703789999999901</v>
      </c>
      <c r="R4616">
        <v>-0.97262289999999996</v>
      </c>
      <c r="S4616">
        <v>0.44232179999999999</v>
      </c>
      <c r="T4616">
        <v>-0.30281459999999999</v>
      </c>
      <c r="U4616">
        <v>-3.0572509999999999</v>
      </c>
      <c r="V4616">
        <v>-0.1706857</v>
      </c>
      <c r="W4616">
        <v>0.1693674</v>
      </c>
      <c r="X4616">
        <v>0.97066010000000003</v>
      </c>
      <c r="Y4616">
        <v>-0.14093739999999999</v>
      </c>
      <c r="Z4616">
        <v>9.7570599999999993E-2</v>
      </c>
      <c r="AA4616">
        <v>0.98519880000000004</v>
      </c>
      <c r="AB4616">
        <v>30</v>
      </c>
      <c r="AC4616">
        <v>1.6204000000000101</v>
      </c>
      <c r="AD4616">
        <v>-1.112685902852</v>
      </c>
      <c r="AE4616">
        <v>-10.6286399999999</v>
      </c>
      <c r="AF4616">
        <v>-1.58656651550494</v>
      </c>
      <c r="AG4616">
        <v>-1.112685902852</v>
      </c>
      <c r="AH4616">
        <v>10.5185346809882</v>
      </c>
      <c r="AI4616">
        <v>95.971432344653493</v>
      </c>
      <c r="AJ4616">
        <v>98.577566859501502</v>
      </c>
      <c r="AK4616">
        <v>10.6955521157946</v>
      </c>
      <c r="AL4616">
        <v>80.248959370983798</v>
      </c>
      <c r="AM4616">
        <v>99.973213594140205</v>
      </c>
      <c r="AN4616">
        <v>0.99999997704962895</v>
      </c>
    </row>
    <row r="4617" spans="1:40" x14ac:dyDescent="0.25">
      <c r="A4617" t="str">
        <f>"20190312164402682"</f>
        <v>20190312164402682</v>
      </c>
      <c r="B4617" t="str">
        <f>"1552380242669735"</f>
        <v>1552380242669735</v>
      </c>
      <c r="C4617" t="s">
        <v>40</v>
      </c>
      <c r="D4617">
        <v>4.93241</v>
      </c>
      <c r="E4617">
        <v>0.51615659999999997</v>
      </c>
      <c r="F4617" t="s">
        <v>50</v>
      </c>
      <c r="G4617">
        <v>-299.96539999999999</v>
      </c>
      <c r="H4617" s="1">
        <v>-3.0240120000000001E-6</v>
      </c>
      <c r="I4617">
        <v>-45.142009999999999</v>
      </c>
      <c r="J4617">
        <v>-301.60469999999998</v>
      </c>
      <c r="K4617">
        <v>1.113186</v>
      </c>
      <c r="L4617">
        <v>-34.9024</v>
      </c>
      <c r="M4617">
        <v>8.6306309999999997E-3</v>
      </c>
      <c r="N4617">
        <v>0</v>
      </c>
      <c r="O4617">
        <v>-0.99986960000000003</v>
      </c>
      <c r="P4617">
        <v>0.18128449999999999</v>
      </c>
      <c r="Q4617">
        <v>0.15285170000000001</v>
      </c>
      <c r="R4617">
        <v>-0.97147939999999999</v>
      </c>
      <c r="S4617">
        <v>0.46490480000000001</v>
      </c>
      <c r="T4617">
        <v>-0.31382510000000002</v>
      </c>
      <c r="U4617">
        <v>-3.053223</v>
      </c>
      <c r="V4617">
        <v>-0.17400460000000001</v>
      </c>
      <c r="W4617">
        <v>0.16496420000000001</v>
      </c>
      <c r="X4617">
        <v>0.9708291</v>
      </c>
      <c r="Y4617">
        <v>-0.14122129999999999</v>
      </c>
      <c r="Z4617">
        <v>0.10115150000000001</v>
      </c>
      <c r="AA4617">
        <v>0.98479689999999998</v>
      </c>
      <c r="AB4617">
        <v>30</v>
      </c>
      <c r="AC4617">
        <v>1.63929999999999</v>
      </c>
      <c r="AD4617">
        <v>-1.1131890240119999</v>
      </c>
      <c r="AE4617">
        <v>-10.239610000000001</v>
      </c>
      <c r="AF4617">
        <v>-1.53318887226328</v>
      </c>
      <c r="AG4617">
        <v>-1.1131890240119999</v>
      </c>
      <c r="AH4617">
        <v>10.1365704194994</v>
      </c>
      <c r="AI4617">
        <v>96.197128403893004</v>
      </c>
      <c r="AJ4617">
        <v>98.600976599559601</v>
      </c>
      <c r="AK4617">
        <v>10.3121247951469</v>
      </c>
      <c r="AL4617">
        <v>80.504844881507495</v>
      </c>
      <c r="AM4617">
        <v>100.16140064397</v>
      </c>
      <c r="AN4617">
        <v>0.99999996475480402</v>
      </c>
    </row>
    <row r="4618" spans="1:40" x14ac:dyDescent="0.25">
      <c r="A4618" t="str">
        <f>"20190312164402727"</f>
        <v>20190312164402727</v>
      </c>
      <c r="B4618" t="str">
        <f>"1552380242719511"</f>
        <v>1552380242719511</v>
      </c>
      <c r="C4618" t="s">
        <v>40</v>
      </c>
      <c r="D4618">
        <v>4.958145</v>
      </c>
      <c r="E4618">
        <v>0.51576369999999905</v>
      </c>
      <c r="F4618" t="s">
        <v>50</v>
      </c>
      <c r="G4618">
        <v>-299.91820000000001</v>
      </c>
      <c r="H4618" s="1">
        <v>-3.0795010000000001E-6</v>
      </c>
      <c r="I4618">
        <v>-45.214379999999998</v>
      </c>
      <c r="J4618">
        <v>-301.5899</v>
      </c>
      <c r="K4618">
        <v>1.1135120000000001</v>
      </c>
      <c r="L4618">
        <v>-35.496920000000003</v>
      </c>
      <c r="M4618">
        <v>1.6778330000000001E-2</v>
      </c>
      <c r="N4618">
        <v>0</v>
      </c>
      <c r="O4618">
        <v>-0.99976580000000004</v>
      </c>
      <c r="P4618">
        <v>0.19733020000000001</v>
      </c>
      <c r="Q4618">
        <v>0.1494326</v>
      </c>
      <c r="R4618">
        <v>-0.9688814</v>
      </c>
      <c r="S4618">
        <v>0.49832149999999997</v>
      </c>
      <c r="T4618">
        <v>-0.328907</v>
      </c>
      <c r="U4618">
        <v>-3.0468139999999999</v>
      </c>
      <c r="V4618">
        <v>-0.1822666</v>
      </c>
      <c r="W4618">
        <v>0.16134409999999999</v>
      </c>
      <c r="X4618">
        <v>0.96992109999999998</v>
      </c>
      <c r="Y4618">
        <v>-0.14391789999999999</v>
      </c>
      <c r="Z4618">
        <v>0.1060502</v>
      </c>
      <c r="AA4618">
        <v>0.98389079999999995</v>
      </c>
      <c r="AB4618">
        <v>30</v>
      </c>
      <c r="AC4618">
        <v>1.67169999999998</v>
      </c>
      <c r="AD4618">
        <v>-1.113515079501</v>
      </c>
      <c r="AE4618">
        <v>-9.7174599999999902</v>
      </c>
      <c r="AF4618">
        <v>-1.4894118301941299</v>
      </c>
      <c r="AG4618">
        <v>-1.113515079501</v>
      </c>
      <c r="AH4618">
        <v>9.6214383177835998</v>
      </c>
      <c r="AI4618">
        <v>96.524594741886801</v>
      </c>
      <c r="AJ4618">
        <v>98.799618980753095</v>
      </c>
      <c r="AK4618">
        <v>9.7995070659249492</v>
      </c>
      <c r="AL4618">
        <v>80.715078672944401</v>
      </c>
      <c r="AM4618">
        <v>100.64284493470799</v>
      </c>
      <c r="AN4618">
        <v>0.99999998615278995</v>
      </c>
    </row>
    <row r="4619" spans="1:40" x14ac:dyDescent="0.25">
      <c r="A4619" t="str">
        <f>"20190312164402771"</f>
        <v>20190312164402771</v>
      </c>
      <c r="B4619" t="str">
        <f>"1552380242759530"</f>
        <v>1552380242759530</v>
      </c>
      <c r="C4619" t="s">
        <v>40</v>
      </c>
      <c r="D4619">
        <v>4.9714939999999999</v>
      </c>
      <c r="E4619">
        <v>0.51550759999999995</v>
      </c>
      <c r="F4619" t="s">
        <v>50</v>
      </c>
      <c r="G4619">
        <v>-299.79500000000002</v>
      </c>
      <c r="H4619" s="1">
        <v>-3.236437E-6</v>
      </c>
      <c r="I4619">
        <v>-45.430329999999998</v>
      </c>
      <c r="J4619">
        <v>-301.5702</v>
      </c>
      <c r="K4619">
        <v>1.1137010000000001</v>
      </c>
      <c r="L4619">
        <v>-36.080440000000003</v>
      </c>
      <c r="M4619">
        <v>2.5206820000000001E-2</v>
      </c>
      <c r="N4619">
        <v>0</v>
      </c>
      <c r="O4619">
        <v>-0.9995887</v>
      </c>
      <c r="P4619">
        <v>0.21072920000000001</v>
      </c>
      <c r="Q4619">
        <v>0.14687729999999999</v>
      </c>
      <c r="R4619">
        <v>-0.96644750000000001</v>
      </c>
      <c r="S4619">
        <v>0.5487976</v>
      </c>
      <c r="T4619">
        <v>-0.34045019999999998</v>
      </c>
      <c r="U4619">
        <v>-3.0370789999999999</v>
      </c>
      <c r="V4619">
        <v>-0.18757589999999999</v>
      </c>
      <c r="W4619">
        <v>0.15866350000000001</v>
      </c>
      <c r="X4619">
        <v>0.96935090000000002</v>
      </c>
      <c r="Y4619">
        <v>-0.1518804</v>
      </c>
      <c r="Z4619">
        <v>0.1098235</v>
      </c>
      <c r="AA4619">
        <v>0.98227850000000005</v>
      </c>
      <c r="AB4619">
        <v>30</v>
      </c>
      <c r="AC4619">
        <v>1.7751999999999799</v>
      </c>
      <c r="AD4619">
        <v>-1.113704236437</v>
      </c>
      <c r="AE4619">
        <v>-9.3498899999999896</v>
      </c>
      <c r="AF4619">
        <v>-1.5181425637638599</v>
      </c>
      <c r="AG4619">
        <v>-1.113704236437</v>
      </c>
      <c r="AH4619">
        <v>9.2647930167741297</v>
      </c>
      <c r="AI4619">
        <v>96.765163821191393</v>
      </c>
      <c r="AJ4619">
        <v>99.305869205039897</v>
      </c>
      <c r="AK4619">
        <v>9.4541781035601407</v>
      </c>
      <c r="AL4619">
        <v>80.870670463948201</v>
      </c>
      <c r="AM4619">
        <v>100.951760728512</v>
      </c>
      <c r="AN4619">
        <v>0.999999995911935</v>
      </c>
    </row>
    <row r="4620" spans="1:40" x14ac:dyDescent="0.25">
      <c r="A4620" t="str">
        <f>"20190312164402803"</f>
        <v>20190312164402803</v>
      </c>
      <c r="B4620" t="str">
        <f>"1552380242799544"</f>
        <v>1552380242799544</v>
      </c>
      <c r="C4620" t="s">
        <v>40</v>
      </c>
      <c r="D4620">
        <v>5.0396419999999997</v>
      </c>
      <c r="E4620">
        <v>0.51531059999999995</v>
      </c>
      <c r="F4620" t="s">
        <v>50</v>
      </c>
      <c r="G4620">
        <v>-299.69209999999998</v>
      </c>
      <c r="H4620" s="1">
        <v>-3.3901770000000002E-6</v>
      </c>
      <c r="I4620">
        <v>-45.6873</v>
      </c>
      <c r="J4620">
        <v>-301.55239999999998</v>
      </c>
      <c r="K4620">
        <v>1.1137840000000001</v>
      </c>
      <c r="L4620">
        <v>-36.509120000000003</v>
      </c>
      <c r="M4620">
        <v>3.1532930000000001E-2</v>
      </c>
      <c r="N4620">
        <v>0</v>
      </c>
      <c r="O4620">
        <v>-0.99940910000000005</v>
      </c>
      <c r="P4620">
        <v>0.22030669999999999</v>
      </c>
      <c r="Q4620">
        <v>0.146082399999999</v>
      </c>
      <c r="R4620">
        <v>-0.96443000000000001</v>
      </c>
      <c r="S4620">
        <v>0.59204100000000004</v>
      </c>
      <c r="T4620">
        <v>-0.35108159999999999</v>
      </c>
      <c r="U4620">
        <v>-3.0284420000000001</v>
      </c>
      <c r="V4620">
        <v>-0.19108810000000001</v>
      </c>
      <c r="W4620">
        <v>0.15779670000000001</v>
      </c>
      <c r="X4620">
        <v>0.96880630000000001</v>
      </c>
      <c r="Y4620">
        <v>-0.159582</v>
      </c>
      <c r="Z4620">
        <v>0.1132765</v>
      </c>
      <c r="AA4620">
        <v>0.98066410000000004</v>
      </c>
      <c r="AB4620">
        <v>30</v>
      </c>
      <c r="AC4620">
        <v>1.8602999999999901</v>
      </c>
      <c r="AD4620">
        <v>-1.1137873901769999</v>
      </c>
      <c r="AE4620">
        <v>-9.1781799999999905</v>
      </c>
      <c r="AF4620">
        <v>-1.54803559448436</v>
      </c>
      <c r="AG4620">
        <v>-1.1137873901769999</v>
      </c>
      <c r="AH4620">
        <v>9.1035109555011893</v>
      </c>
      <c r="AI4620">
        <v>96.877539166448898</v>
      </c>
      <c r="AJ4620">
        <v>99.650729031434807</v>
      </c>
      <c r="AK4620">
        <v>9.3011208071521096</v>
      </c>
      <c r="AL4620">
        <v>80.920968612726099</v>
      </c>
      <c r="AM4620">
        <v>101.157840330848</v>
      </c>
      <c r="AN4620">
        <v>1.00000005370609</v>
      </c>
    </row>
    <row r="4621" spans="1:40" x14ac:dyDescent="0.25">
      <c r="A4621" t="str">
        <f>"20190312164402828"</f>
        <v>20190312164402828</v>
      </c>
      <c r="B4621" t="str">
        <f>"1552380242820040"</f>
        <v>1552380242820040</v>
      </c>
      <c r="C4621" t="s">
        <v>40</v>
      </c>
      <c r="D4621">
        <v>5.0029659999999998</v>
      </c>
      <c r="E4621">
        <v>0.5152004</v>
      </c>
      <c r="F4621" t="s">
        <v>50</v>
      </c>
      <c r="G4621">
        <v>-299.60070000000002</v>
      </c>
      <c r="H4621" s="1">
        <v>-3.5690640000000001E-6</v>
      </c>
      <c r="I4621">
        <v>-45.998600000000003</v>
      </c>
      <c r="J4621">
        <v>-301.53649999999999</v>
      </c>
      <c r="K4621">
        <v>1.113839</v>
      </c>
      <c r="L4621">
        <v>-36.841709999999999</v>
      </c>
      <c r="M4621">
        <v>3.6507249999999998E-2</v>
      </c>
      <c r="N4621">
        <v>0</v>
      </c>
      <c r="O4621">
        <v>-0.99923960000000001</v>
      </c>
      <c r="P4621">
        <v>0.2285459</v>
      </c>
      <c r="Q4621">
        <v>0.14578199999999999</v>
      </c>
      <c r="R4621">
        <v>-0.96255639999999998</v>
      </c>
      <c r="S4621">
        <v>0.62161250000000001</v>
      </c>
      <c r="T4621">
        <v>-0.35473789999999999</v>
      </c>
      <c r="U4621">
        <v>-3.0223689999999999</v>
      </c>
      <c r="V4621">
        <v>-0.194574</v>
      </c>
      <c r="W4621">
        <v>0.15743699999999999</v>
      </c>
      <c r="X4621">
        <v>0.96817070000000005</v>
      </c>
      <c r="Y4621">
        <v>-0.16423370000000001</v>
      </c>
      <c r="Z4621">
        <v>0.114482399999999</v>
      </c>
      <c r="AA4621">
        <v>0.97975559999999995</v>
      </c>
      <c r="AB4621">
        <v>30</v>
      </c>
      <c r="AC4621">
        <v>1.93579999999997</v>
      </c>
      <c r="AD4621">
        <v>-1.1138425690639999</v>
      </c>
      <c r="AE4621">
        <v>-9.1568900000000006</v>
      </c>
      <c r="AF4621">
        <v>-1.57783777946535</v>
      </c>
      <c r="AG4621">
        <v>-1.1138425690639999</v>
      </c>
      <c r="AH4621">
        <v>9.0926800310207003</v>
      </c>
      <c r="AI4621">
        <v>96.882031467982401</v>
      </c>
      <c r="AJ4621">
        <v>99.844411427937203</v>
      </c>
      <c r="AK4621">
        <v>9.29553911688234</v>
      </c>
      <c r="AL4621">
        <v>80.941838076357598</v>
      </c>
      <c r="AM4621">
        <v>101.363403600056</v>
      </c>
      <c r="AN4621">
        <v>0.99999997739174395</v>
      </c>
    </row>
    <row r="4622" spans="1:40" x14ac:dyDescent="0.25">
      <c r="A4622" t="str">
        <f>"20190312164402860"</f>
        <v>20190312164402860</v>
      </c>
      <c r="B4622" t="str">
        <f>"1552380242849414"</f>
        <v>1552380242849414</v>
      </c>
      <c r="C4622" t="s">
        <v>40</v>
      </c>
      <c r="D4622">
        <v>5.0753430000000002</v>
      </c>
      <c r="E4622">
        <v>0.51505109999999998</v>
      </c>
      <c r="F4622" t="s">
        <v>50</v>
      </c>
      <c r="G4622">
        <v>-299.51499999999999</v>
      </c>
      <c r="H4622" s="1">
        <v>-3.7325810000000002E-6</v>
      </c>
      <c r="I4622">
        <v>-46.282220000000002</v>
      </c>
      <c r="J4622">
        <v>-301.51459999999997</v>
      </c>
      <c r="K4622">
        <v>1.1139049999999999</v>
      </c>
      <c r="L4622">
        <v>-37.253019999999999</v>
      </c>
      <c r="M4622">
        <v>4.2738650000000003E-2</v>
      </c>
      <c r="N4622">
        <v>0</v>
      </c>
      <c r="O4622">
        <v>-0.9989924</v>
      </c>
      <c r="P4622">
        <v>0.2415774</v>
      </c>
      <c r="Q4622">
        <v>0.1465842</v>
      </c>
      <c r="R4622">
        <v>-0.95924640000000005</v>
      </c>
      <c r="S4622">
        <v>0.64608759999999998</v>
      </c>
      <c r="T4622">
        <v>-0.3559872</v>
      </c>
      <c r="U4622">
        <v>-3.0172119999999998</v>
      </c>
      <c r="V4622">
        <v>-0.2017119</v>
      </c>
      <c r="W4622">
        <v>0.15813150000000001</v>
      </c>
      <c r="X4622">
        <v>0.96659550000000005</v>
      </c>
      <c r="Y4622">
        <v>-0.166014299999999</v>
      </c>
      <c r="Z4622">
        <v>0.1149167</v>
      </c>
      <c r="AA4622">
        <v>0.97940459999999996</v>
      </c>
      <c r="AB4622">
        <v>30</v>
      </c>
      <c r="AC4622">
        <v>1.9995999999999801</v>
      </c>
      <c r="AD4622">
        <v>-1.113908732581</v>
      </c>
      <c r="AE4622">
        <v>-9.0291999999999994</v>
      </c>
      <c r="AF4622">
        <v>-1.58879043977761</v>
      </c>
      <c r="AG4622">
        <v>-1.113908732581</v>
      </c>
      <c r="AH4622">
        <v>8.9761902025262899</v>
      </c>
      <c r="AI4622">
        <v>96.966806887811899</v>
      </c>
      <c r="AJ4622">
        <v>100.03742364115401</v>
      </c>
      <c r="AK4622">
        <v>9.1835199285447207</v>
      </c>
      <c r="AL4622">
        <v>80.901542153115301</v>
      </c>
      <c r="AM4622">
        <v>101.787480188367</v>
      </c>
      <c r="AN4622">
        <v>1.0000000612570501</v>
      </c>
    </row>
    <row r="4623" spans="1:40" x14ac:dyDescent="0.25">
      <c r="A4623" t="str">
        <f>"20190312164402893"</f>
        <v>20190312164402893</v>
      </c>
      <c r="B4623" t="str">
        <f>"1552380242879669"</f>
        <v>1552380242879669</v>
      </c>
      <c r="C4623" t="s">
        <v>40</v>
      </c>
      <c r="D4623">
        <v>5.1120409999999996</v>
      </c>
      <c r="E4623">
        <v>0.51516309999999998</v>
      </c>
      <c r="F4623" t="s">
        <v>50</v>
      </c>
      <c r="G4623">
        <v>-299.36130000000003</v>
      </c>
      <c r="H4623" s="1">
        <v>-3.9963159999999998E-6</v>
      </c>
      <c r="I4623">
        <v>-46.732909999999997</v>
      </c>
      <c r="J4623">
        <v>-301.48880000000003</v>
      </c>
      <c r="K4623">
        <v>1.1140060000000001</v>
      </c>
      <c r="L4623">
        <v>-37.678829999999998</v>
      </c>
      <c r="M4623">
        <v>4.9384490000000003E-2</v>
      </c>
      <c r="N4623">
        <v>0</v>
      </c>
      <c r="O4623">
        <v>-0.99868579999999996</v>
      </c>
      <c r="P4623">
        <v>0.25162380000000001</v>
      </c>
      <c r="Q4623">
        <v>0.1467618</v>
      </c>
      <c r="R4623">
        <v>-0.95663310000000001</v>
      </c>
      <c r="S4623">
        <v>0.68356319999999904</v>
      </c>
      <c r="T4623">
        <v>-0.35360399999999997</v>
      </c>
      <c r="U4623">
        <v>-3.0093380000000001</v>
      </c>
      <c r="V4623">
        <v>-0.2054636</v>
      </c>
      <c r="W4623">
        <v>0.1582257</v>
      </c>
      <c r="X4623">
        <v>0.96578949999999997</v>
      </c>
      <c r="Y4623">
        <v>-0.1716241</v>
      </c>
      <c r="Z4623">
        <v>0.1141882</v>
      </c>
      <c r="AA4623">
        <v>0.97852249999999996</v>
      </c>
      <c r="AB4623">
        <v>30</v>
      </c>
      <c r="AC4623">
        <v>2.1274999999999902</v>
      </c>
      <c r="AD4623">
        <v>-1.114009996316</v>
      </c>
      <c r="AE4623">
        <v>-9.0540800000000008</v>
      </c>
      <c r="AF4623">
        <v>-1.6540012109528099</v>
      </c>
      <c r="AG4623">
        <v>-1.114009996316</v>
      </c>
      <c r="AH4623">
        <v>9.0187179686579704</v>
      </c>
      <c r="AI4623">
        <v>96.927237979562605</v>
      </c>
      <c r="AJ4623">
        <v>100.392358662132</v>
      </c>
      <c r="AK4623">
        <v>9.2365584540953094</v>
      </c>
      <c r="AL4623">
        <v>80.8960756116482</v>
      </c>
      <c r="AM4623">
        <v>102.010143043418</v>
      </c>
      <c r="AN4623">
        <v>1.0000000106878499</v>
      </c>
    </row>
    <row r="4624" spans="1:40" x14ac:dyDescent="0.25">
      <c r="A4624" t="str">
        <f>"20190312164402916"</f>
        <v>20190312164402916</v>
      </c>
      <c r="B4624" t="str">
        <f>"1552380242909926"</f>
        <v>1552380242909926</v>
      </c>
      <c r="C4624" t="s">
        <v>40</v>
      </c>
      <c r="D4624">
        <v>5.1472410000000002</v>
      </c>
      <c r="E4624">
        <v>0.51524139999999996</v>
      </c>
      <c r="F4624" t="s">
        <v>50</v>
      </c>
      <c r="G4624">
        <v>-299.24110000000002</v>
      </c>
      <c r="H4624" s="1">
        <v>-4.2280540000000002E-6</v>
      </c>
      <c r="I4624">
        <v>-47.135440000000003</v>
      </c>
      <c r="J4624">
        <v>-301.4676</v>
      </c>
      <c r="K4624">
        <v>1.114106</v>
      </c>
      <c r="L4624">
        <v>-37.996189999999999</v>
      </c>
      <c r="M4624">
        <v>5.448915E-2</v>
      </c>
      <c r="N4624">
        <v>0</v>
      </c>
      <c r="O4624">
        <v>-0.99842019999999998</v>
      </c>
      <c r="P4624">
        <v>0.26070470000000001</v>
      </c>
      <c r="Q4624">
        <v>0.14703829999999901</v>
      </c>
      <c r="R4624">
        <v>-0.95415539999999999</v>
      </c>
      <c r="S4624">
        <v>0.7136536</v>
      </c>
      <c r="T4624">
        <v>-0.353709</v>
      </c>
      <c r="U4624">
        <v>-3.0025629999999999</v>
      </c>
      <c r="V4624">
        <v>-0.20975369999999999</v>
      </c>
      <c r="W4624">
        <v>0.15841160000000001</v>
      </c>
      <c r="X4624">
        <v>0.96483629999999998</v>
      </c>
      <c r="Y4624">
        <v>-0.17636499999999999</v>
      </c>
      <c r="Z4624">
        <v>0.1142494</v>
      </c>
      <c r="AA4624">
        <v>0.97767199999999999</v>
      </c>
      <c r="AB4624">
        <v>30</v>
      </c>
      <c r="AC4624">
        <v>2.2264999999999802</v>
      </c>
      <c r="AD4624">
        <v>-1.1141102280540001</v>
      </c>
      <c r="AE4624">
        <v>-9.1392499999999899</v>
      </c>
      <c r="AF4624">
        <v>-1.7012891430386801</v>
      </c>
      <c r="AG4624">
        <v>-1.1141102280540001</v>
      </c>
      <c r="AH4624">
        <v>9.1190789594352104</v>
      </c>
      <c r="AI4624">
        <v>96.848495084348002</v>
      </c>
      <c r="AJ4624">
        <v>100.56782259524201</v>
      </c>
      <c r="AK4624">
        <v>9.3430844701784501</v>
      </c>
      <c r="AL4624">
        <v>80.885287882441702</v>
      </c>
      <c r="AM4624">
        <v>102.26515241250701</v>
      </c>
      <c r="AN4624">
        <v>0.99999996773796895</v>
      </c>
    </row>
    <row r="4625" spans="1:40" x14ac:dyDescent="0.25">
      <c r="A4625" t="str">
        <f>"20190312164402949"</f>
        <v>20190312164402949</v>
      </c>
      <c r="B4625" t="str">
        <f>"1552380242940181"</f>
        <v>1552380242940181</v>
      </c>
      <c r="C4625" t="s">
        <v>40</v>
      </c>
      <c r="D4625">
        <v>5.1759579999999996</v>
      </c>
      <c r="E4625">
        <v>0.5154514</v>
      </c>
      <c r="F4625" t="s">
        <v>50</v>
      </c>
      <c r="G4625">
        <v>-299.13159999999999</v>
      </c>
      <c r="H4625" s="1">
        <v>-4.4037830000000003E-6</v>
      </c>
      <c r="I4625">
        <v>-47.432659999999998</v>
      </c>
      <c r="J4625">
        <v>-301.43619999999999</v>
      </c>
      <c r="K4625">
        <v>1.114274</v>
      </c>
      <c r="L4625">
        <v>-38.423220000000001</v>
      </c>
      <c r="M4625">
        <v>6.165172E-2</v>
      </c>
      <c r="N4625">
        <v>0</v>
      </c>
      <c r="O4625">
        <v>-0.99800339999999998</v>
      </c>
      <c r="P4625">
        <v>0.28112480000000001</v>
      </c>
      <c r="Q4625">
        <v>0.148122799999999</v>
      </c>
      <c r="R4625">
        <v>-0.94817130000000005</v>
      </c>
      <c r="S4625">
        <v>0.74166869999999996</v>
      </c>
      <c r="T4625">
        <v>-0.3537208</v>
      </c>
      <c r="U4625">
        <v>-2.9960019999999998</v>
      </c>
      <c r="V4625">
        <v>-0.2236293</v>
      </c>
      <c r="W4625">
        <v>0.15925429999999999</v>
      </c>
      <c r="X4625">
        <v>0.96157579999999998</v>
      </c>
      <c r="Y4625">
        <v>-0.1784171</v>
      </c>
      <c r="Z4625">
        <v>0.1142778</v>
      </c>
      <c r="AA4625">
        <v>0.97729619999999995</v>
      </c>
      <c r="AB4625">
        <v>29</v>
      </c>
      <c r="AC4625">
        <v>2.30459999999999</v>
      </c>
      <c r="AD4625">
        <v>-1.114278403783</v>
      </c>
      <c r="AE4625">
        <v>-9.0094399999999908</v>
      </c>
      <c r="AF4625">
        <v>-1.7200209592769</v>
      </c>
      <c r="AG4625">
        <v>-1.114278403783</v>
      </c>
      <c r="AH4625">
        <v>9.0051073125091001</v>
      </c>
      <c r="AI4625">
        <v>96.929811744596194</v>
      </c>
      <c r="AJ4625">
        <v>100.81353547931199</v>
      </c>
      <c r="AK4625">
        <v>9.2353693034601498</v>
      </c>
      <c r="AL4625">
        <v>80.836384280687298</v>
      </c>
      <c r="AM4625">
        <v>103.092289943362</v>
      </c>
      <c r="AN4625">
        <v>1.00000000751631</v>
      </c>
    </row>
    <row r="4626" spans="1:40" x14ac:dyDescent="0.25">
      <c r="A4626" t="str">
        <f>"20190312164402984"</f>
        <v>20190312164402984</v>
      </c>
      <c r="B4626" t="str">
        <f>"1552380242980198"</f>
        <v>1552380242980198</v>
      </c>
      <c r="C4626" t="s">
        <v>40</v>
      </c>
      <c r="D4626">
        <v>5.187799</v>
      </c>
      <c r="E4626">
        <v>0.51578550000000001</v>
      </c>
      <c r="F4626" t="s">
        <v>50</v>
      </c>
      <c r="G4626">
        <v>-298.89920000000001</v>
      </c>
      <c r="H4626" s="1">
        <v>-4.694827E-6</v>
      </c>
      <c r="I4626">
        <v>-47.902720000000002</v>
      </c>
      <c r="J4626">
        <v>-301.40050000000002</v>
      </c>
      <c r="K4626">
        <v>1.11446</v>
      </c>
      <c r="L4626">
        <v>-38.85971</v>
      </c>
      <c r="M4626">
        <v>6.9372429999999999E-2</v>
      </c>
      <c r="N4626">
        <v>0</v>
      </c>
      <c r="O4626">
        <v>-0.9974961</v>
      </c>
      <c r="P4626">
        <v>0.29692089999999999</v>
      </c>
      <c r="Q4626">
        <v>0.147330399999999</v>
      </c>
      <c r="R4626">
        <v>-0.94346790000000003</v>
      </c>
      <c r="S4626">
        <v>0.79809569999999996</v>
      </c>
      <c r="T4626">
        <v>-0.35053630000000002</v>
      </c>
      <c r="U4626">
        <v>-2.9821170000000001</v>
      </c>
      <c r="V4626">
        <v>-0.2323163</v>
      </c>
      <c r="W4626">
        <v>0.15826100000000001</v>
      </c>
      <c r="X4626">
        <v>0.95967840000000004</v>
      </c>
      <c r="Y4626">
        <v>-0.18922069999999999</v>
      </c>
      <c r="Z4626">
        <v>0.11330469999999999</v>
      </c>
      <c r="AA4626">
        <v>0.97537560000000001</v>
      </c>
      <c r="AB4626">
        <v>29</v>
      </c>
      <c r="AC4626">
        <v>2.5013000000000098</v>
      </c>
      <c r="AD4626">
        <v>-1.1144646948270001</v>
      </c>
      <c r="AE4626">
        <v>-9.0430100000000007</v>
      </c>
      <c r="AF4626">
        <v>-1.84189110121512</v>
      </c>
      <c r="AG4626">
        <v>-1.1144646948270001</v>
      </c>
      <c r="AH4626">
        <v>9.0668354161456293</v>
      </c>
      <c r="AI4626">
        <v>96.868540927049906</v>
      </c>
      <c r="AJ4626">
        <v>101.48314538996399</v>
      </c>
      <c r="AK4626">
        <v>9.3189108187719008</v>
      </c>
      <c r="AL4626">
        <v>80.894027341713596</v>
      </c>
      <c r="AM4626">
        <v>103.608215271646</v>
      </c>
      <c r="AN4626">
        <v>1.0000000193966201</v>
      </c>
    </row>
    <row r="4627" spans="1:40" x14ac:dyDescent="0.25">
      <c r="A4627" t="str">
        <f>"20190312164403017"</f>
        <v>20190312164403017</v>
      </c>
      <c r="B4627" t="str">
        <f>"1552380243009478"</f>
        <v>1552380243009478</v>
      </c>
      <c r="C4627" t="s">
        <v>40</v>
      </c>
      <c r="D4627">
        <v>5.1703210000000004</v>
      </c>
      <c r="E4627">
        <v>0.51613350000000002</v>
      </c>
      <c r="F4627" t="s">
        <v>50</v>
      </c>
      <c r="G4627">
        <v>-298.74650000000003</v>
      </c>
      <c r="H4627" s="1">
        <v>-4.889509E-6</v>
      </c>
      <c r="I4627">
        <v>-48.218350000000001</v>
      </c>
      <c r="J4627">
        <v>-301.3612</v>
      </c>
      <c r="K4627">
        <v>1.114673</v>
      </c>
      <c r="L4627">
        <v>-39.292819999999999</v>
      </c>
      <c r="M4627">
        <v>7.7514479999999997E-2</v>
      </c>
      <c r="N4627">
        <v>0</v>
      </c>
      <c r="O4627">
        <v>-0.99689629999999996</v>
      </c>
      <c r="P4627">
        <v>0.31083480000000002</v>
      </c>
      <c r="Q4627">
        <v>0.14655190000000001</v>
      </c>
      <c r="R4627">
        <v>-0.93909779999999998</v>
      </c>
      <c r="S4627">
        <v>0.84225459999999996</v>
      </c>
      <c r="T4627">
        <v>-0.35366930000000002</v>
      </c>
      <c r="U4627">
        <v>-2.96991</v>
      </c>
      <c r="V4627">
        <v>-0.2387418</v>
      </c>
      <c r="W4627">
        <v>0.1572924</v>
      </c>
      <c r="X4627">
        <v>0.95825959999999999</v>
      </c>
      <c r="Y4627">
        <v>-0.1956445</v>
      </c>
      <c r="Z4627">
        <v>0.1143559</v>
      </c>
      <c r="AA4627">
        <v>0.97398459999999998</v>
      </c>
      <c r="AB4627">
        <v>29</v>
      </c>
      <c r="AC4627">
        <v>2.6146999999999698</v>
      </c>
      <c r="AD4627">
        <v>-1.1146778895089999</v>
      </c>
      <c r="AE4627">
        <v>-8.9255300000000002</v>
      </c>
      <c r="AF4627">
        <v>-1.8877920148365199</v>
      </c>
      <c r="AG4627">
        <v>-1.1146778895089999</v>
      </c>
      <c r="AH4627">
        <v>8.9724859528387899</v>
      </c>
      <c r="AI4627">
        <v>96.931503049646494</v>
      </c>
      <c r="AJ4627">
        <v>101.881611290829</v>
      </c>
      <c r="AK4627">
        <v>9.2364370653694294</v>
      </c>
      <c r="AL4627">
        <v>80.950227813730095</v>
      </c>
      <c r="AM4627">
        <v>103.98991469424701</v>
      </c>
      <c r="AN4627">
        <v>1.0000000035785701</v>
      </c>
    </row>
    <row r="4628" spans="1:40" x14ac:dyDescent="0.25">
      <c r="A4628" t="str">
        <f>"20190312164403053"</f>
        <v>20190312164403053</v>
      </c>
      <c r="B4628" t="str">
        <f>"1552380243049494"</f>
        <v>1552380243049494</v>
      </c>
      <c r="C4628" t="s">
        <v>40</v>
      </c>
      <c r="D4628">
        <v>5.3220850000000004</v>
      </c>
      <c r="E4628">
        <v>0.48036040000000002</v>
      </c>
      <c r="F4628" t="s">
        <v>50</v>
      </c>
      <c r="G4628">
        <v>-298.61070000000001</v>
      </c>
      <c r="H4628" s="1">
        <v>-5.0768369999999998E-6</v>
      </c>
      <c r="I4628">
        <v>-48.526910000000001</v>
      </c>
      <c r="J4628">
        <v>-301.31479999999999</v>
      </c>
      <c r="K4628">
        <v>1.11493</v>
      </c>
      <c r="L4628">
        <v>-39.75244</v>
      </c>
      <c r="M4628">
        <v>8.6735519999999997E-2</v>
      </c>
      <c r="N4628">
        <v>0</v>
      </c>
      <c r="O4628">
        <v>-0.99613609999999997</v>
      </c>
      <c r="P4628">
        <v>0.32403080000000001</v>
      </c>
      <c r="Q4628">
        <v>0.145567899999999</v>
      </c>
      <c r="R4628">
        <v>-0.93478019999999995</v>
      </c>
      <c r="S4628">
        <v>0.88125609999999999</v>
      </c>
      <c r="T4628">
        <v>-0.35714099999999999</v>
      </c>
      <c r="U4628">
        <v>-2.9585880000000002</v>
      </c>
      <c r="V4628">
        <v>-0.2434549</v>
      </c>
      <c r="W4628">
        <v>0.15611359999999999</v>
      </c>
      <c r="X4628">
        <v>0.95726599999999995</v>
      </c>
      <c r="Y4628">
        <v>-0.19934689999999999</v>
      </c>
      <c r="Z4628">
        <v>0.11550059999999999</v>
      </c>
      <c r="AA4628">
        <v>0.97309829999999997</v>
      </c>
      <c r="AB4628">
        <v>29</v>
      </c>
      <c r="AC4628">
        <v>2.70409999999998</v>
      </c>
      <c r="AD4628">
        <v>-1.1149350768370001</v>
      </c>
      <c r="AE4628">
        <v>-8.7744699999999902</v>
      </c>
      <c r="AF4628">
        <v>-1.9046916065418</v>
      </c>
      <c r="AG4628">
        <v>-1.1149350768370001</v>
      </c>
      <c r="AH4628">
        <v>8.8455297907858697</v>
      </c>
      <c r="AI4628">
        <v>97.024619751269597</v>
      </c>
      <c r="AJ4628">
        <v>102.151850116543</v>
      </c>
      <c r="AK4628">
        <v>9.1167059633001593</v>
      </c>
      <c r="AL4628">
        <v>81.018612620295798</v>
      </c>
      <c r="AM4628">
        <v>104.26913279654499</v>
      </c>
      <c r="AN4628">
        <v>0.99999996959748405</v>
      </c>
    </row>
    <row r="4629" spans="1:40" x14ac:dyDescent="0.25">
      <c r="A4629" t="str">
        <f>"20190312164403084"</f>
        <v>20190312164403084</v>
      </c>
      <c r="B4629" t="str">
        <f>"1552380243079750"</f>
        <v>1552380243079750</v>
      </c>
      <c r="C4629" t="s">
        <v>40</v>
      </c>
      <c r="D4629">
        <v>5.1914989999999896</v>
      </c>
      <c r="E4629">
        <v>0.4623487</v>
      </c>
      <c r="F4629" t="s">
        <v>50</v>
      </c>
      <c r="G4629">
        <v>-296.4323</v>
      </c>
      <c r="H4629" s="1">
        <v>-8.4012190000000004E-6</v>
      </c>
      <c r="I4629">
        <v>-51.478900000000003</v>
      </c>
      <c r="J4629">
        <v>-301.27019999999999</v>
      </c>
      <c r="K4629">
        <v>1.115183</v>
      </c>
      <c r="L4629">
        <v>-40.156950000000002</v>
      </c>
      <c r="M4629">
        <v>9.5383369999999995E-2</v>
      </c>
      <c r="N4629">
        <v>0</v>
      </c>
      <c r="O4629">
        <v>-0.99534480000000003</v>
      </c>
      <c r="P4629">
        <v>0.33640799999999998</v>
      </c>
      <c r="Q4629">
        <v>0.14231669999999999</v>
      </c>
      <c r="R4629">
        <v>-0.93090079999999997</v>
      </c>
      <c r="S4629">
        <v>1.183044</v>
      </c>
      <c r="T4629">
        <v>-0.27014829999999901</v>
      </c>
      <c r="U4629">
        <v>-2.8413089999999999</v>
      </c>
      <c r="V4629">
        <v>-0.247867</v>
      </c>
      <c r="W4629">
        <v>0.15267259999999999</v>
      </c>
      <c r="X4629">
        <v>0.9566886</v>
      </c>
      <c r="Y4629">
        <v>-0.29306769999999999</v>
      </c>
      <c r="Z4629">
        <v>8.8293209999999997E-2</v>
      </c>
      <c r="AA4629">
        <v>0.95200609999999997</v>
      </c>
      <c r="AB4629">
        <v>29</v>
      </c>
      <c r="AC4629">
        <v>4.8378999999999897</v>
      </c>
      <c r="AD4629">
        <v>-1.1151914012190001</v>
      </c>
      <c r="AE4629">
        <v>-11.321949999999999</v>
      </c>
      <c r="AF4629">
        <v>-3.7054101647651101</v>
      </c>
      <c r="AG4629">
        <v>-1.1151914012190001</v>
      </c>
      <c r="AH4629">
        <v>11.6363541180553</v>
      </c>
      <c r="AI4629">
        <v>95.217706837122606</v>
      </c>
      <c r="AJ4629">
        <v>107.66324110702</v>
      </c>
      <c r="AK4629">
        <v>12.2628892807233</v>
      </c>
      <c r="AL4629">
        <v>81.218160675628397</v>
      </c>
      <c r="AM4629">
        <v>104.52528631297101</v>
      </c>
      <c r="AN4629">
        <v>1.00000002492485</v>
      </c>
    </row>
    <row r="4630" spans="1:40" x14ac:dyDescent="0.25">
      <c r="A4630" t="str">
        <f>"20190312164403117"</f>
        <v>20190312164403117</v>
      </c>
      <c r="B4630" t="str">
        <f>"1552380243110006"</f>
        <v>1552380243110006</v>
      </c>
      <c r="C4630" t="s">
        <v>40</v>
      </c>
      <c r="D4630">
        <v>5.0835460000000001</v>
      </c>
      <c r="E4630">
        <v>0.4558005</v>
      </c>
      <c r="F4630" t="s">
        <v>50</v>
      </c>
      <c r="G4630">
        <v>-295.82049999999998</v>
      </c>
      <c r="H4630" s="1">
        <v>-8.6334730000000007E-6</v>
      </c>
      <c r="I4630">
        <v>-51.323149999999998</v>
      </c>
      <c r="J4630">
        <v>-301.21719999999999</v>
      </c>
      <c r="K4630">
        <v>1.1154309999999901</v>
      </c>
      <c r="L4630">
        <v>-40.593600000000002</v>
      </c>
      <c r="M4630">
        <v>0.1052681</v>
      </c>
      <c r="N4630">
        <v>0</v>
      </c>
      <c r="O4630">
        <v>-0.9943476</v>
      </c>
      <c r="P4630">
        <v>0.35025519999999999</v>
      </c>
      <c r="Q4630">
        <v>0.13855209999999901</v>
      </c>
      <c r="R4630">
        <v>-0.92635040000000002</v>
      </c>
      <c r="S4630">
        <v>1.354614</v>
      </c>
      <c r="T4630">
        <v>-0.27719949999999999</v>
      </c>
      <c r="U4630">
        <v>-2.7755429999999999</v>
      </c>
      <c r="V4630">
        <v>-0.25263340000000001</v>
      </c>
      <c r="W4630">
        <v>0.1487039</v>
      </c>
      <c r="X4630">
        <v>0.95606670000000005</v>
      </c>
      <c r="Y4630">
        <v>-0.3397559</v>
      </c>
      <c r="Z4630">
        <v>9.0550660000000005E-2</v>
      </c>
      <c r="AA4630">
        <v>0.93614450000000005</v>
      </c>
      <c r="AB4630">
        <v>29</v>
      </c>
      <c r="AC4630">
        <v>5.3967000000000098</v>
      </c>
      <c r="AD4630">
        <v>-1.1154396334729999</v>
      </c>
      <c r="AE4630">
        <v>-10.7295499999999</v>
      </c>
      <c r="AF4630">
        <v>-4.20088733764978</v>
      </c>
      <c r="AG4630">
        <v>-1.1154396334729999</v>
      </c>
      <c r="AH4630">
        <v>11.141973695263699</v>
      </c>
      <c r="AI4630">
        <v>95.351540617404098</v>
      </c>
      <c r="AJ4630">
        <v>110.658078438792</v>
      </c>
      <c r="AK4630">
        <v>11.959734019847501</v>
      </c>
      <c r="AL4630">
        <v>81.448176943396604</v>
      </c>
      <c r="AM4630">
        <v>104.80166270583899</v>
      </c>
      <c r="AN4630">
        <v>1.0000000097598301</v>
      </c>
    </row>
    <row r="4631" spans="1:40" x14ac:dyDescent="0.25">
      <c r="A4631" t="str">
        <f>"20190312164403150"</f>
        <v>20190312164403150</v>
      </c>
      <c r="B4631" t="str">
        <f>"1552380243139286"</f>
        <v>1552380243139286</v>
      </c>
      <c r="C4631" t="s">
        <v>40</v>
      </c>
      <c r="D4631">
        <v>5.067844</v>
      </c>
      <c r="E4631">
        <v>0.45309579999999999</v>
      </c>
      <c r="F4631" t="s">
        <v>50</v>
      </c>
      <c r="G4631">
        <v>-295.82729999999998</v>
      </c>
      <c r="H4631" s="1">
        <v>-8.6884070000000005E-6</v>
      </c>
      <c r="I4631">
        <v>-50.813429999999997</v>
      </c>
      <c r="J4631">
        <v>-301.16180000000003</v>
      </c>
      <c r="K4631">
        <v>1.1156109999999999</v>
      </c>
      <c r="L4631">
        <v>-41.010680000000001</v>
      </c>
      <c r="M4631">
        <v>0.1151479</v>
      </c>
      <c r="N4631">
        <v>0</v>
      </c>
      <c r="O4631">
        <v>-0.99325169999999996</v>
      </c>
      <c r="P4631">
        <v>0.36538300000000001</v>
      </c>
      <c r="Q4631">
        <v>0.1348782</v>
      </c>
      <c r="R4631">
        <v>-0.92103400000000002</v>
      </c>
      <c r="S4631">
        <v>1.443665</v>
      </c>
      <c r="T4631">
        <v>-0.2987688</v>
      </c>
      <c r="U4631">
        <v>-2.7373660000000002</v>
      </c>
      <c r="V4631">
        <v>-0.25876500000000002</v>
      </c>
      <c r="W4631">
        <v>0.1448315</v>
      </c>
      <c r="X4631">
        <v>0.95502069999999994</v>
      </c>
      <c r="Y4631">
        <v>-0.35930620000000002</v>
      </c>
      <c r="Z4631">
        <v>9.7520540000000003E-2</v>
      </c>
      <c r="AA4631">
        <v>0.9281104</v>
      </c>
      <c r="AB4631">
        <v>29</v>
      </c>
      <c r="AC4631">
        <v>5.3345000000000402</v>
      </c>
      <c r="AD4631">
        <v>-1.115619688407</v>
      </c>
      <c r="AE4631">
        <v>-9.8027499999999907</v>
      </c>
      <c r="AF4631">
        <v>-4.1288766060434998</v>
      </c>
      <c r="AG4631">
        <v>-1.115619688407</v>
      </c>
      <c r="AH4631">
        <v>10.249428346819499</v>
      </c>
      <c r="AI4631">
        <v>95.765203355093306</v>
      </c>
      <c r="AJ4631">
        <v>111.941532887596</v>
      </c>
      <c r="AK4631">
        <v>11.1059898592463</v>
      </c>
      <c r="AL4631">
        <v>81.6724782576443</v>
      </c>
      <c r="AM4631">
        <v>105.16041524984399</v>
      </c>
      <c r="AN4631">
        <v>1.0000000130228699</v>
      </c>
    </row>
    <row r="4632" spans="1:40" x14ac:dyDescent="0.25">
      <c r="A4632" t="str">
        <f>"20190312164403185"</f>
        <v>20190312164403185</v>
      </c>
      <c r="B4632" t="str">
        <f>"1552380243180278"</f>
        <v>1552380243180278</v>
      </c>
      <c r="C4632" t="s">
        <v>40</v>
      </c>
      <c r="D4632">
        <v>5.1204729999999996</v>
      </c>
      <c r="E4632">
        <v>0.45168940000000002</v>
      </c>
      <c r="F4632" t="s">
        <v>50</v>
      </c>
      <c r="G4632">
        <v>-295.81540000000001</v>
      </c>
      <c r="H4632" s="1">
        <v>-8.7147270000000003E-6</v>
      </c>
      <c r="I4632">
        <v>-50.616680000000002</v>
      </c>
      <c r="J4632">
        <v>-301.09949999999998</v>
      </c>
      <c r="K4632">
        <v>1.11578</v>
      </c>
      <c r="L4632">
        <v>-41.444400000000002</v>
      </c>
      <c r="M4632">
        <v>0.12577060000000001</v>
      </c>
      <c r="N4632">
        <v>0</v>
      </c>
      <c r="O4632">
        <v>-0.99196229999999996</v>
      </c>
      <c r="P4632">
        <v>0.38143959999999999</v>
      </c>
      <c r="Q4632">
        <v>0.13360949999999999</v>
      </c>
      <c r="R4632">
        <v>-0.91468749999999999</v>
      </c>
      <c r="S4632">
        <v>1.505981</v>
      </c>
      <c r="T4632">
        <v>-0.314247099999999</v>
      </c>
      <c r="U4632">
        <v>-2.7058110000000002</v>
      </c>
      <c r="V4632">
        <v>-0.26527800000000001</v>
      </c>
      <c r="W4632">
        <v>0.14337150000000001</v>
      </c>
      <c r="X4632">
        <v>0.95345279999999999</v>
      </c>
      <c r="Y4632">
        <v>-0.3699885</v>
      </c>
      <c r="Z4632">
        <v>0.1026059</v>
      </c>
      <c r="AA4632">
        <v>0.92335290000000003</v>
      </c>
      <c r="AB4632">
        <v>29</v>
      </c>
      <c r="AC4632">
        <v>5.2840999999999596</v>
      </c>
      <c r="AD4632">
        <v>-1.115788714727</v>
      </c>
      <c r="AE4632">
        <v>-9.1722800000000007</v>
      </c>
      <c r="AF4632">
        <v>-4.0434923092718096</v>
      </c>
      <c r="AG4632">
        <v>-1.115788714727</v>
      </c>
      <c r="AH4632">
        <v>9.6567865237182993</v>
      </c>
      <c r="AI4632">
        <v>96.083539403747196</v>
      </c>
      <c r="AJ4632">
        <v>112.720049112352</v>
      </c>
      <c r="AK4632">
        <v>10.5284538501966</v>
      </c>
      <c r="AL4632">
        <v>81.757012476189502</v>
      </c>
      <c r="AM4632">
        <v>105.548097168616</v>
      </c>
      <c r="AN4632">
        <v>1.0000000230620401</v>
      </c>
    </row>
    <row r="4633" spans="1:40" x14ac:dyDescent="0.25">
      <c r="A4633" t="str">
        <f>"20190312164403218"</f>
        <v>20190312164403218</v>
      </c>
      <c r="B4633" t="str">
        <f>"1552380243209558"</f>
        <v>1552380243209558</v>
      </c>
      <c r="C4633" t="s">
        <v>40</v>
      </c>
      <c r="D4633">
        <v>5.4666819999999996</v>
      </c>
      <c r="E4633">
        <v>0.45088050000000002</v>
      </c>
      <c r="F4633" t="s">
        <v>50</v>
      </c>
      <c r="G4633">
        <v>-295.71359999999999</v>
      </c>
      <c r="H4633" s="1">
        <v>-8.7456899999999993E-6</v>
      </c>
      <c r="I4633">
        <v>-50.658990000000003</v>
      </c>
      <c r="J4633">
        <v>-301.03300000000002</v>
      </c>
      <c r="K4633">
        <v>1.115891</v>
      </c>
      <c r="L4633">
        <v>-41.872500000000002</v>
      </c>
      <c r="M4633">
        <v>0.13651720000000001</v>
      </c>
      <c r="N4633">
        <v>0</v>
      </c>
      <c r="O4633">
        <v>-0.99053999999999998</v>
      </c>
      <c r="P4633">
        <v>0.40054610000000002</v>
      </c>
      <c r="Q4633">
        <v>0.1307828</v>
      </c>
      <c r="R4633">
        <v>-0.90689529999999996</v>
      </c>
      <c r="S4633">
        <v>1.563599</v>
      </c>
      <c r="T4633">
        <v>-0.32392729999999997</v>
      </c>
      <c r="U4633">
        <v>-2.6751100000000001</v>
      </c>
      <c r="V4633">
        <v>-0.27489980000000003</v>
      </c>
      <c r="W4633">
        <v>0.14032229999999901</v>
      </c>
      <c r="X4633">
        <v>0.95117810000000003</v>
      </c>
      <c r="Y4633">
        <v>-0.37919150000000001</v>
      </c>
      <c r="Z4633">
        <v>0.10581160000000001</v>
      </c>
      <c r="AA4633">
        <v>0.91924850000000002</v>
      </c>
      <c r="AB4633">
        <v>29</v>
      </c>
      <c r="AC4633">
        <v>5.3194000000000301</v>
      </c>
      <c r="AD4633">
        <v>-1.1158997456899999</v>
      </c>
      <c r="AE4633">
        <v>-8.7864899999999899</v>
      </c>
      <c r="AF4633">
        <v>-4.0224866587622898</v>
      </c>
      <c r="AG4633">
        <v>-1.1158997456899999</v>
      </c>
      <c r="AH4633">
        <v>9.3204597139962697</v>
      </c>
      <c r="AI4633">
        <v>96.273078770694994</v>
      </c>
      <c r="AJ4633">
        <v>113.343868279757</v>
      </c>
      <c r="AK4633">
        <v>10.2125707068582</v>
      </c>
      <c r="AL4633">
        <v>81.9335033228311</v>
      </c>
      <c r="AM4633">
        <v>106.119812514888</v>
      </c>
      <c r="AN4633">
        <v>1.0000000129184701</v>
      </c>
    </row>
    <row r="4634" spans="1:40" x14ac:dyDescent="0.25">
      <c r="A4634" t="str">
        <f>"20190312164403256"</f>
        <v>20190312164403256</v>
      </c>
      <c r="B4634" t="str">
        <f>"1552380243249575"</f>
        <v>1552380243249575</v>
      </c>
      <c r="C4634" t="s">
        <v>40</v>
      </c>
      <c r="D4634">
        <v>5.1017400000000004</v>
      </c>
      <c r="E4634">
        <v>0.38449670000000002</v>
      </c>
      <c r="F4634" t="s">
        <v>50</v>
      </c>
      <c r="G4634">
        <v>-295.55369999999999</v>
      </c>
      <c r="H4634" s="1">
        <v>-8.7883360000000004E-6</v>
      </c>
      <c r="I4634">
        <v>-50.778750000000002</v>
      </c>
      <c r="J4634">
        <v>-300.95319999999998</v>
      </c>
      <c r="K4634">
        <v>1.115988</v>
      </c>
      <c r="L4634">
        <v>-42.348140000000001</v>
      </c>
      <c r="M4634">
        <v>0.1487194</v>
      </c>
      <c r="N4634">
        <v>0</v>
      </c>
      <c r="O4634">
        <v>-0.98878149999999998</v>
      </c>
      <c r="P4634">
        <v>0.42316880000000001</v>
      </c>
      <c r="Q4634">
        <v>0.126442</v>
      </c>
      <c r="R4634">
        <v>-0.8971848</v>
      </c>
      <c r="S4634">
        <v>1.6233519999999999</v>
      </c>
      <c r="T4634">
        <v>-0.330609599999999</v>
      </c>
      <c r="U4634">
        <v>-2.6386720000000001</v>
      </c>
      <c r="V4634">
        <v>-0.28692420000000002</v>
      </c>
      <c r="W4634">
        <v>0.1357111</v>
      </c>
      <c r="X4634">
        <v>0.94829160000000001</v>
      </c>
      <c r="Y4634">
        <v>-0.38840970000000002</v>
      </c>
      <c r="Z4634">
        <v>0.10814120000000001</v>
      </c>
      <c r="AA4634">
        <v>0.91511929999999997</v>
      </c>
      <c r="AB4634">
        <v>29</v>
      </c>
      <c r="AC4634">
        <v>5.3994999999999802</v>
      </c>
      <c r="AD4634">
        <v>-1.115996788336</v>
      </c>
      <c r="AE4634">
        <v>-8.4306099999999997</v>
      </c>
      <c r="AF4634">
        <v>-4.0353827160431601</v>
      </c>
      <c r="AG4634">
        <v>-1.115996788336</v>
      </c>
      <c r="AH4634">
        <v>9.0277485597236709</v>
      </c>
      <c r="AI4634">
        <v>96.438974665885894</v>
      </c>
      <c r="AJ4634">
        <v>114.084532803698</v>
      </c>
      <c r="AK4634">
        <v>9.9513821429040199</v>
      </c>
      <c r="AL4634">
        <v>82.200258479107106</v>
      </c>
      <c r="AM4634">
        <v>106.834218824769</v>
      </c>
      <c r="AN4634">
        <v>0.99999997891970405</v>
      </c>
    </row>
    <row r="4635" spans="1:40" x14ac:dyDescent="0.25">
      <c r="A4635" t="str">
        <f>"20190312164403287"</f>
        <v>20190312164403287</v>
      </c>
      <c r="B4635" t="str">
        <f>"1552380243279830"</f>
        <v>1552380243279830</v>
      </c>
      <c r="C4635" t="s">
        <v>40</v>
      </c>
      <c r="D4635">
        <v>5.0069569999999999</v>
      </c>
      <c r="E4635">
        <v>0.37872230000000001</v>
      </c>
      <c r="F4635" t="s">
        <v>41</v>
      </c>
      <c r="G4635">
        <v>-300.31670000000003</v>
      </c>
      <c r="H4635">
        <v>1.004888</v>
      </c>
      <c r="I4635">
        <v>-43.043340000000001</v>
      </c>
      <c r="J4635">
        <v>-300.88010000000003</v>
      </c>
      <c r="K4635">
        <v>1.1160870000000001</v>
      </c>
      <c r="L4635">
        <v>-42.753169999999997</v>
      </c>
      <c r="M4635">
        <v>0.15936139999999999</v>
      </c>
      <c r="N4635">
        <v>0</v>
      </c>
      <c r="O4635">
        <v>-0.9871219</v>
      </c>
      <c r="P4635">
        <v>0.44257150000000001</v>
      </c>
      <c r="Q4635">
        <v>0.1245054</v>
      </c>
      <c r="R4635">
        <v>-0.888047899999999</v>
      </c>
      <c r="S4635">
        <v>2.1720280000000001</v>
      </c>
      <c r="T4635">
        <v>-0.37917440000000002</v>
      </c>
      <c r="U4635">
        <v>-2.3727420000000001</v>
      </c>
      <c r="V4635">
        <v>-0.29729620000000001</v>
      </c>
      <c r="W4635">
        <v>0.13351959999999999</v>
      </c>
      <c r="X4635">
        <v>0.94540329999999995</v>
      </c>
      <c r="Y4635">
        <v>-0.54407720000000004</v>
      </c>
      <c r="Z4635">
        <v>0.12112630000000001</v>
      </c>
      <c r="AA4635">
        <v>0.83024599999999904</v>
      </c>
      <c r="AB4635">
        <v>29</v>
      </c>
      <c r="AC4635">
        <v>0.56340000000000101</v>
      </c>
      <c r="AD4635">
        <v>-0.11119900000000001</v>
      </c>
      <c r="AE4635">
        <v>-0.29016999999999599</v>
      </c>
      <c r="AF4635">
        <v>-0.49472042993396798</v>
      </c>
      <c r="AG4635">
        <v>-0.11119900000000001</v>
      </c>
      <c r="AH4635">
        <v>0.36501564843976603</v>
      </c>
      <c r="AI4635">
        <v>100.25218504241001</v>
      </c>
      <c r="AJ4635">
        <v>143.57927520070601</v>
      </c>
      <c r="AK4635">
        <v>0.62477991725162996</v>
      </c>
      <c r="AL4635">
        <v>82.326975427612496</v>
      </c>
      <c r="AM4635">
        <v>107.456534130921</v>
      </c>
      <c r="AN4635">
        <v>0.99999995688474397</v>
      </c>
    </row>
    <row r="4636" spans="1:40" x14ac:dyDescent="0.25">
      <c r="A4636" t="str">
        <f>"20190312164403318"</f>
        <v>20190312164403318</v>
      </c>
      <c r="B4636" t="str">
        <f>"1552380243310086"</f>
        <v>1552380243310086</v>
      </c>
      <c r="C4636" t="s">
        <v>40</v>
      </c>
      <c r="D4636">
        <v>4.9647180000000004</v>
      </c>
      <c r="E4636">
        <v>0.37772460000000002</v>
      </c>
      <c r="F4636" t="s">
        <v>41</v>
      </c>
      <c r="G4636">
        <v>-300.13729999999998</v>
      </c>
      <c r="H4636">
        <v>0.97937799999999997</v>
      </c>
      <c r="I4636">
        <v>-43.508679999999998</v>
      </c>
      <c r="J4636">
        <v>-300.8057</v>
      </c>
      <c r="K4636">
        <v>1.1162080000000001</v>
      </c>
      <c r="L4636">
        <v>-43.141330000000004</v>
      </c>
      <c r="M4636">
        <v>0.1698104</v>
      </c>
      <c r="N4636">
        <v>0</v>
      </c>
      <c r="O4636">
        <v>-0.98537799999999998</v>
      </c>
      <c r="P4636">
        <v>0.46155590000000002</v>
      </c>
      <c r="Q4636">
        <v>0.12022620000000001</v>
      </c>
      <c r="R4636">
        <v>-0.87892709999999996</v>
      </c>
      <c r="S4636">
        <v>2.2675169999999998</v>
      </c>
      <c r="T4636">
        <v>-0.41738120000000001</v>
      </c>
      <c r="U4636">
        <v>-2.3066710000000001</v>
      </c>
      <c r="V4636">
        <v>-0.30748409999999998</v>
      </c>
      <c r="W4636">
        <v>0.12897539999999999</v>
      </c>
      <c r="X4636">
        <v>0.9427719</v>
      </c>
      <c r="Y4636">
        <v>-0.56354090000000001</v>
      </c>
      <c r="Z4636">
        <v>0.132884</v>
      </c>
      <c r="AA4636">
        <v>0.81533029999999995</v>
      </c>
      <c r="AB4636">
        <v>29</v>
      </c>
      <c r="AC4636">
        <v>0.66840000000001898</v>
      </c>
      <c r="AD4636">
        <v>-0.13683000000000001</v>
      </c>
      <c r="AE4636">
        <v>-0.36735000000000101</v>
      </c>
      <c r="AF4636">
        <v>-0.57771092450056205</v>
      </c>
      <c r="AG4636">
        <v>-0.13683000000000001</v>
      </c>
      <c r="AH4636">
        <v>0.46069835287479</v>
      </c>
      <c r="AI4636">
        <v>100.491042280394</v>
      </c>
      <c r="AJ4636">
        <v>141.42922227718901</v>
      </c>
      <c r="AK4636">
        <v>0.75147543774154002</v>
      </c>
      <c r="AL4636">
        <v>82.5896113053943</v>
      </c>
      <c r="AM4636">
        <v>108.063684360515</v>
      </c>
      <c r="AN4636">
        <v>0.99999999049378996</v>
      </c>
    </row>
    <row r="4637" spans="1:40" x14ac:dyDescent="0.25">
      <c r="A4637" t="str">
        <f>"20190312164403352"</f>
        <v>20190312164403352</v>
      </c>
      <c r="B4637" t="str">
        <f>"1552380243339366"</f>
        <v>1552380243339366</v>
      </c>
      <c r="C4637" t="s">
        <v>40</v>
      </c>
      <c r="D4637">
        <v>4.9188470000000004</v>
      </c>
      <c r="E4637">
        <v>0.37798179999999998</v>
      </c>
      <c r="F4637" t="s">
        <v>41</v>
      </c>
      <c r="G4637">
        <v>-300.14859999999999</v>
      </c>
      <c r="H4637">
        <v>0.98924889999999999</v>
      </c>
      <c r="I4637">
        <v>-43.779580000000003</v>
      </c>
      <c r="J4637">
        <v>-300.72120000000001</v>
      </c>
      <c r="K4637">
        <v>1.1163590000000001</v>
      </c>
      <c r="L4637">
        <v>-43.554139999999997</v>
      </c>
      <c r="M4637">
        <v>0.18129210000000001</v>
      </c>
      <c r="N4637">
        <v>0</v>
      </c>
      <c r="O4637">
        <v>-0.98332980000000003</v>
      </c>
      <c r="P4637">
        <v>0.48016259999999999</v>
      </c>
      <c r="Q4637">
        <v>0.11470660000000001</v>
      </c>
      <c r="R4637">
        <v>-0.86964730000000001</v>
      </c>
      <c r="S4637">
        <v>2.3223880000000001</v>
      </c>
      <c r="T4637">
        <v>-0.44860909999999898</v>
      </c>
      <c r="U4637">
        <v>-2.2550659999999998</v>
      </c>
      <c r="V4637">
        <v>-0.31639790000000001</v>
      </c>
      <c r="W4637">
        <v>0.1231869</v>
      </c>
      <c r="X4637">
        <v>0.94059409999999999</v>
      </c>
      <c r="Y4637">
        <v>-0.57188969999999995</v>
      </c>
      <c r="Z4637">
        <v>0.1428972</v>
      </c>
      <c r="AA4637">
        <v>0.80778870000000003</v>
      </c>
      <c r="AB4637">
        <v>29</v>
      </c>
      <c r="AC4637">
        <v>0.57260000000002198</v>
      </c>
      <c r="AD4637">
        <v>-0.1271101</v>
      </c>
      <c r="AE4637">
        <v>-0.22543999999999101</v>
      </c>
      <c r="AF4637">
        <v>-0.500865810379169</v>
      </c>
      <c r="AG4637">
        <v>-0.1271101</v>
      </c>
      <c r="AH4637">
        <v>0.31220149999344599</v>
      </c>
      <c r="AI4637">
        <v>102.154018203701</v>
      </c>
      <c r="AJ4637">
        <v>148.06373732062201</v>
      </c>
      <c r="AK4637">
        <v>0.60373281683783697</v>
      </c>
      <c r="AL4637">
        <v>82.923936086279198</v>
      </c>
      <c r="AM4637">
        <v>108.591956872419</v>
      </c>
      <c r="AN4637">
        <v>0.99999995220541305</v>
      </c>
    </row>
    <row r="4638" spans="1:40" x14ac:dyDescent="0.25">
      <c r="A4638" t="str">
        <f>"20190312164403386"</f>
        <v>20190312164403386</v>
      </c>
      <c r="B4638" t="str">
        <f>"1552380243379382"</f>
        <v>1552380243379382</v>
      </c>
      <c r="C4638" t="s">
        <v>40</v>
      </c>
      <c r="D4638">
        <v>4.8778829999999997</v>
      </c>
      <c r="E4638">
        <v>0.37914930000000002</v>
      </c>
      <c r="F4638" t="s">
        <v>50</v>
      </c>
      <c r="G4638">
        <v>-295.08429999999998</v>
      </c>
      <c r="H4638" s="1">
        <v>-5.8909050000000001E-6</v>
      </c>
      <c r="I4638">
        <v>-48.812759999999997</v>
      </c>
      <c r="J4638">
        <v>-300.62909999999999</v>
      </c>
      <c r="K4638">
        <v>1.116581</v>
      </c>
      <c r="L4638">
        <v>-43.977139999999999</v>
      </c>
      <c r="M4638">
        <v>0.1935066</v>
      </c>
      <c r="N4638">
        <v>0</v>
      </c>
      <c r="O4638">
        <v>-0.98099890000000001</v>
      </c>
      <c r="P4638">
        <v>0.49640489999999998</v>
      </c>
      <c r="Q4638">
        <v>0.1137022</v>
      </c>
      <c r="R4638">
        <v>-0.86061279999999996</v>
      </c>
      <c r="S4638">
        <v>2.3645939999999999</v>
      </c>
      <c r="T4638">
        <v>-0.4682963</v>
      </c>
      <c r="U4638">
        <v>-2.205902</v>
      </c>
      <c r="V4638">
        <v>-0.32238549999999999</v>
      </c>
      <c r="W4638">
        <v>0.1219329</v>
      </c>
      <c r="X4638">
        <v>0.93872250000000002</v>
      </c>
      <c r="Y4638">
        <v>-0.57717479999999999</v>
      </c>
      <c r="Z4638">
        <v>0.14952480000000001</v>
      </c>
      <c r="AA4638">
        <v>0.80281480000000005</v>
      </c>
      <c r="AB4638">
        <v>29</v>
      </c>
      <c r="AC4638">
        <v>5.5448000000000004</v>
      </c>
      <c r="AD4638">
        <v>-1.1165868909050001</v>
      </c>
      <c r="AE4638">
        <v>-4.8356199999999898</v>
      </c>
      <c r="AF4638">
        <v>-4.4027491402079502</v>
      </c>
      <c r="AG4638">
        <v>-1.1165868909050001</v>
      </c>
      <c r="AH4638">
        <v>5.6862884432946199</v>
      </c>
      <c r="AI4638">
        <v>98.825515067924798</v>
      </c>
      <c r="AJ4638">
        <v>127.74971156411701</v>
      </c>
      <c r="AK4638">
        <v>7.2776948642333696</v>
      </c>
      <c r="AL4638">
        <v>82.996331024740797</v>
      </c>
      <c r="AM4638">
        <v>108.95401083190001</v>
      </c>
      <c r="AN4638">
        <v>0.99999998735945494</v>
      </c>
    </row>
    <row r="4639" spans="1:40" x14ac:dyDescent="0.25">
      <c r="A4639" t="str">
        <f>"20190312164403419"</f>
        <v>20190312164403419</v>
      </c>
      <c r="B4639" t="str">
        <f>"1552380243409639"</f>
        <v>1552380243409639</v>
      </c>
      <c r="C4639" t="s">
        <v>40</v>
      </c>
      <c r="D4639">
        <v>4.8521879999999999</v>
      </c>
      <c r="E4639">
        <v>0.38050659999999997</v>
      </c>
      <c r="F4639" t="s">
        <v>50</v>
      </c>
      <c r="G4639">
        <v>-294.82350000000002</v>
      </c>
      <c r="H4639" s="1">
        <v>-6.0839429999999996E-6</v>
      </c>
      <c r="I4639">
        <v>-49.215220000000002</v>
      </c>
      <c r="J4639">
        <v>-300.53289999999998</v>
      </c>
      <c r="K4639">
        <v>1.1168149999999999</v>
      </c>
      <c r="L4639">
        <v>-44.391820000000003</v>
      </c>
      <c r="M4639">
        <v>0.20598320000000001</v>
      </c>
      <c r="N4639">
        <v>0</v>
      </c>
      <c r="O4639">
        <v>-0.9784545</v>
      </c>
      <c r="P4639">
        <v>0.51203140000000003</v>
      </c>
      <c r="Q4639">
        <v>0.1143935</v>
      </c>
      <c r="R4639">
        <v>-0.8513155</v>
      </c>
      <c r="S4639">
        <v>2.3980410000000001</v>
      </c>
      <c r="T4639">
        <v>-0.46121659999999998</v>
      </c>
      <c r="U4639">
        <v>-2.1636350000000002</v>
      </c>
      <c r="V4639">
        <v>-0.32766879999999998</v>
      </c>
      <c r="W4639">
        <v>0.1223683</v>
      </c>
      <c r="X4639">
        <v>0.93683470000000002</v>
      </c>
      <c r="Y4639">
        <v>-0.58039039999999997</v>
      </c>
      <c r="Z4639">
        <v>0.14775639999999901</v>
      </c>
      <c r="AA4639">
        <v>0.80082149999999996</v>
      </c>
      <c r="AB4639">
        <v>29</v>
      </c>
      <c r="AC4639">
        <v>5.7093999999999596</v>
      </c>
      <c r="AD4639">
        <v>-1.1168210839429999</v>
      </c>
      <c r="AE4639">
        <v>-4.8234000000000004</v>
      </c>
      <c r="AF4639">
        <v>-4.4929840804996797</v>
      </c>
      <c r="AG4639">
        <v>-1.1168210839429999</v>
      </c>
      <c r="AH4639">
        <v>5.7673286362478704</v>
      </c>
      <c r="AI4639">
        <v>98.685442349808199</v>
      </c>
      <c r="AJ4639">
        <v>127.920044099376</v>
      </c>
      <c r="AK4639">
        <v>7.39569299522688</v>
      </c>
      <c r="AL4639">
        <v>82.971196658859697</v>
      </c>
      <c r="AM4639">
        <v>109.277876464424</v>
      </c>
      <c r="AN4639">
        <v>1.0000000492312</v>
      </c>
    </row>
    <row r="4640" spans="1:40" x14ac:dyDescent="0.25">
      <c r="A4640" t="str">
        <f>"20190312164403456"</f>
        <v>20190312164403456</v>
      </c>
      <c r="B4640" t="str">
        <f>"1552380243449655"</f>
        <v>1552380243449655</v>
      </c>
      <c r="C4640" t="s">
        <v>40</v>
      </c>
      <c r="D4640">
        <v>4.8632470000000003</v>
      </c>
      <c r="E4640">
        <v>0.38213570000000002</v>
      </c>
      <c r="F4640" t="s">
        <v>41</v>
      </c>
      <c r="G4640">
        <v>-299.8442</v>
      </c>
      <c r="H4640">
        <v>0.98803470000000004</v>
      </c>
      <c r="I4640">
        <v>-44.995220000000003</v>
      </c>
      <c r="J4640">
        <v>-300.42200000000003</v>
      </c>
      <c r="K4640">
        <v>1.1170910000000001</v>
      </c>
      <c r="L4640">
        <v>-44.838709999999999</v>
      </c>
      <c r="M4640">
        <v>0.22011330000000001</v>
      </c>
      <c r="N4640">
        <v>0</v>
      </c>
      <c r="O4640">
        <v>-0.97537260000000003</v>
      </c>
      <c r="P4640">
        <v>0.52788290000000004</v>
      </c>
      <c r="Q4640">
        <v>0.1154979</v>
      </c>
      <c r="R4640">
        <v>-0.8414277</v>
      </c>
      <c r="S4640">
        <v>2.4259339999999998</v>
      </c>
      <c r="T4640">
        <v>-0.45367829999999898</v>
      </c>
      <c r="U4640">
        <v>-2.1258240000000002</v>
      </c>
      <c r="V4640">
        <v>-0.33180320000000002</v>
      </c>
      <c r="W4640">
        <v>0.123195</v>
      </c>
      <c r="X4640">
        <v>0.93526980000000004</v>
      </c>
      <c r="Y4640">
        <v>-0.58051459999999999</v>
      </c>
      <c r="Z4640">
        <v>0.14578759999999999</v>
      </c>
      <c r="AA4640">
        <v>0.80109219999999903</v>
      </c>
      <c r="AB4640">
        <v>29</v>
      </c>
      <c r="AC4640">
        <v>0.57780000000002396</v>
      </c>
      <c r="AD4640">
        <v>-0.12905630000000001</v>
      </c>
      <c r="AE4640">
        <v>-0.15651000000000401</v>
      </c>
      <c r="AF4640">
        <v>-0.50567001769490405</v>
      </c>
      <c r="AG4640">
        <v>-0.12905630000000001</v>
      </c>
      <c r="AH4640">
        <v>0.26743479923478097</v>
      </c>
      <c r="AI4640">
        <v>102.713605693806</v>
      </c>
      <c r="AJ4640">
        <v>152.12688267871101</v>
      </c>
      <c r="AK4640">
        <v>0.58641202853198904</v>
      </c>
      <c r="AL4640">
        <v>82.923468662779101</v>
      </c>
      <c r="AM4640">
        <v>109.533024103744</v>
      </c>
      <c r="AN4640">
        <v>0.99999998517363997</v>
      </c>
    </row>
    <row r="4641" spans="1:40" x14ac:dyDescent="0.25">
      <c r="A4641" t="str">
        <f>"20190312164403487"</f>
        <v>20190312164403487</v>
      </c>
      <c r="B4641" t="str">
        <f>"1552380243479911"</f>
        <v>1552380243479911</v>
      </c>
      <c r="C4641" t="s">
        <v>40</v>
      </c>
      <c r="D4641">
        <v>4.8444710000000004</v>
      </c>
      <c r="E4641">
        <v>0.3831618</v>
      </c>
      <c r="F4641" t="s">
        <v>41</v>
      </c>
      <c r="G4641">
        <v>-299.68630000000002</v>
      </c>
      <c r="H4641">
        <v>0.98370290000000005</v>
      </c>
      <c r="I4641">
        <v>-45.464370000000002</v>
      </c>
      <c r="J4641">
        <v>-300.31920000000002</v>
      </c>
      <c r="K4641">
        <v>1.1173879999999901</v>
      </c>
      <c r="L4641">
        <v>-45.228209999999997</v>
      </c>
      <c r="M4641">
        <v>0.2330747</v>
      </c>
      <c r="N4641">
        <v>0</v>
      </c>
      <c r="O4641">
        <v>-0.972356</v>
      </c>
      <c r="P4641">
        <v>0.54178130000000002</v>
      </c>
      <c r="Q4641">
        <v>0.1151528</v>
      </c>
      <c r="R4641">
        <v>-0.83259430000000001</v>
      </c>
      <c r="S4641">
        <v>2.454224</v>
      </c>
      <c r="T4641">
        <v>-0.44491649999999999</v>
      </c>
      <c r="U4641">
        <v>-2.0867610000000001</v>
      </c>
      <c r="V4641">
        <v>-0.33496090000000001</v>
      </c>
      <c r="W4641">
        <v>0.1225897</v>
      </c>
      <c r="X4641">
        <v>0.93422320000000003</v>
      </c>
      <c r="Y4641">
        <v>-0.58195299999999905</v>
      </c>
      <c r="Z4641">
        <v>0.14339560000000001</v>
      </c>
      <c r="AA4641">
        <v>0.80048009999999903</v>
      </c>
      <c r="AB4641">
        <v>29</v>
      </c>
      <c r="AC4641">
        <v>0.63290000000000601</v>
      </c>
      <c r="AD4641">
        <v>-0.133685099999999</v>
      </c>
      <c r="AE4641">
        <v>-0.236160000000005</v>
      </c>
      <c r="AF4641">
        <v>-0.53929641479055102</v>
      </c>
      <c r="AG4641">
        <v>-0.133685099999999</v>
      </c>
      <c r="AH4641">
        <v>0.362967168236486</v>
      </c>
      <c r="AI4641">
        <v>101.620779867525</v>
      </c>
      <c r="AJ4641">
        <v>146.057934084062</v>
      </c>
      <c r="AK4641">
        <v>0.66366971769515404</v>
      </c>
      <c r="AL4641">
        <v>82.958414888522199</v>
      </c>
      <c r="AM4641">
        <v>109.725032834259</v>
      </c>
      <c r="AN4641">
        <v>1.0000000132465701</v>
      </c>
    </row>
    <row r="4642" spans="1:40" x14ac:dyDescent="0.25">
      <c r="A4642" t="str">
        <f>"20190312164403518"</f>
        <v>20190312164403518</v>
      </c>
      <c r="B4642" t="str">
        <f>"1552380243510166"</f>
        <v>1552380243510166</v>
      </c>
      <c r="C4642" t="s">
        <v>40</v>
      </c>
      <c r="D4642">
        <v>4.8378259999999997</v>
      </c>
      <c r="E4642">
        <v>0.38432650000000002</v>
      </c>
      <c r="F4642" t="s">
        <v>50</v>
      </c>
      <c r="G4642">
        <v>-294.00760000000002</v>
      </c>
      <c r="H4642" s="1">
        <v>-9.3698759999999992E-6</v>
      </c>
      <c r="I4642">
        <v>-50.433430000000001</v>
      </c>
      <c r="J4642">
        <v>-300.21080000000001</v>
      </c>
      <c r="K4642">
        <v>1.117686</v>
      </c>
      <c r="L4642">
        <v>-45.61533</v>
      </c>
      <c r="M4642">
        <v>0.2465668</v>
      </c>
      <c r="N4642">
        <v>0</v>
      </c>
      <c r="O4642">
        <v>-0.96902169999999999</v>
      </c>
      <c r="P4642">
        <v>0.55620019999999903</v>
      </c>
      <c r="Q4642">
        <v>0.1132624</v>
      </c>
      <c r="R4642">
        <v>-0.82329419999999898</v>
      </c>
      <c r="S4642">
        <v>2.483368</v>
      </c>
      <c r="T4642">
        <v>-0.43965549999999998</v>
      </c>
      <c r="U4642">
        <v>-2.0480649999999998</v>
      </c>
      <c r="V4642">
        <v>-0.33824599999999999</v>
      </c>
      <c r="W4642">
        <v>0.1204239</v>
      </c>
      <c r="X4642">
        <v>0.93332079999999995</v>
      </c>
      <c r="Y4642">
        <v>-0.58289749999999996</v>
      </c>
      <c r="Z4642">
        <v>0.14200279999999901</v>
      </c>
      <c r="AA4642">
        <v>0.800041</v>
      </c>
      <c r="AB4642">
        <v>29</v>
      </c>
      <c r="AC4642">
        <v>6.2031999999999803</v>
      </c>
      <c r="AD4642">
        <v>-1.1176953698759999</v>
      </c>
      <c r="AE4642">
        <v>-4.8181000000000003</v>
      </c>
      <c r="AF4642">
        <v>-4.7278047782444004</v>
      </c>
      <c r="AG4642">
        <v>-1.1176953698759999</v>
      </c>
      <c r="AH4642">
        <v>6.0759397457814996</v>
      </c>
      <c r="AI4642">
        <v>98.260528990692194</v>
      </c>
      <c r="AJ4642">
        <v>127.88716679729001</v>
      </c>
      <c r="AK4642">
        <v>7.77935889102696</v>
      </c>
      <c r="AL4642">
        <v>83.083432282775604</v>
      </c>
      <c r="AM4642">
        <v>109.921088414165</v>
      </c>
      <c r="AN4642">
        <v>0.99999999395992401</v>
      </c>
    </row>
    <row r="4643" spans="1:40" x14ac:dyDescent="0.25">
      <c r="A4643" t="str">
        <f>"20190312164403553"</f>
        <v>20190312164403553</v>
      </c>
      <c r="B4643" t="str">
        <f>"1552380243550183"</f>
        <v>1552380243550183</v>
      </c>
      <c r="C4643" t="s">
        <v>40</v>
      </c>
      <c r="D4643">
        <v>4.8965680000000003</v>
      </c>
      <c r="E4643">
        <v>0.38592340000000003</v>
      </c>
      <c r="F4643" t="s">
        <v>41</v>
      </c>
      <c r="G4643">
        <v>-299.49470000000002</v>
      </c>
      <c r="H4643">
        <v>0.99210529999999997</v>
      </c>
      <c r="I4643">
        <v>-46.18824</v>
      </c>
      <c r="J4643">
        <v>-300.08980000000003</v>
      </c>
      <c r="K4643">
        <v>1.1180060000000001</v>
      </c>
      <c r="L4643">
        <v>-46.021450000000002</v>
      </c>
      <c r="M4643">
        <v>0.26145089999999999</v>
      </c>
      <c r="N4643">
        <v>0</v>
      </c>
      <c r="O4643">
        <v>-0.96511150000000001</v>
      </c>
      <c r="P4643">
        <v>0.57179019999999903</v>
      </c>
      <c r="Q4643">
        <v>0.1134223</v>
      </c>
      <c r="R4643">
        <v>-0.81252190000000002</v>
      </c>
      <c r="S4643">
        <v>2.5108640000000002</v>
      </c>
      <c r="T4643">
        <v>-0.4402335</v>
      </c>
      <c r="U4643">
        <v>-2.0081790000000002</v>
      </c>
      <c r="V4643">
        <v>-0.34177990000000003</v>
      </c>
      <c r="W4643">
        <v>0.12028469999999999</v>
      </c>
      <c r="X4643">
        <v>0.9320505</v>
      </c>
      <c r="Y4643">
        <v>-0.58241949999999998</v>
      </c>
      <c r="Z4643">
        <v>0.14246989999999901</v>
      </c>
      <c r="AA4643">
        <v>0.80030610000000002</v>
      </c>
      <c r="AB4643">
        <v>29</v>
      </c>
      <c r="AC4643">
        <v>0.59510000000000196</v>
      </c>
      <c r="AD4643">
        <v>-0.1259007</v>
      </c>
      <c r="AE4643">
        <v>-0.166789999999998</v>
      </c>
      <c r="AF4643">
        <v>-0.50963516752140103</v>
      </c>
      <c r="AG4643">
        <v>-0.1259007</v>
      </c>
      <c r="AH4643">
        <v>0.303977845370202</v>
      </c>
      <c r="AI4643">
        <v>101.978601830659</v>
      </c>
      <c r="AJ4643">
        <v>149.18554319237501</v>
      </c>
      <c r="AK4643">
        <v>0.60661480422997205</v>
      </c>
      <c r="AL4643">
        <v>83.091466447701094</v>
      </c>
      <c r="AM4643">
        <v>110.13782337578201</v>
      </c>
      <c r="AN4643">
        <v>1.00000002182417</v>
      </c>
    </row>
    <row r="4644" spans="1:40" x14ac:dyDescent="0.25">
      <c r="A4644" t="str">
        <f>"20190312164403586"</f>
        <v>20190312164403586</v>
      </c>
      <c r="B4644" t="str">
        <f>"1552380243579466"</f>
        <v>1552380243579466</v>
      </c>
      <c r="C4644" t="s">
        <v>40</v>
      </c>
      <c r="D4644">
        <v>4.879537</v>
      </c>
      <c r="E4644">
        <v>0.40210050000000003</v>
      </c>
      <c r="F4644" t="s">
        <v>41</v>
      </c>
      <c r="G4644">
        <v>-299.29790000000003</v>
      </c>
      <c r="H4644">
        <v>0.98211349999999997</v>
      </c>
      <c r="I4644">
        <v>-46.6355</v>
      </c>
      <c r="J4644">
        <v>-299.96260000000001</v>
      </c>
      <c r="K4644">
        <v>1.1183479999999999</v>
      </c>
      <c r="L4644">
        <v>-46.423520000000003</v>
      </c>
      <c r="M4644">
        <v>0.27688020000000002</v>
      </c>
      <c r="N4644">
        <v>0</v>
      </c>
      <c r="O4644">
        <v>-0.96079769999999998</v>
      </c>
      <c r="P4644">
        <v>0.58650679999999999</v>
      </c>
      <c r="Q4644">
        <v>0.1162334</v>
      </c>
      <c r="R4644">
        <v>-0.80156079999999996</v>
      </c>
      <c r="S4644">
        <v>2.5373839999999999</v>
      </c>
      <c r="T4644">
        <v>-0.43539800000000001</v>
      </c>
      <c r="U4644">
        <v>-1.9673769999999999</v>
      </c>
      <c r="V4644">
        <v>-0.3441031</v>
      </c>
      <c r="W4644">
        <v>0.1228259</v>
      </c>
      <c r="X4644">
        <v>0.93086349999999995</v>
      </c>
      <c r="Y4644">
        <v>-0.58168359999999997</v>
      </c>
      <c r="Z4644">
        <v>0.14119979999999999</v>
      </c>
      <c r="AA4644">
        <v>0.8010661</v>
      </c>
      <c r="AB4644">
        <v>29</v>
      </c>
      <c r="AC4644">
        <v>0.66469999999998197</v>
      </c>
      <c r="AD4644">
        <v>-0.13623449999999901</v>
      </c>
      <c r="AE4644">
        <v>-0.211979999999996</v>
      </c>
      <c r="AF4644">
        <v>-0.55870565045148102</v>
      </c>
      <c r="AG4644">
        <v>-0.13623449999999901</v>
      </c>
      <c r="AH4644">
        <v>0.37351028349056398</v>
      </c>
      <c r="AI4644">
        <v>101.45928708252499</v>
      </c>
      <c r="AJ4644">
        <v>146.236169873189</v>
      </c>
      <c r="AK4644">
        <v>0.68572718679505795</v>
      </c>
      <c r="AL4644">
        <v>82.944778482579693</v>
      </c>
      <c r="AM4644">
        <v>110.287342343459</v>
      </c>
      <c r="AN4644">
        <v>1.0000000003863301</v>
      </c>
    </row>
    <row r="4645" spans="1:40" x14ac:dyDescent="0.25">
      <c r="A4645" t="str">
        <f>"20190312164403619"</f>
        <v>20190312164403619</v>
      </c>
      <c r="B4645" t="str">
        <f>"1552380243609719"</f>
        <v>1552380243609719</v>
      </c>
      <c r="C4645" t="s">
        <v>40</v>
      </c>
      <c r="D4645">
        <v>4.8779510000000004</v>
      </c>
      <c r="E4645">
        <v>0.37525140000000001</v>
      </c>
      <c r="F4645" t="s">
        <v>41</v>
      </c>
      <c r="G4645">
        <v>-299.1302</v>
      </c>
      <c r="H4645">
        <v>0.9941314</v>
      </c>
      <c r="I4645">
        <v>-47.096589999999999</v>
      </c>
      <c r="J4645">
        <v>-299.82979999999998</v>
      </c>
      <c r="K4645">
        <v>1.1186560000000001</v>
      </c>
      <c r="L4645">
        <v>-46.81915</v>
      </c>
      <c r="M4645">
        <v>0.2926975</v>
      </c>
      <c r="N4645">
        <v>0</v>
      </c>
      <c r="O4645">
        <v>-0.95609690000000003</v>
      </c>
      <c r="P4645">
        <v>0.60226449999999998</v>
      </c>
      <c r="Q4645">
        <v>0.1175197</v>
      </c>
      <c r="R4645">
        <v>-0.78959939999999995</v>
      </c>
      <c r="S4645">
        <v>2.4650880000000002</v>
      </c>
      <c r="T4645">
        <v>-0.36774089999999998</v>
      </c>
      <c r="U4645">
        <v>-1.99231</v>
      </c>
      <c r="V4645">
        <v>-0.34735189999999999</v>
      </c>
      <c r="W4645">
        <v>0.12383810000000001</v>
      </c>
      <c r="X4645">
        <v>0.92952179999999995</v>
      </c>
      <c r="Y4645">
        <v>-0.55390410000000001</v>
      </c>
      <c r="Z4645">
        <v>0.1204894</v>
      </c>
      <c r="AA4645">
        <v>0.82381589999999905</v>
      </c>
      <c r="AB4645">
        <v>29</v>
      </c>
      <c r="AC4645">
        <v>0.69959999999997502</v>
      </c>
      <c r="AD4645">
        <v>-0.124524599999999</v>
      </c>
      <c r="AE4645">
        <v>-0.27743999999999802</v>
      </c>
      <c r="AF4645">
        <v>-0.57207871902709795</v>
      </c>
      <c r="AG4645">
        <v>-0.124524599999999</v>
      </c>
      <c r="AH4645">
        <v>0.45755314769971001</v>
      </c>
      <c r="AI4645">
        <v>99.647373689433493</v>
      </c>
      <c r="AJ4645">
        <v>141.34689946470399</v>
      </c>
      <c r="AK4645">
        <v>0.74305808638272597</v>
      </c>
      <c r="AL4645">
        <v>82.886337498658705</v>
      </c>
      <c r="AM4645">
        <v>110.49015351146301</v>
      </c>
      <c r="AN4645">
        <v>0.99999999706023002</v>
      </c>
    </row>
    <row r="4646" spans="1:40" x14ac:dyDescent="0.25">
      <c r="A4646" t="str">
        <f>"20190312164403654"</f>
        <v>20190312164403654</v>
      </c>
      <c r="B4646" t="str">
        <f>"1552380243649734"</f>
        <v>1552380243649734</v>
      </c>
      <c r="C4646" t="s">
        <v>40</v>
      </c>
      <c r="D4646">
        <v>4.850212</v>
      </c>
      <c r="E4646">
        <v>0.36503849999999999</v>
      </c>
      <c r="F4646" t="s">
        <v>41</v>
      </c>
      <c r="G4646">
        <v>-299.06479999999999</v>
      </c>
      <c r="H4646">
        <v>1.028745</v>
      </c>
      <c r="I4646">
        <v>-47.337679999999999</v>
      </c>
      <c r="J4646">
        <v>-299.68680000000001</v>
      </c>
      <c r="K4646">
        <v>1.118932</v>
      </c>
      <c r="L4646">
        <v>-47.219760000000001</v>
      </c>
      <c r="M4646">
        <v>0.30936010000000003</v>
      </c>
      <c r="N4646">
        <v>0</v>
      </c>
      <c r="O4646">
        <v>-0.95083490000000004</v>
      </c>
      <c r="P4646">
        <v>0.62021549999999903</v>
      </c>
      <c r="Q4646">
        <v>0.1176334</v>
      </c>
      <c r="R4646">
        <v>-0.77556130000000001</v>
      </c>
      <c r="S4646">
        <v>2.6698909999999998</v>
      </c>
      <c r="T4646">
        <v>-0.31378820000000002</v>
      </c>
      <c r="U4646">
        <v>-1.809601</v>
      </c>
      <c r="V4646">
        <v>-0.35252460000000002</v>
      </c>
      <c r="W4646">
        <v>0.12364070000000001</v>
      </c>
      <c r="X4646">
        <v>0.9275987</v>
      </c>
      <c r="Y4646">
        <v>-0.60915079999999999</v>
      </c>
      <c r="Z4646">
        <v>0.10232380000000001</v>
      </c>
      <c r="AA4646">
        <v>0.7864255</v>
      </c>
      <c r="AB4646">
        <v>28</v>
      </c>
      <c r="AC4646">
        <v>0.62200000000001399</v>
      </c>
      <c r="AD4646">
        <v>-9.0187000000000003E-2</v>
      </c>
      <c r="AE4646">
        <v>-0.117919999999998</v>
      </c>
      <c r="AF4646">
        <v>-0.543958452307577</v>
      </c>
      <c r="AG4646">
        <v>-9.0187000000000003E-2</v>
      </c>
      <c r="AH4646">
        <v>0.29851812570186398</v>
      </c>
      <c r="AI4646">
        <v>98.269958429969194</v>
      </c>
      <c r="AJ4646">
        <v>151.242527700556</v>
      </c>
      <c r="AK4646">
        <v>0.62700682945117003</v>
      </c>
      <c r="AL4646">
        <v>82.897735174828995</v>
      </c>
      <c r="AM4646">
        <v>110.808793097899</v>
      </c>
      <c r="AN4646">
        <v>0.99999998227166897</v>
      </c>
    </row>
    <row r="4647" spans="1:40" x14ac:dyDescent="0.25">
      <c r="A4647" t="str">
        <f>"20190312164403686"</f>
        <v>20190312164403686</v>
      </c>
      <c r="B4647" t="str">
        <f>"1552380243679991"</f>
        <v>1552380243679991</v>
      </c>
      <c r="C4647" t="s">
        <v>40</v>
      </c>
      <c r="D4647">
        <v>4.8746989999999997</v>
      </c>
      <c r="E4647">
        <v>0.36423410000000001</v>
      </c>
      <c r="F4647" t="s">
        <v>50</v>
      </c>
      <c r="G4647">
        <v>-290.28280000000001</v>
      </c>
      <c r="H4647" s="1">
        <v>-1.041998E-5</v>
      </c>
      <c r="I4647">
        <v>-52.974800000000002</v>
      </c>
      <c r="J4647">
        <v>-299.53960000000001</v>
      </c>
      <c r="K4647">
        <v>1.1191789999999999</v>
      </c>
      <c r="L4647">
        <v>-47.609310000000001</v>
      </c>
      <c r="M4647">
        <v>0.32610149999999999</v>
      </c>
      <c r="N4647">
        <v>0</v>
      </c>
      <c r="O4647">
        <v>-0.94522329999999999</v>
      </c>
      <c r="P4647">
        <v>0.63739089999999998</v>
      </c>
      <c r="Q4647">
        <v>0.11829720000000001</v>
      </c>
      <c r="R4647">
        <v>-0.76140600000000003</v>
      </c>
      <c r="S4647">
        <v>2.7756349999999999</v>
      </c>
      <c r="T4647">
        <v>-0.33026329999999998</v>
      </c>
      <c r="U4647">
        <v>-1.698639</v>
      </c>
      <c r="V4647">
        <v>-0.3570024</v>
      </c>
      <c r="W4647">
        <v>0.1240245</v>
      </c>
      <c r="X4647">
        <v>0.92583320000000002</v>
      </c>
      <c r="Y4647">
        <v>-0.63104539999999998</v>
      </c>
      <c r="Z4647">
        <v>0.1072391</v>
      </c>
      <c r="AA4647">
        <v>0.76829780000000003</v>
      </c>
      <c r="AB4647">
        <v>28</v>
      </c>
      <c r="AC4647">
        <v>9.2567999999999895</v>
      </c>
      <c r="AD4647">
        <v>-1.1191894199799901</v>
      </c>
      <c r="AE4647">
        <v>-5.3654900000000003</v>
      </c>
      <c r="AF4647">
        <v>-6.9250141010788404</v>
      </c>
      <c r="AG4647">
        <v>-1.1191894199799901</v>
      </c>
      <c r="AH4647">
        <v>8.0035219677287603</v>
      </c>
      <c r="AI4647">
        <v>96.0364629965148</v>
      </c>
      <c r="AJ4647">
        <v>130.86786158885101</v>
      </c>
      <c r="AK4647">
        <v>10.642592219278701</v>
      </c>
      <c r="AL4647">
        <v>82.875574270754797</v>
      </c>
      <c r="AM4647">
        <v>111.08669946396699</v>
      </c>
      <c r="AN4647">
        <v>0.99999995221412397</v>
      </c>
    </row>
    <row r="4648" spans="1:40" x14ac:dyDescent="0.25">
      <c r="A4648" t="str">
        <f>"20190312164403720"</f>
        <v>20190312164403720</v>
      </c>
      <c r="B4648" t="str">
        <f>"1552380243709270"</f>
        <v>1552380243709270</v>
      </c>
      <c r="C4648" t="s">
        <v>40</v>
      </c>
      <c r="D4648">
        <v>4.9163019999999999</v>
      </c>
      <c r="E4648">
        <v>0.36469459999999998</v>
      </c>
      <c r="F4648" t="s">
        <v>50</v>
      </c>
      <c r="G4648">
        <v>-290.21530000000001</v>
      </c>
      <c r="H4648" s="1">
        <v>-1.044124E-5</v>
      </c>
      <c r="I4648">
        <v>-53.007770000000001</v>
      </c>
      <c r="J4648">
        <v>-299.38780000000003</v>
      </c>
      <c r="K4648">
        <v>1.119389</v>
      </c>
      <c r="L4648">
        <v>-47.989750000000001</v>
      </c>
      <c r="M4648">
        <v>0.34290959999999998</v>
      </c>
      <c r="N4648">
        <v>0</v>
      </c>
      <c r="O4648">
        <v>-0.93925510000000001</v>
      </c>
      <c r="P4648">
        <v>0.65608389999999905</v>
      </c>
      <c r="Q4648">
        <v>0.1189149</v>
      </c>
      <c r="R4648">
        <v>-0.7452607</v>
      </c>
      <c r="S4648">
        <v>2.8194889999999999</v>
      </c>
      <c r="T4648">
        <v>-0.33842030000000001</v>
      </c>
      <c r="U4648">
        <v>-1.632385</v>
      </c>
      <c r="V4648">
        <v>-0.36357519999999999</v>
      </c>
      <c r="W4648">
        <v>0.1243225</v>
      </c>
      <c r="X4648">
        <v>0.92323180000000005</v>
      </c>
      <c r="Y4648">
        <v>-0.63572269999999997</v>
      </c>
      <c r="Z4648">
        <v>0.1098672</v>
      </c>
      <c r="AA4648">
        <v>0.76405880000000004</v>
      </c>
      <c r="AB4648">
        <v>28</v>
      </c>
      <c r="AC4648">
        <v>9.1725000000000101</v>
      </c>
      <c r="AD4648">
        <v>-1.1193994412399999</v>
      </c>
      <c r="AE4648">
        <v>-5.0180199999999902</v>
      </c>
      <c r="AF4648">
        <v>-6.81718037381758</v>
      </c>
      <c r="AG4648">
        <v>-1.1193994412399999</v>
      </c>
      <c r="AH4648">
        <v>7.7703065351823497</v>
      </c>
      <c r="AI4648">
        <v>96.180563590264697</v>
      </c>
      <c r="AJ4648">
        <v>131.26168698163301</v>
      </c>
      <c r="AK4648">
        <v>10.397339419722201</v>
      </c>
      <c r="AL4648">
        <v>82.858367175018202</v>
      </c>
      <c r="AM4648">
        <v>111.494870396868</v>
      </c>
      <c r="AN4648">
        <v>0.99999998329626505</v>
      </c>
    </row>
    <row r="4649" spans="1:40" x14ac:dyDescent="0.25">
      <c r="A4649" t="str">
        <f>"20190312164403749"</f>
        <v>20190312164403749</v>
      </c>
      <c r="B4649" t="str">
        <f>"1552380243739526"</f>
        <v>1552380243739526</v>
      </c>
      <c r="C4649" t="s">
        <v>40</v>
      </c>
      <c r="D4649">
        <v>4.9609360000000002</v>
      </c>
      <c r="E4649">
        <v>0.3658324</v>
      </c>
      <c r="F4649" t="s">
        <v>50</v>
      </c>
      <c r="G4649">
        <v>-289.93509999999998</v>
      </c>
      <c r="H4649" s="1">
        <v>-2.493472E-6</v>
      </c>
      <c r="I4649">
        <v>-53.157389999999999</v>
      </c>
      <c r="J4649">
        <v>-299.24779999999998</v>
      </c>
      <c r="K4649">
        <v>1.1195389999999901</v>
      </c>
      <c r="L4649">
        <v>-48.322270000000003</v>
      </c>
      <c r="M4649">
        <v>0.357958099999999</v>
      </c>
      <c r="N4649">
        <v>0</v>
      </c>
      <c r="O4649">
        <v>-0.93362299999999998</v>
      </c>
      <c r="P4649">
        <v>0.67136209999999996</v>
      </c>
      <c r="Q4649">
        <v>0.11868099999999999</v>
      </c>
      <c r="R4649">
        <v>-0.73156519999999903</v>
      </c>
      <c r="S4649">
        <v>2.8587039999999999</v>
      </c>
      <c r="T4649">
        <v>-0.33852739999999998</v>
      </c>
      <c r="U4649">
        <v>-1.562805</v>
      </c>
      <c r="V4649">
        <v>-0.36787530000000002</v>
      </c>
      <c r="W4649">
        <v>0.1238698</v>
      </c>
      <c r="X4649">
        <v>0.92158779999999996</v>
      </c>
      <c r="Y4649">
        <v>-0.64206430000000003</v>
      </c>
      <c r="Z4649">
        <v>0.11005669999999999</v>
      </c>
      <c r="AA4649">
        <v>0.75871009999999905</v>
      </c>
      <c r="AB4649">
        <v>28</v>
      </c>
      <c r="AC4649">
        <v>9.3126999999999995</v>
      </c>
      <c r="AD4649">
        <v>-1.1195414934719901</v>
      </c>
      <c r="AE4649">
        <v>-4.8351199999999901</v>
      </c>
      <c r="AF4649">
        <v>-6.8861380363517197</v>
      </c>
      <c r="AG4649">
        <v>-1.1195414934719901</v>
      </c>
      <c r="AH4649">
        <v>7.7602374938373098</v>
      </c>
      <c r="AI4649">
        <v>96.158832630414807</v>
      </c>
      <c r="AJ4649">
        <v>131.58462418843101</v>
      </c>
      <c r="AK4649">
        <v>10.4352075289403</v>
      </c>
      <c r="AL4649">
        <v>82.884507282105702</v>
      </c>
      <c r="AM4649">
        <v>111.76067501718001</v>
      </c>
      <c r="AN4649">
        <v>1.00000001840548</v>
      </c>
    </row>
    <row r="4650" spans="1:40" x14ac:dyDescent="0.25">
      <c r="A4650" t="str">
        <f>"20190312164403771"</f>
        <v>20190312164403771</v>
      </c>
      <c r="B4650" t="str">
        <f>"1552380243760023"</f>
        <v>1552380243760023</v>
      </c>
      <c r="C4650" t="s">
        <v>40</v>
      </c>
      <c r="D4650">
        <v>4.9821980000000003</v>
      </c>
      <c r="E4650">
        <v>0.36677890000000002</v>
      </c>
      <c r="F4650" t="s">
        <v>50</v>
      </c>
      <c r="G4650">
        <v>-289.8578</v>
      </c>
      <c r="H4650" s="1">
        <v>-2.5221360000000001E-6</v>
      </c>
      <c r="I4650">
        <v>-53.234299999999998</v>
      </c>
      <c r="J4650">
        <v>-299.13619999999997</v>
      </c>
      <c r="K4650">
        <v>1.119632</v>
      </c>
      <c r="L4650">
        <v>-48.57687</v>
      </c>
      <c r="M4650">
        <v>0.36965629999999999</v>
      </c>
      <c r="N4650">
        <v>0</v>
      </c>
      <c r="O4650">
        <v>-0.92905280000000001</v>
      </c>
      <c r="P4650">
        <v>0.68416309999999902</v>
      </c>
      <c r="Q4650">
        <v>0.1175953</v>
      </c>
      <c r="R4650">
        <v>-0.71978679999999995</v>
      </c>
      <c r="S4650">
        <v>2.8848880000000001</v>
      </c>
      <c r="T4650">
        <v>-0.3439566</v>
      </c>
      <c r="U4650">
        <v>-1.509125</v>
      </c>
      <c r="V4650">
        <v>-0.37250329999999998</v>
      </c>
      <c r="W4650">
        <v>0.1225888</v>
      </c>
      <c r="X4650">
        <v>0.91989849999999995</v>
      </c>
      <c r="Y4650">
        <v>-0.64617590000000003</v>
      </c>
      <c r="Z4650">
        <v>0.1119735</v>
      </c>
      <c r="AA4650">
        <v>0.75492950000000003</v>
      </c>
      <c r="AB4650">
        <v>28</v>
      </c>
      <c r="AC4650">
        <v>9.2783999999999693</v>
      </c>
      <c r="AD4650">
        <v>-1.119634522136</v>
      </c>
      <c r="AE4650">
        <v>-4.65742999999999</v>
      </c>
      <c r="AF4650">
        <v>-6.8198958052751797</v>
      </c>
      <c r="AG4650">
        <v>-1.119634522136</v>
      </c>
      <c r="AH4650">
        <v>7.6684608133766998</v>
      </c>
      <c r="AI4650">
        <v>96.226397796215096</v>
      </c>
      <c r="AJ4650">
        <v>131.64808671997699</v>
      </c>
      <c r="AK4650">
        <v>10.3232674819682</v>
      </c>
      <c r="AL4650">
        <v>82.958466656259901</v>
      </c>
      <c r="AM4650">
        <v>112.044972745911</v>
      </c>
      <c r="AN4650">
        <v>0.99999998634928899</v>
      </c>
    </row>
    <row r="4651" spans="1:40" x14ac:dyDescent="0.25">
      <c r="A4651" t="str">
        <f>"20190312164403809"</f>
        <v>20190312164403809</v>
      </c>
      <c r="B4651" t="str">
        <f>"1552380243800038"</f>
        <v>1552380243800038</v>
      </c>
      <c r="C4651" t="s">
        <v>40</v>
      </c>
      <c r="D4651">
        <v>5.0788390000000003</v>
      </c>
      <c r="E4651">
        <v>0.36919960000000002</v>
      </c>
      <c r="F4651" t="s">
        <v>50</v>
      </c>
      <c r="G4651">
        <v>-289.73469999999998</v>
      </c>
      <c r="H4651" s="1">
        <v>-2.578155E-6</v>
      </c>
      <c r="I4651">
        <v>-53.309899999999999</v>
      </c>
      <c r="J4651">
        <v>-298.94060000000002</v>
      </c>
      <c r="K4651">
        <v>1.119774</v>
      </c>
      <c r="L4651">
        <v>-49.002839999999999</v>
      </c>
      <c r="M4651">
        <v>0.38953100000000002</v>
      </c>
      <c r="N4651">
        <v>0</v>
      </c>
      <c r="O4651">
        <v>-0.92089580000000004</v>
      </c>
      <c r="P4651">
        <v>0.70478859999999999</v>
      </c>
      <c r="Q4651">
        <v>0.11585520000000001</v>
      </c>
      <c r="R4651">
        <v>-0.6998934</v>
      </c>
      <c r="S4651">
        <v>2.9055179999999998</v>
      </c>
      <c r="T4651">
        <v>-0.34602240000000001</v>
      </c>
      <c r="U4651">
        <v>-1.4627380000000001</v>
      </c>
      <c r="V4651">
        <v>-0.37936340000000002</v>
      </c>
      <c r="W4651">
        <v>0.1205683</v>
      </c>
      <c r="X4651">
        <v>0.91735849999999997</v>
      </c>
      <c r="Y4651">
        <v>-0.64153649999999995</v>
      </c>
      <c r="Z4651">
        <v>0.1125111</v>
      </c>
      <c r="AA4651">
        <v>0.75879659999999904</v>
      </c>
      <c r="AB4651">
        <v>28</v>
      </c>
      <c r="AC4651">
        <v>9.2059000000000406</v>
      </c>
      <c r="AD4651">
        <v>-1.119776578155</v>
      </c>
      <c r="AE4651">
        <v>-4.3070599999999999</v>
      </c>
      <c r="AF4651">
        <v>-6.7191175291886402</v>
      </c>
      <c r="AG4651">
        <v>-1.119776578155</v>
      </c>
      <c r="AH4651">
        <v>7.4625702369377196</v>
      </c>
      <c r="AI4651">
        <v>96.362893006219494</v>
      </c>
      <c r="AJ4651">
        <v>131.999105769664</v>
      </c>
      <c r="AK4651">
        <v>10.103979141767001</v>
      </c>
      <c r="AL4651">
        <v>83.075097817010203</v>
      </c>
      <c r="AM4651">
        <v>112.46699643049099</v>
      </c>
      <c r="AN4651">
        <v>0.99999996087334897</v>
      </c>
    </row>
    <row r="4652" spans="1:40" x14ac:dyDescent="0.25">
      <c r="A4652" t="str">
        <f>"20190312164403855"</f>
        <v>20190312164403855</v>
      </c>
      <c r="B4652" t="str">
        <f>"1552380243849814"</f>
        <v>1552380243849814</v>
      </c>
      <c r="C4652" t="s">
        <v>40</v>
      </c>
      <c r="D4652">
        <v>5.0424470000000001</v>
      </c>
      <c r="E4652">
        <v>0.3860345</v>
      </c>
      <c r="F4652" t="s">
        <v>50</v>
      </c>
      <c r="G4652">
        <v>-289.79469999999998</v>
      </c>
      <c r="H4652" s="1">
        <v>-2.5375689999999998E-6</v>
      </c>
      <c r="I4652">
        <v>-53.332850000000001</v>
      </c>
      <c r="J4652">
        <v>-298.69400000000002</v>
      </c>
      <c r="K4652">
        <v>1.1199049999999999</v>
      </c>
      <c r="L4652">
        <v>-49.506680000000003</v>
      </c>
      <c r="M4652">
        <v>0.4134487</v>
      </c>
      <c r="N4652">
        <v>0</v>
      </c>
      <c r="O4652">
        <v>-0.91040739999999998</v>
      </c>
      <c r="P4652">
        <v>0.72638100000000005</v>
      </c>
      <c r="Q4652">
        <v>0.11584029999999999</v>
      </c>
      <c r="R4652">
        <v>-0.6774597</v>
      </c>
      <c r="S4652">
        <v>2.9355470000000001</v>
      </c>
      <c r="T4652">
        <v>-0.35941430000000002</v>
      </c>
      <c r="U4652">
        <v>-1.3898010000000001</v>
      </c>
      <c r="V4652">
        <v>-0.38420290000000001</v>
      </c>
      <c r="W4652">
        <v>0.12034110000000001</v>
      </c>
      <c r="X4652">
        <v>0.91537210000000002</v>
      </c>
      <c r="Y4652">
        <v>-0.63949269999999903</v>
      </c>
      <c r="Z4652">
        <v>0.1167493</v>
      </c>
      <c r="AA4652">
        <v>0.75988080000000002</v>
      </c>
      <c r="AB4652">
        <v>28</v>
      </c>
      <c r="AC4652">
        <v>8.8993000000000393</v>
      </c>
      <c r="AD4652">
        <v>-1.119907537569</v>
      </c>
      <c r="AE4652">
        <v>-3.8261699999999998</v>
      </c>
      <c r="AF4652">
        <v>-6.4347713010972996</v>
      </c>
      <c r="AG4652">
        <v>-1.119907537569</v>
      </c>
      <c r="AH4652">
        <v>7.0690775690762298</v>
      </c>
      <c r="AI4652">
        <v>96.682030018414395</v>
      </c>
      <c r="AJ4652">
        <v>132.310664632053</v>
      </c>
      <c r="AK4652">
        <v>9.6245691990730702</v>
      </c>
      <c r="AL4652">
        <v>83.088210926569104</v>
      </c>
      <c r="AM4652">
        <v>112.768922665769</v>
      </c>
      <c r="AN4652">
        <v>0.99999996508801403</v>
      </c>
    </row>
    <row r="4653" spans="1:40" x14ac:dyDescent="0.25">
      <c r="A4653" t="str">
        <f>"20190312164403884"</f>
        <v>20190312164403884</v>
      </c>
      <c r="B4653" t="str">
        <f>"1552380243880070"</f>
        <v>1552380243880070</v>
      </c>
      <c r="C4653" t="s">
        <v>40</v>
      </c>
      <c r="D4653">
        <v>5.0424379999999998</v>
      </c>
      <c r="E4653">
        <v>0.38720389999999999</v>
      </c>
      <c r="F4653" t="s">
        <v>50</v>
      </c>
      <c r="G4653">
        <v>-291.52870000000001</v>
      </c>
      <c r="H4653" s="1">
        <v>-9.9681470000000006E-6</v>
      </c>
      <c r="I4653">
        <v>-52.9634199999999</v>
      </c>
      <c r="J4653">
        <v>-298.5256</v>
      </c>
      <c r="K4653">
        <v>1.119972</v>
      </c>
      <c r="L4653">
        <v>-49.832520000000002</v>
      </c>
      <c r="M4653">
        <v>0.42912169999999999</v>
      </c>
      <c r="N4653">
        <v>0</v>
      </c>
      <c r="O4653">
        <v>-0.90312519999999996</v>
      </c>
      <c r="P4653">
        <v>0.73958100000000004</v>
      </c>
      <c r="Q4653">
        <v>0.11530600000000001</v>
      </c>
      <c r="R4653">
        <v>-0.66311719999999996</v>
      </c>
      <c r="S4653">
        <v>2.898285</v>
      </c>
      <c r="T4653">
        <v>-0.45298769999999999</v>
      </c>
      <c r="U4653">
        <v>-1.398193</v>
      </c>
      <c r="V4653">
        <v>-0.38637959999999999</v>
      </c>
      <c r="W4653">
        <v>0.1197058</v>
      </c>
      <c r="X4653">
        <v>0.91453890000000004</v>
      </c>
      <c r="Y4653">
        <v>-0.6166587</v>
      </c>
      <c r="Z4653">
        <v>0.1468757</v>
      </c>
      <c r="AA4653">
        <v>0.77340779999999998</v>
      </c>
      <c r="AB4653">
        <v>28</v>
      </c>
      <c r="AC4653">
        <v>6.9968999999999797</v>
      </c>
      <c r="AD4653">
        <v>-1.119981968147</v>
      </c>
      <c r="AE4653">
        <v>-3.1308999999999898</v>
      </c>
      <c r="AF4653">
        <v>-4.87207898232856</v>
      </c>
      <c r="AG4653">
        <v>-1.119981968147</v>
      </c>
      <c r="AH4653">
        <v>5.7088857762929397</v>
      </c>
      <c r="AI4653">
        <v>98.487434331140705</v>
      </c>
      <c r="AJ4653">
        <v>130.478114513278</v>
      </c>
      <c r="AK4653">
        <v>7.5883390821563799</v>
      </c>
      <c r="AL4653">
        <v>83.124876481801095</v>
      </c>
      <c r="AM4653">
        <v>112.903362182433</v>
      </c>
      <c r="AN4653">
        <v>1.0000000367315001</v>
      </c>
    </row>
    <row r="4654" spans="1:40" x14ac:dyDescent="0.25">
      <c r="A4654" t="str">
        <f>"20190312164403922"</f>
        <v>20190312164403922</v>
      </c>
      <c r="B4654" t="str">
        <f>"1552380243909351"</f>
        <v>1552380243909351</v>
      </c>
      <c r="C4654" t="s">
        <v>40</v>
      </c>
      <c r="D4654">
        <v>4.9869640000000004</v>
      </c>
      <c r="E4654">
        <v>0.38873079999999999</v>
      </c>
      <c r="F4654" t="s">
        <v>50</v>
      </c>
      <c r="G4654">
        <v>-291.12110000000001</v>
      </c>
      <c r="H4654" s="1">
        <v>-1.008722E-5</v>
      </c>
      <c r="I4654">
        <v>-53.254719999999899</v>
      </c>
      <c r="J4654">
        <v>-298.30799999999999</v>
      </c>
      <c r="K4654">
        <v>1.1200570000000001</v>
      </c>
      <c r="L4654">
        <v>-50.233759999999997</v>
      </c>
      <c r="M4654">
        <v>0.44866800000000001</v>
      </c>
      <c r="N4654">
        <v>0</v>
      </c>
      <c r="O4654">
        <v>-0.89357509999999996</v>
      </c>
      <c r="P4654">
        <v>0.75480780000000003</v>
      </c>
      <c r="Q4654">
        <v>0.11604009999999999</v>
      </c>
      <c r="R4654">
        <v>-0.64560039999999996</v>
      </c>
      <c r="S4654">
        <v>2.916534</v>
      </c>
      <c r="T4654">
        <v>-0.4411466</v>
      </c>
      <c r="U4654">
        <v>-1.347961</v>
      </c>
      <c r="V4654">
        <v>-0.38786559999999998</v>
      </c>
      <c r="W4654">
        <v>0.1203453</v>
      </c>
      <c r="X4654">
        <v>0.91382560000000002</v>
      </c>
      <c r="Y4654">
        <v>-0.61299720000000002</v>
      </c>
      <c r="Z4654">
        <v>0.14278579999999999</v>
      </c>
      <c r="AA4654">
        <v>0.77707569999999904</v>
      </c>
      <c r="AB4654">
        <v>28</v>
      </c>
      <c r="AC4654">
        <v>7.1868999999999801</v>
      </c>
      <c r="AD4654">
        <v>-1.12006708722</v>
      </c>
      <c r="AE4654">
        <v>-3.0209599999999899</v>
      </c>
      <c r="AF4654">
        <v>-4.9647061285906</v>
      </c>
      <c r="AG4654">
        <v>-1.12006708722</v>
      </c>
      <c r="AH4654">
        <v>5.8048192860281604</v>
      </c>
      <c r="AI4654">
        <v>98.342255968048704</v>
      </c>
      <c r="AJ4654">
        <v>130.53948268606399</v>
      </c>
      <c r="AK4654">
        <v>7.7200248812152799</v>
      </c>
      <c r="AL4654">
        <v>83.087968564026795</v>
      </c>
      <c r="AM4654">
        <v>112.998387398788</v>
      </c>
      <c r="AN4654">
        <v>0.99999997105540395</v>
      </c>
    </row>
    <row r="4655" spans="1:40" x14ac:dyDescent="0.25">
      <c r="A4655" t="str">
        <f>"20190312164403947"</f>
        <v>20190312164403947</v>
      </c>
      <c r="B4655" t="str">
        <f>"1552380243939607"</f>
        <v>1552380243939607</v>
      </c>
      <c r="C4655" t="s">
        <v>40</v>
      </c>
      <c r="D4655">
        <v>4.9824440000000001</v>
      </c>
      <c r="E4655">
        <v>0.3900477</v>
      </c>
      <c r="F4655" t="s">
        <v>50</v>
      </c>
      <c r="G4655">
        <v>-290.62920000000003</v>
      </c>
      <c r="H4655" s="1">
        <v>-1.0231240000000001E-5</v>
      </c>
      <c r="I4655">
        <v>-53.603549999999998</v>
      </c>
      <c r="J4655">
        <v>-298.14780000000002</v>
      </c>
      <c r="K4655">
        <v>1.120131</v>
      </c>
      <c r="L4655">
        <v>-50.515140000000002</v>
      </c>
      <c r="M4655">
        <v>0.46256370000000002</v>
      </c>
      <c r="N4655">
        <v>0</v>
      </c>
      <c r="O4655">
        <v>-0.88646119999999995</v>
      </c>
      <c r="P4655">
        <v>0.76460229999999996</v>
      </c>
      <c r="Q4655">
        <v>0.117409</v>
      </c>
      <c r="R4655">
        <v>-0.63371829999999996</v>
      </c>
      <c r="S4655">
        <v>2.9376829999999998</v>
      </c>
      <c r="T4655">
        <v>-0.42850539999999998</v>
      </c>
      <c r="U4655">
        <v>-1.289185</v>
      </c>
      <c r="V4655">
        <v>-0.38775730000000003</v>
      </c>
      <c r="W4655">
        <v>0.1216768</v>
      </c>
      <c r="X4655">
        <v>0.91369529999999999</v>
      </c>
      <c r="Y4655">
        <v>-0.61635969999999995</v>
      </c>
      <c r="Z4655">
        <v>0.1388064</v>
      </c>
      <c r="AA4655">
        <v>0.77513460000000001</v>
      </c>
      <c r="AB4655">
        <v>28</v>
      </c>
      <c r="AC4655">
        <v>7.5185999999999904</v>
      </c>
      <c r="AD4655">
        <v>-1.1201412312400001</v>
      </c>
      <c r="AE4655">
        <v>-3.0884099999999899</v>
      </c>
      <c r="AF4655">
        <v>-5.1393372997551898</v>
      </c>
      <c r="AG4655">
        <v>-1.1201412312400001</v>
      </c>
      <c r="AH4655">
        <v>6.1004196529833603</v>
      </c>
      <c r="AI4655">
        <v>97.993573894055103</v>
      </c>
      <c r="AJ4655">
        <v>130.11267518299601</v>
      </c>
      <c r="AK4655">
        <v>8.0549751210717293</v>
      </c>
      <c r="AL4655">
        <v>83.011114880944902</v>
      </c>
      <c r="AM4655">
        <v>112.995571416845</v>
      </c>
      <c r="AN4655">
        <v>1.0000000343018001</v>
      </c>
    </row>
    <row r="4656" spans="1:40" x14ac:dyDescent="0.25">
      <c r="A4656" t="str">
        <f>"20190312164403970"</f>
        <v>20190312164403970</v>
      </c>
      <c r="B4656" t="str">
        <f>"1552380243960103"</f>
        <v>1552380243960103</v>
      </c>
      <c r="C4656" t="s">
        <v>40</v>
      </c>
      <c r="D4656">
        <v>5.0142490000000004</v>
      </c>
      <c r="E4656">
        <v>0.39095370000000002</v>
      </c>
      <c r="F4656" t="s">
        <v>50</v>
      </c>
      <c r="G4656">
        <v>-290.3141</v>
      </c>
      <c r="H4656" s="1">
        <v>-1.032231E-5</v>
      </c>
      <c r="I4656">
        <v>-53.838679999999997</v>
      </c>
      <c r="J4656">
        <v>-298.00819999999999</v>
      </c>
      <c r="K4656">
        <v>1.120201</v>
      </c>
      <c r="L4656">
        <v>-50.752380000000002</v>
      </c>
      <c r="M4656">
        <v>0.47437790000000002</v>
      </c>
      <c r="N4656">
        <v>0</v>
      </c>
      <c r="O4656">
        <v>-0.88019509999999901</v>
      </c>
      <c r="P4656">
        <v>0.77207269999999995</v>
      </c>
      <c r="Q4656">
        <v>0.119269</v>
      </c>
      <c r="R4656">
        <v>-0.62424290000000004</v>
      </c>
      <c r="S4656">
        <v>2.950806</v>
      </c>
      <c r="T4656">
        <v>-0.42193829999999999</v>
      </c>
      <c r="U4656">
        <v>-1.2519229999999999</v>
      </c>
      <c r="V4656">
        <v>-0.38661269999999998</v>
      </c>
      <c r="W4656">
        <v>0.1235371</v>
      </c>
      <c r="X4656">
        <v>0.91393060000000004</v>
      </c>
      <c r="Y4656">
        <v>-0.61572209999999905</v>
      </c>
      <c r="Z4656">
        <v>0.13651679999999999</v>
      </c>
      <c r="AA4656">
        <v>0.77604740000000005</v>
      </c>
      <c r="AB4656">
        <v>28</v>
      </c>
      <c r="AC4656">
        <v>7.6940999999999899</v>
      </c>
      <c r="AD4656">
        <v>-1.1202113223100001</v>
      </c>
      <c r="AE4656">
        <v>-3.0863</v>
      </c>
      <c r="AF4656">
        <v>-5.2136282033360697</v>
      </c>
      <c r="AG4656">
        <v>-1.1202113223100001</v>
      </c>
      <c r="AH4656">
        <v>6.2529881296382301</v>
      </c>
      <c r="AI4656">
        <v>97.834422553953004</v>
      </c>
      <c r="AJ4656">
        <v>129.82073488712501</v>
      </c>
      <c r="AK4656">
        <v>8.2180686903097602</v>
      </c>
      <c r="AL4656">
        <v>82.903716776350507</v>
      </c>
      <c r="AM4656">
        <v>112.92942860538599</v>
      </c>
      <c r="AN4656">
        <v>0.99999996824702897</v>
      </c>
    </row>
    <row r="4657" spans="1:40" x14ac:dyDescent="0.25">
      <c r="A4657" t="str">
        <f>"20190312164404010"</f>
        <v>20190312164404010</v>
      </c>
      <c r="B4657" t="str">
        <f>"1552380244000119"</f>
        <v>1552380244000119</v>
      </c>
      <c r="C4657" t="s">
        <v>40</v>
      </c>
      <c r="D4657">
        <v>5.1241099999999999</v>
      </c>
      <c r="E4657">
        <v>0.41161560000000003</v>
      </c>
      <c r="F4657" t="s">
        <v>50</v>
      </c>
      <c r="G4657">
        <v>-290.01920000000001</v>
      </c>
      <c r="H4657" s="1">
        <v>-1.0408600000000001E-5</v>
      </c>
      <c r="I4657">
        <v>-54.048209999999997</v>
      </c>
      <c r="J4657">
        <v>-297.75279999999998</v>
      </c>
      <c r="K4657">
        <v>1.1202920000000001</v>
      </c>
      <c r="L4657">
        <v>-51.16818</v>
      </c>
      <c r="M4657">
        <v>0.49536639999999998</v>
      </c>
      <c r="N4657">
        <v>0</v>
      </c>
      <c r="O4657">
        <v>-0.86855539999999998</v>
      </c>
      <c r="P4657">
        <v>0.78559089999999998</v>
      </c>
      <c r="Q4657">
        <v>0.1185302</v>
      </c>
      <c r="R4657">
        <v>-0.60728700000000002</v>
      </c>
      <c r="S4657">
        <v>2.9618530000000001</v>
      </c>
      <c r="T4657">
        <v>-0.41530620000000001</v>
      </c>
      <c r="U4657">
        <v>-1.2218929999999999</v>
      </c>
      <c r="V4657">
        <v>-0.3846811</v>
      </c>
      <c r="W4657">
        <v>0.1227965</v>
      </c>
      <c r="X4657">
        <v>0.91484500000000002</v>
      </c>
      <c r="Y4657">
        <v>-0.60498339999999995</v>
      </c>
      <c r="Z4657">
        <v>0.13341629999999999</v>
      </c>
      <c r="AA4657">
        <v>0.78498100000000004</v>
      </c>
      <c r="AB4657">
        <v>28</v>
      </c>
      <c r="AC4657">
        <v>7.7335999999999601</v>
      </c>
      <c r="AD4657">
        <v>-1.1203024086</v>
      </c>
      <c r="AE4657">
        <v>-2.8800299999999899</v>
      </c>
      <c r="AF4657">
        <v>-5.1952382343218497</v>
      </c>
      <c r="AG4657">
        <v>-1.1203024086</v>
      </c>
      <c r="AH4657">
        <v>6.2185375757708901</v>
      </c>
      <c r="AI4657">
        <v>97.871557098629907</v>
      </c>
      <c r="AJ4657">
        <v>129.87685785172599</v>
      </c>
      <c r="AK4657">
        <v>8.1802070499070592</v>
      </c>
      <c r="AL4657">
        <v>82.9464754812102</v>
      </c>
      <c r="AM4657">
        <v>112.80615629962401</v>
      </c>
      <c r="AN4657">
        <v>0.99999995156722798</v>
      </c>
    </row>
    <row r="4658" spans="1:40" x14ac:dyDescent="0.25">
      <c r="A4658" t="str">
        <f>"20190312164404036"</f>
        <v>20190312164404036</v>
      </c>
      <c r="B4658" t="str">
        <f>"1552380244029399"</f>
        <v>1552380244029399</v>
      </c>
      <c r="C4658" t="s">
        <v>40</v>
      </c>
      <c r="D4658">
        <v>4.8756000000000004</v>
      </c>
      <c r="E4658">
        <v>0.41796739999999999</v>
      </c>
      <c r="F4658" t="s">
        <v>41</v>
      </c>
      <c r="G4658">
        <v>-296.82060000000001</v>
      </c>
      <c r="H4658">
        <v>1.0081009999999999</v>
      </c>
      <c r="I4658">
        <v>-51.584090000000003</v>
      </c>
      <c r="J4658">
        <v>-297.5865</v>
      </c>
      <c r="K4658">
        <v>1.120352</v>
      </c>
      <c r="L4658">
        <v>-51.427280000000003</v>
      </c>
      <c r="M4658">
        <v>0.50861869999999998</v>
      </c>
      <c r="N4658">
        <v>0</v>
      </c>
      <c r="O4658">
        <v>-0.8608616</v>
      </c>
      <c r="P4658">
        <v>0.79396709999999904</v>
      </c>
      <c r="Q4658">
        <v>0.11742660000000001</v>
      </c>
      <c r="R4658">
        <v>-0.59651290000000001</v>
      </c>
      <c r="S4658">
        <v>2.878479</v>
      </c>
      <c r="T4658">
        <v>-0.34638740000000001</v>
      </c>
      <c r="U4658">
        <v>-1.2839969999999901</v>
      </c>
      <c r="V4658">
        <v>-0.38327349999999999</v>
      </c>
      <c r="W4658">
        <v>0.1217019</v>
      </c>
      <c r="X4658">
        <v>0.9155818</v>
      </c>
      <c r="Y4658">
        <v>-0.57270459999999901</v>
      </c>
      <c r="Z4658">
        <v>0.11171929999999999</v>
      </c>
      <c r="AA4658">
        <v>0.81211350000000004</v>
      </c>
      <c r="AB4658">
        <v>28</v>
      </c>
      <c r="AC4658">
        <v>0.76589999999998704</v>
      </c>
      <c r="AD4658">
        <v>-0.112251</v>
      </c>
      <c r="AE4658">
        <v>-0.156810000000007</v>
      </c>
      <c r="AF4658">
        <v>-0.56793393987846297</v>
      </c>
      <c r="AG4658">
        <v>-0.112251</v>
      </c>
      <c r="AH4658">
        <v>0.51400493073098097</v>
      </c>
      <c r="AI4658">
        <v>98.336928229936206</v>
      </c>
      <c r="AJ4658">
        <v>137.85353410499201</v>
      </c>
      <c r="AK4658">
        <v>0.774177186361517</v>
      </c>
      <c r="AL4658">
        <v>83.009665610283093</v>
      </c>
      <c r="AM4658">
        <v>112.714769113316</v>
      </c>
      <c r="AN4658">
        <v>0.99999998037854898</v>
      </c>
    </row>
    <row r="4659" spans="1:40" x14ac:dyDescent="0.25">
      <c r="A4659" t="str">
        <f>"20190312164404064"</f>
        <v>20190312164404064</v>
      </c>
      <c r="B4659" t="str">
        <f>"1552380244059655"</f>
        <v>1552380244059655</v>
      </c>
      <c r="C4659" t="s">
        <v>40</v>
      </c>
      <c r="D4659">
        <v>4.8985089999999998</v>
      </c>
      <c r="E4659">
        <v>0.42077379999999998</v>
      </c>
      <c r="F4659" t="s">
        <v>41</v>
      </c>
      <c r="G4659">
        <v>-296.72329999999999</v>
      </c>
      <c r="H4659">
        <v>1.020697</v>
      </c>
      <c r="I4659">
        <v>-51.814439999999998</v>
      </c>
      <c r="J4659">
        <v>-297.39600000000002</v>
      </c>
      <c r="K4659">
        <v>1.120406</v>
      </c>
      <c r="L4659">
        <v>-51.713439999999999</v>
      </c>
      <c r="M4659">
        <v>0.52339749999999996</v>
      </c>
      <c r="N4659">
        <v>0</v>
      </c>
      <c r="O4659">
        <v>-0.85195659999999895</v>
      </c>
      <c r="P4659">
        <v>0.80310499999999996</v>
      </c>
      <c r="Q4659">
        <v>0.11729050000000001</v>
      </c>
      <c r="R4659">
        <v>-0.58417949999999996</v>
      </c>
      <c r="S4659">
        <v>2.8629150000000001</v>
      </c>
      <c r="T4659">
        <v>-0.33049319999999999</v>
      </c>
      <c r="U4659">
        <v>-1.283722</v>
      </c>
      <c r="V4659">
        <v>-0.38164360000000003</v>
      </c>
      <c r="W4659">
        <v>0.1215817</v>
      </c>
      <c r="X4659">
        <v>0.91627840000000005</v>
      </c>
      <c r="Y4659">
        <v>-0.5575137</v>
      </c>
      <c r="Z4659">
        <v>0.1061194</v>
      </c>
      <c r="AA4659">
        <v>0.82335720000000001</v>
      </c>
      <c r="AB4659">
        <v>28</v>
      </c>
      <c r="AC4659">
        <v>0.67269999999996299</v>
      </c>
      <c r="AD4659">
        <v>-9.9709000000000006E-2</v>
      </c>
      <c r="AE4659">
        <v>-0.10099999999999899</v>
      </c>
      <c r="AF4659">
        <v>-0.50936270804915895</v>
      </c>
      <c r="AG4659">
        <v>-9.9709000000000006E-2</v>
      </c>
      <c r="AH4659">
        <v>0.42896980426315001</v>
      </c>
      <c r="AI4659">
        <v>98.515551239916206</v>
      </c>
      <c r="AJ4659">
        <v>139.896934685117</v>
      </c>
      <c r="AK4659">
        <v>0.67335528957730695</v>
      </c>
      <c r="AL4659">
        <v>83.016604413264105</v>
      </c>
      <c r="AM4659">
        <v>112.612454961555</v>
      </c>
      <c r="AN4659">
        <v>1.0000000267511999</v>
      </c>
    </row>
    <row r="4660" spans="1:40" x14ac:dyDescent="0.25">
      <c r="A4660" t="str">
        <f>"20190312164404088"</f>
        <v>20190312164404088</v>
      </c>
      <c r="B4660" t="str">
        <f>"1552380244080151"</f>
        <v>1552380244080151</v>
      </c>
      <c r="C4660" t="s">
        <v>40</v>
      </c>
      <c r="D4660">
        <v>4.870851</v>
      </c>
      <c r="E4660">
        <v>0.42205150000000002</v>
      </c>
      <c r="F4660" t="s">
        <v>41</v>
      </c>
      <c r="G4660">
        <v>-296.39510000000001</v>
      </c>
      <c r="H4660">
        <v>1.0077210000000001</v>
      </c>
      <c r="I4660">
        <v>-52.152160000000002</v>
      </c>
      <c r="J4660">
        <v>-297.221</v>
      </c>
      <c r="K4660">
        <v>1.1204270000000001</v>
      </c>
      <c r="L4660">
        <v>-51.96631</v>
      </c>
      <c r="M4660">
        <v>0.53657949999999999</v>
      </c>
      <c r="N4660">
        <v>0</v>
      </c>
      <c r="O4660">
        <v>-0.84371620000000003</v>
      </c>
      <c r="P4660">
        <v>0.81087699999999996</v>
      </c>
      <c r="Q4660">
        <v>0.1173189</v>
      </c>
      <c r="R4660">
        <v>-0.57333699999999999</v>
      </c>
      <c r="S4660">
        <v>2.8683779999999999</v>
      </c>
      <c r="T4660">
        <v>-0.32290279999999999</v>
      </c>
      <c r="U4660">
        <v>-1.2568969999999999</v>
      </c>
      <c r="V4660">
        <v>-0.37971339999999998</v>
      </c>
      <c r="W4660">
        <v>0.12164320000000001</v>
      </c>
      <c r="X4660">
        <v>0.91707179999999999</v>
      </c>
      <c r="Y4660">
        <v>-0.55193840000000005</v>
      </c>
      <c r="Z4660">
        <v>0.1032627</v>
      </c>
      <c r="AA4660">
        <v>0.82746649999999999</v>
      </c>
      <c r="AB4660">
        <v>28</v>
      </c>
      <c r="AC4660">
        <v>0.82589999999998998</v>
      </c>
      <c r="AD4660">
        <v>-0.112706</v>
      </c>
      <c r="AE4660">
        <v>-0.18584999999999399</v>
      </c>
      <c r="AF4660">
        <v>-0.58676874017879399</v>
      </c>
      <c r="AG4660">
        <v>-0.112706</v>
      </c>
      <c r="AH4660">
        <v>0.58958293666956296</v>
      </c>
      <c r="AI4660">
        <v>97.716305799434593</v>
      </c>
      <c r="AJ4660">
        <v>134.86293106286701</v>
      </c>
      <c r="AK4660">
        <v>0.83940945676047496</v>
      </c>
      <c r="AL4660">
        <v>83.013054257804001</v>
      </c>
      <c r="AM4660">
        <v>112.491990982978</v>
      </c>
      <c r="AN4660">
        <v>1.00000001030051</v>
      </c>
    </row>
    <row r="4661" spans="1:40" x14ac:dyDescent="0.25">
      <c r="A4661" t="str">
        <f>"20190312164404122"</f>
        <v>20190312164404122</v>
      </c>
      <c r="B4661" t="str">
        <f>"1552380244120167"</f>
        <v>1552380244120167</v>
      </c>
      <c r="C4661" t="s">
        <v>40</v>
      </c>
      <c r="D4661">
        <v>4.8854870000000004</v>
      </c>
      <c r="E4661">
        <v>0.42432559999999903</v>
      </c>
      <c r="F4661" t="s">
        <v>41</v>
      </c>
      <c r="G4661">
        <v>-296.28070000000002</v>
      </c>
      <c r="H4661">
        <v>1.015857</v>
      </c>
      <c r="I4661">
        <v>-52.36721</v>
      </c>
      <c r="J4661">
        <v>-296.98860000000002</v>
      </c>
      <c r="K4661">
        <v>1.120458</v>
      </c>
      <c r="L4661">
        <v>-52.290590000000002</v>
      </c>
      <c r="M4661">
        <v>0.55357129999999999</v>
      </c>
      <c r="N4661">
        <v>0</v>
      </c>
      <c r="O4661">
        <v>-0.83266659999999904</v>
      </c>
      <c r="P4661">
        <v>0.81996550000000001</v>
      </c>
      <c r="Q4661">
        <v>0.1172422</v>
      </c>
      <c r="R4661">
        <v>-0.56027769999999899</v>
      </c>
      <c r="S4661">
        <v>2.8783259999999999</v>
      </c>
      <c r="T4661">
        <v>-0.32007780000000002</v>
      </c>
      <c r="U4661">
        <v>-1.227142</v>
      </c>
      <c r="V4661">
        <v>-0.37581680000000001</v>
      </c>
      <c r="W4661">
        <v>0.1216626</v>
      </c>
      <c r="X4661">
        <v>0.91867290000000001</v>
      </c>
      <c r="Y4661">
        <v>-0.54346289999999997</v>
      </c>
      <c r="Z4661">
        <v>0.1015416</v>
      </c>
      <c r="AA4661">
        <v>0.83326909999999899</v>
      </c>
      <c r="AB4661">
        <v>28</v>
      </c>
      <c r="AC4661">
        <v>0.70789999999999498</v>
      </c>
      <c r="AD4661">
        <v>-0.104600999999999</v>
      </c>
      <c r="AE4661">
        <v>-7.6619999999998301E-2</v>
      </c>
      <c r="AF4661">
        <v>-0.53553432897933395</v>
      </c>
      <c r="AG4661">
        <v>-0.104600999999999</v>
      </c>
      <c r="AH4661">
        <v>0.44609618391835298</v>
      </c>
      <c r="AI4661">
        <v>98.534953770208404</v>
      </c>
      <c r="AJ4661">
        <v>140.205949151704</v>
      </c>
      <c r="AK4661">
        <v>0.70479797958199497</v>
      </c>
      <c r="AL4661">
        <v>83.0119341633944</v>
      </c>
      <c r="AM4661">
        <v>112.24881359268601</v>
      </c>
      <c r="AN4661">
        <v>0.99999997629770399</v>
      </c>
    </row>
    <row r="4662" spans="1:40" x14ac:dyDescent="0.25">
      <c r="A4662" t="str">
        <f>"20190312164404145"</f>
        <v>20190312164404145</v>
      </c>
      <c r="B4662" t="str">
        <f>"1552380244139687"</f>
        <v>1552380244139687</v>
      </c>
      <c r="C4662" t="s">
        <v>40</v>
      </c>
      <c r="D4662">
        <v>4.8934540000000002</v>
      </c>
      <c r="E4662">
        <v>0.42532930000000002</v>
      </c>
      <c r="F4662" t="s">
        <v>41</v>
      </c>
      <c r="G4662">
        <v>-295.96469999999999</v>
      </c>
      <c r="H4662">
        <v>1.0083549999999999</v>
      </c>
      <c r="I4662">
        <v>-52.713650000000001</v>
      </c>
      <c r="J4662">
        <v>-296.82220000000001</v>
      </c>
      <c r="K4662">
        <v>1.120463</v>
      </c>
      <c r="L4662">
        <v>-52.513730000000002</v>
      </c>
      <c r="M4662">
        <v>0.56533929999999999</v>
      </c>
      <c r="N4662">
        <v>0</v>
      </c>
      <c r="O4662">
        <v>-0.82472219999999996</v>
      </c>
      <c r="P4662">
        <v>0.82682789999999995</v>
      </c>
      <c r="Q4662">
        <v>0.1174471</v>
      </c>
      <c r="R4662">
        <v>-0.55005680000000001</v>
      </c>
      <c r="S4662">
        <v>2.8884280000000002</v>
      </c>
      <c r="T4662">
        <v>-0.31625500000000001</v>
      </c>
      <c r="U4662">
        <v>-1.193451</v>
      </c>
      <c r="V4662">
        <v>-0.37415409999999999</v>
      </c>
      <c r="W4662">
        <v>0.1219016</v>
      </c>
      <c r="X4662">
        <v>0.91931969999999996</v>
      </c>
      <c r="Y4662">
        <v>-0.54104149999999995</v>
      </c>
      <c r="Z4662">
        <v>9.9920819999999994E-2</v>
      </c>
      <c r="AA4662">
        <v>0.83503890000000003</v>
      </c>
      <c r="AB4662">
        <v>28</v>
      </c>
      <c r="AC4662">
        <v>0.85750000000001503</v>
      </c>
      <c r="AD4662">
        <v>-0.112108</v>
      </c>
      <c r="AE4662">
        <v>-0.19991999999999799</v>
      </c>
      <c r="AF4662">
        <v>-0.58476366182596295</v>
      </c>
      <c r="AG4662">
        <v>-0.112108</v>
      </c>
      <c r="AH4662">
        <v>0.63936499767638699</v>
      </c>
      <c r="AI4662">
        <v>97.372409427665104</v>
      </c>
      <c r="AJ4662">
        <v>132.44605778116301</v>
      </c>
      <c r="AK4662">
        <v>0.87367290452997004</v>
      </c>
      <c r="AL4662">
        <v>82.998137955185996</v>
      </c>
      <c r="AM4662">
        <v>112.145840988747</v>
      </c>
      <c r="AN4662">
        <v>1.00000000071873</v>
      </c>
    </row>
    <row r="4663" spans="1:40" x14ac:dyDescent="0.25">
      <c r="A4663" t="str">
        <f>"20190312164404167"</f>
        <v>20190312164404167</v>
      </c>
      <c r="B4663" t="str">
        <f>"1552380244160183"</f>
        <v>1552380244160183</v>
      </c>
      <c r="C4663" t="s">
        <v>40</v>
      </c>
      <c r="D4663">
        <v>4.8836029999999999</v>
      </c>
      <c r="E4663">
        <v>0.42627429999999999</v>
      </c>
      <c r="F4663" t="s">
        <v>41</v>
      </c>
      <c r="G4663">
        <v>-295.83049999999997</v>
      </c>
      <c r="H4663">
        <v>1.012831</v>
      </c>
      <c r="I4663">
        <v>-52.912039999999998</v>
      </c>
      <c r="J4663">
        <v>-296.65750000000003</v>
      </c>
      <c r="K4663">
        <v>1.1204590000000001</v>
      </c>
      <c r="L4663">
        <v>-52.728389999999997</v>
      </c>
      <c r="M4663">
        <v>0.576686699999999</v>
      </c>
      <c r="N4663">
        <v>0</v>
      </c>
      <c r="O4663">
        <v>-0.816828</v>
      </c>
      <c r="P4663">
        <v>0.83326800000000001</v>
      </c>
      <c r="Q4663">
        <v>0.1183356</v>
      </c>
      <c r="R4663">
        <v>-0.5400566</v>
      </c>
      <c r="S4663">
        <v>2.89859</v>
      </c>
      <c r="T4663">
        <v>-0.31459700000000002</v>
      </c>
      <c r="U4663">
        <v>-1.164093</v>
      </c>
      <c r="V4663">
        <v>-0.37243480000000001</v>
      </c>
      <c r="W4663">
        <v>0.1228273</v>
      </c>
      <c r="X4663">
        <v>0.91989449999999995</v>
      </c>
      <c r="Y4663">
        <v>-0.53781730000000005</v>
      </c>
      <c r="Z4663">
        <v>9.8879120000000001E-2</v>
      </c>
      <c r="AA4663">
        <v>0.83724279999999995</v>
      </c>
      <c r="AB4663">
        <v>28</v>
      </c>
      <c r="AC4663">
        <v>0.82700000000005502</v>
      </c>
      <c r="AD4663">
        <v>-0.107628</v>
      </c>
      <c r="AE4663">
        <v>-0.18365000000000001</v>
      </c>
      <c r="AF4663">
        <v>-0.56062309178174397</v>
      </c>
      <c r="AG4663">
        <v>-0.107628</v>
      </c>
      <c r="AH4663">
        <v>0.61704099699392101</v>
      </c>
      <c r="AI4663">
        <v>97.356110011870499</v>
      </c>
      <c r="AJ4663">
        <v>132.25724986267301</v>
      </c>
      <c r="AK4663">
        <v>0.84060789277413595</v>
      </c>
      <c r="AL4663">
        <v>82.944698068602804</v>
      </c>
      <c r="AM4663">
        <v>112.041393847398</v>
      </c>
      <c r="AN4663">
        <v>1.00000005850328</v>
      </c>
    </row>
    <row r="4664" spans="1:40" x14ac:dyDescent="0.25">
      <c r="A4664" t="str">
        <f>"20190312164404190"</f>
        <v>20190312164404190</v>
      </c>
      <c r="B4664" t="str">
        <f>"1552380244179703"</f>
        <v>1552380244179703</v>
      </c>
      <c r="C4664" t="s">
        <v>40</v>
      </c>
      <c r="D4664">
        <v>5.0458379999999998</v>
      </c>
      <c r="E4664">
        <v>0.42673309999999998</v>
      </c>
      <c r="F4664" t="s">
        <v>41</v>
      </c>
      <c r="G4664">
        <v>-295.6909</v>
      </c>
      <c r="H4664">
        <v>1.0175419999999999</v>
      </c>
      <c r="I4664">
        <v>-53.105609999999999</v>
      </c>
      <c r="J4664">
        <v>-296.48719999999997</v>
      </c>
      <c r="K4664">
        <v>1.1204430000000001</v>
      </c>
      <c r="L4664">
        <v>-52.944000000000003</v>
      </c>
      <c r="M4664">
        <v>0.58810969999999996</v>
      </c>
      <c r="N4664">
        <v>0</v>
      </c>
      <c r="O4664">
        <v>-0.80864290000000005</v>
      </c>
      <c r="P4664">
        <v>0.83938950000000001</v>
      </c>
      <c r="Q4664">
        <v>0.120009199999999</v>
      </c>
      <c r="R4664">
        <v>-0.53011609999999998</v>
      </c>
      <c r="S4664">
        <v>2.9085999999999999</v>
      </c>
      <c r="T4664">
        <v>-0.309693</v>
      </c>
      <c r="U4664">
        <v>-1.1350709999999999</v>
      </c>
      <c r="V4664">
        <v>-0.37028100000000003</v>
      </c>
      <c r="W4664">
        <v>0.1245407</v>
      </c>
      <c r="X4664">
        <v>0.9205333</v>
      </c>
      <c r="Y4664">
        <v>-0.53441269999999996</v>
      </c>
      <c r="Z4664">
        <v>9.6787629999999999E-2</v>
      </c>
      <c r="AA4664">
        <v>0.83966379999999996</v>
      </c>
      <c r="AB4664">
        <v>28</v>
      </c>
      <c r="AC4664">
        <v>0.79629999999997303</v>
      </c>
      <c r="AD4664">
        <v>-0.10290100000000001</v>
      </c>
      <c r="AE4664">
        <v>-0.161610000000003</v>
      </c>
      <c r="AF4664">
        <v>-0.54027428195087002</v>
      </c>
      <c r="AG4664">
        <v>-0.10290100000000001</v>
      </c>
      <c r="AH4664">
        <v>0.58960727440821503</v>
      </c>
      <c r="AI4664">
        <v>97.332142857428394</v>
      </c>
      <c r="AJ4664">
        <v>132.499934287456</v>
      </c>
      <c r="AK4664">
        <v>0.80630121764363705</v>
      </c>
      <c r="AL4664">
        <v>82.845767292985698</v>
      </c>
      <c r="AM4664">
        <v>111.912268669658</v>
      </c>
      <c r="AN4664">
        <v>0.99999998066318896</v>
      </c>
    </row>
    <row r="4665" spans="1:40" x14ac:dyDescent="0.25">
      <c r="A4665" t="str">
        <f>"20190312164404211"</f>
        <v>20190312164404211</v>
      </c>
      <c r="B4665" t="str">
        <f>"1552380244200199"</f>
        <v>1552380244200199</v>
      </c>
      <c r="C4665" t="s">
        <v>40</v>
      </c>
      <c r="D4665">
        <v>5.0610369999999998</v>
      </c>
      <c r="E4665">
        <v>0.4391948</v>
      </c>
      <c r="F4665" t="s">
        <v>41</v>
      </c>
      <c r="G4665">
        <v>-295.54939999999999</v>
      </c>
      <c r="H4665">
        <v>1.022986</v>
      </c>
      <c r="I4665">
        <v>-53.298200000000001</v>
      </c>
      <c r="J4665">
        <v>-296.32549999999998</v>
      </c>
      <c r="K4665">
        <v>1.1204320000000001</v>
      </c>
      <c r="L4665">
        <v>-53.143160000000002</v>
      </c>
      <c r="M4665">
        <v>0.5986766</v>
      </c>
      <c r="N4665">
        <v>0</v>
      </c>
      <c r="O4665">
        <v>-0.80085209999999996</v>
      </c>
      <c r="P4665">
        <v>0.84544470000000005</v>
      </c>
      <c r="Q4665">
        <v>0.121124</v>
      </c>
      <c r="R4665">
        <v>-0.52014640000000001</v>
      </c>
      <c r="S4665">
        <v>2.9210509999999998</v>
      </c>
      <c r="T4665">
        <v>-0.30351260000000002</v>
      </c>
      <c r="U4665">
        <v>-1.1026309999999999</v>
      </c>
      <c r="V4665">
        <v>-0.36898239999999999</v>
      </c>
      <c r="W4665">
        <v>0.12566469999999999</v>
      </c>
      <c r="X4665">
        <v>0.920902</v>
      </c>
      <c r="Y4665">
        <v>-0.53291899999999903</v>
      </c>
      <c r="Z4665">
        <v>9.4358239999999996E-2</v>
      </c>
      <c r="AA4665">
        <v>0.84088869999999905</v>
      </c>
      <c r="AB4665">
        <v>28</v>
      </c>
      <c r="AC4665">
        <v>0.77609999999998502</v>
      </c>
      <c r="AD4665">
        <v>-9.7445999999999894E-2</v>
      </c>
      <c r="AE4665">
        <v>-0.15504000000000601</v>
      </c>
      <c r="AF4665">
        <v>-0.52088466630020502</v>
      </c>
      <c r="AG4665">
        <v>-9.7445999999999894E-2</v>
      </c>
      <c r="AH4665">
        <v>0.58006864040550699</v>
      </c>
      <c r="AI4665">
        <v>97.124585915878995</v>
      </c>
      <c r="AJ4665">
        <v>131.92291115989499</v>
      </c>
      <c r="AK4665">
        <v>0.78568198788350097</v>
      </c>
      <c r="AL4665">
        <v>82.780857465429307</v>
      </c>
      <c r="AM4665">
        <v>111.834741466249</v>
      </c>
      <c r="AN4665">
        <v>1.00000006096992</v>
      </c>
    </row>
    <row r="4666" spans="1:40" x14ac:dyDescent="0.25">
      <c r="A4666" t="str">
        <f>"20190312164404234"</f>
        <v>20190312164404234</v>
      </c>
      <c r="B4666" t="str">
        <f>"1552380244229479"</f>
        <v>1552380244229479</v>
      </c>
      <c r="C4666" t="s">
        <v>40</v>
      </c>
      <c r="D4666">
        <v>4.9393640000000003</v>
      </c>
      <c r="E4666">
        <v>0.43980019999999997</v>
      </c>
      <c r="F4666" t="s">
        <v>41</v>
      </c>
      <c r="G4666">
        <v>-295.41950000000003</v>
      </c>
      <c r="H4666">
        <v>1.0248999999999999</v>
      </c>
      <c r="I4666">
        <v>-53.505180000000003</v>
      </c>
      <c r="J4666">
        <v>-296.1472</v>
      </c>
      <c r="K4666">
        <v>1.1204069999999999</v>
      </c>
      <c r="L4666">
        <v>-53.356870000000001</v>
      </c>
      <c r="M4666">
        <v>0.61002579999999995</v>
      </c>
      <c r="N4666">
        <v>0</v>
      </c>
      <c r="O4666">
        <v>-0.79224229999999995</v>
      </c>
      <c r="P4666">
        <v>0.85211990000000004</v>
      </c>
      <c r="Q4666">
        <v>0.121089</v>
      </c>
      <c r="R4666">
        <v>-0.50914570000000003</v>
      </c>
      <c r="S4666">
        <v>2.8832089999999999</v>
      </c>
      <c r="T4666">
        <v>-0.3040118</v>
      </c>
      <c r="U4666">
        <v>-1.1519779999999999</v>
      </c>
      <c r="V4666">
        <v>-0.36779440000000002</v>
      </c>
      <c r="W4666">
        <v>0.12563299999999999</v>
      </c>
      <c r="X4666">
        <v>0.92138140000000002</v>
      </c>
      <c r="Y4666">
        <v>-0.50451570000000001</v>
      </c>
      <c r="Z4666">
        <v>9.3449119999999997E-2</v>
      </c>
      <c r="AA4666">
        <v>0.8583305</v>
      </c>
      <c r="AB4666">
        <v>28</v>
      </c>
      <c r="AC4666">
        <v>0.72769999999997004</v>
      </c>
      <c r="AD4666">
        <v>-9.5506999999999995E-2</v>
      </c>
      <c r="AE4666">
        <v>-0.14831000000000899</v>
      </c>
      <c r="AF4666">
        <v>-0.47818702810105501</v>
      </c>
      <c r="AG4666">
        <v>-9.5506999999999995E-2</v>
      </c>
      <c r="AH4666">
        <v>0.55234040912206195</v>
      </c>
      <c r="AI4666">
        <v>97.447936386921697</v>
      </c>
      <c r="AJ4666">
        <v>130.884276901833</v>
      </c>
      <c r="AK4666">
        <v>0.73679328745737505</v>
      </c>
      <c r="AL4666">
        <v>82.782688010331</v>
      </c>
      <c r="AM4666">
        <v>111.76075492850801</v>
      </c>
      <c r="AN4666">
        <v>1.00000002781315</v>
      </c>
    </row>
    <row r="4667" spans="1:40" x14ac:dyDescent="0.25">
      <c r="A4667" t="str">
        <f>"20190312164404279"</f>
        <v>20190312164404279</v>
      </c>
      <c r="B4667" t="str">
        <f>"1552380244269495"</f>
        <v>1552380244269495</v>
      </c>
      <c r="C4667" t="s">
        <v>40</v>
      </c>
      <c r="D4667">
        <v>4.9123749999999999</v>
      </c>
      <c r="E4667">
        <v>0.44145970000000001</v>
      </c>
      <c r="F4667" t="s">
        <v>41</v>
      </c>
      <c r="G4667">
        <v>-295.27280000000002</v>
      </c>
      <c r="H4667">
        <v>1.023131</v>
      </c>
      <c r="I4667">
        <v>-53.694159999999997</v>
      </c>
      <c r="J4667">
        <v>-295.79450000000003</v>
      </c>
      <c r="K4667">
        <v>1.120363</v>
      </c>
      <c r="L4667">
        <v>-53.762149999999998</v>
      </c>
      <c r="M4667">
        <v>0.63157719999999995</v>
      </c>
      <c r="N4667">
        <v>0</v>
      </c>
      <c r="O4667">
        <v>-0.77517239999999998</v>
      </c>
      <c r="P4667">
        <v>0.86365130000000001</v>
      </c>
      <c r="Q4667">
        <v>0.1188023</v>
      </c>
      <c r="R4667">
        <v>-0.48989050000000001</v>
      </c>
      <c r="S4667">
        <v>2.89859</v>
      </c>
      <c r="T4667">
        <v>-0.3224592</v>
      </c>
      <c r="U4667">
        <v>-1.117767</v>
      </c>
      <c r="V4667">
        <v>-0.36330849999999998</v>
      </c>
      <c r="W4667">
        <v>0.1234339</v>
      </c>
      <c r="X4667">
        <v>0.92345600000000005</v>
      </c>
      <c r="Y4667">
        <v>-0.49062060000000002</v>
      </c>
      <c r="Z4667">
        <v>9.7304870000000002E-2</v>
      </c>
      <c r="AA4667">
        <v>0.86592329999999995</v>
      </c>
      <c r="AB4667">
        <v>28</v>
      </c>
      <c r="AC4667">
        <v>0.52170000000000905</v>
      </c>
      <c r="AD4667">
        <v>-9.7231999999999999E-2</v>
      </c>
      <c r="AE4667">
        <v>6.7990000000001702E-2</v>
      </c>
      <c r="AF4667">
        <v>-0.432620702228525</v>
      </c>
      <c r="AG4667">
        <v>-9.7231999999999999E-2</v>
      </c>
      <c r="AH4667">
        <v>0.26767733520824399</v>
      </c>
      <c r="AI4667">
        <v>100.820157879595</v>
      </c>
      <c r="AJ4667">
        <v>148.253493548129</v>
      </c>
      <c r="AK4667">
        <v>0.51794390584781302</v>
      </c>
      <c r="AL4667">
        <v>82.909675452434101</v>
      </c>
      <c r="AM4667">
        <v>111.475799647</v>
      </c>
      <c r="AN4667">
        <v>0.99999998888872998</v>
      </c>
    </row>
    <row r="4668" spans="1:40" x14ac:dyDescent="0.25">
      <c r="A4668" t="str">
        <f>"20190312164404300"</f>
        <v>20190312164404300</v>
      </c>
      <c r="B4668" t="str">
        <f>"1552380244289991"</f>
        <v>1552380244289991</v>
      </c>
      <c r="C4668" t="s">
        <v>40</v>
      </c>
      <c r="D4668">
        <v>5.159294</v>
      </c>
      <c r="E4668">
        <v>0.44278250000000002</v>
      </c>
      <c r="F4668" t="s">
        <v>41</v>
      </c>
      <c r="G4668">
        <v>-294.96929999999998</v>
      </c>
      <c r="H4668">
        <v>1.026168</v>
      </c>
      <c r="I4668">
        <v>-54.06306</v>
      </c>
      <c r="J4668">
        <v>-295.61770000000001</v>
      </c>
      <c r="K4668">
        <v>1.1203449999999999</v>
      </c>
      <c r="L4668">
        <v>-53.957090000000001</v>
      </c>
      <c r="M4668">
        <v>0.64195749999999996</v>
      </c>
      <c r="N4668">
        <v>0</v>
      </c>
      <c r="O4668">
        <v>-0.76659860000000002</v>
      </c>
      <c r="P4668">
        <v>0.86837759999999997</v>
      </c>
      <c r="Q4668">
        <v>0.1183627</v>
      </c>
      <c r="R4668">
        <v>-0.48157159999999899</v>
      </c>
      <c r="S4668">
        <v>2.916534</v>
      </c>
      <c r="T4668">
        <v>-0.33285819999999999</v>
      </c>
      <c r="U4668">
        <v>-1.0628359999999999</v>
      </c>
      <c r="V4668">
        <v>-0.35976639999999999</v>
      </c>
      <c r="W4668">
        <v>0.12308139999999899</v>
      </c>
      <c r="X4668">
        <v>0.92488870000000001</v>
      </c>
      <c r="Y4668">
        <v>-0.49465740000000002</v>
      </c>
      <c r="Z4668">
        <v>0.1000499</v>
      </c>
      <c r="AA4668">
        <v>0.86331000000000002</v>
      </c>
      <c r="AB4668">
        <v>28</v>
      </c>
      <c r="AC4668">
        <v>0.64840000000003695</v>
      </c>
      <c r="AD4668">
        <v>-9.4177000000000094E-2</v>
      </c>
      <c r="AE4668">
        <v>-0.105969999999999</v>
      </c>
      <c r="AF4668">
        <v>-0.42044192112769302</v>
      </c>
      <c r="AG4668">
        <v>-9.4177000000000094E-2</v>
      </c>
      <c r="AH4668">
        <v>0.48751850896107701</v>
      </c>
      <c r="AI4668">
        <v>98.322695284500398</v>
      </c>
      <c r="AJ4668">
        <v>130.77488577253101</v>
      </c>
      <c r="AK4668">
        <v>0.65062663098752505</v>
      </c>
      <c r="AL4668">
        <v>82.930027487175195</v>
      </c>
      <c r="AM4668">
        <v>111.25521170794001</v>
      </c>
      <c r="AN4668">
        <v>1.0000000004912999</v>
      </c>
    </row>
    <row r="4669" spans="1:40" x14ac:dyDescent="0.25">
      <c r="A4669" t="str">
        <f>"20190312164404324"</f>
        <v>20190312164404324</v>
      </c>
      <c r="B4669" t="str">
        <f>"1552380244320249"</f>
        <v>1552380244320249</v>
      </c>
      <c r="C4669" t="s">
        <v>40</v>
      </c>
      <c r="D4669">
        <v>5.1061909999999999</v>
      </c>
      <c r="E4669">
        <v>0.4442412</v>
      </c>
      <c r="F4669" t="s">
        <v>41</v>
      </c>
      <c r="G4669">
        <v>-294.81380000000001</v>
      </c>
      <c r="H4669">
        <v>1.0276809999999901</v>
      </c>
      <c r="I4669">
        <v>-54.244320000000002</v>
      </c>
      <c r="J4669">
        <v>-295.43259999999998</v>
      </c>
      <c r="K4669">
        <v>1.1203209999999999</v>
      </c>
      <c r="L4669">
        <v>-54.155299999999997</v>
      </c>
      <c r="M4669">
        <v>0.65252010000000005</v>
      </c>
      <c r="N4669">
        <v>0</v>
      </c>
      <c r="O4669">
        <v>-0.75762890000000005</v>
      </c>
      <c r="P4669">
        <v>0.87310560000000004</v>
      </c>
      <c r="Q4669">
        <v>0.1182584</v>
      </c>
      <c r="R4669">
        <v>-0.47297119999999998</v>
      </c>
      <c r="S4669">
        <v>2.9220280000000001</v>
      </c>
      <c r="T4669">
        <v>-0.336756</v>
      </c>
      <c r="U4669">
        <v>-1.0433650000000001</v>
      </c>
      <c r="V4669">
        <v>-0.35607699999999998</v>
      </c>
      <c r="W4669">
        <v>0.1230724</v>
      </c>
      <c r="X4669">
        <v>0.92631660000000005</v>
      </c>
      <c r="Y4669">
        <v>-0.48816199999999998</v>
      </c>
      <c r="Z4669">
        <v>0.1003134</v>
      </c>
      <c r="AA4669">
        <v>0.86696890000000004</v>
      </c>
      <c r="AB4669">
        <v>28</v>
      </c>
      <c r="AC4669">
        <v>0.61879999999996405</v>
      </c>
      <c r="AD4669">
        <v>-9.264E-2</v>
      </c>
      <c r="AE4669">
        <v>-8.9019999999997795E-2</v>
      </c>
      <c r="AF4669">
        <v>-0.40195157826921901</v>
      </c>
      <c r="AG4669">
        <v>-9.264E-2</v>
      </c>
      <c r="AH4669">
        <v>0.46114838387131901</v>
      </c>
      <c r="AI4669">
        <v>98.611297567705904</v>
      </c>
      <c r="AJ4669">
        <v>131.07644083383099</v>
      </c>
      <c r="AK4669">
        <v>0.61871243144149402</v>
      </c>
      <c r="AL4669">
        <v>82.930547412462204</v>
      </c>
      <c r="AM4669">
        <v>111.026808352792</v>
      </c>
      <c r="AN4669">
        <v>1.0000000445031501</v>
      </c>
    </row>
    <row r="4670" spans="1:40" x14ac:dyDescent="0.25">
      <c r="A4670" t="str">
        <f>"20190312164404346"</f>
        <v>20190312164404346</v>
      </c>
      <c r="B4670" t="str">
        <f>"1552380244339767"</f>
        <v>1552380244339767</v>
      </c>
      <c r="C4670" t="s">
        <v>40</v>
      </c>
      <c r="D4670">
        <v>4.9171620000000003</v>
      </c>
      <c r="E4670">
        <v>0.4450499</v>
      </c>
      <c r="F4670" t="s">
        <v>41</v>
      </c>
      <c r="G4670">
        <v>-294.42669999999998</v>
      </c>
      <c r="H4670">
        <v>1.005622</v>
      </c>
      <c r="I4670">
        <v>-54.507530000000003</v>
      </c>
      <c r="J4670">
        <v>-295.23970000000003</v>
      </c>
      <c r="K4670">
        <v>1.1202810000000001</v>
      </c>
      <c r="L4670">
        <v>-54.356110000000001</v>
      </c>
      <c r="M4670">
        <v>0.66322029999999998</v>
      </c>
      <c r="N4670">
        <v>0</v>
      </c>
      <c r="O4670">
        <v>-0.74828070000000002</v>
      </c>
      <c r="P4670">
        <v>0.87822289999999903</v>
      </c>
      <c r="Q4670">
        <v>0.1164294</v>
      </c>
      <c r="R4670">
        <v>-0.46386290000000002</v>
      </c>
      <c r="S4670">
        <v>2.9260250000000001</v>
      </c>
      <c r="T4670">
        <v>-0.33364929999999998</v>
      </c>
      <c r="U4670">
        <v>-1.024872</v>
      </c>
      <c r="V4670">
        <v>-0.3526707</v>
      </c>
      <c r="W4670">
        <v>0.1213375</v>
      </c>
      <c r="X4670">
        <v>0.92784730000000004</v>
      </c>
      <c r="Y4670">
        <v>-0.4811877</v>
      </c>
      <c r="Z4670">
        <v>9.8468479999999997E-2</v>
      </c>
      <c r="AA4670">
        <v>0.87106969999999995</v>
      </c>
      <c r="AB4670">
        <v>27</v>
      </c>
      <c r="AC4670">
        <v>0.81300000000004502</v>
      </c>
      <c r="AD4670">
        <v>-0.114658999999999</v>
      </c>
      <c r="AE4670">
        <v>-0.151420000000001</v>
      </c>
      <c r="AF4670">
        <v>-0.49840109660923199</v>
      </c>
      <c r="AG4670">
        <v>-0.114658999999999</v>
      </c>
      <c r="AH4670">
        <v>0.64026492850457495</v>
      </c>
      <c r="AI4670">
        <v>98.043379855994701</v>
      </c>
      <c r="AJ4670">
        <v>127.898241933503</v>
      </c>
      <c r="AK4670">
        <v>0.81944464001862405</v>
      </c>
      <c r="AL4670">
        <v>83.030700299192702</v>
      </c>
      <c r="AM4670">
        <v>110.811578475231</v>
      </c>
      <c r="AN4670">
        <v>1.0000000118310099</v>
      </c>
    </row>
    <row r="4671" spans="1:40" x14ac:dyDescent="0.25">
      <c r="A4671" t="str">
        <f>"20190312164404368"</f>
        <v>20190312164404368</v>
      </c>
      <c r="B4671" t="str">
        <f>"1552380244360263"</f>
        <v>1552380244360263</v>
      </c>
      <c r="C4671" t="s">
        <v>40</v>
      </c>
      <c r="D4671">
        <v>5.0069800000000004</v>
      </c>
      <c r="E4671">
        <v>0.44591310000000001</v>
      </c>
      <c r="F4671" t="s">
        <v>41</v>
      </c>
      <c r="G4671">
        <v>-294.26900000000001</v>
      </c>
      <c r="H4671">
        <v>1.0078039999999999</v>
      </c>
      <c r="I4671">
        <v>-54.687040000000003</v>
      </c>
      <c r="J4671">
        <v>-295.05399999999997</v>
      </c>
      <c r="K4671">
        <v>1.1202479999999999</v>
      </c>
      <c r="L4671">
        <v>-54.544339999999998</v>
      </c>
      <c r="M4671">
        <v>0.6732416</v>
      </c>
      <c r="N4671">
        <v>0</v>
      </c>
      <c r="O4671">
        <v>-0.73927779999999998</v>
      </c>
      <c r="P4671">
        <v>0.88258649999999905</v>
      </c>
      <c r="Q4671">
        <v>0.1149568</v>
      </c>
      <c r="R4671">
        <v>-0.45587929999999999</v>
      </c>
      <c r="S4671">
        <v>2.9329830000000001</v>
      </c>
      <c r="T4671">
        <v>-0.33985159999999998</v>
      </c>
      <c r="U4671">
        <v>-0.99978639999999996</v>
      </c>
      <c r="V4671">
        <v>-0.348672599999999</v>
      </c>
      <c r="W4671">
        <v>0.1199808</v>
      </c>
      <c r="X4671">
        <v>0.92953319999999995</v>
      </c>
      <c r="Y4671">
        <v>-0.47653380000000001</v>
      </c>
      <c r="Z4671">
        <v>9.9429770000000001E-2</v>
      </c>
      <c r="AA4671">
        <v>0.87351540000000005</v>
      </c>
      <c r="AB4671">
        <v>27</v>
      </c>
      <c r="AC4671">
        <v>0.78500000000002501</v>
      </c>
      <c r="AD4671">
        <v>-0.112443999999999</v>
      </c>
      <c r="AE4671">
        <v>-0.142699999999997</v>
      </c>
      <c r="AF4671">
        <v>-0.47488144229348001</v>
      </c>
      <c r="AG4671">
        <v>-0.112443999999999</v>
      </c>
      <c r="AH4671">
        <v>0.62170933842534704</v>
      </c>
      <c r="AI4671">
        <v>98.17912150942</v>
      </c>
      <c r="AJ4671">
        <v>127.373746437957</v>
      </c>
      <c r="AK4671">
        <v>0.790366079014034</v>
      </c>
      <c r="AL4671">
        <v>83.1090053124977</v>
      </c>
      <c r="AM4671">
        <v>110.561322037241</v>
      </c>
      <c r="AN4671">
        <v>0.99999997213081904</v>
      </c>
    </row>
    <row r="4672" spans="1:40" x14ac:dyDescent="0.25">
      <c r="A4672" t="str">
        <f>"20190312164404390"</f>
        <v>20190312164404390</v>
      </c>
      <c r="B4672" t="str">
        <f>"1552380244379784"</f>
        <v>1552380244379784</v>
      </c>
      <c r="C4672" t="s">
        <v>40</v>
      </c>
      <c r="D4672">
        <v>5.0536519999999996</v>
      </c>
      <c r="E4672">
        <v>0.4467467</v>
      </c>
      <c r="F4672" t="s">
        <v>41</v>
      </c>
      <c r="G4672">
        <v>-294.10599999999999</v>
      </c>
      <c r="H4672">
        <v>1.008208</v>
      </c>
      <c r="I4672">
        <v>-54.860030000000002</v>
      </c>
      <c r="J4672">
        <v>-294.86489999999998</v>
      </c>
      <c r="K4672">
        <v>1.1202190000000001</v>
      </c>
      <c r="L4672">
        <v>-54.730930000000001</v>
      </c>
      <c r="M4672">
        <v>0.6831644</v>
      </c>
      <c r="N4672">
        <v>0</v>
      </c>
      <c r="O4672">
        <v>-0.73011899999999996</v>
      </c>
      <c r="P4672">
        <v>0.88662369999999902</v>
      </c>
      <c r="Q4672">
        <v>0.1139384</v>
      </c>
      <c r="R4672">
        <v>-0.44823770000000002</v>
      </c>
      <c r="S4672">
        <v>2.938965</v>
      </c>
      <c r="T4672">
        <v>-0.3473231</v>
      </c>
      <c r="U4672">
        <v>-0.9784851</v>
      </c>
      <c r="V4672">
        <v>-0.34420000000000001</v>
      </c>
      <c r="W4672">
        <v>0.11909459999999999</v>
      </c>
      <c r="X4672">
        <v>0.93131240000000004</v>
      </c>
      <c r="Y4672">
        <v>-0.47070479999999998</v>
      </c>
      <c r="Z4672">
        <v>0.1006281</v>
      </c>
      <c r="AA4672">
        <v>0.87653349999999997</v>
      </c>
      <c r="AB4672">
        <v>27</v>
      </c>
      <c r="AC4672">
        <v>0.75889999999998203</v>
      </c>
      <c r="AD4672">
        <v>-0.112011</v>
      </c>
      <c r="AE4672">
        <v>-0.129099999999994</v>
      </c>
      <c r="AF4672">
        <v>-0.456279952953212</v>
      </c>
      <c r="AG4672">
        <v>-0.112011</v>
      </c>
      <c r="AH4672">
        <v>0.60007223180541502</v>
      </c>
      <c r="AI4672">
        <v>98.451560454091194</v>
      </c>
      <c r="AJ4672">
        <v>127.248452687401</v>
      </c>
      <c r="AK4672">
        <v>0.76211845730956995</v>
      </c>
      <c r="AL4672">
        <v>83.160147562768302</v>
      </c>
      <c r="AM4672">
        <v>110.28360541372</v>
      </c>
      <c r="AN4672">
        <v>0.99999997507145899</v>
      </c>
    </row>
    <row r="4673" spans="1:40" x14ac:dyDescent="0.25">
      <c r="A4673" t="str">
        <f>"20190312164404413"</f>
        <v>20190312164404413</v>
      </c>
      <c r="B4673" t="str">
        <f>"1552380244410039"</f>
        <v>1552380244410039</v>
      </c>
      <c r="C4673" t="s">
        <v>40</v>
      </c>
      <c r="D4673">
        <v>4.8945480000000003</v>
      </c>
      <c r="E4673">
        <v>0.4636325</v>
      </c>
      <c r="F4673" t="s">
        <v>41</v>
      </c>
      <c r="G4673">
        <v>-293.9409</v>
      </c>
      <c r="H4673">
        <v>1.0103230000000001</v>
      </c>
      <c r="I4673">
        <v>-55.031570000000002</v>
      </c>
      <c r="J4673">
        <v>-294.66739999999999</v>
      </c>
      <c r="K4673">
        <v>1.120179</v>
      </c>
      <c r="L4673">
        <v>-54.920679999999997</v>
      </c>
      <c r="M4673">
        <v>0.6932355</v>
      </c>
      <c r="N4673">
        <v>0</v>
      </c>
      <c r="O4673">
        <v>-0.72056419999999999</v>
      </c>
      <c r="P4673">
        <v>0.8906501</v>
      </c>
      <c r="Q4673">
        <v>0.11379160000000001</v>
      </c>
      <c r="R4673">
        <v>-0.44022060000000002</v>
      </c>
      <c r="S4673">
        <v>2.944458</v>
      </c>
      <c r="T4673">
        <v>-0.35017779999999998</v>
      </c>
      <c r="U4673">
        <v>-0.9577637</v>
      </c>
      <c r="V4673">
        <v>-0.33965879999999998</v>
      </c>
      <c r="W4673">
        <v>0.1190813</v>
      </c>
      <c r="X4673">
        <v>0.93297989999999997</v>
      </c>
      <c r="Y4673">
        <v>-0.46449590000000002</v>
      </c>
      <c r="Z4673">
        <v>0.100409</v>
      </c>
      <c r="AA4673">
        <v>0.87986450000000005</v>
      </c>
      <c r="AB4673">
        <v>27</v>
      </c>
      <c r="AC4673">
        <v>0.72649999999998705</v>
      </c>
      <c r="AD4673">
        <v>-0.109856</v>
      </c>
      <c r="AE4673">
        <v>-0.11088999999999</v>
      </c>
      <c r="AF4673">
        <v>-0.43690186897418098</v>
      </c>
      <c r="AG4673">
        <v>-0.109856</v>
      </c>
      <c r="AH4673">
        <v>0.57084539142550395</v>
      </c>
      <c r="AI4673">
        <v>98.688803427935596</v>
      </c>
      <c r="AJ4673">
        <v>127.42897528995501</v>
      </c>
      <c r="AK4673">
        <v>0.72719739050746701</v>
      </c>
      <c r="AL4673">
        <v>83.160915058680004</v>
      </c>
      <c r="AM4673">
        <v>110.004440439056</v>
      </c>
      <c r="AN4673">
        <v>0.99999997511556904</v>
      </c>
    </row>
    <row r="4674" spans="1:40" x14ac:dyDescent="0.25">
      <c r="A4674" t="str">
        <f>"20190312164404436"</f>
        <v>20190312164404436</v>
      </c>
      <c r="B4674" t="str">
        <f>"1552380244429559"</f>
        <v>1552380244429559</v>
      </c>
      <c r="C4674" t="s">
        <v>40</v>
      </c>
      <c r="D4674">
        <v>4.9084190000000003</v>
      </c>
      <c r="E4674">
        <v>0.47016429999999998</v>
      </c>
      <c r="F4674" t="s">
        <v>50</v>
      </c>
      <c r="G4674">
        <v>-283.78339999999997</v>
      </c>
      <c r="H4674" s="1">
        <v>-4.6458399999999999E-6</v>
      </c>
      <c r="I4674">
        <v>-58.889169999999901</v>
      </c>
      <c r="J4674">
        <v>-294.4631</v>
      </c>
      <c r="K4674">
        <v>1.1201270000000001</v>
      </c>
      <c r="L4674">
        <v>-55.111690000000003</v>
      </c>
      <c r="M4674">
        <v>0.70333840000000003</v>
      </c>
      <c r="N4674">
        <v>0</v>
      </c>
      <c r="O4674">
        <v>-0.71070659999999997</v>
      </c>
      <c r="P4674">
        <v>0.89445390000000002</v>
      </c>
      <c r="Q4674">
        <v>0.1136255</v>
      </c>
      <c r="R4674">
        <v>-0.43248300000000001</v>
      </c>
      <c r="S4674">
        <v>2.886139</v>
      </c>
      <c r="T4674">
        <v>-0.2970428</v>
      </c>
      <c r="U4674">
        <v>-1.052338</v>
      </c>
      <c r="V4674">
        <v>-0.33455940000000001</v>
      </c>
      <c r="W4674">
        <v>0.11907139999999999</v>
      </c>
      <c r="X4674">
        <v>0.93482189999999998</v>
      </c>
      <c r="Y4674">
        <v>-0.42239929999999898</v>
      </c>
      <c r="Z4674">
        <v>8.3545320000000006E-2</v>
      </c>
      <c r="AA4674">
        <v>0.9025514</v>
      </c>
      <c r="AB4674">
        <v>27</v>
      </c>
      <c r="AC4674">
        <v>10.6797</v>
      </c>
      <c r="AD4674">
        <v>-1.1201316458399999</v>
      </c>
      <c r="AE4674">
        <v>-3.77747999999999</v>
      </c>
      <c r="AF4674">
        <v>-4.8860346644316204</v>
      </c>
      <c r="AG4674">
        <v>-1.1201316458399999</v>
      </c>
      <c r="AH4674">
        <v>10.098462846152101</v>
      </c>
      <c r="AI4674">
        <v>95.701959080230296</v>
      </c>
      <c r="AJ4674">
        <v>115.819528506797</v>
      </c>
      <c r="AK4674">
        <v>11.2741732069875</v>
      </c>
      <c r="AL4674">
        <v>83.161486437200196</v>
      </c>
      <c r="AM4674">
        <v>109.691562795178</v>
      </c>
      <c r="AN4674">
        <v>0.99999998757296404</v>
      </c>
    </row>
    <row r="4675" spans="1:40" x14ac:dyDescent="0.25">
      <c r="A4675" t="str">
        <f>"20190312164404459"</f>
        <v>20190312164404459</v>
      </c>
      <c r="B4675" t="str">
        <f>"1552380244450055"</f>
        <v>1552380244450055</v>
      </c>
      <c r="C4675" t="s">
        <v>40</v>
      </c>
      <c r="D4675">
        <v>4.921729</v>
      </c>
      <c r="E4675">
        <v>0.47375909999999899</v>
      </c>
      <c r="F4675" t="s">
        <v>50</v>
      </c>
      <c r="G4675">
        <v>-284.00080000000003</v>
      </c>
      <c r="H4675" s="1">
        <v>-4.5210009999999998E-6</v>
      </c>
      <c r="I4675">
        <v>-59.021769999999997</v>
      </c>
      <c r="J4675">
        <v>-294.26769999999999</v>
      </c>
      <c r="K4675">
        <v>1.120058</v>
      </c>
      <c r="L4675">
        <v>-55.289490000000001</v>
      </c>
      <c r="M4675">
        <v>0.71270299999999998</v>
      </c>
      <c r="N4675">
        <v>0</v>
      </c>
      <c r="O4675">
        <v>-0.70131639999999995</v>
      </c>
      <c r="P4675">
        <v>0.89805199999999996</v>
      </c>
      <c r="Q4675">
        <v>0.1132944</v>
      </c>
      <c r="R4675">
        <v>-0.42504979999999998</v>
      </c>
      <c r="S4675">
        <v>2.8737490000000001</v>
      </c>
      <c r="T4675">
        <v>-0.3076739</v>
      </c>
      <c r="U4675">
        <v>-1.0740050000000001</v>
      </c>
      <c r="V4675">
        <v>-0.32990700000000001</v>
      </c>
      <c r="W4675">
        <v>0.118891</v>
      </c>
      <c r="X4675">
        <v>0.93649689999999997</v>
      </c>
      <c r="Y4675">
        <v>-0.40283459999999899</v>
      </c>
      <c r="Z4675">
        <v>8.5099279999999999E-2</v>
      </c>
      <c r="AA4675">
        <v>0.91130809999999995</v>
      </c>
      <c r="AB4675">
        <v>27</v>
      </c>
      <c r="AC4675">
        <v>10.2668999999999</v>
      </c>
      <c r="AD4675">
        <v>-1.120062521001</v>
      </c>
      <c r="AE4675">
        <v>-3.73227999999999</v>
      </c>
      <c r="AF4675">
        <v>-4.4935761773746901</v>
      </c>
      <c r="AG4675">
        <v>-1.120062521001</v>
      </c>
      <c r="AH4675">
        <v>9.8324391651574796</v>
      </c>
      <c r="AI4675">
        <v>95.915184086913897</v>
      </c>
      <c r="AJ4675">
        <v>114.56113088571099</v>
      </c>
      <c r="AK4675">
        <v>10.8684693885267</v>
      </c>
      <c r="AL4675">
        <v>83.171897117271001</v>
      </c>
      <c r="AM4675">
        <v>109.406225631865</v>
      </c>
      <c r="AN4675">
        <v>1.0000000711198</v>
      </c>
    </row>
    <row r="4676" spans="1:40" x14ac:dyDescent="0.25">
      <c r="A4676" t="str">
        <f>"20190312164404481"</f>
        <v>20190312164404481</v>
      </c>
      <c r="B4676" t="str">
        <f>"1552380244470082"</f>
        <v>1552380244470082</v>
      </c>
      <c r="C4676" t="s">
        <v>40</v>
      </c>
      <c r="D4676">
        <v>4.9252669999999998</v>
      </c>
      <c r="E4676">
        <v>0.47551500000000002</v>
      </c>
      <c r="F4676" t="s">
        <v>50</v>
      </c>
      <c r="G4676">
        <v>-283.54910000000001</v>
      </c>
      <c r="H4676" s="1">
        <v>-4.6804119999999996E-6</v>
      </c>
      <c r="I4676">
        <v>-59.308140000000002</v>
      </c>
      <c r="J4676">
        <v>-294.06130000000002</v>
      </c>
      <c r="K4676">
        <v>1.11998</v>
      </c>
      <c r="L4676">
        <v>-55.472410000000004</v>
      </c>
      <c r="M4676">
        <v>0.72228709999999996</v>
      </c>
      <c r="N4676">
        <v>0</v>
      </c>
      <c r="O4676">
        <v>-0.69144249999999996</v>
      </c>
      <c r="P4676">
        <v>0.90172589999999997</v>
      </c>
      <c r="Q4676">
        <v>0.1118933</v>
      </c>
      <c r="R4676">
        <v>-0.41757729999999998</v>
      </c>
      <c r="S4676">
        <v>2.8692319999999998</v>
      </c>
      <c r="T4676">
        <v>-0.29982720000000002</v>
      </c>
      <c r="U4676">
        <v>-1.075745</v>
      </c>
      <c r="V4676">
        <v>-0.32484940000000001</v>
      </c>
      <c r="W4676">
        <v>0.1176618</v>
      </c>
      <c r="X4676">
        <v>0.93841810000000003</v>
      </c>
      <c r="Y4676">
        <v>-0.38956190000000002</v>
      </c>
      <c r="Z4676">
        <v>8.1743099999999999E-2</v>
      </c>
      <c r="AA4676">
        <v>0.9173656</v>
      </c>
      <c r="AB4676">
        <v>27</v>
      </c>
      <c r="AC4676">
        <v>10.5122</v>
      </c>
      <c r="AD4676">
        <v>-1.1199846804119999</v>
      </c>
      <c r="AE4676">
        <v>-3.8357299999999999</v>
      </c>
      <c r="AF4676">
        <v>-4.45393611958895</v>
      </c>
      <c r="AG4676">
        <v>-1.1199846804119999</v>
      </c>
      <c r="AH4676">
        <v>10.144461256702</v>
      </c>
      <c r="AI4676">
        <v>95.772384964068294</v>
      </c>
      <c r="AJ4676">
        <v>113.703925424487</v>
      </c>
      <c r="AK4676">
        <v>11.135618834643299</v>
      </c>
      <c r="AL4676">
        <v>83.242822326973496</v>
      </c>
      <c r="AM4676">
        <v>109.094166191458</v>
      </c>
      <c r="AN4676">
        <v>0.999999981133604</v>
      </c>
    </row>
    <row r="4677" spans="1:40" x14ac:dyDescent="0.25">
      <c r="A4677" t="str">
        <f>"20190312164404503"</f>
        <v>20190312164404503</v>
      </c>
      <c r="B4677" t="str">
        <f>"1552380244489602"</f>
        <v>1552380244489602</v>
      </c>
      <c r="C4677" t="s">
        <v>40</v>
      </c>
      <c r="D4677">
        <v>4.9166239999999997</v>
      </c>
      <c r="E4677">
        <v>0.47678359999999897</v>
      </c>
      <c r="F4677" t="s">
        <v>50</v>
      </c>
      <c r="G4677">
        <v>-283.27330000000001</v>
      </c>
      <c r="H4677" s="1">
        <v>-4.7800259999999901E-6</v>
      </c>
      <c r="I4677">
        <v>-59.470260000000003</v>
      </c>
      <c r="J4677">
        <v>-293.86880000000002</v>
      </c>
      <c r="K4677">
        <v>1.1198980000000001</v>
      </c>
      <c r="L4677">
        <v>-55.638309999999997</v>
      </c>
      <c r="M4677">
        <v>0.73093209999999997</v>
      </c>
      <c r="N4677">
        <v>0</v>
      </c>
      <c r="O4677">
        <v>-0.68229799999999996</v>
      </c>
      <c r="P4677">
        <v>0.9047925</v>
      </c>
      <c r="Q4677">
        <v>0.1107456</v>
      </c>
      <c r="R4677">
        <v>-0.41120109999999899</v>
      </c>
      <c r="S4677">
        <v>2.871216</v>
      </c>
      <c r="T4677">
        <v>-0.2980833</v>
      </c>
      <c r="U4677">
        <v>-1.0640259999999999</v>
      </c>
      <c r="V4677">
        <v>-0.31969829999999999</v>
      </c>
      <c r="W4677">
        <v>0.1166915</v>
      </c>
      <c r="X4677">
        <v>0.94030639999999999</v>
      </c>
      <c r="Y4677">
        <v>-0.38157140000000001</v>
      </c>
      <c r="Z4677">
        <v>8.0293920000000005E-2</v>
      </c>
      <c r="AA4677">
        <v>0.92084529999999998</v>
      </c>
      <c r="AB4677">
        <v>27</v>
      </c>
      <c r="AC4677">
        <v>10.595499999999999</v>
      </c>
      <c r="AD4677">
        <v>-1.119902780026</v>
      </c>
      <c r="AE4677">
        <v>-3.8319499999999902</v>
      </c>
      <c r="AF4677">
        <v>-4.3855265346441703</v>
      </c>
      <c r="AG4677">
        <v>-1.119902780026</v>
      </c>
      <c r="AH4677">
        <v>10.258847003785901</v>
      </c>
      <c r="AI4677">
        <v>95.732004283858302</v>
      </c>
      <c r="AJ4677">
        <v>113.14609133317001</v>
      </c>
      <c r="AK4677">
        <v>11.212982077478999</v>
      </c>
      <c r="AL4677">
        <v>83.298802309772597</v>
      </c>
      <c r="AM4677">
        <v>108.77771227985799</v>
      </c>
      <c r="AN4677">
        <v>1.0000000175380399</v>
      </c>
    </row>
    <row r="4678" spans="1:40" x14ac:dyDescent="0.25">
      <c r="A4678" t="str">
        <f>"20190312164404526"</f>
        <v>20190312164404526</v>
      </c>
      <c r="B4678" t="str">
        <f>"1552380244519858"</f>
        <v>1552380244519858</v>
      </c>
      <c r="C4678" t="s">
        <v>40</v>
      </c>
      <c r="D4678">
        <v>4.9387759999999998</v>
      </c>
      <c r="E4678">
        <v>0.47800589999999998</v>
      </c>
      <c r="F4678" t="s">
        <v>50</v>
      </c>
      <c r="G4678">
        <v>-283.09370000000001</v>
      </c>
      <c r="H4678" s="1">
        <v>-4.8435299999999999E-6</v>
      </c>
      <c r="I4678">
        <v>-59.583599999999997</v>
      </c>
      <c r="J4678">
        <v>-293.65100000000001</v>
      </c>
      <c r="K4678">
        <v>1.11981</v>
      </c>
      <c r="L4678">
        <v>-55.821080000000002</v>
      </c>
      <c r="M4678">
        <v>0.74040450000000002</v>
      </c>
      <c r="N4678">
        <v>0</v>
      </c>
      <c r="O4678">
        <v>-0.67200760000000004</v>
      </c>
      <c r="P4678">
        <v>0.90832500000000005</v>
      </c>
      <c r="Q4678">
        <v>0.10968559999999999</v>
      </c>
      <c r="R4678">
        <v>-0.40362680000000001</v>
      </c>
      <c r="S4678">
        <v>2.873993</v>
      </c>
      <c r="T4678">
        <v>-0.2987051</v>
      </c>
      <c r="U4678">
        <v>-1.0523070000000001</v>
      </c>
      <c r="V4678">
        <v>-0.31442639999999999</v>
      </c>
      <c r="W4678">
        <v>0.1158134</v>
      </c>
      <c r="X4678">
        <v>0.94219070000000005</v>
      </c>
      <c r="Y4678">
        <v>-0.37228329999999998</v>
      </c>
      <c r="Z4678">
        <v>7.9305970000000003E-2</v>
      </c>
      <c r="AA4678">
        <v>0.92472460000000001</v>
      </c>
      <c r="AB4678">
        <v>27</v>
      </c>
      <c r="AC4678">
        <v>10.5572999999999</v>
      </c>
      <c r="AD4678">
        <v>-1.1198148435299999</v>
      </c>
      <c r="AE4678">
        <v>-3.7625199999999901</v>
      </c>
      <c r="AF4678">
        <v>-4.2666514260595001</v>
      </c>
      <c r="AG4678">
        <v>-1.1198148435299999</v>
      </c>
      <c r="AH4678">
        <v>10.243920960682001</v>
      </c>
      <c r="AI4678">
        <v>95.762323487405396</v>
      </c>
      <c r="AJ4678">
        <v>112.612005882947</v>
      </c>
      <c r="AK4678">
        <v>11.153305174879099</v>
      </c>
      <c r="AL4678">
        <v>83.349457138959494</v>
      </c>
      <c r="AM4678">
        <v>108.45480443683</v>
      </c>
      <c r="AN4678">
        <v>1.0000000099015001</v>
      </c>
    </row>
    <row r="4679" spans="1:40" x14ac:dyDescent="0.25">
      <c r="A4679" t="str">
        <f>"20190312164404547"</f>
        <v>20190312164404547</v>
      </c>
      <c r="B4679" t="str">
        <f>"1552380244539382"</f>
        <v>1552380244539382</v>
      </c>
      <c r="C4679" t="s">
        <v>40</v>
      </c>
      <c r="D4679">
        <v>5.0432689999999996</v>
      </c>
      <c r="E4679">
        <v>0.47909780000000002</v>
      </c>
      <c r="F4679" t="s">
        <v>50</v>
      </c>
      <c r="G4679">
        <v>-282.86309999999997</v>
      </c>
      <c r="H4679" s="1">
        <v>-4.9292040000000003E-6</v>
      </c>
      <c r="I4679">
        <v>-59.70561</v>
      </c>
      <c r="J4679">
        <v>-293.4547</v>
      </c>
      <c r="K4679">
        <v>1.1197429999999999</v>
      </c>
      <c r="L4679">
        <v>-55.981720000000003</v>
      </c>
      <c r="M4679">
        <v>0.748673699999999</v>
      </c>
      <c r="N4679">
        <v>0</v>
      </c>
      <c r="O4679">
        <v>-0.66278340000000002</v>
      </c>
      <c r="P4679">
        <v>0.91091350000000004</v>
      </c>
      <c r="Q4679">
        <v>0.110469899999999</v>
      </c>
      <c r="R4679">
        <v>-0.3975341</v>
      </c>
      <c r="S4679">
        <v>2.8783259999999999</v>
      </c>
      <c r="T4679">
        <v>-0.29877959999999998</v>
      </c>
      <c r="U4679">
        <v>-1.036438</v>
      </c>
      <c r="V4679">
        <v>-0.30898550000000002</v>
      </c>
      <c r="W4679">
        <v>0.1167772</v>
      </c>
      <c r="X4679">
        <v>0.94387019999999999</v>
      </c>
      <c r="Y4679">
        <v>-0.36579519999999999</v>
      </c>
      <c r="Z4679">
        <v>7.8355229999999998E-2</v>
      </c>
      <c r="AA4679">
        <v>0.92739119999999997</v>
      </c>
      <c r="AB4679">
        <v>27</v>
      </c>
      <c r="AC4679">
        <v>10.5916</v>
      </c>
      <c r="AD4679">
        <v>-1.119747929204</v>
      </c>
      <c r="AE4679">
        <v>-3.7238899999999999</v>
      </c>
      <c r="AF4679">
        <v>-4.1907080845717699</v>
      </c>
      <c r="AG4679">
        <v>-1.119747929204</v>
      </c>
      <c r="AH4679">
        <v>10.296434742965401</v>
      </c>
      <c r="AI4679">
        <v>95.751867671829999</v>
      </c>
      <c r="AJ4679">
        <v>112.14660549756</v>
      </c>
      <c r="AK4679">
        <v>11.1728437781612</v>
      </c>
      <c r="AL4679">
        <v>83.2938578322279</v>
      </c>
      <c r="AM4679">
        <v>108.126385026031</v>
      </c>
      <c r="AN4679">
        <v>0.99999995404906294</v>
      </c>
    </row>
    <row r="4680" spans="1:40" x14ac:dyDescent="0.25">
      <c r="A4680" t="str">
        <f>"20190312164404569"</f>
        <v>20190312164404569</v>
      </c>
      <c r="B4680" t="str">
        <f>"1552380244559384"</f>
        <v>1552380244559384</v>
      </c>
      <c r="C4680" t="s">
        <v>40</v>
      </c>
      <c r="D4680">
        <v>4.9685819999999996</v>
      </c>
      <c r="E4680">
        <v>0.47964509999999999</v>
      </c>
      <c r="F4680" t="s">
        <v>50</v>
      </c>
      <c r="G4680">
        <v>-282.80930000000001</v>
      </c>
      <c r="H4680" s="1">
        <v>-4.9432670000000003E-6</v>
      </c>
      <c r="I4680">
        <v>-59.767420000000001</v>
      </c>
      <c r="J4680">
        <v>-293.25490000000002</v>
      </c>
      <c r="K4680">
        <v>1.1196649999999999</v>
      </c>
      <c r="L4680">
        <v>-56.14114</v>
      </c>
      <c r="M4680">
        <v>0.75682419999999995</v>
      </c>
      <c r="N4680">
        <v>0</v>
      </c>
      <c r="O4680">
        <v>-0.65346159999999998</v>
      </c>
      <c r="P4680">
        <v>0.91329009999999999</v>
      </c>
      <c r="Q4680">
        <v>0.1109279</v>
      </c>
      <c r="R4680">
        <v>-0.39191330000000002</v>
      </c>
      <c r="S4680">
        <v>2.8827820000000002</v>
      </c>
      <c r="T4680">
        <v>-0.30323080000000002</v>
      </c>
      <c r="U4680">
        <v>-1.025177</v>
      </c>
      <c r="V4680">
        <v>-0.30305070000000001</v>
      </c>
      <c r="W4680">
        <v>0.1174284</v>
      </c>
      <c r="X4680">
        <v>0.94571190000000005</v>
      </c>
      <c r="Y4680">
        <v>-0.35787940000000001</v>
      </c>
      <c r="Z4680">
        <v>7.8409270000000003E-2</v>
      </c>
      <c r="AA4680">
        <v>0.93046989999999996</v>
      </c>
      <c r="AB4680">
        <v>27</v>
      </c>
      <c r="AC4680">
        <v>10.445600000000001</v>
      </c>
      <c r="AD4680">
        <v>-1.1196699432670001</v>
      </c>
      <c r="AE4680">
        <v>-3.6262799999999902</v>
      </c>
      <c r="AF4680">
        <v>-4.04033095045079</v>
      </c>
      <c r="AG4680">
        <v>-1.1196699432670001</v>
      </c>
      <c r="AH4680">
        <v>10.171868797377099</v>
      </c>
      <c r="AI4680">
        <v>95.841064769436102</v>
      </c>
      <c r="AJ4680">
        <v>111.66329054108</v>
      </c>
      <c r="AK4680">
        <v>11.0020384384931</v>
      </c>
      <c r="AL4680">
        <v>83.256289164421602</v>
      </c>
      <c r="AM4680">
        <v>107.767909566396</v>
      </c>
      <c r="AN4680">
        <v>1.00000007684932</v>
      </c>
    </row>
    <row r="4681" spans="1:40" x14ac:dyDescent="0.25">
      <c r="A4681" t="str">
        <f>"20190312164404591"</f>
        <v>20190312164404591</v>
      </c>
      <c r="B4681" t="str">
        <f>"1552380244579879"</f>
        <v>1552380244579879</v>
      </c>
      <c r="C4681" t="s">
        <v>40</v>
      </c>
      <c r="D4681">
        <v>5.1162929999999998</v>
      </c>
      <c r="E4681">
        <v>0.48004980000000003</v>
      </c>
      <c r="F4681" t="s">
        <v>50</v>
      </c>
      <c r="G4681">
        <v>-282.50409999999999</v>
      </c>
      <c r="H4681" s="1">
        <v>-5.0611910000000003E-6</v>
      </c>
      <c r="I4681">
        <v>-59.903709999999997</v>
      </c>
      <c r="J4681">
        <v>-293.04020000000003</v>
      </c>
      <c r="K4681">
        <v>1.1195759999999999</v>
      </c>
      <c r="L4681">
        <v>-56.308199999999999</v>
      </c>
      <c r="M4681">
        <v>0.76529959999999997</v>
      </c>
      <c r="N4681">
        <v>0</v>
      </c>
      <c r="O4681">
        <v>-0.64351590000000003</v>
      </c>
      <c r="P4681">
        <v>0.91606529999999997</v>
      </c>
      <c r="Q4681">
        <v>0.1105643</v>
      </c>
      <c r="R4681">
        <v>-0.38548700000000002</v>
      </c>
      <c r="S4681">
        <v>2.8876650000000001</v>
      </c>
      <c r="T4681">
        <v>-0.30074190000000001</v>
      </c>
      <c r="U4681">
        <v>-1.0106200000000001</v>
      </c>
      <c r="V4681">
        <v>-0.29731740000000001</v>
      </c>
      <c r="W4681">
        <v>0.1172541</v>
      </c>
      <c r="X4681">
        <v>0.94755149999999999</v>
      </c>
      <c r="Y4681">
        <v>-0.35048200000000002</v>
      </c>
      <c r="Z4681">
        <v>7.6649439999999999E-2</v>
      </c>
      <c r="AA4681">
        <v>0.93342769999999997</v>
      </c>
      <c r="AB4681">
        <v>27</v>
      </c>
      <c r="AC4681">
        <v>10.536099999999999</v>
      </c>
      <c r="AD4681">
        <v>-1.119581061191</v>
      </c>
      <c r="AE4681">
        <v>-3.5955099999999902</v>
      </c>
      <c r="AF4681">
        <v>-3.9885768517775801</v>
      </c>
      <c r="AG4681">
        <v>-1.119581061191</v>
      </c>
      <c r="AH4681">
        <v>10.274188605455301</v>
      </c>
      <c r="AI4681">
        <v>95.800434723385905</v>
      </c>
      <c r="AJ4681">
        <v>111.216875373704</v>
      </c>
      <c r="AK4681">
        <v>11.077958230449299</v>
      </c>
      <c r="AL4681">
        <v>83.266344787828203</v>
      </c>
      <c r="AM4681">
        <v>107.42052179484899</v>
      </c>
      <c r="AN4681">
        <v>1.0000000027309099</v>
      </c>
    </row>
    <row r="4682" spans="1:40" x14ac:dyDescent="0.25">
      <c r="A4682" t="str">
        <f>"20190312164404614"</f>
        <v>20190312164404614</v>
      </c>
      <c r="B4682" t="str">
        <f>"1552380244610136"</f>
        <v>1552380244610136</v>
      </c>
      <c r="C4682" t="s">
        <v>40</v>
      </c>
      <c r="D4682">
        <v>5.0275850000000002</v>
      </c>
      <c r="E4682">
        <v>0.4948225</v>
      </c>
      <c r="F4682" t="s">
        <v>50</v>
      </c>
      <c r="G4682">
        <v>-282.33269999999999</v>
      </c>
      <c r="H4682" s="1">
        <v>-5.1276289999999898E-6</v>
      </c>
      <c r="I4682">
        <v>-59.978940000000001</v>
      </c>
      <c r="J4682">
        <v>-292.8272</v>
      </c>
      <c r="K4682">
        <v>1.1194770000000001</v>
      </c>
      <c r="L4682">
        <v>-56.469729999999998</v>
      </c>
      <c r="M4682">
        <v>0.77341709999999997</v>
      </c>
      <c r="N4682">
        <v>0</v>
      </c>
      <c r="O4682">
        <v>-0.63373729999999995</v>
      </c>
      <c r="P4682">
        <v>0.91881630000000003</v>
      </c>
      <c r="Q4682">
        <v>0.10923139999999899</v>
      </c>
      <c r="R4682">
        <v>-0.37926870000000001</v>
      </c>
      <c r="S4682">
        <v>2.8939210000000002</v>
      </c>
      <c r="T4682">
        <v>-0.30259160000000002</v>
      </c>
      <c r="U4682">
        <v>-0.99209590000000003</v>
      </c>
      <c r="V4682">
        <v>-0.29172619999999999</v>
      </c>
      <c r="W4682">
        <v>0.1161061</v>
      </c>
      <c r="X4682">
        <v>0.94942890000000002</v>
      </c>
      <c r="Y4682">
        <v>-0.34455839999999999</v>
      </c>
      <c r="Z4682">
        <v>7.6055269999999994E-2</v>
      </c>
      <c r="AA4682">
        <v>0.93567900000000004</v>
      </c>
      <c r="AB4682">
        <v>27</v>
      </c>
      <c r="AC4682">
        <v>10.4945</v>
      </c>
      <c r="AD4682">
        <v>-1.1194821276289999</v>
      </c>
      <c r="AE4682">
        <v>-3.5092099999999902</v>
      </c>
      <c r="AF4682">
        <v>-3.8971858885666202</v>
      </c>
      <c r="AG4682">
        <v>-1.1194821276289999</v>
      </c>
      <c r="AH4682">
        <v>10.2368211969758</v>
      </c>
      <c r="AI4682">
        <v>95.835512769036896</v>
      </c>
      <c r="AJ4682">
        <v>110.841966382907</v>
      </c>
      <c r="AK4682">
        <v>11.0106224303159</v>
      </c>
      <c r="AL4682">
        <v>83.3325728231315</v>
      </c>
      <c r="AM4682">
        <v>107.08035688586401</v>
      </c>
      <c r="AN4682">
        <v>1.0000000191894201</v>
      </c>
    </row>
    <row r="4683" spans="1:40" x14ac:dyDescent="0.25">
      <c r="A4683" t="str">
        <f>"20190312164404638"</f>
        <v>20190312164404638</v>
      </c>
      <c r="B4683" t="str">
        <f>"1552380244629659"</f>
        <v>1552380244629659</v>
      </c>
      <c r="C4683" t="s">
        <v>40</v>
      </c>
      <c r="D4683">
        <v>5.0555430000000001</v>
      </c>
      <c r="E4683">
        <v>0.49828430000000001</v>
      </c>
      <c r="F4683" t="s">
        <v>50</v>
      </c>
      <c r="G4683">
        <v>-283.44529999999997</v>
      </c>
      <c r="H4683" s="1">
        <v>-4.6039159999999997E-6</v>
      </c>
      <c r="I4683">
        <v>-60.009439999999998</v>
      </c>
      <c r="J4683">
        <v>-292.59390000000002</v>
      </c>
      <c r="K4683">
        <v>1.1193599999999999</v>
      </c>
      <c r="L4683">
        <v>-56.642180000000003</v>
      </c>
      <c r="M4683">
        <v>0.78198909999999999</v>
      </c>
      <c r="N4683">
        <v>0</v>
      </c>
      <c r="O4683">
        <v>-0.62313059999999998</v>
      </c>
      <c r="P4683">
        <v>0.92199869999999995</v>
      </c>
      <c r="Q4683">
        <v>0.10851769999999999</v>
      </c>
      <c r="R4683">
        <v>-0.37167519999999998</v>
      </c>
      <c r="S4683">
        <v>2.8601990000000002</v>
      </c>
      <c r="T4683">
        <v>-0.34128999999999998</v>
      </c>
      <c r="U4683">
        <v>-1.079132</v>
      </c>
      <c r="V4683">
        <v>-0.28660099999999999</v>
      </c>
      <c r="W4683">
        <v>0.115570899999999</v>
      </c>
      <c r="X4683">
        <v>0.9510537</v>
      </c>
      <c r="Y4683">
        <v>-0.30202190000000001</v>
      </c>
      <c r="Z4683">
        <v>8.2750879999999999E-2</v>
      </c>
      <c r="AA4683">
        <v>0.94970259999999995</v>
      </c>
      <c r="AB4683">
        <v>27</v>
      </c>
      <c r="AC4683">
        <v>9.1486000000000391</v>
      </c>
      <c r="AD4683">
        <v>-1.1193646039159999</v>
      </c>
      <c r="AE4683">
        <v>-3.3672599999999999</v>
      </c>
      <c r="AF4683">
        <v>-3.0279986605437901</v>
      </c>
      <c r="AG4683">
        <v>-1.1193646039159999</v>
      </c>
      <c r="AH4683">
        <v>9.1328688631612795</v>
      </c>
      <c r="AI4683">
        <v>96.635784157002306</v>
      </c>
      <c r="AJ4683">
        <v>108.34291727970199</v>
      </c>
      <c r="AK4683">
        <v>9.6866426937538996</v>
      </c>
      <c r="AL4683">
        <v>83.363444916237796</v>
      </c>
      <c r="AM4683">
        <v>106.770233937771</v>
      </c>
      <c r="AN4683">
        <v>0.99999995320574897</v>
      </c>
    </row>
    <row r="4684" spans="1:40" x14ac:dyDescent="0.25">
      <c r="A4684" t="str">
        <f>"20190312164404659"</f>
        <v>20190312164404659</v>
      </c>
      <c r="B4684" t="str">
        <f>"1552380244650151"</f>
        <v>1552380244650151</v>
      </c>
      <c r="C4684" t="s">
        <v>40</v>
      </c>
      <c r="D4684">
        <v>5.0557080000000001</v>
      </c>
      <c r="E4684">
        <v>0.50069180000000002</v>
      </c>
      <c r="F4684" t="s">
        <v>50</v>
      </c>
      <c r="G4684">
        <v>-283.6721</v>
      </c>
      <c r="H4684" s="1">
        <v>-4.4977909999999999E-6</v>
      </c>
      <c r="I4684">
        <v>-60.012070000000001</v>
      </c>
      <c r="J4684">
        <v>-292.39019999999999</v>
      </c>
      <c r="K4684">
        <v>1.1192439999999999</v>
      </c>
      <c r="L4684">
        <v>-56.788820000000001</v>
      </c>
      <c r="M4684">
        <v>0.78919289999999997</v>
      </c>
      <c r="N4684">
        <v>0</v>
      </c>
      <c r="O4684">
        <v>-0.61398219999999903</v>
      </c>
      <c r="P4684">
        <v>0.92426560000000002</v>
      </c>
      <c r="Q4684">
        <v>0.10824110000000001</v>
      </c>
      <c r="R4684">
        <v>-0.36608309999999999</v>
      </c>
      <c r="S4684">
        <v>2.860535</v>
      </c>
      <c r="T4684">
        <v>-0.35889720000000003</v>
      </c>
      <c r="U4684">
        <v>-1.0804750000000001</v>
      </c>
      <c r="V4684">
        <v>-0.281255599999999</v>
      </c>
      <c r="W4684">
        <v>0.1154786</v>
      </c>
      <c r="X4684">
        <v>0.95265940000000005</v>
      </c>
      <c r="Y4684">
        <v>-0.2901475</v>
      </c>
      <c r="Z4684">
        <v>8.5437650000000004E-2</v>
      </c>
      <c r="AA4684">
        <v>0.95316049999999997</v>
      </c>
      <c r="AB4684">
        <v>27</v>
      </c>
      <c r="AC4684">
        <v>8.7180999999999909</v>
      </c>
      <c r="AD4684">
        <v>-1.119248497791</v>
      </c>
      <c r="AE4684">
        <v>-3.2232500000000002</v>
      </c>
      <c r="AF4684">
        <v>-2.7691216253583399</v>
      </c>
      <c r="AG4684">
        <v>-1.119248497791</v>
      </c>
      <c r="AH4684">
        <v>8.7335329297558193</v>
      </c>
      <c r="AI4684">
        <v>96.964842648010404</v>
      </c>
      <c r="AJ4684">
        <v>107.592142288072</v>
      </c>
      <c r="AK4684">
        <v>9.2301326756966997</v>
      </c>
      <c r="AL4684">
        <v>83.3687691153808</v>
      </c>
      <c r="AM4684">
        <v>106.4482902157</v>
      </c>
      <c r="AN4684">
        <v>0.99999997599883905</v>
      </c>
    </row>
    <row r="4685" spans="1:40" x14ac:dyDescent="0.25">
      <c r="A4685" t="str">
        <f>"20190312164404682"</f>
        <v>20190312164404682</v>
      </c>
      <c r="B4685" t="str">
        <f>"1552380244669673"</f>
        <v>1552380244669673</v>
      </c>
      <c r="C4685" t="s">
        <v>40</v>
      </c>
      <c r="D4685">
        <v>5.0596709999999998</v>
      </c>
      <c r="E4685">
        <v>0.501718</v>
      </c>
      <c r="F4685" t="s">
        <v>50</v>
      </c>
      <c r="G4685">
        <v>-283.6567</v>
      </c>
      <c r="H4685" s="1">
        <v>-4.4912439999999998E-6</v>
      </c>
      <c r="I4685">
        <v>-60.08934</v>
      </c>
      <c r="J4685">
        <v>-292.173</v>
      </c>
      <c r="K4685">
        <v>1.1191150000000001</v>
      </c>
      <c r="L4685">
        <v>-56.94153</v>
      </c>
      <c r="M4685">
        <v>0.79659899999999995</v>
      </c>
      <c r="N4685">
        <v>0</v>
      </c>
      <c r="O4685">
        <v>-0.60434309999999902</v>
      </c>
      <c r="P4685">
        <v>0.92637829999999999</v>
      </c>
      <c r="Q4685">
        <v>0.1083573</v>
      </c>
      <c r="R4685">
        <v>-0.36066860000000001</v>
      </c>
      <c r="S4685">
        <v>2.8605649999999998</v>
      </c>
      <c r="T4685">
        <v>-0.36659849999999999</v>
      </c>
      <c r="U4685">
        <v>-1.0810550000000001</v>
      </c>
      <c r="V4685">
        <v>-0.27519120000000002</v>
      </c>
      <c r="W4685">
        <v>0.11579689999999999</v>
      </c>
      <c r="X4685">
        <v>0.95439030000000002</v>
      </c>
      <c r="Y4685">
        <v>-0.27822770000000002</v>
      </c>
      <c r="Z4685">
        <v>8.5626670000000002E-2</v>
      </c>
      <c r="AA4685">
        <v>0.95669090000000001</v>
      </c>
      <c r="AB4685">
        <v>27</v>
      </c>
      <c r="AC4685">
        <v>8.5162999999999993</v>
      </c>
      <c r="AD4685">
        <v>-1.1191194912439999</v>
      </c>
      <c r="AE4685">
        <v>-3.14780999999999</v>
      </c>
      <c r="AF4685">
        <v>-2.59998719585511</v>
      </c>
      <c r="AG4685">
        <v>-1.1191194912439999</v>
      </c>
      <c r="AH4685">
        <v>8.5572911497449802</v>
      </c>
      <c r="AI4685">
        <v>97.1324291233785</v>
      </c>
      <c r="AJ4685">
        <v>106.900510965441</v>
      </c>
      <c r="AK4685">
        <v>9.0133009311681498</v>
      </c>
      <c r="AL4685">
        <v>83.350408734390498</v>
      </c>
      <c r="AM4685">
        <v>106.084514962108</v>
      </c>
      <c r="AN4685">
        <v>0.99999998167056903</v>
      </c>
    </row>
    <row r="4686" spans="1:40" x14ac:dyDescent="0.25">
      <c r="A4686" t="str">
        <f>"20190312164404703"</f>
        <v>20190312164404703</v>
      </c>
      <c r="B4686" t="str">
        <f>"1552380244699929"</f>
        <v>1552380244699929</v>
      </c>
      <c r="C4686" t="s">
        <v>40</v>
      </c>
      <c r="D4686">
        <v>5.0533609999999998</v>
      </c>
      <c r="E4686">
        <v>0.50317500000000004</v>
      </c>
      <c r="F4686" t="s">
        <v>50</v>
      </c>
      <c r="G4686">
        <v>-283.2242</v>
      </c>
      <c r="H4686" s="1">
        <v>-4.6567690000000002E-6</v>
      </c>
      <c r="I4686">
        <v>-60.2913</v>
      </c>
      <c r="J4686">
        <v>-291.9545</v>
      </c>
      <c r="K4686">
        <v>1.1189720000000001</v>
      </c>
      <c r="L4686">
        <v>-57.09113</v>
      </c>
      <c r="M4686">
        <v>0.80375069999999904</v>
      </c>
      <c r="N4686">
        <v>0</v>
      </c>
      <c r="O4686">
        <v>-0.5948002</v>
      </c>
      <c r="P4686">
        <v>0.92830710000000005</v>
      </c>
      <c r="Q4686">
        <v>0.10858420000000001</v>
      </c>
      <c r="R4686">
        <v>-0.35560570000000002</v>
      </c>
      <c r="S4686">
        <v>2.8630680000000002</v>
      </c>
      <c r="T4686">
        <v>-0.35804780000000003</v>
      </c>
      <c r="U4686">
        <v>-1.0717159999999999</v>
      </c>
      <c r="V4686">
        <v>-0.268953</v>
      </c>
      <c r="W4686">
        <v>0.11622739999999999</v>
      </c>
      <c r="X4686">
        <v>0.95611480000000004</v>
      </c>
      <c r="Y4686">
        <v>-0.2701307</v>
      </c>
      <c r="Z4686">
        <v>8.2277039999999996E-2</v>
      </c>
      <c r="AA4686">
        <v>0.95930179999999998</v>
      </c>
      <c r="AB4686">
        <v>27</v>
      </c>
      <c r="AC4686">
        <v>8.7302999999999997</v>
      </c>
      <c r="AD4686">
        <v>-1.1189766567689901</v>
      </c>
      <c r="AE4686">
        <v>-3.2001699999999902</v>
      </c>
      <c r="AF4686">
        <v>-2.58348989323766</v>
      </c>
      <c r="AG4686">
        <v>-1.1189766567689901</v>
      </c>
      <c r="AH4686">
        <v>8.7939727217757202</v>
      </c>
      <c r="AI4686">
        <v>96.960469196034893</v>
      </c>
      <c r="AJ4686">
        <v>106.371712752452</v>
      </c>
      <c r="AK4686">
        <v>9.2336604344209405</v>
      </c>
      <c r="AL4686">
        <v>83.325575461553797</v>
      </c>
      <c r="AM4686">
        <v>105.711176344585</v>
      </c>
      <c r="AN4686">
        <v>1.0000000177493999</v>
      </c>
    </row>
    <row r="4687" spans="1:40" x14ac:dyDescent="0.25">
      <c r="A4687" t="str">
        <f>"20190312164404726"</f>
        <v>20190312164404726</v>
      </c>
      <c r="B4687" t="str">
        <f>"1552380244719447"</f>
        <v>1552380244719447</v>
      </c>
      <c r="C4687" t="s">
        <v>40</v>
      </c>
      <c r="D4687">
        <v>5.0409389999999998</v>
      </c>
      <c r="E4687">
        <v>0.50357549999999995</v>
      </c>
      <c r="F4687" t="s">
        <v>50</v>
      </c>
      <c r="G4687">
        <v>-282.81709999999998</v>
      </c>
      <c r="H4687" s="1">
        <v>-6.7544120000000004E-6</v>
      </c>
      <c r="I4687">
        <v>-60.49239</v>
      </c>
      <c r="J4687">
        <v>-291.7294</v>
      </c>
      <c r="K4687">
        <v>1.118833</v>
      </c>
      <c r="L4687">
        <v>-57.241639999999997</v>
      </c>
      <c r="M4687">
        <v>0.81085099999999999</v>
      </c>
      <c r="N4687">
        <v>0</v>
      </c>
      <c r="O4687">
        <v>-0.58508490000000002</v>
      </c>
      <c r="P4687">
        <v>0.93042720000000001</v>
      </c>
      <c r="Q4687">
        <v>0.1079143</v>
      </c>
      <c r="R4687">
        <v>-0.35022799999999998</v>
      </c>
      <c r="S4687">
        <v>2.8643190000000001</v>
      </c>
      <c r="T4687">
        <v>-0.35076590000000002</v>
      </c>
      <c r="U4687">
        <v>-1.0661929999999999</v>
      </c>
      <c r="V4687">
        <v>-0.26295760000000001</v>
      </c>
      <c r="W4687">
        <v>0.11574950000000001</v>
      </c>
      <c r="X4687">
        <v>0.95783890000000005</v>
      </c>
      <c r="Y4687">
        <v>-0.26060899999999998</v>
      </c>
      <c r="Z4687">
        <v>7.9173820000000006E-2</v>
      </c>
      <c r="AA4687">
        <v>0.96219250000000001</v>
      </c>
      <c r="AB4687">
        <v>27</v>
      </c>
      <c r="AC4687">
        <v>8.9123000000000108</v>
      </c>
      <c r="AD4687">
        <v>-1.1188397544119999</v>
      </c>
      <c r="AE4687">
        <v>-3.2507499999999898</v>
      </c>
      <c r="AF4687">
        <v>-2.5434533443330198</v>
      </c>
      <c r="AG4687">
        <v>-1.1188397544119999</v>
      </c>
      <c r="AH4687">
        <v>9.0041651830731997</v>
      </c>
      <c r="AI4687">
        <v>96.818984071208504</v>
      </c>
      <c r="AJ4687">
        <v>105.773669932183</v>
      </c>
      <c r="AK4687">
        <v>9.4231601893907797</v>
      </c>
      <c r="AL4687">
        <v>83.3531430774879</v>
      </c>
      <c r="AM4687">
        <v>105.351328627737</v>
      </c>
      <c r="AN4687">
        <v>1.0000000022506099</v>
      </c>
    </row>
    <row r="4688" spans="1:40" x14ac:dyDescent="0.25">
      <c r="A4688" t="str">
        <f>"20190312164404748"</f>
        <v>20190312164404748</v>
      </c>
      <c r="B4688" t="str">
        <f>"1552380244739943"</f>
        <v>1552380244739943</v>
      </c>
      <c r="C4688" t="s">
        <v>40</v>
      </c>
      <c r="D4688">
        <v>5.1924900000000003</v>
      </c>
      <c r="E4688">
        <v>0.50386430000000004</v>
      </c>
      <c r="F4688" t="s">
        <v>50</v>
      </c>
      <c r="G4688">
        <v>-282.47469999999998</v>
      </c>
      <c r="H4688" s="1">
        <v>-6.8526199999999898E-6</v>
      </c>
      <c r="I4688">
        <v>-60.638109999999998</v>
      </c>
      <c r="J4688">
        <v>-291.5061</v>
      </c>
      <c r="K4688">
        <v>1.1186929999999999</v>
      </c>
      <c r="L4688">
        <v>-57.387329999999999</v>
      </c>
      <c r="M4688">
        <v>0.81762769999999996</v>
      </c>
      <c r="N4688">
        <v>0</v>
      </c>
      <c r="O4688">
        <v>-0.57557799999999903</v>
      </c>
      <c r="P4688">
        <v>0.93271059999999995</v>
      </c>
      <c r="Q4688">
        <v>0.1073252</v>
      </c>
      <c r="R4688">
        <v>-0.34428550000000002</v>
      </c>
      <c r="S4688">
        <v>2.8683169999999998</v>
      </c>
      <c r="T4688">
        <v>-0.34676370000000001</v>
      </c>
      <c r="U4688">
        <v>-1.052673</v>
      </c>
      <c r="V4688">
        <v>-0.25786330000000002</v>
      </c>
      <c r="W4688">
        <v>0.1153242</v>
      </c>
      <c r="X4688">
        <v>0.95927410000000002</v>
      </c>
      <c r="Y4688">
        <v>-0.2539612</v>
      </c>
      <c r="Z4688">
        <v>7.7006539999999998E-2</v>
      </c>
      <c r="AA4688">
        <v>0.96414409999999895</v>
      </c>
      <c r="AB4688">
        <v>27</v>
      </c>
      <c r="AC4688">
        <v>9.0314000000000192</v>
      </c>
      <c r="AD4688">
        <v>-1.11869985262</v>
      </c>
      <c r="AE4688">
        <v>-3.25077999999999</v>
      </c>
      <c r="AF4688">
        <v>-2.5065475508780102</v>
      </c>
      <c r="AG4688">
        <v>-1.11869985262</v>
      </c>
      <c r="AH4688">
        <v>9.1322553315608594</v>
      </c>
      <c r="AI4688">
        <v>96.737181428423398</v>
      </c>
      <c r="AJ4688">
        <v>105.34811738203901</v>
      </c>
      <c r="AK4688">
        <v>9.5358459208339905</v>
      </c>
      <c r="AL4688">
        <v>83.377675083702201</v>
      </c>
      <c r="AM4688">
        <v>105.046053061482</v>
      </c>
      <c r="AN4688">
        <v>0.99999997576166899</v>
      </c>
    </row>
    <row r="4689" spans="1:40" x14ac:dyDescent="0.25">
      <c r="A4689" t="str">
        <f>"20190312164404770"</f>
        <v>20190312164404770</v>
      </c>
      <c r="B4689" t="str">
        <f>"1552380244759467"</f>
        <v>1552380244759467</v>
      </c>
      <c r="C4689" t="s">
        <v>40</v>
      </c>
      <c r="D4689">
        <v>5.0745760000000004</v>
      </c>
      <c r="E4689">
        <v>0.50404479999999996</v>
      </c>
      <c r="F4689" t="s">
        <v>50</v>
      </c>
      <c r="G4689">
        <v>-282.1651</v>
      </c>
      <c r="H4689" s="1">
        <v>-6.9427940000000001E-6</v>
      </c>
      <c r="I4689">
        <v>-60.757930000000002</v>
      </c>
      <c r="J4689">
        <v>-291.28919999999999</v>
      </c>
      <c r="K4689">
        <v>1.1185719999999999</v>
      </c>
      <c r="L4689">
        <v>-57.525570000000002</v>
      </c>
      <c r="M4689">
        <v>0.82396449999999999</v>
      </c>
      <c r="N4689">
        <v>0</v>
      </c>
      <c r="O4689">
        <v>-0.56647060000000005</v>
      </c>
      <c r="P4689">
        <v>0.93492869999999995</v>
      </c>
      <c r="Q4689">
        <v>0.1077922</v>
      </c>
      <c r="R4689">
        <v>-0.33806700000000001</v>
      </c>
      <c r="S4689">
        <v>2.8733219999999999</v>
      </c>
      <c r="T4689">
        <v>-0.34411449999999999</v>
      </c>
      <c r="U4689">
        <v>-1.0368040000000001</v>
      </c>
      <c r="V4689">
        <v>-0.25354209999999999</v>
      </c>
      <c r="W4689">
        <v>0.1159295</v>
      </c>
      <c r="X4689">
        <v>0.96035239999999999</v>
      </c>
      <c r="Y4689">
        <v>-0.24862500000000001</v>
      </c>
      <c r="Z4689">
        <v>7.5253120000000007E-2</v>
      </c>
      <c r="AA4689">
        <v>0.96567210000000003</v>
      </c>
      <c r="AB4689">
        <v>27</v>
      </c>
      <c r="AC4689">
        <v>9.1241000000000003</v>
      </c>
      <c r="AD4689">
        <v>-1.1185789427939901</v>
      </c>
      <c r="AE4689">
        <v>-3.2323599999999999</v>
      </c>
      <c r="AF4689">
        <v>-2.4724108367844799</v>
      </c>
      <c r="AG4689">
        <v>-1.1185789427939901</v>
      </c>
      <c r="AH4689">
        <v>9.2266649882464193</v>
      </c>
      <c r="AI4689">
        <v>96.679028329894507</v>
      </c>
      <c r="AJ4689">
        <v>105.00077291878399</v>
      </c>
      <c r="AK4689">
        <v>9.6174518975892909</v>
      </c>
      <c r="AL4689">
        <v>83.342759847457899</v>
      </c>
      <c r="AM4689">
        <v>104.78918328219601</v>
      </c>
      <c r="AN4689">
        <v>0.99999998881420904</v>
      </c>
    </row>
    <row r="4690" spans="1:40" x14ac:dyDescent="0.25">
      <c r="A4690" t="str">
        <f>"20190312164404792"</f>
        <v>20190312164404792</v>
      </c>
      <c r="B4690" t="str">
        <f>"1552380244789720"</f>
        <v>1552380244789720</v>
      </c>
      <c r="C4690" t="s">
        <v>40</v>
      </c>
      <c r="D4690">
        <v>5.027463</v>
      </c>
      <c r="E4690">
        <v>0.50437299999999996</v>
      </c>
      <c r="F4690" t="s">
        <v>50</v>
      </c>
      <c r="G4690">
        <v>-281.88130000000001</v>
      </c>
      <c r="H4690" s="1">
        <v>-7.0264530000000002E-6</v>
      </c>
      <c r="I4690">
        <v>-60.858710000000002</v>
      </c>
      <c r="J4690">
        <v>-291.06400000000002</v>
      </c>
      <c r="K4690">
        <v>1.1184430000000001</v>
      </c>
      <c r="L4690">
        <v>-57.665709999999997</v>
      </c>
      <c r="M4690">
        <v>0.83029489999999995</v>
      </c>
      <c r="N4690">
        <v>0</v>
      </c>
      <c r="O4690">
        <v>-0.55715199999999998</v>
      </c>
      <c r="P4690">
        <v>0.93806639999999997</v>
      </c>
      <c r="Q4690">
        <v>0.1088247</v>
      </c>
      <c r="R4690">
        <v>-0.32892070000000001</v>
      </c>
      <c r="S4690">
        <v>2.8793950000000001</v>
      </c>
      <c r="T4690">
        <v>-0.34235300000000002</v>
      </c>
      <c r="U4690">
        <v>-1.0201420000000001</v>
      </c>
      <c r="V4690">
        <v>-0.25201570000000001</v>
      </c>
      <c r="W4690">
        <v>0.1170292</v>
      </c>
      <c r="X4690">
        <v>0.96062080000000005</v>
      </c>
      <c r="Y4690">
        <v>-0.243446</v>
      </c>
      <c r="Z4690">
        <v>7.3667120000000003E-2</v>
      </c>
      <c r="AA4690">
        <v>0.96711279999999999</v>
      </c>
      <c r="AB4690">
        <v>27</v>
      </c>
      <c r="AC4690">
        <v>9.1827000000000094</v>
      </c>
      <c r="AD4690">
        <v>-1.118450026453</v>
      </c>
      <c r="AE4690">
        <v>-3.1929999999999898</v>
      </c>
      <c r="AF4690">
        <v>-2.43306330321058</v>
      </c>
      <c r="AG4690">
        <v>-1.118450026453</v>
      </c>
      <c r="AH4690">
        <v>9.2813994701661109</v>
      </c>
      <c r="AI4690">
        <v>96.648724973943999</v>
      </c>
      <c r="AJ4690">
        <v>104.68922052718</v>
      </c>
      <c r="AK4690">
        <v>9.6599743076212405</v>
      </c>
      <c r="AL4690">
        <v>83.279320151170197</v>
      </c>
      <c r="AM4690">
        <v>104.70008654234501</v>
      </c>
      <c r="AN4690">
        <v>1.0000000340458799</v>
      </c>
    </row>
    <row r="4691" spans="1:40" x14ac:dyDescent="0.25">
      <c r="A4691" t="str">
        <f>"20190312164404815"</f>
        <v>20190312164404815</v>
      </c>
      <c r="B4691" t="str">
        <f>"1552380244810225"</f>
        <v>1552380244810225</v>
      </c>
      <c r="C4691" t="s">
        <v>40</v>
      </c>
      <c r="D4691">
        <v>5.0456570000000003</v>
      </c>
      <c r="E4691">
        <v>0.50451109999999999</v>
      </c>
      <c r="F4691" t="s">
        <v>50</v>
      </c>
      <c r="G4691">
        <v>-281.6576</v>
      </c>
      <c r="H4691" s="1">
        <v>-7.095928E-6</v>
      </c>
      <c r="I4691">
        <v>-60.906889999999997</v>
      </c>
      <c r="J4691">
        <v>-290.83010000000002</v>
      </c>
      <c r="K4691">
        <v>1.1183149999999999</v>
      </c>
      <c r="L4691">
        <v>-57.807859999999998</v>
      </c>
      <c r="M4691">
        <v>0.83661649999999999</v>
      </c>
      <c r="N4691">
        <v>0</v>
      </c>
      <c r="O4691">
        <v>-0.54761490000000002</v>
      </c>
      <c r="P4691">
        <v>0.93993020000000005</v>
      </c>
      <c r="Q4691">
        <v>0.1108365</v>
      </c>
      <c r="R4691">
        <v>-0.32287250000000001</v>
      </c>
      <c r="S4691">
        <v>2.8888850000000001</v>
      </c>
      <c r="T4691">
        <v>-0.34349489999999999</v>
      </c>
      <c r="U4691">
        <v>-0.99542240000000004</v>
      </c>
      <c r="V4691">
        <v>-0.24707119999999999</v>
      </c>
      <c r="W4691">
        <v>0.1191859</v>
      </c>
      <c r="X4691">
        <v>0.96163949999999998</v>
      </c>
      <c r="Y4691">
        <v>-0.2407705</v>
      </c>
      <c r="Z4691">
        <v>7.278184E-2</v>
      </c>
      <c r="AA4691">
        <v>0.96784939999999997</v>
      </c>
      <c r="AB4691">
        <v>27</v>
      </c>
      <c r="AC4691">
        <v>9.1725000000000101</v>
      </c>
      <c r="AD4691">
        <v>-1.118322095928</v>
      </c>
      <c r="AE4691">
        <v>-3.09903</v>
      </c>
      <c r="AF4691">
        <v>-2.3985291497105501</v>
      </c>
      <c r="AG4691">
        <v>-1.118322095928</v>
      </c>
      <c r="AH4691">
        <v>9.2484427984235609</v>
      </c>
      <c r="AI4691">
        <v>96.675968928604306</v>
      </c>
      <c r="AJ4691">
        <v>104.539010286193</v>
      </c>
      <c r="AK4691">
        <v>9.6196299610725493</v>
      </c>
      <c r="AL4691">
        <v>83.154879050253896</v>
      </c>
      <c r="AM4691">
        <v>104.409174576228</v>
      </c>
      <c r="AN4691">
        <v>0.99999999229424896</v>
      </c>
    </row>
    <row r="4692" spans="1:40" x14ac:dyDescent="0.25">
      <c r="A4692" t="str">
        <f>"20190312164404837"</f>
        <v>20190312164404837</v>
      </c>
      <c r="B4692" t="str">
        <f>"1552380244829735"</f>
        <v>1552380244829735</v>
      </c>
      <c r="C4692" t="s">
        <v>40</v>
      </c>
      <c r="D4692">
        <v>5.0858319999999999</v>
      </c>
      <c r="E4692">
        <v>0.50456109999999998</v>
      </c>
      <c r="F4692" t="s">
        <v>50</v>
      </c>
      <c r="G4692">
        <v>-281.33319999999998</v>
      </c>
      <c r="H4692" s="1">
        <v>-7.1923940000000002E-6</v>
      </c>
      <c r="I4692">
        <v>-61.014530000000001</v>
      </c>
      <c r="J4692">
        <v>-290.59859999999998</v>
      </c>
      <c r="K4692">
        <v>1.1181810000000001</v>
      </c>
      <c r="L4692">
        <v>-57.945250000000001</v>
      </c>
      <c r="M4692">
        <v>0.84262809999999899</v>
      </c>
      <c r="N4692">
        <v>0</v>
      </c>
      <c r="O4692">
        <v>-0.53832019999999903</v>
      </c>
      <c r="P4692">
        <v>0.94167670000000003</v>
      </c>
      <c r="Q4692">
        <v>0.111634</v>
      </c>
      <c r="R4692">
        <v>-0.31746360000000001</v>
      </c>
      <c r="S4692">
        <v>2.8959959999999998</v>
      </c>
      <c r="T4692">
        <v>-0.34102259999999901</v>
      </c>
      <c r="U4692">
        <v>-0.97784420000000005</v>
      </c>
      <c r="V4692">
        <v>-0.24186650000000001</v>
      </c>
      <c r="W4692">
        <v>0.12013509999999999</v>
      </c>
      <c r="X4692">
        <v>0.96284380000000003</v>
      </c>
      <c r="Y4692">
        <v>-0.2361664</v>
      </c>
      <c r="Z4692">
        <v>7.1061860000000004E-2</v>
      </c>
      <c r="AA4692">
        <v>0.96911069999999999</v>
      </c>
      <c r="AB4692">
        <v>27</v>
      </c>
      <c r="AC4692">
        <v>9.2653999999999996</v>
      </c>
      <c r="AD4692">
        <v>-1.11818819239399</v>
      </c>
      <c r="AE4692">
        <v>-3.06928</v>
      </c>
      <c r="AF4692">
        <v>-2.3706047138424902</v>
      </c>
      <c r="AG4692">
        <v>-1.11818819239399</v>
      </c>
      <c r="AH4692">
        <v>9.3378821639998009</v>
      </c>
      <c r="AI4692">
        <v>96.620452636068293</v>
      </c>
      <c r="AJ4692">
        <v>104.244724361308</v>
      </c>
      <c r="AK4692">
        <v>9.69877079075731</v>
      </c>
      <c r="AL4692">
        <v>83.1001004561912</v>
      </c>
      <c r="AM4692">
        <v>104.100943395003</v>
      </c>
      <c r="AN4692">
        <v>1.0000000146363499</v>
      </c>
    </row>
    <row r="4693" spans="1:40" x14ac:dyDescent="0.25">
      <c r="A4693" t="str">
        <f>"20190312164404859"</f>
        <v>20190312164404859</v>
      </c>
      <c r="B4693" t="str">
        <f>"1552380244850232"</f>
        <v>1552380244850232</v>
      </c>
      <c r="C4693" t="s">
        <v>40</v>
      </c>
      <c r="D4693">
        <v>5.1441660000000002</v>
      </c>
      <c r="E4693">
        <v>0.50475079999999894</v>
      </c>
      <c r="F4693" t="s">
        <v>50</v>
      </c>
      <c r="G4693">
        <v>-281.13400000000001</v>
      </c>
      <c r="H4693" s="1">
        <v>-7.2524189999999997E-6</v>
      </c>
      <c r="I4693">
        <v>-61.0738699999999</v>
      </c>
      <c r="J4693">
        <v>-290.36869999999999</v>
      </c>
      <c r="K4693">
        <v>1.1180429999999999</v>
      </c>
      <c r="L4693">
        <v>-58.078519999999997</v>
      </c>
      <c r="M4693">
        <v>0.84836730000000005</v>
      </c>
      <c r="N4693">
        <v>0</v>
      </c>
      <c r="O4693">
        <v>-0.52923039999999999</v>
      </c>
      <c r="P4693">
        <v>0.94361859999999997</v>
      </c>
      <c r="Q4693">
        <v>0.1115733</v>
      </c>
      <c r="R4693">
        <v>-0.31166549999999998</v>
      </c>
      <c r="S4693">
        <v>2.9029539999999998</v>
      </c>
      <c r="T4693">
        <v>-0.34296569999999998</v>
      </c>
      <c r="U4693">
        <v>-0.95959470000000002</v>
      </c>
      <c r="V4693">
        <v>-0.23738989999999999</v>
      </c>
      <c r="W4693">
        <v>0.12020989999999999</v>
      </c>
      <c r="X4693">
        <v>0.96394800000000003</v>
      </c>
      <c r="Y4693">
        <v>-0.23193510000000001</v>
      </c>
      <c r="Z4693">
        <v>7.0298040000000006E-2</v>
      </c>
      <c r="AA4693">
        <v>0.97018780000000004</v>
      </c>
      <c r="AB4693">
        <v>27</v>
      </c>
      <c r="AC4693">
        <v>9.2346999999999699</v>
      </c>
      <c r="AD4693">
        <v>-1.1180502524189999</v>
      </c>
      <c r="AE4693">
        <v>-2.99534999999999</v>
      </c>
      <c r="AF4693">
        <v>-2.3156360184609901</v>
      </c>
      <c r="AG4693">
        <v>-1.1180502524189999</v>
      </c>
      <c r="AH4693">
        <v>9.2972272385130097</v>
      </c>
      <c r="AI4693">
        <v>96.655818620346494</v>
      </c>
      <c r="AJ4693">
        <v>103.985940434528</v>
      </c>
      <c r="AK4693">
        <v>9.6462760100194291</v>
      </c>
      <c r="AL4693">
        <v>83.095783800905195</v>
      </c>
      <c r="AM4693">
        <v>103.83483751566</v>
      </c>
      <c r="AN4693">
        <v>1.0000000656920001</v>
      </c>
    </row>
    <row r="4694" spans="1:40" x14ac:dyDescent="0.25">
      <c r="A4694" t="str">
        <f>"20190312164404883"</f>
        <v>20190312164404883</v>
      </c>
      <c r="B4694" t="str">
        <f>"1552380244869751"</f>
        <v>1552380244869751</v>
      </c>
      <c r="C4694" t="s">
        <v>40</v>
      </c>
      <c r="D4694">
        <v>5.1165149999999997</v>
      </c>
      <c r="E4694">
        <v>0.5045364</v>
      </c>
      <c r="F4694" t="s">
        <v>50</v>
      </c>
      <c r="G4694">
        <v>-280.9579</v>
      </c>
      <c r="H4694" s="1">
        <v>-7.3054530000000004E-6</v>
      </c>
      <c r="I4694">
        <v>-61.126240000000003</v>
      </c>
      <c r="J4694">
        <v>-290.1361</v>
      </c>
      <c r="K4694">
        <v>1.1179049999999999</v>
      </c>
      <c r="L4694">
        <v>-58.210079999999998</v>
      </c>
      <c r="M4694">
        <v>0.85394899999999996</v>
      </c>
      <c r="N4694">
        <v>0</v>
      </c>
      <c r="O4694">
        <v>-0.52017720000000001</v>
      </c>
      <c r="P4694">
        <v>0.94571629999999995</v>
      </c>
      <c r="Q4694">
        <v>0.110495</v>
      </c>
      <c r="R4694">
        <v>-0.30563319999999999</v>
      </c>
      <c r="S4694">
        <v>2.9089659999999999</v>
      </c>
      <c r="T4694">
        <v>-0.34560020000000002</v>
      </c>
      <c r="U4694">
        <v>-0.94207759999999996</v>
      </c>
      <c r="V4694">
        <v>-0.23328950000000001</v>
      </c>
      <c r="W4694">
        <v>0.1192551</v>
      </c>
      <c r="X4694">
        <v>0.96506700000000001</v>
      </c>
      <c r="Y4694">
        <v>-0.2274775</v>
      </c>
      <c r="Z4694">
        <v>6.9660570000000005E-2</v>
      </c>
      <c r="AA4694">
        <v>0.9712885</v>
      </c>
      <c r="AB4694">
        <v>27</v>
      </c>
      <c r="AC4694">
        <v>9.1782000000000004</v>
      </c>
      <c r="AD4694">
        <v>-1.117912305453</v>
      </c>
      <c r="AE4694">
        <v>-2.9161599999999899</v>
      </c>
      <c r="AF4694">
        <v>-2.2538804887015602</v>
      </c>
      <c r="AG4694">
        <v>-1.117912305453</v>
      </c>
      <c r="AH4694">
        <v>9.2311179898222999</v>
      </c>
      <c r="AI4694">
        <v>96.709811986280499</v>
      </c>
      <c r="AJ4694">
        <v>103.720951541985</v>
      </c>
      <c r="AK4694">
        <v>9.5678233952165801</v>
      </c>
      <c r="AL4694">
        <v>83.150886043596202</v>
      </c>
      <c r="AM4694">
        <v>103.589635840924</v>
      </c>
      <c r="AN4694">
        <v>1.0000000420876201</v>
      </c>
    </row>
    <row r="4695" spans="1:40" x14ac:dyDescent="0.25">
      <c r="A4695" t="str">
        <f>"20190312164404905"</f>
        <v>20190312164404905</v>
      </c>
      <c r="B4695" t="str">
        <f>"1552380244900008"</f>
        <v>1552380244900008</v>
      </c>
      <c r="C4695" t="s">
        <v>40</v>
      </c>
      <c r="D4695">
        <v>5.0420280000000002</v>
      </c>
      <c r="E4695">
        <v>0.474856</v>
      </c>
      <c r="F4695" t="s">
        <v>50</v>
      </c>
      <c r="G4695">
        <v>-280.8544</v>
      </c>
      <c r="H4695" s="1">
        <v>-7.3382289999999996E-6</v>
      </c>
      <c r="I4695">
        <v>-61.142850000000003</v>
      </c>
      <c r="J4695">
        <v>-289.89659999999998</v>
      </c>
      <c r="K4695">
        <v>1.1177699999999999</v>
      </c>
      <c r="L4695">
        <v>-58.342289999999998</v>
      </c>
      <c r="M4695">
        <v>0.85947850000000003</v>
      </c>
      <c r="N4695">
        <v>0</v>
      </c>
      <c r="O4695">
        <v>-0.51099059999999996</v>
      </c>
      <c r="P4695">
        <v>0.94791069999999999</v>
      </c>
      <c r="Q4695">
        <v>0.1086254</v>
      </c>
      <c r="R4695">
        <v>-0.29944280000000001</v>
      </c>
      <c r="S4695">
        <v>2.915527</v>
      </c>
      <c r="T4695">
        <v>-0.35115590000000002</v>
      </c>
      <c r="U4695">
        <v>-0.92123409999999994</v>
      </c>
      <c r="V4695">
        <v>-0.2292815</v>
      </c>
      <c r="W4695">
        <v>0.1175013</v>
      </c>
      <c r="X4695">
        <v>0.96624189999999999</v>
      </c>
      <c r="Y4695">
        <v>-0.2239148</v>
      </c>
      <c r="Z4695">
        <v>6.9615460000000004E-2</v>
      </c>
      <c r="AA4695">
        <v>0.97211930000000002</v>
      </c>
      <c r="AB4695">
        <v>27</v>
      </c>
      <c r="AC4695">
        <v>9.0421999999999798</v>
      </c>
      <c r="AD4695">
        <v>-1.1177773382289999</v>
      </c>
      <c r="AE4695">
        <v>-2.8005599999999902</v>
      </c>
      <c r="AF4695">
        <v>-2.1832208535406501</v>
      </c>
      <c r="AG4695">
        <v>-1.1177773382289999</v>
      </c>
      <c r="AH4695">
        <v>9.0769224769721202</v>
      </c>
      <c r="AI4695">
        <v>96.827542038966897</v>
      </c>
      <c r="AJ4695">
        <v>103.524136557917</v>
      </c>
      <c r="AK4695">
        <v>9.4024678210645707</v>
      </c>
      <c r="AL4695">
        <v>83.252082565511301</v>
      </c>
      <c r="AM4695">
        <v>103.348938244319</v>
      </c>
      <c r="AN4695">
        <v>0.99999998552977398</v>
      </c>
    </row>
    <row r="4696" spans="1:40" x14ac:dyDescent="0.25">
      <c r="A4696" t="str">
        <f>"20190312164404926"</f>
        <v>20190312164404926</v>
      </c>
      <c r="B4696" t="str">
        <f>"1552380244919528"</f>
        <v>1552380244919528</v>
      </c>
      <c r="C4696" t="s">
        <v>40</v>
      </c>
      <c r="D4696">
        <v>4.987355</v>
      </c>
      <c r="E4696">
        <v>0.47317599999999999</v>
      </c>
      <c r="F4696" t="s">
        <v>50</v>
      </c>
      <c r="G4696">
        <v>-280.05290000000002</v>
      </c>
      <c r="H4696" s="1">
        <v>-7.6714379999999997E-6</v>
      </c>
      <c r="I4696">
        <v>-60.565719999999999</v>
      </c>
      <c r="J4696">
        <v>-289.67009999999999</v>
      </c>
      <c r="K4696">
        <v>1.117667</v>
      </c>
      <c r="L4696">
        <v>-58.464449999999999</v>
      </c>
      <c r="M4696">
        <v>0.86453539999999995</v>
      </c>
      <c r="N4696">
        <v>0</v>
      </c>
      <c r="O4696">
        <v>-0.50238850000000002</v>
      </c>
      <c r="P4696">
        <v>0.94970520000000003</v>
      </c>
      <c r="Q4696">
        <v>0.10759440000000001</v>
      </c>
      <c r="R4696">
        <v>-0.29408060000000003</v>
      </c>
      <c r="S4696">
        <v>2.9903559999999998</v>
      </c>
      <c r="T4696">
        <v>-0.33956409999999998</v>
      </c>
      <c r="U4696">
        <v>-0.67544559999999998</v>
      </c>
      <c r="V4696">
        <v>-0.22510350000000001</v>
      </c>
      <c r="W4696">
        <v>0.116577399999999</v>
      </c>
      <c r="X4696">
        <v>0.96733559999999996</v>
      </c>
      <c r="Y4696">
        <v>-0.29506949999999998</v>
      </c>
      <c r="Z4696">
        <v>6.9860759999999994E-2</v>
      </c>
      <c r="AA4696">
        <v>0.95291840000000005</v>
      </c>
      <c r="AB4696">
        <v>27</v>
      </c>
      <c r="AC4696">
        <v>9.6171999999999596</v>
      </c>
      <c r="AD4696">
        <v>-1.1176746714379999</v>
      </c>
      <c r="AE4696">
        <v>-2.1012699999999902</v>
      </c>
      <c r="AF4696">
        <v>-2.97685222196198</v>
      </c>
      <c r="AG4696">
        <v>-1.1176746714379999</v>
      </c>
      <c r="AH4696">
        <v>9.2516658678600798</v>
      </c>
      <c r="AI4696">
        <v>96.560273672396804</v>
      </c>
      <c r="AJ4696">
        <v>107.836301730884</v>
      </c>
      <c r="AK4696">
        <v>9.7828506659920507</v>
      </c>
      <c r="AL4696">
        <v>83.305384696344603</v>
      </c>
      <c r="AM4696">
        <v>103.09985697020799</v>
      </c>
      <c r="AN4696">
        <v>1.0000000194651799</v>
      </c>
    </row>
    <row r="4697" spans="1:40" x14ac:dyDescent="0.25">
      <c r="A4697" t="str">
        <f>"20190312164404948"</f>
        <v>20190312164404948</v>
      </c>
      <c r="B4697" t="str">
        <f>"1552380244940040"</f>
        <v>1552380244940040</v>
      </c>
      <c r="C4697" t="s">
        <v>40</v>
      </c>
      <c r="D4697">
        <v>5.0940070000000004</v>
      </c>
      <c r="E4697">
        <v>0.47340169999999998</v>
      </c>
      <c r="F4697" t="s">
        <v>42</v>
      </c>
      <c r="G4697">
        <v>-279.92489999999998</v>
      </c>
      <c r="H4697" s="1">
        <v>-3.4383429999999999E-6</v>
      </c>
      <c r="I4697">
        <v>-60.558639999999997</v>
      </c>
      <c r="J4697">
        <v>-289.43599999999998</v>
      </c>
      <c r="K4697">
        <v>1.117591</v>
      </c>
      <c r="L4697">
        <v>-58.587800000000001</v>
      </c>
      <c r="M4697">
        <v>0.86959889999999995</v>
      </c>
      <c r="N4697">
        <v>0</v>
      </c>
      <c r="O4697">
        <v>-0.49357299999999998</v>
      </c>
      <c r="P4697">
        <v>0.95140550000000002</v>
      </c>
      <c r="Q4697">
        <v>0.106609</v>
      </c>
      <c r="R4697">
        <v>-0.28889819999999999</v>
      </c>
      <c r="S4697">
        <v>2.998291</v>
      </c>
      <c r="T4697">
        <v>-0.34387289999999998</v>
      </c>
      <c r="U4697">
        <v>-0.64431759999999905</v>
      </c>
      <c r="V4697">
        <v>-0.22054760000000001</v>
      </c>
      <c r="W4697">
        <v>0.1156988</v>
      </c>
      <c r="X4697">
        <v>0.96848979999999996</v>
      </c>
      <c r="Y4697">
        <v>-0.295278599999999</v>
      </c>
      <c r="Z4697">
        <v>6.9830050000000005E-2</v>
      </c>
      <c r="AA4697">
        <v>0.95285589999999998</v>
      </c>
      <c r="AB4697">
        <v>27</v>
      </c>
      <c r="AC4697">
        <v>9.5111000000000008</v>
      </c>
      <c r="AD4697">
        <v>-1.1175944383429901</v>
      </c>
      <c r="AE4697">
        <v>-1.9708399999999999</v>
      </c>
      <c r="AF4697">
        <v>-2.9419079705686002</v>
      </c>
      <c r="AG4697">
        <v>-1.1175944383429901</v>
      </c>
      <c r="AH4697">
        <v>9.1236572400076703</v>
      </c>
      <c r="AI4697">
        <v>96.649708274819005</v>
      </c>
      <c r="AJ4697">
        <v>107.87182935617101</v>
      </c>
      <c r="AK4697">
        <v>9.6511637261552394</v>
      </c>
      <c r="AL4697">
        <v>83.356067436810406</v>
      </c>
      <c r="AM4697">
        <v>102.82880637111801</v>
      </c>
      <c r="AN4697">
        <v>0.99999997444561906</v>
      </c>
    </row>
    <row r="4698" spans="1:40" x14ac:dyDescent="0.25">
      <c r="A4698" t="str">
        <f>"20190312164404971"</f>
        <v>20190312164404971</v>
      </c>
      <c r="B4698" t="str">
        <f>"1552380244959547"</f>
        <v>1552380244959547</v>
      </c>
      <c r="C4698" t="s">
        <v>40</v>
      </c>
      <c r="D4698">
        <v>5.0215719999999999</v>
      </c>
      <c r="E4698">
        <v>0.47362549999999998</v>
      </c>
      <c r="F4698" t="s">
        <v>42</v>
      </c>
      <c r="G4698">
        <v>-279.82010000000002</v>
      </c>
      <c r="H4698" s="1">
        <v>-3.4083270000000002E-6</v>
      </c>
      <c r="I4698">
        <v>-60.600850000000001</v>
      </c>
      <c r="J4698">
        <v>-289.20389999999998</v>
      </c>
      <c r="K4698">
        <v>1.1175330000000001</v>
      </c>
      <c r="L4698">
        <v>-58.707279999999997</v>
      </c>
      <c r="M4698">
        <v>0.87447419999999998</v>
      </c>
      <c r="N4698">
        <v>0</v>
      </c>
      <c r="O4698">
        <v>-0.48488439999999999</v>
      </c>
      <c r="P4698">
        <v>0.95285810000000004</v>
      </c>
      <c r="Q4698">
        <v>0.1067081</v>
      </c>
      <c r="R4698">
        <v>-0.2840336</v>
      </c>
      <c r="S4698">
        <v>3.0015260000000001</v>
      </c>
      <c r="T4698">
        <v>-0.348848299999999</v>
      </c>
      <c r="U4698">
        <v>-0.6283569</v>
      </c>
      <c r="V4698">
        <v>-0.2158157</v>
      </c>
      <c r="W4698">
        <v>0.1158954</v>
      </c>
      <c r="X4698">
        <v>0.96953180000000005</v>
      </c>
      <c r="Y4698">
        <v>-0.290767</v>
      </c>
      <c r="Z4698">
        <v>6.9697129999999996E-2</v>
      </c>
      <c r="AA4698">
        <v>0.95425199999999999</v>
      </c>
      <c r="AB4698">
        <v>27</v>
      </c>
      <c r="AC4698">
        <v>9.3837999999999493</v>
      </c>
      <c r="AD4698">
        <v>-1.1175364083270001</v>
      </c>
      <c r="AE4698">
        <v>-1.89356999999999</v>
      </c>
      <c r="AF4698">
        <v>-2.8555283806127099</v>
      </c>
      <c r="AG4698">
        <v>-1.1175364083270001</v>
      </c>
      <c r="AH4698">
        <v>9.0022019242665507</v>
      </c>
      <c r="AI4698">
        <v>96.748425667132693</v>
      </c>
      <c r="AJ4698">
        <v>107.59920035272</v>
      </c>
      <c r="AK4698">
        <v>9.5101298330616597</v>
      </c>
      <c r="AL4698">
        <v>83.344727205735694</v>
      </c>
      <c r="AM4698">
        <v>102.549315496029</v>
      </c>
      <c r="AN4698">
        <v>1.0000000356594401</v>
      </c>
    </row>
    <row r="4699" spans="1:40" x14ac:dyDescent="0.25">
      <c r="A4699" t="str">
        <f>"20190312164404993"</f>
        <v>20190312164404993</v>
      </c>
      <c r="B4699" t="str">
        <f>"1552380244989800"</f>
        <v>1552380244989800</v>
      </c>
      <c r="C4699" t="s">
        <v>40</v>
      </c>
      <c r="D4699">
        <v>5.0178529999999997</v>
      </c>
      <c r="E4699">
        <v>0.47406490000000001</v>
      </c>
      <c r="F4699" t="s">
        <v>42</v>
      </c>
      <c r="G4699">
        <v>-279.24579999999997</v>
      </c>
      <c r="H4699" s="1">
        <v>-3.2009180000000002E-6</v>
      </c>
      <c r="I4699">
        <v>-60.744340000000001</v>
      </c>
      <c r="J4699">
        <v>-288.9581</v>
      </c>
      <c r="K4699">
        <v>1.11748799999999</v>
      </c>
      <c r="L4699">
        <v>-58.830660000000002</v>
      </c>
      <c r="M4699">
        <v>0.87948719999999903</v>
      </c>
      <c r="N4699">
        <v>0</v>
      </c>
      <c r="O4699">
        <v>-0.47573219999999999</v>
      </c>
      <c r="P4699">
        <v>0.954322</v>
      </c>
      <c r="Q4699">
        <v>0.1074379</v>
      </c>
      <c r="R4699">
        <v>-0.27879490000000001</v>
      </c>
      <c r="S4699">
        <v>3.0030519999999998</v>
      </c>
      <c r="T4699">
        <v>-0.33701690000000001</v>
      </c>
      <c r="U4699">
        <v>-0.61431880000000005</v>
      </c>
      <c r="V4699">
        <v>-0.21097450000000001</v>
      </c>
      <c r="W4699">
        <v>0.1167137</v>
      </c>
      <c r="X4699">
        <v>0.97049870000000005</v>
      </c>
      <c r="Y4699">
        <v>-0.28554679999999999</v>
      </c>
      <c r="Z4699">
        <v>6.6189999999999999E-2</v>
      </c>
      <c r="AA4699">
        <v>0.95607629999999999</v>
      </c>
      <c r="AB4699">
        <v>27</v>
      </c>
      <c r="AC4699">
        <v>9.7123000000000204</v>
      </c>
      <c r="AD4699">
        <v>-1.11749120091799</v>
      </c>
      <c r="AE4699">
        <v>-1.91368</v>
      </c>
      <c r="AF4699">
        <v>-2.9006966729601502</v>
      </c>
      <c r="AG4699">
        <v>-1.11749120091799</v>
      </c>
      <c r="AH4699">
        <v>9.3341455304923393</v>
      </c>
      <c r="AI4699">
        <v>96.522166108722999</v>
      </c>
      <c r="AJ4699">
        <v>107.263253236848</v>
      </c>
      <c r="AK4699">
        <v>9.8381451786940701</v>
      </c>
      <c r="AL4699">
        <v>83.297521656338702</v>
      </c>
      <c r="AM4699">
        <v>102.264577646647</v>
      </c>
      <c r="AN4699">
        <v>1.0000000270598099</v>
      </c>
    </row>
    <row r="4700" spans="1:40" x14ac:dyDescent="0.25">
      <c r="A4700" t="str">
        <f>"20190312164405016"</f>
        <v>20190312164405016</v>
      </c>
      <c r="B4700" t="str">
        <f>"1552380245009322"</f>
        <v>1552380245009322</v>
      </c>
      <c r="C4700" t="s">
        <v>40</v>
      </c>
      <c r="D4700">
        <v>5.0780450000000004</v>
      </c>
      <c r="E4700">
        <v>0.47446579999999999</v>
      </c>
      <c r="F4700" t="s">
        <v>42</v>
      </c>
      <c r="G4700">
        <v>-278.61950000000002</v>
      </c>
      <c r="H4700" s="1">
        <v>-2.966435E-6</v>
      </c>
      <c r="I4700">
        <v>-60.898159999999997</v>
      </c>
      <c r="J4700">
        <v>-288.71539999999999</v>
      </c>
      <c r="K4700">
        <v>1.1174539999999999</v>
      </c>
      <c r="L4700">
        <v>-58.949489999999997</v>
      </c>
      <c r="M4700">
        <v>0.8843048</v>
      </c>
      <c r="N4700">
        <v>0</v>
      </c>
      <c r="O4700">
        <v>-0.46671689999999999</v>
      </c>
      <c r="P4700">
        <v>0.95569570000000004</v>
      </c>
      <c r="Q4700">
        <v>0.10761030000000001</v>
      </c>
      <c r="R4700">
        <v>-0.27398139999999999</v>
      </c>
      <c r="S4700">
        <v>3.0046080000000002</v>
      </c>
      <c r="T4700">
        <v>-0.32476650000000001</v>
      </c>
      <c r="U4700">
        <v>-0.60086059999999997</v>
      </c>
      <c r="V4700">
        <v>-0.2059183</v>
      </c>
      <c r="W4700">
        <v>0.1169771</v>
      </c>
      <c r="X4700">
        <v>0.97155239999999998</v>
      </c>
      <c r="Y4700">
        <v>-0.28034039999999999</v>
      </c>
      <c r="Z4700">
        <v>6.2686220000000001E-2</v>
      </c>
      <c r="AA4700">
        <v>0.95785160000000003</v>
      </c>
      <c r="AB4700">
        <v>27</v>
      </c>
      <c r="AC4700">
        <v>10.095899999999901</v>
      </c>
      <c r="AD4700">
        <v>-1.117456966435</v>
      </c>
      <c r="AE4700">
        <v>-1.9486699999999899</v>
      </c>
      <c r="AF4700">
        <v>-2.9540877969450001</v>
      </c>
      <c r="AG4700">
        <v>-1.117456966435</v>
      </c>
      <c r="AH4700">
        <v>9.7233747000859694</v>
      </c>
      <c r="AI4700">
        <v>96.275143275278793</v>
      </c>
      <c r="AJ4700">
        <v>106.899464255425</v>
      </c>
      <c r="AK4700">
        <v>10.2234710515639</v>
      </c>
      <c r="AL4700">
        <v>83.282325859016098</v>
      </c>
      <c r="AM4700">
        <v>101.96661884992101</v>
      </c>
      <c r="AN4700">
        <v>1.00000002707252</v>
      </c>
    </row>
    <row r="4701" spans="1:40" x14ac:dyDescent="0.25">
      <c r="A4701" t="str">
        <f>"20190312164405037"</f>
        <v>20190312164405037</v>
      </c>
      <c r="B4701" t="str">
        <f>"1552380245029816"</f>
        <v>1552380245029816</v>
      </c>
      <c r="C4701" t="s">
        <v>40</v>
      </c>
      <c r="D4701">
        <v>5.0070499999999996</v>
      </c>
      <c r="E4701">
        <v>0.47462480000000001</v>
      </c>
      <c r="F4701" t="s">
        <v>42</v>
      </c>
      <c r="G4701">
        <v>-278.22390000000001</v>
      </c>
      <c r="H4701" s="1">
        <v>-2.8199190000000002E-6</v>
      </c>
      <c r="I4701">
        <v>-61.00253</v>
      </c>
      <c r="J4701">
        <v>-288.48259999999999</v>
      </c>
      <c r="K4701">
        <v>1.1174230000000001</v>
      </c>
      <c r="L4701">
        <v>-59.060549999999999</v>
      </c>
      <c r="M4701">
        <v>0.88880429999999999</v>
      </c>
      <c r="N4701">
        <v>0</v>
      </c>
      <c r="O4701">
        <v>-0.45809119999999998</v>
      </c>
      <c r="P4701">
        <v>0.95717920000000001</v>
      </c>
      <c r="Q4701">
        <v>0.1075318</v>
      </c>
      <c r="R4701">
        <v>-0.26878400000000002</v>
      </c>
      <c r="S4701">
        <v>3.0064389999999999</v>
      </c>
      <c r="T4701">
        <v>-0.32021889999999997</v>
      </c>
      <c r="U4701">
        <v>-0.58831789999999995</v>
      </c>
      <c r="V4701">
        <v>-0.2017303</v>
      </c>
      <c r="W4701">
        <v>0.1169733</v>
      </c>
      <c r="X4701">
        <v>0.97243109999999999</v>
      </c>
      <c r="Y4701">
        <v>-0.27513789999999999</v>
      </c>
      <c r="Z4701">
        <v>6.0739410000000001E-2</v>
      </c>
      <c r="AA4701">
        <v>0.95948420000000001</v>
      </c>
      <c r="AB4701">
        <v>27</v>
      </c>
      <c r="AC4701">
        <v>10.2586999999999</v>
      </c>
      <c r="AD4701">
        <v>-1.1174258199189999</v>
      </c>
      <c r="AE4701">
        <v>-1.94198</v>
      </c>
      <c r="AF4701">
        <v>-2.93997188917528</v>
      </c>
      <c r="AG4701">
        <v>-1.1174258199189999</v>
      </c>
      <c r="AH4701">
        <v>9.8951380304834693</v>
      </c>
      <c r="AI4701">
        <v>96.178202600670801</v>
      </c>
      <c r="AJ4701">
        <v>106.547356937123</v>
      </c>
      <c r="AK4701">
        <v>10.3829587216016</v>
      </c>
      <c r="AL4701">
        <v>83.282545280186596</v>
      </c>
      <c r="AM4701">
        <v>101.71974437426501</v>
      </c>
      <c r="AN4701">
        <v>1.00000005554909</v>
      </c>
    </row>
    <row r="4702" spans="1:40" x14ac:dyDescent="0.25">
      <c r="A4702" t="str">
        <f>"20190312164405061"</f>
        <v>20190312164405061</v>
      </c>
      <c r="B4702" t="str">
        <f>"1552380245049336"</f>
        <v>1552380245049336</v>
      </c>
      <c r="C4702" t="s">
        <v>40</v>
      </c>
      <c r="D4702">
        <v>5.0306709999999999</v>
      </c>
      <c r="E4702">
        <v>0.47467910000000002</v>
      </c>
      <c r="F4702" t="s">
        <v>42</v>
      </c>
      <c r="G4702">
        <v>-278.11770000000001</v>
      </c>
      <c r="H4702" s="1">
        <v>-2.7807159999999999E-6</v>
      </c>
      <c r="I4702">
        <v>-61.031120000000001</v>
      </c>
      <c r="J4702">
        <v>-288.23840000000001</v>
      </c>
      <c r="K4702">
        <v>1.117389</v>
      </c>
      <c r="L4702">
        <v>-59.174259999999997</v>
      </c>
      <c r="M4702">
        <v>0.89340620000000004</v>
      </c>
      <c r="N4702">
        <v>0</v>
      </c>
      <c r="O4702">
        <v>-0.44905129999999999</v>
      </c>
      <c r="P4702">
        <v>0.95857510000000001</v>
      </c>
      <c r="Q4702">
        <v>0.1071517</v>
      </c>
      <c r="R4702">
        <v>-0.2639184</v>
      </c>
      <c r="S4702">
        <v>3.01004</v>
      </c>
      <c r="T4702">
        <v>-0.32450709999999999</v>
      </c>
      <c r="U4702">
        <v>-0.57226560000000004</v>
      </c>
      <c r="V4702">
        <v>-0.19679920000000001</v>
      </c>
      <c r="W4702">
        <v>0.1166778</v>
      </c>
      <c r="X4702">
        <v>0.97347649999999997</v>
      </c>
      <c r="Y4702">
        <v>-0.27050839999999998</v>
      </c>
      <c r="Z4702">
        <v>6.0420979999999999E-2</v>
      </c>
      <c r="AA4702">
        <v>0.96081970000000005</v>
      </c>
      <c r="AB4702">
        <v>27</v>
      </c>
      <c r="AC4702">
        <v>10.120699999999999</v>
      </c>
      <c r="AD4702">
        <v>-1.1173917807160001</v>
      </c>
      <c r="AE4702">
        <v>-1.85685999999999</v>
      </c>
      <c r="AF4702">
        <v>-2.85240315575999</v>
      </c>
      <c r="AG4702">
        <v>-1.1173917807160001</v>
      </c>
      <c r="AH4702">
        <v>9.7614882169530492</v>
      </c>
      <c r="AI4702">
        <v>96.270197999403393</v>
      </c>
      <c r="AJ4702">
        <v>106.288883458535</v>
      </c>
      <c r="AK4702">
        <v>10.2309051586022</v>
      </c>
      <c r="AL4702">
        <v>83.2995929809112</v>
      </c>
      <c r="AM4702">
        <v>101.42894915260599</v>
      </c>
      <c r="AN4702">
        <v>1.00000006509286</v>
      </c>
    </row>
    <row r="4703" spans="1:40" x14ac:dyDescent="0.25">
      <c r="A4703" t="str">
        <f>"20190312164405084"</f>
        <v>20190312164405084</v>
      </c>
      <c r="B4703" t="str">
        <f>"1552380245079593"</f>
        <v>1552380245079593</v>
      </c>
      <c r="C4703" t="s">
        <v>40</v>
      </c>
      <c r="D4703">
        <v>5.1410850000000003</v>
      </c>
      <c r="E4703">
        <v>0.475383</v>
      </c>
      <c r="F4703" t="s">
        <v>42</v>
      </c>
      <c r="G4703">
        <v>-277.96510000000001</v>
      </c>
      <c r="H4703" s="1">
        <v>-2.7244079999999999E-6</v>
      </c>
      <c r="I4703">
        <v>-61.072200000000002</v>
      </c>
      <c r="J4703">
        <v>-287.99400000000003</v>
      </c>
      <c r="K4703">
        <v>1.117356</v>
      </c>
      <c r="L4703">
        <v>-59.284880000000001</v>
      </c>
      <c r="M4703">
        <v>0.89788269999999903</v>
      </c>
      <c r="N4703">
        <v>0</v>
      </c>
      <c r="O4703">
        <v>-0.4400329</v>
      </c>
      <c r="P4703">
        <v>0.95992650000000002</v>
      </c>
      <c r="Q4703">
        <v>0.1065617</v>
      </c>
      <c r="R4703">
        <v>-0.25920260000000001</v>
      </c>
      <c r="S4703">
        <v>3.0129999999999999</v>
      </c>
      <c r="T4703">
        <v>-0.32771489999999998</v>
      </c>
      <c r="U4703">
        <v>-0.55664060000000004</v>
      </c>
      <c r="V4703">
        <v>-0.1917817</v>
      </c>
      <c r="W4703">
        <v>0.1161724</v>
      </c>
      <c r="X4703">
        <v>0.97453769999999995</v>
      </c>
      <c r="Y4703">
        <v>-0.26580189999999998</v>
      </c>
      <c r="Z4703">
        <v>5.9880610000000001E-2</v>
      </c>
      <c r="AA4703">
        <v>0.96216610000000002</v>
      </c>
      <c r="AB4703">
        <v>27</v>
      </c>
      <c r="AC4703">
        <v>10.0289</v>
      </c>
      <c r="AD4703">
        <v>-1.1173587244079899</v>
      </c>
      <c r="AE4703">
        <v>-1.78732</v>
      </c>
      <c r="AF4703">
        <v>-2.7751046874108498</v>
      </c>
      <c r="AG4703">
        <v>-1.1173587244079899</v>
      </c>
      <c r="AH4703">
        <v>9.6757175615008908</v>
      </c>
      <c r="AI4703">
        <v>96.334199949493794</v>
      </c>
      <c r="AJ4703">
        <v>106.003487181579</v>
      </c>
      <c r="AK4703">
        <v>10.127645672861799</v>
      </c>
      <c r="AL4703">
        <v>83.328748021756596</v>
      </c>
      <c r="AM4703">
        <v>101.13311548842501</v>
      </c>
      <c r="AN4703">
        <v>0.99999998784896904</v>
      </c>
    </row>
    <row r="4704" spans="1:40" x14ac:dyDescent="0.25">
      <c r="A4704" t="str">
        <f>"20190312164405106"</f>
        <v>20190312164405106</v>
      </c>
      <c r="B4704" t="str">
        <f>"1552380245100088"</f>
        <v>1552380245100088</v>
      </c>
      <c r="C4704" t="s">
        <v>40</v>
      </c>
      <c r="D4704">
        <v>5.0659169999999998</v>
      </c>
      <c r="E4704">
        <v>0.47563630000000001</v>
      </c>
      <c r="F4704" t="s">
        <v>42</v>
      </c>
      <c r="G4704">
        <v>-277.89370000000002</v>
      </c>
      <c r="H4704" s="1">
        <v>-2.7028249999999998E-6</v>
      </c>
      <c r="I4704">
        <v>-61.113010000000003</v>
      </c>
      <c r="J4704">
        <v>-287.74029999999999</v>
      </c>
      <c r="K4704">
        <v>1.1173109999999999</v>
      </c>
      <c r="L4704">
        <v>-59.396639999999998</v>
      </c>
      <c r="M4704">
        <v>0.90239659999999999</v>
      </c>
      <c r="N4704">
        <v>0</v>
      </c>
      <c r="O4704">
        <v>-0.43070150000000001</v>
      </c>
      <c r="P4704">
        <v>0.96127309999999999</v>
      </c>
      <c r="Q4704">
        <v>0.10637729999999999</v>
      </c>
      <c r="R4704">
        <v>-0.25424069999999999</v>
      </c>
      <c r="S4704">
        <v>3.0148929999999998</v>
      </c>
      <c r="T4704">
        <v>-0.33352530000000002</v>
      </c>
      <c r="U4704">
        <v>-0.54568479999999997</v>
      </c>
      <c r="V4704">
        <v>-0.186698</v>
      </c>
      <c r="W4704">
        <v>0.11607679999999999</v>
      </c>
      <c r="X4704">
        <v>0.97553579999999995</v>
      </c>
      <c r="Y4704">
        <v>-0.25925029999999999</v>
      </c>
      <c r="Z4704">
        <v>5.9653619999999997E-2</v>
      </c>
      <c r="AA4704">
        <v>0.96396610000000005</v>
      </c>
      <c r="AB4704">
        <v>27</v>
      </c>
      <c r="AC4704">
        <v>9.8465999999999596</v>
      </c>
      <c r="AD4704">
        <v>-1.117313702825</v>
      </c>
      <c r="AE4704">
        <v>-1.71636999999999</v>
      </c>
      <c r="AF4704">
        <v>-2.65910789446127</v>
      </c>
      <c r="AG4704">
        <v>-1.117313702825</v>
      </c>
      <c r="AH4704">
        <v>9.5068320480601507</v>
      </c>
      <c r="AI4704">
        <v>96.457448647661195</v>
      </c>
      <c r="AJ4704">
        <v>105.626568651076</v>
      </c>
      <c r="AK4704">
        <v>9.9347420849728394</v>
      </c>
      <c r="AL4704">
        <v>83.334263102695601</v>
      </c>
      <c r="AM4704">
        <v>100.83425865696501</v>
      </c>
      <c r="AN4704">
        <v>1.00000003189193</v>
      </c>
    </row>
    <row r="4705" spans="1:40" x14ac:dyDescent="0.25">
      <c r="A4705" t="str">
        <f>"20190312164405127"</f>
        <v>20190312164405127</v>
      </c>
      <c r="B4705" t="str">
        <f>"1552380245119611"</f>
        <v>1552380245119611</v>
      </c>
      <c r="C4705" t="s">
        <v>40</v>
      </c>
      <c r="D4705">
        <v>5.0703670000000001</v>
      </c>
      <c r="E4705">
        <v>0.47596719999999998</v>
      </c>
      <c r="F4705" t="s">
        <v>42</v>
      </c>
      <c r="G4705">
        <v>-277.68709999999999</v>
      </c>
      <c r="H4705" s="1">
        <v>-2.6261409999999998E-6</v>
      </c>
      <c r="I4705">
        <v>-61.166690000000003</v>
      </c>
      <c r="J4705">
        <v>-287.50619999999998</v>
      </c>
      <c r="K4705">
        <v>1.117273</v>
      </c>
      <c r="L4705">
        <v>-59.497100000000003</v>
      </c>
      <c r="M4705">
        <v>0.9064432</v>
      </c>
      <c r="N4705">
        <v>0</v>
      </c>
      <c r="O4705">
        <v>-0.42211949999999998</v>
      </c>
      <c r="P4705">
        <v>0.9625629</v>
      </c>
      <c r="Q4705">
        <v>0.1061385</v>
      </c>
      <c r="R4705">
        <v>-0.2494141</v>
      </c>
      <c r="S4705">
        <v>3.0174560000000001</v>
      </c>
      <c r="T4705">
        <v>-0.33536169999999998</v>
      </c>
      <c r="U4705">
        <v>-0.53128050000000004</v>
      </c>
      <c r="V4705">
        <v>-0.1823246</v>
      </c>
      <c r="W4705">
        <v>0.1159134</v>
      </c>
      <c r="X4705">
        <v>0.97638199999999997</v>
      </c>
      <c r="Y4705">
        <v>-0.25472230000000001</v>
      </c>
      <c r="Z4705">
        <v>5.8867000000000003E-2</v>
      </c>
      <c r="AA4705">
        <v>0.96522079999999999</v>
      </c>
      <c r="AB4705">
        <v>27</v>
      </c>
      <c r="AC4705">
        <v>9.8190999999999899</v>
      </c>
      <c r="AD4705">
        <v>-1.117275626141</v>
      </c>
      <c r="AE4705">
        <v>-1.6695899999999899</v>
      </c>
      <c r="AF4705">
        <v>-2.5989724910160699</v>
      </c>
      <c r="AG4705">
        <v>-1.117275626141</v>
      </c>
      <c r="AH4705">
        <v>9.4866924376563908</v>
      </c>
      <c r="AI4705">
        <v>96.480307131914202</v>
      </c>
      <c r="AJ4705">
        <v>105.320828465662</v>
      </c>
      <c r="AK4705">
        <v>9.8995098990058104</v>
      </c>
      <c r="AL4705">
        <v>83.343688598563602</v>
      </c>
      <c r="AM4705">
        <v>100.57730149321399</v>
      </c>
      <c r="AN4705">
        <v>0.99999999299435904</v>
      </c>
    </row>
    <row r="4706" spans="1:40" x14ac:dyDescent="0.25">
      <c r="A4706" t="str">
        <f>"20190312164405149"</f>
        <v>20190312164405149</v>
      </c>
      <c r="B4706" t="str">
        <f>"1552380245140104"</f>
        <v>1552380245140104</v>
      </c>
      <c r="C4706" t="s">
        <v>40</v>
      </c>
      <c r="D4706">
        <v>5.0796000000000001</v>
      </c>
      <c r="E4706">
        <v>0.47612149999999998</v>
      </c>
      <c r="F4706" t="s">
        <v>42</v>
      </c>
      <c r="G4706">
        <v>-277.54259999999999</v>
      </c>
      <c r="H4706" s="1">
        <v>-2.573155E-6</v>
      </c>
      <c r="I4706">
        <v>-61.207169999999998</v>
      </c>
      <c r="J4706">
        <v>-287.26280000000003</v>
      </c>
      <c r="K4706">
        <v>1.1172230000000001</v>
      </c>
      <c r="L4706">
        <v>-59.598849999999999</v>
      </c>
      <c r="M4706">
        <v>0.91053039999999996</v>
      </c>
      <c r="N4706">
        <v>0</v>
      </c>
      <c r="O4706">
        <v>-0.41323029999999999</v>
      </c>
      <c r="P4706">
        <v>0.96381790000000001</v>
      </c>
      <c r="Q4706">
        <v>0.1064664</v>
      </c>
      <c r="R4706">
        <v>-0.2443776</v>
      </c>
      <c r="S4706">
        <v>3.019714</v>
      </c>
      <c r="T4706">
        <v>-0.33861960000000002</v>
      </c>
      <c r="U4706">
        <v>-0.51827999999999996</v>
      </c>
      <c r="V4706">
        <v>-0.17784810000000001</v>
      </c>
      <c r="W4706">
        <v>0.1163136</v>
      </c>
      <c r="X4706">
        <v>0.97715969999999996</v>
      </c>
      <c r="Y4706">
        <v>-0.24942529999999999</v>
      </c>
      <c r="Z4706">
        <v>5.8235809999999999E-2</v>
      </c>
      <c r="AA4706">
        <v>0.96664139999999998</v>
      </c>
      <c r="AB4706">
        <v>27</v>
      </c>
      <c r="AC4706">
        <v>9.7202000000000304</v>
      </c>
      <c r="AD4706">
        <v>-1.11722557315499</v>
      </c>
      <c r="AE4706">
        <v>-1.60831999999999</v>
      </c>
      <c r="AF4706">
        <v>-2.5200751967895001</v>
      </c>
      <c r="AG4706">
        <v>-1.11722557315499</v>
      </c>
      <c r="AH4706">
        <v>9.3951665605992005</v>
      </c>
      <c r="AI4706">
        <v>96.551991464974094</v>
      </c>
      <c r="AJ4706">
        <v>105.015065284979</v>
      </c>
      <c r="AK4706">
        <v>9.7912270262815699</v>
      </c>
      <c r="AL4706">
        <v>83.320602315770799</v>
      </c>
      <c r="AM4706">
        <v>100.31521594197299</v>
      </c>
      <c r="AN4706">
        <v>0.99999993976132795</v>
      </c>
    </row>
    <row r="4707" spans="1:40" x14ac:dyDescent="0.25">
      <c r="A4707" t="str">
        <f>"20190312164405172"</f>
        <v>20190312164405172</v>
      </c>
      <c r="B4707" t="str">
        <f>"1552380245170360"</f>
        <v>1552380245170360</v>
      </c>
      <c r="C4707" t="s">
        <v>40</v>
      </c>
      <c r="D4707">
        <v>5.0187140000000001</v>
      </c>
      <c r="E4707">
        <v>0.45687949999999999</v>
      </c>
      <c r="F4707" t="s">
        <v>42</v>
      </c>
      <c r="G4707">
        <v>-277.33260000000001</v>
      </c>
      <c r="H4707" s="1">
        <v>-2.4931080000000001E-6</v>
      </c>
      <c r="I4707">
        <v>-61.2523699999999</v>
      </c>
      <c r="J4707">
        <v>-287.01749999999998</v>
      </c>
      <c r="K4707">
        <v>1.117178</v>
      </c>
      <c r="L4707">
        <v>-59.698639999999997</v>
      </c>
      <c r="M4707">
        <v>0.91451559999999998</v>
      </c>
      <c r="N4707">
        <v>0</v>
      </c>
      <c r="O4707">
        <v>-0.4043349</v>
      </c>
      <c r="P4707">
        <v>0.96523130000000001</v>
      </c>
      <c r="Q4707">
        <v>0.106791</v>
      </c>
      <c r="R4707">
        <v>-0.23858799999999999</v>
      </c>
      <c r="S4707">
        <v>3.0225219999999999</v>
      </c>
      <c r="T4707">
        <v>-0.34005879999999999</v>
      </c>
      <c r="U4707">
        <v>-0.50329590000000002</v>
      </c>
      <c r="V4707">
        <v>-0.17415890000000001</v>
      </c>
      <c r="W4707">
        <v>0.1166977</v>
      </c>
      <c r="X4707">
        <v>0.97777829999999999</v>
      </c>
      <c r="Y4707">
        <v>-0.24484259999999999</v>
      </c>
      <c r="Z4707">
        <v>5.7306099999999999E-2</v>
      </c>
      <c r="AA4707">
        <v>0.96786779999999994</v>
      </c>
      <c r="AB4707">
        <v>27</v>
      </c>
      <c r="AC4707">
        <v>9.6848999999999705</v>
      </c>
      <c r="AD4707">
        <v>-1.1171804931080001</v>
      </c>
      <c r="AE4707">
        <v>-1.5537299999999801</v>
      </c>
      <c r="AF4707">
        <v>-2.4632956227107199</v>
      </c>
      <c r="AG4707">
        <v>-1.1171804931080001</v>
      </c>
      <c r="AH4707">
        <v>9.3645662273294406</v>
      </c>
      <c r="AI4707">
        <v>96.581341701528004</v>
      </c>
      <c r="AJ4707">
        <v>104.737474870412</v>
      </c>
      <c r="AK4707">
        <v>9.7473595504160002</v>
      </c>
      <c r="AL4707">
        <v>83.298444782062504</v>
      </c>
      <c r="AM4707">
        <v>100.099435305209</v>
      </c>
      <c r="AN4707">
        <v>1.00000003979269</v>
      </c>
    </row>
    <row r="4708" spans="1:40" x14ac:dyDescent="0.25">
      <c r="A4708" t="str">
        <f>"20190312164405194"</f>
        <v>20190312164405194</v>
      </c>
      <c r="B4708" t="str">
        <f>"1552380245189880"</f>
        <v>1552380245189880</v>
      </c>
      <c r="C4708" t="s">
        <v>40</v>
      </c>
      <c r="D4708">
        <v>5.0663749999999999</v>
      </c>
      <c r="E4708">
        <v>0.45581630000000001</v>
      </c>
      <c r="F4708" t="s">
        <v>42</v>
      </c>
      <c r="G4708">
        <v>-276.72590000000002</v>
      </c>
      <c r="H4708" s="1">
        <v>-2.1381220000000001E-6</v>
      </c>
      <c r="I4708">
        <v>-60.826450000000001</v>
      </c>
      <c r="J4708">
        <v>-286.76650000000001</v>
      </c>
      <c r="K4708">
        <v>1.1171120000000001</v>
      </c>
      <c r="L4708">
        <v>-59.798029999999997</v>
      </c>
      <c r="M4708">
        <v>0.91845390000000005</v>
      </c>
      <c r="N4708">
        <v>0</v>
      </c>
      <c r="O4708">
        <v>-0.39530920000000003</v>
      </c>
      <c r="P4708">
        <v>0.96663589999999999</v>
      </c>
      <c r="Q4708">
        <v>0.10715180000000001</v>
      </c>
      <c r="R4708">
        <v>-0.2326667</v>
      </c>
      <c r="S4708">
        <v>3.06189</v>
      </c>
      <c r="T4708">
        <v>-0.33237670000000002</v>
      </c>
      <c r="U4708">
        <v>-0.33554079999999997</v>
      </c>
      <c r="V4708">
        <v>-0.17048869999999999</v>
      </c>
      <c r="W4708">
        <v>0.11711820000000001</v>
      </c>
      <c r="X4708">
        <v>0.97837459999999998</v>
      </c>
      <c r="Y4708">
        <v>-0.28909780000000002</v>
      </c>
      <c r="Z4708">
        <v>5.7127329999999997E-2</v>
      </c>
      <c r="AA4708">
        <v>0.95559349999999998</v>
      </c>
      <c r="AB4708">
        <v>27</v>
      </c>
      <c r="AC4708">
        <v>10.0405999999999</v>
      </c>
      <c r="AD4708">
        <v>-1.117114138122</v>
      </c>
      <c r="AE4708">
        <v>-1.0284199999999899</v>
      </c>
      <c r="AF4708">
        <v>-2.9882404101872599</v>
      </c>
      <c r="AG4708">
        <v>-1.117114138122</v>
      </c>
      <c r="AH4708">
        <v>9.5126732422240199</v>
      </c>
      <c r="AI4708">
        <v>96.3925602809785</v>
      </c>
      <c r="AJ4708">
        <v>107.43920189172501</v>
      </c>
      <c r="AK4708">
        <v>10.0333681762403</v>
      </c>
      <c r="AL4708">
        <v>83.274185042368799</v>
      </c>
      <c r="AM4708">
        <v>99.884938922167507</v>
      </c>
      <c r="AN4708">
        <v>0.99999996376204403</v>
      </c>
    </row>
    <row r="4709" spans="1:40" x14ac:dyDescent="0.25">
      <c r="A4709" t="str">
        <f>"20190312164405217"</f>
        <v>20190312164405217</v>
      </c>
      <c r="B4709" t="str">
        <f>"1552380245209403"</f>
        <v>1552380245209403</v>
      </c>
      <c r="C4709" t="s">
        <v>40</v>
      </c>
      <c r="D4709">
        <v>5.0100490000000004</v>
      </c>
      <c r="E4709">
        <v>0.4563084</v>
      </c>
      <c r="F4709" t="s">
        <v>42</v>
      </c>
      <c r="G4709">
        <v>-276.47449999999998</v>
      </c>
      <c r="H4709" s="1">
        <v>-2.0316199999999999E-6</v>
      </c>
      <c r="I4709">
        <v>-60.8324</v>
      </c>
      <c r="J4709">
        <v>-286.51429999999999</v>
      </c>
      <c r="K4709">
        <v>1.1170279999999999</v>
      </c>
      <c r="L4709">
        <v>-59.895200000000003</v>
      </c>
      <c r="M4709">
        <v>0.92226459999999999</v>
      </c>
      <c r="N4709">
        <v>0</v>
      </c>
      <c r="O4709">
        <v>-0.38633630000000002</v>
      </c>
      <c r="P4709">
        <v>0.96804860000000004</v>
      </c>
      <c r="Q4709">
        <v>0.10678120000000001</v>
      </c>
      <c r="R4709">
        <v>-0.22689100000000001</v>
      </c>
      <c r="S4709">
        <v>3.0662539999999998</v>
      </c>
      <c r="T4709">
        <v>-0.33281909999999998</v>
      </c>
      <c r="U4709">
        <v>-0.30816650000000001</v>
      </c>
      <c r="V4709">
        <v>-0.16677259999999999</v>
      </c>
      <c r="W4709">
        <v>0.11680939999999999</v>
      </c>
      <c r="X4709">
        <v>0.97905180000000003</v>
      </c>
      <c r="Y4709">
        <v>-0.2884042</v>
      </c>
      <c r="Z4709">
        <v>5.6234180000000002E-2</v>
      </c>
      <c r="AA4709">
        <v>0.95585600000000004</v>
      </c>
      <c r="AB4709">
        <v>27</v>
      </c>
      <c r="AC4709">
        <v>10.0398</v>
      </c>
      <c r="AD4709">
        <v>-1.1170300316199999</v>
      </c>
      <c r="AE4709">
        <v>-0.93719999999999704</v>
      </c>
      <c r="AF4709">
        <v>-2.9781054897934802</v>
      </c>
      <c r="AG4709">
        <v>-1.1170300316199999</v>
      </c>
      <c r="AH4709">
        <v>9.5056036154162999</v>
      </c>
      <c r="AI4709">
        <v>96.398306239666297</v>
      </c>
      <c r="AJ4709">
        <v>107.395773077695</v>
      </c>
      <c r="AK4709">
        <v>10.023640481047501</v>
      </c>
      <c r="AL4709">
        <v>83.292000380223598</v>
      </c>
      <c r="AM4709">
        <v>99.667029758303599</v>
      </c>
      <c r="AN4709">
        <v>0.99999998156117897</v>
      </c>
    </row>
    <row r="4710" spans="1:40" x14ac:dyDescent="0.25">
      <c r="A4710" t="str">
        <f>"20190312164405238"</f>
        <v>20190312164405238</v>
      </c>
      <c r="B4710" t="str">
        <f>"1552380245229896"</f>
        <v>1552380245229896</v>
      </c>
      <c r="C4710" t="s">
        <v>40</v>
      </c>
      <c r="D4710">
        <v>5.0548419999999998</v>
      </c>
      <c r="E4710">
        <v>0.45615630000000001</v>
      </c>
      <c r="F4710" t="s">
        <v>42</v>
      </c>
      <c r="G4710">
        <v>-276.31310000000002</v>
      </c>
      <c r="H4710" s="1">
        <v>-1.9712560000000001E-6</v>
      </c>
      <c r="I4710">
        <v>-60.872320000000002</v>
      </c>
      <c r="J4710">
        <v>-286.2749</v>
      </c>
      <c r="K4710">
        <v>1.116941</v>
      </c>
      <c r="L4710">
        <v>-59.984920000000002</v>
      </c>
      <c r="M4710">
        <v>0.92574049999999997</v>
      </c>
      <c r="N4710">
        <v>0</v>
      </c>
      <c r="O4710">
        <v>-0.37793310000000002</v>
      </c>
      <c r="P4710">
        <v>0.96922390000000003</v>
      </c>
      <c r="Q4710">
        <v>0.10634589999999899</v>
      </c>
      <c r="R4710">
        <v>-0.22202630000000001</v>
      </c>
      <c r="S4710">
        <v>3.0672000000000001</v>
      </c>
      <c r="T4710">
        <v>-0.33586070000000001</v>
      </c>
      <c r="U4710">
        <v>-0.29379270000000002</v>
      </c>
      <c r="V4710">
        <v>-0.162764299999999</v>
      </c>
      <c r="W4710">
        <v>0.1164471</v>
      </c>
      <c r="X4710">
        <v>0.97976929999999995</v>
      </c>
      <c r="Y4710">
        <v>-0.284167</v>
      </c>
      <c r="Z4710">
        <v>5.5669120000000002E-2</v>
      </c>
      <c r="AA4710">
        <v>0.95715729999999999</v>
      </c>
      <c r="AB4710">
        <v>27</v>
      </c>
      <c r="AC4710">
        <v>9.9617999999999807</v>
      </c>
      <c r="AD4710">
        <v>-1.116942971256</v>
      </c>
      <c r="AE4710">
        <v>-0.88739999999999897</v>
      </c>
      <c r="AF4710">
        <v>-2.9073813431520401</v>
      </c>
      <c r="AG4710">
        <v>-1.116942971256</v>
      </c>
      <c r="AH4710">
        <v>9.4404907078721401</v>
      </c>
      <c r="AI4710">
        <v>96.451222174611402</v>
      </c>
      <c r="AJ4710">
        <v>107.11722590359599</v>
      </c>
      <c r="AK4710">
        <v>9.9409905281600093</v>
      </c>
      <c r="AL4710">
        <v>83.312901487002506</v>
      </c>
      <c r="AM4710">
        <v>99.4321302495363</v>
      </c>
      <c r="AN4710">
        <v>1.00000001283769</v>
      </c>
    </row>
    <row r="4711" spans="1:40" x14ac:dyDescent="0.25">
      <c r="A4711" t="str">
        <f>"20190312164405262"</f>
        <v>20190312164405262</v>
      </c>
      <c r="B4711" t="str">
        <f>"1552380245249419"</f>
        <v>1552380245249419</v>
      </c>
      <c r="C4711" t="s">
        <v>40</v>
      </c>
      <c r="D4711">
        <v>5.0312320000000001</v>
      </c>
      <c r="E4711">
        <v>0.4560825</v>
      </c>
      <c r="F4711" t="s">
        <v>42</v>
      </c>
      <c r="G4711">
        <v>-276.1198</v>
      </c>
      <c r="H4711" s="1">
        <v>-1.8942250000000001E-6</v>
      </c>
      <c r="I4711">
        <v>-60.898800000000001</v>
      </c>
      <c r="J4711">
        <v>-286.02550000000002</v>
      </c>
      <c r="K4711">
        <v>1.1168400000000001</v>
      </c>
      <c r="L4711">
        <v>-60.0760199999999</v>
      </c>
      <c r="M4711">
        <v>0.92921929999999997</v>
      </c>
      <c r="N4711">
        <v>0</v>
      </c>
      <c r="O4711">
        <v>-0.36929899999999999</v>
      </c>
      <c r="P4711">
        <v>0.97046370000000004</v>
      </c>
      <c r="Q4711">
        <v>0.10642509999999999</v>
      </c>
      <c r="R4711">
        <v>-0.21650440000000001</v>
      </c>
      <c r="S4711">
        <v>3.069</v>
      </c>
      <c r="T4711">
        <v>-0.33755479999999999</v>
      </c>
      <c r="U4711">
        <v>-0.27618409999999999</v>
      </c>
      <c r="V4711">
        <v>-0.15918399999999999</v>
      </c>
      <c r="W4711">
        <v>0.1165944</v>
      </c>
      <c r="X4711">
        <v>0.98033979999999998</v>
      </c>
      <c r="Y4711">
        <v>-0.28077540000000001</v>
      </c>
      <c r="Z4711">
        <v>5.4874770000000003E-2</v>
      </c>
      <c r="AA4711">
        <v>0.95820349999999999</v>
      </c>
      <c r="AB4711">
        <v>27</v>
      </c>
      <c r="AC4711">
        <v>9.9057000000000208</v>
      </c>
      <c r="AD4711">
        <v>-1.116841894225</v>
      </c>
      <c r="AE4711">
        <v>-0.82278000000000795</v>
      </c>
      <c r="AF4711">
        <v>-2.8577884430404601</v>
      </c>
      <c r="AG4711">
        <v>-1.116841894225</v>
      </c>
      <c r="AH4711">
        <v>9.3906705030884101</v>
      </c>
      <c r="AI4711">
        <v>96.491142017254006</v>
      </c>
      <c r="AJ4711">
        <v>106.926163319146</v>
      </c>
      <c r="AK4711">
        <v>9.87921976167382</v>
      </c>
      <c r="AL4711">
        <v>83.304403591791299</v>
      </c>
      <c r="AM4711">
        <v>99.222983837225797</v>
      </c>
      <c r="AN4711">
        <v>0.99999996171569905</v>
      </c>
    </row>
    <row r="4712" spans="1:40" x14ac:dyDescent="0.25">
      <c r="A4712" t="str">
        <f>"20190312164405285"</f>
        <v>20190312164405285</v>
      </c>
      <c r="B4712" t="str">
        <f>"1552380245279672"</f>
        <v>1552380245279672</v>
      </c>
      <c r="C4712" t="s">
        <v>40</v>
      </c>
      <c r="D4712">
        <v>5.0448300000000001</v>
      </c>
      <c r="E4712">
        <v>0.45719900000000002</v>
      </c>
      <c r="F4712" t="s">
        <v>42</v>
      </c>
      <c r="G4712">
        <v>-275.99439999999998</v>
      </c>
      <c r="H4712" s="1">
        <v>-1.843991E-6</v>
      </c>
      <c r="I4712">
        <v>-60.914790000000004</v>
      </c>
      <c r="J4712">
        <v>-285.76350000000002</v>
      </c>
      <c r="K4712">
        <v>1.116727</v>
      </c>
      <c r="L4712">
        <v>-60.168790000000001</v>
      </c>
      <c r="M4712">
        <v>0.93271380000000004</v>
      </c>
      <c r="N4712">
        <v>0</v>
      </c>
      <c r="O4712">
        <v>-0.36038340000000002</v>
      </c>
      <c r="P4712">
        <v>0.97159649999999997</v>
      </c>
      <c r="Q4712">
        <v>0.1074547</v>
      </c>
      <c r="R4712">
        <v>-0.2108411</v>
      </c>
      <c r="S4712">
        <v>3.0715330000000001</v>
      </c>
      <c r="T4712">
        <v>-0.34198079999999997</v>
      </c>
      <c r="U4712">
        <v>-0.25683590000000001</v>
      </c>
      <c r="V4712">
        <v>-0.15545020000000001</v>
      </c>
      <c r="W4712">
        <v>0.1176864</v>
      </c>
      <c r="X4712">
        <v>0.98080840000000002</v>
      </c>
      <c r="Y4712">
        <v>-0.27762429999999999</v>
      </c>
      <c r="Z4712">
        <v>5.4471680000000001E-2</v>
      </c>
      <c r="AA4712">
        <v>0.9591442</v>
      </c>
      <c r="AB4712">
        <v>27</v>
      </c>
      <c r="AC4712">
        <v>9.7691000000000301</v>
      </c>
      <c r="AD4712">
        <v>-1.1167288439909999</v>
      </c>
      <c r="AE4712">
        <v>-0.74600000000000199</v>
      </c>
      <c r="AF4712">
        <v>-2.7888242158611898</v>
      </c>
      <c r="AG4712">
        <v>-1.1167288439909999</v>
      </c>
      <c r="AH4712">
        <v>9.2610960404561702</v>
      </c>
      <c r="AI4712">
        <v>96.586280275483404</v>
      </c>
      <c r="AJ4712">
        <v>106.758796363907</v>
      </c>
      <c r="AK4712">
        <v>9.7361452171035392</v>
      </c>
      <c r="AL4712">
        <v>83.241403019023707</v>
      </c>
      <c r="AM4712">
        <v>99.006006963204101</v>
      </c>
      <c r="AN4712">
        <v>0.99999998546777902</v>
      </c>
    </row>
    <row r="4713" spans="1:40" x14ac:dyDescent="0.25">
      <c r="A4713" t="str">
        <f>"20190312164405307"</f>
        <v>20190312164405307</v>
      </c>
      <c r="B4713" t="str">
        <f>"1552380245300168"</f>
        <v>1552380245300168</v>
      </c>
      <c r="C4713" t="s">
        <v>40</v>
      </c>
      <c r="D4713">
        <v>4.9536290000000003</v>
      </c>
      <c r="E4713">
        <v>0.45787549999999999</v>
      </c>
      <c r="F4713" t="s">
        <v>42</v>
      </c>
      <c r="G4713">
        <v>-275.10730000000001</v>
      </c>
      <c r="H4713" s="1">
        <v>-1.489566E-6</v>
      </c>
      <c r="I4713">
        <v>-61.032400000000003</v>
      </c>
      <c r="J4713">
        <v>-285.50650000000002</v>
      </c>
      <c r="K4713">
        <v>1.116633</v>
      </c>
      <c r="L4713">
        <v>-60.257289999999998</v>
      </c>
      <c r="M4713">
        <v>0.93600050000000001</v>
      </c>
      <c r="N4713">
        <v>0</v>
      </c>
      <c r="O4713">
        <v>-0.35176010000000002</v>
      </c>
      <c r="P4713">
        <v>0.97318879999999996</v>
      </c>
      <c r="Q4713">
        <v>0.1080609</v>
      </c>
      <c r="R4713">
        <v>-0.20304220000000001</v>
      </c>
      <c r="S4713">
        <v>3.0693359999999998</v>
      </c>
      <c r="T4713">
        <v>-0.32165559999999999</v>
      </c>
      <c r="U4713">
        <v>-0.24874879999999999</v>
      </c>
      <c r="V4713">
        <v>-0.15421979999999999</v>
      </c>
      <c r="W4713">
        <v>0.1183058</v>
      </c>
      <c r="X4713">
        <v>0.98092809999999997</v>
      </c>
      <c r="Y4713">
        <v>-0.27172010000000002</v>
      </c>
      <c r="Z4713">
        <v>5.0145049999999997E-2</v>
      </c>
      <c r="AA4713">
        <v>0.96106899999999995</v>
      </c>
      <c r="AB4713">
        <v>27</v>
      </c>
      <c r="AC4713">
        <v>10.3992</v>
      </c>
      <c r="AD4713">
        <v>-1.1166344895659901</v>
      </c>
      <c r="AE4713">
        <v>-0.77510999999999797</v>
      </c>
      <c r="AF4713">
        <v>-2.8995202728695602</v>
      </c>
      <c r="AG4713">
        <v>-1.1166344895659901</v>
      </c>
      <c r="AH4713">
        <v>9.8937069427158804</v>
      </c>
      <c r="AI4713">
        <v>96.181479606574698</v>
      </c>
      <c r="AJ4713">
        <v>106.33412647400699</v>
      </c>
      <c r="AK4713">
        <v>10.3701266850706</v>
      </c>
      <c r="AL4713">
        <v>83.205664260015794</v>
      </c>
      <c r="AM4713">
        <v>98.934805687154096</v>
      </c>
      <c r="AN4713">
        <v>0.999999973197644</v>
      </c>
    </row>
    <row r="4714" spans="1:40" x14ac:dyDescent="0.25">
      <c r="A4714" t="str">
        <f>"20190312164405328"</f>
        <v>20190312164405328</v>
      </c>
      <c r="B4714" t="str">
        <f>"1552380245319688"</f>
        <v>1552380245319688</v>
      </c>
      <c r="C4714" t="s">
        <v>40</v>
      </c>
      <c r="D4714">
        <v>5.0458499999999997</v>
      </c>
      <c r="E4714">
        <v>0.45839350000000001</v>
      </c>
      <c r="F4714" t="s">
        <v>42</v>
      </c>
      <c r="G4714">
        <v>-274.5231</v>
      </c>
      <c r="H4714" s="1">
        <v>-1.2500680000000001E-6</v>
      </c>
      <c r="I4714">
        <v>-61.082380000000001</v>
      </c>
      <c r="J4714">
        <v>-285.26889999999997</v>
      </c>
      <c r="K4714">
        <v>1.116554</v>
      </c>
      <c r="L4714">
        <v>-60.336910000000003</v>
      </c>
      <c r="M4714">
        <v>0.93892249999999999</v>
      </c>
      <c r="N4714">
        <v>0</v>
      </c>
      <c r="O4714">
        <v>-0.34388669999999999</v>
      </c>
      <c r="P4714">
        <v>0.974387</v>
      </c>
      <c r="Q4714">
        <v>0.1078007</v>
      </c>
      <c r="R4714">
        <v>-0.197355</v>
      </c>
      <c r="S4714">
        <v>3.069153</v>
      </c>
      <c r="T4714">
        <v>-0.31202960000000002</v>
      </c>
      <c r="U4714">
        <v>-0.2305603</v>
      </c>
      <c r="V4714">
        <v>-0.15168909999999999</v>
      </c>
      <c r="W4714">
        <v>0.1180832</v>
      </c>
      <c r="X4714">
        <v>0.98134949999999999</v>
      </c>
      <c r="Y4714">
        <v>-0.26953899999999997</v>
      </c>
      <c r="Z4714">
        <v>4.7812970000000003E-2</v>
      </c>
      <c r="AA4714">
        <v>0.96180180000000004</v>
      </c>
      <c r="AB4714">
        <v>27</v>
      </c>
      <c r="AC4714">
        <v>10.7457999999999</v>
      </c>
      <c r="AD4714">
        <v>-1.116555250068</v>
      </c>
      <c r="AE4714">
        <v>-0.74547000000001096</v>
      </c>
      <c r="AF4714">
        <v>-2.9638030727336502</v>
      </c>
      <c r="AG4714">
        <v>-1.116555250068</v>
      </c>
      <c r="AH4714">
        <v>10.2367007185719</v>
      </c>
      <c r="AI4714">
        <v>95.981105996750401</v>
      </c>
      <c r="AJ4714">
        <v>106.14716674479401</v>
      </c>
      <c r="AK4714">
        <v>10.715449868391399</v>
      </c>
      <c r="AL4714">
        <v>83.218508740485603</v>
      </c>
      <c r="AM4714">
        <v>98.786781043875095</v>
      </c>
      <c r="AN4714">
        <v>1.00000003316564</v>
      </c>
    </row>
    <row r="4715" spans="1:40" x14ac:dyDescent="0.25">
      <c r="A4715" t="str">
        <f>"20190312164405340"</f>
        <v>20190312164405340</v>
      </c>
      <c r="B4715" t="str">
        <f>"1552380245329448"</f>
        <v>1552380245329448</v>
      </c>
      <c r="C4715" t="s">
        <v>40</v>
      </c>
      <c r="D4715">
        <v>5.0154009999999998</v>
      </c>
      <c r="E4715">
        <v>0.4587176</v>
      </c>
      <c r="F4715" t="s">
        <v>42</v>
      </c>
      <c r="G4715">
        <v>-274.14620000000002</v>
      </c>
      <c r="H4715" s="1">
        <v>-1.0980929999999999E-6</v>
      </c>
      <c r="I4715">
        <v>-61.12621</v>
      </c>
      <c r="J4715">
        <v>-285.13619999999997</v>
      </c>
      <c r="K4715">
        <v>1.1165130000000001</v>
      </c>
      <c r="L4715">
        <v>-60.380710000000001</v>
      </c>
      <c r="M4715">
        <v>0.94051209999999996</v>
      </c>
      <c r="N4715">
        <v>0</v>
      </c>
      <c r="O4715">
        <v>-0.33951520000000002</v>
      </c>
      <c r="P4715">
        <v>0.97506689999999996</v>
      </c>
      <c r="Q4715">
        <v>0.1073388</v>
      </c>
      <c r="R4715">
        <v>-0.19422429999999999</v>
      </c>
      <c r="S4715">
        <v>3.068848</v>
      </c>
      <c r="T4715">
        <v>-0.3080657</v>
      </c>
      <c r="U4715">
        <v>-0.21777340000000001</v>
      </c>
      <c r="V4715">
        <v>-0.1502725</v>
      </c>
      <c r="W4715">
        <v>0.11764239999999999</v>
      </c>
      <c r="X4715">
        <v>0.9816203</v>
      </c>
      <c r="Y4715">
        <v>-0.26913880000000001</v>
      </c>
      <c r="Z4715">
        <v>4.6793050000000003E-2</v>
      </c>
      <c r="AA4715">
        <v>0.96196400000000004</v>
      </c>
      <c r="AB4715">
        <v>27</v>
      </c>
      <c r="AC4715">
        <v>10.989999999999901</v>
      </c>
      <c r="AD4715">
        <v>-1.116514098093</v>
      </c>
      <c r="AE4715">
        <v>-0.74549999999999905</v>
      </c>
      <c r="AF4715">
        <v>-2.9995550395348198</v>
      </c>
      <c r="AG4715">
        <v>-1.116514098093</v>
      </c>
      <c r="AH4715">
        <v>10.482520473546501</v>
      </c>
      <c r="AI4715">
        <v>95.846826878047906</v>
      </c>
      <c r="AJ4715">
        <v>105.96838179433</v>
      </c>
      <c r="AK4715">
        <v>10.960254086688</v>
      </c>
      <c r="AL4715">
        <v>83.243941671591401</v>
      </c>
      <c r="AM4715">
        <v>98.703620788419798</v>
      </c>
      <c r="AN4715">
        <v>0.99999998595304995</v>
      </c>
    </row>
    <row r="4716" spans="1:40" x14ac:dyDescent="0.25">
      <c r="A4716" t="str">
        <f>"20190312164405352"</f>
        <v>20190312164405352</v>
      </c>
      <c r="B4716" t="str">
        <f>"1552380245349945"</f>
        <v>1552380245349945</v>
      </c>
      <c r="C4716" t="s">
        <v>40</v>
      </c>
      <c r="D4716">
        <v>5.0556739999999998</v>
      </c>
      <c r="E4716">
        <v>0.45883119999999999</v>
      </c>
      <c r="F4716" t="s">
        <v>42</v>
      </c>
      <c r="G4716">
        <v>-274.00360000000001</v>
      </c>
      <c r="H4716" s="1">
        <v>-1.040965E-6</v>
      </c>
      <c r="I4716">
        <v>-61.144289999999998</v>
      </c>
      <c r="J4716">
        <v>-285.00369999999998</v>
      </c>
      <c r="K4716">
        <v>1.116474</v>
      </c>
      <c r="L4716">
        <v>-60.423340000000003</v>
      </c>
      <c r="M4716">
        <v>0.94206259999999997</v>
      </c>
      <c r="N4716">
        <v>0</v>
      </c>
      <c r="O4716">
        <v>-0.33519019999999999</v>
      </c>
      <c r="P4716">
        <v>0.97576779999999996</v>
      </c>
      <c r="Q4716">
        <v>0.10714559999999999</v>
      </c>
      <c r="R4716">
        <v>-0.19078110000000001</v>
      </c>
      <c r="S4716">
        <v>3.0686650000000002</v>
      </c>
      <c r="T4716">
        <v>-0.30776510000000001</v>
      </c>
      <c r="U4716">
        <v>-0.21047969999999999</v>
      </c>
      <c r="V4716">
        <v>-0.1492202</v>
      </c>
      <c r="W4716">
        <v>0.117458199999999</v>
      </c>
      <c r="X4716">
        <v>0.98180290000000003</v>
      </c>
      <c r="Y4716">
        <v>-0.26702219999999999</v>
      </c>
      <c r="Z4716">
        <v>4.6242520000000002E-2</v>
      </c>
      <c r="AA4716">
        <v>0.96258030000000006</v>
      </c>
      <c r="AB4716">
        <v>27</v>
      </c>
      <c r="AC4716">
        <v>11.0000999999999</v>
      </c>
      <c r="AD4716">
        <v>-1.1164750409649999</v>
      </c>
      <c r="AE4716">
        <v>-0.72095000000000198</v>
      </c>
      <c r="AF4716">
        <v>-2.9776513780051199</v>
      </c>
      <c r="AG4716">
        <v>-1.1164750409649999</v>
      </c>
      <c r="AH4716">
        <v>10.497636341364601</v>
      </c>
      <c r="AI4716">
        <v>95.842081805119093</v>
      </c>
      <c r="AJ4716">
        <v>105.835971906342</v>
      </c>
      <c r="AK4716">
        <v>10.968741632547101</v>
      </c>
      <c r="AL4716">
        <v>83.254569437188493</v>
      </c>
      <c r="AM4716">
        <v>98.642013100896193</v>
      </c>
      <c r="AN4716">
        <v>1.00000001564184</v>
      </c>
    </row>
    <row r="4717" spans="1:40" x14ac:dyDescent="0.25">
      <c r="A4717" t="str">
        <f>"20190312164405366"</f>
        <v>20190312164405366</v>
      </c>
      <c r="B4717" t="str">
        <f>"1552380245359705"</f>
        <v>1552380245359705</v>
      </c>
      <c r="C4717" t="s">
        <v>40</v>
      </c>
      <c r="D4717">
        <v>4.9610000000000003</v>
      </c>
      <c r="E4717">
        <v>0.45895659999999999</v>
      </c>
      <c r="F4717" t="s">
        <v>42</v>
      </c>
      <c r="G4717">
        <v>-274.06889999999999</v>
      </c>
      <c r="H4717" s="1">
        <v>-1.0672379999999999E-6</v>
      </c>
      <c r="I4717">
        <v>-61.136560000000003</v>
      </c>
      <c r="J4717">
        <v>-284.8426</v>
      </c>
      <c r="K4717">
        <v>1.116439</v>
      </c>
      <c r="L4717">
        <v>-60.474580000000003</v>
      </c>
      <c r="M4717">
        <v>0.94391199999999997</v>
      </c>
      <c r="N4717">
        <v>0</v>
      </c>
      <c r="O4717">
        <v>-0.3299474</v>
      </c>
      <c r="P4717">
        <v>0.97663699999999998</v>
      </c>
      <c r="Q4717">
        <v>0.1068282</v>
      </c>
      <c r="R4717">
        <v>-0.18646190000000001</v>
      </c>
      <c r="S4717">
        <v>3.069763</v>
      </c>
      <c r="T4717">
        <v>-0.31343219999999999</v>
      </c>
      <c r="U4717">
        <v>-0.20022580000000001</v>
      </c>
      <c r="V4717">
        <v>-0.1480996</v>
      </c>
      <c r="W4717">
        <v>0.117148</v>
      </c>
      <c r="X4717">
        <v>0.98200960000000004</v>
      </c>
      <c r="Y4717">
        <v>-0.26482</v>
      </c>
      <c r="Z4717">
        <v>4.6464690000000003E-2</v>
      </c>
      <c r="AA4717">
        <v>0.96317770000000003</v>
      </c>
      <c r="AB4717">
        <v>27</v>
      </c>
      <c r="AC4717">
        <v>10.7737</v>
      </c>
      <c r="AD4717">
        <v>-1.1164400672379999</v>
      </c>
      <c r="AE4717">
        <v>-0.66197999999999202</v>
      </c>
      <c r="AF4717">
        <v>-2.8991299333293101</v>
      </c>
      <c r="AG4717">
        <v>-1.1164400672379999</v>
      </c>
      <c r="AH4717">
        <v>10.278737193319699</v>
      </c>
      <c r="AI4717">
        <v>95.967902982111795</v>
      </c>
      <c r="AJ4717">
        <v>105.75116813901499</v>
      </c>
      <c r="AK4717">
        <v>10.737962147604801</v>
      </c>
      <c r="AL4717">
        <v>83.272466037788107</v>
      </c>
      <c r="AM4717">
        <v>98.576304419173496</v>
      </c>
      <c r="AN4717">
        <v>0.99999999995816002</v>
      </c>
    </row>
    <row r="4718" spans="1:40" x14ac:dyDescent="0.25">
      <c r="A4718" t="str">
        <f>"20190312164405378"</f>
        <v>20190312164405378</v>
      </c>
      <c r="B4718" t="str">
        <f>"1552380245369465"</f>
        <v>1552380245369465</v>
      </c>
      <c r="C4718" t="s">
        <v>40</v>
      </c>
      <c r="D4718">
        <v>5.009792</v>
      </c>
      <c r="E4718">
        <v>0.45911200000000002</v>
      </c>
      <c r="F4718" t="s">
        <v>42</v>
      </c>
      <c r="G4718">
        <v>-273.95319999999998</v>
      </c>
      <c r="H4718" s="1">
        <v>-1.0183700000000001E-6</v>
      </c>
      <c r="I4718">
        <v>-61.139989999999997</v>
      </c>
      <c r="J4718">
        <v>-284.70150000000001</v>
      </c>
      <c r="K4718">
        <v>1.1164099999999999</v>
      </c>
      <c r="L4718">
        <v>-60.518770000000004</v>
      </c>
      <c r="M4718">
        <v>0.94549930000000004</v>
      </c>
      <c r="N4718">
        <v>0</v>
      </c>
      <c r="O4718">
        <v>-0.325372099999999</v>
      </c>
      <c r="P4718">
        <v>0.97729860000000002</v>
      </c>
      <c r="Q4718">
        <v>0.10682369999999999</v>
      </c>
      <c r="R4718">
        <v>-0.18296589999999999</v>
      </c>
      <c r="S4718">
        <v>3.0704039999999999</v>
      </c>
      <c r="T4718">
        <v>-0.3147933</v>
      </c>
      <c r="U4718">
        <v>-0.18762210000000001</v>
      </c>
      <c r="V4718">
        <v>-0.1468477</v>
      </c>
      <c r="W4718">
        <v>0.1171528</v>
      </c>
      <c r="X4718">
        <v>0.98219699999999999</v>
      </c>
      <c r="Y4718">
        <v>-0.2641037</v>
      </c>
      <c r="Z4718">
        <v>4.6186339999999999E-2</v>
      </c>
      <c r="AA4718">
        <v>0.96338780000000002</v>
      </c>
      <c r="AB4718">
        <v>27</v>
      </c>
      <c r="AC4718">
        <v>10.7483</v>
      </c>
      <c r="AD4718">
        <v>-1.11641101837</v>
      </c>
      <c r="AE4718">
        <v>-0.62122000000000799</v>
      </c>
      <c r="AF4718">
        <v>-2.8791141550593999</v>
      </c>
      <c r="AG4718">
        <v>-1.11641101837</v>
      </c>
      <c r="AH4718">
        <v>10.2552161778605</v>
      </c>
      <c r="AI4718">
        <v>95.983357830784598</v>
      </c>
      <c r="AJ4718">
        <v>105.68189077151899</v>
      </c>
      <c r="AK4718">
        <v>10.710048120081099</v>
      </c>
      <c r="AL4718">
        <v>83.272189018029096</v>
      </c>
      <c r="AM4718">
        <v>98.503273770499504</v>
      </c>
      <c r="AN4718">
        <v>0.999999986176064</v>
      </c>
    </row>
    <row r="4719" spans="1:40" x14ac:dyDescent="0.25">
      <c r="A4719" t="str">
        <f>"20190312164405389"</f>
        <v>20190312164405389</v>
      </c>
      <c r="B4719" t="str">
        <f>"1552380245380200"</f>
        <v>1552380245380200</v>
      </c>
      <c r="C4719" t="s">
        <v>40</v>
      </c>
      <c r="D4719">
        <v>5.0952039999999998</v>
      </c>
      <c r="E4719">
        <v>0.4593489</v>
      </c>
      <c r="F4719" t="s">
        <v>42</v>
      </c>
      <c r="G4719">
        <v>-273.80720000000002</v>
      </c>
      <c r="H4719" s="1">
        <v>-9.5772789999999994E-7</v>
      </c>
      <c r="I4719">
        <v>-61.148879999999998</v>
      </c>
      <c r="J4719">
        <v>-284.5745</v>
      </c>
      <c r="K4719">
        <v>1.116387</v>
      </c>
      <c r="L4719">
        <v>-60.55771</v>
      </c>
      <c r="M4719">
        <v>0.94690010000000002</v>
      </c>
      <c r="N4719">
        <v>0</v>
      </c>
      <c r="O4719">
        <v>-0.32127329999999998</v>
      </c>
      <c r="P4719">
        <v>0.97782610000000003</v>
      </c>
      <c r="Q4719">
        <v>0.10698680000000001</v>
      </c>
      <c r="R4719">
        <v>-0.18002839999999901</v>
      </c>
      <c r="S4719">
        <v>3.0708009999999999</v>
      </c>
      <c r="T4719">
        <v>-0.31468669999999999</v>
      </c>
      <c r="U4719">
        <v>-0.177612299999999</v>
      </c>
      <c r="V4719">
        <v>-0.145532299999999</v>
      </c>
      <c r="W4719">
        <v>0.1173275</v>
      </c>
      <c r="X4719">
        <v>0.98237189999999996</v>
      </c>
      <c r="Y4719">
        <v>-0.2630922</v>
      </c>
      <c r="Z4719">
        <v>4.572329E-2</v>
      </c>
      <c r="AA4719">
        <v>0.96368659999999995</v>
      </c>
      <c r="AB4719">
        <v>27</v>
      </c>
      <c r="AC4719">
        <v>10.767299999999899</v>
      </c>
      <c r="AD4719">
        <v>-1.1163879577278999</v>
      </c>
      <c r="AE4719">
        <v>-0.59117000000000497</v>
      </c>
      <c r="AF4719">
        <v>-2.8689552160301801</v>
      </c>
      <c r="AG4719">
        <v>-1.1163879577278999</v>
      </c>
      <c r="AH4719">
        <v>10.276195396421199</v>
      </c>
      <c r="AI4719">
        <v>95.973512484133494</v>
      </c>
      <c r="AJ4719">
        <v>105.598913321167</v>
      </c>
      <c r="AK4719">
        <v>10.7274143170279</v>
      </c>
      <c r="AL4719">
        <v>83.262109834739405</v>
      </c>
      <c r="AM4719">
        <v>98.426724882879995</v>
      </c>
      <c r="AN4719">
        <v>0.99999997125457396</v>
      </c>
    </row>
    <row r="4720" spans="1:40" x14ac:dyDescent="0.25">
      <c r="A4720" t="str">
        <f>"20190312164405402"</f>
        <v>20190312164405402</v>
      </c>
      <c r="B4720" t="str">
        <f>"1552380245399721"</f>
        <v>1552380245399721</v>
      </c>
      <c r="C4720" t="s">
        <v>40</v>
      </c>
      <c r="D4720">
        <v>4.9518930000000001</v>
      </c>
      <c r="E4720">
        <v>0.45968120000000001</v>
      </c>
      <c r="F4720" t="s">
        <v>42</v>
      </c>
      <c r="G4720">
        <v>-273.62689999999998</v>
      </c>
      <c r="H4720" s="1">
        <v>-8.8360410000000005E-7</v>
      </c>
      <c r="I4720">
        <v>-61.163449999999997</v>
      </c>
      <c r="J4720">
        <v>-284.43110000000001</v>
      </c>
      <c r="K4720">
        <v>1.1163620000000001</v>
      </c>
      <c r="L4720">
        <v>-60.601260000000003</v>
      </c>
      <c r="M4720">
        <v>0.94845590000000002</v>
      </c>
      <c r="N4720">
        <v>0</v>
      </c>
      <c r="O4720">
        <v>-0.31665149999999997</v>
      </c>
      <c r="P4720">
        <v>0.97850879999999996</v>
      </c>
      <c r="Q4720">
        <v>0.1073404</v>
      </c>
      <c r="R4720">
        <v>-0.176064</v>
      </c>
      <c r="S4720">
        <v>3.0710139999999999</v>
      </c>
      <c r="T4720">
        <v>-0.31316939999999999</v>
      </c>
      <c r="U4720">
        <v>-0.16992189999999999</v>
      </c>
      <c r="V4720">
        <v>-0.14470769999999999</v>
      </c>
      <c r="W4720">
        <v>0.1176831</v>
      </c>
      <c r="X4720">
        <v>0.98245119999999997</v>
      </c>
      <c r="Y4720">
        <v>-0.26086110000000001</v>
      </c>
      <c r="Z4720">
        <v>4.4945810000000003E-2</v>
      </c>
      <c r="AA4720">
        <v>0.96432949999999995</v>
      </c>
      <c r="AB4720">
        <v>27</v>
      </c>
      <c r="AC4720">
        <v>10.8042</v>
      </c>
      <c r="AD4720">
        <v>-1.1163628836041</v>
      </c>
      <c r="AE4720">
        <v>-0.56219000000000097</v>
      </c>
      <c r="AF4720">
        <v>-2.8577611833020402</v>
      </c>
      <c r="AG4720">
        <v>-1.1163628836041</v>
      </c>
      <c r="AH4720">
        <v>10.316332465022301</v>
      </c>
      <c r="AI4720">
        <v>95.953618153565202</v>
      </c>
      <c r="AJ4720">
        <v>105.483438665657</v>
      </c>
      <c r="AK4720">
        <v>10.762889045119399</v>
      </c>
      <c r="AL4720">
        <v>83.241593485777997</v>
      </c>
      <c r="AM4720">
        <v>98.378991318445202</v>
      </c>
      <c r="AN4720">
        <v>0.99999999542316997</v>
      </c>
    </row>
    <row r="4721" spans="1:40" x14ac:dyDescent="0.25">
      <c r="A4721" t="str">
        <f>"20190312164405414"</f>
        <v>20190312164405414</v>
      </c>
      <c r="B4721" t="str">
        <f>"1552380245409482"</f>
        <v>1552380245409482</v>
      </c>
      <c r="C4721" t="s">
        <v>40</v>
      </c>
      <c r="D4721">
        <v>4.9699849999999897</v>
      </c>
      <c r="E4721">
        <v>0.45987729999999999</v>
      </c>
      <c r="F4721" t="s">
        <v>42</v>
      </c>
      <c r="G4721">
        <v>-273.4357</v>
      </c>
      <c r="H4721" s="1">
        <v>-8.036124E-7</v>
      </c>
      <c r="I4721">
        <v>-61.172649999999997</v>
      </c>
      <c r="J4721">
        <v>-284.291</v>
      </c>
      <c r="K4721">
        <v>1.1163430000000001</v>
      </c>
      <c r="L4721">
        <v>-60.642699999999998</v>
      </c>
      <c r="M4721">
        <v>0.94994520000000005</v>
      </c>
      <c r="N4721">
        <v>0</v>
      </c>
      <c r="O4721">
        <v>-0.31215599999999999</v>
      </c>
      <c r="P4721">
        <v>0.97906110000000002</v>
      </c>
      <c r="Q4721">
        <v>0.10757559999999999</v>
      </c>
      <c r="R4721">
        <v>-0.17282059999999999</v>
      </c>
      <c r="S4721">
        <v>3.0713499999999998</v>
      </c>
      <c r="T4721">
        <v>-0.3118341</v>
      </c>
      <c r="U4721">
        <v>-0.1596069</v>
      </c>
      <c r="V4721">
        <v>-0.14329800000000001</v>
      </c>
      <c r="W4721">
        <v>0.1179275</v>
      </c>
      <c r="X4721">
        <v>0.98262850000000002</v>
      </c>
      <c r="Y4721">
        <v>-0.25957950000000002</v>
      </c>
      <c r="Z4721">
        <v>4.425892E-2</v>
      </c>
      <c r="AA4721">
        <v>0.96470699999999998</v>
      </c>
      <c r="AB4721">
        <v>27</v>
      </c>
      <c r="AC4721">
        <v>10.8553</v>
      </c>
      <c r="AD4721">
        <v>-1.1163438036123901</v>
      </c>
      <c r="AE4721">
        <v>-0.52994999999999903</v>
      </c>
      <c r="AF4721">
        <v>-2.8552338530996302</v>
      </c>
      <c r="AG4721">
        <v>-1.1163438036123901</v>
      </c>
      <c r="AH4721">
        <v>10.3688222774931</v>
      </c>
      <c r="AI4721">
        <v>95.926078511224404</v>
      </c>
      <c r="AJ4721">
        <v>105.395810728782</v>
      </c>
      <c r="AK4721">
        <v>10.8125417578841</v>
      </c>
      <c r="AL4721">
        <v>83.227492172637795</v>
      </c>
      <c r="AM4721">
        <v>98.297031375656104</v>
      </c>
      <c r="AN4721">
        <v>0.99999999053624899</v>
      </c>
    </row>
    <row r="4722" spans="1:40" x14ac:dyDescent="0.25">
      <c r="A4722" t="str">
        <f>"20190312164405429"</f>
        <v>20190312164405429</v>
      </c>
      <c r="B4722" t="str">
        <f>"1552380245420217"</f>
        <v>1552380245420217</v>
      </c>
      <c r="C4722" t="s">
        <v>40</v>
      </c>
      <c r="D4722">
        <v>4.9688749999999997</v>
      </c>
      <c r="E4722">
        <v>0.46009519999999998</v>
      </c>
      <c r="F4722" t="s">
        <v>42</v>
      </c>
      <c r="G4722">
        <v>-273.25380000000001</v>
      </c>
      <c r="H4722" s="1">
        <v>-7.2794719999999996E-7</v>
      </c>
      <c r="I4722">
        <v>-61.183300000000003</v>
      </c>
      <c r="J4722">
        <v>-284.11649999999997</v>
      </c>
      <c r="K4722">
        <v>1.116314</v>
      </c>
      <c r="L4722">
        <v>-60.693600000000004</v>
      </c>
      <c r="M4722">
        <v>0.95176609999999995</v>
      </c>
      <c r="N4722">
        <v>0</v>
      </c>
      <c r="O4722">
        <v>-0.30656</v>
      </c>
      <c r="P4722">
        <v>0.97960809999999998</v>
      </c>
      <c r="Q4722">
        <v>0.1077364</v>
      </c>
      <c r="R4722">
        <v>-0.169590299999999</v>
      </c>
      <c r="S4722">
        <v>3.0717159999999999</v>
      </c>
      <c r="T4722">
        <v>-0.3106833</v>
      </c>
      <c r="U4722">
        <v>-0.15045169999999999</v>
      </c>
      <c r="V4722">
        <v>-0.14074310000000001</v>
      </c>
      <c r="W4722">
        <v>0.1181131</v>
      </c>
      <c r="X4722">
        <v>0.98297540000000005</v>
      </c>
      <c r="Y4722">
        <v>-0.25683440000000002</v>
      </c>
      <c r="Z4722">
        <v>4.3419619999999999E-2</v>
      </c>
      <c r="AA4722">
        <v>0.96547959999999999</v>
      </c>
      <c r="AB4722">
        <v>27</v>
      </c>
      <c r="AC4722">
        <v>10.862699999999901</v>
      </c>
      <c r="AD4722">
        <v>-1.1163147279471901</v>
      </c>
      <c r="AE4722">
        <v>-0.48969999999999902</v>
      </c>
      <c r="AF4722">
        <v>-2.8343494804339602</v>
      </c>
      <c r="AG4722">
        <v>-1.1163147279471901</v>
      </c>
      <c r="AH4722">
        <v>10.380320711682099</v>
      </c>
      <c r="AI4722">
        <v>95.922881591108506</v>
      </c>
      <c r="AJ4722">
        <v>105.272343011693</v>
      </c>
      <c r="AK4722">
        <v>10.818075319873</v>
      </c>
      <c r="AL4722">
        <v>83.216783166645996</v>
      </c>
      <c r="AM4722">
        <v>98.148268885758597</v>
      </c>
      <c r="AN4722">
        <v>0.99999998079718899</v>
      </c>
    </row>
    <row r="4723" spans="1:40" x14ac:dyDescent="0.25">
      <c r="A4723" t="str">
        <f>"20190312164405440"</f>
        <v>20190312164405440</v>
      </c>
      <c r="B4723" t="str">
        <f>"1552380245429976"</f>
        <v>1552380245429976</v>
      </c>
      <c r="C4723" t="s">
        <v>40</v>
      </c>
      <c r="D4723">
        <v>5.1732269999999998</v>
      </c>
      <c r="E4723">
        <v>0.46009519999999998</v>
      </c>
      <c r="F4723" t="s">
        <v>42</v>
      </c>
      <c r="G4723">
        <v>-273.05770000000001</v>
      </c>
      <c r="H4723" s="1">
        <v>-6.4827409999999996E-7</v>
      </c>
      <c r="I4723">
        <v>-61.203229999999998</v>
      </c>
      <c r="J4723">
        <v>-283.98770000000002</v>
      </c>
      <c r="K4723">
        <v>1.1162970000000001</v>
      </c>
      <c r="L4723">
        <v>-60.730649999999997</v>
      </c>
      <c r="M4723">
        <v>0.9530845</v>
      </c>
      <c r="N4723">
        <v>0</v>
      </c>
      <c r="O4723">
        <v>-0.30243710000000001</v>
      </c>
      <c r="P4723">
        <v>0.98016760000000003</v>
      </c>
      <c r="Q4723">
        <v>0.10744629999999999</v>
      </c>
      <c r="R4723">
        <v>-0.1665141</v>
      </c>
      <c r="S4723">
        <v>3.0720519999999998</v>
      </c>
      <c r="T4723">
        <v>-0.31010539999999998</v>
      </c>
      <c r="U4723">
        <v>-0.141571</v>
      </c>
      <c r="V4723">
        <v>-0.13957220000000001</v>
      </c>
      <c r="W4723">
        <v>0.117829</v>
      </c>
      <c r="X4723">
        <v>0.98317650000000001</v>
      </c>
      <c r="Y4723">
        <v>-0.25547969999999998</v>
      </c>
      <c r="Z4723">
        <v>4.2874910000000002E-2</v>
      </c>
      <c r="AA4723">
        <v>0.96586329999999998</v>
      </c>
      <c r="AB4723">
        <v>27</v>
      </c>
      <c r="AC4723">
        <v>10.93</v>
      </c>
      <c r="AD4723">
        <v>-1.1162976482740901</v>
      </c>
      <c r="AE4723">
        <v>-0.47258000000000699</v>
      </c>
      <c r="AF4723">
        <v>-2.8260367939409101</v>
      </c>
      <c r="AG4723">
        <v>-1.1162976482740901</v>
      </c>
      <c r="AH4723">
        <v>10.452171792657801</v>
      </c>
      <c r="AI4723">
        <v>95.886314196647803</v>
      </c>
      <c r="AJ4723">
        <v>105.129756819656</v>
      </c>
      <c r="AK4723">
        <v>10.884874807892</v>
      </c>
      <c r="AL4723">
        <v>83.233175842777001</v>
      </c>
      <c r="AM4723">
        <v>98.079748099378804</v>
      </c>
      <c r="AN4723">
        <v>1.00000005120304</v>
      </c>
    </row>
    <row r="4724" spans="1:40" x14ac:dyDescent="0.25">
      <c r="A4724" t="str">
        <f>"20190312164405452"</f>
        <v>20190312164405452</v>
      </c>
      <c r="B4724" t="str">
        <f>"1552380245439736"</f>
        <v>1552380245439736</v>
      </c>
      <c r="C4724" t="s">
        <v>40</v>
      </c>
      <c r="D4724">
        <v>4.9924790000000003</v>
      </c>
      <c r="E4724">
        <v>0.4697017</v>
      </c>
      <c r="F4724" t="s">
        <v>42</v>
      </c>
      <c r="G4724">
        <v>-272.96050000000002</v>
      </c>
      <c r="H4724" s="1">
        <v>-6.0679050000000001E-7</v>
      </c>
      <c r="I4724">
        <v>-61.204270000000001</v>
      </c>
      <c r="J4724">
        <v>-283.86259999999999</v>
      </c>
      <c r="K4724">
        <v>1.116274</v>
      </c>
      <c r="L4724">
        <v>-60.765659999999997</v>
      </c>
      <c r="M4724">
        <v>0.95434050000000004</v>
      </c>
      <c r="N4724">
        <v>0</v>
      </c>
      <c r="O4724">
        <v>-0.29845110000000002</v>
      </c>
      <c r="P4724">
        <v>0.98059370000000001</v>
      </c>
      <c r="Q4724">
        <v>0.1076366</v>
      </c>
      <c r="R4724">
        <v>-0.16386120000000001</v>
      </c>
      <c r="S4724">
        <v>3.0723880000000001</v>
      </c>
      <c r="T4724">
        <v>-0.31101990000000002</v>
      </c>
      <c r="U4724">
        <v>-0.13195799999999999</v>
      </c>
      <c r="V4724">
        <v>-0.13811300000000001</v>
      </c>
      <c r="W4724">
        <v>0.1180321</v>
      </c>
      <c r="X4724">
        <v>0.98335810000000001</v>
      </c>
      <c r="Y4724">
        <v>-0.25446990000000003</v>
      </c>
      <c r="Z4724">
        <v>4.2565319999999997E-2</v>
      </c>
      <c r="AA4724">
        <v>0.96614350000000004</v>
      </c>
      <c r="AB4724">
        <v>27</v>
      </c>
      <c r="AC4724">
        <v>10.9020999999999</v>
      </c>
      <c r="AD4724">
        <v>-1.1162746067905001</v>
      </c>
      <c r="AE4724">
        <v>-0.438609999999997</v>
      </c>
      <c r="AF4724">
        <v>-2.80601851834377</v>
      </c>
      <c r="AG4724">
        <v>-1.1162746067905001</v>
      </c>
      <c r="AH4724">
        <v>10.4269302181375</v>
      </c>
      <c r="AI4724">
        <v>95.902206809210099</v>
      </c>
      <c r="AJ4724">
        <v>105.06217608663501</v>
      </c>
      <c r="AK4724">
        <v>10.855444841044701</v>
      </c>
      <c r="AL4724">
        <v>83.221456710442098</v>
      </c>
      <c r="AM4724">
        <v>97.994916572541499</v>
      </c>
      <c r="AN4724">
        <v>0.99999996511750899</v>
      </c>
    </row>
    <row r="4725" spans="1:40" x14ac:dyDescent="0.25">
      <c r="A4725" t="str">
        <f>"20190312164405464"</f>
        <v>20190312164405464</v>
      </c>
      <c r="B4725" t="str">
        <f>"1552380245460232"</f>
        <v>1552380245460232</v>
      </c>
      <c r="C4725" t="s">
        <v>40</v>
      </c>
      <c r="D4725">
        <v>4.9891949999999996</v>
      </c>
      <c r="E4725">
        <v>0.47022330000000001</v>
      </c>
      <c r="F4725" t="s">
        <v>42</v>
      </c>
      <c r="G4725">
        <v>-271.94850000000002</v>
      </c>
      <c r="H4725" s="1">
        <v>-2.4990300000000001E-7</v>
      </c>
      <c r="I4725">
        <v>-61.551560000000002</v>
      </c>
      <c r="J4725">
        <v>-283.72640000000001</v>
      </c>
      <c r="K4725">
        <v>1.116258</v>
      </c>
      <c r="L4725">
        <v>-60.803530000000002</v>
      </c>
      <c r="M4725">
        <v>0.95568690000000001</v>
      </c>
      <c r="N4725">
        <v>0</v>
      </c>
      <c r="O4725">
        <v>-0.29411199999999998</v>
      </c>
      <c r="P4725">
        <v>0.98117089999999996</v>
      </c>
      <c r="Q4725">
        <v>0.107125</v>
      </c>
      <c r="R4725">
        <v>-0.1607111</v>
      </c>
      <c r="S4725">
        <v>3.0571290000000002</v>
      </c>
      <c r="T4725">
        <v>-0.28643359999999901</v>
      </c>
      <c r="U4725">
        <v>-0.20166020000000001</v>
      </c>
      <c r="V4725">
        <v>-0.13680490000000001</v>
      </c>
      <c r="W4725">
        <v>0.1175306</v>
      </c>
      <c r="X4725">
        <v>0.98360099999999995</v>
      </c>
      <c r="Y4725">
        <v>-0.2283502</v>
      </c>
      <c r="Z4725">
        <v>3.7754030000000001E-2</v>
      </c>
      <c r="AA4725">
        <v>0.97284669999999895</v>
      </c>
      <c r="AB4725">
        <v>27</v>
      </c>
      <c r="AC4725">
        <v>11.777899999999899</v>
      </c>
      <c r="AD4725">
        <v>-1.116258249903</v>
      </c>
      <c r="AE4725">
        <v>-0.74802999999999198</v>
      </c>
      <c r="AF4725">
        <v>-2.72498153757387</v>
      </c>
      <c r="AG4725">
        <v>-1.116258249903</v>
      </c>
      <c r="AH4725">
        <v>11.375145525920299</v>
      </c>
      <c r="AI4725">
        <v>95.451300964781893</v>
      </c>
      <c r="AJ4725">
        <v>103.47166358019101</v>
      </c>
      <c r="AK4725">
        <v>11.7501273438401</v>
      </c>
      <c r="AL4725">
        <v>83.250392013728899</v>
      </c>
      <c r="AM4725">
        <v>97.918229238931701</v>
      </c>
      <c r="AN4725">
        <v>0.99999997490068404</v>
      </c>
    </row>
    <row r="4726" spans="1:40" x14ac:dyDescent="0.25">
      <c r="A4726" t="str">
        <f>"20190312164405473"</f>
        <v>20190312164405473</v>
      </c>
      <c r="B4726" t="str">
        <f>"1552380245469993"</f>
        <v>1552380245469993</v>
      </c>
      <c r="C4726" t="s">
        <v>40</v>
      </c>
      <c r="D4726">
        <v>5.0127329999999999</v>
      </c>
      <c r="E4726">
        <v>0.47068739999999998</v>
      </c>
      <c r="F4726" t="s">
        <v>42</v>
      </c>
      <c r="G4726">
        <v>-271.78699999999998</v>
      </c>
      <c r="H4726" s="1">
        <v>-1.847457E-7</v>
      </c>
      <c r="I4726">
        <v>-61.570239999999998</v>
      </c>
      <c r="J4726">
        <v>-283.6003</v>
      </c>
      <c r="K4726">
        <v>1.1162369999999999</v>
      </c>
      <c r="L4726">
        <v>-60.837800000000001</v>
      </c>
      <c r="M4726">
        <v>0.95690929999999996</v>
      </c>
      <c r="N4726">
        <v>0</v>
      </c>
      <c r="O4726">
        <v>-0.29011110000000001</v>
      </c>
      <c r="P4726">
        <v>0.98162280000000002</v>
      </c>
      <c r="Q4726">
        <v>0.10693610000000001</v>
      </c>
      <c r="R4726">
        <v>-0.15805559999999999</v>
      </c>
      <c r="S4726">
        <v>3.0566409999999999</v>
      </c>
      <c r="T4726">
        <v>-0.285775099999999</v>
      </c>
      <c r="U4726">
        <v>-0.19628909999999999</v>
      </c>
      <c r="V4726">
        <v>-0.1353461</v>
      </c>
      <c r="W4726">
        <v>0.1173564</v>
      </c>
      <c r="X4726">
        <v>0.98382360000000002</v>
      </c>
      <c r="Y4726">
        <v>-0.22600580000000001</v>
      </c>
      <c r="Z4726">
        <v>3.720992E-2</v>
      </c>
      <c r="AA4726">
        <v>0.97341500000000003</v>
      </c>
      <c r="AB4726">
        <v>27</v>
      </c>
      <c r="AC4726">
        <v>11.8132999999999</v>
      </c>
      <c r="AD4726">
        <v>-1.1162371847457</v>
      </c>
      <c r="AE4726">
        <v>-0.73244000000000398</v>
      </c>
      <c r="AF4726">
        <v>-2.70247294555233</v>
      </c>
      <c r="AG4726">
        <v>-1.1162371847457</v>
      </c>
      <c r="AH4726">
        <v>11.416131145057699</v>
      </c>
      <c r="AI4726">
        <v>95.435191952205898</v>
      </c>
      <c r="AJ4726">
        <v>103.31812698763299</v>
      </c>
      <c r="AK4726">
        <v>11.7846253990192</v>
      </c>
      <c r="AL4726">
        <v>83.260442551780997</v>
      </c>
      <c r="AM4726">
        <v>97.833097768130102</v>
      </c>
      <c r="AN4726">
        <v>0.99999998366156495</v>
      </c>
    </row>
    <row r="4727" spans="1:40" x14ac:dyDescent="0.25">
      <c r="A4727" t="str">
        <f>"20190312164405487"</f>
        <v>20190312164405487</v>
      </c>
      <c r="B4727" t="str">
        <f>"1552380245479752"</f>
        <v>1552380245479752</v>
      </c>
      <c r="C4727" t="s">
        <v>40</v>
      </c>
      <c r="D4727">
        <v>4.9778719999999996</v>
      </c>
      <c r="E4727">
        <v>0.47092899999999999</v>
      </c>
      <c r="F4727" t="s">
        <v>42</v>
      </c>
      <c r="G4727">
        <v>-271.7953</v>
      </c>
      <c r="H4727" s="1">
        <v>-1.8986729999999999E-7</v>
      </c>
      <c r="I4727">
        <v>-61.577219999999997</v>
      </c>
      <c r="J4727">
        <v>-283.45479999999998</v>
      </c>
      <c r="K4727">
        <v>1.1162129999999999</v>
      </c>
      <c r="L4727">
        <v>-60.876800000000003</v>
      </c>
      <c r="M4727">
        <v>0.95829350000000002</v>
      </c>
      <c r="N4727">
        <v>0</v>
      </c>
      <c r="O4727">
        <v>-0.28550639999999999</v>
      </c>
      <c r="P4727">
        <v>0.98219310000000004</v>
      </c>
      <c r="Q4727">
        <v>0.106728</v>
      </c>
      <c r="R4727">
        <v>-0.15461510000000001</v>
      </c>
      <c r="S4727">
        <v>3.0568240000000002</v>
      </c>
      <c r="T4727">
        <v>-0.28904259999999998</v>
      </c>
      <c r="U4727">
        <v>-0.19146730000000001</v>
      </c>
      <c r="V4727">
        <v>-0.13405710000000001</v>
      </c>
      <c r="W4727">
        <v>0.1171599</v>
      </c>
      <c r="X4727">
        <v>0.98402350000000005</v>
      </c>
      <c r="Y4727">
        <v>-0.22283800000000001</v>
      </c>
      <c r="Z4727">
        <v>3.706777E-2</v>
      </c>
      <c r="AA4727">
        <v>0.97415050000000003</v>
      </c>
      <c r="AB4727">
        <v>27</v>
      </c>
      <c r="AC4727">
        <v>11.6594999999999</v>
      </c>
      <c r="AD4727">
        <v>-1.1162131898673</v>
      </c>
      <c r="AE4727">
        <v>-0.70041999999999405</v>
      </c>
      <c r="AF4727">
        <v>-2.6338139121016</v>
      </c>
      <c r="AG4727">
        <v>-1.1162131898673</v>
      </c>
      <c r="AH4727">
        <v>11.2711761533436</v>
      </c>
      <c r="AI4727">
        <v>95.508264478394295</v>
      </c>
      <c r="AJ4727">
        <v>103.152691381766</v>
      </c>
      <c r="AK4727">
        <v>11.6285132105749</v>
      </c>
      <c r="AL4727">
        <v>83.271779479687595</v>
      </c>
      <c r="AM4727">
        <v>97.7578534343819</v>
      </c>
      <c r="AN4727">
        <v>0.99999999839033504</v>
      </c>
    </row>
    <row r="4728" spans="1:40" x14ac:dyDescent="0.25">
      <c r="A4728" t="str">
        <f>"20190312164405509"</f>
        <v>20190312164405509</v>
      </c>
      <c r="B4728" t="str">
        <f>"1552380245500248"</f>
        <v>1552380245500248</v>
      </c>
      <c r="C4728" t="s">
        <v>40</v>
      </c>
      <c r="D4728">
        <v>5.1670939999999996</v>
      </c>
      <c r="E4728">
        <v>0.47175149999999999</v>
      </c>
      <c r="F4728" t="s">
        <v>42</v>
      </c>
      <c r="G4728">
        <v>-271.63139999999999</v>
      </c>
      <c r="H4728" s="1">
        <v>-1.2127460000000001E-7</v>
      </c>
      <c r="I4728">
        <v>-61.584890000000001</v>
      </c>
      <c r="J4728">
        <v>-283.2029</v>
      </c>
      <c r="K4728">
        <v>1.1161779999999999</v>
      </c>
      <c r="L4728">
        <v>-60.942469999999901</v>
      </c>
      <c r="M4728">
        <v>0.96062110000000001</v>
      </c>
      <c r="N4728">
        <v>0</v>
      </c>
      <c r="O4728">
        <v>-0.27757559999999998</v>
      </c>
      <c r="P4728">
        <v>0.98302880000000004</v>
      </c>
      <c r="Q4728">
        <v>0.1063897</v>
      </c>
      <c r="R4728">
        <v>-0.14945129999999901</v>
      </c>
      <c r="S4728">
        <v>3.056915</v>
      </c>
      <c r="T4728">
        <v>-0.28859620000000002</v>
      </c>
      <c r="U4728">
        <v>-0.18307499999999999</v>
      </c>
      <c r="V4728">
        <v>-0.13108220000000001</v>
      </c>
      <c r="W4728">
        <v>0.116853</v>
      </c>
      <c r="X4728">
        <v>0.98446069999999997</v>
      </c>
      <c r="Y4728">
        <v>-0.21750920000000001</v>
      </c>
      <c r="Z4728">
        <v>3.604504E-2</v>
      </c>
      <c r="AA4728">
        <v>0.9753925</v>
      </c>
      <c r="AB4728">
        <v>27</v>
      </c>
      <c r="AC4728">
        <v>11.5715</v>
      </c>
      <c r="AD4728">
        <v>-1.1161781212746</v>
      </c>
      <c r="AE4728">
        <v>-0.64242000000000798</v>
      </c>
      <c r="AF4728">
        <v>-2.5712000916412898</v>
      </c>
      <c r="AG4728">
        <v>-1.1161781212746</v>
      </c>
      <c r="AH4728">
        <v>11.1912369106595</v>
      </c>
      <c r="AI4728">
        <v>95.551953373075307</v>
      </c>
      <c r="AJ4728">
        <v>102.939224711892</v>
      </c>
      <c r="AK4728">
        <v>11.536927974993</v>
      </c>
      <c r="AL4728">
        <v>83.289485306435594</v>
      </c>
      <c r="AM4728">
        <v>97.584394303161602</v>
      </c>
      <c r="AN4728">
        <v>1.0000000183051601</v>
      </c>
    </row>
    <row r="4729" spans="1:40" x14ac:dyDescent="0.25">
      <c r="A4729" t="str">
        <f>"20190312164405523"</f>
        <v>20190312164405523</v>
      </c>
      <c r="B4729" t="str">
        <f>"1552380245519769"</f>
        <v>1552380245519769</v>
      </c>
      <c r="C4729" t="s">
        <v>40</v>
      </c>
      <c r="D4729">
        <v>5.0115080000000001</v>
      </c>
      <c r="E4729">
        <v>0.472298</v>
      </c>
      <c r="F4729" t="s">
        <v>42</v>
      </c>
      <c r="G4729">
        <v>-271.6037</v>
      </c>
      <c r="H4729" s="1">
        <v>-1.133455E-7</v>
      </c>
      <c r="I4729">
        <v>-61.602679999999999</v>
      </c>
      <c r="J4729">
        <v>-283.04169999999999</v>
      </c>
      <c r="K4729">
        <v>1.116147</v>
      </c>
      <c r="L4729">
        <v>-60.983580000000003</v>
      </c>
      <c r="M4729">
        <v>0.96206809999999998</v>
      </c>
      <c r="N4729">
        <v>0</v>
      </c>
      <c r="O4729">
        <v>-0.27251890000000001</v>
      </c>
      <c r="P4729">
        <v>0.98354620000000004</v>
      </c>
      <c r="Q4729">
        <v>0.1064788</v>
      </c>
      <c r="R4729">
        <v>-0.1459434</v>
      </c>
      <c r="S4729">
        <v>3.0571899999999999</v>
      </c>
      <c r="T4729">
        <v>-0.29419109999999998</v>
      </c>
      <c r="U4729">
        <v>-0.1740112</v>
      </c>
      <c r="V4729">
        <v>-0.1294032</v>
      </c>
      <c r="W4729">
        <v>0.1169562</v>
      </c>
      <c r="X4729">
        <v>0.9846705</v>
      </c>
      <c r="Y4729">
        <v>-0.21521170000000001</v>
      </c>
      <c r="Z4729">
        <v>3.6164500000000002E-2</v>
      </c>
      <c r="AA4729">
        <v>0.97589760000000003</v>
      </c>
      <c r="AB4729">
        <v>27</v>
      </c>
      <c r="AC4729">
        <v>11.437999999999899</v>
      </c>
      <c r="AD4729">
        <v>-1.1161471133454901</v>
      </c>
      <c r="AE4729">
        <v>-0.61910000000000298</v>
      </c>
      <c r="AF4729">
        <v>-2.49793788849124</v>
      </c>
      <c r="AG4729">
        <v>-1.1161471133454901</v>
      </c>
      <c r="AH4729">
        <v>11.068645207509</v>
      </c>
      <c r="AI4729">
        <v>95.617820254614898</v>
      </c>
      <c r="AJ4729">
        <v>102.717294570531</v>
      </c>
      <c r="AK4729">
        <v>11.4017711257112</v>
      </c>
      <c r="AL4729">
        <v>83.283531213503807</v>
      </c>
      <c r="AM4729">
        <v>97.486779754583196</v>
      </c>
      <c r="AN4729">
        <v>0.99999996722946405</v>
      </c>
    </row>
    <row r="4730" spans="1:40" x14ac:dyDescent="0.25">
      <c r="A4730" t="str">
        <f>"20190312164405537"</f>
        <v>20190312164405537</v>
      </c>
      <c r="B4730" t="str">
        <f>"1552380245529529"</f>
        <v>1552380245529529</v>
      </c>
      <c r="C4730" t="s">
        <v>40</v>
      </c>
      <c r="D4730">
        <v>4.9804389999999996</v>
      </c>
      <c r="E4730">
        <v>0.4726899</v>
      </c>
      <c r="F4730" t="s">
        <v>42</v>
      </c>
      <c r="G4730">
        <v>-271.45760000000001</v>
      </c>
      <c r="H4730" s="1">
        <v>-5.4723960000000001E-8</v>
      </c>
      <c r="I4730">
        <v>-61.6209699999999</v>
      </c>
      <c r="J4730">
        <v>-282.87650000000002</v>
      </c>
      <c r="K4730">
        <v>1.11612</v>
      </c>
      <c r="L4730">
        <v>-61.024569999999997</v>
      </c>
      <c r="M4730">
        <v>0.96351249999999999</v>
      </c>
      <c r="N4730">
        <v>0</v>
      </c>
      <c r="O4730">
        <v>-0.26736910000000003</v>
      </c>
      <c r="P4730">
        <v>0.98411470000000001</v>
      </c>
      <c r="Q4730">
        <v>0.1065971</v>
      </c>
      <c r="R4730">
        <v>-0.1419716</v>
      </c>
      <c r="S4730">
        <v>3.0571290000000002</v>
      </c>
      <c r="T4730">
        <v>-0.2945603</v>
      </c>
      <c r="U4730">
        <v>-0.1682129</v>
      </c>
      <c r="V4730">
        <v>-0.12809970000000001</v>
      </c>
      <c r="W4730">
        <v>0.1170817</v>
      </c>
      <c r="X4730">
        <v>0.98482599999999998</v>
      </c>
      <c r="Y4730">
        <v>-0.21186489999999999</v>
      </c>
      <c r="Z4730">
        <v>3.5574750000000002E-2</v>
      </c>
      <c r="AA4730">
        <v>0.9766513</v>
      </c>
      <c r="AB4730">
        <v>27</v>
      </c>
      <c r="AC4730">
        <v>11.418900000000001</v>
      </c>
      <c r="AD4730">
        <v>-1.11612005472396</v>
      </c>
      <c r="AE4730">
        <v>-0.59639999999999505</v>
      </c>
      <c r="AF4730">
        <v>-2.4552245123981198</v>
      </c>
      <c r="AG4730">
        <v>-1.11612005472396</v>
      </c>
      <c r="AH4730">
        <v>11.057239918996901</v>
      </c>
      <c r="AI4730">
        <v>95.627767877679602</v>
      </c>
      <c r="AJ4730">
        <v>102.519228258345</v>
      </c>
      <c r="AK4730">
        <v>11.381406152540899</v>
      </c>
      <c r="AL4730">
        <v>83.276290759597003</v>
      </c>
      <c r="AM4730">
        <v>97.411049640044197</v>
      </c>
      <c r="AN4730">
        <v>0.99999995394548802</v>
      </c>
    </row>
    <row r="4731" spans="1:40" x14ac:dyDescent="0.25">
      <c r="A4731" t="str">
        <f>"20190312164405548"</f>
        <v>20190312164405548</v>
      </c>
      <c r="B4731" t="str">
        <f>"1552380245540264"</f>
        <v>1552380245540264</v>
      </c>
      <c r="C4731" t="s">
        <v>40</v>
      </c>
      <c r="D4731">
        <v>5.0134410000000003</v>
      </c>
      <c r="E4731">
        <v>0.4725704</v>
      </c>
      <c r="F4731" t="s">
        <v>42</v>
      </c>
      <c r="G4731">
        <v>-271.30099999999999</v>
      </c>
      <c r="H4731" s="1">
        <v>1.070219E-8</v>
      </c>
      <c r="I4731">
        <v>-61.628860000000003</v>
      </c>
      <c r="J4731">
        <v>-282.74669999999998</v>
      </c>
      <c r="K4731">
        <v>1.116104</v>
      </c>
      <c r="L4731">
        <v>-61.056060000000002</v>
      </c>
      <c r="M4731">
        <v>0.96462199999999998</v>
      </c>
      <c r="N4731">
        <v>0</v>
      </c>
      <c r="O4731">
        <v>-0.26333810000000002</v>
      </c>
      <c r="P4731">
        <v>0.9844792</v>
      </c>
      <c r="Q4731">
        <v>0.106854</v>
      </c>
      <c r="R4731">
        <v>-0.1392226</v>
      </c>
      <c r="S4731">
        <v>3.057312</v>
      </c>
      <c r="T4731">
        <v>-0.29478959999999998</v>
      </c>
      <c r="U4731">
        <v>-0.1596069</v>
      </c>
      <c r="V4731">
        <v>-0.12672050000000001</v>
      </c>
      <c r="W4731">
        <v>0.1173502</v>
      </c>
      <c r="X4731">
        <v>0.98497250000000003</v>
      </c>
      <c r="Y4731">
        <v>-0.2105447</v>
      </c>
      <c r="Z4731">
        <v>3.5166469999999998E-2</v>
      </c>
      <c r="AA4731">
        <v>0.97695149999999997</v>
      </c>
      <c r="AB4731">
        <v>27</v>
      </c>
      <c r="AC4731">
        <v>11.445699999999899</v>
      </c>
      <c r="AD4731">
        <v>-1.11610398929781</v>
      </c>
      <c r="AE4731">
        <v>-0.57279999999999998</v>
      </c>
      <c r="AF4731">
        <v>-2.43861687765542</v>
      </c>
      <c r="AG4731">
        <v>-1.11610398929781</v>
      </c>
      <c r="AH4731">
        <v>11.087331641771801</v>
      </c>
      <c r="AI4731">
        <v>95.614979891511396</v>
      </c>
      <c r="AJ4731">
        <v>102.404480332459</v>
      </c>
      <c r="AK4731">
        <v>11.4070795265723</v>
      </c>
      <c r="AL4731">
        <v>83.260800301268603</v>
      </c>
      <c r="AM4731">
        <v>97.331051972738294</v>
      </c>
      <c r="AN4731">
        <v>0.99999999015826901</v>
      </c>
    </row>
    <row r="4732" spans="1:40" x14ac:dyDescent="0.25">
      <c r="A4732" t="str">
        <f>"20190312164405558"</f>
        <v>20190312164405558</v>
      </c>
      <c r="B4732" t="str">
        <f>"1552380245550025"</f>
        <v>1552380245550025</v>
      </c>
      <c r="C4732" t="s">
        <v>40</v>
      </c>
      <c r="D4732">
        <v>4.9862539999999997</v>
      </c>
      <c r="E4732">
        <v>0.4725704</v>
      </c>
      <c r="F4732" t="s">
        <v>42</v>
      </c>
      <c r="G4732">
        <v>-271.09980000000002</v>
      </c>
      <c r="H4732" s="1">
        <v>9.6598460000000004E-8</v>
      </c>
      <c r="I4732">
        <v>-61.630749999999999</v>
      </c>
      <c r="J4732">
        <v>-282.61270000000002</v>
      </c>
      <c r="K4732">
        <v>1.1160829999999999</v>
      </c>
      <c r="L4732">
        <v>-61.088290000000001</v>
      </c>
      <c r="M4732">
        <v>0.96574709999999997</v>
      </c>
      <c r="N4732">
        <v>0</v>
      </c>
      <c r="O4732">
        <v>-0.259183</v>
      </c>
      <c r="P4732">
        <v>0.984792</v>
      </c>
      <c r="Q4732">
        <v>0.1075598</v>
      </c>
      <c r="R4732">
        <v>-0.13643829999999901</v>
      </c>
      <c r="S4732">
        <v>3.0577700000000001</v>
      </c>
      <c r="T4732">
        <v>-0.29302109999999998</v>
      </c>
      <c r="U4732">
        <v>-0.15087890000000001</v>
      </c>
      <c r="V4732">
        <v>-0.1252471</v>
      </c>
      <c r="W4732">
        <v>0.1180686</v>
      </c>
      <c r="X4732">
        <v>0.98507509999999998</v>
      </c>
      <c r="Y4732">
        <v>-0.2091768</v>
      </c>
      <c r="Z4732">
        <v>3.4505769999999998E-2</v>
      </c>
      <c r="AA4732">
        <v>0.9772689</v>
      </c>
      <c r="AB4732">
        <v>27</v>
      </c>
      <c r="AC4732">
        <v>11.5129</v>
      </c>
      <c r="AD4732">
        <v>-1.11608290340154</v>
      </c>
      <c r="AE4732">
        <v>-0.54245999999999805</v>
      </c>
      <c r="AF4732">
        <v>-2.4374062014482898</v>
      </c>
      <c r="AG4732">
        <v>-1.11608290340154</v>
      </c>
      <c r="AH4732">
        <v>11.155424958041401</v>
      </c>
      <c r="AI4732">
        <v>95.582501479070501</v>
      </c>
      <c r="AJ4732">
        <v>102.325151284455</v>
      </c>
      <c r="AK4732">
        <v>11.4730159954833</v>
      </c>
      <c r="AL4732">
        <v>83.219350868034198</v>
      </c>
      <c r="AM4732">
        <v>97.245977257723794</v>
      </c>
      <c r="AN4732">
        <v>0.99999999150218999</v>
      </c>
    </row>
    <row r="4733" spans="1:40" x14ac:dyDescent="0.25">
      <c r="A4733" t="str">
        <f>"20190312164405575"</f>
        <v>20190312164405575</v>
      </c>
      <c r="B4733" t="str">
        <f>"1552380245569547"</f>
        <v>1552380245569547</v>
      </c>
      <c r="C4733" t="s">
        <v>40</v>
      </c>
      <c r="D4733">
        <v>5.0380719999999997</v>
      </c>
      <c r="E4733">
        <v>0.45265290000000002</v>
      </c>
      <c r="F4733" t="s">
        <v>42</v>
      </c>
      <c r="G4733">
        <v>-270.8784</v>
      </c>
      <c r="H4733" s="1">
        <v>1.9072829999999999E-7</v>
      </c>
      <c r="I4733">
        <v>-61.634619999999998</v>
      </c>
      <c r="J4733">
        <v>-282.43430000000001</v>
      </c>
      <c r="K4733">
        <v>1.1160600000000001</v>
      </c>
      <c r="L4733">
        <v>-61.129939999999998</v>
      </c>
      <c r="M4733">
        <v>0.96720709999999999</v>
      </c>
      <c r="N4733">
        <v>0</v>
      </c>
      <c r="O4733">
        <v>-0.25368109999999999</v>
      </c>
      <c r="P4733">
        <v>0.9851702</v>
      </c>
      <c r="Q4733">
        <v>0.10780289999999999</v>
      </c>
      <c r="R4733">
        <v>-0.13348640000000001</v>
      </c>
      <c r="S4733">
        <v>3.0583800000000001</v>
      </c>
      <c r="T4733">
        <v>-0.29089110000000001</v>
      </c>
      <c r="U4733">
        <v>-0.14239499999999999</v>
      </c>
      <c r="V4733">
        <v>-0.1225774</v>
      </c>
      <c r="W4733">
        <v>0.1183418</v>
      </c>
      <c r="X4733">
        <v>0.98537810000000003</v>
      </c>
      <c r="Y4733">
        <v>-0.20639260000000001</v>
      </c>
      <c r="Z4733">
        <v>3.3615010000000001E-2</v>
      </c>
      <c r="AA4733">
        <v>0.97789170000000003</v>
      </c>
      <c r="AB4733">
        <v>27</v>
      </c>
      <c r="AC4733">
        <v>11.555899999999999</v>
      </c>
      <c r="AD4733">
        <v>-1.1160598092717</v>
      </c>
      <c r="AE4733">
        <v>-0.50467999999999302</v>
      </c>
      <c r="AF4733">
        <v>-2.4210350227405599</v>
      </c>
      <c r="AG4733">
        <v>-1.1160598092717</v>
      </c>
      <c r="AH4733">
        <v>11.201575728414101</v>
      </c>
      <c r="AI4733">
        <v>95.562239754171202</v>
      </c>
      <c r="AJ4733">
        <v>102.195937383602</v>
      </c>
      <c r="AK4733">
        <v>11.5144387131377</v>
      </c>
      <c r="AL4733">
        <v>83.203587204406702</v>
      </c>
      <c r="AM4733">
        <v>97.090957093121105</v>
      </c>
      <c r="AN4733">
        <v>1.0000000002888001</v>
      </c>
    </row>
    <row r="4734" spans="1:40" x14ac:dyDescent="0.25">
      <c r="A4734" t="str">
        <f>"20190312164405587"</f>
        <v>20190312164405587</v>
      </c>
      <c r="B4734" t="str">
        <f>"1552380245580280"</f>
        <v>1552380245580280</v>
      </c>
      <c r="C4734" t="s">
        <v>40</v>
      </c>
      <c r="D4734">
        <v>4.9931710000000002</v>
      </c>
      <c r="E4734">
        <v>0.45089829999999997</v>
      </c>
      <c r="F4734" t="s">
        <v>42</v>
      </c>
      <c r="G4734">
        <v>-262.71960000000001</v>
      </c>
      <c r="H4734" s="1">
        <v>-3.4493600000000001E-7</v>
      </c>
      <c r="I4734">
        <v>-61.033729999999998</v>
      </c>
      <c r="J4734">
        <v>-282.29500000000002</v>
      </c>
      <c r="K4734">
        <v>1.1160429999999999</v>
      </c>
      <c r="L4734">
        <v>-61.161799999999999</v>
      </c>
      <c r="M4734">
        <v>0.96832099999999999</v>
      </c>
      <c r="N4734">
        <v>0</v>
      </c>
      <c r="O4734">
        <v>-0.24939600000000001</v>
      </c>
      <c r="P4734">
        <v>0.98559180000000002</v>
      </c>
      <c r="Q4734">
        <v>0.1080455</v>
      </c>
      <c r="R4734">
        <v>-0.13013549999999999</v>
      </c>
      <c r="S4734">
        <v>3.0662229999999999</v>
      </c>
      <c r="T4734">
        <v>-0.17358090000000001</v>
      </c>
      <c r="U4734">
        <v>1.4953610000000001E-2</v>
      </c>
      <c r="V4734">
        <v>-0.1215555</v>
      </c>
      <c r="W4734">
        <v>0.118589899999999</v>
      </c>
      <c r="X4734">
        <v>0.98547490000000004</v>
      </c>
      <c r="Y4734">
        <v>-0.25333640000000002</v>
      </c>
      <c r="Z4734">
        <v>2.116198E-2</v>
      </c>
      <c r="AA4734">
        <v>0.96714679999999997</v>
      </c>
      <c r="AB4734">
        <v>27</v>
      </c>
      <c r="AC4734">
        <v>19.575399999999998</v>
      </c>
      <c r="AD4734">
        <v>-1.1160433449359899</v>
      </c>
      <c r="AE4734">
        <v>0.12806999999999299</v>
      </c>
      <c r="AF4734">
        <v>-4.9902104003103496</v>
      </c>
      <c r="AG4734">
        <v>-1.1160433449359899</v>
      </c>
      <c r="AH4734">
        <v>18.863495820118398</v>
      </c>
      <c r="AI4734">
        <v>93.273558662684906</v>
      </c>
      <c r="AJ4734">
        <v>104.81777137792599</v>
      </c>
      <c r="AK4734">
        <v>19.544288862549202</v>
      </c>
      <c r="AL4734">
        <v>83.189271591043706</v>
      </c>
      <c r="AM4734">
        <v>97.031751910058603</v>
      </c>
      <c r="AN4734">
        <v>1.0000000412461301</v>
      </c>
    </row>
    <row r="4735" spans="1:40" x14ac:dyDescent="0.25">
      <c r="A4735" t="str">
        <f>"20190312164405597"</f>
        <v>20190312164405597</v>
      </c>
      <c r="B4735" t="str">
        <f>"1552380245590040"</f>
        <v>1552380245590040</v>
      </c>
      <c r="C4735" t="s">
        <v>40</v>
      </c>
      <c r="D4735">
        <v>5.0596860000000001</v>
      </c>
      <c r="E4735">
        <v>0.44985819999999999</v>
      </c>
      <c r="F4735" t="s">
        <v>42</v>
      </c>
      <c r="G4735">
        <v>-262.9076</v>
      </c>
      <c r="H4735" s="1">
        <v>-3.9376850000000002E-7</v>
      </c>
      <c r="I4735">
        <v>-60.914149999999999</v>
      </c>
      <c r="J4735">
        <v>-282.16129999999998</v>
      </c>
      <c r="K4735">
        <v>1.1160239999999999</v>
      </c>
      <c r="L4735">
        <v>-61.191890000000001</v>
      </c>
      <c r="M4735">
        <v>0.96936889999999998</v>
      </c>
      <c r="N4735">
        <v>0</v>
      </c>
      <c r="O4735">
        <v>-0.24529219999999999</v>
      </c>
      <c r="P4735">
        <v>0.98600779999999999</v>
      </c>
      <c r="Q4735">
        <v>0.108028</v>
      </c>
      <c r="R4735">
        <v>-0.12695970000000001</v>
      </c>
      <c r="S4735">
        <v>3.06839</v>
      </c>
      <c r="T4735">
        <v>-0.1766334</v>
      </c>
      <c r="U4735">
        <v>3.9184570000000002E-2</v>
      </c>
      <c r="V4735">
        <v>-0.1205505</v>
      </c>
      <c r="W4735">
        <v>0.118579</v>
      </c>
      <c r="X4735">
        <v>0.98559960000000002</v>
      </c>
      <c r="Y4735">
        <v>-0.25684489999999999</v>
      </c>
      <c r="Z4735">
        <v>2.1391480000000001E-2</v>
      </c>
      <c r="AA4735">
        <v>0.96621579999999996</v>
      </c>
      <c r="AB4735">
        <v>27</v>
      </c>
      <c r="AC4735">
        <v>19.253699999999899</v>
      </c>
      <c r="AD4735">
        <v>-1.1160243937684999</v>
      </c>
      <c r="AE4735">
        <v>0.27774000000000099</v>
      </c>
      <c r="AF4735">
        <v>-4.9756894969819196</v>
      </c>
      <c r="AG4735">
        <v>-1.1160243937684999</v>
      </c>
      <c r="AH4735">
        <v>18.534996409422099</v>
      </c>
      <c r="AI4735">
        <v>93.3281623893496</v>
      </c>
      <c r="AJ4735">
        <v>105.026681325856</v>
      </c>
      <c r="AK4735">
        <v>19.2236595973595</v>
      </c>
      <c r="AL4735">
        <v>83.189900181172106</v>
      </c>
      <c r="AM4735">
        <v>96.973315799135094</v>
      </c>
      <c r="AN4735">
        <v>0.99999998690570502</v>
      </c>
    </row>
    <row r="4736" spans="1:40" x14ac:dyDescent="0.25">
      <c r="A4736" t="str">
        <f>"20190312164405609"</f>
        <v>20190312164405609</v>
      </c>
      <c r="B4736" t="str">
        <f>"1552380245599800"</f>
        <v>1552380245599800</v>
      </c>
      <c r="C4736" t="s">
        <v>40</v>
      </c>
      <c r="D4736">
        <v>5.0399960000000004</v>
      </c>
      <c r="E4736">
        <v>0.44955309999999998</v>
      </c>
      <c r="F4736" t="s">
        <v>42</v>
      </c>
      <c r="G4736">
        <v>-263.61239999999998</v>
      </c>
      <c r="H4736" s="1">
        <v>-6.7730409999999895E-7</v>
      </c>
      <c r="I4736">
        <v>-60.843359999999997</v>
      </c>
      <c r="J4736">
        <v>-282.03899999999999</v>
      </c>
      <c r="K4736">
        <v>1.116012</v>
      </c>
      <c r="L4736">
        <v>-61.218690000000002</v>
      </c>
      <c r="M4736">
        <v>0.97030830000000001</v>
      </c>
      <c r="N4736">
        <v>0</v>
      </c>
      <c r="O4736">
        <v>-0.24154990000000001</v>
      </c>
      <c r="P4736">
        <v>0.98632569999999997</v>
      </c>
      <c r="Q4736">
        <v>0.1084085</v>
      </c>
      <c r="R4736">
        <v>-0.12413449999999999</v>
      </c>
      <c r="S4736">
        <v>3.0702509999999998</v>
      </c>
      <c r="T4736">
        <v>-0.18472730000000001</v>
      </c>
      <c r="U4736">
        <v>5.7678220000000002E-2</v>
      </c>
      <c r="V4736">
        <v>-0.11956120000000001</v>
      </c>
      <c r="W4736">
        <v>0.1189658</v>
      </c>
      <c r="X4736">
        <v>0.98567349999999998</v>
      </c>
      <c r="Y4736">
        <v>-0.25885360000000002</v>
      </c>
      <c r="Z4736">
        <v>2.2198510000000001E-2</v>
      </c>
      <c r="AA4736">
        <v>0.96566149999999995</v>
      </c>
      <c r="AB4736">
        <v>27</v>
      </c>
      <c r="AC4736">
        <v>18.426600000000001</v>
      </c>
      <c r="AD4736">
        <v>-1.1160126773040999</v>
      </c>
      <c r="AE4736">
        <v>0.37533000000000499</v>
      </c>
      <c r="AF4736">
        <v>-4.7979113081729201</v>
      </c>
      <c r="AG4736">
        <v>-1.1160126773040999</v>
      </c>
      <c r="AH4736">
        <v>17.725212895553401</v>
      </c>
      <c r="AI4736">
        <v>93.477860190089203</v>
      </c>
      <c r="AJ4736">
        <v>105.146035396404</v>
      </c>
      <c r="AK4736">
        <v>18.396972832770398</v>
      </c>
      <c r="AL4736">
        <v>83.167580239258896</v>
      </c>
      <c r="AM4736">
        <v>96.916132213626398</v>
      </c>
      <c r="AN4736">
        <v>0.99999999535866502</v>
      </c>
    </row>
    <row r="4737" spans="1:40" x14ac:dyDescent="0.25">
      <c r="A4737" t="str">
        <f>"20190312164405619"</f>
        <v>20190312164405619</v>
      </c>
      <c r="B4737" t="str">
        <f>"1552380245609562"</f>
        <v>1552380245609562</v>
      </c>
      <c r="C4737" t="s">
        <v>40</v>
      </c>
      <c r="D4737">
        <v>5.0166469999999999</v>
      </c>
      <c r="E4737">
        <v>0.44920680000000002</v>
      </c>
      <c r="F4737" t="s">
        <v>42</v>
      </c>
      <c r="G4737">
        <v>-263.74590000000001</v>
      </c>
      <c r="H4737" s="1">
        <v>-7.2505869999999995E-7</v>
      </c>
      <c r="I4737">
        <v>-60.807589999999998</v>
      </c>
      <c r="J4737">
        <v>-281.91149999999999</v>
      </c>
      <c r="K4737">
        <v>1.115999</v>
      </c>
      <c r="L4737">
        <v>-61.246400000000001</v>
      </c>
      <c r="M4737">
        <v>0.97127110000000005</v>
      </c>
      <c r="N4737">
        <v>0</v>
      </c>
      <c r="O4737">
        <v>-0.2376501</v>
      </c>
      <c r="P4737">
        <v>0.98670199999999997</v>
      </c>
      <c r="Q4737">
        <v>0.10835259999999999</v>
      </c>
      <c r="R4737">
        <v>-0.12115720000000001</v>
      </c>
      <c r="S4737">
        <v>3.070862</v>
      </c>
      <c r="T4737">
        <v>-0.18734509999999999</v>
      </c>
      <c r="U4737">
        <v>6.9000240000000004E-2</v>
      </c>
      <c r="V4737">
        <v>-0.11857289999999999</v>
      </c>
      <c r="W4737">
        <v>0.1189161</v>
      </c>
      <c r="X4737">
        <v>0.98579890000000003</v>
      </c>
      <c r="Y4737">
        <v>-0.25851170000000001</v>
      </c>
      <c r="Z4737">
        <v>2.2265790000000001E-2</v>
      </c>
      <c r="AA4737">
        <v>0.96575149999999998</v>
      </c>
      <c r="AB4737">
        <v>27</v>
      </c>
      <c r="AC4737">
        <v>18.165599999999898</v>
      </c>
      <c r="AD4737">
        <v>-1.1159997250586999</v>
      </c>
      <c r="AE4737">
        <v>0.43880999999999598</v>
      </c>
      <c r="AF4737">
        <v>-4.7258016157097202</v>
      </c>
      <c r="AG4737">
        <v>-1.1159997250586999</v>
      </c>
      <c r="AH4737">
        <v>17.474881660095001</v>
      </c>
      <c r="AI4737">
        <v>93.527736274511796</v>
      </c>
      <c r="AJ4737">
        <v>105.132747748163</v>
      </c>
      <c r="AK4737">
        <v>18.136982806732199</v>
      </c>
      <c r="AL4737">
        <v>83.170448376546503</v>
      </c>
      <c r="AM4737">
        <v>96.858645737776897</v>
      </c>
      <c r="AN4737">
        <v>1.0000000213474101</v>
      </c>
    </row>
    <row r="4738" spans="1:40" x14ac:dyDescent="0.25">
      <c r="A4738" t="str">
        <f>"20190312164405630"</f>
        <v>20190312164405630</v>
      </c>
      <c r="B4738" t="str">
        <f>"1552380245620297"</f>
        <v>1552380245620297</v>
      </c>
      <c r="C4738" t="s">
        <v>40</v>
      </c>
      <c r="D4738">
        <v>5.0222600000000002</v>
      </c>
      <c r="E4738">
        <v>0.44955479999999998</v>
      </c>
      <c r="F4738" t="s">
        <v>54</v>
      </c>
      <c r="G4738">
        <v>-263.59230000000002</v>
      </c>
      <c r="H4738" s="1">
        <v>-6.4769730000000001E-7</v>
      </c>
      <c r="I4738">
        <v>-60.764629999999997</v>
      </c>
      <c r="J4738">
        <v>-281.78989999999999</v>
      </c>
      <c r="K4738">
        <v>1.115996</v>
      </c>
      <c r="L4738">
        <v>-61.272030000000001</v>
      </c>
      <c r="M4738">
        <v>0.97217160000000002</v>
      </c>
      <c r="N4738">
        <v>0</v>
      </c>
      <c r="O4738">
        <v>-0.23393990000000001</v>
      </c>
      <c r="P4738">
        <v>0.98708030000000002</v>
      </c>
      <c r="Q4738">
        <v>0.1081024</v>
      </c>
      <c r="R4738">
        <v>-0.1182656</v>
      </c>
      <c r="S4738">
        <v>3.0709230000000001</v>
      </c>
      <c r="T4738">
        <v>-0.187079</v>
      </c>
      <c r="U4738">
        <v>8.0749509999999997E-2</v>
      </c>
      <c r="V4738">
        <v>-0.11769640000000001</v>
      </c>
      <c r="W4738">
        <v>0.118669899999999</v>
      </c>
      <c r="X4738">
        <v>0.98593359999999997</v>
      </c>
      <c r="Y4738">
        <v>-0.25852579999999997</v>
      </c>
      <c r="Z4738">
        <v>2.2013609999999999E-2</v>
      </c>
      <c r="AA4738">
        <v>0.96575350000000004</v>
      </c>
      <c r="AB4738">
        <v>27</v>
      </c>
      <c r="AC4738">
        <v>18.197599999999898</v>
      </c>
      <c r="AD4738">
        <v>-1.1159966476973</v>
      </c>
      <c r="AE4738">
        <v>0.50740000000000396</v>
      </c>
      <c r="AF4738">
        <v>-4.7330048489512704</v>
      </c>
      <c r="AG4738">
        <v>-1.1159966476973</v>
      </c>
      <c r="AH4738">
        <v>17.508050715280302</v>
      </c>
      <c r="AI4738">
        <v>93.521149417077297</v>
      </c>
      <c r="AJ4738">
        <v>105.12735971103</v>
      </c>
      <c r="AK4738">
        <v>18.1708179030746</v>
      </c>
      <c r="AL4738">
        <v>83.184655224712898</v>
      </c>
      <c r="AM4738">
        <v>96.807502318131299</v>
      </c>
      <c r="AN4738">
        <v>1.0000000256739601</v>
      </c>
    </row>
    <row r="4739" spans="1:40" x14ac:dyDescent="0.25">
      <c r="A4739" t="str">
        <f>"20190312164405641"</f>
        <v>20190312164405641</v>
      </c>
      <c r="B4739" t="str">
        <f>"1552380245630057"</f>
        <v>1552380245630057</v>
      </c>
      <c r="C4739" t="s">
        <v>40</v>
      </c>
      <c r="D4739">
        <v>5.1176529999999998</v>
      </c>
      <c r="E4739">
        <v>0.4499648</v>
      </c>
      <c r="F4739" t="s">
        <v>42</v>
      </c>
      <c r="G4739">
        <v>-264.31540000000001</v>
      </c>
      <c r="H4739" s="1">
        <v>-9.6025110000000001E-7</v>
      </c>
      <c r="I4739">
        <v>-60.77328</v>
      </c>
      <c r="J4739">
        <v>-281.65780000000001</v>
      </c>
      <c r="K4739">
        <v>1.115988</v>
      </c>
      <c r="L4739">
        <v>-61.299680000000002</v>
      </c>
      <c r="M4739">
        <v>0.97313280000000002</v>
      </c>
      <c r="N4739">
        <v>0</v>
      </c>
      <c r="O4739">
        <v>-0.22990940000000001</v>
      </c>
      <c r="P4739">
        <v>0.9874927</v>
      </c>
      <c r="Q4739">
        <v>0.107915</v>
      </c>
      <c r="R4739">
        <v>-0.1149464</v>
      </c>
      <c r="S4739">
        <v>3.071259</v>
      </c>
      <c r="T4739">
        <v>-0.19614409999999999</v>
      </c>
      <c r="U4739">
        <v>8.7646479999999999E-2</v>
      </c>
      <c r="V4739">
        <v>-0.11692329999999999</v>
      </c>
      <c r="W4739">
        <v>0.1184833</v>
      </c>
      <c r="X4739">
        <v>0.98604800000000004</v>
      </c>
      <c r="Y4739">
        <v>-0.25660959999999999</v>
      </c>
      <c r="Z4739">
        <v>2.276272E-2</v>
      </c>
      <c r="AA4739">
        <v>0.96624699999999997</v>
      </c>
      <c r="AB4739">
        <v>27</v>
      </c>
      <c r="AC4739">
        <v>17.342399999999898</v>
      </c>
      <c r="AD4739">
        <v>-1.1159889602510999</v>
      </c>
      <c r="AE4739">
        <v>0.52639999999999498</v>
      </c>
      <c r="AF4739">
        <v>-4.4812452873116797</v>
      </c>
      <c r="AG4739">
        <v>-1.1159889602510999</v>
      </c>
      <c r="AH4739">
        <v>16.687686642052999</v>
      </c>
      <c r="AI4739">
        <v>93.695418300527393</v>
      </c>
      <c r="AJ4739">
        <v>105.03136690943001</v>
      </c>
      <c r="AK4739">
        <v>17.314903295941601</v>
      </c>
      <c r="AL4739">
        <v>83.195422436041895</v>
      </c>
      <c r="AM4739">
        <v>96.762424757522496</v>
      </c>
      <c r="AN4739">
        <v>1.0000000043828901</v>
      </c>
    </row>
    <row r="4740" spans="1:40" x14ac:dyDescent="0.25">
      <c r="A4740" t="str">
        <f>"20190312164405653"</f>
        <v>20190312164405653</v>
      </c>
      <c r="B4740" t="str">
        <f>"1552380245649576"</f>
        <v>1552380245649576</v>
      </c>
      <c r="C4740" t="s">
        <v>40</v>
      </c>
      <c r="D4740">
        <v>5.169346</v>
      </c>
      <c r="E4740">
        <v>0.4507157</v>
      </c>
      <c r="F4740" t="s">
        <v>54</v>
      </c>
      <c r="G4740">
        <v>-264.60629999999998</v>
      </c>
      <c r="H4740" s="1">
        <v>-1.084571E-6</v>
      </c>
      <c r="I4740">
        <v>-60.771630000000002</v>
      </c>
      <c r="J4740">
        <v>-281.51990000000001</v>
      </c>
      <c r="K4740">
        <v>1.1159779999999999</v>
      </c>
      <c r="L4740">
        <v>-61.327579999999998</v>
      </c>
      <c r="M4740">
        <v>0.97411349999999997</v>
      </c>
      <c r="N4740">
        <v>0</v>
      </c>
      <c r="O4740">
        <v>-0.225719</v>
      </c>
      <c r="P4740">
        <v>0.98790639999999996</v>
      </c>
      <c r="Q4740">
        <v>0.1077428</v>
      </c>
      <c r="R4740">
        <v>-0.1115027</v>
      </c>
      <c r="S4740">
        <v>3.0710449999999998</v>
      </c>
      <c r="T4740">
        <v>-0.20099429999999999</v>
      </c>
      <c r="U4740">
        <v>9.5092769999999993E-2</v>
      </c>
      <c r="V4740">
        <v>-0.116116</v>
      </c>
      <c r="W4740">
        <v>0.1183105</v>
      </c>
      <c r="X4740">
        <v>0.98616420000000005</v>
      </c>
      <c r="Y4740">
        <v>-0.25475639999999999</v>
      </c>
      <c r="Z4740">
        <v>2.2996829999999999E-2</v>
      </c>
      <c r="AA4740">
        <v>0.96673180000000003</v>
      </c>
      <c r="AB4740">
        <v>27</v>
      </c>
      <c r="AC4740">
        <v>16.913599999999999</v>
      </c>
      <c r="AD4740">
        <v>-1.115979084571</v>
      </c>
      <c r="AE4740">
        <v>0.55595000000000205</v>
      </c>
      <c r="AF4740">
        <v>-4.3407375258162801</v>
      </c>
      <c r="AG4740">
        <v>-1.115979084571</v>
      </c>
      <c r="AH4740">
        <v>16.280733365651599</v>
      </c>
      <c r="AI4740">
        <v>93.789299020748501</v>
      </c>
      <c r="AJ4740">
        <v>104.928817019113</v>
      </c>
      <c r="AK4740">
        <v>16.886375884383</v>
      </c>
      <c r="AL4740">
        <v>83.205393689290403</v>
      </c>
      <c r="AM4740">
        <v>96.715377268618695</v>
      </c>
      <c r="AN4740">
        <v>1.00000006461394</v>
      </c>
    </row>
    <row r="4741" spans="1:40" x14ac:dyDescent="0.25">
      <c r="A4741" t="str">
        <f>"20190312164405664"</f>
        <v>20190312164405664</v>
      </c>
      <c r="B4741" t="str">
        <f>"1552380245660313"</f>
        <v>1552380245660313</v>
      </c>
      <c r="C4741" t="s">
        <v>40</v>
      </c>
      <c r="D4741">
        <v>5.0559029999999998</v>
      </c>
      <c r="E4741">
        <v>0.45085750000000002</v>
      </c>
      <c r="F4741" t="s">
        <v>42</v>
      </c>
      <c r="G4741">
        <v>-265.02910000000003</v>
      </c>
      <c r="H4741" s="1">
        <v>-1.270747E-6</v>
      </c>
      <c r="I4741">
        <v>-60.7896199999999</v>
      </c>
      <c r="J4741">
        <v>-281.39479999999998</v>
      </c>
      <c r="K4741">
        <v>1.115964</v>
      </c>
      <c r="L4741">
        <v>-61.352629999999998</v>
      </c>
      <c r="M4741">
        <v>0.9749873</v>
      </c>
      <c r="N4741">
        <v>0</v>
      </c>
      <c r="O4741">
        <v>-0.22191520000000001</v>
      </c>
      <c r="P4741">
        <v>0.98828899999999997</v>
      </c>
      <c r="Q4741">
        <v>0.10768659999999999</v>
      </c>
      <c r="R4741">
        <v>-0.1081143</v>
      </c>
      <c r="S4741">
        <v>3.0707089999999999</v>
      </c>
      <c r="T4741">
        <v>-0.20780299999999999</v>
      </c>
      <c r="U4741">
        <v>0.1001587</v>
      </c>
      <c r="V4741">
        <v>-0.1156461</v>
      </c>
      <c r="W4741">
        <v>0.11825090000000001</v>
      </c>
      <c r="X4741">
        <v>0.98622650000000001</v>
      </c>
      <c r="Y4741">
        <v>-0.25252180000000002</v>
      </c>
      <c r="Z4741">
        <v>2.3448779999999999E-2</v>
      </c>
      <c r="AA4741">
        <v>0.96730700000000003</v>
      </c>
      <c r="AB4741">
        <v>27</v>
      </c>
      <c r="AC4741">
        <v>16.365699999999901</v>
      </c>
      <c r="AD4741">
        <v>-1.115965270747</v>
      </c>
      <c r="AE4741">
        <v>0.563010000000012</v>
      </c>
      <c r="AF4741">
        <v>-4.1617177179700899</v>
      </c>
      <c r="AG4741">
        <v>-1.115965270747</v>
      </c>
      <c r="AH4741">
        <v>15.759432421602799</v>
      </c>
      <c r="AI4741">
        <v>93.916670077401093</v>
      </c>
      <c r="AJ4741">
        <v>104.79284972267899</v>
      </c>
      <c r="AK4741">
        <v>16.337838997267799</v>
      </c>
      <c r="AL4741">
        <v>83.208832234926803</v>
      </c>
      <c r="AM4741">
        <v>96.688029403121504</v>
      </c>
      <c r="AN4741">
        <v>1.00000000254913</v>
      </c>
    </row>
    <row r="4742" spans="1:40" x14ac:dyDescent="0.25">
      <c r="A4742" t="str">
        <f>"20190312164405675"</f>
        <v>20190312164405675</v>
      </c>
      <c r="B4742" t="str">
        <f>"1552380245670072"</f>
        <v>1552380245670072</v>
      </c>
      <c r="C4742" t="s">
        <v>40</v>
      </c>
      <c r="D4742">
        <v>5.0471579999999996</v>
      </c>
      <c r="E4742">
        <v>0.45120470000000001</v>
      </c>
      <c r="F4742" t="s">
        <v>42</v>
      </c>
      <c r="G4742">
        <v>-265.15519999999998</v>
      </c>
      <c r="H4742" s="1">
        <v>-1.3205269999999901E-6</v>
      </c>
      <c r="I4742">
        <v>-60.773449999999997</v>
      </c>
      <c r="J4742">
        <v>-281.25909999999999</v>
      </c>
      <c r="K4742">
        <v>1.1159559999999999</v>
      </c>
      <c r="L4742">
        <v>-61.379060000000003</v>
      </c>
      <c r="M4742">
        <v>0.97591499999999998</v>
      </c>
      <c r="N4742">
        <v>0</v>
      </c>
      <c r="O4742">
        <v>-0.2177994</v>
      </c>
      <c r="P4742">
        <v>0.98869929999999995</v>
      </c>
      <c r="Q4742">
        <v>0.1072646</v>
      </c>
      <c r="R4742">
        <v>-0.1047289</v>
      </c>
      <c r="S4742">
        <v>3.0705260000000001</v>
      </c>
      <c r="T4742">
        <v>-0.21100250000000001</v>
      </c>
      <c r="U4742">
        <v>0.1094971</v>
      </c>
      <c r="V4742">
        <v>-0.1148627</v>
      </c>
      <c r="W4742">
        <v>0.1178304</v>
      </c>
      <c r="X4742">
        <v>0.98636840000000003</v>
      </c>
      <c r="Y4742">
        <v>-0.2513591</v>
      </c>
      <c r="Z4742">
        <v>2.3492909999999999E-2</v>
      </c>
      <c r="AA4742">
        <v>0.96760869999999999</v>
      </c>
      <c r="AB4742">
        <v>27</v>
      </c>
      <c r="AC4742">
        <v>16.103899999999999</v>
      </c>
      <c r="AD4742">
        <v>-1.1159573205269999</v>
      </c>
      <c r="AE4742">
        <v>0.60560999999999798</v>
      </c>
      <c r="AF4742">
        <v>-4.0791967629703096</v>
      </c>
      <c r="AG4742">
        <v>-1.1159573205269999</v>
      </c>
      <c r="AH4742">
        <v>15.5109507407156</v>
      </c>
      <c r="AI4742">
        <v>93.980251167317107</v>
      </c>
      <c r="AJ4742">
        <v>104.734468506277</v>
      </c>
      <c r="AK4742">
        <v>16.077151484425698</v>
      </c>
      <c r="AL4742">
        <v>83.233094933847099</v>
      </c>
      <c r="AM4742">
        <v>96.642183076441796</v>
      </c>
      <c r="AN4742">
        <v>1.0000000317669999</v>
      </c>
    </row>
    <row r="4743" spans="1:40" x14ac:dyDescent="0.25">
      <c r="A4743" t="str">
        <f>"20190312164405688"</f>
        <v>20190312164405688</v>
      </c>
      <c r="B4743" t="str">
        <f>"1552380245679833"</f>
        <v>1552380245679833</v>
      </c>
      <c r="C4743" t="s">
        <v>40</v>
      </c>
      <c r="D4743">
        <v>5.0361599999999997</v>
      </c>
      <c r="E4743">
        <v>0.45160349999999999</v>
      </c>
      <c r="F4743" t="s">
        <v>42</v>
      </c>
      <c r="G4743">
        <v>-265.62259999999998</v>
      </c>
      <c r="H4743" s="1">
        <v>-1.5232620000000001E-6</v>
      </c>
      <c r="I4743">
        <v>-60.781750000000002</v>
      </c>
      <c r="J4743">
        <v>-281.11</v>
      </c>
      <c r="K4743">
        <v>1.115947</v>
      </c>
      <c r="L4743">
        <v>-61.407409999999999</v>
      </c>
      <c r="M4743">
        <v>0.97691190000000006</v>
      </c>
      <c r="N4743">
        <v>0</v>
      </c>
      <c r="O4743">
        <v>-0.21328459999999999</v>
      </c>
      <c r="P4743">
        <v>0.98912840000000002</v>
      </c>
      <c r="Q4743">
        <v>0.1071353</v>
      </c>
      <c r="R4743">
        <v>-0.10073319999999999</v>
      </c>
      <c r="S4743">
        <v>3.0704959999999999</v>
      </c>
      <c r="T4743">
        <v>-0.2191372</v>
      </c>
      <c r="U4743">
        <v>0.1172791</v>
      </c>
      <c r="V4743">
        <v>-0.1142846</v>
      </c>
      <c r="W4743">
        <v>0.1176992</v>
      </c>
      <c r="X4743">
        <v>0.98645119999999997</v>
      </c>
      <c r="Y4743">
        <v>-0.24926390000000001</v>
      </c>
      <c r="Z4743">
        <v>2.4005350000000002E-2</v>
      </c>
      <c r="AA4743">
        <v>0.96813800000000005</v>
      </c>
      <c r="AB4743">
        <v>27</v>
      </c>
      <c r="AC4743">
        <v>15.487399999999999</v>
      </c>
      <c r="AD4743">
        <v>-1.1159485232619999</v>
      </c>
      <c r="AE4743">
        <v>0.625659999999996</v>
      </c>
      <c r="AF4743">
        <v>-3.8945503463306901</v>
      </c>
      <c r="AG4743">
        <v>-1.1159485232619999</v>
      </c>
      <c r="AH4743">
        <v>14.9201889156419</v>
      </c>
      <c r="AI4743">
        <v>94.1392633894868</v>
      </c>
      <c r="AJ4743">
        <v>104.62924086863801</v>
      </c>
      <c r="AK4743">
        <v>15.4604301617102</v>
      </c>
      <c r="AL4743">
        <v>83.240664739827096</v>
      </c>
      <c r="AM4743">
        <v>96.608499844705094</v>
      </c>
      <c r="AN4743">
        <v>1.00000002072961</v>
      </c>
    </row>
    <row r="4744" spans="1:40" x14ac:dyDescent="0.25">
      <c r="A4744" t="str">
        <f>"20190312164405710"</f>
        <v>20190312164405710</v>
      </c>
      <c r="B4744" t="str">
        <f>"1552380245700330"</f>
        <v>1552380245700330</v>
      </c>
      <c r="C4744" t="s">
        <v>40</v>
      </c>
      <c r="D4744">
        <v>5.0245749999999996</v>
      </c>
      <c r="E4744">
        <v>0.4522718</v>
      </c>
      <c r="F4744" t="s">
        <v>54</v>
      </c>
      <c r="G4744">
        <v>-265.83210000000003</v>
      </c>
      <c r="H4744" s="1">
        <v>-1.612023E-6</v>
      </c>
      <c r="I4744">
        <v>-60.777560000000001</v>
      </c>
      <c r="J4744">
        <v>-280.85829999999999</v>
      </c>
      <c r="K4744">
        <v>1.115928</v>
      </c>
      <c r="L4744">
        <v>-61.453830000000004</v>
      </c>
      <c r="M4744">
        <v>0.97854300000000005</v>
      </c>
      <c r="N4744">
        <v>0</v>
      </c>
      <c r="O4744">
        <v>-0.20567340000000001</v>
      </c>
      <c r="P4744">
        <v>0.98980469999999998</v>
      </c>
      <c r="Q4744">
        <v>0.1067077</v>
      </c>
      <c r="R4744">
        <v>-9.4341469999999997E-2</v>
      </c>
      <c r="S4744">
        <v>3.07016</v>
      </c>
      <c r="T4744">
        <v>-0.2242537</v>
      </c>
      <c r="U4744">
        <v>0.12655640000000001</v>
      </c>
      <c r="V4744">
        <v>-0.11297409999999999</v>
      </c>
      <c r="W4744">
        <v>0.1172735</v>
      </c>
      <c r="X4744">
        <v>0.9866528</v>
      </c>
      <c r="Y4744">
        <v>-0.24462600000000001</v>
      </c>
      <c r="Z4744">
        <v>2.3851020000000001E-2</v>
      </c>
      <c r="AA4744">
        <v>0.96932410000000002</v>
      </c>
      <c r="AB4744">
        <v>27</v>
      </c>
      <c r="AC4744">
        <v>15.0261999999999</v>
      </c>
      <c r="AD4744">
        <v>-1.115929612023</v>
      </c>
      <c r="AE4744">
        <v>0.67627000000000204</v>
      </c>
      <c r="AF4744">
        <v>-3.7319924737886998</v>
      </c>
      <c r="AG4744">
        <v>-1.115929612023</v>
      </c>
      <c r="AH4744">
        <v>14.4860648652196</v>
      </c>
      <c r="AI4744">
        <v>94.266297097895205</v>
      </c>
      <c r="AJ4744">
        <v>104.446755765875</v>
      </c>
      <c r="AK4744">
        <v>15.0006380531881</v>
      </c>
      <c r="AL4744">
        <v>83.265225403754997</v>
      </c>
      <c r="AM4744">
        <v>96.532055784432302</v>
      </c>
      <c r="AN4744">
        <v>0.99999998441044902</v>
      </c>
    </row>
    <row r="4745" spans="1:40" x14ac:dyDescent="0.25">
      <c r="A4745" t="str">
        <f>"20190312164405725"</f>
        <v>20190312164405725</v>
      </c>
      <c r="B4745" t="str">
        <f>"1552380245719849"</f>
        <v>1552380245719849</v>
      </c>
      <c r="C4745" t="s">
        <v>40</v>
      </c>
      <c r="D4745">
        <v>5.0363989999999896</v>
      </c>
      <c r="E4745">
        <v>0.45311659999999998</v>
      </c>
      <c r="F4745" t="s">
        <v>42</v>
      </c>
      <c r="G4745">
        <v>-266.30029999999999</v>
      </c>
      <c r="H4745" s="1">
        <v>-1.814756E-6</v>
      </c>
      <c r="I4745">
        <v>-60.784680000000002</v>
      </c>
      <c r="J4745">
        <v>-280.6773</v>
      </c>
      <c r="K4745">
        <v>1.1159110000000001</v>
      </c>
      <c r="L4745">
        <v>-61.486020000000003</v>
      </c>
      <c r="M4745">
        <v>0.9796743</v>
      </c>
      <c r="N4745">
        <v>0</v>
      </c>
      <c r="O4745">
        <v>-0.20021659999999999</v>
      </c>
      <c r="P4745">
        <v>0.99018099999999998</v>
      </c>
      <c r="Q4745">
        <v>0.1071604</v>
      </c>
      <c r="R4745">
        <v>-8.9770059999999999E-2</v>
      </c>
      <c r="S4745">
        <v>3.0697019999999999</v>
      </c>
      <c r="T4745">
        <v>-0.23530470000000001</v>
      </c>
      <c r="U4745">
        <v>0.14108280000000001</v>
      </c>
      <c r="V4745">
        <v>-0.11202189999999999</v>
      </c>
      <c r="W4745">
        <v>0.1177248</v>
      </c>
      <c r="X4745">
        <v>0.98670760000000002</v>
      </c>
      <c r="Y4745">
        <v>-0.24370559999999999</v>
      </c>
      <c r="Z4745">
        <v>2.45791E-2</v>
      </c>
      <c r="AA4745">
        <v>0.96953769999999995</v>
      </c>
      <c r="AB4745">
        <v>27</v>
      </c>
      <c r="AC4745">
        <v>14.377000000000001</v>
      </c>
      <c r="AD4745">
        <v>-1.115912814756</v>
      </c>
      <c r="AE4745">
        <v>0.70133999999999397</v>
      </c>
      <c r="AF4745">
        <v>-3.5445654130040198</v>
      </c>
      <c r="AG4745">
        <v>-1.115912814756</v>
      </c>
      <c r="AH4745">
        <v>13.8620999266124</v>
      </c>
      <c r="AI4745">
        <v>94.4595665257999</v>
      </c>
      <c r="AJ4745">
        <v>104.343306505759</v>
      </c>
      <c r="AK4745">
        <v>14.351551127059</v>
      </c>
      <c r="AL4745">
        <v>83.239187295219395</v>
      </c>
      <c r="AM4745">
        <v>96.477113661988597</v>
      </c>
      <c r="AN4745">
        <v>0.99999996125620405</v>
      </c>
    </row>
    <row r="4746" spans="1:40" x14ac:dyDescent="0.25">
      <c r="A4746" t="str">
        <f>"20190312164405737"</f>
        <v>20190312164405737</v>
      </c>
      <c r="B4746" t="str">
        <f>"1552380245729609"</f>
        <v>1552380245729609</v>
      </c>
      <c r="C4746" t="s">
        <v>40</v>
      </c>
      <c r="D4746">
        <v>4.9926149999999998</v>
      </c>
      <c r="E4746">
        <v>0.4536366</v>
      </c>
      <c r="F4746" t="s">
        <v>54</v>
      </c>
      <c r="G4746">
        <v>-266.29599999999999</v>
      </c>
      <c r="H4746" s="1">
        <v>-1.8141830000000001E-6</v>
      </c>
      <c r="I4746">
        <v>-60.789380000000001</v>
      </c>
      <c r="J4746">
        <v>-280.52699999999999</v>
      </c>
      <c r="K4746">
        <v>1.1159019999999999</v>
      </c>
      <c r="L4746">
        <v>-61.51193</v>
      </c>
      <c r="M4746">
        <v>0.98058679999999998</v>
      </c>
      <c r="N4746">
        <v>0</v>
      </c>
      <c r="O4746">
        <v>-0.19569890000000001</v>
      </c>
      <c r="P4746">
        <v>0.99043720000000002</v>
      </c>
      <c r="Q4746">
        <v>0.1077492</v>
      </c>
      <c r="R4746">
        <v>-8.6164649999999995E-2</v>
      </c>
      <c r="S4746">
        <v>3.0690309999999998</v>
      </c>
      <c r="T4746">
        <v>-0.23814080000000001</v>
      </c>
      <c r="U4746">
        <v>0.14865110000000001</v>
      </c>
      <c r="V4746">
        <v>-0.11105660000000001</v>
      </c>
      <c r="W4746">
        <v>0.1183148</v>
      </c>
      <c r="X4746">
        <v>0.98674620000000002</v>
      </c>
      <c r="Y4746">
        <v>-0.2416191</v>
      </c>
      <c r="Z4746">
        <v>2.4453260000000001E-2</v>
      </c>
      <c r="AA4746">
        <v>0.97006300000000001</v>
      </c>
      <c r="AB4746">
        <v>27</v>
      </c>
      <c r="AC4746">
        <v>14.2309999999999</v>
      </c>
      <c r="AD4746">
        <v>-1.115903814183</v>
      </c>
      <c r="AE4746">
        <v>0.72255000000000502</v>
      </c>
      <c r="AF4746">
        <v>-3.4724823243789098</v>
      </c>
      <c r="AG4746">
        <v>-1.115903814183</v>
      </c>
      <c r="AH4746">
        <v>13.730169270503399</v>
      </c>
      <c r="AI4746">
        <v>94.505198345367305</v>
      </c>
      <c r="AJ4746">
        <v>104.193000741151</v>
      </c>
      <c r="AK4746">
        <v>14.206369100241901</v>
      </c>
      <c r="AL4746">
        <v>83.205145213957806</v>
      </c>
      <c r="AM4746">
        <v>96.421519093781797</v>
      </c>
      <c r="AN4746">
        <v>1.0000000117585199</v>
      </c>
    </row>
    <row r="4747" spans="1:40" x14ac:dyDescent="0.25">
      <c r="A4747" t="str">
        <f>"20190312164405748"</f>
        <v>20190312164405748</v>
      </c>
      <c r="B4747" t="str">
        <f>"1552380245740346"</f>
        <v>1552380245740346</v>
      </c>
      <c r="C4747" t="s">
        <v>40</v>
      </c>
      <c r="D4747">
        <v>5.0108639999999998</v>
      </c>
      <c r="E4747">
        <v>0.45411839999999998</v>
      </c>
      <c r="F4747" t="s">
        <v>42</v>
      </c>
      <c r="G4747">
        <v>-266.21769999999998</v>
      </c>
      <c r="H4747" s="1">
        <v>-1.7798329999999999E-6</v>
      </c>
      <c r="I4747">
        <v>-60.78651</v>
      </c>
      <c r="J4747">
        <v>-280.40120000000002</v>
      </c>
      <c r="K4747">
        <v>1.115891</v>
      </c>
      <c r="L4747">
        <v>-61.533019999999901</v>
      </c>
      <c r="M4747">
        <v>0.98133150000000002</v>
      </c>
      <c r="N4747">
        <v>0</v>
      </c>
      <c r="O4747">
        <v>-0.19193080000000001</v>
      </c>
      <c r="P4747">
        <v>0.99061270000000001</v>
      </c>
      <c r="Q4747">
        <v>0.108470899999999</v>
      </c>
      <c r="R4747">
        <v>-8.318731E-2</v>
      </c>
      <c r="S4747">
        <v>3.0685419999999999</v>
      </c>
      <c r="T4747">
        <v>-0.23929929999999999</v>
      </c>
      <c r="U4747">
        <v>0.15554809999999999</v>
      </c>
      <c r="V4747">
        <v>-0.1102216</v>
      </c>
      <c r="W4747">
        <v>0.1190368</v>
      </c>
      <c r="X4747">
        <v>0.98675299999999999</v>
      </c>
      <c r="Y4747">
        <v>-0.24007800000000001</v>
      </c>
      <c r="Z4747">
        <v>2.422558E-2</v>
      </c>
      <c r="AA4747">
        <v>0.97045130000000002</v>
      </c>
      <c r="AB4747">
        <v>27</v>
      </c>
      <c r="AC4747">
        <v>14.1835</v>
      </c>
      <c r="AD4747">
        <v>-1.1158927798330001</v>
      </c>
      <c r="AE4747">
        <v>0.74650999999999301</v>
      </c>
      <c r="AF4747">
        <v>-3.4338888033929602</v>
      </c>
      <c r="AG4747">
        <v>-1.1158927798330001</v>
      </c>
      <c r="AH4747">
        <v>13.691960945129701</v>
      </c>
      <c r="AI4747">
        <v>94.519925819173693</v>
      </c>
      <c r="AJ4747">
        <v>104.079159151269</v>
      </c>
      <c r="AK4747">
        <v>14.160035435446799</v>
      </c>
      <c r="AL4747">
        <v>83.163483307760103</v>
      </c>
      <c r="AM4747">
        <v>96.373592937265897</v>
      </c>
      <c r="AN4747">
        <v>1.0000000219348899</v>
      </c>
    </row>
    <row r="4748" spans="1:40" x14ac:dyDescent="0.25">
      <c r="A4748" t="str">
        <f>"20190312164405758"</f>
        <v>20190312164405758</v>
      </c>
      <c r="B4748" t="str">
        <f>"1552380245750105"</f>
        <v>1552380245750105</v>
      </c>
      <c r="C4748" t="s">
        <v>40</v>
      </c>
      <c r="D4748">
        <v>5.050656</v>
      </c>
      <c r="E4748">
        <v>0.45451999999999998</v>
      </c>
      <c r="F4748" t="s">
        <v>54</v>
      </c>
      <c r="G4748">
        <v>-266.12580000000003</v>
      </c>
      <c r="H4748" s="1">
        <v>-1.739738E-6</v>
      </c>
      <c r="I4748">
        <v>-60.78396</v>
      </c>
      <c r="J4748">
        <v>-280.27350000000001</v>
      </c>
      <c r="K4748">
        <v>1.1158779999999999</v>
      </c>
      <c r="L4748">
        <v>-61.554110000000001</v>
      </c>
      <c r="M4748">
        <v>0.98207129999999998</v>
      </c>
      <c r="N4748">
        <v>0</v>
      </c>
      <c r="O4748">
        <v>-0.18811</v>
      </c>
      <c r="P4748">
        <v>0.99074870000000004</v>
      </c>
      <c r="Q4748">
        <v>0.1093354</v>
      </c>
      <c r="R4748">
        <v>-8.0390829999999996E-2</v>
      </c>
      <c r="S4748">
        <v>3.0682070000000001</v>
      </c>
      <c r="T4748">
        <v>-0.23983850000000001</v>
      </c>
      <c r="U4748">
        <v>0.16098019999999999</v>
      </c>
      <c r="V4748">
        <v>-0.10915519999999999</v>
      </c>
      <c r="W4748">
        <v>0.1199046</v>
      </c>
      <c r="X4748">
        <v>0.98676649999999999</v>
      </c>
      <c r="Y4748">
        <v>-0.23803099999999999</v>
      </c>
      <c r="Z4748">
        <v>2.390774E-2</v>
      </c>
      <c r="AA4748">
        <v>0.97096329999999997</v>
      </c>
      <c r="AB4748">
        <v>27</v>
      </c>
      <c r="AC4748">
        <v>14.147699999999899</v>
      </c>
      <c r="AD4748">
        <v>-1.115879739738</v>
      </c>
      <c r="AE4748">
        <v>0.77014999999999301</v>
      </c>
      <c r="AF4748">
        <v>-3.3968538869890899</v>
      </c>
      <c r="AG4748">
        <v>-1.115879739738</v>
      </c>
      <c r="AH4748">
        <v>13.6654504161368</v>
      </c>
      <c r="AI4748">
        <v>94.530962649758806</v>
      </c>
      <c r="AJ4748">
        <v>103.95923400453501</v>
      </c>
      <c r="AK4748">
        <v>14.1254500458924</v>
      </c>
      <c r="AL4748">
        <v>83.113403524812199</v>
      </c>
      <c r="AM4748">
        <v>96.312342596574794</v>
      </c>
      <c r="AN4748">
        <v>1.00000004815522</v>
      </c>
    </row>
    <row r="4749" spans="1:40" x14ac:dyDescent="0.25">
      <c r="A4749" t="str">
        <f>"20190312164405769"</f>
        <v>20190312164405769</v>
      </c>
      <c r="B4749" t="str">
        <f>"1552380245759865"</f>
        <v>1552380245759865</v>
      </c>
      <c r="C4749" t="s">
        <v>40</v>
      </c>
      <c r="D4749">
        <v>5.0886120000000004</v>
      </c>
      <c r="E4749">
        <v>0.4548681</v>
      </c>
      <c r="F4749" t="s">
        <v>54</v>
      </c>
      <c r="G4749">
        <v>-265.98219999999998</v>
      </c>
      <c r="H4749" s="1">
        <v>-1.67692999999999E-6</v>
      </c>
      <c r="I4749">
        <v>-60.779409999999999</v>
      </c>
      <c r="J4749">
        <v>-280.15260000000001</v>
      </c>
      <c r="K4749">
        <v>1.115861</v>
      </c>
      <c r="L4749">
        <v>-61.573360000000001</v>
      </c>
      <c r="M4749">
        <v>0.98275469999999998</v>
      </c>
      <c r="N4749">
        <v>0</v>
      </c>
      <c r="O4749">
        <v>-0.18450759999999999</v>
      </c>
      <c r="P4749">
        <v>0.99086370000000001</v>
      </c>
      <c r="Q4749">
        <v>0.1099478</v>
      </c>
      <c r="R4749">
        <v>-7.8108750000000005E-2</v>
      </c>
      <c r="S4749">
        <v>3.0679319999999999</v>
      </c>
      <c r="T4749">
        <v>-0.23954729999999999</v>
      </c>
      <c r="U4749">
        <v>0.166290299999999</v>
      </c>
      <c r="V4749">
        <v>-0.1077994</v>
      </c>
      <c r="W4749">
        <v>0.1205233</v>
      </c>
      <c r="X4749">
        <v>0.9868401</v>
      </c>
      <c r="Y4749">
        <v>-0.23616980000000001</v>
      </c>
      <c r="Z4749">
        <v>2.353032E-2</v>
      </c>
      <c r="AA4749">
        <v>0.97142680000000003</v>
      </c>
      <c r="AB4749">
        <v>27</v>
      </c>
      <c r="AC4749">
        <v>14.170400000000001</v>
      </c>
      <c r="AD4749">
        <v>-1.11586267693</v>
      </c>
      <c r="AE4749">
        <v>0.79395000000000204</v>
      </c>
      <c r="AF4749">
        <v>-3.37420174089312</v>
      </c>
      <c r="AG4749">
        <v>-1.11586267693</v>
      </c>
      <c r="AH4749">
        <v>13.6959102758175</v>
      </c>
      <c r="AI4749">
        <v>94.523176052747402</v>
      </c>
      <c r="AJ4749">
        <v>103.840092194883</v>
      </c>
      <c r="AK4749">
        <v>14.149499821027501</v>
      </c>
      <c r="AL4749">
        <v>83.077695198083205</v>
      </c>
      <c r="AM4749">
        <v>96.234097899847498</v>
      </c>
      <c r="AN4749">
        <v>0.99999997972562904</v>
      </c>
    </row>
    <row r="4750" spans="1:40" x14ac:dyDescent="0.25">
      <c r="A4750" t="str">
        <f>"20190312164405779"</f>
        <v>20190312164405779</v>
      </c>
      <c r="B4750" t="str">
        <f>"1552380245769625"</f>
        <v>1552380245769625</v>
      </c>
      <c r="C4750" t="s">
        <v>40</v>
      </c>
      <c r="D4750">
        <v>5.0291800000000002</v>
      </c>
      <c r="E4750">
        <v>0.4548681</v>
      </c>
      <c r="F4750" t="s">
        <v>42</v>
      </c>
      <c r="G4750">
        <v>-265.8372</v>
      </c>
      <c r="H4750" s="1">
        <v>-1.6141280000000001E-6</v>
      </c>
      <c r="I4750">
        <v>-60.777209999999997</v>
      </c>
      <c r="J4750">
        <v>-280.0258</v>
      </c>
      <c r="K4750">
        <v>1.1158429999999999</v>
      </c>
      <c r="L4750">
        <v>-61.593409999999999</v>
      </c>
      <c r="M4750">
        <v>0.98345610000000006</v>
      </c>
      <c r="N4750">
        <v>0</v>
      </c>
      <c r="O4750">
        <v>-0.18073400000000001</v>
      </c>
      <c r="P4750">
        <v>0.99092990000000003</v>
      </c>
      <c r="Q4750">
        <v>0.11098329999999999</v>
      </c>
      <c r="R4750">
        <v>-7.5768169999999996E-2</v>
      </c>
      <c r="S4750">
        <v>3.0676570000000001</v>
      </c>
      <c r="T4750">
        <v>-0.23911930000000001</v>
      </c>
      <c r="U4750">
        <v>0.1705933</v>
      </c>
      <c r="V4750">
        <v>-0.1063288</v>
      </c>
      <c r="W4750">
        <v>0.1215656</v>
      </c>
      <c r="X4750">
        <v>0.98687179999999997</v>
      </c>
      <c r="Y4750">
        <v>-0.23382629999999999</v>
      </c>
      <c r="Z4750">
        <v>2.3108469999999999E-2</v>
      </c>
      <c r="AA4750">
        <v>0.97200379999999997</v>
      </c>
      <c r="AB4750">
        <v>27</v>
      </c>
      <c r="AC4750">
        <v>14.188599999999999</v>
      </c>
      <c r="AD4750">
        <v>-1.1158446141279901</v>
      </c>
      <c r="AE4750">
        <v>0.81620000000000203</v>
      </c>
      <c r="AF4750">
        <v>-3.3466803071382798</v>
      </c>
      <c r="AG4750">
        <v>-1.1158446141279901</v>
      </c>
      <c r="AH4750">
        <v>13.722787738145</v>
      </c>
      <c r="AI4750">
        <v>94.516867945586199</v>
      </c>
      <c r="AJ4750">
        <v>103.705616820393</v>
      </c>
      <c r="AK4750">
        <v>14.168990139994101</v>
      </c>
      <c r="AL4750">
        <v>83.017533435355205</v>
      </c>
      <c r="AM4750">
        <v>96.149512391428004</v>
      </c>
      <c r="AN4750">
        <v>0.99999997922401895</v>
      </c>
    </row>
    <row r="4751" spans="1:40" x14ac:dyDescent="0.25">
      <c r="A4751" t="str">
        <f>"20190312164405791"</f>
        <v>20190312164405791</v>
      </c>
      <c r="B4751" t="str">
        <f>"1552380245780363"</f>
        <v>1552380245780363</v>
      </c>
      <c r="C4751" t="s">
        <v>40</v>
      </c>
      <c r="D4751">
        <v>5.1397339999999998</v>
      </c>
      <c r="E4751">
        <v>0.46734769999999998</v>
      </c>
      <c r="F4751" t="s">
        <v>54</v>
      </c>
      <c r="G4751">
        <v>-265.53250000000003</v>
      </c>
      <c r="H4751" s="1">
        <v>-1.477397E-6</v>
      </c>
      <c r="I4751">
        <v>-60.75459</v>
      </c>
      <c r="J4751">
        <v>-279.90350000000001</v>
      </c>
      <c r="K4751">
        <v>1.1158269999999999</v>
      </c>
      <c r="L4751">
        <v>-61.611939999999997</v>
      </c>
      <c r="M4751">
        <v>0.98411409999999999</v>
      </c>
      <c r="N4751">
        <v>0</v>
      </c>
      <c r="O4751">
        <v>-0.17711640000000001</v>
      </c>
      <c r="P4751">
        <v>0.99107299999999998</v>
      </c>
      <c r="Q4751">
        <v>0.1111338</v>
      </c>
      <c r="R4751">
        <v>-7.3644879999999996E-2</v>
      </c>
      <c r="S4751">
        <v>3.0674739999999998</v>
      </c>
      <c r="T4751">
        <v>-0.23616619999999999</v>
      </c>
      <c r="U4751">
        <v>0.17752079999999901</v>
      </c>
      <c r="V4751">
        <v>-0.1048057</v>
      </c>
      <c r="W4751">
        <v>0.1217222</v>
      </c>
      <c r="X4751">
        <v>0.98701539999999999</v>
      </c>
      <c r="Y4751">
        <v>-0.23248830000000001</v>
      </c>
      <c r="Z4751">
        <v>2.2497980000000001E-2</v>
      </c>
      <c r="AA4751">
        <v>0.97233890000000001</v>
      </c>
      <c r="AB4751">
        <v>27</v>
      </c>
      <c r="AC4751">
        <v>14.370999999999899</v>
      </c>
      <c r="AD4751">
        <v>-1.115828477397</v>
      </c>
      <c r="AE4751">
        <v>0.85735000000000305</v>
      </c>
      <c r="AF4751">
        <v>-3.3690838599823301</v>
      </c>
      <c r="AG4751">
        <v>-1.115828477397</v>
      </c>
      <c r="AH4751">
        <v>13.908345613776699</v>
      </c>
      <c r="AI4751">
        <v>94.458460412447494</v>
      </c>
      <c r="AJ4751">
        <v>103.616736981134</v>
      </c>
      <c r="AK4751">
        <v>14.3540195401436</v>
      </c>
      <c r="AL4751">
        <v>83.008493680905403</v>
      </c>
      <c r="AM4751">
        <v>96.0612093308075</v>
      </c>
      <c r="AN4751">
        <v>0.99999996428124405</v>
      </c>
    </row>
    <row r="4752" spans="1:40" x14ac:dyDescent="0.25">
      <c r="A4752" t="str">
        <f>"20190312164405801"</f>
        <v>20190312164405801</v>
      </c>
      <c r="B4752" t="str">
        <f>"1552380245790121"</f>
        <v>1552380245790121</v>
      </c>
      <c r="C4752" t="s">
        <v>40</v>
      </c>
      <c r="D4752">
        <v>5.31365</v>
      </c>
      <c r="E4752">
        <v>0.46819480000000002</v>
      </c>
      <c r="F4752" t="s">
        <v>42</v>
      </c>
      <c r="G4752">
        <v>-267.59399999999999</v>
      </c>
      <c r="H4752" s="1">
        <v>-2.4964579999999998E-6</v>
      </c>
      <c r="I4752">
        <v>-61.260809999999999</v>
      </c>
      <c r="J4752">
        <v>-279.77760000000001</v>
      </c>
      <c r="K4752">
        <v>1.1158079999999999</v>
      </c>
      <c r="L4752">
        <v>-61.630949999999999</v>
      </c>
      <c r="M4752">
        <v>0.98477729999999997</v>
      </c>
      <c r="N4752">
        <v>0</v>
      </c>
      <c r="O4752">
        <v>-0.17339270000000001</v>
      </c>
      <c r="P4752">
        <v>0.99136170000000001</v>
      </c>
      <c r="Q4752">
        <v>0.1109154</v>
      </c>
      <c r="R4752">
        <v>-7.0001969999999997E-2</v>
      </c>
      <c r="S4752">
        <v>3.064667</v>
      </c>
      <c r="T4752">
        <v>-0.27780460000000001</v>
      </c>
      <c r="U4752">
        <v>8.7402339999999995E-2</v>
      </c>
      <c r="V4752">
        <v>-0.10469580000000001</v>
      </c>
      <c r="W4752">
        <v>0.1214884</v>
      </c>
      <c r="X4752">
        <v>0.98705589999999999</v>
      </c>
      <c r="Y4752">
        <v>-0.19988529999999999</v>
      </c>
      <c r="Z4752">
        <v>2.4672380000000001E-2</v>
      </c>
      <c r="AA4752">
        <v>0.97950859999999995</v>
      </c>
      <c r="AB4752">
        <v>27</v>
      </c>
      <c r="AC4752">
        <v>12.1836</v>
      </c>
      <c r="AD4752">
        <v>-1.115810496458</v>
      </c>
      <c r="AE4752">
        <v>0.37013999999999903</v>
      </c>
      <c r="AF4752">
        <v>-2.4566508648988998</v>
      </c>
      <c r="AG4752">
        <v>-1.115810496458</v>
      </c>
      <c r="AH4752">
        <v>11.835660773707801</v>
      </c>
      <c r="AI4752">
        <v>95.273904289889202</v>
      </c>
      <c r="AJ4752">
        <v>101.726007584437</v>
      </c>
      <c r="AK4752">
        <v>12.139317628528399</v>
      </c>
      <c r="AL4752">
        <v>83.021989815123106</v>
      </c>
      <c r="AM4752">
        <v>96.054654149312995</v>
      </c>
      <c r="AN4752">
        <v>0.99999999579850496</v>
      </c>
    </row>
    <row r="4753" spans="1:40" x14ac:dyDescent="0.25">
      <c r="A4753" t="str">
        <f>"20190312164405811"</f>
        <v>20190312164405811</v>
      </c>
      <c r="B4753" t="str">
        <f>"1552380245799881"</f>
        <v>1552380245799881</v>
      </c>
      <c r="C4753" t="s">
        <v>40</v>
      </c>
      <c r="D4753">
        <v>5.0620510000000003</v>
      </c>
      <c r="E4753">
        <v>0.46854659999999898</v>
      </c>
      <c r="F4753" t="s">
        <v>54</v>
      </c>
      <c r="G4753">
        <v>-267.01569999999998</v>
      </c>
      <c r="H4753" s="1">
        <v>-2.2458850000000002E-6</v>
      </c>
      <c r="I4753">
        <v>-61.251530000000002</v>
      </c>
      <c r="J4753">
        <v>-279.64940000000001</v>
      </c>
      <c r="K4753">
        <v>1.115785</v>
      </c>
      <c r="L4753">
        <v>-61.649380000000001</v>
      </c>
      <c r="M4753">
        <v>0.98543380000000003</v>
      </c>
      <c r="N4753">
        <v>0</v>
      </c>
      <c r="O4753">
        <v>-0.16962430000000001</v>
      </c>
      <c r="P4753">
        <v>0.99150179999999999</v>
      </c>
      <c r="Q4753">
        <v>0.11129509999999999</v>
      </c>
      <c r="R4753">
        <v>-6.7360890000000007E-2</v>
      </c>
      <c r="S4753">
        <v>3.0625309999999999</v>
      </c>
      <c r="T4753">
        <v>-0.267764</v>
      </c>
      <c r="U4753">
        <v>9.1033939999999994E-2</v>
      </c>
      <c r="V4753">
        <v>-0.1035397</v>
      </c>
      <c r="W4753">
        <v>0.12186139999999999</v>
      </c>
      <c r="X4753">
        <v>0.98713189999999995</v>
      </c>
      <c r="Y4753">
        <v>-0.19744709999999999</v>
      </c>
      <c r="Z4753">
        <v>2.3368739999999999E-2</v>
      </c>
      <c r="AA4753">
        <v>0.98003499999999999</v>
      </c>
      <c r="AB4753">
        <v>27</v>
      </c>
      <c r="AC4753">
        <v>12.633699999999999</v>
      </c>
      <c r="AD4753">
        <v>-1.115787245885</v>
      </c>
      <c r="AE4753">
        <v>0.39785000000000498</v>
      </c>
      <c r="AF4753">
        <v>-2.5156220140799301</v>
      </c>
      <c r="AG4753">
        <v>-1.115787245885</v>
      </c>
      <c r="AH4753">
        <v>12.2873572642476</v>
      </c>
      <c r="AI4753">
        <v>95.083788833488498</v>
      </c>
      <c r="AJ4753">
        <v>101.57041983221301</v>
      </c>
      <c r="AK4753">
        <v>12.5917625388609</v>
      </c>
      <c r="AL4753">
        <v>83.000458746263604</v>
      </c>
      <c r="AM4753">
        <v>95.987826633176894</v>
      </c>
      <c r="AN4753">
        <v>1.0000000291418201</v>
      </c>
    </row>
    <row r="4754" spans="1:40" x14ac:dyDescent="0.25">
      <c r="A4754" t="str">
        <f>"20190312164405823"</f>
        <v>20190312164405823</v>
      </c>
      <c r="B4754" t="str">
        <f>"1552380245820377"</f>
        <v>1552380245820377</v>
      </c>
      <c r="C4754" t="s">
        <v>40</v>
      </c>
      <c r="D4754">
        <v>5.0211360000000003</v>
      </c>
      <c r="E4754">
        <v>0.46961809999999998</v>
      </c>
      <c r="F4754" t="s">
        <v>54</v>
      </c>
      <c r="G4754">
        <v>-266.46440000000001</v>
      </c>
      <c r="H4754" s="1">
        <v>-2.0057839999999999E-6</v>
      </c>
      <c r="I4754">
        <v>-61.238039999999998</v>
      </c>
      <c r="J4754">
        <v>-279.52319999999997</v>
      </c>
      <c r="K4754">
        <v>1.115764</v>
      </c>
      <c r="L4754">
        <v>-61.6674199999999</v>
      </c>
      <c r="M4754">
        <v>0.98606510000000003</v>
      </c>
      <c r="N4754">
        <v>0</v>
      </c>
      <c r="O4754">
        <v>-0.16591719999999999</v>
      </c>
      <c r="P4754">
        <v>0.99166489999999996</v>
      </c>
      <c r="Q4754">
        <v>0.111170699999999</v>
      </c>
      <c r="R4754">
        <v>-6.5130709999999994E-2</v>
      </c>
      <c r="S4754">
        <v>3.0612789999999999</v>
      </c>
      <c r="T4754">
        <v>-0.25906089999999998</v>
      </c>
      <c r="U4754">
        <v>9.5489500000000005E-2</v>
      </c>
      <c r="V4754">
        <v>-0.10204050000000001</v>
      </c>
      <c r="W4754">
        <v>0.1217374</v>
      </c>
      <c r="X4754">
        <v>0.98730329999999999</v>
      </c>
      <c r="Y4754">
        <v>-0.1953066</v>
      </c>
      <c r="Z4754">
        <v>2.2220589999999998E-2</v>
      </c>
      <c r="AA4754">
        <v>0.98049039999999998</v>
      </c>
      <c r="AB4754">
        <v>27</v>
      </c>
      <c r="AC4754">
        <v>13.0587999999999</v>
      </c>
      <c r="AD4754">
        <v>-1.115766005784</v>
      </c>
      <c r="AE4754">
        <v>0.42937999999998699</v>
      </c>
      <c r="AF4754">
        <v>-2.5715141788281901</v>
      </c>
      <c r="AG4754">
        <v>-1.115766005784</v>
      </c>
      <c r="AH4754">
        <v>12.713813162491901</v>
      </c>
      <c r="AI4754">
        <v>94.916382793750202</v>
      </c>
      <c r="AJ4754">
        <v>101.434465677787</v>
      </c>
      <c r="AK4754">
        <v>13.019165260581399</v>
      </c>
      <c r="AL4754">
        <v>83.007616737137198</v>
      </c>
      <c r="AM4754">
        <v>95.900725144344193</v>
      </c>
      <c r="AN4754">
        <v>1.00000003219494</v>
      </c>
    </row>
    <row r="4755" spans="1:40" x14ac:dyDescent="0.25">
      <c r="A4755" t="str">
        <f>"20190312164405834"</f>
        <v>20190312164405834</v>
      </c>
      <c r="B4755" t="str">
        <f>"1552380245830137"</f>
        <v>1552380245830137</v>
      </c>
      <c r="C4755" t="s">
        <v>40</v>
      </c>
      <c r="D4755">
        <v>5.0839679999999996</v>
      </c>
      <c r="E4755">
        <v>0.4697441</v>
      </c>
      <c r="F4755" t="s">
        <v>54</v>
      </c>
      <c r="G4755">
        <v>-266.07679999999999</v>
      </c>
      <c r="H4755" s="1">
        <v>-1.844848E-6</v>
      </c>
      <c r="I4755">
        <v>-61.258040000000001</v>
      </c>
      <c r="J4755">
        <v>-279.38839999999999</v>
      </c>
      <c r="K4755">
        <v>1.1157490000000001</v>
      </c>
      <c r="L4755">
        <v>-61.685879999999997</v>
      </c>
      <c r="M4755">
        <v>0.98671989999999998</v>
      </c>
      <c r="N4755">
        <v>0</v>
      </c>
      <c r="O4755">
        <v>-0.1619797</v>
      </c>
      <c r="P4755">
        <v>0.99182210000000004</v>
      </c>
      <c r="Q4755">
        <v>0.11126809999999999</v>
      </c>
      <c r="R4755">
        <v>-6.2517829999999996E-2</v>
      </c>
      <c r="S4755">
        <v>3.0597530000000002</v>
      </c>
      <c r="T4755">
        <v>-0.25389469999999997</v>
      </c>
      <c r="U4755">
        <v>9.3139650000000004E-2</v>
      </c>
      <c r="V4755">
        <v>-0.1006924</v>
      </c>
      <c r="W4755">
        <v>0.1218297</v>
      </c>
      <c r="X4755">
        <v>0.98743029999999998</v>
      </c>
      <c r="Y4755">
        <v>-0.19073190000000001</v>
      </c>
      <c r="Z4755">
        <v>2.1277259999999999E-2</v>
      </c>
      <c r="AA4755">
        <v>0.98141149999999999</v>
      </c>
      <c r="AB4755">
        <v>27</v>
      </c>
      <c r="AC4755">
        <v>13.3116</v>
      </c>
      <c r="AD4755">
        <v>-1.11575084484799</v>
      </c>
      <c r="AE4755">
        <v>0.427840000000003</v>
      </c>
      <c r="AF4755">
        <v>-2.5605853027914001</v>
      </c>
      <c r="AG4755">
        <v>-1.11575084484799</v>
      </c>
      <c r="AH4755">
        <v>12.9754118377135</v>
      </c>
      <c r="AI4755">
        <v>94.822204039383607</v>
      </c>
      <c r="AJ4755">
        <v>101.16338732696499</v>
      </c>
      <c r="AK4755">
        <v>13.2726338531177</v>
      </c>
      <c r="AL4755">
        <v>83.002288566561305</v>
      </c>
      <c r="AM4755">
        <v>95.822563646802394</v>
      </c>
      <c r="AN4755">
        <v>1.00000001628897</v>
      </c>
    </row>
    <row r="4756" spans="1:40" x14ac:dyDescent="0.25">
      <c r="A4756" t="str">
        <f>"20190312164405843"</f>
        <v>20190312164405843</v>
      </c>
      <c r="B4756" t="str">
        <f>"1552380245839897"</f>
        <v>1552380245839897</v>
      </c>
      <c r="C4756" t="s">
        <v>40</v>
      </c>
      <c r="D4756">
        <v>5.0786809999999996</v>
      </c>
      <c r="E4756">
        <v>0.47001959999999998</v>
      </c>
      <c r="F4756" t="s">
        <v>42</v>
      </c>
      <c r="G4756">
        <v>-265.85140000000001</v>
      </c>
      <c r="H4756" s="1">
        <v>-1.7442730000000001E-6</v>
      </c>
      <c r="I4756">
        <v>-61.243429999999996</v>
      </c>
      <c r="J4756">
        <v>-279.27319999999997</v>
      </c>
      <c r="K4756">
        <v>1.115729</v>
      </c>
      <c r="L4756">
        <v>-61.701450000000001</v>
      </c>
      <c r="M4756">
        <v>0.98726559999999997</v>
      </c>
      <c r="N4756">
        <v>0</v>
      </c>
      <c r="O4756">
        <v>-0.15862129999999999</v>
      </c>
      <c r="P4756">
        <v>0.99193140000000002</v>
      </c>
      <c r="Q4756">
        <v>0.1114636</v>
      </c>
      <c r="R4756">
        <v>-6.0400589999999997E-2</v>
      </c>
      <c r="S4756">
        <v>3.0592959999999998</v>
      </c>
      <c r="T4756">
        <v>-0.2521545</v>
      </c>
      <c r="U4756">
        <v>9.9975590000000003E-2</v>
      </c>
      <c r="V4756">
        <v>-9.9433270000000004E-2</v>
      </c>
      <c r="W4756">
        <v>0.1220218</v>
      </c>
      <c r="X4756">
        <v>0.98753420000000003</v>
      </c>
      <c r="Y4756">
        <v>-0.1896188</v>
      </c>
      <c r="Z4756">
        <v>2.0815230000000001E-2</v>
      </c>
      <c r="AA4756">
        <v>0.98163710000000004</v>
      </c>
      <c r="AB4756">
        <v>27</v>
      </c>
      <c r="AC4756">
        <v>13.4217999999999</v>
      </c>
      <c r="AD4756">
        <v>-1.115730744273</v>
      </c>
      <c r="AE4756">
        <v>0.45801999999999699</v>
      </c>
      <c r="AF4756">
        <v>-2.5636639987977201</v>
      </c>
      <c r="AG4756">
        <v>-1.115730744273</v>
      </c>
      <c r="AH4756">
        <v>13.088848537929399</v>
      </c>
      <c r="AI4756">
        <v>94.781849192720898</v>
      </c>
      <c r="AJ4756">
        <v>101.082016885896</v>
      </c>
      <c r="AK4756">
        <v>13.384139279061101</v>
      </c>
      <c r="AL4756">
        <v>82.991199518905603</v>
      </c>
      <c r="AM4756">
        <v>95.749644172350997</v>
      </c>
      <c r="AN4756">
        <v>1.00000004551388</v>
      </c>
    </row>
    <row r="4757" spans="1:40" x14ac:dyDescent="0.25">
      <c r="A4757" t="str">
        <f>"20190312164405853"</f>
        <v>20190312164405853</v>
      </c>
      <c r="B4757" t="str">
        <f>"1552380245849657"</f>
        <v>1552380245849657</v>
      </c>
      <c r="C4757" t="s">
        <v>40</v>
      </c>
      <c r="D4757">
        <v>5.0859439999999996</v>
      </c>
      <c r="E4757">
        <v>0.47031299999999998</v>
      </c>
      <c r="F4757" t="s">
        <v>42</v>
      </c>
      <c r="G4757">
        <v>-265.69630000000001</v>
      </c>
      <c r="H4757" s="1">
        <v>-1.6765880000000001E-6</v>
      </c>
      <c r="I4757">
        <v>-61.239220000000003</v>
      </c>
      <c r="J4757">
        <v>-279.1481</v>
      </c>
      <c r="K4757">
        <v>1.1157079999999999</v>
      </c>
      <c r="L4757">
        <v>-61.717709999999997</v>
      </c>
      <c r="M4757">
        <v>0.98784309999999997</v>
      </c>
      <c r="N4757">
        <v>0</v>
      </c>
      <c r="O4757">
        <v>-0.15498689999999901</v>
      </c>
      <c r="P4757">
        <v>0.99203909999999995</v>
      </c>
      <c r="Q4757">
        <v>0.1116436</v>
      </c>
      <c r="R4757">
        <v>-5.8256629999999997E-2</v>
      </c>
      <c r="S4757">
        <v>3.0589599999999999</v>
      </c>
      <c r="T4757">
        <v>-0.25137969999999998</v>
      </c>
      <c r="U4757">
        <v>0.104126</v>
      </c>
      <c r="V4757">
        <v>-9.7925100000000001E-2</v>
      </c>
      <c r="W4757">
        <v>0.1221969</v>
      </c>
      <c r="X4757">
        <v>0.98766319999999996</v>
      </c>
      <c r="Y4757">
        <v>-0.18736610000000001</v>
      </c>
      <c r="Z4757">
        <v>2.036557E-2</v>
      </c>
      <c r="AA4757">
        <v>0.98207900000000004</v>
      </c>
      <c r="AB4757">
        <v>27</v>
      </c>
      <c r="AC4757">
        <v>13.451799999999899</v>
      </c>
      <c r="AD4757">
        <v>-1.1157096765879999</v>
      </c>
      <c r="AE4757">
        <v>0.47849000000000003</v>
      </c>
      <c r="AF4757">
        <v>-2.54025834779255</v>
      </c>
      <c r="AG4757">
        <v>-1.1157096765879999</v>
      </c>
      <c r="AH4757">
        <v>13.1248913079191</v>
      </c>
      <c r="AI4757">
        <v>94.770755923761001</v>
      </c>
      <c r="AJ4757">
        <v>100.95388088449801</v>
      </c>
      <c r="AK4757">
        <v>13.414935422902801</v>
      </c>
      <c r="AL4757">
        <v>82.981091079492501</v>
      </c>
      <c r="AM4757">
        <v>95.662271849916095</v>
      </c>
      <c r="AN4757">
        <v>1.00000000210693</v>
      </c>
    </row>
    <row r="4758" spans="1:40" x14ac:dyDescent="0.25">
      <c r="A4758" t="str">
        <f>"20190312164405866"</f>
        <v>20190312164405866</v>
      </c>
      <c r="B4758" t="str">
        <f>"1552380245859417"</f>
        <v>1552380245859417</v>
      </c>
      <c r="C4758" t="s">
        <v>40</v>
      </c>
      <c r="D4758">
        <v>5.0742050000000001</v>
      </c>
      <c r="E4758">
        <v>0.47063149999999998</v>
      </c>
      <c r="F4758" t="s">
        <v>42</v>
      </c>
      <c r="G4758">
        <v>-265.61399999999998</v>
      </c>
      <c r="H4758" s="1">
        <v>-1.6410959999999999E-6</v>
      </c>
      <c r="I4758">
        <v>-61.238419999999998</v>
      </c>
      <c r="J4758">
        <v>-279.01150000000001</v>
      </c>
      <c r="K4758">
        <v>1.1156900000000001</v>
      </c>
      <c r="L4758">
        <v>-61.735080000000004</v>
      </c>
      <c r="M4758">
        <v>0.98845590000000005</v>
      </c>
      <c r="N4758">
        <v>0</v>
      </c>
      <c r="O4758">
        <v>-0.15103229999999901</v>
      </c>
      <c r="P4758">
        <v>0.99214860000000005</v>
      </c>
      <c r="Q4758">
        <v>0.1119497</v>
      </c>
      <c r="R4758">
        <v>-5.5754940000000003E-2</v>
      </c>
      <c r="S4758">
        <v>3.0587770000000001</v>
      </c>
      <c r="T4758">
        <v>-0.25215700000000002</v>
      </c>
      <c r="U4758">
        <v>0.1083069</v>
      </c>
      <c r="V4758">
        <v>-9.6453949999999997E-2</v>
      </c>
      <c r="W4758">
        <v>0.122493699999999</v>
      </c>
      <c r="X4758">
        <v>0.98777119999999996</v>
      </c>
      <c r="Y4758">
        <v>-0.1847927</v>
      </c>
      <c r="Z4758">
        <v>2.0000649999999998E-2</v>
      </c>
      <c r="AA4758">
        <v>0.98257399999999995</v>
      </c>
      <c r="AB4758">
        <v>27</v>
      </c>
      <c r="AC4758">
        <v>13.3974999999999</v>
      </c>
      <c r="AD4758">
        <v>-1.1156916410959901</v>
      </c>
      <c r="AE4758">
        <v>0.49666000000000499</v>
      </c>
      <c r="AF4758">
        <v>-2.4972684609474598</v>
      </c>
      <c r="AG4758">
        <v>-1.1156916410959901</v>
      </c>
      <c r="AH4758">
        <v>13.078203880129299</v>
      </c>
      <c r="AI4758">
        <v>94.789925050554203</v>
      </c>
      <c r="AJ4758">
        <v>100.810430832763</v>
      </c>
      <c r="AK4758">
        <v>13.3611576719341</v>
      </c>
      <c r="AL4758">
        <v>82.963957010354306</v>
      </c>
      <c r="AM4758">
        <v>95.577140780629804</v>
      </c>
      <c r="AN4758">
        <v>1.00000000727986</v>
      </c>
    </row>
    <row r="4759" spans="1:40" x14ac:dyDescent="0.25">
      <c r="A4759" t="str">
        <f>"20190312164405876"</f>
        <v>20190312164405876</v>
      </c>
      <c r="B4759" t="str">
        <f>"1552380245870153"</f>
        <v>1552380245870153</v>
      </c>
      <c r="C4759" t="s">
        <v>40</v>
      </c>
      <c r="D4759">
        <v>5.1032440000000001</v>
      </c>
      <c r="E4759">
        <v>0.47074090000000002</v>
      </c>
      <c r="F4759" t="s">
        <v>42</v>
      </c>
      <c r="G4759">
        <v>-265.47969999999998</v>
      </c>
      <c r="H4759" s="1">
        <v>-1.582235E-6</v>
      </c>
      <c r="I4759">
        <v>-61.233690000000003</v>
      </c>
      <c r="J4759">
        <v>-278.87529999999998</v>
      </c>
      <c r="K4759">
        <v>1.1156710000000001</v>
      </c>
      <c r="L4759">
        <v>-61.751829999999998</v>
      </c>
      <c r="M4759">
        <v>0.98904899999999996</v>
      </c>
      <c r="N4759">
        <v>0</v>
      </c>
      <c r="O4759">
        <v>-0.14710239999999999</v>
      </c>
      <c r="P4759">
        <v>0.99229429999999996</v>
      </c>
      <c r="Q4759">
        <v>0.1119208</v>
      </c>
      <c r="R4759">
        <v>-5.3160850000000003E-2</v>
      </c>
      <c r="S4759">
        <v>3.0585330000000002</v>
      </c>
      <c r="T4759">
        <v>-0.25217509999999999</v>
      </c>
      <c r="U4759">
        <v>0.1133118</v>
      </c>
      <c r="V4759">
        <v>-9.5103030000000005E-2</v>
      </c>
      <c r="W4759">
        <v>0.12245159999999999</v>
      </c>
      <c r="X4759">
        <v>0.98790739999999999</v>
      </c>
      <c r="Y4759">
        <v>-0.18251580000000001</v>
      </c>
      <c r="Z4759">
        <v>1.9588700000000001E-2</v>
      </c>
      <c r="AA4759">
        <v>0.98300779999999999</v>
      </c>
      <c r="AB4759">
        <v>27</v>
      </c>
      <c r="AC4759">
        <v>13.3956</v>
      </c>
      <c r="AD4759">
        <v>-1.11567258223499</v>
      </c>
      <c r="AE4759">
        <v>0.51814000000000204</v>
      </c>
      <c r="AF4759">
        <v>-2.4660874542531999</v>
      </c>
      <c r="AG4759">
        <v>-1.11567258223499</v>
      </c>
      <c r="AH4759">
        <v>13.08301026531</v>
      </c>
      <c r="AI4759">
        <v>94.790233899873698</v>
      </c>
      <c r="AJ4759">
        <v>100.674741453436</v>
      </c>
      <c r="AK4759">
        <v>13.360069994015101</v>
      </c>
      <c r="AL4759">
        <v>82.966387448998006</v>
      </c>
      <c r="AM4759">
        <v>95.498756856990695</v>
      </c>
      <c r="AN4759">
        <v>1.0000000058162499</v>
      </c>
    </row>
    <row r="4760" spans="1:40" x14ac:dyDescent="0.25">
      <c r="A4760" t="str">
        <f>"20190312164405888"</f>
        <v>20190312164405888</v>
      </c>
      <c r="B4760" t="str">
        <f>"1552380245879913"</f>
        <v>1552380245879913</v>
      </c>
      <c r="C4760" t="s">
        <v>40</v>
      </c>
      <c r="D4760">
        <v>5.0639580000000004</v>
      </c>
      <c r="E4760">
        <v>0.47103060000000002</v>
      </c>
      <c r="F4760" t="s">
        <v>54</v>
      </c>
      <c r="G4760">
        <v>-265.21940000000001</v>
      </c>
      <c r="H4760" s="1">
        <v>-1.4656389999999901E-6</v>
      </c>
      <c r="I4760">
        <v>-61.215209999999999</v>
      </c>
      <c r="J4760">
        <v>-278.73910000000001</v>
      </c>
      <c r="K4760">
        <v>1.1156489999999999</v>
      </c>
      <c r="L4760">
        <v>-61.768009999999997</v>
      </c>
      <c r="M4760">
        <v>0.98962349999999999</v>
      </c>
      <c r="N4760">
        <v>0</v>
      </c>
      <c r="O4760">
        <v>-0.1431888</v>
      </c>
      <c r="P4760">
        <v>0.99241889999999999</v>
      </c>
      <c r="Q4760">
        <v>0.1119826</v>
      </c>
      <c r="R4760">
        <v>-5.0645099999999998E-2</v>
      </c>
      <c r="S4760">
        <v>3.057922</v>
      </c>
      <c r="T4760">
        <v>-0.24982860000000001</v>
      </c>
      <c r="U4760">
        <v>0.120147699999999</v>
      </c>
      <c r="V4760">
        <v>-9.3691529999999995E-2</v>
      </c>
      <c r="W4760">
        <v>0.12249889999999999</v>
      </c>
      <c r="X4760">
        <v>0.98803640000000004</v>
      </c>
      <c r="Y4760">
        <v>-0.18086720000000001</v>
      </c>
      <c r="Z4760">
        <v>1.9026370000000001E-2</v>
      </c>
      <c r="AA4760">
        <v>0.98332350000000002</v>
      </c>
      <c r="AB4760">
        <v>27</v>
      </c>
      <c r="AC4760">
        <v>13.5197</v>
      </c>
      <c r="AD4760">
        <v>-1.1156504656389901</v>
      </c>
      <c r="AE4760">
        <v>0.55279999999999696</v>
      </c>
      <c r="AF4760">
        <v>-2.4663433618069202</v>
      </c>
      <c r="AG4760">
        <v>-1.1156504656389901</v>
      </c>
      <c r="AH4760">
        <v>13.211390203253501</v>
      </c>
      <c r="AI4760">
        <v>94.745356369074599</v>
      </c>
      <c r="AJ4760">
        <v>100.574433622358</v>
      </c>
      <c r="AK4760">
        <v>13.485857653202199</v>
      </c>
      <c r="AL4760">
        <v>82.963656798979798</v>
      </c>
      <c r="AM4760">
        <v>95.416931485288799</v>
      </c>
      <c r="AN4760">
        <v>1.0000000055099501</v>
      </c>
    </row>
    <row r="4761" spans="1:40" x14ac:dyDescent="0.25">
      <c r="A4761" t="str">
        <f>"20190312164405900"</f>
        <v>20190312164405900</v>
      </c>
      <c r="B4761" t="str">
        <f>"1552380245889673"</f>
        <v>1552380245889673</v>
      </c>
      <c r="C4761" t="s">
        <v>40</v>
      </c>
      <c r="D4761">
        <v>5.0779290000000001</v>
      </c>
      <c r="E4761">
        <v>0.47124929999999898</v>
      </c>
      <c r="F4761" t="s">
        <v>42</v>
      </c>
      <c r="G4761">
        <v>-265.08679999999998</v>
      </c>
      <c r="H4761" s="1">
        <v>-1.4066349999999999E-6</v>
      </c>
      <c r="I4761">
        <v>-61.207340000000002</v>
      </c>
      <c r="J4761">
        <v>-278.59809999999999</v>
      </c>
      <c r="K4761">
        <v>1.1156250000000001</v>
      </c>
      <c r="L4761">
        <v>-61.78436</v>
      </c>
      <c r="M4761">
        <v>0.99019990000000002</v>
      </c>
      <c r="N4761">
        <v>0</v>
      </c>
      <c r="O4761">
        <v>-0.13915039999999901</v>
      </c>
      <c r="P4761">
        <v>0.99254390000000003</v>
      </c>
      <c r="Q4761">
        <v>0.1119701</v>
      </c>
      <c r="R4761">
        <v>-4.8162459999999997E-2</v>
      </c>
      <c r="S4761">
        <v>3.0575260000000002</v>
      </c>
      <c r="T4761">
        <v>-0.2498572</v>
      </c>
      <c r="U4761">
        <v>0.1255493</v>
      </c>
      <c r="V4761">
        <v>-9.2124239999999996E-2</v>
      </c>
      <c r="W4761">
        <v>0.12247329999999999</v>
      </c>
      <c r="X4761">
        <v>0.98818700000000004</v>
      </c>
      <c r="Y4761">
        <v>-0.178615</v>
      </c>
      <c r="Z4761">
        <v>1.8611539999999999E-2</v>
      </c>
      <c r="AA4761">
        <v>0.98374300000000003</v>
      </c>
      <c r="AB4761">
        <v>27</v>
      </c>
      <c r="AC4761">
        <v>13.5113</v>
      </c>
      <c r="AD4761">
        <v>-1.1156264066349999</v>
      </c>
      <c r="AE4761">
        <v>0.57701999999999698</v>
      </c>
      <c r="AF4761">
        <v>-2.4350696329643302</v>
      </c>
      <c r="AG4761">
        <v>-1.1156264066349999</v>
      </c>
      <c r="AH4761">
        <v>13.2096386334906</v>
      </c>
      <c r="AI4761">
        <v>94.7478661054448</v>
      </c>
      <c r="AJ4761">
        <v>100.444670347746</v>
      </c>
      <c r="AK4761">
        <v>13.478454630408301</v>
      </c>
      <c r="AL4761">
        <v>82.965135126081194</v>
      </c>
      <c r="AM4761">
        <v>95.326034519143093</v>
      </c>
      <c r="AN4761">
        <v>1.00000006588873</v>
      </c>
    </row>
    <row r="4762" spans="1:40" x14ac:dyDescent="0.25">
      <c r="A4762" t="str">
        <f>"20190312164405914"</f>
        <v>20190312164405914</v>
      </c>
      <c r="B4762" t="str">
        <f>"1552380245910168"</f>
        <v>1552380245910168</v>
      </c>
      <c r="C4762" t="s">
        <v>40</v>
      </c>
      <c r="D4762">
        <v>5.2134640000000001</v>
      </c>
      <c r="E4762">
        <v>0.47143590000000002</v>
      </c>
      <c r="F4762" t="s">
        <v>42</v>
      </c>
      <c r="G4762">
        <v>-265.00889999999998</v>
      </c>
      <c r="H4762" s="1">
        <v>-1.371097E-6</v>
      </c>
      <c r="I4762">
        <v>-61.199260000000002</v>
      </c>
      <c r="J4762">
        <v>-278.44110000000001</v>
      </c>
      <c r="K4762">
        <v>1.1155930000000001</v>
      </c>
      <c r="L4762">
        <v>-61.801639999999999</v>
      </c>
      <c r="M4762">
        <v>0.99081759999999997</v>
      </c>
      <c r="N4762">
        <v>0</v>
      </c>
      <c r="O4762">
        <v>-0.134686</v>
      </c>
      <c r="P4762">
        <v>0.99265800000000004</v>
      </c>
      <c r="Q4762">
        <v>0.1122107</v>
      </c>
      <c r="R4762">
        <v>-4.5158030000000002E-2</v>
      </c>
      <c r="S4762">
        <v>3.057312</v>
      </c>
      <c r="T4762">
        <v>-0.25099440000000001</v>
      </c>
      <c r="U4762">
        <v>0.1316223</v>
      </c>
      <c r="V4762">
        <v>-9.0651529999999994E-2</v>
      </c>
      <c r="W4762">
        <v>0.1226901</v>
      </c>
      <c r="X4762">
        <v>0.98829619999999996</v>
      </c>
      <c r="Y4762">
        <v>-0.17614739999999901</v>
      </c>
      <c r="Z4762">
        <v>1.8232129999999999E-2</v>
      </c>
      <c r="AA4762">
        <v>0.98419489999999998</v>
      </c>
      <c r="AB4762">
        <v>27</v>
      </c>
      <c r="AC4762">
        <v>13.4322</v>
      </c>
      <c r="AD4762">
        <v>-1.115594371097</v>
      </c>
      <c r="AE4762">
        <v>0.60238000000000302</v>
      </c>
      <c r="AF4762">
        <v>-2.3896957780133001</v>
      </c>
      <c r="AG4762">
        <v>-1.115594371097</v>
      </c>
      <c r="AH4762">
        <v>13.138210678732101</v>
      </c>
      <c r="AI4762">
        <v>94.775487283571707</v>
      </c>
      <c r="AJ4762">
        <v>100.308773213949</v>
      </c>
      <c r="AK4762">
        <v>13.4002901666728</v>
      </c>
      <c r="AL4762">
        <v>82.952618329581995</v>
      </c>
      <c r="AM4762">
        <v>95.240793962930397</v>
      </c>
      <c r="AN4762">
        <v>0.99999996973189498</v>
      </c>
    </row>
    <row r="4763" spans="1:40" x14ac:dyDescent="0.25">
      <c r="A4763" t="str">
        <f>"20190312164405928"</f>
        <v>20190312164405928</v>
      </c>
      <c r="B4763" t="str">
        <f>"1552380245919929"</f>
        <v>1552380245919929</v>
      </c>
      <c r="C4763" t="s">
        <v>40</v>
      </c>
      <c r="D4763">
        <v>5.0991910000000003</v>
      </c>
      <c r="E4763">
        <v>0.47702470000000002</v>
      </c>
      <c r="F4763" t="s">
        <v>54</v>
      </c>
      <c r="G4763">
        <v>-264.84930000000003</v>
      </c>
      <c r="H4763" s="1">
        <v>-1.297827E-6</v>
      </c>
      <c r="I4763">
        <v>-61.181190000000001</v>
      </c>
      <c r="J4763">
        <v>-278.2663</v>
      </c>
      <c r="K4763">
        <v>1.115553</v>
      </c>
      <c r="L4763">
        <v>-61.820250000000001</v>
      </c>
      <c r="M4763">
        <v>0.99147799999999997</v>
      </c>
      <c r="N4763">
        <v>0</v>
      </c>
      <c r="O4763">
        <v>-0.1297413</v>
      </c>
      <c r="P4763">
        <v>0.99280449999999998</v>
      </c>
      <c r="Q4763">
        <v>0.1121921</v>
      </c>
      <c r="R4763">
        <v>-4.1859399999999998E-2</v>
      </c>
      <c r="S4763">
        <v>3.0568849999999999</v>
      </c>
      <c r="T4763">
        <v>-0.25090519999999999</v>
      </c>
      <c r="U4763">
        <v>0.13952639999999999</v>
      </c>
      <c r="V4763">
        <v>-8.8992669999999996E-2</v>
      </c>
      <c r="W4763">
        <v>0.1226418</v>
      </c>
      <c r="X4763">
        <v>0.98845300000000003</v>
      </c>
      <c r="Y4763">
        <v>-0.173807399999999</v>
      </c>
      <c r="Z4763">
        <v>1.7728910000000001E-2</v>
      </c>
      <c r="AA4763">
        <v>0.9846201</v>
      </c>
      <c r="AB4763">
        <v>27</v>
      </c>
      <c r="AC4763">
        <v>13.4169999999999</v>
      </c>
      <c r="AD4763">
        <v>-1.1155542978270001</v>
      </c>
      <c r="AE4763">
        <v>0.63905999999999996</v>
      </c>
      <c r="AF4763">
        <v>-2.3582516346795699</v>
      </c>
      <c r="AG4763">
        <v>-1.1155542978270001</v>
      </c>
      <c r="AH4763">
        <v>13.1301001153813</v>
      </c>
      <c r="AI4763">
        <v>94.780153067939494</v>
      </c>
      <c r="AJ4763">
        <v>100.182135200304</v>
      </c>
      <c r="AK4763">
        <v>13.3867599217961</v>
      </c>
      <c r="AL4763">
        <v>82.955407128709496</v>
      </c>
      <c r="AM4763">
        <v>95.144598782111203</v>
      </c>
      <c r="AN4763">
        <v>1.0000000198149801</v>
      </c>
    </row>
    <row r="4764" spans="1:40" x14ac:dyDescent="0.25">
      <c r="A4764" t="str">
        <f>"20190312164405939"</f>
        <v>20190312164405939</v>
      </c>
      <c r="B4764" t="str">
        <f>"1552380245929690"</f>
        <v>1552380245929690</v>
      </c>
      <c r="C4764" t="s">
        <v>40</v>
      </c>
      <c r="D4764">
        <v>5.1147400000000003</v>
      </c>
      <c r="E4764">
        <v>0.4770086</v>
      </c>
      <c r="F4764" t="s">
        <v>54</v>
      </c>
      <c r="G4764">
        <v>-264.06220000000002</v>
      </c>
      <c r="H4764" s="1">
        <v>-1.000913E-6</v>
      </c>
      <c r="I4764">
        <v>-61.334359999999997</v>
      </c>
      <c r="J4764">
        <v>-278.12029999999999</v>
      </c>
      <c r="K4764">
        <v>1.115513</v>
      </c>
      <c r="L4764">
        <v>-61.835239999999999</v>
      </c>
      <c r="M4764">
        <v>0.99200770000000005</v>
      </c>
      <c r="N4764">
        <v>0</v>
      </c>
      <c r="O4764">
        <v>-0.12563160000000001</v>
      </c>
      <c r="P4764">
        <v>0.99289470000000002</v>
      </c>
      <c r="Q4764">
        <v>0.1123096</v>
      </c>
      <c r="R4764">
        <v>-3.9333359999999998E-2</v>
      </c>
      <c r="S4764">
        <v>3.0532840000000001</v>
      </c>
      <c r="T4764">
        <v>-0.2397976</v>
      </c>
      <c r="U4764">
        <v>0.1044312</v>
      </c>
      <c r="V4764">
        <v>-8.7400320000000004E-2</v>
      </c>
      <c r="W4764">
        <v>0.1227336</v>
      </c>
      <c r="X4764">
        <v>0.98858369999999995</v>
      </c>
      <c r="Y4764">
        <v>-0.1586051</v>
      </c>
      <c r="Z4764">
        <v>1.6051960000000001E-2</v>
      </c>
      <c r="AA4764">
        <v>0.98721159999999997</v>
      </c>
      <c r="AB4764">
        <v>27</v>
      </c>
      <c r="AC4764">
        <v>14.0580999999999</v>
      </c>
      <c r="AD4764">
        <v>-1.115514000913</v>
      </c>
      <c r="AE4764">
        <v>0.50088000000000199</v>
      </c>
      <c r="AF4764">
        <v>-2.2490309347024602</v>
      </c>
      <c r="AG4764">
        <v>-1.115514000913</v>
      </c>
      <c r="AH4764">
        <v>13.7970088639227</v>
      </c>
      <c r="AI4764">
        <v>94.562456607577801</v>
      </c>
      <c r="AJ4764">
        <v>99.258274225823797</v>
      </c>
      <c r="AK4764">
        <v>14.0235503786539</v>
      </c>
      <c r="AL4764">
        <v>82.950107496723305</v>
      </c>
      <c r="AM4764">
        <v>95.052362511458995</v>
      </c>
      <c r="AN4764">
        <v>1.0000000422053701</v>
      </c>
    </row>
    <row r="4765" spans="1:40" x14ac:dyDescent="0.25">
      <c r="A4765" t="str">
        <f>"20190312164405956"</f>
        <v>20190312164405956</v>
      </c>
      <c r="B4765" t="str">
        <f>"1552380245950184"</f>
        <v>1552380245950184</v>
      </c>
      <c r="C4765" t="s">
        <v>40</v>
      </c>
      <c r="D4765">
        <v>5.1951989999999997</v>
      </c>
      <c r="E4765">
        <v>0.47677649999999999</v>
      </c>
      <c r="F4765" t="s">
        <v>54</v>
      </c>
      <c r="G4765">
        <v>-263.49869999999999</v>
      </c>
      <c r="H4765" s="1">
        <v>-7.4979049999999995E-7</v>
      </c>
      <c r="I4765">
        <v>-61.299079999999996</v>
      </c>
      <c r="J4765">
        <v>-277.93529999999998</v>
      </c>
      <c r="K4765">
        <v>1.115462</v>
      </c>
      <c r="L4765">
        <v>-61.853149999999999</v>
      </c>
      <c r="M4765">
        <v>0.99264790000000003</v>
      </c>
      <c r="N4765">
        <v>0</v>
      </c>
      <c r="O4765">
        <v>-0.1204746</v>
      </c>
      <c r="P4765">
        <v>0.99290389999999995</v>
      </c>
      <c r="Q4765">
        <v>0.1128348</v>
      </c>
      <c r="R4765">
        <v>-3.7546889999999999E-2</v>
      </c>
      <c r="S4765">
        <v>3.0522459999999998</v>
      </c>
      <c r="T4765">
        <v>-0.23286290000000001</v>
      </c>
      <c r="U4765">
        <v>0.11190799999999999</v>
      </c>
      <c r="V4765">
        <v>-8.4024000000000001E-2</v>
      </c>
      <c r="W4765">
        <v>0.1232432</v>
      </c>
      <c r="X4765">
        <v>0.98881300000000005</v>
      </c>
      <c r="Y4765">
        <v>-0.15597259999999999</v>
      </c>
      <c r="Z4765">
        <v>1.5102910000000001E-2</v>
      </c>
      <c r="AA4765">
        <v>0.98764589999999997</v>
      </c>
      <c r="AB4765">
        <v>27</v>
      </c>
      <c r="AC4765">
        <v>14.4366</v>
      </c>
      <c r="AD4765">
        <v>-1.1154627497904901</v>
      </c>
      <c r="AE4765">
        <v>0.55406999999999496</v>
      </c>
      <c r="AF4765">
        <v>-2.2758288355247598</v>
      </c>
      <c r="AG4765">
        <v>-1.1154627497904901</v>
      </c>
      <c r="AH4765">
        <v>14.18014733907</v>
      </c>
      <c r="AI4765">
        <v>94.441231410337906</v>
      </c>
      <c r="AJ4765">
        <v>99.117873465692696</v>
      </c>
      <c r="AK4765">
        <v>14.4048683642896</v>
      </c>
      <c r="AL4765">
        <v>82.9206861463677</v>
      </c>
      <c r="AM4765">
        <v>94.857018666546296</v>
      </c>
      <c r="AN4765">
        <v>1.0000000339456101</v>
      </c>
    </row>
    <row r="4766" spans="1:40" x14ac:dyDescent="0.25">
      <c r="A4766" t="str">
        <f>"20190312164405966"</f>
        <v>20190312164405966</v>
      </c>
      <c r="B4766" t="str">
        <f>"1552380245959945"</f>
        <v>1552380245959945</v>
      </c>
      <c r="C4766" t="s">
        <v>40</v>
      </c>
      <c r="D4766">
        <v>5.4240120000000003</v>
      </c>
      <c r="E4766">
        <v>0.47728710000000002</v>
      </c>
      <c r="F4766" t="s">
        <v>54</v>
      </c>
      <c r="G4766">
        <v>-263.19119999999998</v>
      </c>
      <c r="H4766" s="1">
        <v>-6.1163690000000002E-7</v>
      </c>
      <c r="I4766">
        <v>-61.275779999999997</v>
      </c>
      <c r="J4766">
        <v>-277.80650000000003</v>
      </c>
      <c r="K4766">
        <v>1.1154219999999999</v>
      </c>
      <c r="L4766">
        <v>-61.8651699999999</v>
      </c>
      <c r="M4766">
        <v>0.99307509999999999</v>
      </c>
      <c r="N4766">
        <v>0</v>
      </c>
      <c r="O4766">
        <v>-0.1169067</v>
      </c>
      <c r="P4766">
        <v>0.99291119999999999</v>
      </c>
      <c r="Q4766">
        <v>0.1133285</v>
      </c>
      <c r="R4766">
        <v>-3.5831839999999997E-2</v>
      </c>
      <c r="S4766">
        <v>3.0521850000000001</v>
      </c>
      <c r="T4766">
        <v>-0.23091220000000001</v>
      </c>
      <c r="U4766">
        <v>0.1195068</v>
      </c>
      <c r="V4766">
        <v>-8.2167400000000002E-2</v>
      </c>
      <c r="W4766">
        <v>0.12371740000000001</v>
      </c>
      <c r="X4766">
        <v>0.98890979999999995</v>
      </c>
      <c r="Y4766">
        <v>-0.15490590000000001</v>
      </c>
      <c r="Z4766">
        <v>1.466808E-2</v>
      </c>
      <c r="AA4766">
        <v>0.98782029999999998</v>
      </c>
      <c r="AB4766">
        <v>27</v>
      </c>
      <c r="AC4766">
        <v>14.6153</v>
      </c>
      <c r="AD4766">
        <v>-1.1154226116368999</v>
      </c>
      <c r="AE4766">
        <v>0.58938999999998698</v>
      </c>
      <c r="AF4766">
        <v>-2.2808262536275099</v>
      </c>
      <c r="AG4766">
        <v>-1.1154226116368999</v>
      </c>
      <c r="AH4766">
        <v>14.362639342671899</v>
      </c>
      <c r="AI4766">
        <v>94.386015546903494</v>
      </c>
      <c r="AJ4766">
        <v>99.023377898504705</v>
      </c>
      <c r="AK4766">
        <v>14.585326355260399</v>
      </c>
      <c r="AL4766">
        <v>82.893306960846701</v>
      </c>
      <c r="AM4766">
        <v>94.749731416165204</v>
      </c>
      <c r="AN4766">
        <v>1.00000003461077</v>
      </c>
    </row>
    <row r="4767" spans="1:40" x14ac:dyDescent="0.25">
      <c r="A4767" t="str">
        <f>"20190312164405977"</f>
        <v>20190312164405977</v>
      </c>
      <c r="B4767" t="str">
        <f>"1552380245969704"</f>
        <v>1552380245969704</v>
      </c>
      <c r="C4767" t="s">
        <v>40</v>
      </c>
      <c r="D4767">
        <v>5.1285920000000003</v>
      </c>
      <c r="E4767">
        <v>0.47741050000000002</v>
      </c>
      <c r="F4767" t="s">
        <v>42</v>
      </c>
      <c r="G4767">
        <v>-263.25369999999998</v>
      </c>
      <c r="H4767" s="1">
        <v>-6.4165899999999996E-7</v>
      </c>
      <c r="I4767">
        <v>-61.287790000000001</v>
      </c>
      <c r="J4767">
        <v>-277.66640000000001</v>
      </c>
      <c r="K4767">
        <v>1.115381</v>
      </c>
      <c r="L4767">
        <v>-61.877780000000001</v>
      </c>
      <c r="M4767">
        <v>0.99352220000000002</v>
      </c>
      <c r="N4767">
        <v>0</v>
      </c>
      <c r="O4767">
        <v>-0.1130511</v>
      </c>
      <c r="P4767">
        <v>0.99296399999999996</v>
      </c>
      <c r="Q4767">
        <v>0.1135273</v>
      </c>
      <c r="R4767">
        <v>-3.368165E-2</v>
      </c>
      <c r="S4767">
        <v>3.0524900000000001</v>
      </c>
      <c r="T4767">
        <v>-0.2339629</v>
      </c>
      <c r="U4767">
        <v>0.1210938</v>
      </c>
      <c r="V4767">
        <v>-8.0457119999999993E-2</v>
      </c>
      <c r="W4767">
        <v>0.1238892</v>
      </c>
      <c r="X4767">
        <v>0.98902889999999999</v>
      </c>
      <c r="Y4767">
        <v>-0.1515802</v>
      </c>
      <c r="Z4767">
        <v>1.4438670000000001E-2</v>
      </c>
      <c r="AA4767">
        <v>0.98833950000000004</v>
      </c>
      <c r="AB4767">
        <v>27</v>
      </c>
      <c r="AC4767">
        <v>14.412699999999999</v>
      </c>
      <c r="AD4767">
        <v>-1.1153816416589999</v>
      </c>
      <c r="AE4767">
        <v>0.58999000000000001</v>
      </c>
      <c r="AF4767">
        <v>-2.2025183210427799</v>
      </c>
      <c r="AG4767">
        <v>-1.1153816416589999</v>
      </c>
      <c r="AH4767">
        <v>14.1688711114329</v>
      </c>
      <c r="AI4767">
        <v>94.447874059275506</v>
      </c>
      <c r="AJ4767">
        <v>98.835780379225895</v>
      </c>
      <c r="AK4767">
        <v>14.382352788521001</v>
      </c>
      <c r="AL4767">
        <v>82.883387152358395</v>
      </c>
      <c r="AM4767">
        <v>94.650748454173296</v>
      </c>
      <c r="AN4767">
        <v>1.00000002353527</v>
      </c>
    </row>
    <row r="4768" spans="1:40" x14ac:dyDescent="0.25">
      <c r="A4768" t="str">
        <f>"20190312164405991"</f>
        <v>20190312164405991</v>
      </c>
      <c r="B4768" t="str">
        <f>"1552380245979464"</f>
        <v>1552380245979464</v>
      </c>
      <c r="C4768" t="s">
        <v>40</v>
      </c>
      <c r="D4768">
        <v>5.2707420000000003</v>
      </c>
      <c r="E4768">
        <v>0.477935</v>
      </c>
      <c r="F4768" t="s">
        <v>42</v>
      </c>
      <c r="G4768">
        <v>-263.01490000000001</v>
      </c>
      <c r="H4768" s="1">
        <v>-5.3456069999999999E-7</v>
      </c>
      <c r="I4768">
        <v>-61.270339999999997</v>
      </c>
      <c r="J4768">
        <v>-277.50869999999998</v>
      </c>
      <c r="K4768">
        <v>1.115332</v>
      </c>
      <c r="L4768">
        <v>-61.891170000000002</v>
      </c>
      <c r="M4768">
        <v>0.99400290000000002</v>
      </c>
      <c r="N4768">
        <v>0</v>
      </c>
      <c r="O4768">
        <v>-0.10875170000000001</v>
      </c>
      <c r="P4768">
        <v>0.99303929999999996</v>
      </c>
      <c r="Q4768">
        <v>0.1135988</v>
      </c>
      <c r="R4768">
        <v>-3.112403E-2</v>
      </c>
      <c r="S4768">
        <v>3.052155</v>
      </c>
      <c r="T4768">
        <v>-0.23235249999999999</v>
      </c>
      <c r="U4768">
        <v>0.1265259</v>
      </c>
      <c r="V4768">
        <v>-7.8710730000000007E-2</v>
      </c>
      <c r="W4768">
        <v>0.1239256</v>
      </c>
      <c r="X4768">
        <v>0.98916479999999996</v>
      </c>
      <c r="Y4768">
        <v>-0.14909410000000001</v>
      </c>
      <c r="Z4768">
        <v>1.392083E-2</v>
      </c>
      <c r="AA4768">
        <v>0.98872499999999997</v>
      </c>
      <c r="AB4768">
        <v>27</v>
      </c>
      <c r="AC4768">
        <v>14.493799999999901</v>
      </c>
      <c r="AD4768">
        <v>-1.1153325345606999</v>
      </c>
      <c r="AE4768">
        <v>0.62082999999999</v>
      </c>
      <c r="AF4768">
        <v>-2.18058714967112</v>
      </c>
      <c r="AG4768">
        <v>-1.1153325345606999</v>
      </c>
      <c r="AH4768">
        <v>14.2560394473361</v>
      </c>
      <c r="AI4768">
        <v>94.422242786925693</v>
      </c>
      <c r="AJ4768">
        <v>98.696491367865804</v>
      </c>
      <c r="AK4768">
        <v>14.4649088384256</v>
      </c>
      <c r="AL4768">
        <v>82.881284988116093</v>
      </c>
      <c r="AM4768">
        <v>94.549606079520899</v>
      </c>
      <c r="AN4768">
        <v>0.99999996745576503</v>
      </c>
    </row>
    <row r="4769" spans="1:40" x14ac:dyDescent="0.25">
      <c r="A4769" t="str">
        <f>"20190312164406010"</f>
        <v>20190312164406010</v>
      </c>
      <c r="B4769" t="str">
        <f>"1552380245999961"</f>
        <v>1552380245999961</v>
      </c>
      <c r="C4769" t="s">
        <v>40</v>
      </c>
      <c r="D4769">
        <v>5.1245379999999896</v>
      </c>
      <c r="E4769">
        <v>0.47893790000000003</v>
      </c>
      <c r="F4769" t="s">
        <v>54</v>
      </c>
      <c r="G4769">
        <v>-263.09300000000002</v>
      </c>
      <c r="H4769" s="1">
        <v>-5.6936139999999995E-7</v>
      </c>
      <c r="I4769">
        <v>-61.275199999999998</v>
      </c>
      <c r="J4769">
        <v>-277.27030000000002</v>
      </c>
      <c r="K4769">
        <v>1.1152599999999999</v>
      </c>
      <c r="L4769">
        <v>-61.910400000000003</v>
      </c>
      <c r="M4769">
        <v>0.99468650000000003</v>
      </c>
      <c r="N4769">
        <v>0</v>
      </c>
      <c r="O4769">
        <v>-0.10232140000000001</v>
      </c>
      <c r="P4769">
        <v>0.99309579999999997</v>
      </c>
      <c r="Q4769">
        <v>0.1137973</v>
      </c>
      <c r="R4769">
        <v>-2.8483660000000001E-2</v>
      </c>
      <c r="S4769">
        <v>3.0521240000000001</v>
      </c>
      <c r="T4769">
        <v>-0.23614060000000001</v>
      </c>
      <c r="U4769">
        <v>0.13040160000000001</v>
      </c>
      <c r="V4769">
        <v>-7.491834E-2</v>
      </c>
      <c r="W4769">
        <v>0.1240836</v>
      </c>
      <c r="X4769">
        <v>0.98943950000000003</v>
      </c>
      <c r="Y4769">
        <v>-0.14396199999999901</v>
      </c>
      <c r="Z4769">
        <v>1.345383E-2</v>
      </c>
      <c r="AA4769">
        <v>0.98949180000000003</v>
      </c>
      <c r="AB4769">
        <v>27</v>
      </c>
      <c r="AC4769">
        <v>14.177300000000001</v>
      </c>
      <c r="AD4769">
        <v>-1.1152605693613999</v>
      </c>
      <c r="AE4769">
        <v>0.63520000000000398</v>
      </c>
      <c r="AF4769">
        <v>-2.0698176593492801</v>
      </c>
      <c r="AG4769">
        <v>-1.1152605693613999</v>
      </c>
      <c r="AH4769">
        <v>13.9517172125783</v>
      </c>
      <c r="AI4769">
        <v>94.521069543209805</v>
      </c>
      <c r="AJ4769">
        <v>98.438608681519497</v>
      </c>
      <c r="AK4769">
        <v>14.1484403543387</v>
      </c>
      <c r="AL4769">
        <v>82.872162149539406</v>
      </c>
      <c r="AM4769">
        <v>94.330057085521602</v>
      </c>
      <c r="AN4769">
        <v>1.0000000108087801</v>
      </c>
    </row>
    <row r="4770" spans="1:40" x14ac:dyDescent="0.25">
      <c r="A4770" t="str">
        <f>"20190312164406021"</f>
        <v>20190312164406021</v>
      </c>
      <c r="B4770" t="str">
        <f>"1552380246009722"</f>
        <v>1552380246009722</v>
      </c>
      <c r="C4770" t="s">
        <v>40</v>
      </c>
      <c r="D4770">
        <v>5.1678309999999996</v>
      </c>
      <c r="E4770">
        <v>0.47932530000000001</v>
      </c>
      <c r="F4770" t="s">
        <v>42</v>
      </c>
      <c r="G4770">
        <v>-262.93630000000002</v>
      </c>
      <c r="H4770" s="1">
        <v>-5.0785289999999997E-7</v>
      </c>
      <c r="I4770">
        <v>-61.296570000000003</v>
      </c>
      <c r="J4770">
        <v>-277.1379</v>
      </c>
      <c r="K4770">
        <v>1.115216</v>
      </c>
      <c r="L4770">
        <v>-61.9206199999999</v>
      </c>
      <c r="M4770">
        <v>0.99504510000000002</v>
      </c>
      <c r="N4770">
        <v>0</v>
      </c>
      <c r="O4770">
        <v>-9.8780220000000002E-2</v>
      </c>
      <c r="P4770">
        <v>0.99313850000000004</v>
      </c>
      <c r="Q4770">
        <v>0.1138536</v>
      </c>
      <c r="R4770">
        <v>-2.671016E-2</v>
      </c>
      <c r="S4770">
        <v>3.0518489999999998</v>
      </c>
      <c r="T4770">
        <v>-0.2374511</v>
      </c>
      <c r="U4770">
        <v>0.1306763</v>
      </c>
      <c r="V4770">
        <v>-7.314872E-2</v>
      </c>
      <c r="W4770">
        <v>0.1241106</v>
      </c>
      <c r="X4770">
        <v>0.98956849999999996</v>
      </c>
      <c r="Y4770">
        <v>-0.14054430000000001</v>
      </c>
      <c r="Z4770">
        <v>1.312252E-2</v>
      </c>
      <c r="AA4770">
        <v>0.98998739999999996</v>
      </c>
      <c r="AB4770">
        <v>27</v>
      </c>
      <c r="AC4770">
        <v>14.2015999999999</v>
      </c>
      <c r="AD4770">
        <v>-1.1152165078528999</v>
      </c>
      <c r="AE4770">
        <v>0.624049999999996</v>
      </c>
      <c r="AF4770">
        <v>-2.0115438908189498</v>
      </c>
      <c r="AG4770">
        <v>-1.1152165078528999</v>
      </c>
      <c r="AH4770">
        <v>13.9844175178103</v>
      </c>
      <c r="AI4770">
        <v>94.513265201240003</v>
      </c>
      <c r="AJ4770">
        <v>98.185383494895603</v>
      </c>
      <c r="AK4770">
        <v>14.1722951562729</v>
      </c>
      <c r="AL4770">
        <v>82.870603007805002</v>
      </c>
      <c r="AM4770">
        <v>94.227604510778306</v>
      </c>
      <c r="AN4770">
        <v>0.99999999623112401</v>
      </c>
    </row>
    <row r="4771" spans="1:40" x14ac:dyDescent="0.25">
      <c r="A4771" t="str">
        <f>"20190312164406032"</f>
        <v>20190312164406032</v>
      </c>
      <c r="B4771" t="str">
        <f>"1552380246019481"</f>
        <v>1552380246019481</v>
      </c>
      <c r="C4771" t="s">
        <v>40</v>
      </c>
      <c r="D4771">
        <v>5.2911590000000004</v>
      </c>
      <c r="E4771">
        <v>0.47969129999999899</v>
      </c>
      <c r="F4771" t="s">
        <v>54</v>
      </c>
      <c r="G4771">
        <v>-262.79000000000002</v>
      </c>
      <c r="H4771" s="1">
        <v>-4.4445440000000001E-7</v>
      </c>
      <c r="I4771">
        <v>-61.294220000000003</v>
      </c>
      <c r="J4771">
        <v>-277.0077</v>
      </c>
      <c r="K4771">
        <v>1.1151759999999999</v>
      </c>
      <c r="L4771">
        <v>-61.929929999999999</v>
      </c>
      <c r="M4771">
        <v>0.99538040000000005</v>
      </c>
      <c r="N4771">
        <v>0</v>
      </c>
      <c r="O4771">
        <v>-9.5348790000000003E-2</v>
      </c>
      <c r="P4771">
        <v>0.99315889999999996</v>
      </c>
      <c r="Q4771">
        <v>0.1139877</v>
      </c>
      <c r="R4771">
        <v>-2.534923E-2</v>
      </c>
      <c r="S4771">
        <v>3.0515140000000001</v>
      </c>
      <c r="T4771">
        <v>-0.2371848</v>
      </c>
      <c r="U4771">
        <v>0.1332092</v>
      </c>
      <c r="V4771">
        <v>-7.1078459999999996E-2</v>
      </c>
      <c r="W4771">
        <v>0.12421889999999899</v>
      </c>
      <c r="X4771">
        <v>0.98970570000000002</v>
      </c>
      <c r="Y4771">
        <v>-0.13797479999999901</v>
      </c>
      <c r="Z4771">
        <v>1.2743920000000001E-2</v>
      </c>
      <c r="AA4771">
        <v>0.99035379999999995</v>
      </c>
      <c r="AB4771">
        <v>27</v>
      </c>
      <c r="AC4771">
        <v>14.217699999999899</v>
      </c>
      <c r="AD4771">
        <v>-1.1151764444543999</v>
      </c>
      <c r="AE4771">
        <v>0.63571000000000999</v>
      </c>
      <c r="AF4771">
        <v>-1.9764045914356401</v>
      </c>
      <c r="AG4771">
        <v>-1.1151764444543999</v>
      </c>
      <c r="AH4771">
        <v>14.006299630852199</v>
      </c>
      <c r="AI4771">
        <v>94.507795219519394</v>
      </c>
      <c r="AJ4771">
        <v>98.031878952700794</v>
      </c>
      <c r="AK4771">
        <v>14.188947211140199</v>
      </c>
      <c r="AL4771">
        <v>82.864348990423593</v>
      </c>
      <c r="AM4771">
        <v>94.107802617025598</v>
      </c>
      <c r="AN4771">
        <v>0.99999992760283296</v>
      </c>
    </row>
    <row r="4772" spans="1:40" x14ac:dyDescent="0.25">
      <c r="A4772" t="str">
        <f>"20190312164406043"</f>
        <v>20190312164406043</v>
      </c>
      <c r="B4772" t="str">
        <f>"1552380246039977"</f>
        <v>1552380246039977</v>
      </c>
      <c r="C4772" t="s">
        <v>40</v>
      </c>
      <c r="D4772">
        <v>5.1351250000000004</v>
      </c>
      <c r="E4772">
        <v>0.48025410000000002</v>
      </c>
      <c r="F4772" t="s">
        <v>42</v>
      </c>
      <c r="G4772">
        <v>-262.69529999999997</v>
      </c>
      <c r="H4772" s="1">
        <v>-4.0497930000000002E-7</v>
      </c>
      <c r="I4772">
        <v>-61.298609999999996</v>
      </c>
      <c r="J4772">
        <v>-276.86829999999998</v>
      </c>
      <c r="K4772">
        <v>1.115129</v>
      </c>
      <c r="L4772">
        <v>-61.9396699999999</v>
      </c>
      <c r="M4772">
        <v>0.99572490000000002</v>
      </c>
      <c r="N4772">
        <v>0</v>
      </c>
      <c r="O4772">
        <v>-9.1690259999999996E-2</v>
      </c>
      <c r="P4772">
        <v>0.99318059999999997</v>
      </c>
      <c r="Q4772">
        <v>0.11415019999999999</v>
      </c>
      <c r="R4772">
        <v>-2.37115E-2</v>
      </c>
      <c r="S4772">
        <v>3.0513919999999999</v>
      </c>
      <c r="T4772">
        <v>-0.23775479999999999</v>
      </c>
      <c r="U4772">
        <v>0.13458249999999999</v>
      </c>
      <c r="V4772">
        <v>-6.9057779999999999E-2</v>
      </c>
      <c r="W4772">
        <v>0.124351</v>
      </c>
      <c r="X4772">
        <v>0.98983220000000005</v>
      </c>
      <c r="Y4772">
        <v>-0.13479849999999999</v>
      </c>
      <c r="Z4772">
        <v>1.236752E-2</v>
      </c>
      <c r="AA4772">
        <v>0.99079589999999995</v>
      </c>
      <c r="AB4772">
        <v>27</v>
      </c>
      <c r="AC4772">
        <v>14.173</v>
      </c>
      <c r="AD4772">
        <v>-1.1151294049792999</v>
      </c>
      <c r="AE4772">
        <v>0.64105999999999597</v>
      </c>
      <c r="AF4772">
        <v>-1.92606740085677</v>
      </c>
      <c r="AG4772">
        <v>-1.1151294049792999</v>
      </c>
      <c r="AH4772">
        <v>13.9682132913874</v>
      </c>
      <c r="AI4772">
        <v>94.521828657345395</v>
      </c>
      <c r="AJ4772">
        <v>97.850967720062499</v>
      </c>
      <c r="AK4772">
        <v>14.1444063776528</v>
      </c>
      <c r="AL4772">
        <v>82.856721351780294</v>
      </c>
      <c r="AM4772">
        <v>93.990896942531194</v>
      </c>
      <c r="AN4772">
        <v>0.99999996616818299</v>
      </c>
    </row>
    <row r="4773" spans="1:40" x14ac:dyDescent="0.25">
      <c r="A4773" t="str">
        <f>"20190312164406054"</f>
        <v>20190312164406054</v>
      </c>
      <c r="B4773" t="str">
        <f>"1552380246049737"</f>
        <v>1552380246049737</v>
      </c>
      <c r="C4773" t="s">
        <v>40</v>
      </c>
      <c r="D4773">
        <v>5.2850950000000001</v>
      </c>
      <c r="E4773">
        <v>0.48046820000000001</v>
      </c>
      <c r="F4773" t="s">
        <v>42</v>
      </c>
      <c r="G4773">
        <v>-262.53289999999998</v>
      </c>
      <c r="H4773" s="1">
        <v>-3.3681429999999999E-7</v>
      </c>
      <c r="I4773">
        <v>-61.304270000000002</v>
      </c>
      <c r="J4773">
        <v>-276.73070000000001</v>
      </c>
      <c r="K4773">
        <v>1.115083</v>
      </c>
      <c r="L4773">
        <v>-61.948639999999997</v>
      </c>
      <c r="M4773">
        <v>0.99604729999999997</v>
      </c>
      <c r="N4773">
        <v>0</v>
      </c>
      <c r="O4773">
        <v>-8.8125670000000003E-2</v>
      </c>
      <c r="P4773">
        <v>0.99320509999999995</v>
      </c>
      <c r="Q4773">
        <v>0.11420669999999999</v>
      </c>
      <c r="R4773">
        <v>-2.236819E-2</v>
      </c>
      <c r="S4773">
        <v>3.0511469999999998</v>
      </c>
      <c r="T4773">
        <v>-0.23734440000000001</v>
      </c>
      <c r="U4773">
        <v>0.13522339999999999</v>
      </c>
      <c r="V4773">
        <v>-6.6838060000000005E-2</v>
      </c>
      <c r="W4773">
        <v>0.1243803</v>
      </c>
      <c r="X4773">
        <v>0.98998090000000005</v>
      </c>
      <c r="Y4773">
        <v>-0.13148560000000001</v>
      </c>
      <c r="Z4773">
        <v>1.1942400000000001E-2</v>
      </c>
      <c r="AA4773">
        <v>0.99124619999999997</v>
      </c>
      <c r="AB4773">
        <v>27</v>
      </c>
      <c r="AC4773">
        <v>14.197800000000001</v>
      </c>
      <c r="AD4773">
        <v>-1.1150833368143001</v>
      </c>
      <c r="AE4773">
        <v>0.64437000000000899</v>
      </c>
      <c r="AF4773">
        <v>-1.88154838939116</v>
      </c>
      <c r="AG4773">
        <v>-1.1150833368143001</v>
      </c>
      <c r="AH4773">
        <v>13.9995880918749</v>
      </c>
      <c r="AI4773">
        <v>94.513646799631204</v>
      </c>
      <c r="AJ4773">
        <v>97.654698009928097</v>
      </c>
      <c r="AK4773">
        <v>14.1694072540748</v>
      </c>
      <c r="AL4773">
        <v>82.855029577073395</v>
      </c>
      <c r="AM4773">
        <v>93.862434114240102</v>
      </c>
      <c r="AN4773">
        <v>0.99999998382873101</v>
      </c>
    </row>
    <row r="4774" spans="1:40" x14ac:dyDescent="0.25">
      <c r="A4774" t="str">
        <f>"20190312164406066"</f>
        <v>20190312164406066</v>
      </c>
      <c r="B4774" t="str">
        <f>"1552380246059497"</f>
        <v>1552380246059497</v>
      </c>
      <c r="C4774" t="s">
        <v>40</v>
      </c>
      <c r="D4774">
        <v>5.4363049999999999</v>
      </c>
      <c r="E4774">
        <v>0.48068490000000003</v>
      </c>
      <c r="F4774" t="s">
        <v>42</v>
      </c>
      <c r="G4774">
        <v>-262.4366</v>
      </c>
      <c r="H4774" s="1">
        <v>-2.9517559999999899E-7</v>
      </c>
      <c r="I4774">
        <v>-61.30303</v>
      </c>
      <c r="J4774">
        <v>-276.58600000000001</v>
      </c>
      <c r="K4774">
        <v>1.1150310000000001</v>
      </c>
      <c r="L4774">
        <v>-61.957700000000003</v>
      </c>
      <c r="M4774">
        <v>0.99636959999999997</v>
      </c>
      <c r="N4774">
        <v>0</v>
      </c>
      <c r="O4774">
        <v>-8.4413009999999997E-2</v>
      </c>
      <c r="P4774">
        <v>0.99323450000000002</v>
      </c>
      <c r="Q4774">
        <v>0.11427180000000001</v>
      </c>
      <c r="R4774">
        <v>-2.0671439999999999E-2</v>
      </c>
      <c r="S4774">
        <v>3.0509949999999999</v>
      </c>
      <c r="T4774">
        <v>-0.23800750000000001</v>
      </c>
      <c r="U4774">
        <v>0.13778689999999999</v>
      </c>
      <c r="V4774">
        <v>-6.4823400000000003E-2</v>
      </c>
      <c r="W4774">
        <v>0.12441099999999999</v>
      </c>
      <c r="X4774">
        <v>0.99011099999999996</v>
      </c>
      <c r="Y4774">
        <v>-0.12864030000000001</v>
      </c>
      <c r="Z4774">
        <v>1.157682E-2</v>
      </c>
      <c r="AA4774">
        <v>0.99162380000000006</v>
      </c>
      <c r="AB4774">
        <v>27</v>
      </c>
      <c r="AC4774">
        <v>14.1494</v>
      </c>
      <c r="AD4774">
        <v>-1.1150312951755901</v>
      </c>
      <c r="AE4774">
        <v>0.65466999999999498</v>
      </c>
      <c r="AF4774">
        <v>-1.8354256327735801</v>
      </c>
      <c r="AG4774">
        <v>-1.1150312951755901</v>
      </c>
      <c r="AH4774">
        <v>13.957136535776799</v>
      </c>
      <c r="AI4774">
        <v>94.528813836253605</v>
      </c>
      <c r="AJ4774">
        <v>97.491662134193405</v>
      </c>
      <c r="AK4774">
        <v>14.1213930729577</v>
      </c>
      <c r="AL4774">
        <v>82.853256808346202</v>
      </c>
      <c r="AM4774">
        <v>93.745856863945704</v>
      </c>
      <c r="AN4774">
        <v>0.99999998121477895</v>
      </c>
    </row>
    <row r="4775" spans="1:40" x14ac:dyDescent="0.25">
      <c r="A4775" t="str">
        <f>"20190312164406078"</f>
        <v>20190312164406078</v>
      </c>
      <c r="B4775" t="str">
        <f>"1552380246069809"</f>
        <v>1552380246069809</v>
      </c>
      <c r="C4775" t="s">
        <v>40</v>
      </c>
      <c r="D4775">
        <v>5.1243040000000004</v>
      </c>
      <c r="E4775">
        <v>0.48088310000000001</v>
      </c>
      <c r="F4775" t="s">
        <v>42</v>
      </c>
      <c r="G4775">
        <v>-262.339</v>
      </c>
      <c r="H4775" s="1">
        <v>-2.5199929999999998E-7</v>
      </c>
      <c r="I4775">
        <v>-61.298079999999999</v>
      </c>
      <c r="J4775">
        <v>-276.4427</v>
      </c>
      <c r="K4775">
        <v>1.114978</v>
      </c>
      <c r="L4775">
        <v>-61.9662199999999</v>
      </c>
      <c r="M4775">
        <v>0.99667260000000002</v>
      </c>
      <c r="N4775">
        <v>0</v>
      </c>
      <c r="O4775">
        <v>-8.0767720000000001E-2</v>
      </c>
      <c r="P4775">
        <v>0.99327160000000003</v>
      </c>
      <c r="Q4775">
        <v>0.1142454</v>
      </c>
      <c r="R4775">
        <v>-1.897339E-2</v>
      </c>
      <c r="S4775">
        <v>3.0508419999999998</v>
      </c>
      <c r="T4775">
        <v>-0.23877139999999999</v>
      </c>
      <c r="U4775">
        <v>0.14123540000000001</v>
      </c>
      <c r="V4775">
        <v>-6.2876749999999995E-2</v>
      </c>
      <c r="W4775">
        <v>0.1243486</v>
      </c>
      <c r="X4775">
        <v>0.99024440000000002</v>
      </c>
      <c r="Y4775">
        <v>-0.12614790000000001</v>
      </c>
      <c r="Z4775">
        <v>1.123262E-2</v>
      </c>
      <c r="AA4775">
        <v>0.99194780000000005</v>
      </c>
      <c r="AB4775">
        <v>27</v>
      </c>
      <c r="AC4775">
        <v>14.1037</v>
      </c>
      <c r="AD4775">
        <v>-1.1149782519992999</v>
      </c>
      <c r="AE4775">
        <v>0.66813999999998597</v>
      </c>
      <c r="AF4775">
        <v>-1.7939622960639501</v>
      </c>
      <c r="AG4775">
        <v>-1.1149782519992999</v>
      </c>
      <c r="AH4775">
        <v>13.9168665943586</v>
      </c>
      <c r="AI4775">
        <v>94.5431536489492</v>
      </c>
      <c r="AJ4775">
        <v>97.345242160835099</v>
      </c>
      <c r="AK4775">
        <v>14.076244279896001</v>
      </c>
      <c r="AL4775">
        <v>82.8568602941872</v>
      </c>
      <c r="AM4775">
        <v>93.633186419360598</v>
      </c>
      <c r="AN4775">
        <v>1.00000001587194</v>
      </c>
    </row>
    <row r="4776" spans="1:40" x14ac:dyDescent="0.25">
      <c r="A4776" t="str">
        <f>"20190312164406088"</f>
        <v>20190312164406088</v>
      </c>
      <c r="B4776" t="str">
        <f>"1552380246079569"</f>
        <v>1552380246079569</v>
      </c>
      <c r="C4776" t="s">
        <v>40</v>
      </c>
      <c r="D4776">
        <v>5.2498509999999996</v>
      </c>
      <c r="E4776">
        <v>0.48107430000000001</v>
      </c>
      <c r="F4776" t="s">
        <v>42</v>
      </c>
      <c r="G4776">
        <v>-262.24520000000001</v>
      </c>
      <c r="H4776" s="1">
        <v>-2.0997660000000001E-7</v>
      </c>
      <c r="I4776">
        <v>-61.29139</v>
      </c>
      <c r="J4776">
        <v>-276.31939999999997</v>
      </c>
      <c r="K4776">
        <v>1.114924</v>
      </c>
      <c r="L4776">
        <v>-61.973050000000001</v>
      </c>
      <c r="M4776">
        <v>0.99691810000000003</v>
      </c>
      <c r="N4776">
        <v>0</v>
      </c>
      <c r="O4776">
        <v>-7.7686409999999997E-2</v>
      </c>
      <c r="P4776">
        <v>0.99326550000000002</v>
      </c>
      <c r="Q4776">
        <v>0.1144786</v>
      </c>
      <c r="R4776">
        <v>-1.784316E-2</v>
      </c>
      <c r="S4776">
        <v>3.050659</v>
      </c>
      <c r="T4776">
        <v>-0.2395793</v>
      </c>
      <c r="U4776">
        <v>0.14498900000000001</v>
      </c>
      <c r="V4776">
        <v>-6.092682E-2</v>
      </c>
      <c r="W4776">
        <v>0.1245525</v>
      </c>
      <c r="X4776">
        <v>0.99034069999999996</v>
      </c>
      <c r="Y4776">
        <v>-0.1243127</v>
      </c>
      <c r="Z4776">
        <v>1.095788E-2</v>
      </c>
      <c r="AA4776">
        <v>0.99218260000000003</v>
      </c>
      <c r="AB4776">
        <v>27</v>
      </c>
      <c r="AC4776">
        <v>14.0741999999999</v>
      </c>
      <c r="AD4776">
        <v>-1.1149242099765999</v>
      </c>
      <c r="AE4776">
        <v>0.68166000000000004</v>
      </c>
      <c r="AF4776">
        <v>-1.76200740150055</v>
      </c>
      <c r="AG4776">
        <v>-1.1149242099765999</v>
      </c>
      <c r="AH4776">
        <v>13.8917291182588</v>
      </c>
      <c r="AI4776">
        <v>94.5522991853327</v>
      </c>
      <c r="AJ4776">
        <v>97.228715822503503</v>
      </c>
      <c r="AK4776">
        <v>14.047343662487</v>
      </c>
      <c r="AL4776">
        <v>82.845086412959802</v>
      </c>
      <c r="AM4776">
        <v>93.520460700629997</v>
      </c>
      <c r="AN4776">
        <v>1.00000005236402</v>
      </c>
    </row>
    <row r="4777" spans="1:40" x14ac:dyDescent="0.25">
      <c r="A4777" t="str">
        <f>"20190312164406100"</f>
        <v>20190312164406100</v>
      </c>
      <c r="B4777" t="str">
        <f>"1552380246090305"</f>
        <v>1552380246090305</v>
      </c>
      <c r="C4777" t="s">
        <v>40</v>
      </c>
      <c r="D4777">
        <v>5.3180399999999999</v>
      </c>
      <c r="E4777">
        <v>0.48124889999999998</v>
      </c>
      <c r="F4777" t="s">
        <v>42</v>
      </c>
      <c r="G4777">
        <v>-262.10469999999998</v>
      </c>
      <c r="H4777" s="1">
        <v>-1.4882319999999999E-7</v>
      </c>
      <c r="I4777">
        <v>-61.287999999999997</v>
      </c>
      <c r="J4777">
        <v>-276.18079999999998</v>
      </c>
      <c r="K4777">
        <v>1.114859</v>
      </c>
      <c r="L4777">
        <v>-61.980499999999999</v>
      </c>
      <c r="M4777">
        <v>0.99718119999999999</v>
      </c>
      <c r="N4777">
        <v>0</v>
      </c>
      <c r="O4777">
        <v>-7.4241979999999999E-2</v>
      </c>
      <c r="P4777">
        <v>0.99328819999999995</v>
      </c>
      <c r="Q4777">
        <v>0.11453190000000001</v>
      </c>
      <c r="R4777">
        <v>-1.615898E-2</v>
      </c>
      <c r="S4777">
        <v>3.0505680000000002</v>
      </c>
      <c r="T4777">
        <v>-0.23927129999999999</v>
      </c>
      <c r="U4777">
        <v>0.1470032</v>
      </c>
      <c r="V4777">
        <v>-5.9166129999999997E-2</v>
      </c>
      <c r="W4777">
        <v>0.1245672</v>
      </c>
      <c r="X4777">
        <v>0.99044560000000004</v>
      </c>
      <c r="Y4777">
        <v>-0.12156019999999899</v>
      </c>
      <c r="Z4777">
        <v>1.056703E-2</v>
      </c>
      <c r="AA4777">
        <v>0.99252779999999996</v>
      </c>
      <c r="AB4777">
        <v>28</v>
      </c>
      <c r="AC4777">
        <v>14.076099999999901</v>
      </c>
      <c r="AD4777">
        <v>-1.1148591488232</v>
      </c>
      <c r="AE4777">
        <v>0.69249999999999501</v>
      </c>
      <c r="AF4777">
        <v>-1.72489360281462</v>
      </c>
      <c r="AG4777">
        <v>-1.1148591488232</v>
      </c>
      <c r="AH4777">
        <v>13.8988563687963</v>
      </c>
      <c r="AI4777">
        <v>94.551241271638602</v>
      </c>
      <c r="AJ4777">
        <v>97.074422694977002</v>
      </c>
      <c r="AK4777">
        <v>14.0497821058967</v>
      </c>
      <c r="AL4777">
        <v>82.844237554526003</v>
      </c>
      <c r="AM4777">
        <v>93.418608541370602</v>
      </c>
      <c r="AN4777">
        <v>1.0000000524071799</v>
      </c>
    </row>
    <row r="4778" spans="1:40" x14ac:dyDescent="0.25">
      <c r="A4778" t="str">
        <f>"20190312164406111"</f>
        <v>20190312164406111</v>
      </c>
      <c r="B4778" t="str">
        <f>"1552380246100065"</f>
        <v>1552380246100065</v>
      </c>
      <c r="C4778" t="s">
        <v>40</v>
      </c>
      <c r="D4778">
        <v>5.1480790000000001</v>
      </c>
      <c r="E4778">
        <v>0.48142970000000002</v>
      </c>
      <c r="F4778" t="s">
        <v>42</v>
      </c>
      <c r="G4778">
        <v>-262.01859999999999</v>
      </c>
      <c r="H4778" s="1">
        <v>-1.098166E-7</v>
      </c>
      <c r="I4778">
        <v>-61.280369999999998</v>
      </c>
      <c r="J4778">
        <v>-276.04270000000002</v>
      </c>
      <c r="K4778">
        <v>1.114792</v>
      </c>
      <c r="L4778">
        <v>-61.98724</v>
      </c>
      <c r="M4778">
        <v>0.99742580000000003</v>
      </c>
      <c r="N4778">
        <v>0</v>
      </c>
      <c r="O4778">
        <v>-7.0891350000000006E-2</v>
      </c>
      <c r="P4778">
        <v>0.99334060000000002</v>
      </c>
      <c r="Q4778">
        <v>0.1142582</v>
      </c>
      <c r="R4778">
        <v>-1.4807849999999999E-2</v>
      </c>
      <c r="S4778">
        <v>3.0504150000000001</v>
      </c>
      <c r="T4778">
        <v>-0.24012990000000001</v>
      </c>
      <c r="U4778">
        <v>0.15078739999999999</v>
      </c>
      <c r="V4778">
        <v>-5.716342E-2</v>
      </c>
      <c r="W4778">
        <v>0.1242568</v>
      </c>
      <c r="X4778">
        <v>0.99060210000000004</v>
      </c>
      <c r="Y4778">
        <v>-0.11946850000000001</v>
      </c>
      <c r="Z4778">
        <v>1.026004E-2</v>
      </c>
      <c r="AA4778">
        <v>0.99278500000000003</v>
      </c>
      <c r="AB4778">
        <v>28</v>
      </c>
      <c r="AC4778">
        <v>14.024100000000001</v>
      </c>
      <c r="AD4778">
        <v>-1.1147921098166</v>
      </c>
      <c r="AE4778">
        <v>0.706870000000002</v>
      </c>
      <c r="AF4778">
        <v>-1.6886929325253801</v>
      </c>
      <c r="AG4778">
        <v>-1.1147921098166</v>
      </c>
      <c r="AH4778">
        <v>13.8513949518063</v>
      </c>
      <c r="AI4778">
        <v>94.567702579973698</v>
      </c>
      <c r="AJ4778">
        <v>96.950913121555899</v>
      </c>
      <c r="AK4778">
        <v>13.998413745114</v>
      </c>
      <c r="AL4778">
        <v>82.862160791386103</v>
      </c>
      <c r="AM4778">
        <v>93.302632318730105</v>
      </c>
      <c r="AN4778">
        <v>0.99999996472837205</v>
      </c>
    </row>
    <row r="4779" spans="1:40" x14ac:dyDescent="0.25">
      <c r="A4779" t="str">
        <f>"20190312164406126"</f>
        <v>20190312164406126</v>
      </c>
      <c r="B4779" t="str">
        <f>"1552380246119586"</f>
        <v>1552380246119586</v>
      </c>
      <c r="C4779" t="s">
        <v>40</v>
      </c>
      <c r="D4779">
        <v>5.1623549999999998</v>
      </c>
      <c r="E4779">
        <v>0.48161579999999898</v>
      </c>
      <c r="F4779" t="s">
        <v>42</v>
      </c>
      <c r="G4779">
        <v>-261.9864</v>
      </c>
      <c r="H4779" s="1">
        <v>-9.5873469999999999E-8</v>
      </c>
      <c r="I4779">
        <v>-61.279789999999998</v>
      </c>
      <c r="J4779">
        <v>-275.87729999999999</v>
      </c>
      <c r="K4779">
        <v>1.114706</v>
      </c>
      <c r="L4779">
        <v>-61.99503</v>
      </c>
      <c r="M4779">
        <v>0.99770099999999995</v>
      </c>
      <c r="N4779">
        <v>0</v>
      </c>
      <c r="O4779">
        <v>-6.6923070000000001E-2</v>
      </c>
      <c r="P4779">
        <v>0.99334370000000005</v>
      </c>
      <c r="Q4779">
        <v>0.1144976</v>
      </c>
      <c r="R4779">
        <v>-1.261549E-2</v>
      </c>
      <c r="S4779">
        <v>3.0502009999999999</v>
      </c>
      <c r="T4779">
        <v>-0.2419095</v>
      </c>
      <c r="U4779">
        <v>0.15350339999999901</v>
      </c>
      <c r="V4779">
        <v>-5.5384070000000001E-2</v>
      </c>
      <c r="W4779">
        <v>0.1244437</v>
      </c>
      <c r="X4779">
        <v>0.99067969999999905</v>
      </c>
      <c r="Y4779">
        <v>-0.1164172</v>
      </c>
      <c r="Z4779">
        <v>9.9018679999999994E-3</v>
      </c>
      <c r="AA4779">
        <v>0.99315109999999995</v>
      </c>
      <c r="AB4779">
        <v>28</v>
      </c>
      <c r="AC4779">
        <v>13.890899999999901</v>
      </c>
      <c r="AD4779">
        <v>-1.11470609587347</v>
      </c>
      <c r="AE4779">
        <v>0.71524000000000099</v>
      </c>
      <c r="AF4779">
        <v>-1.63282406470238</v>
      </c>
      <c r="AG4779">
        <v>-1.11470609587347</v>
      </c>
      <c r="AH4779">
        <v>13.7237442206449</v>
      </c>
      <c r="AI4779">
        <v>94.611253075972002</v>
      </c>
      <c r="AJ4779">
        <v>96.785043155256503</v>
      </c>
      <c r="AK4779">
        <v>13.8654188375301</v>
      </c>
      <c r="AL4779">
        <v>82.851368329558497</v>
      </c>
      <c r="AM4779">
        <v>93.199796817023397</v>
      </c>
      <c r="AN4779">
        <v>0.99999994883577004</v>
      </c>
    </row>
    <row r="4780" spans="1:40" x14ac:dyDescent="0.25">
      <c r="A4780" t="str">
        <f>"20190312164406138"</f>
        <v>20190312164406138</v>
      </c>
      <c r="B4780" t="str">
        <f>"1552380246130321"</f>
        <v>1552380246130321</v>
      </c>
      <c r="C4780" t="s">
        <v>40</v>
      </c>
      <c r="D4780">
        <v>5.2079959999999996</v>
      </c>
      <c r="E4780">
        <v>0.48444229999999999</v>
      </c>
      <c r="F4780" t="s">
        <v>42</v>
      </c>
      <c r="G4780">
        <v>-261.81760000000003</v>
      </c>
      <c r="H4780" s="1">
        <v>-1.9161120000000001E-8</v>
      </c>
      <c r="I4780">
        <v>-61.263710000000003</v>
      </c>
      <c r="J4780">
        <v>-275.71030000000002</v>
      </c>
      <c r="K4780">
        <v>1.114614</v>
      </c>
      <c r="L4780">
        <v>-62.002229999999997</v>
      </c>
      <c r="M4780">
        <v>0.99795730000000005</v>
      </c>
      <c r="N4780">
        <v>0</v>
      </c>
      <c r="O4780">
        <v>-6.3000459999999994E-2</v>
      </c>
      <c r="P4780">
        <v>0.9934056</v>
      </c>
      <c r="Q4780">
        <v>0.1141663</v>
      </c>
      <c r="R4780">
        <v>-1.058447E-2</v>
      </c>
      <c r="S4780">
        <v>3.0499879999999999</v>
      </c>
      <c r="T4780">
        <v>-0.24181459999999999</v>
      </c>
      <c r="U4780">
        <v>0.15863039999999901</v>
      </c>
      <c r="V4780">
        <v>-5.3485659999999997E-2</v>
      </c>
      <c r="W4780">
        <v>0.12406</v>
      </c>
      <c r="X4780">
        <v>0.99083209999999999</v>
      </c>
      <c r="Y4780">
        <v>-0.11420089999999999</v>
      </c>
      <c r="Z4780">
        <v>9.5005860000000001E-3</v>
      </c>
      <c r="AA4780">
        <v>0.99341230000000003</v>
      </c>
      <c r="AB4780">
        <v>28</v>
      </c>
      <c r="AC4780">
        <v>13.8926999999999</v>
      </c>
      <c r="AD4780">
        <v>-1.11461401916112</v>
      </c>
      <c r="AE4780">
        <v>0.73852000000000795</v>
      </c>
      <c r="AF4780">
        <v>-1.60206509821856</v>
      </c>
      <c r="AG4780">
        <v>-1.11461401916112</v>
      </c>
      <c r="AH4780">
        <v>13.730437131725999</v>
      </c>
      <c r="AI4780">
        <v>94.609861691945397</v>
      </c>
      <c r="AJ4780">
        <v>96.6551692353341</v>
      </c>
      <c r="AK4780">
        <v>13.8684491136868</v>
      </c>
      <c r="AL4780">
        <v>82.873524243901898</v>
      </c>
      <c r="AM4780">
        <v>93.089858740694893</v>
      </c>
      <c r="AN4780">
        <v>0.99999992490801903</v>
      </c>
    </row>
    <row r="4781" spans="1:40" x14ac:dyDescent="0.25">
      <c r="A4781" t="str">
        <f>"20190312164406149"</f>
        <v>20190312164406149</v>
      </c>
      <c r="B4781" t="str">
        <f>"1552380246140081"</f>
        <v>1552380246140081</v>
      </c>
      <c r="C4781" t="s">
        <v>40</v>
      </c>
      <c r="D4781">
        <v>5.2853680000000001</v>
      </c>
      <c r="E4781">
        <v>0.48513020000000001</v>
      </c>
      <c r="F4781" t="s">
        <v>42</v>
      </c>
      <c r="G4781">
        <v>-264.30950000000001</v>
      </c>
      <c r="H4781" s="1">
        <v>-1.1389419999999999E-6</v>
      </c>
      <c r="I4781">
        <v>-61.4544</v>
      </c>
      <c r="J4781">
        <v>-275.57530000000003</v>
      </c>
      <c r="K4781">
        <v>1.1145370000000001</v>
      </c>
      <c r="L4781">
        <v>-62.007539999999999</v>
      </c>
      <c r="M4781">
        <v>0.9981487</v>
      </c>
      <c r="N4781">
        <v>0</v>
      </c>
      <c r="O4781">
        <v>-5.990148E-2</v>
      </c>
      <c r="P4781">
        <v>0.9934598</v>
      </c>
      <c r="Q4781">
        <v>0.11379649999999999</v>
      </c>
      <c r="R4781">
        <v>-9.3895360000000004E-3</v>
      </c>
      <c r="S4781">
        <v>3.0558169999999998</v>
      </c>
      <c r="T4781">
        <v>-0.29875620000000003</v>
      </c>
      <c r="U4781">
        <v>0.14682010000000001</v>
      </c>
      <c r="V4781">
        <v>-5.1574710000000003E-2</v>
      </c>
      <c r="W4781">
        <v>0.1236535</v>
      </c>
      <c r="X4781">
        <v>0.99098430000000004</v>
      </c>
      <c r="Y4781">
        <v>-0.10694629999999999</v>
      </c>
      <c r="Z4781">
        <v>1.105133E-2</v>
      </c>
      <c r="AA4781">
        <v>0.99420339999999996</v>
      </c>
      <c r="AB4781">
        <v>28</v>
      </c>
      <c r="AC4781">
        <v>11.2658</v>
      </c>
      <c r="AD4781">
        <v>-1.1145381389419999</v>
      </c>
      <c r="AE4781">
        <v>0.55314000000000596</v>
      </c>
      <c r="AF4781">
        <v>-1.2151575691699299</v>
      </c>
      <c r="AG4781">
        <v>-1.1145381389419999</v>
      </c>
      <c r="AH4781">
        <v>11.1040142662309</v>
      </c>
      <c r="AI4781">
        <v>95.697934768710198</v>
      </c>
      <c r="AJ4781">
        <v>96.245259261187201</v>
      </c>
      <c r="AK4781">
        <v>11.225771065086199</v>
      </c>
      <c r="AL4781">
        <v>82.896996321253695</v>
      </c>
      <c r="AM4781">
        <v>92.979209243581195</v>
      </c>
      <c r="AN4781">
        <v>1.0000000108101601</v>
      </c>
    </row>
    <row r="4782" spans="1:40" x14ac:dyDescent="0.25">
      <c r="A4782" t="str">
        <f>"20190312164406162"</f>
        <v>20190312164406162</v>
      </c>
      <c r="B4782" t="str">
        <f>"1552380246149841"</f>
        <v>1552380246149841</v>
      </c>
      <c r="C4782" t="s">
        <v>40</v>
      </c>
      <c r="D4782">
        <v>5.2820429999999998</v>
      </c>
      <c r="E4782">
        <v>0.48637419999999998</v>
      </c>
      <c r="F4782" t="s">
        <v>42</v>
      </c>
      <c r="G4782">
        <v>-264.06319999999999</v>
      </c>
      <c r="H4782" s="1">
        <v>-1.035527E-6</v>
      </c>
      <c r="I4782">
        <v>-61.462949999999999</v>
      </c>
      <c r="J4782">
        <v>-275.42419999999998</v>
      </c>
      <c r="K4782">
        <v>1.1144449999999999</v>
      </c>
      <c r="L4782">
        <v>-62.013240000000003</v>
      </c>
      <c r="M4782">
        <v>0.99834979999999995</v>
      </c>
      <c r="N4782">
        <v>0</v>
      </c>
      <c r="O4782">
        <v>-5.646586E-2</v>
      </c>
      <c r="P4782">
        <v>0.9934598</v>
      </c>
      <c r="Q4782">
        <v>0.1138763</v>
      </c>
      <c r="R4782">
        <v>-8.3756950000000007E-3</v>
      </c>
      <c r="S4782">
        <v>3.0549930000000001</v>
      </c>
      <c r="T4782">
        <v>-0.295766799999999</v>
      </c>
      <c r="U4782">
        <v>0.14450070000000001</v>
      </c>
      <c r="V4782">
        <v>-4.9148299999999999E-2</v>
      </c>
      <c r="W4782">
        <v>0.1236947</v>
      </c>
      <c r="X4782">
        <v>0.9911025</v>
      </c>
      <c r="Y4782">
        <v>-0.1028341</v>
      </c>
      <c r="Z4782">
        <v>1.0414400000000001E-2</v>
      </c>
      <c r="AA4782">
        <v>0.99464399999999997</v>
      </c>
      <c r="AB4782">
        <v>28</v>
      </c>
      <c r="AC4782">
        <v>11.360999999999899</v>
      </c>
      <c r="AD4782">
        <v>-1.1144460355270001</v>
      </c>
      <c r="AE4782">
        <v>0.55029000000000305</v>
      </c>
      <c r="AF4782">
        <v>-1.17963126815199</v>
      </c>
      <c r="AG4782">
        <v>-1.1144460355270001</v>
      </c>
      <c r="AH4782">
        <v>11.204237894611399</v>
      </c>
      <c r="AI4782">
        <v>95.64930462945</v>
      </c>
      <c r="AJ4782">
        <v>96.0102087084082</v>
      </c>
      <c r="AK4782">
        <v>11.321151297193699</v>
      </c>
      <c r="AL4782">
        <v>82.894617751328198</v>
      </c>
      <c r="AM4782">
        <v>92.838944784676997</v>
      </c>
      <c r="AN4782">
        <v>1.0000000498536099</v>
      </c>
    </row>
    <row r="4783" spans="1:40" x14ac:dyDescent="0.25">
      <c r="A4783" t="str">
        <f>"20190312164406173"</f>
        <v>20190312164406173</v>
      </c>
      <c r="B4783" t="str">
        <f>"1552380246170337"</f>
        <v>1552380246170337</v>
      </c>
      <c r="C4783" t="s">
        <v>40</v>
      </c>
      <c r="D4783">
        <v>5.1919430000000002</v>
      </c>
      <c r="E4783">
        <v>0.50028409999999901</v>
      </c>
      <c r="F4783" t="s">
        <v>42</v>
      </c>
      <c r="G4783">
        <v>-263.80759999999998</v>
      </c>
      <c r="H4783" s="1">
        <v>-9.3291399999999996E-7</v>
      </c>
      <c r="I4783">
        <v>-61.489269999999998</v>
      </c>
      <c r="J4783">
        <v>-275.28219999999999</v>
      </c>
      <c r="K4783">
        <v>1.11436</v>
      </c>
      <c r="L4783">
        <v>-62.018009999999997</v>
      </c>
      <c r="M4783">
        <v>0.99852220000000003</v>
      </c>
      <c r="N4783">
        <v>0</v>
      </c>
      <c r="O4783">
        <v>-5.3344000000000003E-2</v>
      </c>
      <c r="P4783">
        <v>0.99350850000000002</v>
      </c>
      <c r="Q4783">
        <v>0.1135298</v>
      </c>
      <c r="R4783">
        <v>-7.2318490000000003E-3</v>
      </c>
      <c r="S4783">
        <v>3.054443</v>
      </c>
      <c r="T4783">
        <v>-0.29303119999999999</v>
      </c>
      <c r="U4783">
        <v>0.1377563</v>
      </c>
      <c r="V4783">
        <v>-4.7160390000000003E-2</v>
      </c>
      <c r="W4783">
        <v>0.1233095</v>
      </c>
      <c r="X4783">
        <v>0.99124699999999999</v>
      </c>
      <c r="Y4783">
        <v>-9.7591209999999998E-2</v>
      </c>
      <c r="Z4783">
        <v>9.7714789999999996E-3</v>
      </c>
      <c r="AA4783">
        <v>0.99517860000000002</v>
      </c>
      <c r="AB4783">
        <v>28</v>
      </c>
      <c r="AC4783">
        <v>11.474600000000001</v>
      </c>
      <c r="AD4783">
        <v>-1.1143609329140001</v>
      </c>
      <c r="AE4783">
        <v>0.52873999999999899</v>
      </c>
      <c r="AF4783">
        <v>-1.1294910410711301</v>
      </c>
      <c r="AG4783">
        <v>-1.1143609329140001</v>
      </c>
      <c r="AH4783">
        <v>11.323483874052201</v>
      </c>
      <c r="AI4783">
        <v>95.592887972105601</v>
      </c>
      <c r="AJ4783">
        <v>95.696278019974997</v>
      </c>
      <c r="AK4783">
        <v>11.4341085068572</v>
      </c>
      <c r="AL4783">
        <v>82.916857819486694</v>
      </c>
      <c r="AM4783">
        <v>92.723897569874893</v>
      </c>
      <c r="AN4783">
        <v>0.99999997509210004</v>
      </c>
    </row>
    <row r="4784" spans="1:40" x14ac:dyDescent="0.25">
      <c r="A4784" t="str">
        <f>"20190312164406188"</f>
        <v>20190312164406188</v>
      </c>
      <c r="B4784" t="str">
        <f>"1552380246180101"</f>
        <v>1552380246180101</v>
      </c>
      <c r="C4784" t="s">
        <v>40</v>
      </c>
      <c r="D4784">
        <v>5.2675780000000003</v>
      </c>
      <c r="E4784">
        <v>0.50195389999999995</v>
      </c>
      <c r="F4784" t="s">
        <v>42</v>
      </c>
      <c r="G4784">
        <v>-263.31689999999998</v>
      </c>
      <c r="H4784" s="1">
        <v>-8.3279029999999996E-7</v>
      </c>
      <c r="I4784">
        <v>-61.904290000000003</v>
      </c>
      <c r="J4784">
        <v>-275.09230000000002</v>
      </c>
      <c r="K4784">
        <v>1.114239</v>
      </c>
      <c r="L4784">
        <v>-62.02393</v>
      </c>
      <c r="M4784">
        <v>0.9987338</v>
      </c>
      <c r="N4784">
        <v>0</v>
      </c>
      <c r="O4784">
        <v>-4.9246760000000001E-2</v>
      </c>
      <c r="P4784">
        <v>0.99354810000000005</v>
      </c>
      <c r="Q4784">
        <v>0.1131561</v>
      </c>
      <c r="R4784">
        <v>-7.6312790000000004E-3</v>
      </c>
      <c r="S4784">
        <v>3.0522770000000001</v>
      </c>
      <c r="T4784">
        <v>-0.28426479999999998</v>
      </c>
      <c r="U4784">
        <v>2.8991699999999999E-2</v>
      </c>
      <c r="V4784">
        <v>-4.2653330000000003E-2</v>
      </c>
      <c r="W4784">
        <v>0.122904</v>
      </c>
      <c r="X4784">
        <v>0.99150159999999998</v>
      </c>
      <c r="Y4784">
        <v>-5.826841E-2</v>
      </c>
      <c r="Z4784">
        <v>7.2829740000000002E-3</v>
      </c>
      <c r="AA4784">
        <v>0.99827440000000001</v>
      </c>
      <c r="AB4784">
        <v>28</v>
      </c>
      <c r="AC4784">
        <v>11.775399999999999</v>
      </c>
      <c r="AD4784">
        <v>-1.1142398327903</v>
      </c>
      <c r="AE4784">
        <v>0.11964000000000299</v>
      </c>
      <c r="AF4784">
        <v>-0.69321943589822099</v>
      </c>
      <c r="AG4784">
        <v>-1.1142398327903</v>
      </c>
      <c r="AH4784">
        <v>11.650909704666301</v>
      </c>
      <c r="AI4784">
        <v>95.453306566583905</v>
      </c>
      <c r="AJ4784">
        <v>93.405036892219698</v>
      </c>
      <c r="AK4784">
        <v>11.724580185984101</v>
      </c>
      <c r="AL4784">
        <v>82.940269951737207</v>
      </c>
      <c r="AM4784">
        <v>92.463283878940004</v>
      </c>
      <c r="AN4784">
        <v>1.0000000612893201</v>
      </c>
    </row>
    <row r="4785" spans="1:40" x14ac:dyDescent="0.25">
      <c r="A4785" t="str">
        <f>"20190312164406199"</f>
        <v>20190312164406199</v>
      </c>
      <c r="B4785" t="str">
        <f>"1552380246189858"</f>
        <v>1552380246189858</v>
      </c>
      <c r="C4785" t="s">
        <v>40</v>
      </c>
      <c r="D4785">
        <v>5.2011000000000003</v>
      </c>
      <c r="E4785">
        <v>0.50219659999999999</v>
      </c>
      <c r="F4785" t="s">
        <v>42</v>
      </c>
      <c r="G4785">
        <v>-263.66969999999998</v>
      </c>
      <c r="H4785" s="1">
        <v>-1.0001650000000001E-6</v>
      </c>
      <c r="I4785">
        <v>-61.964379999999998</v>
      </c>
      <c r="J4785">
        <v>-274.9556</v>
      </c>
      <c r="K4785">
        <v>1.1141529999999999</v>
      </c>
      <c r="L4785">
        <v>-62.027889999999999</v>
      </c>
      <c r="M4785">
        <v>0.99887309999999996</v>
      </c>
      <c r="N4785">
        <v>0</v>
      </c>
      <c r="O4785">
        <v>-4.6351440000000001E-2</v>
      </c>
      <c r="P4785">
        <v>0.99355830000000001</v>
      </c>
      <c r="Q4785">
        <v>0.1131249</v>
      </c>
      <c r="R4785">
        <v>-6.7030859999999996E-3</v>
      </c>
      <c r="S4785">
        <v>3.053528</v>
      </c>
      <c r="T4785">
        <v>-0.2978634</v>
      </c>
      <c r="U4785">
        <v>1.5899659999999999E-2</v>
      </c>
      <c r="V4785">
        <v>-4.0677829999999998E-2</v>
      </c>
      <c r="W4785">
        <v>0.1228349</v>
      </c>
      <c r="X4785">
        <v>0.99159310000000001</v>
      </c>
      <c r="Y4785">
        <v>-5.1092110000000003E-2</v>
      </c>
      <c r="Z4785">
        <v>6.9959089999999998E-3</v>
      </c>
      <c r="AA4785">
        <v>0.99866940000000004</v>
      </c>
      <c r="AB4785">
        <v>28</v>
      </c>
      <c r="AC4785">
        <v>11.2859</v>
      </c>
      <c r="AD4785">
        <v>-1.1141540001649901</v>
      </c>
      <c r="AE4785">
        <v>6.3509999999993696E-2</v>
      </c>
      <c r="AF4785">
        <v>-0.58092526290162305</v>
      </c>
      <c r="AG4785">
        <v>-1.1141540001649901</v>
      </c>
      <c r="AH4785">
        <v>11.162044903035699</v>
      </c>
      <c r="AI4785">
        <v>95.692518203010096</v>
      </c>
      <c r="AJ4785">
        <v>92.979253597775994</v>
      </c>
      <c r="AK4785">
        <v>11.2325446678188</v>
      </c>
      <c r="AL4785">
        <v>82.944258792778896</v>
      </c>
      <c r="AM4785">
        <v>92.349110637789096</v>
      </c>
      <c r="AN4785">
        <v>0.99999998723956396</v>
      </c>
    </row>
    <row r="4786" spans="1:40" x14ac:dyDescent="0.25">
      <c r="A4786" t="str">
        <f>"20190312164406211"</f>
        <v>20190312164406211</v>
      </c>
      <c r="B4786" t="str">
        <f>"1552380246199617"</f>
        <v>1552380246199617</v>
      </c>
      <c r="C4786" t="s">
        <v>40</v>
      </c>
      <c r="D4786">
        <v>5.1456790000000003</v>
      </c>
      <c r="E4786">
        <v>0.50217469999999997</v>
      </c>
      <c r="F4786" t="s">
        <v>42</v>
      </c>
      <c r="G4786">
        <v>-263.83190000000002</v>
      </c>
      <c r="H4786" s="1">
        <v>-1.069772E-6</v>
      </c>
      <c r="I4786">
        <v>-61.964480000000002</v>
      </c>
      <c r="J4786">
        <v>-274.8211</v>
      </c>
      <c r="K4786">
        <v>1.1140620000000001</v>
      </c>
      <c r="L4786">
        <v>-62.03125</v>
      </c>
      <c r="M4786">
        <v>0.99899720000000003</v>
      </c>
      <c r="N4786">
        <v>0</v>
      </c>
      <c r="O4786">
        <v>-4.3608359999999999E-2</v>
      </c>
      <c r="P4786">
        <v>0.99352169999999895</v>
      </c>
      <c r="Q4786">
        <v>0.1134791</v>
      </c>
      <c r="R4786">
        <v>-6.1031770000000004E-3</v>
      </c>
      <c r="S4786">
        <v>3.0544129999999998</v>
      </c>
      <c r="T4786">
        <v>-0.30593100000000001</v>
      </c>
      <c r="U4786">
        <v>1.7395020000000001E-2</v>
      </c>
      <c r="V4786">
        <v>-3.8528640000000003E-2</v>
      </c>
      <c r="W4786">
        <v>0.12315</v>
      </c>
      <c r="X4786">
        <v>0.99163990000000002</v>
      </c>
      <c r="Y4786">
        <v>-4.8836959999999999E-2</v>
      </c>
      <c r="Z4786">
        <v>6.7958519999999998E-3</v>
      </c>
      <c r="AA4786">
        <v>0.99878359999999999</v>
      </c>
      <c r="AB4786">
        <v>28</v>
      </c>
      <c r="AC4786">
        <v>10.989199999999901</v>
      </c>
      <c r="AD4786">
        <v>-1.114063069772</v>
      </c>
      <c r="AE4786">
        <v>6.6769999999998206E-2</v>
      </c>
      <c r="AF4786">
        <v>-0.54039838586905697</v>
      </c>
      <c r="AG4786">
        <v>-1.114063069772</v>
      </c>
      <c r="AH4786">
        <v>10.864180578168099</v>
      </c>
      <c r="AI4786">
        <v>95.847728344878405</v>
      </c>
      <c r="AJ4786">
        <v>92.847619162781498</v>
      </c>
      <c r="AK4786">
        <v>10.9345135499447</v>
      </c>
      <c r="AL4786">
        <v>82.926067110481199</v>
      </c>
      <c r="AM4786">
        <v>92.225020035534996</v>
      </c>
      <c r="AN4786">
        <v>1.00000003493612</v>
      </c>
    </row>
    <row r="4787" spans="1:40" x14ac:dyDescent="0.25">
      <c r="A4787" t="str">
        <f>"20190312164406222"</f>
        <v>20190312164406222</v>
      </c>
      <c r="B4787" t="str">
        <f>"1552380246210353"</f>
        <v>1552380246210353</v>
      </c>
      <c r="C4787" t="s">
        <v>40</v>
      </c>
      <c r="D4787">
        <v>5.1800430000000004</v>
      </c>
      <c r="E4787">
        <v>0.50220989999999999</v>
      </c>
      <c r="F4787" t="s">
        <v>41</v>
      </c>
      <c r="G4787">
        <v>-273.96199999999999</v>
      </c>
      <c r="H4787">
        <v>1.0271349999999999</v>
      </c>
      <c r="I4787">
        <v>-62.025620000000004</v>
      </c>
      <c r="J4787">
        <v>-274.68329999999997</v>
      </c>
      <c r="K4787">
        <v>1.1139699999999999</v>
      </c>
      <c r="L4787">
        <v>-62.034579999999998</v>
      </c>
      <c r="M4787">
        <v>0.99911570000000005</v>
      </c>
      <c r="N4787">
        <v>0</v>
      </c>
      <c r="O4787">
        <v>-4.0822490000000003E-2</v>
      </c>
      <c r="P4787">
        <v>0.99352280000000004</v>
      </c>
      <c r="Q4787">
        <v>0.1135014</v>
      </c>
      <c r="R4787">
        <v>-5.4965680000000003E-3</v>
      </c>
      <c r="S4787">
        <v>3.0549620000000002</v>
      </c>
      <c r="T4787">
        <v>-0.3090367</v>
      </c>
      <c r="U4787">
        <v>1.9958500000000001E-2</v>
      </c>
      <c r="V4787">
        <v>-3.6339799999999998E-2</v>
      </c>
      <c r="W4787">
        <v>0.12313209999999999</v>
      </c>
      <c r="X4787">
        <v>0.99172470000000001</v>
      </c>
      <c r="Y4787">
        <v>-4.6903599999999997E-2</v>
      </c>
      <c r="Z4787">
        <v>6.4847860000000002E-3</v>
      </c>
      <c r="AA4787">
        <v>0.99887840000000006</v>
      </c>
      <c r="AB4787">
        <v>28</v>
      </c>
      <c r="AC4787">
        <v>0.72129999999998495</v>
      </c>
      <c r="AD4787">
        <v>-8.6834999999999996E-2</v>
      </c>
      <c r="AE4787">
        <v>8.9600000000089504E-3</v>
      </c>
      <c r="AF4787">
        <v>-3.7850798192708E-2</v>
      </c>
      <c r="AG4787">
        <v>-8.6834999999999996E-2</v>
      </c>
      <c r="AH4787">
        <v>0.710043821275953</v>
      </c>
      <c r="AI4787">
        <v>96.962591791821097</v>
      </c>
      <c r="AJ4787">
        <v>93.051417608979094</v>
      </c>
      <c r="AK4787">
        <v>0.71633457844849502</v>
      </c>
      <c r="AL4787">
        <v>82.927100235655502</v>
      </c>
      <c r="AM4787">
        <v>92.098552172754296</v>
      </c>
      <c r="AN4787">
        <v>0.99999998785226896</v>
      </c>
    </row>
    <row r="4788" spans="1:40" x14ac:dyDescent="0.25">
      <c r="A4788" t="str">
        <f>"20190312164406233"</f>
        <v>20190312164406233</v>
      </c>
      <c r="B4788" t="str">
        <f>"1552380246229873"</f>
        <v>1552380246229873</v>
      </c>
      <c r="C4788" t="s">
        <v>40</v>
      </c>
      <c r="D4788">
        <v>5.1373629999999997</v>
      </c>
      <c r="E4788">
        <v>0.50216660000000002</v>
      </c>
      <c r="F4788" t="s">
        <v>41</v>
      </c>
      <c r="G4788">
        <v>-273.7312</v>
      </c>
      <c r="H4788">
        <v>1.0165</v>
      </c>
      <c r="I4788">
        <v>-62.02796</v>
      </c>
      <c r="J4788">
        <v>-274.54020000000003</v>
      </c>
      <c r="K4788">
        <v>1.1138629999999901</v>
      </c>
      <c r="L4788">
        <v>-62.03754</v>
      </c>
      <c r="M4788">
        <v>0.99922560000000005</v>
      </c>
      <c r="N4788">
        <v>0</v>
      </c>
      <c r="O4788">
        <v>-3.8055230000000002E-2</v>
      </c>
      <c r="P4788">
        <v>0.99354529999999996</v>
      </c>
      <c r="Q4788">
        <v>0.11332680000000001</v>
      </c>
      <c r="R4788">
        <v>-4.9695039999999996E-3</v>
      </c>
      <c r="S4788">
        <v>3.0554199999999998</v>
      </c>
      <c r="T4788">
        <v>-0.31294870000000002</v>
      </c>
      <c r="U4788">
        <v>2.1697999999999999E-2</v>
      </c>
      <c r="V4788">
        <v>-3.4085419999999998E-2</v>
      </c>
      <c r="W4788">
        <v>0.12291249999999999</v>
      </c>
      <c r="X4788">
        <v>0.99183200000000005</v>
      </c>
      <c r="Y4788">
        <v>-4.4719340000000003E-2</v>
      </c>
      <c r="Z4788">
        <v>6.1713410000000003E-3</v>
      </c>
      <c r="AA4788">
        <v>0.99898050000000005</v>
      </c>
      <c r="AB4788">
        <v>28</v>
      </c>
      <c r="AC4788">
        <v>0.80900000000002503</v>
      </c>
      <c r="AD4788">
        <v>-9.7362999999999797E-2</v>
      </c>
      <c r="AE4788">
        <v>9.5799999999996999E-3</v>
      </c>
      <c r="AF4788">
        <v>-3.97851105831366E-2</v>
      </c>
      <c r="AG4788">
        <v>-9.7362999999999797E-2</v>
      </c>
      <c r="AH4788">
        <v>0.79651418869743795</v>
      </c>
      <c r="AI4788">
        <v>96.960463039794902</v>
      </c>
      <c r="AJ4788">
        <v>92.859492097968896</v>
      </c>
      <c r="AK4788">
        <v>0.80342844210884801</v>
      </c>
      <c r="AL4788">
        <v>82.939778834276694</v>
      </c>
      <c r="AM4788">
        <v>91.968259162751593</v>
      </c>
      <c r="AN4788">
        <v>1.0000000073684101</v>
      </c>
    </row>
    <row r="4789" spans="1:40" x14ac:dyDescent="0.25">
      <c r="A4789" t="str">
        <f>"20190312164406245"</f>
        <v>20190312164406245</v>
      </c>
      <c r="B4789" t="str">
        <f>"1552380246239636"</f>
        <v>1552380246239636</v>
      </c>
      <c r="C4789" t="s">
        <v>40</v>
      </c>
      <c r="D4789">
        <v>5.1413080000000004</v>
      </c>
      <c r="E4789">
        <v>0.50218169999999995</v>
      </c>
      <c r="F4789" t="s">
        <v>41</v>
      </c>
      <c r="G4789">
        <v>-273.72340000000003</v>
      </c>
      <c r="H4789">
        <v>1.027604</v>
      </c>
      <c r="I4789">
        <v>-62.031140000000001</v>
      </c>
      <c r="J4789">
        <v>-274.40230000000003</v>
      </c>
      <c r="K4789">
        <v>1.113758</v>
      </c>
      <c r="L4789">
        <v>-62.040190000000003</v>
      </c>
      <c r="M4789">
        <v>0.99932279999999996</v>
      </c>
      <c r="N4789">
        <v>0</v>
      </c>
      <c r="O4789">
        <v>-3.543462E-2</v>
      </c>
      <c r="P4789">
        <v>0.99357810000000002</v>
      </c>
      <c r="Q4789">
        <v>0.1130632</v>
      </c>
      <c r="R4789">
        <v>-4.4109639999999999E-3</v>
      </c>
      <c r="S4789">
        <v>3.0564580000000001</v>
      </c>
      <c r="T4789">
        <v>-0.32294990000000001</v>
      </c>
      <c r="U4789">
        <v>2.4505619999999999E-2</v>
      </c>
      <c r="V4789">
        <v>-3.2009429999999998E-2</v>
      </c>
      <c r="W4789">
        <v>0.122603</v>
      </c>
      <c r="X4789">
        <v>0.99193949999999997</v>
      </c>
      <c r="Y4789">
        <v>-4.3010960000000001E-2</v>
      </c>
      <c r="Z4789">
        <v>5.9993109999999898E-3</v>
      </c>
      <c r="AA4789">
        <v>0.99905659999999996</v>
      </c>
      <c r="AB4789">
        <v>28</v>
      </c>
      <c r="AC4789">
        <v>0.67889999999999795</v>
      </c>
      <c r="AD4789">
        <v>-8.61539999999998E-2</v>
      </c>
      <c r="AE4789">
        <v>9.0500000000019992E-3</v>
      </c>
      <c r="AF4789">
        <v>-3.2577520507324202E-2</v>
      </c>
      <c r="AG4789">
        <v>-8.61539999999998E-2</v>
      </c>
      <c r="AH4789">
        <v>0.66740676217141603</v>
      </c>
      <c r="AI4789">
        <v>97.346852138564998</v>
      </c>
      <c r="AJ4789">
        <v>92.794508871091395</v>
      </c>
      <c r="AK4789">
        <v>0.67373258252109003</v>
      </c>
      <c r="AL4789">
        <v>82.957647219739101</v>
      </c>
      <c r="AM4789">
        <v>91.848266999862702</v>
      </c>
      <c r="AN4789">
        <v>1.0000000354390799</v>
      </c>
    </row>
    <row r="4790" spans="1:40" x14ac:dyDescent="0.25">
      <c r="A4790" t="str">
        <f>"20190312164406256"</f>
        <v>20190312164406256</v>
      </c>
      <c r="B4790" t="str">
        <f>"1552380246250370"</f>
        <v>1552380246250370</v>
      </c>
      <c r="C4790" t="s">
        <v>40</v>
      </c>
      <c r="D4790">
        <v>5.2486769999999998</v>
      </c>
      <c r="E4790">
        <v>0.50269070000000005</v>
      </c>
      <c r="F4790" t="s">
        <v>41</v>
      </c>
      <c r="G4790">
        <v>-273.4837</v>
      </c>
      <c r="H4790">
        <v>1.016111</v>
      </c>
      <c r="I4790">
        <v>-62.032319999999999</v>
      </c>
      <c r="J4790">
        <v>-274.25380000000001</v>
      </c>
      <c r="K4790">
        <v>1.1136440000000001</v>
      </c>
      <c r="L4790">
        <v>-62.042659999999998</v>
      </c>
      <c r="M4790">
        <v>0.99941659999999999</v>
      </c>
      <c r="N4790">
        <v>0</v>
      </c>
      <c r="O4790">
        <v>-3.2703999999999997E-2</v>
      </c>
      <c r="P4790">
        <v>0.99364710000000001</v>
      </c>
      <c r="Q4790">
        <v>0.112466899999999</v>
      </c>
      <c r="R4790">
        <v>-4.107454E-3</v>
      </c>
      <c r="S4790">
        <v>3.0565190000000002</v>
      </c>
      <c r="T4790">
        <v>-0.32490279999999999</v>
      </c>
      <c r="U4790">
        <v>2.6275630000000001E-2</v>
      </c>
      <c r="V4790">
        <v>-2.9564429999999999E-2</v>
      </c>
      <c r="W4790">
        <v>0.1219594</v>
      </c>
      <c r="X4790">
        <v>0.9920947</v>
      </c>
      <c r="Y4790">
        <v>-4.0881510000000003E-2</v>
      </c>
      <c r="Z4790">
        <v>5.6330490000000002E-3</v>
      </c>
      <c r="AA4790">
        <v>0.99914809999999998</v>
      </c>
      <c r="AB4790">
        <v>28</v>
      </c>
      <c r="AC4790">
        <v>0.770100000000013</v>
      </c>
      <c r="AD4790">
        <v>-9.7532999999999995E-2</v>
      </c>
      <c r="AE4790">
        <v>1.0339999999999299E-2</v>
      </c>
      <c r="AF4790">
        <v>-3.4960370082450801E-2</v>
      </c>
      <c r="AG4790">
        <v>-9.7532999999999995E-2</v>
      </c>
      <c r="AH4790">
        <v>0.75720631583328202</v>
      </c>
      <c r="AI4790">
        <v>97.331923344816403</v>
      </c>
      <c r="AJ4790">
        <v>92.643480537453001</v>
      </c>
      <c r="AK4790">
        <v>0.76426194351355403</v>
      </c>
      <c r="AL4790">
        <v>82.9948015153429</v>
      </c>
      <c r="AM4790">
        <v>91.7069095393868</v>
      </c>
      <c r="AN4790">
        <v>1.0000000222688299</v>
      </c>
    </row>
    <row r="4791" spans="1:40" x14ac:dyDescent="0.25">
      <c r="A4791" t="str">
        <f>"20190312164406267"</f>
        <v>20190312164406267</v>
      </c>
      <c r="B4791" t="str">
        <f>"1552380246260129"</f>
        <v>1552380246260129</v>
      </c>
      <c r="C4791" t="s">
        <v>40</v>
      </c>
      <c r="D4791">
        <v>5.2548269999999997</v>
      </c>
      <c r="E4791">
        <v>0.50304199999999999</v>
      </c>
      <c r="F4791" t="s">
        <v>41</v>
      </c>
      <c r="G4791">
        <v>-273.47449999999998</v>
      </c>
      <c r="H4791">
        <v>1.0296430000000001</v>
      </c>
      <c r="I4791">
        <v>-62.0366199999999</v>
      </c>
      <c r="J4791">
        <v>-274.11829999999998</v>
      </c>
      <c r="K4791">
        <v>1.1135379999999999</v>
      </c>
      <c r="L4791">
        <v>-62.044649999999997</v>
      </c>
      <c r="M4791">
        <v>0.99949339999999998</v>
      </c>
      <c r="N4791">
        <v>0</v>
      </c>
      <c r="O4791">
        <v>-3.0291680000000001E-2</v>
      </c>
      <c r="P4791">
        <v>0.99374739999999995</v>
      </c>
      <c r="Q4791">
        <v>0.11159040000000001</v>
      </c>
      <c r="R4791">
        <v>-3.6989060000000001E-3</v>
      </c>
      <c r="S4791">
        <v>3.0565799999999999</v>
      </c>
      <c r="T4791">
        <v>-0.32947490000000001</v>
      </c>
      <c r="U4791">
        <v>2.3803709999999999E-2</v>
      </c>
      <c r="V4791">
        <v>-2.75404E-2</v>
      </c>
      <c r="W4791">
        <v>0.1210378</v>
      </c>
      <c r="X4791">
        <v>0.99226579999999998</v>
      </c>
      <c r="Y4791">
        <v>-3.768237E-2</v>
      </c>
      <c r="Z4791">
        <v>5.2806329999999999E-3</v>
      </c>
      <c r="AA4791">
        <v>0.99927580000000005</v>
      </c>
      <c r="AB4791">
        <v>28</v>
      </c>
      <c r="AC4791">
        <v>0.64379999999999804</v>
      </c>
      <c r="AD4791">
        <v>-8.3894999999999803E-2</v>
      </c>
      <c r="AE4791">
        <v>8.0300000000050799E-3</v>
      </c>
      <c r="AF4791">
        <v>-2.70694263818918E-2</v>
      </c>
      <c r="AG4791">
        <v>-8.3894999999999803E-2</v>
      </c>
      <c r="AH4791">
        <v>0.63252192341152602</v>
      </c>
      <c r="AI4791">
        <v>97.548537963281504</v>
      </c>
      <c r="AJ4791">
        <v>92.450536501284006</v>
      </c>
      <c r="AK4791">
        <v>0.63863534858780002</v>
      </c>
      <c r="AL4791">
        <v>83.047999403647793</v>
      </c>
      <c r="AM4791">
        <v>91.589839824930905</v>
      </c>
      <c r="AN4791">
        <v>1.0000000202553101</v>
      </c>
    </row>
    <row r="4792" spans="1:40" x14ac:dyDescent="0.25">
      <c r="A4792" t="str">
        <f>"20190312164406278"</f>
        <v>20190312164406278</v>
      </c>
      <c r="B4792" t="str">
        <f>"1552380246269889"</f>
        <v>1552380246269889</v>
      </c>
      <c r="C4792" t="s">
        <v>40</v>
      </c>
      <c r="D4792">
        <v>5.3165110000000002</v>
      </c>
      <c r="E4792">
        <v>0.50357459999999998</v>
      </c>
      <c r="F4792" t="s">
        <v>41</v>
      </c>
      <c r="G4792">
        <v>-273.23430000000002</v>
      </c>
      <c r="H4792">
        <v>1.0173140000000001</v>
      </c>
      <c r="I4792">
        <v>-62.038330000000002</v>
      </c>
      <c r="J4792">
        <v>-273.98009999999999</v>
      </c>
      <c r="K4792">
        <v>1.1134280000000001</v>
      </c>
      <c r="L4792">
        <v>-62.04645</v>
      </c>
      <c r="M4792">
        <v>0.99956429999999996</v>
      </c>
      <c r="N4792">
        <v>0</v>
      </c>
      <c r="O4792">
        <v>-2.7882000000000001E-2</v>
      </c>
      <c r="P4792">
        <v>0.99380849999999998</v>
      </c>
      <c r="Q4792">
        <v>0.111052</v>
      </c>
      <c r="R4792">
        <v>-3.5332409999999999E-3</v>
      </c>
      <c r="S4792">
        <v>3.0563349999999998</v>
      </c>
      <c r="T4792">
        <v>-0.33290120000000001</v>
      </c>
      <c r="U4792">
        <v>2.2583010000000001E-2</v>
      </c>
      <c r="V4792">
        <v>-2.5278579999999998E-2</v>
      </c>
      <c r="W4792">
        <v>0.1204551</v>
      </c>
      <c r="X4792">
        <v>0.99239690000000003</v>
      </c>
      <c r="Y4792">
        <v>-3.4897110000000002E-2</v>
      </c>
      <c r="Z4792">
        <v>4.9227809999999898E-3</v>
      </c>
      <c r="AA4792">
        <v>0.99937880000000001</v>
      </c>
      <c r="AB4792">
        <v>28</v>
      </c>
      <c r="AC4792">
        <v>0.74579999999997404</v>
      </c>
      <c r="AD4792">
        <v>-9.6114000000000005E-2</v>
      </c>
      <c r="AE4792">
        <v>8.1199999999981304E-3</v>
      </c>
      <c r="AF4792">
        <v>-2.84399272737367E-2</v>
      </c>
      <c r="AG4792">
        <v>-9.6114000000000005E-2</v>
      </c>
      <c r="AH4792">
        <v>0.73310925961513995</v>
      </c>
      <c r="AI4792">
        <v>97.463590059574898</v>
      </c>
      <c r="AJ4792">
        <v>92.2215939719528</v>
      </c>
      <c r="AK4792">
        <v>0.73992967030170698</v>
      </c>
      <c r="AL4792">
        <v>83.081631744190005</v>
      </c>
      <c r="AM4792">
        <v>91.459136782634104</v>
      </c>
      <c r="AN4792">
        <v>1.00000002242621</v>
      </c>
    </row>
    <row r="4793" spans="1:40" x14ac:dyDescent="0.25">
      <c r="A4793" t="str">
        <f>"20190312164406288"</f>
        <v>20190312164406288</v>
      </c>
      <c r="B4793" t="str">
        <f>"1552380246279650"</f>
        <v>1552380246279650</v>
      </c>
      <c r="C4793" t="s">
        <v>40</v>
      </c>
      <c r="D4793">
        <v>5.3059329999999996</v>
      </c>
      <c r="E4793">
        <v>0.50400780000000001</v>
      </c>
      <c r="F4793" t="s">
        <v>41</v>
      </c>
      <c r="G4793">
        <v>-273.22550000000001</v>
      </c>
      <c r="H4793">
        <v>1.0310469999999901</v>
      </c>
      <c r="I4793">
        <v>-62.042020000000001</v>
      </c>
      <c r="J4793">
        <v>-273.85599999999999</v>
      </c>
      <c r="K4793">
        <v>1.113329</v>
      </c>
      <c r="L4793">
        <v>-62.047759999999997</v>
      </c>
      <c r="M4793">
        <v>0.99962039999999996</v>
      </c>
      <c r="N4793">
        <v>0</v>
      </c>
      <c r="O4793">
        <v>-2.5809820000000001E-2</v>
      </c>
      <c r="P4793">
        <v>0.99390829999999997</v>
      </c>
      <c r="Q4793">
        <v>0.1101471</v>
      </c>
      <c r="R4793">
        <v>-3.719904E-3</v>
      </c>
      <c r="S4793">
        <v>3.0560299999999998</v>
      </c>
      <c r="T4793">
        <v>-0.33386900000000003</v>
      </c>
      <c r="U4793">
        <v>1.8829350000000002E-2</v>
      </c>
      <c r="V4793">
        <v>-2.2999809999999999E-2</v>
      </c>
      <c r="W4793">
        <v>0.1195112</v>
      </c>
      <c r="X4793">
        <v>0.99256639999999996</v>
      </c>
      <c r="Y4793">
        <v>-3.1628000000000003E-2</v>
      </c>
      <c r="Z4793">
        <v>4.533792E-3</v>
      </c>
      <c r="AA4793">
        <v>0.99948939999999997</v>
      </c>
      <c r="AB4793">
        <v>28</v>
      </c>
      <c r="AC4793">
        <v>0.63049999999998296</v>
      </c>
      <c r="AD4793">
        <v>-8.2282000000000105E-2</v>
      </c>
      <c r="AE4793">
        <v>5.7400000000029597E-3</v>
      </c>
      <c r="AF4793">
        <v>-2.1643358251160899E-2</v>
      </c>
      <c r="AG4793">
        <v>-8.2282000000000105E-2</v>
      </c>
      <c r="AH4793">
        <v>0.61959043314324302</v>
      </c>
      <c r="AI4793">
        <v>97.560095048299303</v>
      </c>
      <c r="AJ4793">
        <v>92.0006265358127</v>
      </c>
      <c r="AK4793">
        <v>0.62540472281796899</v>
      </c>
      <c r="AL4793">
        <v>83.136106527426193</v>
      </c>
      <c r="AM4793">
        <v>91.327423795713301</v>
      </c>
      <c r="AN4793">
        <v>0.99999998829721704</v>
      </c>
    </row>
    <row r="4794" spans="1:40" x14ac:dyDescent="0.25">
      <c r="A4794" t="str">
        <f>"20190312164406301"</f>
        <v>20190312164406301</v>
      </c>
      <c r="B4794" t="str">
        <f>"1552380246290385"</f>
        <v>1552380246290385</v>
      </c>
      <c r="C4794" t="s">
        <v>40</v>
      </c>
      <c r="D4794">
        <v>5.274222</v>
      </c>
      <c r="E4794">
        <v>0.50426150000000003</v>
      </c>
      <c r="F4794" t="s">
        <v>41</v>
      </c>
      <c r="G4794">
        <v>-272.98469999999998</v>
      </c>
      <c r="H4794">
        <v>1.0173299999999901</v>
      </c>
      <c r="I4794">
        <v>-62.043750000000003</v>
      </c>
      <c r="J4794">
        <v>-273.7054</v>
      </c>
      <c r="K4794">
        <v>1.1132040000000001</v>
      </c>
      <c r="L4794">
        <v>-62.049219999999998</v>
      </c>
      <c r="M4794">
        <v>0.99968230000000002</v>
      </c>
      <c r="N4794">
        <v>0</v>
      </c>
      <c r="O4794">
        <v>-2.333141E-2</v>
      </c>
      <c r="P4794">
        <v>0.99401499999999998</v>
      </c>
      <c r="Q4794">
        <v>0.1092067</v>
      </c>
      <c r="R4794">
        <v>-2.9120299999999999E-3</v>
      </c>
      <c r="S4794">
        <v>3.0557859999999999</v>
      </c>
      <c r="T4794">
        <v>-0.33683299999999999</v>
      </c>
      <c r="U4794">
        <v>1.464844E-2</v>
      </c>
      <c r="V4794">
        <v>-2.1306060000000002E-2</v>
      </c>
      <c r="W4794">
        <v>0.1185122</v>
      </c>
      <c r="X4794">
        <v>0.99272400000000005</v>
      </c>
      <c r="Y4794">
        <v>-2.7814749999999999E-2</v>
      </c>
      <c r="Z4794">
        <v>4.092315E-3</v>
      </c>
      <c r="AA4794">
        <v>0.99960470000000001</v>
      </c>
      <c r="AB4794">
        <v>28</v>
      </c>
      <c r="AC4794">
        <v>0.72070000000002199</v>
      </c>
      <c r="AD4794">
        <v>-9.5874000000000195E-2</v>
      </c>
      <c r="AE4794">
        <v>5.4699999999954204E-3</v>
      </c>
      <c r="AF4794">
        <v>-2.1896744581947299E-2</v>
      </c>
      <c r="AG4794">
        <v>-9.5874000000000195E-2</v>
      </c>
      <c r="AH4794">
        <v>0.70785026595728096</v>
      </c>
      <c r="AI4794">
        <v>97.709781056043397</v>
      </c>
      <c r="AJ4794">
        <v>91.771831074787499</v>
      </c>
      <c r="AK4794">
        <v>0.71464906794529603</v>
      </c>
      <c r="AL4794">
        <v>83.193754910987707</v>
      </c>
      <c r="AM4794">
        <v>91.229505815824396</v>
      </c>
      <c r="AN4794">
        <v>1.00000001495878</v>
      </c>
    </row>
    <row r="4795" spans="1:40" x14ac:dyDescent="0.25">
      <c r="A4795" t="str">
        <f>"20190312164406312"</f>
        <v>20190312164406312</v>
      </c>
      <c r="B4795" t="str">
        <f>"1552380246300146"</f>
        <v>1552380246300146</v>
      </c>
      <c r="C4795" t="s">
        <v>40</v>
      </c>
      <c r="D4795">
        <v>5.3672009999999997</v>
      </c>
      <c r="E4795">
        <v>0.50468080000000004</v>
      </c>
      <c r="F4795" t="s">
        <v>41</v>
      </c>
      <c r="G4795">
        <v>-272.97579999999999</v>
      </c>
      <c r="H4795">
        <v>1.0320830000000001</v>
      </c>
      <c r="I4795">
        <v>-62.045859999999998</v>
      </c>
      <c r="J4795">
        <v>-273.56119999999999</v>
      </c>
      <c r="K4795">
        <v>1.113089</v>
      </c>
      <c r="L4795">
        <v>-62.050229999999999</v>
      </c>
      <c r="M4795">
        <v>0.99973279999999998</v>
      </c>
      <c r="N4795">
        <v>0</v>
      </c>
      <c r="O4795">
        <v>-2.108904E-2</v>
      </c>
      <c r="P4795">
        <v>0.99407769999999995</v>
      </c>
      <c r="Q4795">
        <v>0.1086453</v>
      </c>
      <c r="R4795">
        <v>-2.4654740000000001E-3</v>
      </c>
      <c r="S4795">
        <v>3.0554199999999998</v>
      </c>
      <c r="T4795">
        <v>-0.33986309999999997</v>
      </c>
      <c r="U4795">
        <v>1.473999E-2</v>
      </c>
      <c r="V4795">
        <v>-1.9488800000000001E-2</v>
      </c>
      <c r="W4795">
        <v>0.117892</v>
      </c>
      <c r="X4795">
        <v>0.99283520000000003</v>
      </c>
      <c r="Y4795">
        <v>-2.5624729999999998E-2</v>
      </c>
      <c r="Z4795">
        <v>3.759339E-3</v>
      </c>
      <c r="AA4795">
        <v>0.99966449999999996</v>
      </c>
      <c r="AB4795">
        <v>28</v>
      </c>
      <c r="AC4795">
        <v>0.58539999999999204</v>
      </c>
      <c r="AD4795">
        <v>-8.1005999999999898E-2</v>
      </c>
      <c r="AE4795">
        <v>4.3700000000086404E-3</v>
      </c>
      <c r="AF4795">
        <v>-1.6401070850004099E-2</v>
      </c>
      <c r="AG4795">
        <v>-8.1005999999999898E-2</v>
      </c>
      <c r="AH4795">
        <v>0.57418363760675695</v>
      </c>
      <c r="AI4795">
        <v>98.027076837056697</v>
      </c>
      <c r="AJ4795">
        <v>91.636160679076099</v>
      </c>
      <c r="AK4795">
        <v>0.580101557364186</v>
      </c>
      <c r="AL4795">
        <v>83.229540768079502</v>
      </c>
      <c r="AM4795">
        <v>91.124539705439503</v>
      </c>
      <c r="AN4795">
        <v>1.00000003567423</v>
      </c>
    </row>
    <row r="4796" spans="1:40" x14ac:dyDescent="0.25">
      <c r="A4796" t="str">
        <f>"20190312164406326"</f>
        <v>20190312164406326</v>
      </c>
      <c r="B4796" t="str">
        <f>"1552380246319666"</f>
        <v>1552380246319666</v>
      </c>
      <c r="C4796" t="s">
        <v>40</v>
      </c>
      <c r="D4796">
        <v>5.2134640000000001</v>
      </c>
      <c r="E4796">
        <v>0.5047315</v>
      </c>
      <c r="F4796" t="s">
        <v>41</v>
      </c>
      <c r="G4796">
        <v>-272.73259999999999</v>
      </c>
      <c r="H4796">
        <v>1.0208790000000001</v>
      </c>
      <c r="I4796">
        <v>-62.047069999999998</v>
      </c>
      <c r="J4796">
        <v>-273.3913</v>
      </c>
      <c r="K4796">
        <v>1.1129560000000001</v>
      </c>
      <c r="L4796">
        <v>-62.051209999999998</v>
      </c>
      <c r="M4796">
        <v>0.99978489999999998</v>
      </c>
      <c r="N4796">
        <v>0</v>
      </c>
      <c r="O4796">
        <v>-1.8504820000000002E-2</v>
      </c>
      <c r="P4796">
        <v>0.99410989999999999</v>
      </c>
      <c r="Q4796">
        <v>0.1083607</v>
      </c>
      <c r="R4796">
        <v>-1.9752810000000002E-3</v>
      </c>
      <c r="S4796">
        <v>3.0550839999999999</v>
      </c>
      <c r="T4796">
        <v>-0.34018369999999998</v>
      </c>
      <c r="U4796">
        <v>1.2268070000000001E-2</v>
      </c>
      <c r="V4796">
        <v>-1.7373300000000001E-2</v>
      </c>
      <c r="W4796">
        <v>0.1175359</v>
      </c>
      <c r="X4796">
        <v>0.99291660000000004</v>
      </c>
      <c r="Y4796">
        <v>-2.2268389999999999E-2</v>
      </c>
      <c r="Z4796">
        <v>3.2901459999999999E-3</v>
      </c>
      <c r="AA4796">
        <v>0.99974660000000004</v>
      </c>
      <c r="AB4796">
        <v>28</v>
      </c>
      <c r="AC4796">
        <v>0.65870000000001006</v>
      </c>
      <c r="AD4796">
        <v>-9.2076999999999895E-2</v>
      </c>
      <c r="AE4796">
        <v>4.1399999999995798E-3</v>
      </c>
      <c r="AF4796">
        <v>-1.60160084687802E-2</v>
      </c>
      <c r="AG4796">
        <v>-9.2076999999999895E-2</v>
      </c>
      <c r="AH4796">
        <v>0.64589031926693596</v>
      </c>
      <c r="AI4796">
        <v>98.110859382277297</v>
      </c>
      <c r="AJ4796">
        <v>91.420460487067501</v>
      </c>
      <c r="AK4796">
        <v>0.65261703240033198</v>
      </c>
      <c r="AL4796">
        <v>83.250086037111899</v>
      </c>
      <c r="AM4796">
        <v>91.002415712920396</v>
      </c>
      <c r="AN4796">
        <v>0.99999994694862804</v>
      </c>
    </row>
    <row r="4797" spans="1:40" x14ac:dyDescent="0.25">
      <c r="A4797" t="str">
        <f>"20190312164406339"</f>
        <v>20190312164406339</v>
      </c>
      <c r="B4797" t="str">
        <f>"1552380246330401"</f>
        <v>1552380246330401</v>
      </c>
      <c r="C4797" t="s">
        <v>40</v>
      </c>
      <c r="D4797">
        <v>5.2303559999999996</v>
      </c>
      <c r="E4797">
        <v>0.51583639999999997</v>
      </c>
      <c r="F4797" t="s">
        <v>41</v>
      </c>
      <c r="G4797">
        <v>-272.4855</v>
      </c>
      <c r="H4797">
        <v>1.0123420000000001</v>
      </c>
      <c r="I4797">
        <v>-62.047370000000001</v>
      </c>
      <c r="J4797">
        <v>-273.21809999999999</v>
      </c>
      <c r="K4797">
        <v>1.1128290000000001</v>
      </c>
      <c r="L4797">
        <v>-62.051850000000002</v>
      </c>
      <c r="M4797">
        <v>0.99982950000000004</v>
      </c>
      <c r="N4797">
        <v>0</v>
      </c>
      <c r="O4797">
        <v>-1.5970439999999999E-2</v>
      </c>
      <c r="P4797">
        <v>0.99414380000000002</v>
      </c>
      <c r="Q4797">
        <v>0.1080561</v>
      </c>
      <c r="R4797">
        <v>-1.5500360000000001E-3</v>
      </c>
      <c r="S4797">
        <v>3.0547789999999999</v>
      </c>
      <c r="T4797">
        <v>-0.33928509999999901</v>
      </c>
      <c r="U4797">
        <v>1.306152E-2</v>
      </c>
      <c r="V4797">
        <v>-1.5241960000000001E-2</v>
      </c>
      <c r="W4797">
        <v>0.117158</v>
      </c>
      <c r="X4797">
        <v>0.99299630000000005</v>
      </c>
      <c r="Y4797">
        <v>-2.002483E-2</v>
      </c>
      <c r="Z4797">
        <v>2.8770139999999998E-3</v>
      </c>
      <c r="AA4797">
        <v>0.99979530000000005</v>
      </c>
      <c r="AB4797">
        <v>28</v>
      </c>
      <c r="AC4797">
        <v>0.73259999999999004</v>
      </c>
      <c r="AD4797">
        <v>-0.10048700000000001</v>
      </c>
      <c r="AE4797">
        <v>4.4800000000080296E-3</v>
      </c>
      <c r="AF4797">
        <v>-1.58810964997654E-2</v>
      </c>
      <c r="AG4797">
        <v>-0.10048700000000001</v>
      </c>
      <c r="AH4797">
        <v>0.71890979633969898</v>
      </c>
      <c r="AI4797">
        <v>97.955158465672199</v>
      </c>
      <c r="AJ4797">
        <v>91.265488160570598</v>
      </c>
      <c r="AK4797">
        <v>0.72607240800640704</v>
      </c>
      <c r="AL4797">
        <v>83.271888992968101</v>
      </c>
      <c r="AM4797">
        <v>90.879390390771306</v>
      </c>
      <c r="AN4797">
        <v>0.999999983061165</v>
      </c>
    </row>
    <row r="4798" spans="1:40" x14ac:dyDescent="0.25">
      <c r="A4798" t="str">
        <f>"20190312164406351"</f>
        <v>20190312164406351</v>
      </c>
      <c r="B4798" t="str">
        <f>"1552380246340161"</f>
        <v>1552380246340161</v>
      </c>
      <c r="C4798" t="s">
        <v>40</v>
      </c>
      <c r="D4798">
        <v>5.224151</v>
      </c>
      <c r="E4798">
        <v>0.51583639999999997</v>
      </c>
      <c r="F4798" t="s">
        <v>41</v>
      </c>
      <c r="G4798">
        <v>-272.4787</v>
      </c>
      <c r="H4798">
        <v>1.0281670000000001</v>
      </c>
      <c r="I4798">
        <v>-62.069619999999901</v>
      </c>
      <c r="J4798">
        <v>-273.0677</v>
      </c>
      <c r="K4798">
        <v>1.1127320000000001</v>
      </c>
      <c r="L4798">
        <v>-62.052030000000002</v>
      </c>
      <c r="M4798">
        <v>0.99986160000000002</v>
      </c>
      <c r="N4798">
        <v>0</v>
      </c>
      <c r="O4798">
        <v>-1.3866989999999999E-2</v>
      </c>
      <c r="P4798">
        <v>0.99421190000000004</v>
      </c>
      <c r="Q4798">
        <v>0.1074281</v>
      </c>
      <c r="R4798">
        <v>-1.4811129999999901E-3</v>
      </c>
      <c r="S4798">
        <v>3.0555729999999999</v>
      </c>
      <c r="T4798">
        <v>-0.34983340000000002</v>
      </c>
      <c r="U4798">
        <v>-7.3333739999999994E-2</v>
      </c>
      <c r="V4798">
        <v>-1.318944E-2</v>
      </c>
      <c r="W4798">
        <v>0.1164722</v>
      </c>
      <c r="X4798">
        <v>0.99310639999999994</v>
      </c>
      <c r="Y4798">
        <v>1.0151459999999999E-2</v>
      </c>
      <c r="Z4798">
        <v>1.0030569999999999E-3</v>
      </c>
      <c r="AA4798">
        <v>0.99994799999999995</v>
      </c>
      <c r="AB4798">
        <v>28</v>
      </c>
      <c r="AC4798">
        <v>0.58899999999999797</v>
      </c>
      <c r="AD4798">
        <v>-8.4565000000000001E-2</v>
      </c>
      <c r="AE4798">
        <v>-1.75899999999913E-2</v>
      </c>
      <c r="AF4798">
        <v>9.2302094572843194E-3</v>
      </c>
      <c r="AG4798">
        <v>-8.4565000000000001E-2</v>
      </c>
      <c r="AH4798">
        <v>0.57729779645777601</v>
      </c>
      <c r="AI4798">
        <v>98.332606292679898</v>
      </c>
      <c r="AJ4798">
        <v>89.083996177701906</v>
      </c>
      <c r="AK4798">
        <v>0.583531645917022</v>
      </c>
      <c r="AL4798">
        <v>83.311453613378603</v>
      </c>
      <c r="AM4798">
        <v>90.760900160905507</v>
      </c>
      <c r="AN4798">
        <v>1.00000002821065</v>
      </c>
    </row>
    <row r="4799" spans="1:40" x14ac:dyDescent="0.25">
      <c r="A4799" t="str">
        <f>"20190312164406365"</f>
        <v>20190312164406365</v>
      </c>
      <c r="B4799" t="str">
        <f>"1552380246359681"</f>
        <v>1552380246359681</v>
      </c>
      <c r="C4799" t="s">
        <v>40</v>
      </c>
      <c r="D4799">
        <v>5.2893610000000004</v>
      </c>
      <c r="E4799">
        <v>0.5192755</v>
      </c>
      <c r="F4799" t="s">
        <v>41</v>
      </c>
      <c r="G4799">
        <v>-272.23230000000001</v>
      </c>
      <c r="H4799">
        <v>1.016608</v>
      </c>
      <c r="I4799">
        <v>-62.072229999999998</v>
      </c>
      <c r="J4799">
        <v>-272.9033</v>
      </c>
      <c r="K4799">
        <v>1.1126290000000001</v>
      </c>
      <c r="L4799">
        <v>-62.052030000000002</v>
      </c>
      <c r="M4799">
        <v>0.99989110000000003</v>
      </c>
      <c r="N4799">
        <v>0</v>
      </c>
      <c r="O4799">
        <v>-1.1609420000000001E-2</v>
      </c>
      <c r="P4799">
        <v>0.99426409999999998</v>
      </c>
      <c r="Q4799">
        <v>0.10694339999999999</v>
      </c>
      <c r="R4799">
        <v>-1.4149570000000001E-3</v>
      </c>
      <c r="S4799">
        <v>3.0554199999999998</v>
      </c>
      <c r="T4799">
        <v>-0.35183619999999999</v>
      </c>
      <c r="U4799">
        <v>-7.2692870000000007E-2</v>
      </c>
      <c r="V4799">
        <v>-1.098054E-2</v>
      </c>
      <c r="W4799">
        <v>0.11592479999999999</v>
      </c>
      <c r="X4799">
        <v>0.99319729999999995</v>
      </c>
      <c r="Y4799">
        <v>1.2172789999999999E-2</v>
      </c>
      <c r="Z4799">
        <v>6.337882E-4</v>
      </c>
      <c r="AA4799">
        <v>0.99992570000000003</v>
      </c>
      <c r="AB4799">
        <v>28</v>
      </c>
      <c r="AC4799">
        <v>0.67099999999999205</v>
      </c>
      <c r="AD4799">
        <v>-9.6021000000000106E-2</v>
      </c>
      <c r="AE4799">
        <v>-2.0200000000002601E-2</v>
      </c>
      <c r="AF4799">
        <v>1.21596153504159E-2</v>
      </c>
      <c r="AG4799">
        <v>-9.6021000000000106E-2</v>
      </c>
      <c r="AH4799">
        <v>0.65773245094399002</v>
      </c>
      <c r="AI4799">
        <v>98.3044189335955</v>
      </c>
      <c r="AJ4799">
        <v>88.940883509300903</v>
      </c>
      <c r="AK4799">
        <v>0.66481566295572403</v>
      </c>
      <c r="AL4799">
        <v>83.343031067933794</v>
      </c>
      <c r="AM4799">
        <v>90.6334219470167</v>
      </c>
      <c r="AN4799">
        <v>1.0000000041205099</v>
      </c>
    </row>
    <row r="4800" spans="1:40" x14ac:dyDescent="0.25">
      <c r="A4800" t="str">
        <f>"20190312164406379"</f>
        <v>20190312164406379</v>
      </c>
      <c r="B4800" t="str">
        <f>"1552380246369442"</f>
        <v>1552380246369442</v>
      </c>
      <c r="C4800" t="s">
        <v>40</v>
      </c>
      <c r="D4800">
        <v>5.2120449999999998</v>
      </c>
      <c r="E4800">
        <v>0.51921490000000003</v>
      </c>
      <c r="F4800" t="s">
        <v>41</v>
      </c>
      <c r="G4800">
        <v>-271.99829999999997</v>
      </c>
      <c r="H4800">
        <v>0.97856350000000003</v>
      </c>
      <c r="I4800">
        <v>-62.07911</v>
      </c>
      <c r="J4800">
        <v>-272.71559999999999</v>
      </c>
      <c r="K4800">
        <v>1.112519</v>
      </c>
      <c r="L4800">
        <v>-62.051729999999999</v>
      </c>
      <c r="M4800">
        <v>0.99991770000000002</v>
      </c>
      <c r="N4800">
        <v>0</v>
      </c>
      <c r="O4800">
        <v>-9.1220180000000008E-3</v>
      </c>
      <c r="P4800">
        <v>0.99436820000000004</v>
      </c>
      <c r="Q4800">
        <v>0.1059237</v>
      </c>
      <c r="R4800">
        <v>-3.4703210000000002E-3</v>
      </c>
      <c r="S4800">
        <v>3.0660400000000001</v>
      </c>
      <c r="T4800">
        <v>-0.4542949</v>
      </c>
      <c r="U4800">
        <v>-9.1217039999999999E-2</v>
      </c>
      <c r="V4800">
        <v>-6.4186440000000003E-3</v>
      </c>
      <c r="W4800">
        <v>0.11484999999999999</v>
      </c>
      <c r="X4800">
        <v>0.99336210000000003</v>
      </c>
      <c r="Y4800">
        <v>2.0493979999999998E-2</v>
      </c>
      <c r="Z4800">
        <v>-1.6575060000000001E-4</v>
      </c>
      <c r="AA4800">
        <v>0.99978999999999996</v>
      </c>
      <c r="AB4800">
        <v>28</v>
      </c>
      <c r="AC4800">
        <v>0.71730000000002203</v>
      </c>
      <c r="AD4800">
        <v>-0.13395550000000001</v>
      </c>
      <c r="AE4800">
        <v>-2.7379999999993701E-2</v>
      </c>
      <c r="AF4800">
        <v>2.01342037594841E-2</v>
      </c>
      <c r="AG4800">
        <v>-0.13395550000000001</v>
      </c>
      <c r="AH4800">
        <v>0.69337341751322901</v>
      </c>
      <c r="AI4800">
        <v>100.92998682399499</v>
      </c>
      <c r="AJ4800">
        <v>88.336710362324794</v>
      </c>
      <c r="AK4800">
        <v>0.70648153426346105</v>
      </c>
      <c r="AL4800">
        <v>83.405026587207203</v>
      </c>
      <c r="AM4800">
        <v>90.370213533754793</v>
      </c>
      <c r="AN4800">
        <v>0.99999999160360398</v>
      </c>
    </row>
    <row r="4801" spans="1:40" x14ac:dyDescent="0.25">
      <c r="A4801" t="str">
        <f>"20190312164406390"</f>
        <v>20190312164406390</v>
      </c>
      <c r="B4801" t="str">
        <f>"1552380246380177"</f>
        <v>1552380246380177</v>
      </c>
      <c r="C4801" t="s">
        <v>40</v>
      </c>
      <c r="D4801">
        <v>5.2200179999999996</v>
      </c>
      <c r="E4801">
        <v>0.51911339999999995</v>
      </c>
      <c r="F4801" t="s">
        <v>41</v>
      </c>
      <c r="G4801">
        <v>-271.98599999999999</v>
      </c>
      <c r="H4801">
        <v>1.0038009999999999</v>
      </c>
      <c r="I4801">
        <v>-62.074890000000003</v>
      </c>
      <c r="J4801">
        <v>-272.57560000000001</v>
      </c>
      <c r="K4801">
        <v>1.112449</v>
      </c>
      <c r="L4801">
        <v>-62.051119999999997</v>
      </c>
      <c r="M4801">
        <v>0.99993310000000002</v>
      </c>
      <c r="N4801">
        <v>0</v>
      </c>
      <c r="O4801">
        <v>-7.3286000000000002E-3</v>
      </c>
      <c r="P4801">
        <v>0.99439690000000003</v>
      </c>
      <c r="Q4801">
        <v>0.1056486</v>
      </c>
      <c r="R4801">
        <v>-3.6740169999999999E-3</v>
      </c>
      <c r="S4801">
        <v>3.0653380000000001</v>
      </c>
      <c r="T4801">
        <v>-0.45681630000000001</v>
      </c>
      <c r="U4801">
        <v>-9.6649170000000006E-2</v>
      </c>
      <c r="V4801">
        <v>-4.412801E-3</v>
      </c>
      <c r="W4801">
        <v>0.11452320000000001</v>
      </c>
      <c r="X4801">
        <v>0.99341080000000004</v>
      </c>
      <c r="Y4801">
        <v>2.4003980000000001E-2</v>
      </c>
      <c r="Z4801">
        <v>-6.9245959999999997E-4</v>
      </c>
      <c r="AA4801">
        <v>0.99971160000000003</v>
      </c>
      <c r="AB4801">
        <v>28</v>
      </c>
      <c r="AC4801">
        <v>0.589600000000018</v>
      </c>
      <c r="AD4801">
        <v>-0.10864799999999999</v>
      </c>
      <c r="AE4801">
        <v>-2.3770000000006002E-2</v>
      </c>
      <c r="AF4801">
        <v>1.8810534365488601E-2</v>
      </c>
      <c r="AG4801">
        <v>-0.10864799999999999</v>
      </c>
      <c r="AH4801">
        <v>0.57042008482237705</v>
      </c>
      <c r="AI4801">
        <v>100.778242477285</v>
      </c>
      <c r="AJ4801">
        <v>88.111262491771001</v>
      </c>
      <c r="AK4801">
        <v>0.58097960142838301</v>
      </c>
      <c r="AL4801">
        <v>83.423875449505303</v>
      </c>
      <c r="AM4801">
        <v>90.254510228972904</v>
      </c>
      <c r="AN4801">
        <v>1.0000000268537701</v>
      </c>
    </row>
    <row r="4802" spans="1:40" x14ac:dyDescent="0.25">
      <c r="A4802" t="str">
        <f>"20190312164406402"</f>
        <v>20190312164406402</v>
      </c>
      <c r="B4802" t="str">
        <f>"1552380246389937"</f>
        <v>1552380246389937</v>
      </c>
      <c r="C4802" t="s">
        <v>40</v>
      </c>
      <c r="D4802">
        <v>5.2239259999999996</v>
      </c>
      <c r="E4802">
        <v>0.5189838</v>
      </c>
      <c r="F4802" t="s">
        <v>41</v>
      </c>
      <c r="G4802">
        <v>-271.74029999999999</v>
      </c>
      <c r="H4802">
        <v>0.98810019999999998</v>
      </c>
      <c r="I4802">
        <v>-62.077730000000003</v>
      </c>
      <c r="J4802">
        <v>-272.43090000000001</v>
      </c>
      <c r="K4802">
        <v>1.1123799999999999</v>
      </c>
      <c r="L4802">
        <v>-62.050449999999998</v>
      </c>
      <c r="M4802">
        <v>0.99994539999999998</v>
      </c>
      <c r="N4802">
        <v>0</v>
      </c>
      <c r="O4802">
        <v>-5.4910749999999998E-3</v>
      </c>
      <c r="P4802">
        <v>0.99441679999999999</v>
      </c>
      <c r="Q4802">
        <v>0.10544149999999999</v>
      </c>
      <c r="R4802">
        <v>-4.1631999999999997E-3</v>
      </c>
      <c r="S4802">
        <v>3.0651250000000001</v>
      </c>
      <c r="T4802">
        <v>-0.45655099999999998</v>
      </c>
      <c r="U4802">
        <v>-9.6466060000000006E-2</v>
      </c>
      <c r="V4802">
        <v>-2.078482E-3</v>
      </c>
      <c r="W4802">
        <v>0.11426360000000001</v>
      </c>
      <c r="X4802">
        <v>0.99344829999999995</v>
      </c>
      <c r="Y4802">
        <v>2.5744320000000001E-2</v>
      </c>
      <c r="Z4802">
        <v>-1.093105E-3</v>
      </c>
      <c r="AA4802">
        <v>0.99966790000000005</v>
      </c>
      <c r="AB4802">
        <v>28</v>
      </c>
      <c r="AC4802">
        <v>0.69060000000001698</v>
      </c>
      <c r="AD4802">
        <v>-0.124279799999999</v>
      </c>
      <c r="AE4802">
        <v>-2.7280000000004599E-2</v>
      </c>
      <c r="AF4802">
        <v>2.2751631896466201E-2</v>
      </c>
      <c r="AG4802">
        <v>-0.124279799999999</v>
      </c>
      <c r="AH4802">
        <v>0.66910401471538905</v>
      </c>
      <c r="AI4802">
        <v>100.516301210622</v>
      </c>
      <c r="AJ4802">
        <v>88.052514404606796</v>
      </c>
      <c r="AK4802">
        <v>0.68092825462763995</v>
      </c>
      <c r="AL4802">
        <v>83.4388475914715</v>
      </c>
      <c r="AM4802">
        <v>90.119873447500396</v>
      </c>
      <c r="AN4802">
        <v>1.0000000075726301</v>
      </c>
    </row>
    <row r="4803" spans="1:40" x14ac:dyDescent="0.25">
      <c r="A4803" t="str">
        <f>"20190312164406413"</f>
        <v>20190312164406413</v>
      </c>
      <c r="B4803" t="str">
        <f>"1552380246409458"</f>
        <v>1552380246409458</v>
      </c>
      <c r="C4803" t="s">
        <v>40</v>
      </c>
      <c r="D4803">
        <v>5.252942</v>
      </c>
      <c r="E4803">
        <v>0.51873959999999997</v>
      </c>
      <c r="F4803" t="s">
        <v>41</v>
      </c>
      <c r="G4803">
        <v>-271.49380000000002</v>
      </c>
      <c r="H4803">
        <v>0.97258529999999999</v>
      </c>
      <c r="I4803">
        <v>-62.0800699999999</v>
      </c>
      <c r="J4803">
        <v>-272.27980000000002</v>
      </c>
      <c r="K4803">
        <v>1.11232</v>
      </c>
      <c r="L4803">
        <v>-62.049289999999999</v>
      </c>
      <c r="M4803">
        <v>0.99995449999999997</v>
      </c>
      <c r="N4803">
        <v>0</v>
      </c>
      <c r="O4803">
        <v>-3.631712E-3</v>
      </c>
      <c r="P4803">
        <v>0.99441489999999999</v>
      </c>
      <c r="Q4803">
        <v>0.10544009999999999</v>
      </c>
      <c r="R4803">
        <v>-4.6511369999999996E-3</v>
      </c>
      <c r="S4803">
        <v>3.0649410000000001</v>
      </c>
      <c r="T4803">
        <v>-0.45725909999999897</v>
      </c>
      <c r="U4803">
        <v>-9.6649170000000006E-2</v>
      </c>
      <c r="V4803">
        <v>2.7274150000000002E-4</v>
      </c>
      <c r="W4803">
        <v>0.1142049</v>
      </c>
      <c r="X4803">
        <v>0.99345720000000004</v>
      </c>
      <c r="Y4803">
        <v>2.7622600000000001E-2</v>
      </c>
      <c r="Z4803">
        <v>-1.5099550000000001E-3</v>
      </c>
      <c r="AA4803">
        <v>0.99961730000000004</v>
      </c>
      <c r="AB4803">
        <v>28</v>
      </c>
      <c r="AC4803">
        <v>0.78600000000000103</v>
      </c>
      <c r="AD4803">
        <v>-0.13973469999999899</v>
      </c>
      <c r="AE4803">
        <v>-3.07799999999929E-2</v>
      </c>
      <c r="AF4803">
        <v>2.7070880139964601E-2</v>
      </c>
      <c r="AG4803">
        <v>-0.13973469999999899</v>
      </c>
      <c r="AH4803">
        <v>0.762058209735061</v>
      </c>
      <c r="AI4803">
        <v>100.384198360195</v>
      </c>
      <c r="AJ4803">
        <v>87.965515985492303</v>
      </c>
      <c r="AK4803">
        <v>0.77523630846358604</v>
      </c>
      <c r="AL4803">
        <v>83.442233103016306</v>
      </c>
      <c r="AM4803">
        <v>89.984270146257401</v>
      </c>
      <c r="AN4803">
        <v>1.00000002090188</v>
      </c>
    </row>
    <row r="4804" spans="1:40" x14ac:dyDescent="0.25">
      <c r="A4804" t="str">
        <f>"20190312164406426"</f>
        <v>20190312164406426</v>
      </c>
      <c r="B4804" t="str">
        <f>"1552380246420193"</f>
        <v>1552380246420193</v>
      </c>
      <c r="C4804" t="s">
        <v>40</v>
      </c>
      <c r="D4804">
        <v>5.3166880000000001</v>
      </c>
      <c r="E4804">
        <v>0.51879579999999903</v>
      </c>
      <c r="F4804" t="s">
        <v>41</v>
      </c>
      <c r="G4804">
        <v>-271.48320000000001</v>
      </c>
      <c r="H4804">
        <v>0.99416470000000001</v>
      </c>
      <c r="I4804">
        <v>-62.074240000000003</v>
      </c>
      <c r="J4804">
        <v>-272.13929999999999</v>
      </c>
      <c r="K4804">
        <v>1.112268</v>
      </c>
      <c r="L4804">
        <v>-62.04813</v>
      </c>
      <c r="M4804">
        <v>0.99995999999999996</v>
      </c>
      <c r="N4804">
        <v>0</v>
      </c>
      <c r="O4804">
        <v>-1.919919E-3</v>
      </c>
      <c r="P4804">
        <v>0.9944172</v>
      </c>
      <c r="Q4804">
        <v>0.1053885</v>
      </c>
      <c r="R4804">
        <v>-5.3039929999999999E-3</v>
      </c>
      <c r="S4804">
        <v>3.0646059999999999</v>
      </c>
      <c r="T4804">
        <v>-0.45466299999999998</v>
      </c>
      <c r="U4804">
        <v>-9.5733639999999995E-2</v>
      </c>
      <c r="V4804">
        <v>2.6406229999999999E-3</v>
      </c>
      <c r="W4804">
        <v>0.1141025</v>
      </c>
      <c r="X4804">
        <v>0.9934655</v>
      </c>
      <c r="Y4804">
        <v>2.9007950000000001E-2</v>
      </c>
      <c r="Z4804">
        <v>-1.8563469999999999E-3</v>
      </c>
      <c r="AA4804">
        <v>0.99957750000000001</v>
      </c>
      <c r="AB4804">
        <v>28</v>
      </c>
      <c r="AC4804">
        <v>0.65609999999998003</v>
      </c>
      <c r="AD4804">
        <v>-0.11810329999999999</v>
      </c>
      <c r="AE4804">
        <v>-2.6109999999995599E-2</v>
      </c>
      <c r="AF4804">
        <v>2.4071491923273701E-2</v>
      </c>
      <c r="AG4804">
        <v>-0.11810329999999999</v>
      </c>
      <c r="AH4804">
        <v>0.63558663100777502</v>
      </c>
      <c r="AI4804">
        <v>100.519143689228</v>
      </c>
      <c r="AJ4804">
        <v>87.831080807385106</v>
      </c>
      <c r="AK4804">
        <v>0.64691436196000096</v>
      </c>
      <c r="AL4804">
        <v>83.448138832756698</v>
      </c>
      <c r="AM4804">
        <v>89.847708655320801</v>
      </c>
      <c r="AN4804">
        <v>1.0000000265431599</v>
      </c>
    </row>
    <row r="4805" spans="1:40" x14ac:dyDescent="0.25">
      <c r="A4805" t="str">
        <f>"20190312164406436"</f>
        <v>20190312164406436</v>
      </c>
      <c r="B4805" t="str">
        <f>"1552380246429953"</f>
        <v>1552380246429953</v>
      </c>
      <c r="C4805" t="s">
        <v>40</v>
      </c>
      <c r="D4805">
        <v>5.2412710000000002</v>
      </c>
      <c r="E4805">
        <v>0.51867569999999996</v>
      </c>
      <c r="F4805" t="s">
        <v>41</v>
      </c>
      <c r="G4805">
        <v>-271.23630000000003</v>
      </c>
      <c r="H4805">
        <v>0.97799440000000004</v>
      </c>
      <c r="I4805">
        <v>-62.077120000000001</v>
      </c>
      <c r="J4805">
        <v>-271.98680000000002</v>
      </c>
      <c r="K4805">
        <v>1.1122179999999999</v>
      </c>
      <c r="L4805">
        <v>-62.046599999999998</v>
      </c>
      <c r="M4805">
        <v>0.99996240000000003</v>
      </c>
      <c r="N4805">
        <v>0</v>
      </c>
      <c r="O4805" s="1">
        <v>-9.2720880000000001E-5</v>
      </c>
      <c r="P4805">
        <v>0.99437900000000001</v>
      </c>
      <c r="Q4805">
        <v>0.1057222</v>
      </c>
      <c r="R4805">
        <v>-5.7691869999999899E-3</v>
      </c>
      <c r="S4805">
        <v>3.0646059999999999</v>
      </c>
      <c r="T4805">
        <v>-0.45585320000000001</v>
      </c>
      <c r="U4805">
        <v>-9.7869869999999998E-2</v>
      </c>
      <c r="V4805">
        <v>4.9320249999999996E-3</v>
      </c>
      <c r="W4805">
        <v>0.1143806</v>
      </c>
      <c r="X4805">
        <v>0.9934248</v>
      </c>
      <c r="Y4805">
        <v>3.148161E-2</v>
      </c>
      <c r="Z4805">
        <v>-2.3143019999999999E-3</v>
      </c>
      <c r="AA4805">
        <v>0.99950159999999999</v>
      </c>
      <c r="AB4805">
        <v>29</v>
      </c>
      <c r="AC4805">
        <v>0.75049999999998795</v>
      </c>
      <c r="AD4805">
        <v>-0.1342236</v>
      </c>
      <c r="AE4805">
        <v>-3.0519999999995599E-2</v>
      </c>
      <c r="AF4805">
        <v>2.9508129237457301E-2</v>
      </c>
      <c r="AG4805">
        <v>-0.1342236</v>
      </c>
      <c r="AH4805">
        <v>0.72727868804332396</v>
      </c>
      <c r="AI4805">
        <v>100.448208416665</v>
      </c>
      <c r="AJ4805">
        <v>87.676592930483594</v>
      </c>
      <c r="AK4805">
        <v>0.74014930559318504</v>
      </c>
      <c r="AL4805">
        <v>83.432099957852003</v>
      </c>
      <c r="AM4805">
        <v>89.715547774445</v>
      </c>
      <c r="AN4805">
        <v>1.0000000398909901</v>
      </c>
    </row>
    <row r="4806" spans="1:40" x14ac:dyDescent="0.25">
      <c r="A4806" t="str">
        <f>"20190312164406447"</f>
        <v>20190312164406447</v>
      </c>
      <c r="B4806" t="str">
        <f>"1552380246439713"</f>
        <v>1552380246439713</v>
      </c>
      <c r="C4806" t="s">
        <v>40</v>
      </c>
      <c r="D4806">
        <v>5.226362</v>
      </c>
      <c r="E4806">
        <v>0.51862819999999998</v>
      </c>
      <c r="F4806" t="s">
        <v>41</v>
      </c>
      <c r="G4806">
        <v>-271.22579999999999</v>
      </c>
      <c r="H4806">
        <v>0.99954399999999999</v>
      </c>
      <c r="I4806">
        <v>-62.071170000000002</v>
      </c>
      <c r="J4806">
        <v>-271.85789999999997</v>
      </c>
      <c r="K4806">
        <v>1.1121829999999999</v>
      </c>
      <c r="L4806">
        <v>-62.045070000000003</v>
      </c>
      <c r="M4806">
        <v>0.99996189999999996</v>
      </c>
      <c r="N4806">
        <v>0</v>
      </c>
      <c r="O4806">
        <v>1.4345040000000001E-3</v>
      </c>
      <c r="P4806">
        <v>0.99438110000000002</v>
      </c>
      <c r="Q4806">
        <v>0.1056547</v>
      </c>
      <c r="R4806">
        <v>-6.5905640000000001E-3</v>
      </c>
      <c r="S4806">
        <v>3.064667</v>
      </c>
      <c r="T4806">
        <v>-0.45390629999999998</v>
      </c>
      <c r="U4806">
        <v>-9.8297120000000002E-2</v>
      </c>
      <c r="V4806">
        <v>7.2807109999999996E-3</v>
      </c>
      <c r="W4806">
        <v>0.1142698</v>
      </c>
      <c r="X4806">
        <v>0.9934231</v>
      </c>
      <c r="Y4806">
        <v>3.3115119999999998E-2</v>
      </c>
      <c r="Z4806">
        <v>-2.6496779999999999E-3</v>
      </c>
      <c r="AA4806">
        <v>0.99944809999999995</v>
      </c>
      <c r="AB4806">
        <v>29</v>
      </c>
      <c r="AC4806">
        <v>0.63209999999997901</v>
      </c>
      <c r="AD4806">
        <v>-0.112638999999999</v>
      </c>
      <c r="AE4806">
        <v>-2.6099999999999499E-2</v>
      </c>
      <c r="AF4806">
        <v>2.61769346980401E-2</v>
      </c>
      <c r="AG4806">
        <v>-0.112638999999999</v>
      </c>
      <c r="AH4806">
        <v>0.61264088251108495</v>
      </c>
      <c r="AI4806">
        <v>100.408656055308</v>
      </c>
      <c r="AJ4806">
        <v>87.553352734367294</v>
      </c>
      <c r="AK4806">
        <v>0.62345940297275604</v>
      </c>
      <c r="AL4806">
        <v>83.438490135545607</v>
      </c>
      <c r="AM4806">
        <v>89.580091761972895</v>
      </c>
      <c r="AN4806">
        <v>1.0000000257791499</v>
      </c>
    </row>
    <row r="4807" spans="1:40" x14ac:dyDescent="0.25">
      <c r="A4807" t="str">
        <f>"20190312164406457"</f>
        <v>20190312164406457</v>
      </c>
      <c r="B4807" t="str">
        <f>"1552380246449473"</f>
        <v>1552380246449473</v>
      </c>
      <c r="C4807" t="s">
        <v>40</v>
      </c>
      <c r="D4807">
        <v>5.2507669999999997</v>
      </c>
      <c r="E4807">
        <v>0.51866769999999995</v>
      </c>
      <c r="F4807" t="s">
        <v>41</v>
      </c>
      <c r="G4807">
        <v>-270.97890000000001</v>
      </c>
      <c r="H4807">
        <v>0.98187829999999998</v>
      </c>
      <c r="I4807">
        <v>-62.073929999999997</v>
      </c>
      <c r="J4807">
        <v>-271.72280000000001</v>
      </c>
      <c r="K4807">
        <v>1.1121490000000001</v>
      </c>
      <c r="L4807">
        <v>-62.043329999999997</v>
      </c>
      <c r="M4807">
        <v>0.99995889999999998</v>
      </c>
      <c r="N4807">
        <v>0</v>
      </c>
      <c r="O4807">
        <v>3.021162E-3</v>
      </c>
      <c r="P4807">
        <v>0.99435099999999998</v>
      </c>
      <c r="Q4807">
        <v>0.1058963</v>
      </c>
      <c r="R4807">
        <v>-7.2359659999999999E-3</v>
      </c>
      <c r="S4807">
        <v>3.064575</v>
      </c>
      <c r="T4807">
        <v>-0.45423409999999897</v>
      </c>
      <c r="U4807">
        <v>-0.10070800000000001</v>
      </c>
      <c r="V4807">
        <v>9.5102399999999997E-3</v>
      </c>
      <c r="W4807">
        <v>0.114463</v>
      </c>
      <c r="X4807">
        <v>0.99338199999999999</v>
      </c>
      <c r="Y4807">
        <v>3.5443950000000002E-2</v>
      </c>
      <c r="Z4807">
        <v>-3.057073E-3</v>
      </c>
      <c r="AA4807">
        <v>0.99936700000000001</v>
      </c>
      <c r="AB4807">
        <v>29</v>
      </c>
      <c r="AC4807">
        <v>0.74389999999999601</v>
      </c>
      <c r="AD4807">
        <v>-0.13027069999999899</v>
      </c>
      <c r="AE4807">
        <v>-3.05999999999997E-2</v>
      </c>
      <c r="AF4807">
        <v>3.1871643740848297E-2</v>
      </c>
      <c r="AG4807">
        <v>-0.13027069999999899</v>
      </c>
      <c r="AH4807">
        <v>0.721709235013414</v>
      </c>
      <c r="AI4807">
        <v>100.222135473336</v>
      </c>
      <c r="AJ4807">
        <v>87.471384786167903</v>
      </c>
      <c r="AK4807">
        <v>0.73406435471072995</v>
      </c>
      <c r="AL4807">
        <v>83.427347379207703</v>
      </c>
      <c r="AM4807">
        <v>89.451489992979702</v>
      </c>
      <c r="AN4807">
        <v>1.00000001047892</v>
      </c>
    </row>
    <row r="4808" spans="1:40" x14ac:dyDescent="0.25">
      <c r="A4808" t="str">
        <f>"20190312164406468"</f>
        <v>20190312164406468</v>
      </c>
      <c r="B4808" t="str">
        <f>"1552380246460209"</f>
        <v>1552380246460209</v>
      </c>
      <c r="C4808" t="s">
        <v>40</v>
      </c>
      <c r="D4808">
        <v>5.2510149999999998</v>
      </c>
      <c r="E4808">
        <v>0.51860280000000003</v>
      </c>
      <c r="F4808" t="s">
        <v>41</v>
      </c>
      <c r="G4808">
        <v>-270.96969999999999</v>
      </c>
      <c r="H4808">
        <v>1.0006360000000001</v>
      </c>
      <c r="I4808">
        <v>-62.068629999999999</v>
      </c>
      <c r="J4808">
        <v>-271.57470000000001</v>
      </c>
      <c r="K4808">
        <v>1.1121209999999999</v>
      </c>
      <c r="L4808">
        <v>-62.041139999999999</v>
      </c>
      <c r="M4808">
        <v>0.99995290000000003</v>
      </c>
      <c r="N4808">
        <v>0</v>
      </c>
      <c r="O4808">
        <v>4.7437879999999997E-3</v>
      </c>
      <c r="P4808">
        <v>0.99436860000000005</v>
      </c>
      <c r="Q4808">
        <v>0.1056788</v>
      </c>
      <c r="R4808">
        <v>-7.9686800000000006E-3</v>
      </c>
      <c r="S4808">
        <v>3.0646059999999999</v>
      </c>
      <c r="T4808">
        <v>-0.45371410000000001</v>
      </c>
      <c r="U4808">
        <v>-0.10305789999999999</v>
      </c>
      <c r="V4808">
        <v>1.196466E-2</v>
      </c>
      <c r="W4808">
        <v>0.114194</v>
      </c>
      <c r="X4808">
        <v>0.9933864</v>
      </c>
      <c r="Y4808">
        <v>3.7886169999999997E-2</v>
      </c>
      <c r="Z4808">
        <v>-3.4868939999999999E-3</v>
      </c>
      <c r="AA4808">
        <v>0.99927600000000005</v>
      </c>
      <c r="AB4808">
        <v>29</v>
      </c>
      <c r="AC4808">
        <v>0.60500000000001797</v>
      </c>
      <c r="AD4808">
        <v>-0.111484999999999</v>
      </c>
      <c r="AE4808">
        <v>-2.7490000000000198E-2</v>
      </c>
      <c r="AF4808">
        <v>2.9364718477020001E-2</v>
      </c>
      <c r="AG4808">
        <v>-0.111484999999999</v>
      </c>
      <c r="AH4808">
        <v>0.58503790798736699</v>
      </c>
      <c r="AI4808">
        <v>100.775701275779</v>
      </c>
      <c r="AJ4808">
        <v>87.126573088662099</v>
      </c>
      <c r="AK4808">
        <v>0.59628897834730199</v>
      </c>
      <c r="AL4808">
        <v>83.442861478264405</v>
      </c>
      <c r="AM4808">
        <v>89.309944875902303</v>
      </c>
      <c r="AN4808">
        <v>0.99999998121493705</v>
      </c>
    </row>
    <row r="4809" spans="1:40" x14ac:dyDescent="0.25">
      <c r="A4809" t="str">
        <f>"20190312164406478"</f>
        <v>20190312164406478</v>
      </c>
      <c r="B4809" t="str">
        <f>"1552380246469969"</f>
        <v>1552380246469969</v>
      </c>
      <c r="C4809" t="s">
        <v>40</v>
      </c>
      <c r="D4809">
        <v>5.286994</v>
      </c>
      <c r="E4809">
        <v>0.51859330000000003</v>
      </c>
      <c r="F4809" t="s">
        <v>41</v>
      </c>
      <c r="G4809">
        <v>-270.7208</v>
      </c>
      <c r="H4809">
        <v>0.98561140000000003</v>
      </c>
      <c r="I4809">
        <v>-62.070610000000002</v>
      </c>
      <c r="J4809">
        <v>-271.44529999999997</v>
      </c>
      <c r="K4809">
        <v>1.1120950000000001</v>
      </c>
      <c r="L4809">
        <v>-62.039119999999997</v>
      </c>
      <c r="M4809">
        <v>0.99994499999999997</v>
      </c>
      <c r="N4809">
        <v>0</v>
      </c>
      <c r="O4809">
        <v>6.2411139999999999E-3</v>
      </c>
      <c r="P4809">
        <v>0.99438070000000001</v>
      </c>
      <c r="Q4809">
        <v>0.1054789</v>
      </c>
      <c r="R4809">
        <v>-9.0146150000000001E-3</v>
      </c>
      <c r="S4809">
        <v>3.0644230000000001</v>
      </c>
      <c r="T4809">
        <v>-0.45415349999999999</v>
      </c>
      <c r="U4809">
        <v>-0.10495</v>
      </c>
      <c r="V4809">
        <v>1.4506949999999999E-2</v>
      </c>
      <c r="W4809">
        <v>0.11395139999999999</v>
      </c>
      <c r="X4809">
        <v>0.99338040000000005</v>
      </c>
      <c r="Y4809">
        <v>3.9960740000000002E-2</v>
      </c>
      <c r="Z4809">
        <v>-3.8639070000000002E-3</v>
      </c>
      <c r="AA4809">
        <v>0.99919380000000002</v>
      </c>
      <c r="AB4809">
        <v>29</v>
      </c>
      <c r="AC4809">
        <v>0.72449999999997705</v>
      </c>
      <c r="AD4809">
        <v>-0.1264836</v>
      </c>
      <c r="AE4809">
        <v>-3.1489999999997999E-2</v>
      </c>
      <c r="AF4809">
        <v>3.4948082455883898E-2</v>
      </c>
      <c r="AG4809">
        <v>-0.1264836</v>
      </c>
      <c r="AH4809">
        <v>0.70290631034546702</v>
      </c>
      <c r="AI4809">
        <v>100.188530918759</v>
      </c>
      <c r="AJ4809">
        <v>87.153631901729796</v>
      </c>
      <c r="AK4809">
        <v>0.71505017352615297</v>
      </c>
      <c r="AL4809">
        <v>83.456852862157504</v>
      </c>
      <c r="AM4809">
        <v>89.163333675329</v>
      </c>
      <c r="AN4809">
        <v>0.99999999613221102</v>
      </c>
    </row>
    <row r="4810" spans="1:40" x14ac:dyDescent="0.25">
      <c r="A4810" t="str">
        <f>"20190312164406489"</f>
        <v>20190312164406489</v>
      </c>
      <c r="B4810" t="str">
        <f>"1552380246479729"</f>
        <v>1552380246479729</v>
      </c>
      <c r="C4810" t="s">
        <v>40</v>
      </c>
      <c r="D4810">
        <v>5.2968219999999997</v>
      </c>
      <c r="E4810">
        <v>0.51847209999999999</v>
      </c>
      <c r="F4810" t="s">
        <v>41</v>
      </c>
      <c r="G4810">
        <v>-270.7122</v>
      </c>
      <c r="H4810">
        <v>1.0031650000000001</v>
      </c>
      <c r="I4810">
        <v>-62.065170000000002</v>
      </c>
      <c r="J4810">
        <v>-271.30650000000003</v>
      </c>
      <c r="K4810">
        <v>1.112069</v>
      </c>
      <c r="L4810">
        <v>-62.036650000000002</v>
      </c>
      <c r="M4810">
        <v>0.99993430000000005</v>
      </c>
      <c r="N4810">
        <v>0</v>
      </c>
      <c r="O4810">
        <v>7.8302990000000006E-3</v>
      </c>
      <c r="P4810">
        <v>0.99437640000000005</v>
      </c>
      <c r="Q4810">
        <v>0.105417899999999</v>
      </c>
      <c r="R4810">
        <v>-1.012804E-2</v>
      </c>
      <c r="S4810">
        <v>3.0643009999999999</v>
      </c>
      <c r="T4810">
        <v>-0.45557629999999999</v>
      </c>
      <c r="U4810">
        <v>-0.107910199999999</v>
      </c>
      <c r="V4810">
        <v>1.7206260000000001E-2</v>
      </c>
      <c r="W4810">
        <v>0.1138453</v>
      </c>
      <c r="X4810">
        <v>0.9933495</v>
      </c>
      <c r="Y4810">
        <v>4.2465910000000003E-2</v>
      </c>
      <c r="Z4810">
        <v>-4.2960439999999997E-3</v>
      </c>
      <c r="AA4810">
        <v>0.99908869999999905</v>
      </c>
      <c r="AB4810">
        <v>29</v>
      </c>
      <c r="AC4810">
        <v>0.59430000000003202</v>
      </c>
      <c r="AD4810">
        <v>-0.108904</v>
      </c>
      <c r="AE4810">
        <v>-2.85199999999932E-2</v>
      </c>
      <c r="AF4810">
        <v>3.20974892996196E-2</v>
      </c>
      <c r="AG4810">
        <v>-0.108904</v>
      </c>
      <c r="AH4810">
        <v>0.574801176045177</v>
      </c>
      <c r="AI4810">
        <v>100.712009993271</v>
      </c>
      <c r="AJ4810">
        <v>86.803864026527705</v>
      </c>
      <c r="AK4810">
        <v>0.58590675198213804</v>
      </c>
      <c r="AL4810">
        <v>83.462971910117105</v>
      </c>
      <c r="AM4810">
        <v>89.007652894024503</v>
      </c>
      <c r="AN4810">
        <v>1.00000001843276</v>
      </c>
    </row>
    <row r="4811" spans="1:40" x14ac:dyDescent="0.25">
      <c r="A4811" t="str">
        <f>"20190312164406502"</f>
        <v>20190312164406502</v>
      </c>
      <c r="B4811" t="str">
        <f>"1552380246489489"</f>
        <v>1552380246489489</v>
      </c>
      <c r="C4811" t="s">
        <v>40</v>
      </c>
      <c r="D4811">
        <v>5.2763289999999996</v>
      </c>
      <c r="E4811">
        <v>0.51842100000000002</v>
      </c>
      <c r="F4811" t="s">
        <v>41</v>
      </c>
      <c r="G4811">
        <v>-270.4633</v>
      </c>
      <c r="H4811">
        <v>0.98670690000000005</v>
      </c>
      <c r="I4811">
        <v>-62.066940000000002</v>
      </c>
      <c r="J4811">
        <v>-271.16039999999998</v>
      </c>
      <c r="K4811">
        <v>1.112039</v>
      </c>
      <c r="L4811">
        <v>-62.033969999999997</v>
      </c>
      <c r="M4811">
        <v>0.99992049999999999</v>
      </c>
      <c r="N4811">
        <v>0</v>
      </c>
      <c r="O4811">
        <v>9.4981639999999999E-3</v>
      </c>
      <c r="P4811">
        <v>0.9944056</v>
      </c>
      <c r="Q4811">
        <v>0.10514370000000001</v>
      </c>
      <c r="R4811">
        <v>-1.0129910000000001E-2</v>
      </c>
      <c r="S4811">
        <v>3.0641780000000001</v>
      </c>
      <c r="T4811">
        <v>-0.45561079999999998</v>
      </c>
      <c r="U4811">
        <v>-0.10995480000000001</v>
      </c>
      <c r="V4811">
        <v>1.8873919999999999E-2</v>
      </c>
      <c r="W4811">
        <v>0.11351650000000001</v>
      </c>
      <c r="X4811">
        <v>0.99335680000000004</v>
      </c>
      <c r="Y4811">
        <v>4.4755879999999998E-2</v>
      </c>
      <c r="Z4811">
        <v>-4.7123260000000002E-3</v>
      </c>
      <c r="AA4811">
        <v>0.99898679999999995</v>
      </c>
      <c r="AB4811">
        <v>29</v>
      </c>
      <c r="AC4811">
        <v>0.69709999999997696</v>
      </c>
      <c r="AD4811">
        <v>-0.1253321</v>
      </c>
      <c r="AE4811">
        <v>-3.2970000000005897E-2</v>
      </c>
      <c r="AF4811">
        <v>3.8352930633050397E-2</v>
      </c>
      <c r="AG4811">
        <v>-0.1253321</v>
      </c>
      <c r="AH4811">
        <v>0.67498538650848094</v>
      </c>
      <c r="AI4811">
        <v>100.502389797021</v>
      </c>
      <c r="AJ4811">
        <v>86.747928479575506</v>
      </c>
      <c r="AK4811">
        <v>0.68759316065429099</v>
      </c>
      <c r="AL4811">
        <v>83.481933410021796</v>
      </c>
      <c r="AM4811">
        <v>88.911503039869501</v>
      </c>
      <c r="AN4811">
        <v>0.99999997636732796</v>
      </c>
    </row>
    <row r="4812" spans="1:40" x14ac:dyDescent="0.25">
      <c r="A4812" t="str">
        <f>"20190312164406512"</f>
        <v>20190312164406512</v>
      </c>
      <c r="B4812" t="str">
        <f>"1552380246500225"</f>
        <v>1552380246500225</v>
      </c>
      <c r="C4812" t="s">
        <v>40</v>
      </c>
      <c r="D4812">
        <v>5.2556079999999996</v>
      </c>
      <c r="E4812">
        <v>0.51825699999999997</v>
      </c>
      <c r="F4812" t="s">
        <v>41</v>
      </c>
      <c r="G4812">
        <v>-270.2133</v>
      </c>
      <c r="H4812">
        <v>0.97081039999999996</v>
      </c>
      <c r="I4812">
        <v>-62.067889999999998</v>
      </c>
      <c r="J4812">
        <v>-271.00850000000003</v>
      </c>
      <c r="K4812">
        <v>1.1120099999999999</v>
      </c>
      <c r="L4812">
        <v>-62.030729999999998</v>
      </c>
      <c r="M4812">
        <v>0.99990330000000005</v>
      </c>
      <c r="N4812">
        <v>0</v>
      </c>
      <c r="O4812">
        <v>1.120698E-2</v>
      </c>
      <c r="P4812">
        <v>0.99441729999999995</v>
      </c>
      <c r="Q4812">
        <v>0.10489420000000001</v>
      </c>
      <c r="R4812">
        <v>-1.147463E-2</v>
      </c>
      <c r="S4812">
        <v>3.064117</v>
      </c>
      <c r="T4812">
        <v>-0.45702280000000001</v>
      </c>
      <c r="U4812">
        <v>-0.10931399999999999</v>
      </c>
      <c r="V4812">
        <v>2.1924880000000001E-2</v>
      </c>
      <c r="W4812">
        <v>0.1132195</v>
      </c>
      <c r="X4812">
        <v>0.99332810000000005</v>
      </c>
      <c r="Y4812">
        <v>4.6216340000000002E-2</v>
      </c>
      <c r="Z4812">
        <v>-5.0885790000000002E-3</v>
      </c>
      <c r="AA4812">
        <v>0.99891850000000004</v>
      </c>
      <c r="AB4812">
        <v>29</v>
      </c>
      <c r="AC4812">
        <v>0.795200000000022</v>
      </c>
      <c r="AD4812">
        <v>-0.14119959999999901</v>
      </c>
      <c r="AE4812">
        <v>-3.7159999999999999E-2</v>
      </c>
      <c r="AF4812">
        <v>4.4664584662557801E-2</v>
      </c>
      <c r="AG4812">
        <v>-0.14119959999999901</v>
      </c>
      <c r="AH4812">
        <v>0.77049341608903699</v>
      </c>
      <c r="AI4812">
        <v>100.36769235049999</v>
      </c>
      <c r="AJ4812">
        <v>86.682344848750503</v>
      </c>
      <c r="AK4812">
        <v>0.78459693881622605</v>
      </c>
      <c r="AL4812">
        <v>83.499061057481001</v>
      </c>
      <c r="AM4812">
        <v>88.735564662731605</v>
      </c>
      <c r="AN4812">
        <v>1.00000003489643</v>
      </c>
    </row>
    <row r="4813" spans="1:40" x14ac:dyDescent="0.25">
      <c r="A4813" t="str">
        <f>"20190312164406525"</f>
        <v>20190312164406525</v>
      </c>
      <c r="B4813" t="str">
        <f>"1552380246519745"</f>
        <v>1552380246519745</v>
      </c>
      <c r="C4813" t="s">
        <v>40</v>
      </c>
      <c r="D4813">
        <v>5.2874089999999896</v>
      </c>
      <c r="E4813">
        <v>0.51784949999999996</v>
      </c>
      <c r="F4813" t="s">
        <v>41</v>
      </c>
      <c r="G4813">
        <v>-270.20310000000001</v>
      </c>
      <c r="H4813">
        <v>0.99179600000000001</v>
      </c>
      <c r="I4813">
        <v>-62.060310000000001</v>
      </c>
      <c r="J4813">
        <v>-270.85489999999999</v>
      </c>
      <c r="K4813">
        <v>1.1119840000000001</v>
      </c>
      <c r="L4813">
        <v>-62.0274</v>
      </c>
      <c r="M4813">
        <v>0.99988310000000002</v>
      </c>
      <c r="N4813">
        <v>0</v>
      </c>
      <c r="O4813">
        <v>1.29239E-2</v>
      </c>
      <c r="P4813">
        <v>0.99443630000000005</v>
      </c>
      <c r="Q4813">
        <v>0.1046347</v>
      </c>
      <c r="R4813">
        <v>-1.2174269999999999E-2</v>
      </c>
      <c r="S4813">
        <v>3.063812</v>
      </c>
      <c r="T4813">
        <v>-0.45745039999999998</v>
      </c>
      <c r="U4813">
        <v>-0.11203</v>
      </c>
      <c r="V4813">
        <v>2.433929E-2</v>
      </c>
      <c r="W4813">
        <v>0.1129096</v>
      </c>
      <c r="X4813">
        <v>0.9933071</v>
      </c>
      <c r="Y4813">
        <v>4.877074E-2</v>
      </c>
      <c r="Z4813">
        <v>-5.5381680000000004E-3</v>
      </c>
      <c r="AA4813">
        <v>0.99879470000000004</v>
      </c>
      <c r="AB4813">
        <v>29</v>
      </c>
      <c r="AC4813">
        <v>0.65179999999997995</v>
      </c>
      <c r="AD4813">
        <v>-0.120188</v>
      </c>
      <c r="AE4813">
        <v>-3.2910000000001098E-2</v>
      </c>
      <c r="AF4813">
        <v>3.9975571680197698E-2</v>
      </c>
      <c r="AG4813">
        <v>-0.120188</v>
      </c>
      <c r="AH4813">
        <v>0.62995548032149995</v>
      </c>
      <c r="AI4813">
        <v>100.780367266333</v>
      </c>
      <c r="AJ4813">
        <v>86.369006094068695</v>
      </c>
      <c r="AK4813">
        <v>0.64256292210354804</v>
      </c>
      <c r="AL4813">
        <v>83.516931298583003</v>
      </c>
      <c r="AM4813">
        <v>88.596345888378806</v>
      </c>
      <c r="AN4813">
        <v>0.99999998686013603</v>
      </c>
    </row>
    <row r="4814" spans="1:40" x14ac:dyDescent="0.25">
      <c r="A4814" t="str">
        <f>"20190312164406537"</f>
        <v>20190312164406537</v>
      </c>
      <c r="B4814" t="str">
        <f>"1552380246529505"</f>
        <v>1552380246529505</v>
      </c>
      <c r="C4814" t="s">
        <v>40</v>
      </c>
      <c r="D4814">
        <v>5.2520689999999997</v>
      </c>
      <c r="E4814">
        <v>0.5177543</v>
      </c>
      <c r="F4814" t="s">
        <v>41</v>
      </c>
      <c r="G4814">
        <v>-269.95170000000002</v>
      </c>
      <c r="H4814">
        <v>0.97733040000000004</v>
      </c>
      <c r="I4814">
        <v>-62.060250000000003</v>
      </c>
      <c r="J4814">
        <v>-270.702</v>
      </c>
      <c r="K4814">
        <v>1.1119589999999999</v>
      </c>
      <c r="L4814">
        <v>-62.023739999999997</v>
      </c>
      <c r="M4814">
        <v>0.99986039999999998</v>
      </c>
      <c r="N4814">
        <v>0</v>
      </c>
      <c r="O4814">
        <v>1.4615E-2</v>
      </c>
      <c r="P4814">
        <v>0.99443939999999997</v>
      </c>
      <c r="Q4814">
        <v>0.1045435</v>
      </c>
      <c r="R4814">
        <v>-1.270019E-2</v>
      </c>
      <c r="S4814">
        <v>3.0634769999999998</v>
      </c>
      <c r="T4814">
        <v>-0.45678950000000001</v>
      </c>
      <c r="U4814">
        <v>-0.11087039999999999</v>
      </c>
      <c r="V4814">
        <v>2.655298E-2</v>
      </c>
      <c r="W4814">
        <v>0.11276890000000001</v>
      </c>
      <c r="X4814">
        <v>0.99326639999999999</v>
      </c>
      <c r="Y4814">
        <v>5.0055269999999999E-2</v>
      </c>
      <c r="Z4814">
        <v>-5.8768099999999997E-3</v>
      </c>
      <c r="AA4814">
        <v>0.99872919999999998</v>
      </c>
      <c r="AB4814">
        <v>29</v>
      </c>
      <c r="AC4814">
        <v>0.75029999999998098</v>
      </c>
      <c r="AD4814">
        <v>-0.13462859999999899</v>
      </c>
      <c r="AE4814">
        <v>-3.65099999999998E-2</v>
      </c>
      <c r="AF4814">
        <v>4.5994736312831998E-2</v>
      </c>
      <c r="AG4814">
        <v>-0.13462859999999899</v>
      </c>
      <c r="AH4814">
        <v>0.72635559336060396</v>
      </c>
      <c r="AI4814">
        <v>100.479975724233</v>
      </c>
      <c r="AJ4814">
        <v>86.376719009889499</v>
      </c>
      <c r="AK4814">
        <v>0.74015729660166296</v>
      </c>
      <c r="AL4814">
        <v>83.525044805637606</v>
      </c>
      <c r="AM4814">
        <v>88.468677260327496</v>
      </c>
      <c r="AN4814">
        <v>1.0000000134615199</v>
      </c>
    </row>
    <row r="4815" spans="1:40" x14ac:dyDescent="0.25">
      <c r="A4815" t="str">
        <f>"20190312164406548"</f>
        <v>20190312164406548</v>
      </c>
      <c r="B4815" t="str">
        <f>"1552380246540240"</f>
        <v>1552380246540240</v>
      </c>
      <c r="C4815" t="s">
        <v>40</v>
      </c>
      <c r="D4815">
        <v>5.3037919999999996</v>
      </c>
      <c r="E4815">
        <v>0.51762790000000003</v>
      </c>
      <c r="F4815" t="s">
        <v>41</v>
      </c>
      <c r="G4815">
        <v>-269.94139999999999</v>
      </c>
      <c r="H4815">
        <v>0.99842149999999996</v>
      </c>
      <c r="I4815">
        <v>-62.051580000000001</v>
      </c>
      <c r="J4815">
        <v>-270.56330000000003</v>
      </c>
      <c r="K4815">
        <v>1.111931</v>
      </c>
      <c r="L4815">
        <v>-62.02026</v>
      </c>
      <c r="M4815">
        <v>0.99983770000000005</v>
      </c>
      <c r="N4815">
        <v>0</v>
      </c>
      <c r="O4815">
        <v>1.6122930000000001E-2</v>
      </c>
      <c r="P4815">
        <v>0.99443610000000005</v>
      </c>
      <c r="Q4815">
        <v>0.1044842</v>
      </c>
      <c r="R4815">
        <v>-1.343138E-2</v>
      </c>
      <c r="S4815">
        <v>3.0634459999999999</v>
      </c>
      <c r="T4815">
        <v>-0.45745380000000002</v>
      </c>
      <c r="U4815">
        <v>-0.1115112</v>
      </c>
      <c r="V4815">
        <v>2.8790179999999999E-2</v>
      </c>
      <c r="W4815">
        <v>0.11266660000000001</v>
      </c>
      <c r="X4815">
        <v>0.99321570000000003</v>
      </c>
      <c r="Y4815">
        <v>5.1733069999999999E-2</v>
      </c>
      <c r="Z4815">
        <v>-6.2337159999999898E-3</v>
      </c>
      <c r="AA4815">
        <v>0.99864149999999996</v>
      </c>
      <c r="AB4815">
        <v>29</v>
      </c>
      <c r="AC4815">
        <v>0.62190000000003898</v>
      </c>
      <c r="AD4815">
        <v>-0.1135095</v>
      </c>
      <c r="AE4815">
        <v>-3.1320000000000903E-2</v>
      </c>
      <c r="AF4815">
        <v>4.0013476884474798E-2</v>
      </c>
      <c r="AG4815">
        <v>-0.1135095</v>
      </c>
      <c r="AH4815">
        <v>0.60133223064069796</v>
      </c>
      <c r="AI4815">
        <v>100.666521481233</v>
      </c>
      <c r="AJ4815">
        <v>86.1930718197479</v>
      </c>
      <c r="AK4815">
        <v>0.61325845818052305</v>
      </c>
      <c r="AL4815">
        <v>83.530943877811694</v>
      </c>
      <c r="AM4815">
        <v>88.339641598029402</v>
      </c>
      <c r="AN4815">
        <v>1.0000000319732401</v>
      </c>
    </row>
    <row r="4816" spans="1:40" x14ac:dyDescent="0.25">
      <c r="A4816" t="str">
        <f>"20190312164406559"</f>
        <v>20190312164406559</v>
      </c>
      <c r="B4816" t="str">
        <f>"1552380246550001"</f>
        <v>1552380246550001</v>
      </c>
      <c r="C4816" t="s">
        <v>40</v>
      </c>
      <c r="D4816">
        <v>5.2366849999999996</v>
      </c>
      <c r="E4816">
        <v>0.51762790000000003</v>
      </c>
      <c r="F4816" t="s">
        <v>41</v>
      </c>
      <c r="G4816">
        <v>-269.6902</v>
      </c>
      <c r="H4816">
        <v>0.98165049999999998</v>
      </c>
      <c r="I4816">
        <v>-62.05254</v>
      </c>
      <c r="J4816">
        <v>-270.40949999999998</v>
      </c>
      <c r="K4816">
        <v>1.1118939999999999</v>
      </c>
      <c r="L4816">
        <v>-62.016240000000003</v>
      </c>
      <c r="M4816">
        <v>0.99980999999999998</v>
      </c>
      <c r="N4816">
        <v>0</v>
      </c>
      <c r="O4816">
        <v>1.7776509999999999E-2</v>
      </c>
      <c r="P4816">
        <v>0.99439310000000003</v>
      </c>
      <c r="Q4816">
        <v>0.10483969999999999</v>
      </c>
      <c r="R4816">
        <v>-1.3828119999999999E-2</v>
      </c>
      <c r="S4816">
        <v>3.0633240000000002</v>
      </c>
      <c r="T4816">
        <v>-0.4572464</v>
      </c>
      <c r="U4816">
        <v>-0.1124573</v>
      </c>
      <c r="V4816">
        <v>3.0836329999999999E-2</v>
      </c>
      <c r="W4816">
        <v>0.11297260000000001</v>
      </c>
      <c r="X4816">
        <v>0.99311950000000004</v>
      </c>
      <c r="Y4816">
        <v>5.3655050000000003E-2</v>
      </c>
      <c r="Z4816">
        <v>-6.6191369999999998E-3</v>
      </c>
      <c r="AA4816">
        <v>0.99853760000000003</v>
      </c>
      <c r="AB4816">
        <v>29</v>
      </c>
      <c r="AC4816">
        <v>0.71929999999997496</v>
      </c>
      <c r="AD4816">
        <v>-0.13024350000000001</v>
      </c>
      <c r="AE4816">
        <v>-3.6299999999997098E-2</v>
      </c>
      <c r="AF4816">
        <v>4.7527040368406798E-2</v>
      </c>
      <c r="AG4816">
        <v>-0.13024350000000001</v>
      </c>
      <c r="AH4816">
        <v>0.69578672463800295</v>
      </c>
      <c r="AI4816">
        <v>100.578339426407</v>
      </c>
      <c r="AJ4816">
        <v>86.092372316004401</v>
      </c>
      <c r="AK4816">
        <v>0.70946554182772703</v>
      </c>
      <c r="AL4816">
        <v>83.513298599790303</v>
      </c>
      <c r="AM4816">
        <v>88.221539195812994</v>
      </c>
      <c r="AN4816">
        <v>1.0000000144394301</v>
      </c>
    </row>
    <row r="4817" spans="1:40" x14ac:dyDescent="0.25">
      <c r="A4817" t="str">
        <f>"20190312164406569"</f>
        <v>20190312164406569</v>
      </c>
      <c r="B4817" t="str">
        <f>"1552380246559762"</f>
        <v>1552380246559762</v>
      </c>
      <c r="C4817" t="s">
        <v>40</v>
      </c>
      <c r="D4817">
        <v>5.3546709999999997</v>
      </c>
      <c r="E4817">
        <v>0.50388429999999995</v>
      </c>
      <c r="F4817" t="s">
        <v>41</v>
      </c>
      <c r="G4817">
        <v>-269.6798</v>
      </c>
      <c r="H4817">
        <v>1.0032650000000001</v>
      </c>
      <c r="I4817">
        <v>-62.043520000000001</v>
      </c>
      <c r="J4817">
        <v>-270.27539999999999</v>
      </c>
      <c r="K4817">
        <v>1.1118539999999999</v>
      </c>
      <c r="L4817">
        <v>-62.012419999999999</v>
      </c>
      <c r="M4817">
        <v>0.99978469999999997</v>
      </c>
      <c r="N4817">
        <v>0</v>
      </c>
      <c r="O4817">
        <v>1.916495E-2</v>
      </c>
      <c r="P4817">
        <v>0.99439100000000002</v>
      </c>
      <c r="Q4817">
        <v>0.1047993</v>
      </c>
      <c r="R4817">
        <v>-1.4277959999999999E-2</v>
      </c>
      <c r="S4817">
        <v>3.0634160000000001</v>
      </c>
      <c r="T4817">
        <v>-0.45616509999999999</v>
      </c>
      <c r="U4817">
        <v>-0.1135864</v>
      </c>
      <c r="V4817">
        <v>3.2677070000000003E-2</v>
      </c>
      <c r="W4817">
        <v>0.1128907</v>
      </c>
      <c r="X4817">
        <v>0.99306989999999995</v>
      </c>
      <c r="Y4817">
        <v>5.5377570000000001E-2</v>
      </c>
      <c r="Z4817">
        <v>-6.9364769999999999E-3</v>
      </c>
      <c r="AA4817">
        <v>0.99844140000000003</v>
      </c>
      <c r="AB4817">
        <v>29</v>
      </c>
      <c r="AC4817">
        <v>0.59559999999999003</v>
      </c>
      <c r="AD4817">
        <v>-0.108589</v>
      </c>
      <c r="AE4817">
        <v>-3.1099999999995E-2</v>
      </c>
      <c r="AF4817">
        <v>4.11453368135287E-2</v>
      </c>
      <c r="AG4817">
        <v>-0.108589</v>
      </c>
      <c r="AH4817">
        <v>0.57580672564877899</v>
      </c>
      <c r="AI4817">
        <v>100.653205642225</v>
      </c>
      <c r="AJ4817">
        <v>85.912771008059394</v>
      </c>
      <c r="AK4817">
        <v>0.58739926367409401</v>
      </c>
      <c r="AL4817">
        <v>83.518021006041295</v>
      </c>
      <c r="AM4817">
        <v>88.1153563210204</v>
      </c>
      <c r="AN4817">
        <v>0.99999996366814103</v>
      </c>
    </row>
    <row r="4818" spans="1:40" x14ac:dyDescent="0.25">
      <c r="A4818" t="str">
        <f>"20190312164406579"</f>
        <v>20190312164406579</v>
      </c>
      <c r="B4818" t="str">
        <f>"1552380246569522"</f>
        <v>1552380246569522</v>
      </c>
      <c r="C4818" t="s">
        <v>40</v>
      </c>
      <c r="D4818">
        <v>5.2174379999999996</v>
      </c>
      <c r="E4818">
        <v>0.50263999999999998</v>
      </c>
      <c r="F4818" t="s">
        <v>41</v>
      </c>
      <c r="G4818">
        <v>-269.41789999999997</v>
      </c>
      <c r="H4818">
        <v>1.007549</v>
      </c>
      <c r="I4818">
        <v>-62.016039999999997</v>
      </c>
      <c r="J4818">
        <v>-270.14339999999999</v>
      </c>
      <c r="K4818">
        <v>1.111809</v>
      </c>
      <c r="L4818">
        <v>-62.008670000000002</v>
      </c>
      <c r="M4818">
        <v>0.99975829999999999</v>
      </c>
      <c r="N4818">
        <v>0</v>
      </c>
      <c r="O4818">
        <v>2.052149E-2</v>
      </c>
      <c r="P4818">
        <v>0.99437240000000005</v>
      </c>
      <c r="Q4818">
        <v>0.104888</v>
      </c>
      <c r="R4818">
        <v>-1.490728E-2</v>
      </c>
      <c r="S4818">
        <v>3.055939</v>
      </c>
      <c r="T4818">
        <v>-0.37182080000000001</v>
      </c>
      <c r="U4818">
        <v>-1.2268070000000001E-2</v>
      </c>
      <c r="V4818">
        <v>3.4665019999999998E-2</v>
      </c>
      <c r="W4818">
        <v>0.1129385</v>
      </c>
      <c r="X4818">
        <v>0.99299709999999997</v>
      </c>
      <c r="Y4818">
        <v>2.420574E-2</v>
      </c>
      <c r="Z4818">
        <v>-3.954829E-3</v>
      </c>
      <c r="AA4818">
        <v>0.99969920000000001</v>
      </c>
      <c r="AB4818">
        <v>29</v>
      </c>
      <c r="AC4818">
        <v>0.72550000000001003</v>
      </c>
      <c r="AD4818">
        <v>-0.10426000000000001</v>
      </c>
      <c r="AE4818">
        <v>-7.3700000000087498E-3</v>
      </c>
      <c r="AF4818">
        <v>2.1806943035683299E-2</v>
      </c>
      <c r="AG4818">
        <v>-0.10426000000000001</v>
      </c>
      <c r="AH4818">
        <v>0.71052378864397603</v>
      </c>
      <c r="AI4818">
        <v>98.343952734283107</v>
      </c>
      <c r="AJ4818">
        <v>88.242066300440896</v>
      </c>
      <c r="AK4818">
        <v>0.718463460861825</v>
      </c>
      <c r="AL4818">
        <v>83.515264905809204</v>
      </c>
      <c r="AM4818">
        <v>88.000645614808604</v>
      </c>
      <c r="AN4818">
        <v>1.0000000045011299</v>
      </c>
    </row>
    <row r="4819" spans="1:40" x14ac:dyDescent="0.25">
      <c r="A4819" t="str">
        <f>"20190312164406590"</f>
        <v>20190312164406590</v>
      </c>
      <c r="B4819" t="str">
        <f>"1552380246580258"</f>
        <v>1552380246580258</v>
      </c>
      <c r="C4819" t="s">
        <v>40</v>
      </c>
      <c r="D4819">
        <v>5.8264339999999999</v>
      </c>
      <c r="E4819">
        <v>0.50137169999999998</v>
      </c>
      <c r="F4819" t="s">
        <v>41</v>
      </c>
      <c r="G4819">
        <v>-269.41039999999998</v>
      </c>
      <c r="H4819">
        <v>1.023039</v>
      </c>
      <c r="I4819">
        <v>-62.009799999999998</v>
      </c>
      <c r="J4819">
        <v>-270.00529999999998</v>
      </c>
      <c r="K4819">
        <v>1.111747</v>
      </c>
      <c r="L4819">
        <v>-62.004460000000002</v>
      </c>
      <c r="M4819">
        <v>0.99973020000000001</v>
      </c>
      <c r="N4819">
        <v>0</v>
      </c>
      <c r="O4819">
        <v>2.1862530000000002E-2</v>
      </c>
      <c r="P4819">
        <v>0.99440689999999998</v>
      </c>
      <c r="Q4819">
        <v>0.1045118</v>
      </c>
      <c r="R4819">
        <v>-1.525629E-2</v>
      </c>
      <c r="S4819">
        <v>3.0559690000000002</v>
      </c>
      <c r="T4819">
        <v>-0.37018069999999997</v>
      </c>
      <c r="U4819">
        <v>-3.9672850000000001E-3</v>
      </c>
      <c r="V4819">
        <v>3.6365799999999997E-2</v>
      </c>
      <c r="W4819">
        <v>0.1125202</v>
      </c>
      <c r="X4819">
        <v>0.99298379999999997</v>
      </c>
      <c r="Y4819">
        <v>2.2834360000000001E-2</v>
      </c>
      <c r="Z4819">
        <v>-4.0165440000000004E-3</v>
      </c>
      <c r="AA4819">
        <v>0.99973120000000004</v>
      </c>
      <c r="AB4819">
        <v>29</v>
      </c>
      <c r="AC4819">
        <v>0.59489999999999499</v>
      </c>
      <c r="AD4819">
        <v>-8.8707999999999995E-2</v>
      </c>
      <c r="AE4819">
        <v>-5.3400000000038902E-3</v>
      </c>
      <c r="AF4819">
        <v>1.7946142223259898E-2</v>
      </c>
      <c r="AG4819">
        <v>-8.8707999999999995E-2</v>
      </c>
      <c r="AH4819">
        <v>0.58170780650353204</v>
      </c>
      <c r="AI4819">
        <v>98.666505903864405</v>
      </c>
      <c r="AJ4819">
        <v>88.232940718918698</v>
      </c>
      <c r="AK4819">
        <v>0.58870633208064604</v>
      </c>
      <c r="AL4819">
        <v>83.539385756837305</v>
      </c>
      <c r="AM4819">
        <v>87.902608201362398</v>
      </c>
      <c r="AN4819">
        <v>1.0000000469400501</v>
      </c>
    </row>
    <row r="4820" spans="1:40" x14ac:dyDescent="0.25">
      <c r="A4820" t="str">
        <f>"20190312164406602"</f>
        <v>20190312164406602</v>
      </c>
      <c r="B4820" t="str">
        <f>"1552380246599777"</f>
        <v>1552380246599777</v>
      </c>
      <c r="C4820" t="s">
        <v>40</v>
      </c>
      <c r="D4820">
        <v>5.3430960000000001</v>
      </c>
      <c r="E4820">
        <v>0.5012413</v>
      </c>
      <c r="F4820" t="s">
        <v>41</v>
      </c>
      <c r="G4820">
        <v>-269.15300000000002</v>
      </c>
      <c r="H4820">
        <v>1.0161070000000001</v>
      </c>
      <c r="I4820">
        <v>-62.003839999999997</v>
      </c>
      <c r="J4820">
        <v>-269.85090000000002</v>
      </c>
      <c r="K4820">
        <v>1.111675</v>
      </c>
      <c r="L4820">
        <v>-61.999659999999999</v>
      </c>
      <c r="M4820">
        <v>0.99969730000000001</v>
      </c>
      <c r="N4820">
        <v>0</v>
      </c>
      <c r="O4820">
        <v>2.33376E-2</v>
      </c>
      <c r="P4820">
        <v>0.99445450000000002</v>
      </c>
      <c r="Q4820">
        <v>0.10403900000000001</v>
      </c>
      <c r="R4820">
        <v>-1.5376839999999999E-2</v>
      </c>
      <c r="S4820">
        <v>3.0529169999999999</v>
      </c>
      <c r="T4820">
        <v>-0.34261950000000002</v>
      </c>
      <c r="U4820">
        <v>2.6855469999999999E-3</v>
      </c>
      <c r="V4820">
        <v>3.7975200000000001E-2</v>
      </c>
      <c r="W4820">
        <v>0.1119994</v>
      </c>
      <c r="X4820">
        <v>0.99298240000000004</v>
      </c>
      <c r="Y4820">
        <v>2.2173180000000001E-2</v>
      </c>
      <c r="Z4820">
        <v>-3.8511259999999999E-3</v>
      </c>
      <c r="AA4820">
        <v>0.99974669999999999</v>
      </c>
      <c r="AB4820">
        <v>29</v>
      </c>
      <c r="AC4820">
        <v>0.69790000000000396</v>
      </c>
      <c r="AD4820">
        <v>-9.5568000000000097E-2</v>
      </c>
      <c r="AE4820">
        <v>-4.1800000000051796E-3</v>
      </c>
      <c r="AF4820">
        <v>2.0089960936186601E-2</v>
      </c>
      <c r="AG4820">
        <v>-9.5568000000000097E-2</v>
      </c>
      <c r="AH4820">
        <v>0.68477223277145804</v>
      </c>
      <c r="AI4820">
        <v>97.941607394239298</v>
      </c>
      <c r="AJ4820">
        <v>88.319528983640495</v>
      </c>
      <c r="AK4820">
        <v>0.69170070111951298</v>
      </c>
      <c r="AL4820">
        <v>83.569415004939401</v>
      </c>
      <c r="AM4820">
        <v>87.809871702901901</v>
      </c>
      <c r="AN4820">
        <v>1.00000001406258</v>
      </c>
    </row>
    <row r="4821" spans="1:40" x14ac:dyDescent="0.25">
      <c r="A4821" t="str">
        <f>"20190312164406612"</f>
        <v>20190312164406612</v>
      </c>
      <c r="B4821" t="str">
        <f>"1552380246609538"</f>
        <v>1552380246609538</v>
      </c>
      <c r="C4821" t="s">
        <v>40</v>
      </c>
      <c r="D4821">
        <v>5.3160660000000002</v>
      </c>
      <c r="E4821">
        <v>0.50058689999999995</v>
      </c>
      <c r="F4821" t="s">
        <v>41</v>
      </c>
      <c r="G4821">
        <v>-268.8954</v>
      </c>
      <c r="H4821">
        <v>1.00774599999999</v>
      </c>
      <c r="I4821">
        <v>-61.998890000000003</v>
      </c>
      <c r="J4821">
        <v>-269.71339999999998</v>
      </c>
      <c r="K4821">
        <v>1.1115930000000001</v>
      </c>
      <c r="L4821">
        <v>-61.99521</v>
      </c>
      <c r="M4821">
        <v>0.99966829999999995</v>
      </c>
      <c r="N4821">
        <v>0</v>
      </c>
      <c r="O4821">
        <v>2.4558759999999999E-2</v>
      </c>
      <c r="P4821">
        <v>0.99450799999999995</v>
      </c>
      <c r="Q4821">
        <v>0.1034755</v>
      </c>
      <c r="R4821">
        <v>-1.570908E-2</v>
      </c>
      <c r="S4821">
        <v>3.0514830000000002</v>
      </c>
      <c r="T4821">
        <v>-0.3319337</v>
      </c>
      <c r="U4821">
        <v>2.5634770000000002E-3</v>
      </c>
      <c r="V4821">
        <v>3.9546739999999997E-2</v>
      </c>
      <c r="W4821">
        <v>0.1113948</v>
      </c>
      <c r="X4821">
        <v>0.99298909999999996</v>
      </c>
      <c r="Y4821">
        <v>2.343657E-2</v>
      </c>
      <c r="Z4821">
        <v>-3.9344050000000002E-3</v>
      </c>
      <c r="AA4821">
        <v>0.99971759999999998</v>
      </c>
      <c r="AB4821">
        <v>29</v>
      </c>
      <c r="AC4821">
        <v>0.81799999999998296</v>
      </c>
      <c r="AD4821">
        <v>-0.10384699999999999</v>
      </c>
      <c r="AE4821">
        <v>-3.68000000000279E-3</v>
      </c>
      <c r="AF4821">
        <v>2.3391568206367501E-2</v>
      </c>
      <c r="AG4821">
        <v>-0.10384699999999999</v>
      </c>
      <c r="AH4821">
        <v>0.80469398396657199</v>
      </c>
      <c r="AI4821">
        <v>97.350395274689802</v>
      </c>
      <c r="AJ4821">
        <v>88.334943653631697</v>
      </c>
      <c r="AK4821">
        <v>0.81170423967363003</v>
      </c>
      <c r="AL4821">
        <v>83.604274398567497</v>
      </c>
      <c r="AM4821">
        <v>87.719346095235494</v>
      </c>
      <c r="AN4821">
        <v>1.0000000494152299</v>
      </c>
    </row>
    <row r="4822" spans="1:40" x14ac:dyDescent="0.25">
      <c r="A4822" t="str">
        <f>"20190312164406625"</f>
        <v>20190312164406625</v>
      </c>
      <c r="B4822" t="str">
        <f>"1552380246620274"</f>
        <v>1552380246620274</v>
      </c>
      <c r="C4822" t="s">
        <v>40</v>
      </c>
      <c r="D4822">
        <v>5.4832199999999904</v>
      </c>
      <c r="E4822">
        <v>0.50062959999999901</v>
      </c>
      <c r="F4822" t="s">
        <v>41</v>
      </c>
      <c r="G4822">
        <v>-268.88839999999999</v>
      </c>
      <c r="H4822">
        <v>1.0222719999999901</v>
      </c>
      <c r="I4822">
        <v>-61.993479999999998</v>
      </c>
      <c r="J4822">
        <v>-269.5566</v>
      </c>
      <c r="K4822">
        <v>1.11149599999999</v>
      </c>
      <c r="L4822">
        <v>-61.990049999999997</v>
      </c>
      <c r="M4822">
        <v>0.99963440000000003</v>
      </c>
      <c r="N4822">
        <v>0</v>
      </c>
      <c r="O4822">
        <v>2.5912910000000001E-2</v>
      </c>
      <c r="P4822">
        <v>0.99461670000000002</v>
      </c>
      <c r="Q4822">
        <v>0.1025059</v>
      </c>
      <c r="R4822">
        <v>-1.5170629999999999E-2</v>
      </c>
      <c r="S4822">
        <v>3.0510250000000001</v>
      </c>
      <c r="T4822">
        <v>-0.33033590000000002</v>
      </c>
      <c r="U4822">
        <v>6.5002439999999996E-3</v>
      </c>
      <c r="V4822">
        <v>4.0386779999999997E-2</v>
      </c>
      <c r="W4822">
        <v>0.110375</v>
      </c>
      <c r="X4822">
        <v>0.99306910000000004</v>
      </c>
      <c r="Y4822">
        <v>2.3495120000000001E-2</v>
      </c>
      <c r="Z4822">
        <v>-4.0654599999999999E-3</v>
      </c>
      <c r="AA4822">
        <v>0.99971569999999998</v>
      </c>
      <c r="AB4822">
        <v>29</v>
      </c>
      <c r="AC4822">
        <v>0.66820000000001301</v>
      </c>
      <c r="AD4822">
        <v>-8.9223999999999901E-2</v>
      </c>
      <c r="AE4822">
        <v>-3.4300000000087E-3</v>
      </c>
      <c r="AF4822">
        <v>2.0380987836251401E-2</v>
      </c>
      <c r="AG4822">
        <v>-8.9223999999999901E-2</v>
      </c>
      <c r="AH4822">
        <v>0.65618723818832203</v>
      </c>
      <c r="AI4822">
        <v>97.7395262942062</v>
      </c>
      <c r="AJ4822">
        <v>88.220981414159198</v>
      </c>
      <c r="AK4822">
        <v>0.66253905424691695</v>
      </c>
      <c r="AL4822">
        <v>83.663066784552498</v>
      </c>
      <c r="AM4822">
        <v>87.671141340886194</v>
      </c>
      <c r="AN4822">
        <v>0.99999998499928899</v>
      </c>
    </row>
    <row r="4823" spans="1:40" x14ac:dyDescent="0.25">
      <c r="A4823" t="str">
        <f>"20190312164406635"</f>
        <v>20190312164406635</v>
      </c>
      <c r="B4823" t="str">
        <f>"1552380246630033"</f>
        <v>1552380246630033</v>
      </c>
      <c r="C4823" t="s">
        <v>40</v>
      </c>
      <c r="D4823">
        <v>5.2338129999999996</v>
      </c>
      <c r="E4823">
        <v>0.49973420000000002</v>
      </c>
      <c r="F4823" t="s">
        <v>41</v>
      </c>
      <c r="G4823">
        <v>-268.63170000000002</v>
      </c>
      <c r="H4823">
        <v>1.0104070000000001</v>
      </c>
      <c r="I4823">
        <v>-61.988109999999999</v>
      </c>
      <c r="J4823">
        <v>-269.40390000000002</v>
      </c>
      <c r="K4823">
        <v>1.1113999999999999</v>
      </c>
      <c r="L4823">
        <v>-61.984859999999998</v>
      </c>
      <c r="M4823">
        <v>0.99960179999999998</v>
      </c>
      <c r="N4823">
        <v>0</v>
      </c>
      <c r="O4823">
        <v>2.715414E-2</v>
      </c>
      <c r="P4823">
        <v>0.99472400000000005</v>
      </c>
      <c r="Q4823">
        <v>0.10150670000000001</v>
      </c>
      <c r="R4823">
        <v>-1.48506E-2</v>
      </c>
      <c r="S4823">
        <v>3.0507200000000001</v>
      </c>
      <c r="T4823">
        <v>-0.33345370000000002</v>
      </c>
      <c r="U4823">
        <v>7.5378419999999899E-3</v>
      </c>
      <c r="V4823">
        <v>4.1333729999999999E-2</v>
      </c>
      <c r="W4823">
        <v>0.10932890000000001</v>
      </c>
      <c r="X4823">
        <v>0.99314590000000003</v>
      </c>
      <c r="Y4823">
        <v>2.4378049999999998E-2</v>
      </c>
      <c r="Z4823">
        <v>-4.2873499999999997E-3</v>
      </c>
      <c r="AA4823">
        <v>0.99969359999999996</v>
      </c>
      <c r="AB4823">
        <v>29</v>
      </c>
      <c r="AC4823">
        <v>0.772199999999997</v>
      </c>
      <c r="AD4823">
        <v>-0.100992999999999</v>
      </c>
      <c r="AE4823">
        <v>-3.2500000000013E-3</v>
      </c>
      <c r="AF4823">
        <v>2.3810573388258101E-2</v>
      </c>
      <c r="AG4823">
        <v>-0.100992999999999</v>
      </c>
      <c r="AH4823">
        <v>0.758847140743241</v>
      </c>
      <c r="AI4823">
        <v>97.577112942434994</v>
      </c>
      <c r="AJ4823">
        <v>88.20280285938</v>
      </c>
      <c r="AK4823">
        <v>0.76590829246605596</v>
      </c>
      <c r="AL4823">
        <v>83.723369150886398</v>
      </c>
      <c r="AM4823">
        <v>87.6167828711027</v>
      </c>
      <c r="AN4823">
        <v>1.00000003214886</v>
      </c>
    </row>
    <row r="4824" spans="1:40" x14ac:dyDescent="0.25">
      <c r="A4824" t="str">
        <f>"20190312164406647"</f>
        <v>20190312164406647</v>
      </c>
      <c r="B4824" t="str">
        <f>"1552380246639793"</f>
        <v>1552380246639793</v>
      </c>
      <c r="C4824" t="s">
        <v>40</v>
      </c>
      <c r="D4824">
        <v>5.342346</v>
      </c>
      <c r="E4824">
        <v>0.49965920000000003</v>
      </c>
      <c r="F4824" t="s">
        <v>41</v>
      </c>
      <c r="G4824">
        <v>-268.62450000000001</v>
      </c>
      <c r="H4824">
        <v>1.0253380000000001</v>
      </c>
      <c r="I4824">
        <v>-61.981319999999997</v>
      </c>
      <c r="J4824">
        <v>-269.2595</v>
      </c>
      <c r="K4824">
        <v>1.1113010000000001</v>
      </c>
      <c r="L4824">
        <v>-61.97983</v>
      </c>
      <c r="M4824">
        <v>0.99957169999999895</v>
      </c>
      <c r="N4824">
        <v>0</v>
      </c>
      <c r="O4824">
        <v>2.8252840000000001E-2</v>
      </c>
      <c r="P4824">
        <v>0.99482550000000003</v>
      </c>
      <c r="Q4824">
        <v>0.1005614</v>
      </c>
      <c r="R4824">
        <v>-1.4488620000000001E-2</v>
      </c>
      <c r="S4824">
        <v>3.0505070000000001</v>
      </c>
      <c r="T4824">
        <v>-0.33694829999999998</v>
      </c>
      <c r="U4824">
        <v>1.522827E-2</v>
      </c>
      <c r="V4824">
        <v>4.2095929999999997E-2</v>
      </c>
      <c r="W4824">
        <v>0.1083411</v>
      </c>
      <c r="X4824">
        <v>0.9932221</v>
      </c>
      <c r="Y4824">
        <v>2.2951949999999999E-2</v>
      </c>
      <c r="Z4824">
        <v>-4.3746979999999998E-3</v>
      </c>
      <c r="AA4824">
        <v>0.99972700000000003</v>
      </c>
      <c r="AB4824">
        <v>29</v>
      </c>
      <c r="AC4824">
        <v>0.63499999999999002</v>
      </c>
      <c r="AD4824">
        <v>-8.5963000000000206E-2</v>
      </c>
      <c r="AE4824">
        <v>-1.4899999999897699E-3</v>
      </c>
      <c r="AF4824">
        <v>1.90808013295704E-2</v>
      </c>
      <c r="AG4824">
        <v>-8.5963000000000206E-2</v>
      </c>
      <c r="AH4824">
        <v>0.62328198783209299</v>
      </c>
      <c r="AI4824">
        <v>97.849056933434198</v>
      </c>
      <c r="AJ4824">
        <v>88.246527134566605</v>
      </c>
      <c r="AK4824">
        <v>0.62947132635593805</v>
      </c>
      <c r="AL4824">
        <v>83.780303928974604</v>
      </c>
      <c r="AM4824">
        <v>87.573074065827598</v>
      </c>
      <c r="AN4824">
        <v>1.00000000060009</v>
      </c>
    </row>
    <row r="4825" spans="1:40" x14ac:dyDescent="0.25">
      <c r="A4825" t="str">
        <f>"20190312164406658"</f>
        <v>20190312164406658</v>
      </c>
      <c r="B4825" t="str">
        <f>"1552380246649554"</f>
        <v>1552380246649554</v>
      </c>
      <c r="C4825" t="s">
        <v>40</v>
      </c>
      <c r="D4825">
        <v>5.2786679999999997</v>
      </c>
      <c r="E4825">
        <v>0.49949840000000001</v>
      </c>
      <c r="F4825" t="s">
        <v>41</v>
      </c>
      <c r="G4825">
        <v>-268.36759999999998</v>
      </c>
      <c r="H4825">
        <v>1.0122850000000001</v>
      </c>
      <c r="I4825">
        <v>-61.975140000000003</v>
      </c>
      <c r="J4825">
        <v>-269.11450000000002</v>
      </c>
      <c r="K4825">
        <v>1.1112</v>
      </c>
      <c r="L4825">
        <v>-61.974730000000001</v>
      </c>
      <c r="M4825">
        <v>0.99954180000000004</v>
      </c>
      <c r="N4825">
        <v>0</v>
      </c>
      <c r="O4825">
        <v>2.9303510000000001E-2</v>
      </c>
      <c r="P4825">
        <v>0.99489899999999998</v>
      </c>
      <c r="Q4825">
        <v>9.9904430000000002E-2</v>
      </c>
      <c r="R4825">
        <v>-1.3974779999999999E-2</v>
      </c>
      <c r="S4825">
        <v>3.0500790000000002</v>
      </c>
      <c r="T4825">
        <v>-0.33865129999999999</v>
      </c>
      <c r="U4825">
        <v>1.6601560000000001E-2</v>
      </c>
      <c r="V4825">
        <v>4.2657489999999999E-2</v>
      </c>
      <c r="W4825">
        <v>0.1076414</v>
      </c>
      <c r="X4825">
        <v>0.9932742</v>
      </c>
      <c r="Y4825">
        <v>2.3538690000000001E-2</v>
      </c>
      <c r="Z4825">
        <v>-4.5460090000000002E-3</v>
      </c>
      <c r="AA4825">
        <v>0.99971259999999995</v>
      </c>
      <c r="AB4825">
        <v>29</v>
      </c>
      <c r="AC4825">
        <v>0.74690000000003898</v>
      </c>
      <c r="AD4825">
        <v>-9.8914999999999795E-2</v>
      </c>
      <c r="AE4825">
        <v>-4.0999999999513599E-4</v>
      </c>
      <c r="AF4825">
        <v>2.19129189895594E-2</v>
      </c>
      <c r="AG4825">
        <v>-9.8914999999999795E-2</v>
      </c>
      <c r="AH4825">
        <v>0.73369903556170901</v>
      </c>
      <c r="AI4825">
        <v>97.674760810447097</v>
      </c>
      <c r="AJ4825">
        <v>88.289292193795902</v>
      </c>
      <c r="AK4825">
        <v>0.74066093999064397</v>
      </c>
      <c r="AL4825">
        <v>83.820629517235304</v>
      </c>
      <c r="AM4825">
        <v>87.540867181500602</v>
      </c>
      <c r="AN4825">
        <v>0.99999998441634896</v>
      </c>
    </row>
    <row r="4826" spans="1:40" x14ac:dyDescent="0.25">
      <c r="A4826" t="str">
        <f>"20190312164406670"</f>
        <v>20190312164406670</v>
      </c>
      <c r="B4826" t="str">
        <f>"1552380246660290"</f>
        <v>1552380246660290</v>
      </c>
      <c r="C4826" t="s">
        <v>40</v>
      </c>
      <c r="D4826">
        <v>5.271255</v>
      </c>
      <c r="E4826">
        <v>0.4994536</v>
      </c>
      <c r="F4826" t="s">
        <v>41</v>
      </c>
      <c r="G4826">
        <v>-268.36040000000003</v>
      </c>
      <c r="H4826">
        <v>1.027318</v>
      </c>
      <c r="I4826">
        <v>-61.970219999999998</v>
      </c>
      <c r="J4826">
        <v>-268.96690000000001</v>
      </c>
      <c r="K4826">
        <v>1.1110850000000001</v>
      </c>
      <c r="L4826">
        <v>-61.9694199999999</v>
      </c>
      <c r="M4826">
        <v>0.9995134</v>
      </c>
      <c r="N4826">
        <v>0</v>
      </c>
      <c r="O4826">
        <v>3.0260619999999998E-2</v>
      </c>
      <c r="P4826">
        <v>0.99496280000000004</v>
      </c>
      <c r="Q4826">
        <v>9.9370550000000002E-2</v>
      </c>
      <c r="R4826">
        <v>-1.321524E-2</v>
      </c>
      <c r="S4826">
        <v>3.0497130000000001</v>
      </c>
      <c r="T4826">
        <v>-0.3392329</v>
      </c>
      <c r="U4826">
        <v>1.8890379999999998E-2</v>
      </c>
      <c r="V4826">
        <v>4.2881080000000002E-2</v>
      </c>
      <c r="W4826">
        <v>0.10706450000000001</v>
      </c>
      <c r="X4826">
        <v>0.99332699999999996</v>
      </c>
      <c r="Y4826">
        <v>2.3736750000000001E-2</v>
      </c>
      <c r="Z4826">
        <v>-4.6713730000000004E-3</v>
      </c>
      <c r="AA4826">
        <v>0.99970729999999997</v>
      </c>
      <c r="AB4826">
        <v>29</v>
      </c>
      <c r="AC4826">
        <v>0.60649999999998205</v>
      </c>
      <c r="AD4826">
        <v>-8.3767000000000105E-2</v>
      </c>
      <c r="AE4826">
        <v>-8.0000000000524096E-4</v>
      </c>
      <c r="AF4826">
        <v>1.8794700490355601E-2</v>
      </c>
      <c r="AG4826">
        <v>-8.3767000000000105E-2</v>
      </c>
      <c r="AH4826">
        <v>0.59485074896659396</v>
      </c>
      <c r="AI4826">
        <v>98.011749620686203</v>
      </c>
      <c r="AJ4826">
        <v>88.1903042154334</v>
      </c>
      <c r="AK4826">
        <v>0.60101378070859501</v>
      </c>
      <c r="AL4826">
        <v>83.853876059269197</v>
      </c>
      <c r="AM4826">
        <v>87.528124776526596</v>
      </c>
      <c r="AN4826">
        <v>1.0000000615556</v>
      </c>
    </row>
    <row r="4827" spans="1:40" x14ac:dyDescent="0.25">
      <c r="A4827" t="str">
        <f>"20190312164406679"</f>
        <v>20190312164406679</v>
      </c>
      <c r="B4827" t="str">
        <f>"1552380246670050"</f>
        <v>1552380246670050</v>
      </c>
      <c r="C4827" t="s">
        <v>40</v>
      </c>
      <c r="D4827">
        <v>5.2065580000000002</v>
      </c>
      <c r="E4827">
        <v>0.49915779999999899</v>
      </c>
      <c r="F4827" t="s">
        <v>41</v>
      </c>
      <c r="G4827">
        <v>-268.10239999999999</v>
      </c>
      <c r="H4827">
        <v>1.014602</v>
      </c>
      <c r="I4827">
        <v>-61.963520000000003</v>
      </c>
      <c r="J4827">
        <v>-268.82900000000001</v>
      </c>
      <c r="K4827">
        <v>1.1109819999999999</v>
      </c>
      <c r="L4827">
        <v>-61.964449999999999</v>
      </c>
      <c r="M4827">
        <v>0.99948709999999996</v>
      </c>
      <c r="N4827">
        <v>0</v>
      </c>
      <c r="O4827">
        <v>3.112384E-2</v>
      </c>
      <c r="P4827">
        <v>0.99499649999999995</v>
      </c>
      <c r="Q4827">
        <v>9.9093680000000003E-2</v>
      </c>
      <c r="R4827">
        <v>-1.274933E-2</v>
      </c>
      <c r="S4827">
        <v>3.0495000000000001</v>
      </c>
      <c r="T4827">
        <v>-0.34037640000000002</v>
      </c>
      <c r="U4827">
        <v>2.1240229999999999E-2</v>
      </c>
      <c r="V4827">
        <v>4.3301649999999997E-2</v>
      </c>
      <c r="W4827">
        <v>0.1067487</v>
      </c>
      <c r="X4827">
        <v>0.99334270000000002</v>
      </c>
      <c r="Y4827">
        <v>2.3821229999999999E-2</v>
      </c>
      <c r="Z4827">
        <v>-4.7880409999999998E-3</v>
      </c>
      <c r="AA4827">
        <v>0.99970479999999995</v>
      </c>
      <c r="AB4827">
        <v>30</v>
      </c>
      <c r="AC4827">
        <v>0.72660000000001901</v>
      </c>
      <c r="AD4827">
        <v>-9.6379999999999896E-2</v>
      </c>
      <c r="AE4827">
        <v>9.3000000000387196E-4</v>
      </c>
      <c r="AF4827">
        <v>2.1310719367063798E-2</v>
      </c>
      <c r="AG4827">
        <v>-9.6379999999999896E-2</v>
      </c>
      <c r="AH4827">
        <v>0.71371922489098305</v>
      </c>
      <c r="AI4827">
        <v>97.687262786105705</v>
      </c>
      <c r="AJ4827">
        <v>88.2897313565215</v>
      </c>
      <c r="AK4827">
        <v>0.72051258360900705</v>
      </c>
      <c r="AL4827">
        <v>83.872074095261794</v>
      </c>
      <c r="AM4827">
        <v>87.503950980251304</v>
      </c>
      <c r="AN4827">
        <v>1.00000001874385</v>
      </c>
    </row>
    <row r="4828" spans="1:40" x14ac:dyDescent="0.25">
      <c r="A4828" t="str">
        <f>"20190312164406691"</f>
        <v>20190312164406691</v>
      </c>
      <c r="B4828" t="str">
        <f>"1552380246679810"</f>
        <v>1552380246679810</v>
      </c>
      <c r="C4828" t="s">
        <v>40</v>
      </c>
      <c r="D4828">
        <v>5.2026240000000001</v>
      </c>
      <c r="E4828">
        <v>0.49903510000000001</v>
      </c>
      <c r="F4828" t="s">
        <v>41</v>
      </c>
      <c r="G4828">
        <v>-268.09530000000001</v>
      </c>
      <c r="H4828">
        <v>1.0293559999999999</v>
      </c>
      <c r="I4828">
        <v>-61.958579999999998</v>
      </c>
      <c r="J4828">
        <v>-268.68220000000002</v>
      </c>
      <c r="K4828">
        <v>1.110867</v>
      </c>
      <c r="L4828">
        <v>-61.959009999999999</v>
      </c>
      <c r="M4828">
        <v>0.99946270000000004</v>
      </c>
      <c r="N4828">
        <v>0</v>
      </c>
      <c r="O4828">
        <v>3.1905620000000003E-2</v>
      </c>
      <c r="P4828">
        <v>0.99501399999999995</v>
      </c>
      <c r="Q4828">
        <v>9.8983940000000006E-2</v>
      </c>
      <c r="R4828">
        <v>-1.2243830000000001E-2</v>
      </c>
      <c r="S4828">
        <v>3.049194</v>
      </c>
      <c r="T4828">
        <v>-0.33923419999999999</v>
      </c>
      <c r="U4828">
        <v>2.4902339999999999E-2</v>
      </c>
      <c r="V4828">
        <v>4.3603570000000001E-2</v>
      </c>
      <c r="W4828">
        <v>0.1065989</v>
      </c>
      <c r="X4828">
        <v>0.99334560000000005</v>
      </c>
      <c r="Y4828">
        <v>2.3401890000000002E-2</v>
      </c>
      <c r="Z4828">
        <v>-4.8359259999999999E-3</v>
      </c>
      <c r="AA4828">
        <v>0.9997144</v>
      </c>
      <c r="AB4828">
        <v>30</v>
      </c>
      <c r="AC4828">
        <v>0.58690000000001397</v>
      </c>
      <c r="AD4828">
        <v>-8.1511000000000097E-2</v>
      </c>
      <c r="AE4828">
        <v>4.29999999994379E-4</v>
      </c>
      <c r="AF4828">
        <v>1.7949923342891499E-2</v>
      </c>
      <c r="AG4828">
        <v>-8.1511000000000097E-2</v>
      </c>
      <c r="AH4828">
        <v>0.57551396149696699</v>
      </c>
      <c r="AI4828">
        <v>98.057413514080594</v>
      </c>
      <c r="AJ4828">
        <v>88.213559309507701</v>
      </c>
      <c r="AK4828">
        <v>0.58153466169003898</v>
      </c>
      <c r="AL4828">
        <v>83.880706381306496</v>
      </c>
      <c r="AM4828">
        <v>87.486576892002702</v>
      </c>
      <c r="AN4828">
        <v>1.0000000389186501</v>
      </c>
    </row>
    <row r="4829" spans="1:40" x14ac:dyDescent="0.25">
      <c r="A4829" t="str">
        <f>"20190312164406703"</f>
        <v>20190312164406703</v>
      </c>
      <c r="B4829" t="str">
        <f>"1552380246700305"</f>
        <v>1552380246700305</v>
      </c>
      <c r="C4829" t="s">
        <v>40</v>
      </c>
      <c r="D4829">
        <v>5.0455430000000003</v>
      </c>
      <c r="E4829">
        <v>0.49828860000000003</v>
      </c>
      <c r="F4829" t="s">
        <v>41</v>
      </c>
      <c r="G4829">
        <v>-267.83629999999999</v>
      </c>
      <c r="H4829">
        <v>1.0170090000000001</v>
      </c>
      <c r="I4829">
        <v>-61.951599999999999</v>
      </c>
      <c r="J4829">
        <v>-268.53230000000002</v>
      </c>
      <c r="K4829">
        <v>1.1107549999999999</v>
      </c>
      <c r="L4829">
        <v>-61.953429999999997</v>
      </c>
      <c r="M4829">
        <v>0.9994383</v>
      </c>
      <c r="N4829">
        <v>0</v>
      </c>
      <c r="O4829">
        <v>3.2670299999999999E-2</v>
      </c>
      <c r="P4829">
        <v>0.99505960000000004</v>
      </c>
      <c r="Q4829">
        <v>9.8604369999999997E-2</v>
      </c>
      <c r="R4829">
        <v>-1.156798E-2</v>
      </c>
      <c r="S4829">
        <v>3.049042</v>
      </c>
      <c r="T4829">
        <v>-0.33833920000000001</v>
      </c>
      <c r="U4829">
        <v>2.7221680000000002E-2</v>
      </c>
      <c r="V4829">
        <v>4.3720889999999998E-2</v>
      </c>
      <c r="W4829">
        <v>0.1061788</v>
      </c>
      <c r="X4829">
        <v>0.99338539999999997</v>
      </c>
      <c r="Y4829">
        <v>2.340302E-2</v>
      </c>
      <c r="Z4829">
        <v>-4.9080759999999999E-3</v>
      </c>
      <c r="AA4829">
        <v>0.99971410000000005</v>
      </c>
      <c r="AB4829">
        <v>30</v>
      </c>
      <c r="AC4829">
        <v>0.69600000000002604</v>
      </c>
      <c r="AD4829">
        <v>-9.3745999999999802E-2</v>
      </c>
      <c r="AE4829">
        <v>1.83000000000532E-3</v>
      </c>
      <c r="AF4829">
        <v>2.05375482311085E-2</v>
      </c>
      <c r="AG4829">
        <v>-9.3745999999999802E-2</v>
      </c>
      <c r="AH4829">
        <v>0.68329198091993604</v>
      </c>
      <c r="AI4829">
        <v>97.808586586557396</v>
      </c>
      <c r="AJ4829">
        <v>88.278392388189005</v>
      </c>
      <c r="AK4829">
        <v>0.68999857579043999</v>
      </c>
      <c r="AL4829">
        <v>83.904913506300701</v>
      </c>
      <c r="AM4829">
        <v>87.479923810476095</v>
      </c>
      <c r="AN4829">
        <v>1.0000000033624901</v>
      </c>
    </row>
    <row r="4830" spans="1:40" x14ac:dyDescent="0.25">
      <c r="A4830" t="str">
        <f>"20190312164406713"</f>
        <v>20190312164406713</v>
      </c>
      <c r="B4830" t="str">
        <f>"1552380246710065"</f>
        <v>1552380246710065</v>
      </c>
      <c r="C4830" t="s">
        <v>40</v>
      </c>
      <c r="D4830">
        <v>5.0190199999999896</v>
      </c>
      <c r="E4830">
        <v>0.49790780000000001</v>
      </c>
      <c r="F4830" t="s">
        <v>41</v>
      </c>
      <c r="G4830">
        <v>-267.5763</v>
      </c>
      <c r="H4830">
        <v>1.004826</v>
      </c>
      <c r="I4830">
        <v>-61.942729999999997</v>
      </c>
      <c r="J4830">
        <v>-268.37799999999999</v>
      </c>
      <c r="K4830">
        <v>1.11063</v>
      </c>
      <c r="L4830">
        <v>-61.947659999999999</v>
      </c>
      <c r="M4830">
        <v>0.999417</v>
      </c>
      <c r="N4830">
        <v>0</v>
      </c>
      <c r="O4830">
        <v>3.3322919999999999E-2</v>
      </c>
      <c r="P4830">
        <v>0.9950793</v>
      </c>
      <c r="Q4830">
        <v>9.8464270000000007E-2</v>
      </c>
      <c r="R4830">
        <v>-1.1066609999999999E-2</v>
      </c>
      <c r="S4830">
        <v>3.0487669999999998</v>
      </c>
      <c r="T4830">
        <v>-0.33780490000000002</v>
      </c>
      <c r="U4830">
        <v>3.4942630000000002E-2</v>
      </c>
      <c r="V4830">
        <v>4.3901559999999999E-2</v>
      </c>
      <c r="W4830">
        <v>0.1059996</v>
      </c>
      <c r="X4830">
        <v>0.99339659999999996</v>
      </c>
      <c r="Y4830">
        <v>2.1531970000000001E-2</v>
      </c>
      <c r="Z4830">
        <v>-4.8694259999999996E-3</v>
      </c>
      <c r="AA4830">
        <v>0.99975630000000004</v>
      </c>
      <c r="AB4830">
        <v>30</v>
      </c>
      <c r="AC4830">
        <v>0.80169999999998198</v>
      </c>
      <c r="AD4830">
        <v>-0.105804</v>
      </c>
      <c r="AE4830">
        <v>4.9299999999945499E-3</v>
      </c>
      <c r="AF4830">
        <v>2.1415475698990501E-2</v>
      </c>
      <c r="AG4830">
        <v>-0.105804</v>
      </c>
      <c r="AH4830">
        <v>0.78769995348837696</v>
      </c>
      <c r="AI4830">
        <v>97.647398402352195</v>
      </c>
      <c r="AJ4830">
        <v>88.442663116649896</v>
      </c>
      <c r="AK4830">
        <v>0.79506246656536705</v>
      </c>
      <c r="AL4830">
        <v>83.915239365972496</v>
      </c>
      <c r="AM4830">
        <v>87.469551976218696</v>
      </c>
      <c r="AN4830">
        <v>1.0000000335310699</v>
      </c>
    </row>
    <row r="4831" spans="1:40" x14ac:dyDescent="0.25">
      <c r="A4831" t="str">
        <f>"20190312164406726"</f>
        <v>20190312164406726</v>
      </c>
      <c r="B4831" t="str">
        <f>"1552380246719825"</f>
        <v>1552380246719825</v>
      </c>
      <c r="C4831" t="s">
        <v>40</v>
      </c>
      <c r="D4831">
        <v>5.0094789999999998</v>
      </c>
      <c r="E4831">
        <v>0.4974712</v>
      </c>
      <c r="F4831" t="s">
        <v>41</v>
      </c>
      <c r="G4831">
        <v>-267.56849999999997</v>
      </c>
      <c r="H4831">
        <v>1.0211110000000001</v>
      </c>
      <c r="I4831">
        <v>-61.937480000000001</v>
      </c>
      <c r="J4831">
        <v>-268.22550000000001</v>
      </c>
      <c r="K4831">
        <v>1.1105080000000001</v>
      </c>
      <c r="L4831">
        <v>-61.941989999999997</v>
      </c>
      <c r="M4831">
        <v>0.99939730000000004</v>
      </c>
      <c r="N4831">
        <v>0</v>
      </c>
      <c r="O4831">
        <v>3.3912079999999997E-2</v>
      </c>
      <c r="P4831">
        <v>0.99511989999999995</v>
      </c>
      <c r="Q4831">
        <v>9.8125829999999997E-2</v>
      </c>
      <c r="R4831">
        <v>-1.039524E-2</v>
      </c>
      <c r="S4831">
        <v>3.048645</v>
      </c>
      <c r="T4831">
        <v>-0.33716580000000002</v>
      </c>
      <c r="U4831">
        <v>3.9306639999999997E-2</v>
      </c>
      <c r="V4831">
        <v>4.3849560000000003E-2</v>
      </c>
      <c r="W4831">
        <v>0.1056226</v>
      </c>
      <c r="X4831">
        <v>0.99343899999999996</v>
      </c>
      <c r="Y4831">
        <v>2.0692749999999999E-2</v>
      </c>
      <c r="Z4831">
        <v>-4.8790600000000002E-3</v>
      </c>
      <c r="AA4831">
        <v>0.99977400000000005</v>
      </c>
      <c r="AB4831">
        <v>30</v>
      </c>
      <c r="AC4831">
        <v>0.657000000000039</v>
      </c>
      <c r="AD4831">
        <v>-8.9396999999999893E-2</v>
      </c>
      <c r="AE4831">
        <v>4.5099999999962297E-3</v>
      </c>
      <c r="AF4831">
        <v>1.7450371547739998E-2</v>
      </c>
      <c r="AG4831">
        <v>-8.9396999999999893E-2</v>
      </c>
      <c r="AH4831">
        <v>0.64483668052623999</v>
      </c>
      <c r="AI4831">
        <v>97.8900444183448</v>
      </c>
      <c r="AJ4831">
        <v>88.449857604058494</v>
      </c>
      <c r="AK4831">
        <v>0.65123780881353499</v>
      </c>
      <c r="AL4831">
        <v>83.936961505899603</v>
      </c>
      <c r="AM4831">
        <v>87.4726530542749</v>
      </c>
      <c r="AN4831">
        <v>0.99999998213197605</v>
      </c>
    </row>
    <row r="4832" spans="1:40" x14ac:dyDescent="0.25">
      <c r="A4832" t="str">
        <f>"20190312164406737"</f>
        <v>20190312164406737</v>
      </c>
      <c r="B4832" t="str">
        <f>"1552380246729585"</f>
        <v>1552380246729585</v>
      </c>
      <c r="C4832" t="s">
        <v>40</v>
      </c>
      <c r="D4832">
        <v>5.1882060000000001</v>
      </c>
      <c r="E4832">
        <v>0.49732569999999998</v>
      </c>
      <c r="F4832" t="s">
        <v>41</v>
      </c>
      <c r="G4832">
        <v>-267.30779999999999</v>
      </c>
      <c r="H4832">
        <v>1.0090589999999999</v>
      </c>
      <c r="I4832">
        <v>-61.928569999999901</v>
      </c>
      <c r="J4832">
        <v>-268.06790000000001</v>
      </c>
      <c r="K4832">
        <v>1.1103809999999901</v>
      </c>
      <c r="L4832">
        <v>-61.936039999999998</v>
      </c>
      <c r="M4832">
        <v>0.99937949999999998</v>
      </c>
      <c r="N4832">
        <v>0</v>
      </c>
      <c r="O4832">
        <v>3.4436300000000003E-2</v>
      </c>
      <c r="P4832">
        <v>0.99515050000000005</v>
      </c>
      <c r="Q4832">
        <v>9.7875359999999995E-2</v>
      </c>
      <c r="R4832">
        <v>-9.8106840000000001E-3</v>
      </c>
      <c r="S4832">
        <v>3.0484309999999999</v>
      </c>
      <c r="T4832">
        <v>-0.33697929999999998</v>
      </c>
      <c r="U4832">
        <v>4.4738769999999997E-2</v>
      </c>
      <c r="V4832">
        <v>4.3819429999999999E-2</v>
      </c>
      <c r="W4832">
        <v>0.10533530000000001</v>
      </c>
      <c r="X4832">
        <v>0.99347079999999999</v>
      </c>
      <c r="Y4832">
        <v>1.943982E-2</v>
      </c>
      <c r="Z4832">
        <v>-4.8653289999999998E-3</v>
      </c>
      <c r="AA4832">
        <v>0.9997992</v>
      </c>
      <c r="AB4832">
        <v>30</v>
      </c>
      <c r="AC4832">
        <v>0.76010000000002198</v>
      </c>
      <c r="AD4832">
        <v>-0.101321999999999</v>
      </c>
      <c r="AE4832">
        <v>7.4700000000120703E-3</v>
      </c>
      <c r="AF4832">
        <v>1.83835509532E-2</v>
      </c>
      <c r="AG4832">
        <v>-0.101321999999999</v>
      </c>
      <c r="AH4832">
        <v>0.74664053446607304</v>
      </c>
      <c r="AI4832">
        <v>97.725737123829006</v>
      </c>
      <c r="AJ4832">
        <v>88.589566110621305</v>
      </c>
      <c r="AK4832">
        <v>0.75370829260227201</v>
      </c>
      <c r="AL4832">
        <v>83.953514726276694</v>
      </c>
      <c r="AM4832">
        <v>87.4744681383076</v>
      </c>
      <c r="AN4832">
        <v>0.99999994916212598</v>
      </c>
    </row>
    <row r="4833" spans="1:40" x14ac:dyDescent="0.25">
      <c r="A4833" t="str">
        <f>"20190312164406749"</f>
        <v>20190312164406749</v>
      </c>
      <c r="B4833" t="str">
        <f>"1552380246740322"</f>
        <v>1552380246740322</v>
      </c>
      <c r="C4833" t="s">
        <v>40</v>
      </c>
      <c r="D4833">
        <v>5.0351920000000003</v>
      </c>
      <c r="E4833">
        <v>0.49721850000000001</v>
      </c>
      <c r="F4833" t="s">
        <v>41</v>
      </c>
      <c r="G4833">
        <v>-267.29969999999997</v>
      </c>
      <c r="H4833">
        <v>1.025938</v>
      </c>
      <c r="I4833">
        <v>-61.924059999999997</v>
      </c>
      <c r="J4833">
        <v>-267.9203</v>
      </c>
      <c r="K4833">
        <v>1.110266</v>
      </c>
      <c r="L4833">
        <v>-61.930480000000003</v>
      </c>
      <c r="M4833">
        <v>0.99936570000000002</v>
      </c>
      <c r="N4833">
        <v>0</v>
      </c>
      <c r="O4833">
        <v>3.4840860000000001E-2</v>
      </c>
      <c r="P4833">
        <v>0.99514400000000003</v>
      </c>
      <c r="Q4833">
        <v>9.7948240000000006E-2</v>
      </c>
      <c r="R4833">
        <v>-9.7353920000000007E-3</v>
      </c>
      <c r="S4833">
        <v>3.048035</v>
      </c>
      <c r="T4833">
        <v>-0.33505010000000002</v>
      </c>
      <c r="U4833">
        <v>4.769897E-2</v>
      </c>
      <c r="V4833">
        <v>4.4174430000000001E-2</v>
      </c>
      <c r="W4833">
        <v>0.105376</v>
      </c>
      <c r="X4833">
        <v>0.99345079999999997</v>
      </c>
      <c r="Y4833">
        <v>1.8876480000000001E-2</v>
      </c>
      <c r="Z4833">
        <v>-4.8516590000000004E-3</v>
      </c>
      <c r="AA4833">
        <v>0.99980999999999998</v>
      </c>
      <c r="AB4833">
        <v>30</v>
      </c>
      <c r="AC4833">
        <v>0.62060000000002402</v>
      </c>
      <c r="AD4833">
        <v>-8.4327999999999903E-2</v>
      </c>
      <c r="AE4833">
        <v>6.4200000000056399E-3</v>
      </c>
      <c r="AF4833">
        <v>1.4931068767400101E-2</v>
      </c>
      <c r="AG4833">
        <v>-8.4327999999999903E-2</v>
      </c>
      <c r="AH4833">
        <v>0.60919996480467598</v>
      </c>
      <c r="AI4833">
        <v>97.878702262617097</v>
      </c>
      <c r="AJ4833">
        <v>88.5960012535825</v>
      </c>
      <c r="AK4833">
        <v>0.61519000765337095</v>
      </c>
      <c r="AL4833">
        <v>83.951169965847996</v>
      </c>
      <c r="AM4833">
        <v>87.453983348059495</v>
      </c>
      <c r="AN4833">
        <v>0.99999998683123204</v>
      </c>
    </row>
    <row r="4834" spans="1:40" x14ac:dyDescent="0.25">
      <c r="A4834" t="str">
        <f>"20190312164406759"</f>
        <v>20190312164406759</v>
      </c>
      <c r="B4834" t="str">
        <f>"1552380246750082"</f>
        <v>1552380246750082</v>
      </c>
      <c r="C4834" t="s">
        <v>40</v>
      </c>
      <c r="D4834">
        <v>4.897348</v>
      </c>
      <c r="E4834">
        <v>0.4971448</v>
      </c>
      <c r="F4834" t="s">
        <v>41</v>
      </c>
      <c r="G4834">
        <v>-267.03809999999999</v>
      </c>
      <c r="H4834">
        <v>1.013881</v>
      </c>
      <c r="I4834">
        <v>-61.916449999999998</v>
      </c>
      <c r="J4834">
        <v>-267.76479999999998</v>
      </c>
      <c r="K4834">
        <v>1.11015</v>
      </c>
      <c r="L4834">
        <v>-61.924590000000002</v>
      </c>
      <c r="M4834">
        <v>0.99935240000000003</v>
      </c>
      <c r="N4834">
        <v>0</v>
      </c>
      <c r="O4834">
        <v>3.5223829999999998E-2</v>
      </c>
      <c r="P4834">
        <v>0.99512990000000001</v>
      </c>
      <c r="Q4834">
        <v>9.8120440000000003E-2</v>
      </c>
      <c r="R4834">
        <v>-9.4289040000000001E-3</v>
      </c>
      <c r="S4834">
        <v>3.0479129999999999</v>
      </c>
      <c r="T4834">
        <v>-0.33297919999999998</v>
      </c>
      <c r="U4834">
        <v>4.9194340000000003E-2</v>
      </c>
      <c r="V4834">
        <v>4.4277570000000002E-2</v>
      </c>
      <c r="W4834">
        <v>0.105515</v>
      </c>
      <c r="X4834">
        <v>0.99343139999999996</v>
      </c>
      <c r="Y4834">
        <v>1.8770909999999998E-2</v>
      </c>
      <c r="Z4834">
        <v>-4.8579540000000003E-3</v>
      </c>
      <c r="AA4834">
        <v>0.99981200000000003</v>
      </c>
      <c r="AB4834">
        <v>30</v>
      </c>
      <c r="AC4834">
        <v>0.72669999999999302</v>
      </c>
      <c r="AD4834">
        <v>-9.6268999999999896E-2</v>
      </c>
      <c r="AE4834">
        <v>8.14000000000447E-3</v>
      </c>
      <c r="AF4834">
        <v>1.7161759744847099E-2</v>
      </c>
      <c r="AG4834">
        <v>-9.6268999999999896E-2</v>
      </c>
      <c r="AH4834">
        <v>0.71400691994580701</v>
      </c>
      <c r="AI4834">
        <v>97.6766473135025</v>
      </c>
      <c r="AJ4834">
        <v>88.623112629202794</v>
      </c>
      <c r="AK4834">
        <v>0.72067199757520595</v>
      </c>
      <c r="AL4834">
        <v>83.943160873703604</v>
      </c>
      <c r="AM4834">
        <v>87.447996899842494</v>
      </c>
      <c r="AN4834">
        <v>0.99999993246802998</v>
      </c>
    </row>
    <row r="4835" spans="1:40" x14ac:dyDescent="0.25">
      <c r="A4835" t="str">
        <f>"20190312164406771"</f>
        <v>20190312164406771</v>
      </c>
      <c r="B4835" t="str">
        <f>"1552380246759842"</f>
        <v>1552380246759842</v>
      </c>
      <c r="C4835" t="s">
        <v>40</v>
      </c>
      <c r="D4835">
        <v>4.99932</v>
      </c>
      <c r="E4835">
        <v>0.49725449999999999</v>
      </c>
      <c r="F4835" t="s">
        <v>41</v>
      </c>
      <c r="G4835">
        <v>-267.0301</v>
      </c>
      <c r="H4835">
        <v>1.0305</v>
      </c>
      <c r="I4835">
        <v>-61.912500000000001</v>
      </c>
      <c r="J4835">
        <v>-267.62009999999998</v>
      </c>
      <c r="K4835">
        <v>1.110053</v>
      </c>
      <c r="L4835">
        <v>-61.91919</v>
      </c>
      <c r="M4835">
        <v>0.99934400000000001</v>
      </c>
      <c r="N4835">
        <v>0</v>
      </c>
      <c r="O4835">
        <v>3.5467440000000003E-2</v>
      </c>
      <c r="P4835">
        <v>0.99516570000000004</v>
      </c>
      <c r="Q4835">
        <v>9.7782250000000001E-2</v>
      </c>
      <c r="R4835">
        <v>-9.1764940000000003E-3</v>
      </c>
      <c r="S4835">
        <v>3.0477289999999999</v>
      </c>
      <c r="T4835">
        <v>-0.33037450000000002</v>
      </c>
      <c r="U4835">
        <v>5.1025389999999997E-2</v>
      </c>
      <c r="V4835">
        <v>4.4295679999999997E-2</v>
      </c>
      <c r="W4835">
        <v>0.1051484</v>
      </c>
      <c r="X4835">
        <v>0.99346950000000001</v>
      </c>
      <c r="Y4835">
        <v>1.841872E-2</v>
      </c>
      <c r="Z4835">
        <v>-4.8277090000000003E-3</v>
      </c>
      <c r="AA4835">
        <v>0.99981869999999995</v>
      </c>
      <c r="AB4835">
        <v>30</v>
      </c>
      <c r="AC4835">
        <v>0.58999999999997499</v>
      </c>
      <c r="AD4835">
        <v>-7.9552999999999902E-2</v>
      </c>
      <c r="AE4835">
        <v>6.6899999999989702E-3</v>
      </c>
      <c r="AF4835">
        <v>1.3986312720242099E-2</v>
      </c>
      <c r="AG4835">
        <v>-7.9552999999999902E-2</v>
      </c>
      <c r="AH4835">
        <v>0.57933473417103198</v>
      </c>
      <c r="AI4835">
        <v>97.816584072632097</v>
      </c>
      <c r="AJ4835">
        <v>88.617032589056194</v>
      </c>
      <c r="AK4835">
        <v>0.58493848477385102</v>
      </c>
      <c r="AL4835">
        <v>83.9642832369763</v>
      </c>
      <c r="AM4835">
        <v>87.447052264972797</v>
      </c>
      <c r="AN4835">
        <v>0.99999997035973498</v>
      </c>
    </row>
    <row r="4836" spans="1:40" x14ac:dyDescent="0.25">
      <c r="A4836" t="str">
        <f>"20190312164406782"</f>
        <v>20190312164406782</v>
      </c>
      <c r="B4836" t="str">
        <f>"1552380246769602"</f>
        <v>1552380246769602</v>
      </c>
      <c r="C4836" t="s">
        <v>40</v>
      </c>
      <c r="D4836">
        <v>4.8457660000000002</v>
      </c>
      <c r="E4836">
        <v>0.49727379999999999</v>
      </c>
      <c r="F4836" t="s">
        <v>41</v>
      </c>
      <c r="G4836">
        <v>-266.7681</v>
      </c>
      <c r="H4836">
        <v>1.0174319999999999</v>
      </c>
      <c r="I4836">
        <v>-61.904910000000001</v>
      </c>
      <c r="J4836">
        <v>-267.47230000000002</v>
      </c>
      <c r="K4836">
        <v>1.109944</v>
      </c>
      <c r="L4836">
        <v>-61.913640000000001</v>
      </c>
      <c r="M4836">
        <v>0.9993358</v>
      </c>
      <c r="N4836">
        <v>0</v>
      </c>
      <c r="O4836">
        <v>3.5697180000000002E-2</v>
      </c>
      <c r="P4836">
        <v>0.99518059999999997</v>
      </c>
      <c r="Q4836">
        <v>9.7651230000000006E-2</v>
      </c>
      <c r="R4836">
        <v>-8.9434300000000005E-3</v>
      </c>
      <c r="S4836">
        <v>3.0476070000000002</v>
      </c>
      <c r="T4836">
        <v>-0.33127309999999999</v>
      </c>
      <c r="U4836">
        <v>5.1239010000000001E-2</v>
      </c>
      <c r="V4836">
        <v>4.4318860000000002E-2</v>
      </c>
      <c r="W4836">
        <v>0.1049886</v>
      </c>
      <c r="X4836">
        <v>0.99348539999999996</v>
      </c>
      <c r="Y4836">
        <v>1.857383E-2</v>
      </c>
      <c r="Z4836">
        <v>-4.8742389999999998E-3</v>
      </c>
      <c r="AA4836">
        <v>0.99981560000000003</v>
      </c>
      <c r="AB4836">
        <v>30</v>
      </c>
      <c r="AC4836">
        <v>0.70420000000001404</v>
      </c>
      <c r="AD4836">
        <v>-9.2512000000000094E-2</v>
      </c>
      <c r="AE4836">
        <v>8.7299999999998993E-3</v>
      </c>
      <c r="AF4836">
        <v>1.6135756272344998E-2</v>
      </c>
      <c r="AG4836">
        <v>-9.2512000000000094E-2</v>
      </c>
      <c r="AH4836">
        <v>0.69211966000888803</v>
      </c>
      <c r="AI4836">
        <v>97.611255642314205</v>
      </c>
      <c r="AJ4836">
        <v>88.664474736541194</v>
      </c>
      <c r="AK4836">
        <v>0.698461492528614</v>
      </c>
      <c r="AL4836">
        <v>83.973490264684102</v>
      </c>
      <c r="AM4836">
        <v>87.4457588975297</v>
      </c>
      <c r="AN4836">
        <v>1.0000000037473999</v>
      </c>
    </row>
    <row r="4837" spans="1:40" x14ac:dyDescent="0.25">
      <c r="A4837" t="str">
        <f>"20190312164406791"</f>
        <v>20190312164406791</v>
      </c>
      <c r="B4837" t="str">
        <f>"1552380246779363"</f>
        <v>1552380246779363</v>
      </c>
      <c r="C4837" t="s">
        <v>40</v>
      </c>
      <c r="D4837">
        <v>4.9582819999999996</v>
      </c>
      <c r="E4837">
        <v>0.49738929999999998</v>
      </c>
      <c r="F4837" t="s">
        <v>41</v>
      </c>
      <c r="G4837">
        <v>-266.50490000000002</v>
      </c>
      <c r="H4837">
        <v>1.005128</v>
      </c>
      <c r="I4837">
        <v>-61.897379999999998</v>
      </c>
      <c r="J4837">
        <v>-267.3458</v>
      </c>
      <c r="K4837">
        <v>1.1098589999999999</v>
      </c>
      <c r="L4837">
        <v>-61.908909999999999</v>
      </c>
      <c r="M4837">
        <v>0.99933190000000005</v>
      </c>
      <c r="N4837">
        <v>0</v>
      </c>
      <c r="O4837">
        <v>3.5809680000000003E-2</v>
      </c>
      <c r="P4837">
        <v>0.99522440000000001</v>
      </c>
      <c r="Q4837">
        <v>9.7249349999999998E-2</v>
      </c>
      <c r="R4837">
        <v>-8.4232089999999992E-3</v>
      </c>
      <c r="S4837">
        <v>3.0473940000000002</v>
      </c>
      <c r="T4837">
        <v>-0.33014850000000001</v>
      </c>
      <c r="U4837">
        <v>5.1422120000000002E-2</v>
      </c>
      <c r="V4837">
        <v>4.3934000000000001E-2</v>
      </c>
      <c r="W4837">
        <v>0.1045647</v>
      </c>
      <c r="X4837">
        <v>0.99354719999999996</v>
      </c>
      <c r="Y4837">
        <v>1.8626299999999998E-2</v>
      </c>
      <c r="Z4837">
        <v>-4.8731010000000003E-3</v>
      </c>
      <c r="AA4837">
        <v>0.9998146</v>
      </c>
      <c r="AB4837">
        <v>30</v>
      </c>
      <c r="AC4837">
        <v>0.840899999999976</v>
      </c>
      <c r="AD4837">
        <v>-0.10473099999999901</v>
      </c>
      <c r="AE4837">
        <v>1.1529999999993301E-2</v>
      </c>
      <c r="AF4837">
        <v>1.8306644304352301E-2</v>
      </c>
      <c r="AG4837">
        <v>-0.10473099999999901</v>
      </c>
      <c r="AH4837">
        <v>0.82793322911209699</v>
      </c>
      <c r="AI4837">
        <v>97.207704998987396</v>
      </c>
      <c r="AJ4837">
        <v>88.733324703512807</v>
      </c>
      <c r="AK4837">
        <v>0.83473178174469298</v>
      </c>
      <c r="AL4837">
        <v>83.997912382368298</v>
      </c>
      <c r="AM4837">
        <v>87.4680679397718</v>
      </c>
      <c r="AN4837">
        <v>1.0000000057349601</v>
      </c>
    </row>
    <row r="4838" spans="1:40" x14ac:dyDescent="0.25">
      <c r="A4838" t="str">
        <f>"20190312164406803"</f>
        <v>20190312164406803</v>
      </c>
      <c r="B4838" t="str">
        <f>"1552380246799858"</f>
        <v>1552380246799858</v>
      </c>
      <c r="C4838" t="s">
        <v>40</v>
      </c>
      <c r="D4838">
        <v>4.8146250000000004</v>
      </c>
      <c r="E4838">
        <v>0.49753350000000002</v>
      </c>
      <c r="F4838" t="s">
        <v>41</v>
      </c>
      <c r="G4838">
        <v>-266.49869999999999</v>
      </c>
      <c r="H4838">
        <v>1.0178879999999999</v>
      </c>
      <c r="I4838">
        <v>-61.894629999999999</v>
      </c>
      <c r="J4838">
        <v>-267.18259999999998</v>
      </c>
      <c r="K4838">
        <v>1.1097509999999999</v>
      </c>
      <c r="L4838">
        <v>-61.902859999999997</v>
      </c>
      <c r="M4838">
        <v>0.99932759999999998</v>
      </c>
      <c r="N4838">
        <v>0</v>
      </c>
      <c r="O4838">
        <v>3.5935120000000001E-2</v>
      </c>
      <c r="P4838">
        <v>0.99531610000000004</v>
      </c>
      <c r="Q4838">
        <v>9.6349900000000002E-2</v>
      </c>
      <c r="R4838">
        <v>-7.9071149999999993E-3</v>
      </c>
      <c r="S4838">
        <v>3.0471189999999999</v>
      </c>
      <c r="T4838">
        <v>-0.33078469999999999</v>
      </c>
      <c r="U4838">
        <v>5.160522E-2</v>
      </c>
      <c r="V4838">
        <v>4.3573750000000001E-2</v>
      </c>
      <c r="W4838">
        <v>0.10363799999999999</v>
      </c>
      <c r="X4838">
        <v>0.99366019999999999</v>
      </c>
      <c r="Y4838">
        <v>1.8687829999999999E-2</v>
      </c>
      <c r="Z4838">
        <v>-4.8997679999999997E-3</v>
      </c>
      <c r="AA4838">
        <v>0.99981339999999996</v>
      </c>
      <c r="AB4838">
        <v>30</v>
      </c>
      <c r="AC4838">
        <v>0.68389999999999396</v>
      </c>
      <c r="AD4838">
        <v>-9.1863E-2</v>
      </c>
      <c r="AE4838">
        <v>8.2299999999904099E-3</v>
      </c>
      <c r="AF4838">
        <v>1.6062235405075599E-2</v>
      </c>
      <c r="AG4838">
        <v>-9.1863E-2</v>
      </c>
      <c r="AH4838">
        <v>0.67163776554989996</v>
      </c>
      <c r="AI4838">
        <v>97.786083578762799</v>
      </c>
      <c r="AJ4838">
        <v>88.630031011727894</v>
      </c>
      <c r="AK4838">
        <v>0.67808118561723096</v>
      </c>
      <c r="AL4838">
        <v>84.051298709398495</v>
      </c>
      <c r="AM4838">
        <v>87.489087798695806</v>
      </c>
      <c r="AN4838">
        <v>1.00000004989855</v>
      </c>
    </row>
    <row r="4839" spans="1:40" x14ac:dyDescent="0.25">
      <c r="A4839" t="str">
        <f>"20190312164406814"</f>
        <v>20190312164406814</v>
      </c>
      <c r="B4839" t="str">
        <f>"1552380246809617"</f>
        <v>1552380246809617</v>
      </c>
      <c r="C4839" t="s">
        <v>40</v>
      </c>
      <c r="D4839">
        <v>4.7556070000000004</v>
      </c>
      <c r="E4839">
        <v>0.49758019999999997</v>
      </c>
      <c r="F4839" t="s">
        <v>41</v>
      </c>
      <c r="G4839">
        <v>-266.23410000000001</v>
      </c>
      <c r="H4839">
        <v>1.0069189999999999</v>
      </c>
      <c r="I4839">
        <v>-61.886830000000003</v>
      </c>
      <c r="J4839">
        <v>-267.03250000000003</v>
      </c>
      <c r="K4839">
        <v>1.109658</v>
      </c>
      <c r="L4839">
        <v>-61.89734</v>
      </c>
      <c r="M4839">
        <v>0.99932619999999905</v>
      </c>
      <c r="N4839">
        <v>0</v>
      </c>
      <c r="O4839">
        <v>3.597798E-2</v>
      </c>
      <c r="P4839">
        <v>0.99535799999999997</v>
      </c>
      <c r="Q4839">
        <v>9.5936660000000007E-2</v>
      </c>
      <c r="R4839">
        <v>-7.6659629999999996E-3</v>
      </c>
      <c r="S4839">
        <v>3.0465390000000001</v>
      </c>
      <c r="T4839">
        <v>-0.33025840000000001</v>
      </c>
      <c r="U4839">
        <v>5.1452640000000001E-2</v>
      </c>
      <c r="V4839">
        <v>4.3399090000000001E-2</v>
      </c>
      <c r="W4839">
        <v>0.1032021</v>
      </c>
      <c r="X4839">
        <v>0.99371310000000002</v>
      </c>
      <c r="Y4839">
        <v>1.877767E-2</v>
      </c>
      <c r="Z4839">
        <v>-4.9024300000000002E-3</v>
      </c>
      <c r="AA4839">
        <v>0.99981160000000002</v>
      </c>
      <c r="AB4839">
        <v>30</v>
      </c>
      <c r="AC4839">
        <v>0.79840000000001499</v>
      </c>
      <c r="AD4839">
        <v>-0.102738999999999</v>
      </c>
      <c r="AE4839">
        <v>1.0509999999996401E-2</v>
      </c>
      <c r="AF4839">
        <v>1.7925605711917501E-2</v>
      </c>
      <c r="AG4839">
        <v>-0.102738999999999</v>
      </c>
      <c r="AH4839">
        <v>0.78526047270592703</v>
      </c>
      <c r="AI4839">
        <v>97.451994709478896</v>
      </c>
      <c r="AJ4839">
        <v>88.692302435021702</v>
      </c>
      <c r="AK4839">
        <v>0.79215569142402498</v>
      </c>
      <c r="AL4839">
        <v>84.0764079289535</v>
      </c>
      <c r="AM4839">
        <v>87.499272639828106</v>
      </c>
      <c r="AN4839">
        <v>0.99999993978442203</v>
      </c>
    </row>
    <row r="4840" spans="1:40" x14ac:dyDescent="0.25">
      <c r="A4840" t="str">
        <f>"20190312164406827"</f>
        <v>20190312164406827</v>
      </c>
      <c r="B4840" t="str">
        <f>"1552380246819377"</f>
        <v>1552380246819377</v>
      </c>
      <c r="C4840" t="s">
        <v>40</v>
      </c>
      <c r="D4840">
        <v>4.8441809999999998</v>
      </c>
      <c r="E4840">
        <v>0.49763760000000001</v>
      </c>
      <c r="F4840" t="s">
        <v>41</v>
      </c>
      <c r="G4840">
        <v>-266.22669999999999</v>
      </c>
      <c r="H4840">
        <v>1.0224230000000001</v>
      </c>
      <c r="I4840">
        <v>-61.883769999999998</v>
      </c>
      <c r="J4840">
        <v>-266.87020000000001</v>
      </c>
      <c r="K4840">
        <v>1.1095630000000001</v>
      </c>
      <c r="L4840">
        <v>-61.891390000000001</v>
      </c>
      <c r="M4840">
        <v>0.99932619999999905</v>
      </c>
      <c r="N4840">
        <v>0</v>
      </c>
      <c r="O4840">
        <v>3.5981579999999999E-2</v>
      </c>
      <c r="P4840">
        <v>0.99541950000000001</v>
      </c>
      <c r="Q4840">
        <v>9.5291730000000005E-2</v>
      </c>
      <c r="R4840">
        <v>-7.7138450000000004E-3</v>
      </c>
      <c r="S4840">
        <v>3.046173</v>
      </c>
      <c r="T4840">
        <v>-0.3297079</v>
      </c>
      <c r="U4840">
        <v>5.1269530000000001E-2</v>
      </c>
      <c r="V4840">
        <v>4.3476090000000002E-2</v>
      </c>
      <c r="W4840">
        <v>0.1025339</v>
      </c>
      <c r="X4840">
        <v>0.99377890000000002</v>
      </c>
      <c r="Y4840">
        <v>1.8839930000000001E-2</v>
      </c>
      <c r="Z4840">
        <v>-4.8986419999999999E-3</v>
      </c>
      <c r="AA4840">
        <v>0.99981050000000005</v>
      </c>
      <c r="AB4840">
        <v>30</v>
      </c>
      <c r="AC4840">
        <v>0.64350000000001695</v>
      </c>
      <c r="AD4840">
        <v>-8.7139999999999995E-2</v>
      </c>
      <c r="AE4840">
        <v>7.6200000000028398E-3</v>
      </c>
      <c r="AF4840">
        <v>1.52599009529557E-2</v>
      </c>
      <c r="AG4840">
        <v>-8.7139999999999995E-2</v>
      </c>
      <c r="AH4840">
        <v>0.63177399379080501</v>
      </c>
      <c r="AI4840">
        <v>97.850941609409006</v>
      </c>
      <c r="AJ4840">
        <v>88.616343889505998</v>
      </c>
      <c r="AK4840">
        <v>0.63793778960606995</v>
      </c>
      <c r="AL4840">
        <v>84.114897137643993</v>
      </c>
      <c r="AM4840">
        <v>87.495007080039997</v>
      </c>
      <c r="AN4840">
        <v>0.99999993656805197</v>
      </c>
    </row>
    <row r="4841" spans="1:40" x14ac:dyDescent="0.25">
      <c r="A4841" t="str">
        <f>"20190312164406837"</f>
        <v>20190312164406837</v>
      </c>
      <c r="B4841" t="str">
        <f>"1552380246830114"</f>
        <v>1552380246830114</v>
      </c>
      <c r="C4841" t="s">
        <v>40</v>
      </c>
      <c r="D4841">
        <v>4.9547569999999999</v>
      </c>
      <c r="E4841">
        <v>0.49772499999999997</v>
      </c>
      <c r="F4841" t="s">
        <v>41</v>
      </c>
      <c r="G4841">
        <v>-265.96129999999999</v>
      </c>
      <c r="H4841">
        <v>1.0111330000000001</v>
      </c>
      <c r="I4841">
        <v>-61.876719999999999</v>
      </c>
      <c r="J4841">
        <v>-266.71800000000002</v>
      </c>
      <c r="K4841">
        <v>1.109477</v>
      </c>
      <c r="L4841">
        <v>-61.885860000000001</v>
      </c>
      <c r="M4841">
        <v>0.99932770000000004</v>
      </c>
      <c r="N4841">
        <v>0</v>
      </c>
      <c r="O4841">
        <v>3.593905E-2</v>
      </c>
      <c r="P4841">
        <v>0.99544679999999997</v>
      </c>
      <c r="Q4841">
        <v>9.5010129999999998E-2</v>
      </c>
      <c r="R4841">
        <v>-7.6841569999999996E-3</v>
      </c>
      <c r="S4841">
        <v>3.045776</v>
      </c>
      <c r="T4841">
        <v>-0.32981199999999999</v>
      </c>
      <c r="U4841">
        <v>5.0079350000000002E-2</v>
      </c>
      <c r="V4841">
        <v>4.34253E-2</v>
      </c>
      <c r="W4841">
        <v>0.10223169999999999</v>
      </c>
      <c r="X4841">
        <v>0.99381229999999998</v>
      </c>
      <c r="Y4841">
        <v>1.918371E-2</v>
      </c>
      <c r="Z4841">
        <v>-4.9148050000000004E-3</v>
      </c>
      <c r="AA4841">
        <v>0.99980389999999997</v>
      </c>
      <c r="AB4841">
        <v>30</v>
      </c>
      <c r="AC4841">
        <v>0.75670000000002302</v>
      </c>
      <c r="AD4841">
        <v>-9.8344000000000001E-2</v>
      </c>
      <c r="AE4841">
        <v>9.1400000000021395E-3</v>
      </c>
      <c r="AF4841">
        <v>1.7761733599287201E-2</v>
      </c>
      <c r="AG4841">
        <v>-9.8344000000000001E-2</v>
      </c>
      <c r="AH4841">
        <v>0.74397517889054099</v>
      </c>
      <c r="AI4841">
        <v>97.527992017895002</v>
      </c>
      <c r="AJ4841">
        <v>88.632374951936001</v>
      </c>
      <c r="AK4841">
        <v>0.75065710435701904</v>
      </c>
      <c r="AL4841">
        <v>84.132303661830903</v>
      </c>
      <c r="AM4841">
        <v>87.498013745128304</v>
      </c>
      <c r="AN4841">
        <v>0.99999998239813404</v>
      </c>
    </row>
    <row r="4842" spans="1:40" x14ac:dyDescent="0.25">
      <c r="A4842" t="str">
        <f>"20190312164406848"</f>
        <v>20190312164406848</v>
      </c>
      <c r="B4842" t="str">
        <f>"1552380246839873"</f>
        <v>1552380246839873</v>
      </c>
      <c r="C4842" t="s">
        <v>40</v>
      </c>
      <c r="D4842">
        <v>4.7338889999999996</v>
      </c>
      <c r="E4842">
        <v>0.49780020000000003</v>
      </c>
      <c r="F4842" t="s">
        <v>41</v>
      </c>
      <c r="G4842">
        <v>-265.9538</v>
      </c>
      <c r="H4842">
        <v>1.026843</v>
      </c>
      <c r="I4842">
        <v>-61.873719999999999</v>
      </c>
      <c r="J4842">
        <v>-266.57420000000002</v>
      </c>
      <c r="K4842">
        <v>1.1093999999999999</v>
      </c>
      <c r="L4842">
        <v>-61.880710000000001</v>
      </c>
      <c r="M4842">
        <v>0.99933139999999998</v>
      </c>
      <c r="N4842">
        <v>0</v>
      </c>
      <c r="O4842">
        <v>3.5843140000000002E-2</v>
      </c>
      <c r="P4842">
        <v>0.99543219999999999</v>
      </c>
      <c r="Q4842">
        <v>9.5134540000000004E-2</v>
      </c>
      <c r="R4842">
        <v>-8.0327780000000008E-3</v>
      </c>
      <c r="S4842">
        <v>3.045563</v>
      </c>
      <c r="T4842">
        <v>-0.32929639999999999</v>
      </c>
      <c r="U4842">
        <v>4.9499509999999997E-2</v>
      </c>
      <c r="V4842">
        <v>4.3696249999999999E-2</v>
      </c>
      <c r="W4842">
        <v>0.102338</v>
      </c>
      <c r="X4842">
        <v>0.99378949999999999</v>
      </c>
      <c r="Y4842">
        <v>1.9277869999999999E-2</v>
      </c>
      <c r="Z4842">
        <v>-4.902259E-3</v>
      </c>
      <c r="AA4842">
        <v>0.99980219999999997</v>
      </c>
      <c r="AB4842">
        <v>30</v>
      </c>
      <c r="AC4842">
        <v>0.62040000000001705</v>
      </c>
      <c r="AD4842">
        <v>-8.2556999999999894E-2</v>
      </c>
      <c r="AE4842">
        <v>6.9900000000018203E-3</v>
      </c>
      <c r="AF4842">
        <v>1.4986804874769199E-2</v>
      </c>
      <c r="AG4842">
        <v>-8.2556999999999894E-2</v>
      </c>
      <c r="AH4842">
        <v>0.60946104281107205</v>
      </c>
      <c r="AI4842">
        <v>97.711972555051105</v>
      </c>
      <c r="AJ4842">
        <v>88.591365822822397</v>
      </c>
      <c r="AK4842">
        <v>0.61520974088006297</v>
      </c>
      <c r="AL4842">
        <v>84.126181108230497</v>
      </c>
      <c r="AM4842">
        <v>87.4823650649614</v>
      </c>
      <c r="AN4842">
        <v>0.99999999940915596</v>
      </c>
    </row>
    <row r="4843" spans="1:40" x14ac:dyDescent="0.25">
      <c r="A4843" t="str">
        <f>"20190312164406858"</f>
        <v>20190312164406858</v>
      </c>
      <c r="B4843" t="str">
        <f>"1552380246849634"</f>
        <v>1552380246849634</v>
      </c>
      <c r="C4843" t="s">
        <v>40</v>
      </c>
      <c r="D4843">
        <v>4.7315290000000001</v>
      </c>
      <c r="E4843">
        <v>0.49793470000000001</v>
      </c>
      <c r="F4843" t="s">
        <v>41</v>
      </c>
      <c r="G4843">
        <v>-265.6884</v>
      </c>
      <c r="H4843">
        <v>1.0141789999999999</v>
      </c>
      <c r="I4843">
        <v>-61.866999999999997</v>
      </c>
      <c r="J4843">
        <v>-266.42959999999999</v>
      </c>
      <c r="K4843">
        <v>1.109326</v>
      </c>
      <c r="L4843">
        <v>-61.875549999999997</v>
      </c>
      <c r="M4843">
        <v>0.99933570000000005</v>
      </c>
      <c r="N4843">
        <v>0</v>
      </c>
      <c r="O4843">
        <v>3.5722480000000001E-2</v>
      </c>
      <c r="P4843">
        <v>0.99539129999999998</v>
      </c>
      <c r="Q4843">
        <v>9.5527130000000002E-2</v>
      </c>
      <c r="R4843">
        <v>-8.4185619999999992E-3</v>
      </c>
      <c r="S4843">
        <v>3.045471</v>
      </c>
      <c r="T4843">
        <v>-0.32724560000000003</v>
      </c>
      <c r="U4843">
        <v>4.7729489999999999E-2</v>
      </c>
      <c r="V4843">
        <v>4.3978860000000002E-2</v>
      </c>
      <c r="W4843">
        <v>0.1027127</v>
      </c>
      <c r="X4843">
        <v>0.99373840000000002</v>
      </c>
      <c r="Y4843">
        <v>1.973958E-2</v>
      </c>
      <c r="Z4843">
        <v>-4.8838980000000002E-3</v>
      </c>
      <c r="AA4843">
        <v>0.99979320000000005</v>
      </c>
      <c r="AB4843">
        <v>30</v>
      </c>
      <c r="AC4843">
        <v>0.74119999999999198</v>
      </c>
      <c r="AD4843">
        <v>-9.5146999999999801E-2</v>
      </c>
      <c r="AE4843">
        <v>8.54999999999961E-3</v>
      </c>
      <c r="AF4843">
        <v>1.76429568651011E-2</v>
      </c>
      <c r="AG4843">
        <v>-9.5146999999999801E-2</v>
      </c>
      <c r="AH4843">
        <v>0.729020721817768</v>
      </c>
      <c r="AI4843">
        <v>97.433686877539699</v>
      </c>
      <c r="AJ4843">
        <v>88.613661235950602</v>
      </c>
      <c r="AK4843">
        <v>0.73541514695826304</v>
      </c>
      <c r="AL4843">
        <v>84.104598789456006</v>
      </c>
      <c r="AM4843">
        <v>87.465973028392</v>
      </c>
      <c r="AN4843">
        <v>1.0000000232513699</v>
      </c>
    </row>
    <row r="4844" spans="1:40" x14ac:dyDescent="0.25">
      <c r="A4844" t="str">
        <f>"20190312164406870"</f>
        <v>20190312164406870</v>
      </c>
      <c r="B4844" t="str">
        <f>"1552380246859394"</f>
        <v>1552380246859394</v>
      </c>
      <c r="C4844" t="s">
        <v>40</v>
      </c>
      <c r="D4844">
        <v>4.8870950000000004</v>
      </c>
      <c r="E4844">
        <v>0.49810339999999997</v>
      </c>
      <c r="F4844" t="s">
        <v>41</v>
      </c>
      <c r="G4844">
        <v>-265.68090000000001</v>
      </c>
      <c r="H4844">
        <v>1.0296459999999901</v>
      </c>
      <c r="I4844">
        <v>-61.864620000000002</v>
      </c>
      <c r="J4844">
        <v>-266.28199999999998</v>
      </c>
      <c r="K4844">
        <v>1.1092519999999999</v>
      </c>
      <c r="L4844">
        <v>-61.870359999999998</v>
      </c>
      <c r="M4844">
        <v>0.99934230000000002</v>
      </c>
      <c r="N4844">
        <v>0</v>
      </c>
      <c r="O4844">
        <v>3.5536779999999997E-2</v>
      </c>
      <c r="P4844">
        <v>0.99529140000000005</v>
      </c>
      <c r="Q4844">
        <v>9.6538600000000002E-2</v>
      </c>
      <c r="R4844">
        <v>-8.6702469999999903E-3</v>
      </c>
      <c r="S4844">
        <v>3.04541</v>
      </c>
      <c r="T4844">
        <v>-0.32401029999999997</v>
      </c>
      <c r="U4844">
        <v>4.5166020000000001E-2</v>
      </c>
      <c r="V4844">
        <v>4.4060929999999998E-2</v>
      </c>
      <c r="W4844">
        <v>0.1037063</v>
      </c>
      <c r="X4844">
        <v>0.9936315</v>
      </c>
      <c r="Y4844">
        <v>2.0398429999999999E-2</v>
      </c>
      <c r="Z4844">
        <v>-4.8512850000000003E-3</v>
      </c>
      <c r="AA4844">
        <v>0.99978020000000001</v>
      </c>
      <c r="AB4844">
        <v>30</v>
      </c>
      <c r="AC4844">
        <v>0.60109999999997399</v>
      </c>
      <c r="AD4844">
        <v>-7.9606000000000204E-2</v>
      </c>
      <c r="AE4844">
        <v>5.7400000000029597E-3</v>
      </c>
      <c r="AF4844">
        <v>1.53560398540049E-2</v>
      </c>
      <c r="AG4844">
        <v>-7.9606000000000204E-2</v>
      </c>
      <c r="AH4844">
        <v>0.59056743481177498</v>
      </c>
      <c r="AI4844">
        <v>97.674393124564006</v>
      </c>
      <c r="AJ4844">
        <v>88.510520539139407</v>
      </c>
      <c r="AK4844">
        <v>0.59610638166031904</v>
      </c>
      <c r="AL4844">
        <v>84.047363669831299</v>
      </c>
      <c r="AM4844">
        <v>87.4609776271529</v>
      </c>
      <c r="AN4844">
        <v>0.99999996000220104</v>
      </c>
    </row>
    <row r="4845" spans="1:40" x14ac:dyDescent="0.25">
      <c r="A4845" t="str">
        <f>"20190312164406881"</f>
        <v>20190312164406881</v>
      </c>
      <c r="B4845" t="str">
        <f>"1552380246870130"</f>
        <v>1552380246870130</v>
      </c>
      <c r="C4845" t="s">
        <v>40</v>
      </c>
      <c r="D4845">
        <v>4.7584600000000004</v>
      </c>
      <c r="E4845">
        <v>0.498168</v>
      </c>
      <c r="F4845" t="s">
        <v>41</v>
      </c>
      <c r="G4845">
        <v>-265.41419999999999</v>
      </c>
      <c r="H4845">
        <v>1.0178959999999999</v>
      </c>
      <c r="I4845">
        <v>-61.858460000000001</v>
      </c>
      <c r="J4845">
        <v>-266.12959999999998</v>
      </c>
      <c r="K4845">
        <v>1.1091740000000001</v>
      </c>
      <c r="L4845">
        <v>-61.865049999999997</v>
      </c>
      <c r="M4845">
        <v>0.99934979999999995</v>
      </c>
      <c r="N4845">
        <v>0</v>
      </c>
      <c r="O4845">
        <v>3.533E-2</v>
      </c>
      <c r="P4845">
        <v>0.9952183</v>
      </c>
      <c r="Q4845">
        <v>9.7233970000000003E-2</v>
      </c>
      <c r="R4845">
        <v>-9.302299E-3</v>
      </c>
      <c r="S4845">
        <v>3.0456240000000001</v>
      </c>
      <c r="T4845">
        <v>-0.32053670000000001</v>
      </c>
      <c r="U4845">
        <v>4.2572020000000002E-2</v>
      </c>
      <c r="V4845">
        <v>4.4503540000000001E-2</v>
      </c>
      <c r="W4845">
        <v>0.1043835</v>
      </c>
      <c r="X4845">
        <v>0.99354089999999995</v>
      </c>
      <c r="Y4845">
        <v>2.1048239999999999E-2</v>
      </c>
      <c r="Z4845">
        <v>-4.8116809999999999E-3</v>
      </c>
      <c r="AA4845">
        <v>0.99976690000000001</v>
      </c>
      <c r="AB4845">
        <v>30</v>
      </c>
      <c r="AC4845">
        <v>0.71539999999998805</v>
      </c>
      <c r="AD4845">
        <v>-9.1277999999999901E-2</v>
      </c>
      <c r="AE4845">
        <v>6.5899999999956497E-3</v>
      </c>
      <c r="AF4845">
        <v>1.8390492593486601E-2</v>
      </c>
      <c r="AG4845">
        <v>-9.1277999999999901E-2</v>
      </c>
      <c r="AH4845">
        <v>0.70373094477222098</v>
      </c>
      <c r="AI4845">
        <v>97.387842048271494</v>
      </c>
      <c r="AJ4845">
        <v>88.503038911208904</v>
      </c>
      <c r="AK4845">
        <v>0.70986416033761901</v>
      </c>
      <c r="AL4845">
        <v>84.008351470408599</v>
      </c>
      <c r="AM4845">
        <v>87.435272452980797</v>
      </c>
      <c r="AN4845">
        <v>1.0000000000587901</v>
      </c>
    </row>
    <row r="4846" spans="1:40" x14ac:dyDescent="0.25">
      <c r="A4846" t="str">
        <f>"20190312164406891"</f>
        <v>20190312164406891</v>
      </c>
      <c r="B4846" t="str">
        <f>"1552380246879890"</f>
        <v>1552380246879890</v>
      </c>
      <c r="C4846" t="s">
        <v>40</v>
      </c>
      <c r="D4846">
        <v>4.6920760000000001</v>
      </c>
      <c r="E4846">
        <v>0.4982027</v>
      </c>
      <c r="F4846" t="s">
        <v>41</v>
      </c>
      <c r="G4846">
        <v>-265.1465</v>
      </c>
      <c r="H4846">
        <v>1.006486</v>
      </c>
      <c r="I4846">
        <v>-61.85219</v>
      </c>
      <c r="J4846">
        <v>-265.97919999999999</v>
      </c>
      <c r="K4846">
        <v>1.1091</v>
      </c>
      <c r="L4846">
        <v>-61.859949999999998</v>
      </c>
      <c r="M4846">
        <v>0.99935949999999996</v>
      </c>
      <c r="N4846">
        <v>0</v>
      </c>
      <c r="O4846">
        <v>3.5054929999999998E-2</v>
      </c>
      <c r="P4846">
        <v>0.99512299999999998</v>
      </c>
      <c r="Q4846">
        <v>9.8142679999999996E-2</v>
      </c>
      <c r="R4846">
        <v>-9.925194E-3</v>
      </c>
      <c r="S4846">
        <v>3.0458980000000002</v>
      </c>
      <c r="T4846">
        <v>-0.318193</v>
      </c>
      <c r="U4846">
        <v>3.988647E-2</v>
      </c>
      <c r="V4846">
        <v>4.4868379999999999E-2</v>
      </c>
      <c r="W4846">
        <v>0.10527599999999999</v>
      </c>
      <c r="X4846">
        <v>0.99343029999999999</v>
      </c>
      <c r="Y4846">
        <v>2.1658380000000001E-2</v>
      </c>
      <c r="Z4846">
        <v>-4.7794450000000002E-3</v>
      </c>
      <c r="AA4846">
        <v>0.99975400000000003</v>
      </c>
      <c r="AB4846">
        <v>30</v>
      </c>
      <c r="AC4846">
        <v>0.83269999999998801</v>
      </c>
      <c r="AD4846">
        <v>-0.102613999999999</v>
      </c>
      <c r="AE4846">
        <v>7.7599999999975397E-3</v>
      </c>
      <c r="AF4846">
        <v>2.1115143713808002E-2</v>
      </c>
      <c r="AG4846">
        <v>-0.102613999999999</v>
      </c>
      <c r="AH4846">
        <v>0.82000885453273997</v>
      </c>
      <c r="AI4846">
        <v>97.130443737390905</v>
      </c>
      <c r="AJ4846">
        <v>88.524965520213499</v>
      </c>
      <c r="AK4846">
        <v>0.82667406140639899</v>
      </c>
      <c r="AL4846">
        <v>83.956931576316805</v>
      </c>
      <c r="AM4846">
        <v>87.413987756836605</v>
      </c>
      <c r="AN4846">
        <v>0.99999998432895698</v>
      </c>
    </row>
    <row r="4847" spans="1:40" x14ac:dyDescent="0.25">
      <c r="A4847" t="str">
        <f>"20190312164406904"</f>
        <v>20190312164406904</v>
      </c>
      <c r="B4847" t="str">
        <f>"1552380246899410"</f>
        <v>1552380246899410</v>
      </c>
      <c r="C4847" t="s">
        <v>40</v>
      </c>
      <c r="D4847">
        <v>4.9691799999999997</v>
      </c>
      <c r="E4847">
        <v>0.49846020000000002</v>
      </c>
      <c r="F4847" t="s">
        <v>41</v>
      </c>
      <c r="G4847">
        <v>-265.13900000000001</v>
      </c>
      <c r="H4847">
        <v>1.0222309999999999</v>
      </c>
      <c r="I4847">
        <v>-61.84966</v>
      </c>
      <c r="J4847">
        <v>-265.81700000000001</v>
      </c>
      <c r="K4847">
        <v>1.109024</v>
      </c>
      <c r="L4847">
        <v>-61.854460000000003</v>
      </c>
      <c r="M4847">
        <v>0.99937039999999999</v>
      </c>
      <c r="N4847">
        <v>0</v>
      </c>
      <c r="O4847">
        <v>3.4742189999999999E-2</v>
      </c>
      <c r="P4847">
        <v>0.9950523</v>
      </c>
      <c r="Q4847">
        <v>9.8779729999999996E-2</v>
      </c>
      <c r="R4847">
        <v>-1.065529E-2</v>
      </c>
      <c r="S4847">
        <v>3.046173</v>
      </c>
      <c r="T4847">
        <v>-0.31496610000000003</v>
      </c>
      <c r="U4847">
        <v>3.7384029999999999E-2</v>
      </c>
      <c r="V4847">
        <v>4.5304980000000002E-2</v>
      </c>
      <c r="W4847">
        <v>0.1058962</v>
      </c>
      <c r="X4847">
        <v>0.99334460000000002</v>
      </c>
      <c r="Y4847">
        <v>2.217305E-2</v>
      </c>
      <c r="Z4847">
        <v>-4.7251519999999998E-3</v>
      </c>
      <c r="AA4847">
        <v>0.99974300000000005</v>
      </c>
      <c r="AB4847">
        <v>30</v>
      </c>
      <c r="AC4847">
        <v>0.67799999999999705</v>
      </c>
      <c r="AD4847">
        <v>-8.6793000000000106E-2</v>
      </c>
      <c r="AE4847">
        <v>4.79999999999591E-3</v>
      </c>
      <c r="AF4847">
        <v>1.84562773930926E-2</v>
      </c>
      <c r="AG4847">
        <v>-8.6793000000000106E-2</v>
      </c>
      <c r="AH4847">
        <v>0.66683037503459797</v>
      </c>
      <c r="AI4847">
        <v>97.412980990102199</v>
      </c>
      <c r="AJ4847">
        <v>88.4145939666153</v>
      </c>
      <c r="AK4847">
        <v>0.67270826373175496</v>
      </c>
      <c r="AL4847">
        <v>83.921197202106697</v>
      </c>
      <c r="AM4847">
        <v>87.388633787874795</v>
      </c>
      <c r="AN4847">
        <v>1.0000000203682</v>
      </c>
    </row>
    <row r="4848" spans="1:40" x14ac:dyDescent="0.25">
      <c r="A4848" t="str">
        <f>"20190312164406915"</f>
        <v>20190312164406915</v>
      </c>
      <c r="B4848" t="str">
        <f>"1552380246910149"</f>
        <v>1552380246910149</v>
      </c>
      <c r="C4848" t="s">
        <v>40</v>
      </c>
      <c r="D4848">
        <v>4.7748739999999996</v>
      </c>
      <c r="E4848">
        <v>0.49863180000000001</v>
      </c>
      <c r="F4848" t="s">
        <v>41</v>
      </c>
      <c r="G4848">
        <v>-264.87</v>
      </c>
      <c r="H4848">
        <v>1.011844</v>
      </c>
      <c r="I4848">
        <v>-61.844389999999997</v>
      </c>
      <c r="J4848">
        <v>-265.66149999999999</v>
      </c>
      <c r="K4848">
        <v>1.1089530000000001</v>
      </c>
      <c r="L4848">
        <v>-61.849299999999999</v>
      </c>
      <c r="M4848">
        <v>0.99938260000000001</v>
      </c>
      <c r="N4848">
        <v>0</v>
      </c>
      <c r="O4848">
        <v>3.4395530000000001E-2</v>
      </c>
      <c r="P4848">
        <v>0.99498940000000002</v>
      </c>
      <c r="Q4848">
        <v>9.9330080000000001E-2</v>
      </c>
      <c r="R4848">
        <v>-1.141023E-2</v>
      </c>
      <c r="S4848">
        <v>3.0462950000000002</v>
      </c>
      <c r="T4848">
        <v>-0.31251699999999999</v>
      </c>
      <c r="U4848">
        <v>3.2836909999999997E-2</v>
      </c>
      <c r="V4848">
        <v>4.5730710000000001E-2</v>
      </c>
      <c r="W4848">
        <v>0.106431</v>
      </c>
      <c r="X4848">
        <v>0.99326789999999998</v>
      </c>
      <c r="Y4848">
        <v>2.3319329999999999E-2</v>
      </c>
      <c r="Z4848">
        <v>-4.7116700000000003E-3</v>
      </c>
      <c r="AA4848">
        <v>0.99971690000000002</v>
      </c>
      <c r="AB4848">
        <v>31</v>
      </c>
      <c r="AC4848">
        <v>0.79149999999998499</v>
      </c>
      <c r="AD4848">
        <v>-9.7109000000000098E-2</v>
      </c>
      <c r="AE4848">
        <v>4.9099999999953001E-3</v>
      </c>
      <c r="AF4848">
        <v>2.19867178208559E-2</v>
      </c>
      <c r="AG4848">
        <v>-9.7109000000000098E-2</v>
      </c>
      <c r="AH4848">
        <v>0.77946781362928896</v>
      </c>
      <c r="AI4848">
        <v>97.0987363253182</v>
      </c>
      <c r="AJ4848">
        <v>88.384266590129599</v>
      </c>
      <c r="AK4848">
        <v>0.78580127648506504</v>
      </c>
      <c r="AL4848">
        <v>83.890381072503303</v>
      </c>
      <c r="AM4848">
        <v>87.363926024697093</v>
      </c>
      <c r="AN4848">
        <v>0.99999998838425597</v>
      </c>
    </row>
    <row r="4849" spans="1:40" x14ac:dyDescent="0.25">
      <c r="A4849" t="str">
        <f>"20190312164406927"</f>
        <v>20190312164406927</v>
      </c>
      <c r="B4849" t="str">
        <f>"1552380246919906"</f>
        <v>1552380246919906</v>
      </c>
      <c r="C4849" t="s">
        <v>40</v>
      </c>
      <c r="D4849">
        <v>4.8761710000000003</v>
      </c>
      <c r="E4849">
        <v>0.49876239999999999</v>
      </c>
      <c r="F4849" t="s">
        <v>41</v>
      </c>
      <c r="G4849">
        <v>-264.8623</v>
      </c>
      <c r="H4849">
        <v>1.0278240000000001</v>
      </c>
      <c r="I4849">
        <v>-61.841869999999901</v>
      </c>
      <c r="J4849">
        <v>-265.50299999999999</v>
      </c>
      <c r="K4849">
        <v>1.1088849999999999</v>
      </c>
      <c r="L4849">
        <v>-61.844180000000001</v>
      </c>
      <c r="M4849">
        <v>0.9993957</v>
      </c>
      <c r="N4849">
        <v>0</v>
      </c>
      <c r="O4849">
        <v>3.4012180000000003E-2</v>
      </c>
      <c r="P4849">
        <v>0.99494090000000002</v>
      </c>
      <c r="Q4849">
        <v>9.9716849999999996E-2</v>
      </c>
      <c r="R4849">
        <v>-1.2216970000000001E-2</v>
      </c>
      <c r="S4849">
        <v>3.046265</v>
      </c>
      <c r="T4849">
        <v>-0.30917719999999999</v>
      </c>
      <c r="U4849">
        <v>2.886963E-2</v>
      </c>
      <c r="V4849">
        <v>4.6172020000000001E-2</v>
      </c>
      <c r="W4849">
        <v>0.1068032</v>
      </c>
      <c r="X4849">
        <v>0.99320750000000002</v>
      </c>
      <c r="Y4849">
        <v>2.4241209999999999E-2</v>
      </c>
      <c r="Z4849">
        <v>-4.6695440000000003E-3</v>
      </c>
      <c r="AA4849">
        <v>0.99969520000000001</v>
      </c>
      <c r="AB4849">
        <v>31</v>
      </c>
      <c r="AC4849">
        <v>0.64069999999998095</v>
      </c>
      <c r="AD4849">
        <v>-8.1060999999999994E-2</v>
      </c>
      <c r="AE4849">
        <v>2.3100000000084702E-3</v>
      </c>
      <c r="AF4849">
        <v>1.9176542335485901E-2</v>
      </c>
      <c r="AG4849">
        <v>-8.1060999999999994E-2</v>
      </c>
      <c r="AH4849">
        <v>0.630318373787491</v>
      </c>
      <c r="AI4849">
        <v>97.324848703255796</v>
      </c>
      <c r="AJ4849">
        <v>88.2573947055551</v>
      </c>
      <c r="AK4849">
        <v>0.63579861420976003</v>
      </c>
      <c r="AL4849">
        <v>83.868933150287702</v>
      </c>
      <c r="AM4849">
        <v>87.338362195653801</v>
      </c>
      <c r="AN4849">
        <v>0.99999995850868395</v>
      </c>
    </row>
    <row r="4850" spans="1:40" x14ac:dyDescent="0.25">
      <c r="A4850" t="str">
        <f>"20190312164406949"</f>
        <v>20190312164406949</v>
      </c>
      <c r="B4850" t="str">
        <f>"1552380246939426"</f>
        <v>1552380246939426</v>
      </c>
      <c r="C4850" t="s">
        <v>40</v>
      </c>
      <c r="D4850">
        <v>4.7223639999999998</v>
      </c>
      <c r="E4850">
        <v>0.49902730000000001</v>
      </c>
      <c r="F4850" t="s">
        <v>41</v>
      </c>
      <c r="G4850">
        <v>-264.59269999999998</v>
      </c>
      <c r="H4850">
        <v>1.01729</v>
      </c>
      <c r="I4850">
        <v>-61.836550000000003</v>
      </c>
      <c r="J4850">
        <v>-265.19850000000002</v>
      </c>
      <c r="K4850">
        <v>1.108771</v>
      </c>
      <c r="L4850">
        <v>-61.834530000000001</v>
      </c>
      <c r="M4850">
        <v>0.99942359999999997</v>
      </c>
      <c r="N4850">
        <v>0</v>
      </c>
      <c r="O4850">
        <v>3.3182059999999999E-2</v>
      </c>
      <c r="P4850">
        <v>0.99490219999999896</v>
      </c>
      <c r="Q4850">
        <v>9.9832820000000003E-2</v>
      </c>
      <c r="R4850">
        <v>-1.4259259999999999E-2</v>
      </c>
      <c r="S4850">
        <v>3.046265</v>
      </c>
      <c r="T4850">
        <v>-0.30654670000000001</v>
      </c>
      <c r="U4850">
        <v>2.529907E-2</v>
      </c>
      <c r="V4850">
        <v>4.7416680000000003E-2</v>
      </c>
      <c r="W4850">
        <v>0.1068924</v>
      </c>
      <c r="X4850">
        <v>0.99313929999999995</v>
      </c>
      <c r="Y4850">
        <v>2.4589989999999999E-2</v>
      </c>
      <c r="Z4850">
        <v>-4.5642779999999997E-3</v>
      </c>
      <c r="AA4850">
        <v>0.9996872</v>
      </c>
      <c r="AB4850">
        <v>31</v>
      </c>
      <c r="AC4850">
        <v>0.60580000000004397</v>
      </c>
      <c r="AD4850">
        <v>-9.1480999999999896E-2</v>
      </c>
      <c r="AE4850">
        <v>-2.01999999999458E-3</v>
      </c>
      <c r="AF4850">
        <v>2.16279078356999E-2</v>
      </c>
      <c r="AG4850">
        <v>-9.1480999999999896E-2</v>
      </c>
      <c r="AH4850">
        <v>0.59190201161628198</v>
      </c>
      <c r="AI4850">
        <v>98.780025627701306</v>
      </c>
      <c r="AJ4850">
        <v>87.907361765867705</v>
      </c>
      <c r="AK4850">
        <v>0.59932005732642601</v>
      </c>
      <c r="AL4850">
        <v>83.863793183860295</v>
      </c>
      <c r="AM4850">
        <v>87.266532345031607</v>
      </c>
      <c r="AN4850">
        <v>0.99999999796223604</v>
      </c>
    </row>
    <row r="4851" spans="1:40" x14ac:dyDescent="0.25">
      <c r="A4851" t="str">
        <f>"20190312164406961"</f>
        <v>20190312164406961</v>
      </c>
      <c r="B4851" t="str">
        <f>"1552380246950161"</f>
        <v>1552380246950161</v>
      </c>
      <c r="C4851" t="s">
        <v>40</v>
      </c>
      <c r="D4851">
        <v>4.6858009999999997</v>
      </c>
      <c r="E4851">
        <v>0.49914760000000002</v>
      </c>
      <c r="F4851" t="s">
        <v>41</v>
      </c>
      <c r="G4851">
        <v>-264.31560000000002</v>
      </c>
      <c r="H4851">
        <v>1.020575</v>
      </c>
      <c r="I4851">
        <v>-61.829900000000002</v>
      </c>
      <c r="J4851">
        <v>-265.02870000000001</v>
      </c>
      <c r="K4851">
        <v>1.1087089999999999</v>
      </c>
      <c r="L4851">
        <v>-61.829279999999997</v>
      </c>
      <c r="M4851">
        <v>0.99944029999999995</v>
      </c>
      <c r="N4851">
        <v>0</v>
      </c>
      <c r="O4851">
        <v>3.2678760000000001E-2</v>
      </c>
      <c r="P4851">
        <v>0.99486649999999999</v>
      </c>
      <c r="Q4851">
        <v>0.100052</v>
      </c>
      <c r="R4851">
        <v>-1.517686E-2</v>
      </c>
      <c r="S4851">
        <v>3.0461429999999998</v>
      </c>
      <c r="T4851">
        <v>-0.30417319999999998</v>
      </c>
      <c r="U4851">
        <v>1.6876220000000001E-2</v>
      </c>
      <c r="V4851">
        <v>4.7848340000000003E-2</v>
      </c>
      <c r="W4851">
        <v>0.1070953</v>
      </c>
      <c r="X4851">
        <v>0.9930968</v>
      </c>
      <c r="Y4851">
        <v>2.684599E-2</v>
      </c>
      <c r="Z4851">
        <v>-4.5916209999999997E-3</v>
      </c>
      <c r="AA4851">
        <v>0.99962899999999999</v>
      </c>
      <c r="AB4851">
        <v>31</v>
      </c>
      <c r="AC4851">
        <v>0.71309999999999696</v>
      </c>
      <c r="AD4851">
        <v>-8.8133999999999907E-2</v>
      </c>
      <c r="AE4851">
        <v>-6.1999999999784396E-4</v>
      </c>
      <c r="AF4851">
        <v>2.3563551994966798E-2</v>
      </c>
      <c r="AG4851">
        <v>-8.8133999999999907E-2</v>
      </c>
      <c r="AH4851">
        <v>0.70197606073566798</v>
      </c>
      <c r="AI4851">
        <v>97.152128348596804</v>
      </c>
      <c r="AJ4851">
        <v>88.077448199891407</v>
      </c>
      <c r="AK4851">
        <v>0.70787939141112599</v>
      </c>
      <c r="AL4851">
        <v>83.852101138124794</v>
      </c>
      <c r="AM4851">
        <v>87.241568488827895</v>
      </c>
      <c r="AN4851">
        <v>1.00000006054654</v>
      </c>
    </row>
    <row r="4852" spans="1:40" x14ac:dyDescent="0.25">
      <c r="A4852" t="str">
        <f>"20190312164406971"</f>
        <v>20190312164406971</v>
      </c>
      <c r="B4852" t="str">
        <f>"1552380246959921"</f>
        <v>1552380246959921</v>
      </c>
      <c r="C4852" t="s">
        <v>40</v>
      </c>
      <c r="D4852">
        <v>4.6881180000000002</v>
      </c>
      <c r="E4852">
        <v>0.49926310000000002</v>
      </c>
      <c r="F4852" t="s">
        <v>41</v>
      </c>
      <c r="G4852">
        <v>-264.04379999999998</v>
      </c>
      <c r="H4852">
        <v>1.0108950000000001</v>
      </c>
      <c r="I4852">
        <v>-61.82526</v>
      </c>
      <c r="J4852">
        <v>-264.88569999999999</v>
      </c>
      <c r="K4852">
        <v>1.108662</v>
      </c>
      <c r="L4852">
        <v>-61.824979999999996</v>
      </c>
      <c r="M4852">
        <v>0.99945550000000005</v>
      </c>
      <c r="N4852">
        <v>0</v>
      </c>
      <c r="O4852">
        <v>3.2213039999999998E-2</v>
      </c>
      <c r="P4852">
        <v>0.99481059999999999</v>
      </c>
      <c r="Q4852">
        <v>0.1004598</v>
      </c>
      <c r="R4852">
        <v>-1.612452E-2</v>
      </c>
      <c r="S4852">
        <v>3.0461119999999999</v>
      </c>
      <c r="T4852">
        <v>-0.30249880000000001</v>
      </c>
      <c r="U4852">
        <v>1.293945E-2</v>
      </c>
      <c r="V4852">
        <v>4.8343079999999997E-2</v>
      </c>
      <c r="W4852">
        <v>0.10748969999999999</v>
      </c>
      <c r="X4852">
        <v>0.99303019999999997</v>
      </c>
      <c r="Y4852">
        <v>2.7673440000000001E-2</v>
      </c>
      <c r="Z4852">
        <v>-4.5614139999999997E-3</v>
      </c>
      <c r="AA4852">
        <v>0.99960660000000001</v>
      </c>
      <c r="AB4852">
        <v>31</v>
      </c>
      <c r="AC4852">
        <v>0.84190000000000897</v>
      </c>
      <c r="AD4852">
        <v>-9.7766999999999896E-2</v>
      </c>
      <c r="AE4852">
        <v>-2.79999999996505E-4</v>
      </c>
      <c r="AF4852">
        <v>2.7036112445425101E-2</v>
      </c>
      <c r="AG4852">
        <v>-9.7766999999999896E-2</v>
      </c>
      <c r="AH4852">
        <v>0.83025768439333403</v>
      </c>
      <c r="AI4852">
        <v>96.712411879068299</v>
      </c>
      <c r="AJ4852">
        <v>88.134906807511101</v>
      </c>
      <c r="AK4852">
        <v>0.83643120467815102</v>
      </c>
      <c r="AL4852">
        <v>83.829372315499398</v>
      </c>
      <c r="AM4852">
        <v>87.212905108798097</v>
      </c>
      <c r="AN4852">
        <v>1.000000033551</v>
      </c>
    </row>
    <row r="4853" spans="1:40" x14ac:dyDescent="0.25">
      <c r="A4853" t="str">
        <f>"20190312164406982"</f>
        <v>20190312164406982</v>
      </c>
      <c r="B4853" t="str">
        <f>"1552380246969682"</f>
        <v>1552380246969682</v>
      </c>
      <c r="C4853" t="s">
        <v>40</v>
      </c>
      <c r="D4853">
        <v>4.7436939999999996</v>
      </c>
      <c r="E4853">
        <v>0.49939919999999999</v>
      </c>
      <c r="F4853" t="s">
        <v>41</v>
      </c>
      <c r="G4853">
        <v>-264.03699999999998</v>
      </c>
      <c r="H4853">
        <v>1.025018</v>
      </c>
      <c r="I4853">
        <v>-61.822659999999999</v>
      </c>
      <c r="J4853">
        <v>-264.7509</v>
      </c>
      <c r="K4853">
        <v>1.108614</v>
      </c>
      <c r="L4853">
        <v>-61.821010000000001</v>
      </c>
      <c r="M4853">
        <v>0.99946950000000001</v>
      </c>
      <c r="N4853">
        <v>0</v>
      </c>
      <c r="O4853">
        <v>3.177257E-2</v>
      </c>
      <c r="P4853">
        <v>0.9947703</v>
      </c>
      <c r="Q4853">
        <v>0.10071280000000001</v>
      </c>
      <c r="R4853">
        <v>-1.7002759999999999E-2</v>
      </c>
      <c r="S4853">
        <v>3.0461119999999999</v>
      </c>
      <c r="T4853">
        <v>-0.30016789999999999</v>
      </c>
      <c r="U4853">
        <v>8.8806149999999997E-3</v>
      </c>
      <c r="V4853">
        <v>4.879298E-2</v>
      </c>
      <c r="W4853">
        <v>0.10772959999999999</v>
      </c>
      <c r="X4853">
        <v>0.99298209999999998</v>
      </c>
      <c r="Y4853">
        <v>2.8567120000000001E-2</v>
      </c>
      <c r="Z4853">
        <v>-4.5271060000000004E-3</v>
      </c>
      <c r="AA4853">
        <v>0.99958159999999896</v>
      </c>
      <c r="AB4853">
        <v>31</v>
      </c>
      <c r="AC4853">
        <v>0.71389999999996601</v>
      </c>
      <c r="AD4853">
        <v>-8.3596000000000004E-2</v>
      </c>
      <c r="AE4853">
        <v>-1.64999999999793E-3</v>
      </c>
      <c r="AF4853">
        <v>2.40030608362862E-2</v>
      </c>
      <c r="AG4853">
        <v>-8.3596000000000004E-2</v>
      </c>
      <c r="AH4853">
        <v>0.70383627498521095</v>
      </c>
      <c r="AI4853">
        <v>96.769500706340096</v>
      </c>
      <c r="AJ4853">
        <v>88.046788235534294</v>
      </c>
      <c r="AK4853">
        <v>0.70918963622614295</v>
      </c>
      <c r="AL4853">
        <v>83.815546172598602</v>
      </c>
      <c r="AM4853">
        <v>87.186872717825196</v>
      </c>
      <c r="AN4853">
        <v>0.99999993626692296</v>
      </c>
    </row>
    <row r="4854" spans="1:40" x14ac:dyDescent="0.25">
      <c r="A4854" t="str">
        <f>"20190312164407005"</f>
        <v>20190312164407005</v>
      </c>
      <c r="B4854" t="str">
        <f>"1552380246999938"</f>
        <v>1552380246999938</v>
      </c>
      <c r="C4854" t="s">
        <v>40</v>
      </c>
      <c r="D4854">
        <v>4.7525519999999997</v>
      </c>
      <c r="E4854">
        <v>0.49976179999999898</v>
      </c>
      <c r="F4854" t="s">
        <v>41</v>
      </c>
      <c r="G4854">
        <v>-263.76620000000003</v>
      </c>
      <c r="H4854">
        <v>1.012043</v>
      </c>
      <c r="I4854">
        <v>-61.819580000000002</v>
      </c>
      <c r="J4854">
        <v>-264.42649999999998</v>
      </c>
      <c r="K4854">
        <v>1.1085100000000001</v>
      </c>
      <c r="L4854">
        <v>-61.811770000000003</v>
      </c>
      <c r="M4854">
        <v>0.99950609999999995</v>
      </c>
      <c r="N4854">
        <v>0</v>
      </c>
      <c r="O4854">
        <v>3.0611639999999999E-2</v>
      </c>
      <c r="P4854">
        <v>0.99471560000000003</v>
      </c>
      <c r="Q4854">
        <v>0.1008421</v>
      </c>
      <c r="R4854">
        <v>-1.9290189999999999E-2</v>
      </c>
      <c r="S4854">
        <v>3.0460820000000002</v>
      </c>
      <c r="T4854">
        <v>-0.29863980000000001</v>
      </c>
      <c r="U4854">
        <v>4.8217770000000002E-3</v>
      </c>
      <c r="V4854">
        <v>4.9947789999999999E-2</v>
      </c>
      <c r="W4854">
        <v>0.1078244</v>
      </c>
      <c r="X4854">
        <v>0.99291439999999997</v>
      </c>
      <c r="Y4854">
        <v>2.8745630000000001E-2</v>
      </c>
      <c r="Z4854">
        <v>-4.3994610000000003E-3</v>
      </c>
      <c r="AA4854">
        <v>0.9995771</v>
      </c>
      <c r="AB4854">
        <v>31</v>
      </c>
      <c r="AC4854">
        <v>0.66029999999994904</v>
      </c>
      <c r="AD4854">
        <v>-9.6466999999999997E-2</v>
      </c>
      <c r="AE4854">
        <v>-7.8100000000063102E-3</v>
      </c>
      <c r="AF4854">
        <v>2.7434242408817099E-2</v>
      </c>
      <c r="AG4854">
        <v>-9.6466999999999997E-2</v>
      </c>
      <c r="AH4854">
        <v>0.64596591391499603</v>
      </c>
      <c r="AI4854">
        <v>98.486106235361106</v>
      </c>
      <c r="AJ4854">
        <v>87.568103474090606</v>
      </c>
      <c r="AK4854">
        <v>0.65370519478246603</v>
      </c>
      <c r="AL4854">
        <v>83.810082758377504</v>
      </c>
      <c r="AM4854">
        <v>87.120207662575297</v>
      </c>
      <c r="AN4854">
        <v>0.99999994434429995</v>
      </c>
    </row>
    <row r="4855" spans="1:40" x14ac:dyDescent="0.25">
      <c r="A4855" t="str">
        <f>"20190312164407016"</f>
        <v>20190312164407016</v>
      </c>
      <c r="B4855" t="str">
        <f>"1552380247009698"</f>
        <v>1552380247009698</v>
      </c>
      <c r="C4855" t="s">
        <v>40</v>
      </c>
      <c r="D4855">
        <v>4.8649529999999999</v>
      </c>
      <c r="E4855">
        <v>0.51232900000000003</v>
      </c>
      <c r="F4855" t="s">
        <v>41</v>
      </c>
      <c r="G4855">
        <v>-263.48599999999999</v>
      </c>
      <c r="H4855">
        <v>1.016589</v>
      </c>
      <c r="I4855">
        <v>-61.813490000000002</v>
      </c>
      <c r="J4855">
        <v>-264.26069999999999</v>
      </c>
      <c r="K4855">
        <v>1.10846</v>
      </c>
      <c r="L4855">
        <v>-61.807250000000003</v>
      </c>
      <c r="M4855">
        <v>0.9995252</v>
      </c>
      <c r="N4855">
        <v>0</v>
      </c>
      <c r="O4855">
        <v>2.998286E-2</v>
      </c>
      <c r="P4855">
        <v>0.99468639999999997</v>
      </c>
      <c r="Q4855">
        <v>0.10088</v>
      </c>
      <c r="R4855">
        <v>-2.0555629999999998E-2</v>
      </c>
      <c r="S4855">
        <v>3.0460210000000001</v>
      </c>
      <c r="T4855">
        <v>-0.29767379999999999</v>
      </c>
      <c r="U4855">
        <v>-5.2490230000000002E-3</v>
      </c>
      <c r="V4855">
        <v>5.0598579999999997E-2</v>
      </c>
      <c r="W4855">
        <v>0.1078424</v>
      </c>
      <c r="X4855">
        <v>0.99287959999999997</v>
      </c>
      <c r="Y4855">
        <v>3.1413580000000003E-2</v>
      </c>
      <c r="Z4855">
        <v>-4.4541939999999999E-3</v>
      </c>
      <c r="AA4855">
        <v>0.99949650000000001</v>
      </c>
      <c r="AB4855">
        <v>31</v>
      </c>
      <c r="AC4855">
        <v>0.77469999999999495</v>
      </c>
      <c r="AD4855">
        <v>-9.1870999999999994E-2</v>
      </c>
      <c r="AE4855">
        <v>-6.23999999999824E-3</v>
      </c>
      <c r="AF4855">
        <v>2.9056889836377699E-2</v>
      </c>
      <c r="AG4855">
        <v>-9.1870999999999994E-2</v>
      </c>
      <c r="AH4855">
        <v>0.76342889393027802</v>
      </c>
      <c r="AI4855">
        <v>96.857056628614998</v>
      </c>
      <c r="AJ4855">
        <v>87.820315753050295</v>
      </c>
      <c r="AK4855">
        <v>0.76948571109252695</v>
      </c>
      <c r="AL4855">
        <v>83.809046040867102</v>
      </c>
      <c r="AM4855">
        <v>87.082648007996895</v>
      </c>
      <c r="AN4855">
        <v>1.00000004981596</v>
      </c>
    </row>
    <row r="4856" spans="1:40" x14ac:dyDescent="0.25">
      <c r="A4856" t="str">
        <f>"20190312164407028"</f>
        <v>20190312164407028</v>
      </c>
      <c r="B4856" t="str">
        <f>"1552380247019458"</f>
        <v>1552380247019458</v>
      </c>
      <c r="C4856" t="s">
        <v>40</v>
      </c>
      <c r="D4856">
        <v>4.7424039999999996</v>
      </c>
      <c r="E4856">
        <v>0.5124841</v>
      </c>
      <c r="F4856" t="s">
        <v>41</v>
      </c>
      <c r="G4856">
        <v>-263.46769999999998</v>
      </c>
      <c r="H4856">
        <v>1.0506340000000001</v>
      </c>
      <c r="I4856">
        <v>-61.837600000000002</v>
      </c>
      <c r="J4856">
        <v>-264.10820000000001</v>
      </c>
      <c r="K4856">
        <v>1.1084160000000001</v>
      </c>
      <c r="L4856">
        <v>-61.803159999999998</v>
      </c>
      <c r="M4856">
        <v>0.99954299999999996</v>
      </c>
      <c r="N4856">
        <v>0</v>
      </c>
      <c r="O4856">
        <v>2.938346E-2</v>
      </c>
      <c r="P4856">
        <v>0.99463729999999995</v>
      </c>
      <c r="Q4856">
        <v>0.1011008</v>
      </c>
      <c r="R4856">
        <v>-2.1804049999999998E-2</v>
      </c>
      <c r="S4856">
        <v>3.0360719999999999</v>
      </c>
      <c r="T4856">
        <v>-0.22128819999999999</v>
      </c>
      <c r="U4856">
        <v>-0.11581420000000001</v>
      </c>
      <c r="V4856">
        <v>5.1260199999999999E-2</v>
      </c>
      <c r="W4856">
        <v>0.108043899999999</v>
      </c>
      <c r="X4856">
        <v>0.99282369999999998</v>
      </c>
      <c r="Y4856">
        <v>6.7208829999999997E-2</v>
      </c>
      <c r="Z4856">
        <v>-4.5833380000000002E-3</v>
      </c>
      <c r="AA4856">
        <v>0.99772839999999996</v>
      </c>
      <c r="AB4856">
        <v>31</v>
      </c>
      <c r="AC4856">
        <v>0.64050000000003104</v>
      </c>
      <c r="AD4856">
        <v>-5.7782E-2</v>
      </c>
      <c r="AE4856">
        <v>-3.4440000000003503E-2</v>
      </c>
      <c r="AF4856">
        <v>5.2817093794278097E-2</v>
      </c>
      <c r="AG4856">
        <v>-5.7782E-2</v>
      </c>
      <c r="AH4856">
        <v>0.63406593619475604</v>
      </c>
      <c r="AI4856">
        <v>95.189070596108394</v>
      </c>
      <c r="AJ4856">
        <v>85.238308728770605</v>
      </c>
      <c r="AK4856">
        <v>0.63888028327958801</v>
      </c>
      <c r="AL4856">
        <v>83.797432752165804</v>
      </c>
      <c r="AM4856">
        <v>87.044402204876206</v>
      </c>
      <c r="AN4856">
        <v>0.99999999585646904</v>
      </c>
    </row>
    <row r="4857" spans="1:40" x14ac:dyDescent="0.25">
      <c r="A4857" t="str">
        <f>"20190312164407038"</f>
        <v>20190312164407038</v>
      </c>
      <c r="B4857" t="str">
        <f>"1552380247030194"</f>
        <v>1552380247030194</v>
      </c>
      <c r="C4857" t="s">
        <v>40</v>
      </c>
      <c r="D4857">
        <v>4.8818599999999996</v>
      </c>
      <c r="E4857">
        <v>0.51359639999999995</v>
      </c>
      <c r="F4857" t="s">
        <v>41</v>
      </c>
      <c r="G4857">
        <v>-263.19659999999999</v>
      </c>
      <c r="H4857">
        <v>1.037158</v>
      </c>
      <c r="I4857">
        <v>-61.839129999999997</v>
      </c>
      <c r="J4857">
        <v>-263.96010000000001</v>
      </c>
      <c r="K4857">
        <v>1.108379</v>
      </c>
      <c r="L4857">
        <v>-61.799320000000002</v>
      </c>
      <c r="M4857">
        <v>0.99956049999999996</v>
      </c>
      <c r="N4857">
        <v>0</v>
      </c>
      <c r="O4857">
        <v>2.878872E-2</v>
      </c>
      <c r="P4857">
        <v>0.99461330000000003</v>
      </c>
      <c r="Q4857">
        <v>0.10110669999999999</v>
      </c>
      <c r="R4857">
        <v>-2.2856189999999998E-2</v>
      </c>
      <c r="S4857">
        <v>3.0376889999999999</v>
      </c>
      <c r="T4857">
        <v>-0.23732710000000001</v>
      </c>
      <c r="U4857">
        <v>-0.11935419999999999</v>
      </c>
      <c r="V4857">
        <v>5.1729490000000003E-2</v>
      </c>
      <c r="W4857">
        <v>0.10803210000000001</v>
      </c>
      <c r="X4857">
        <v>0.99280069999999998</v>
      </c>
      <c r="Y4857">
        <v>6.7718120000000007E-2</v>
      </c>
      <c r="Z4857">
        <v>-4.8853339999999999E-3</v>
      </c>
      <c r="AA4857">
        <v>0.99769249999999998</v>
      </c>
      <c r="AB4857">
        <v>31</v>
      </c>
      <c r="AC4857">
        <v>0.76350000000002105</v>
      </c>
      <c r="AD4857">
        <v>-7.1220999999999896E-2</v>
      </c>
      <c r="AE4857">
        <v>-3.9810000000009803E-2</v>
      </c>
      <c r="AF4857">
        <v>6.1242772214236803E-2</v>
      </c>
      <c r="AG4857">
        <v>-7.1220999999999896E-2</v>
      </c>
      <c r="AH4857">
        <v>0.755481363867613</v>
      </c>
      <c r="AI4857">
        <v>95.367985515751499</v>
      </c>
      <c r="AJ4857">
        <v>85.365476387685305</v>
      </c>
      <c r="AK4857">
        <v>0.76129836407334595</v>
      </c>
      <c r="AL4857">
        <v>83.798113174680594</v>
      </c>
      <c r="AM4857">
        <v>87.017323204984706</v>
      </c>
      <c r="AN4857">
        <v>1.0000000523432699</v>
      </c>
    </row>
    <row r="4858" spans="1:40" x14ac:dyDescent="0.25">
      <c r="A4858" t="str">
        <f>"20190312164407049"</f>
        <v>20190312164407049</v>
      </c>
      <c r="B4858" t="str">
        <f>"1552380247039953"</f>
        <v>1552380247039953</v>
      </c>
      <c r="C4858" t="s">
        <v>40</v>
      </c>
      <c r="D4858">
        <v>4.7920290000000003</v>
      </c>
      <c r="E4858">
        <v>0.51329340000000001</v>
      </c>
      <c r="F4858" t="s">
        <v>41</v>
      </c>
      <c r="G4858">
        <v>-263.19170000000003</v>
      </c>
      <c r="H4858">
        <v>1.047498</v>
      </c>
      <c r="I4858">
        <v>-61.832669999999901</v>
      </c>
      <c r="J4858">
        <v>-263.80930000000001</v>
      </c>
      <c r="K4858">
        <v>1.108336</v>
      </c>
      <c r="L4858">
        <v>-61.795529999999999</v>
      </c>
      <c r="M4858">
        <v>0.99957839999999998</v>
      </c>
      <c r="N4858">
        <v>0</v>
      </c>
      <c r="O4858">
        <v>2.8157930000000001E-2</v>
      </c>
      <c r="P4858">
        <v>0.99458500000000005</v>
      </c>
      <c r="Q4858">
        <v>0.10120999999999999</v>
      </c>
      <c r="R4858">
        <v>-2.360831E-2</v>
      </c>
      <c r="S4858">
        <v>3.0376889999999999</v>
      </c>
      <c r="T4858">
        <v>-0.24057600000000001</v>
      </c>
      <c r="U4858">
        <v>-0.13125609999999999</v>
      </c>
      <c r="V4858">
        <v>5.1863739999999998E-2</v>
      </c>
      <c r="W4858">
        <v>0.1081164</v>
      </c>
      <c r="X4858">
        <v>0.99278440000000001</v>
      </c>
      <c r="Y4858">
        <v>7.0974289999999995E-2</v>
      </c>
      <c r="Z4858">
        <v>-5.0304599999999996E-3</v>
      </c>
      <c r="AA4858">
        <v>0.99746539999999995</v>
      </c>
      <c r="AB4858">
        <v>31</v>
      </c>
      <c r="AC4858">
        <v>0.61759999999998105</v>
      </c>
      <c r="AD4858">
        <v>-6.0837999999999899E-2</v>
      </c>
      <c r="AE4858">
        <v>-3.71399999999866E-2</v>
      </c>
      <c r="AF4858">
        <v>5.3993995328901902E-2</v>
      </c>
      <c r="AG4858">
        <v>-6.0837999999999899E-2</v>
      </c>
      <c r="AH4858">
        <v>0.610407450102048</v>
      </c>
      <c r="AI4858">
        <v>95.669757379180794</v>
      </c>
      <c r="AJ4858">
        <v>84.945020541832704</v>
      </c>
      <c r="AK4858">
        <v>0.61580343366667101</v>
      </c>
      <c r="AL4858">
        <v>83.7932539473953</v>
      </c>
      <c r="AM4858">
        <v>87.009547491215798</v>
      </c>
      <c r="AN4858">
        <v>0.99999993417955102</v>
      </c>
    </row>
    <row r="4859" spans="1:40" x14ac:dyDescent="0.25">
      <c r="A4859" t="str">
        <f>"20190312164407059"</f>
        <v>20190312164407059</v>
      </c>
      <c r="B4859" t="str">
        <f>"1552380247049714"</f>
        <v>1552380247049714</v>
      </c>
      <c r="C4859" t="s">
        <v>40</v>
      </c>
      <c r="D4859">
        <v>4.8867589999999996</v>
      </c>
      <c r="E4859">
        <v>0.51326039999999995</v>
      </c>
      <c r="F4859" t="s">
        <v>41</v>
      </c>
      <c r="G4859">
        <v>-262.91770000000002</v>
      </c>
      <c r="H4859">
        <v>1.0359929999999999</v>
      </c>
      <c r="I4859">
        <v>-61.834150000000001</v>
      </c>
      <c r="J4859">
        <v>-263.66030000000001</v>
      </c>
      <c r="K4859">
        <v>1.108295</v>
      </c>
      <c r="L4859">
        <v>-61.791840000000001</v>
      </c>
      <c r="M4859">
        <v>0.99959620000000005</v>
      </c>
      <c r="N4859">
        <v>0</v>
      </c>
      <c r="O4859">
        <v>2.7526309999999998E-2</v>
      </c>
      <c r="P4859">
        <v>0.99455559999999998</v>
      </c>
      <c r="Q4859">
        <v>0.1013276</v>
      </c>
      <c r="R4859">
        <v>-2.4331970000000001E-2</v>
      </c>
      <c r="S4859">
        <v>3.0383</v>
      </c>
      <c r="T4859">
        <v>-0.24643329999999999</v>
      </c>
      <c r="U4859">
        <v>-0.13104250000000001</v>
      </c>
      <c r="V4859">
        <v>5.196833E-2</v>
      </c>
      <c r="W4859">
        <v>0.10821550000000001</v>
      </c>
      <c r="X4859">
        <v>0.99276819999999999</v>
      </c>
      <c r="Y4859">
        <v>7.0254659999999997E-2</v>
      </c>
      <c r="Z4859">
        <v>-5.0712680000000003E-3</v>
      </c>
      <c r="AA4859">
        <v>0.99751619999999996</v>
      </c>
      <c r="AB4859">
        <v>31</v>
      </c>
      <c r="AC4859">
        <v>0.74259999999998105</v>
      </c>
      <c r="AD4859">
        <v>-7.2302000000000005E-2</v>
      </c>
      <c r="AE4859">
        <v>-4.23100000000005E-2</v>
      </c>
      <c r="AF4859">
        <v>6.21482777525302E-2</v>
      </c>
      <c r="AG4859">
        <v>-7.2302000000000005E-2</v>
      </c>
      <c r="AH4859">
        <v>0.73421636417865499</v>
      </c>
      <c r="AI4859">
        <v>95.604160018411605</v>
      </c>
      <c r="AJ4859">
        <v>85.161690439851</v>
      </c>
      <c r="AK4859">
        <v>0.740380751410603</v>
      </c>
      <c r="AL4859">
        <v>83.787542837599304</v>
      </c>
      <c r="AM4859">
        <v>87.003479025401901</v>
      </c>
      <c r="AN4859">
        <v>1.00000000034723</v>
      </c>
    </row>
    <row r="4860" spans="1:40" x14ac:dyDescent="0.25">
      <c r="A4860" t="str">
        <f>"20190312164407071"</f>
        <v>20190312164407071</v>
      </c>
      <c r="B4860" t="str">
        <f>"1552380247059474"</f>
        <v>1552380247059474</v>
      </c>
      <c r="C4860" t="s">
        <v>40</v>
      </c>
      <c r="D4860">
        <v>4.805345</v>
      </c>
      <c r="E4860">
        <v>0.51280300000000001</v>
      </c>
      <c r="F4860" t="s">
        <v>41</v>
      </c>
      <c r="G4860">
        <v>-262.91039999999998</v>
      </c>
      <c r="H4860">
        <v>1.0495760000000001</v>
      </c>
      <c r="I4860">
        <v>-61.82508</v>
      </c>
      <c r="J4860">
        <v>-263.50110000000001</v>
      </c>
      <c r="K4860">
        <v>1.108255</v>
      </c>
      <c r="L4860">
        <v>-61.7881199999999</v>
      </c>
      <c r="M4860">
        <v>0.99961540000000004</v>
      </c>
      <c r="N4860">
        <v>0</v>
      </c>
      <c r="O4860">
        <v>2.6822390000000002E-2</v>
      </c>
      <c r="P4860">
        <v>0.99453630000000004</v>
      </c>
      <c r="Q4860">
        <v>0.1013714</v>
      </c>
      <c r="R4860">
        <v>-2.4932280000000001E-2</v>
      </c>
      <c r="S4860">
        <v>3.0373540000000001</v>
      </c>
      <c r="T4860">
        <v>-0.2377359</v>
      </c>
      <c r="U4860">
        <v>-0.13397220000000001</v>
      </c>
      <c r="V4860">
        <v>5.187812E-2</v>
      </c>
      <c r="W4860">
        <v>0.10824060000000001</v>
      </c>
      <c r="X4860">
        <v>0.99277020000000005</v>
      </c>
      <c r="Y4860">
        <v>7.0549199999999895E-2</v>
      </c>
      <c r="Z4860">
        <v>-4.8507819999999997E-3</v>
      </c>
      <c r="AA4860">
        <v>0.99749650000000001</v>
      </c>
      <c r="AB4860">
        <v>31</v>
      </c>
      <c r="AC4860">
        <v>0.59070000000002598</v>
      </c>
      <c r="AD4860">
        <v>-5.8678999999999898E-2</v>
      </c>
      <c r="AE4860">
        <v>-3.6960000000014703E-2</v>
      </c>
      <c r="AF4860">
        <v>5.22772179100452E-2</v>
      </c>
      <c r="AG4860">
        <v>-5.8678999999999898E-2</v>
      </c>
      <c r="AH4860">
        <v>0.58375799411143503</v>
      </c>
      <c r="AI4860">
        <v>95.717328651801793</v>
      </c>
      <c r="AJ4860">
        <v>84.8826478950362</v>
      </c>
      <c r="AK4860">
        <v>0.58902421702542995</v>
      </c>
      <c r="AL4860">
        <v>83.786096328931905</v>
      </c>
      <c r="AM4860">
        <v>87.008677141200593</v>
      </c>
      <c r="AN4860">
        <v>1.00000001841556</v>
      </c>
    </row>
    <row r="4861" spans="1:40" x14ac:dyDescent="0.25">
      <c r="A4861" t="str">
        <f>"20190312164407082"</f>
        <v>20190312164407082</v>
      </c>
      <c r="B4861" t="str">
        <f>"1552380247070209"</f>
        <v>1552380247070209</v>
      </c>
      <c r="C4861" t="s">
        <v>40</v>
      </c>
      <c r="D4861">
        <v>4.8413589999999997</v>
      </c>
      <c r="E4861">
        <v>0.51252929999999997</v>
      </c>
      <c r="F4861" t="s">
        <v>41</v>
      </c>
      <c r="G4861">
        <v>-262.63589999999999</v>
      </c>
      <c r="H4861">
        <v>1.038951</v>
      </c>
      <c r="I4861">
        <v>-61.825830000000003</v>
      </c>
      <c r="J4861">
        <v>-263.3476</v>
      </c>
      <c r="K4861">
        <v>1.1082179999999999</v>
      </c>
      <c r="L4861">
        <v>-61.784550000000003</v>
      </c>
      <c r="M4861">
        <v>0.99963360000000001</v>
      </c>
      <c r="N4861">
        <v>0</v>
      </c>
      <c r="O4861">
        <v>2.6138270000000002E-2</v>
      </c>
      <c r="P4861">
        <v>0.9944672</v>
      </c>
      <c r="Q4861">
        <v>0.1018477</v>
      </c>
      <c r="R4861">
        <v>-2.5730570000000001E-2</v>
      </c>
      <c r="S4861">
        <v>3.0379640000000001</v>
      </c>
      <c r="T4861">
        <v>-0.243203</v>
      </c>
      <c r="U4861">
        <v>-0.1318665</v>
      </c>
      <c r="V4861">
        <v>5.2005030000000001E-2</v>
      </c>
      <c r="W4861">
        <v>0.10869760000000001</v>
      </c>
      <c r="X4861">
        <v>0.99271359999999997</v>
      </c>
      <c r="Y4861">
        <v>6.9160490000000005E-2</v>
      </c>
      <c r="Z4861">
        <v>-4.8509299999999998E-3</v>
      </c>
      <c r="AA4861">
        <v>0.99759379999999998</v>
      </c>
      <c r="AB4861">
        <v>31</v>
      </c>
      <c r="AC4861">
        <v>0.71170000000000699</v>
      </c>
      <c r="AD4861">
        <v>-6.9266999999999898E-2</v>
      </c>
      <c r="AE4861">
        <v>-4.12800000000004E-2</v>
      </c>
      <c r="AF4861">
        <v>5.9309048447304502E-2</v>
      </c>
      <c r="AG4861">
        <v>-6.9266999999999898E-2</v>
      </c>
      <c r="AH4861">
        <v>0.703734130150106</v>
      </c>
      <c r="AI4861">
        <v>95.601659266489605</v>
      </c>
      <c r="AJ4861">
        <v>85.182631134745904</v>
      </c>
      <c r="AK4861">
        <v>0.709617648071728</v>
      </c>
      <c r="AL4861">
        <v>83.759756581137694</v>
      </c>
      <c r="AM4861">
        <v>87.001202118892493</v>
      </c>
      <c r="AN4861">
        <v>0.99999999150801</v>
      </c>
    </row>
    <row r="4862" spans="1:40" x14ac:dyDescent="0.25">
      <c r="A4862" t="str">
        <f>"20190312164407093"</f>
        <v>20190312164407093</v>
      </c>
      <c r="B4862" t="str">
        <f>"1552380247089730"</f>
        <v>1552380247089730</v>
      </c>
      <c r="C4862" t="s">
        <v>40</v>
      </c>
      <c r="D4862">
        <v>4.875235</v>
      </c>
      <c r="E4862">
        <v>0.51201019999999997</v>
      </c>
      <c r="F4862" t="s">
        <v>41</v>
      </c>
      <c r="G4862">
        <v>-262.35969999999998</v>
      </c>
      <c r="H4862">
        <v>1.028297</v>
      </c>
      <c r="I4862">
        <v>-61.82761</v>
      </c>
      <c r="J4862">
        <v>-263.18549999999999</v>
      </c>
      <c r="K4862">
        <v>1.108182</v>
      </c>
      <c r="L4862">
        <v>-61.781010000000002</v>
      </c>
      <c r="M4862">
        <v>0.99965300000000001</v>
      </c>
      <c r="N4862">
        <v>0</v>
      </c>
      <c r="O4862">
        <v>2.5391480000000001E-2</v>
      </c>
      <c r="P4862">
        <v>0.99439350000000004</v>
      </c>
      <c r="Q4862">
        <v>0.102381</v>
      </c>
      <c r="R4862">
        <v>-2.6458860000000001E-2</v>
      </c>
      <c r="S4862">
        <v>3.0384519999999999</v>
      </c>
      <c r="T4862">
        <v>-0.24569940000000001</v>
      </c>
      <c r="U4862">
        <v>-0.13189699999999999</v>
      </c>
      <c r="V4862">
        <v>5.1999240000000002E-2</v>
      </c>
      <c r="W4862">
        <v>0.1092095</v>
      </c>
      <c r="X4862">
        <v>0.99265769999999998</v>
      </c>
      <c r="Y4862">
        <v>6.8416950000000004E-2</v>
      </c>
      <c r="Z4862">
        <v>-4.8095120000000002E-3</v>
      </c>
      <c r="AA4862">
        <v>0.99764520000000001</v>
      </c>
      <c r="AB4862">
        <v>31</v>
      </c>
      <c r="AC4862">
        <v>0.82580000000001497</v>
      </c>
      <c r="AD4862">
        <v>-7.9884999999999901E-2</v>
      </c>
      <c r="AE4862">
        <v>-4.6600000000004999E-2</v>
      </c>
      <c r="AF4862">
        <v>6.6929439966876697E-2</v>
      </c>
      <c r="AG4862">
        <v>-7.9884999999999901E-2</v>
      </c>
      <c r="AH4862">
        <v>0.81673178937788604</v>
      </c>
      <c r="AI4862">
        <v>95.5678171373727</v>
      </c>
      <c r="AJ4862">
        <v>85.315200385015103</v>
      </c>
      <c r="AK4862">
        <v>0.82335410300774203</v>
      </c>
      <c r="AL4862">
        <v>83.730251101983299</v>
      </c>
      <c r="AM4862">
        <v>87.001366836119402</v>
      </c>
      <c r="AN4862">
        <v>0.99999997261005802</v>
      </c>
    </row>
    <row r="4863" spans="1:40" x14ac:dyDescent="0.25">
      <c r="A4863" t="str">
        <f>"20190312164407105"</f>
        <v>20190312164407105</v>
      </c>
      <c r="B4863" t="str">
        <f>"1552380247099493"</f>
        <v>1552380247099493</v>
      </c>
      <c r="C4863" t="s">
        <v>40</v>
      </c>
      <c r="D4863">
        <v>4.9018069999999998</v>
      </c>
      <c r="E4863">
        <v>0.5117254</v>
      </c>
      <c r="F4863" t="s">
        <v>41</v>
      </c>
      <c r="G4863">
        <v>-262.35449999999997</v>
      </c>
      <c r="H4863">
        <v>1.0396030000000001</v>
      </c>
      <c r="I4863">
        <v>-61.816479999999999</v>
      </c>
      <c r="J4863">
        <v>-263.02330000000001</v>
      </c>
      <c r="K4863">
        <v>1.1081449999999999</v>
      </c>
      <c r="L4863">
        <v>-61.777500000000003</v>
      </c>
      <c r="M4863">
        <v>0.99967189999999995</v>
      </c>
      <c r="N4863">
        <v>0</v>
      </c>
      <c r="O4863">
        <v>2.4636600000000002E-2</v>
      </c>
      <c r="P4863">
        <v>0.99431239999999999</v>
      </c>
      <c r="Q4863">
        <v>0.1029313</v>
      </c>
      <c r="R4863">
        <v>-2.7350920000000001E-2</v>
      </c>
      <c r="S4863">
        <v>3.0392760000000001</v>
      </c>
      <c r="T4863">
        <v>-0.25067469999999997</v>
      </c>
      <c r="U4863">
        <v>-0.1290588</v>
      </c>
      <c r="V4863">
        <v>5.2148920000000001E-2</v>
      </c>
      <c r="W4863">
        <v>0.109738</v>
      </c>
      <c r="X4863">
        <v>0.99259160000000002</v>
      </c>
      <c r="Y4863">
        <v>6.6717890000000002E-2</v>
      </c>
      <c r="Z4863">
        <v>-4.7732950000000003E-3</v>
      </c>
      <c r="AA4863">
        <v>0.99776050000000005</v>
      </c>
      <c r="AB4863">
        <v>31</v>
      </c>
      <c r="AC4863">
        <v>0.66880000000003204</v>
      </c>
      <c r="AD4863">
        <v>-6.8542000000000103E-2</v>
      </c>
      <c r="AE4863">
        <v>-3.89800000000022E-2</v>
      </c>
      <c r="AF4863">
        <v>5.4871159958195401E-2</v>
      </c>
      <c r="AG4863">
        <v>-6.8542000000000103E-2</v>
      </c>
      <c r="AH4863">
        <v>0.66072045763222698</v>
      </c>
      <c r="AI4863">
        <v>95.902405440324202</v>
      </c>
      <c r="AJ4863">
        <v>85.252624708074705</v>
      </c>
      <c r="AK4863">
        <v>0.66652859885596605</v>
      </c>
      <c r="AL4863">
        <v>83.699787429284697</v>
      </c>
      <c r="AM4863">
        <v>86.992551185481105</v>
      </c>
      <c r="AN4863">
        <v>1.00000001144586</v>
      </c>
    </row>
    <row r="4864" spans="1:40" x14ac:dyDescent="0.25">
      <c r="A4864" t="str">
        <f>"20190312164407116"</f>
        <v>20190312164407116</v>
      </c>
      <c r="B4864" t="str">
        <f>"1552380247110225"</f>
        <v>1552380247110225</v>
      </c>
      <c r="C4864" t="s">
        <v>40</v>
      </c>
      <c r="D4864">
        <v>5.03301</v>
      </c>
      <c r="E4864">
        <v>0.51194289999999998</v>
      </c>
      <c r="F4864" t="s">
        <v>41</v>
      </c>
      <c r="G4864">
        <v>-262.07729999999998</v>
      </c>
      <c r="H4864">
        <v>1.029366</v>
      </c>
      <c r="I4864">
        <v>-61.817860000000003</v>
      </c>
      <c r="J4864">
        <v>-262.86470000000003</v>
      </c>
      <c r="K4864">
        <v>1.108117</v>
      </c>
      <c r="L4864">
        <v>-61.774259999999998</v>
      </c>
      <c r="M4864">
        <v>0.99969019999999997</v>
      </c>
      <c r="N4864">
        <v>0</v>
      </c>
      <c r="O4864">
        <v>2.3886839999999999E-2</v>
      </c>
      <c r="P4864">
        <v>0.9942299</v>
      </c>
      <c r="Q4864">
        <v>0.1034535</v>
      </c>
      <c r="R4864">
        <v>-2.83617E-2</v>
      </c>
      <c r="S4864">
        <v>3.0397949999999998</v>
      </c>
      <c r="T4864">
        <v>-0.25302540000000001</v>
      </c>
      <c r="U4864">
        <v>-0.12884519999999999</v>
      </c>
      <c r="V4864">
        <v>5.2420990000000001E-2</v>
      </c>
      <c r="W4864">
        <v>0.1102394</v>
      </c>
      <c r="X4864">
        <v>0.99252169999999895</v>
      </c>
      <c r="Y4864">
        <v>6.5892049999999994E-2</v>
      </c>
      <c r="Z4864">
        <v>-4.7205179999999999E-3</v>
      </c>
      <c r="AA4864">
        <v>0.99781560000000002</v>
      </c>
      <c r="AB4864">
        <v>31</v>
      </c>
      <c r="AC4864">
        <v>0.78740000000004695</v>
      </c>
      <c r="AD4864">
        <v>-7.8751000000000002E-2</v>
      </c>
      <c r="AE4864">
        <v>-4.35999999999978E-2</v>
      </c>
      <c r="AF4864">
        <v>6.17804289169867E-2</v>
      </c>
      <c r="AG4864">
        <v>-7.8751000000000002E-2</v>
      </c>
      <c r="AH4864">
        <v>0.77837173431995799</v>
      </c>
      <c r="AI4864">
        <v>95.759195817964795</v>
      </c>
      <c r="AJ4864">
        <v>85.461869468174399</v>
      </c>
      <c r="AK4864">
        <v>0.78478092368916896</v>
      </c>
      <c r="AL4864">
        <v>83.670883923984306</v>
      </c>
      <c r="AM4864">
        <v>86.976677317900794</v>
      </c>
      <c r="AN4864">
        <v>1.0000000052379101</v>
      </c>
    </row>
    <row r="4865" spans="1:40" x14ac:dyDescent="0.25">
      <c r="A4865" t="str">
        <f>"20190312164407127"</f>
        <v>20190312164407127</v>
      </c>
      <c r="B4865" t="str">
        <f>"1552380247119986"</f>
        <v>1552380247119986</v>
      </c>
      <c r="C4865" t="s">
        <v>40</v>
      </c>
      <c r="D4865">
        <v>4.9327310000000004</v>
      </c>
      <c r="E4865">
        <v>0.51199059999999996</v>
      </c>
      <c r="F4865" t="s">
        <v>41</v>
      </c>
      <c r="G4865">
        <v>-262.0711</v>
      </c>
      <c r="H4865">
        <v>1.0424899999999999</v>
      </c>
      <c r="I4865">
        <v>-61.809339999999999</v>
      </c>
      <c r="J4865">
        <v>-262.7106</v>
      </c>
      <c r="K4865">
        <v>1.1080920000000001</v>
      </c>
      <c r="L4865">
        <v>-61.771239999999999</v>
      </c>
      <c r="M4865">
        <v>0.99970780000000004</v>
      </c>
      <c r="N4865">
        <v>0</v>
      </c>
      <c r="O4865">
        <v>2.3150480000000001E-2</v>
      </c>
      <c r="P4865">
        <v>0.99415339999999996</v>
      </c>
      <c r="Q4865">
        <v>0.1040151</v>
      </c>
      <c r="R4865">
        <v>-2.8985380000000002E-2</v>
      </c>
      <c r="S4865">
        <v>3.0397949999999998</v>
      </c>
      <c r="T4865">
        <v>-0.2512722</v>
      </c>
      <c r="U4865">
        <v>-0.13333130000000001</v>
      </c>
      <c r="V4865">
        <v>5.2318799999999999E-2</v>
      </c>
      <c r="W4865">
        <v>0.11078060000000001</v>
      </c>
      <c r="X4865">
        <v>0.99246679999999998</v>
      </c>
      <c r="Y4865">
        <v>6.6631190000000007E-2</v>
      </c>
      <c r="Z4865">
        <v>-4.6575230000000002E-3</v>
      </c>
      <c r="AA4865">
        <v>0.99776679999999995</v>
      </c>
      <c r="AB4865">
        <v>31</v>
      </c>
      <c r="AC4865">
        <v>0.63949999999999796</v>
      </c>
      <c r="AD4865">
        <v>-6.5602000000000105E-2</v>
      </c>
      <c r="AE4865">
        <v>-3.8100000000000002E-2</v>
      </c>
      <c r="AF4865">
        <v>5.2345972976624397E-2</v>
      </c>
      <c r="AG4865">
        <v>-6.5602000000000105E-2</v>
      </c>
      <c r="AH4865">
        <v>0.63182120149302701</v>
      </c>
      <c r="AI4865">
        <v>95.907683632898795</v>
      </c>
      <c r="AJ4865">
        <v>85.263898629501298</v>
      </c>
      <c r="AK4865">
        <v>0.63737097043006397</v>
      </c>
      <c r="AL4865">
        <v>83.6396841490469</v>
      </c>
      <c r="AM4865">
        <v>86.982393504777804</v>
      </c>
      <c r="AN4865">
        <v>0.999999973636019</v>
      </c>
    </row>
    <row r="4866" spans="1:40" x14ac:dyDescent="0.25">
      <c r="A4866" t="str">
        <f>"20190312164407140"</f>
        <v>20190312164407140</v>
      </c>
      <c r="B4866" t="str">
        <f>"1552380247129746"</f>
        <v>1552380247129746</v>
      </c>
      <c r="C4866" t="s">
        <v>40</v>
      </c>
      <c r="D4866">
        <v>4.9063919999999897</v>
      </c>
      <c r="E4866">
        <v>0.51194790000000001</v>
      </c>
      <c r="F4866" t="s">
        <v>41</v>
      </c>
      <c r="G4866">
        <v>-261.79230000000001</v>
      </c>
      <c r="H4866">
        <v>1.0338849999999999</v>
      </c>
      <c r="I4866">
        <v>-61.812269999999998</v>
      </c>
      <c r="J4866">
        <v>-262.52190000000002</v>
      </c>
      <c r="K4866">
        <v>1.1080650000000001</v>
      </c>
      <c r="L4866">
        <v>-61.76764</v>
      </c>
      <c r="M4866">
        <v>0.99972850000000002</v>
      </c>
      <c r="N4866">
        <v>0</v>
      </c>
      <c r="O4866">
        <v>2.2241859999999999E-2</v>
      </c>
      <c r="P4866">
        <v>0.99407049999999997</v>
      </c>
      <c r="Q4866">
        <v>0.1045546</v>
      </c>
      <c r="R4866">
        <v>-2.9868840000000001E-2</v>
      </c>
      <c r="S4866">
        <v>3.0393979999999998</v>
      </c>
      <c r="T4866">
        <v>-0.2456721</v>
      </c>
      <c r="U4866">
        <v>-0.13586429999999999</v>
      </c>
      <c r="V4866">
        <v>5.2305989999999997E-2</v>
      </c>
      <c r="W4866">
        <v>0.111295699999999</v>
      </c>
      <c r="X4866">
        <v>0.99240989999999996</v>
      </c>
      <c r="Y4866">
        <v>6.6576460000000004E-2</v>
      </c>
      <c r="Z4866">
        <v>-4.4790749999999999E-3</v>
      </c>
      <c r="AA4866">
        <v>0.99777130000000003</v>
      </c>
      <c r="AB4866">
        <v>31</v>
      </c>
      <c r="AC4866">
        <v>0.72960000000000402</v>
      </c>
      <c r="AD4866">
        <v>-7.4179999999999899E-2</v>
      </c>
      <c r="AE4866">
        <v>-4.4629999999997901E-2</v>
      </c>
      <c r="AF4866">
        <v>6.0226754559056198E-2</v>
      </c>
      <c r="AG4866">
        <v>-7.4179999999999899E-2</v>
      </c>
      <c r="AH4866">
        <v>0.72100145371019597</v>
      </c>
      <c r="AI4866">
        <v>95.853943777138497</v>
      </c>
      <c r="AJ4866">
        <v>85.225049411574304</v>
      </c>
      <c r="AK4866">
        <v>0.72730532145511795</v>
      </c>
      <c r="AL4866">
        <v>83.609987810415006</v>
      </c>
      <c r="AM4866">
        <v>86.982958332637295</v>
      </c>
      <c r="AN4866">
        <v>1.0000000295231799</v>
      </c>
    </row>
    <row r="4867" spans="1:40" x14ac:dyDescent="0.25">
      <c r="A4867" t="str">
        <f>"20190312164407153"</f>
        <v>20190312164407153</v>
      </c>
      <c r="B4867" t="str">
        <f>"1552380247139506"</f>
        <v>1552380247139506</v>
      </c>
      <c r="C4867" t="s">
        <v>40</v>
      </c>
      <c r="D4867">
        <v>4.8984569999999996</v>
      </c>
      <c r="E4867">
        <v>0.51189839999999998</v>
      </c>
      <c r="F4867" t="s">
        <v>41</v>
      </c>
      <c r="G4867">
        <v>-261.78379999999999</v>
      </c>
      <c r="H4867">
        <v>1.0497829999999999</v>
      </c>
      <c r="I4867">
        <v>-61.801250000000003</v>
      </c>
      <c r="J4867">
        <v>-262.35629999999998</v>
      </c>
      <c r="K4867">
        <v>1.1080479999999999</v>
      </c>
      <c r="L4867">
        <v>-61.764710000000001</v>
      </c>
      <c r="M4867">
        <v>0.99974629999999998</v>
      </c>
      <c r="N4867">
        <v>0</v>
      </c>
      <c r="O4867">
        <v>2.143579E-2</v>
      </c>
      <c r="P4867">
        <v>0.99400719999999998</v>
      </c>
      <c r="Q4867">
        <v>0.1049712</v>
      </c>
      <c r="R4867">
        <v>-3.0514090000000001E-2</v>
      </c>
      <c r="S4867">
        <v>3.0390009999999998</v>
      </c>
      <c r="T4867">
        <v>-0.24001359999999999</v>
      </c>
      <c r="U4867">
        <v>-0.13842769999999999</v>
      </c>
      <c r="V4867">
        <v>5.2154310000000002E-2</v>
      </c>
      <c r="W4867">
        <v>0.1116924</v>
      </c>
      <c r="X4867">
        <v>0.99237330000000001</v>
      </c>
      <c r="Y4867">
        <v>6.6633129999999999E-2</v>
      </c>
      <c r="Z4867">
        <v>-4.3154200000000004E-3</v>
      </c>
      <c r="AA4867">
        <v>0.99776819999999999</v>
      </c>
      <c r="AB4867">
        <v>31</v>
      </c>
      <c r="AC4867">
        <v>0.57249999999999002</v>
      </c>
      <c r="AD4867">
        <v>-5.8264999999999997E-2</v>
      </c>
      <c r="AE4867">
        <v>-3.6540000000002203E-2</v>
      </c>
      <c r="AF4867">
        <v>4.8305580890078803E-2</v>
      </c>
      <c r="AG4867">
        <v>-5.8264999999999997E-2</v>
      </c>
      <c r="AH4867">
        <v>0.56574906538166303</v>
      </c>
      <c r="AI4867">
        <v>95.858842146559198</v>
      </c>
      <c r="AJ4867">
        <v>85.119727945087902</v>
      </c>
      <c r="AK4867">
        <v>0.57078914175933004</v>
      </c>
      <c r="AL4867">
        <v>83.587115880731005</v>
      </c>
      <c r="AM4867">
        <v>86.991580488118402</v>
      </c>
      <c r="AN4867">
        <v>1.0000000154111099</v>
      </c>
    </row>
    <row r="4868" spans="1:40" x14ac:dyDescent="0.25">
      <c r="A4868" t="str">
        <f>"20190312164407172"</f>
        <v>20190312164407172</v>
      </c>
      <c r="B4868" t="str">
        <f>"1552380247160003"</f>
        <v>1552380247160003</v>
      </c>
      <c r="C4868" t="s">
        <v>40</v>
      </c>
      <c r="D4868">
        <v>5.0295239999999897</v>
      </c>
      <c r="E4868">
        <v>0.51173559999999996</v>
      </c>
      <c r="F4868" t="s">
        <v>41</v>
      </c>
      <c r="G4868">
        <v>-261.50479999999999</v>
      </c>
      <c r="H4868">
        <v>1.0421320000000001</v>
      </c>
      <c r="I4868">
        <v>-61.804250000000003</v>
      </c>
      <c r="J4868">
        <v>-262.07279999999997</v>
      </c>
      <c r="K4868">
        <v>1.108015</v>
      </c>
      <c r="L4868">
        <v>-61.759920000000001</v>
      </c>
      <c r="M4868">
        <v>0.99977519999999998</v>
      </c>
      <c r="N4868">
        <v>0</v>
      </c>
      <c r="O4868">
        <v>2.0051119999999999E-2</v>
      </c>
      <c r="P4868">
        <v>0.99382590000000004</v>
      </c>
      <c r="Q4868">
        <v>0.1062845</v>
      </c>
      <c r="R4868">
        <v>-3.1837860000000003E-2</v>
      </c>
      <c r="S4868">
        <v>3.038605</v>
      </c>
      <c r="T4868">
        <v>-0.2351028</v>
      </c>
      <c r="U4868">
        <v>-0.14035029999999901</v>
      </c>
      <c r="V4868">
        <v>5.2109120000000002E-2</v>
      </c>
      <c r="W4868">
        <v>0.112971699999999</v>
      </c>
      <c r="X4868">
        <v>0.99223079999999997</v>
      </c>
      <c r="Y4868">
        <v>6.5904439999999995E-2</v>
      </c>
      <c r="Z4868">
        <v>-4.0928190000000001E-3</v>
      </c>
      <c r="AA4868">
        <v>0.99781750000000002</v>
      </c>
      <c r="AB4868">
        <v>32</v>
      </c>
      <c r="AC4868">
        <v>0.56799999999998296</v>
      </c>
      <c r="AD4868">
        <v>-6.58829999999999E-2</v>
      </c>
      <c r="AE4868">
        <v>-4.4330000000009299E-2</v>
      </c>
      <c r="AF4868">
        <v>5.4975237389351901E-2</v>
      </c>
      <c r="AG4868">
        <v>-6.58829999999999E-2</v>
      </c>
      <c r="AH4868">
        <v>0.55951480046659297</v>
      </c>
      <c r="AI4868">
        <v>96.6837755771068</v>
      </c>
      <c r="AJ4868">
        <v>84.388403868381701</v>
      </c>
      <c r="AK4868">
        <v>0.56605623250361503</v>
      </c>
      <c r="AL4868">
        <v>83.513350162667606</v>
      </c>
      <c r="AM4868">
        <v>86.993751511755704</v>
      </c>
      <c r="AN4868">
        <v>0.99999996292835103</v>
      </c>
    </row>
    <row r="4869" spans="1:40" x14ac:dyDescent="0.25">
      <c r="A4869" t="str">
        <f>"20190312164407184"</f>
        <v>20190312164407184</v>
      </c>
      <c r="B4869" t="str">
        <f>"1552380247179522"</f>
        <v>1552380247179522</v>
      </c>
      <c r="C4869" t="s">
        <v>40</v>
      </c>
      <c r="D4869">
        <v>5.0837879999999904</v>
      </c>
      <c r="E4869">
        <v>0.51172759999999995</v>
      </c>
      <c r="F4869" t="s">
        <v>41</v>
      </c>
      <c r="G4869">
        <v>-261.21910000000003</v>
      </c>
      <c r="H4869">
        <v>1.0444910000000001</v>
      </c>
      <c r="I4869">
        <v>-61.80039</v>
      </c>
      <c r="J4869">
        <v>-261.9117</v>
      </c>
      <c r="K4869">
        <v>1.1080019999999999</v>
      </c>
      <c r="L4869">
        <v>-61.757350000000002</v>
      </c>
      <c r="M4869">
        <v>0.99979079999999998</v>
      </c>
      <c r="N4869">
        <v>0</v>
      </c>
      <c r="O4869">
        <v>1.9261730000000001E-2</v>
      </c>
      <c r="P4869">
        <v>0.99370630000000004</v>
      </c>
      <c r="Q4869">
        <v>0.1070893</v>
      </c>
      <c r="R4869">
        <v>-3.2860350000000003E-2</v>
      </c>
      <c r="S4869">
        <v>3.038208</v>
      </c>
      <c r="T4869">
        <v>-0.2260287</v>
      </c>
      <c r="U4869">
        <v>-0.14370729999999901</v>
      </c>
      <c r="V4869">
        <v>5.2350399999999998E-2</v>
      </c>
      <c r="W4869">
        <v>0.1137577</v>
      </c>
      <c r="X4869">
        <v>0.99212829999999996</v>
      </c>
      <c r="Y4869">
        <v>6.6243280000000002E-2</v>
      </c>
      <c r="Z4869">
        <v>-3.88967E-3</v>
      </c>
      <c r="AA4869">
        <v>0.99779589999999996</v>
      </c>
      <c r="AB4869">
        <v>32</v>
      </c>
      <c r="AC4869">
        <v>0.69259999999997002</v>
      </c>
      <c r="AD4869">
        <v>-6.3511000000000095E-2</v>
      </c>
      <c r="AE4869">
        <v>-4.3039999999997698E-2</v>
      </c>
      <c r="AF4869">
        <v>5.5904722574964302E-2</v>
      </c>
      <c r="AG4869">
        <v>-6.3511000000000095E-2</v>
      </c>
      <c r="AH4869">
        <v>0.68589708536773797</v>
      </c>
      <c r="AI4869">
        <v>95.272861363814897</v>
      </c>
      <c r="AJ4869">
        <v>85.3403507876981</v>
      </c>
      <c r="AK4869">
        <v>0.69109608365490105</v>
      </c>
      <c r="AL4869">
        <v>83.468023530108198</v>
      </c>
      <c r="AM4869">
        <v>86.979545996383294</v>
      </c>
      <c r="AN4869">
        <v>0.99999997117516903</v>
      </c>
    </row>
    <row r="4870" spans="1:40" x14ac:dyDescent="0.25">
      <c r="A4870" t="str">
        <f>"20190312164407195"</f>
        <v>20190312164407195</v>
      </c>
      <c r="B4870" t="str">
        <f>"1552380247190258"</f>
        <v>1552380247190258</v>
      </c>
      <c r="C4870" t="s">
        <v>40</v>
      </c>
      <c r="D4870">
        <v>4.9771879999999999</v>
      </c>
      <c r="E4870">
        <v>0.51161020000000001</v>
      </c>
      <c r="F4870" t="s">
        <v>41</v>
      </c>
      <c r="G4870">
        <v>-260.93770000000001</v>
      </c>
      <c r="H4870">
        <v>1.0363819999999999</v>
      </c>
      <c r="I4870">
        <v>-61.804639999999999</v>
      </c>
      <c r="J4870">
        <v>-261.7484</v>
      </c>
      <c r="K4870">
        <v>1.107993</v>
      </c>
      <c r="L4870">
        <v>-61.754939999999998</v>
      </c>
      <c r="M4870">
        <v>0.99980599999999997</v>
      </c>
      <c r="N4870">
        <v>0</v>
      </c>
      <c r="O4870">
        <v>1.846134E-2</v>
      </c>
      <c r="P4870">
        <v>0.99359850000000005</v>
      </c>
      <c r="Q4870">
        <v>0.1078156</v>
      </c>
      <c r="R4870">
        <v>-3.3733220000000001E-2</v>
      </c>
      <c r="S4870">
        <v>3.0382389999999999</v>
      </c>
      <c r="T4870">
        <v>-0.22326860000000001</v>
      </c>
      <c r="U4870">
        <v>-0.1468506</v>
      </c>
      <c r="V4870">
        <v>5.2431100000000001E-2</v>
      </c>
      <c r="W4870">
        <v>0.11446679999999999</v>
      </c>
      <c r="X4870">
        <v>0.99204250000000005</v>
      </c>
      <c r="Y4870">
        <v>6.6481230000000002E-2</v>
      </c>
      <c r="Z4870">
        <v>-3.792185E-3</v>
      </c>
      <c r="AA4870">
        <v>0.99778040000000001</v>
      </c>
      <c r="AB4870">
        <v>32</v>
      </c>
      <c r="AC4870">
        <v>0.81069999999999698</v>
      </c>
      <c r="AD4870">
        <v>-7.1610999999999994E-2</v>
      </c>
      <c r="AE4870">
        <v>-4.9699999999994297E-2</v>
      </c>
      <c r="AF4870">
        <v>6.41597523716428E-2</v>
      </c>
      <c r="AG4870">
        <v>-7.1610999999999994E-2</v>
      </c>
      <c r="AH4870">
        <v>0.80339915163113096</v>
      </c>
      <c r="AI4870">
        <v>95.077518566017602</v>
      </c>
      <c r="AJ4870">
        <v>85.4340282426908</v>
      </c>
      <c r="AK4870">
        <v>0.80913213135248296</v>
      </c>
      <c r="AL4870">
        <v>83.4271281137286</v>
      </c>
      <c r="AM4870">
        <v>86.974637351248305</v>
      </c>
      <c r="AN4870">
        <v>0.99999999517784999</v>
      </c>
    </row>
    <row r="4871" spans="1:40" x14ac:dyDescent="0.25">
      <c r="A4871" t="str">
        <f>"20190312164407205"</f>
        <v>20190312164407205</v>
      </c>
      <c r="B4871" t="str">
        <f>"1552380247200018"</f>
        <v>1552380247200018</v>
      </c>
      <c r="C4871" t="s">
        <v>40</v>
      </c>
      <c r="D4871">
        <v>5.1387660000000004</v>
      </c>
      <c r="E4871">
        <v>0.51168259999999999</v>
      </c>
      <c r="F4871" t="s">
        <v>41</v>
      </c>
      <c r="G4871">
        <v>-260.93200000000002</v>
      </c>
      <c r="H4871">
        <v>1.0479369999999999</v>
      </c>
      <c r="I4871">
        <v>-61.795029999999997</v>
      </c>
      <c r="J4871">
        <v>-261.59589999999997</v>
      </c>
      <c r="K4871">
        <v>1.107988</v>
      </c>
      <c r="L4871">
        <v>-61.752749999999999</v>
      </c>
      <c r="M4871">
        <v>0.99981969999999998</v>
      </c>
      <c r="N4871">
        <v>0</v>
      </c>
      <c r="O4871">
        <v>1.7714770000000001E-2</v>
      </c>
      <c r="P4871">
        <v>0.99347779999999997</v>
      </c>
      <c r="Q4871">
        <v>0.10857940000000001</v>
      </c>
      <c r="R4871">
        <v>-3.482118E-2</v>
      </c>
      <c r="S4871">
        <v>3.0385439999999999</v>
      </c>
      <c r="T4871">
        <v>-0.22334119999999999</v>
      </c>
      <c r="U4871">
        <v>-0.1484375</v>
      </c>
      <c r="V4871">
        <v>5.2779800000000002E-2</v>
      </c>
      <c r="W4871">
        <v>0.11521480000000001</v>
      </c>
      <c r="X4871">
        <v>0.99193739999999997</v>
      </c>
      <c r="Y4871">
        <v>6.6253740000000005E-2</v>
      </c>
      <c r="Z4871">
        <v>-3.7298700000000001E-3</v>
      </c>
      <c r="AA4871">
        <v>0.99779580000000001</v>
      </c>
      <c r="AB4871">
        <v>32</v>
      </c>
      <c r="AC4871">
        <v>0.66389999999995497</v>
      </c>
      <c r="AD4871">
        <v>-6.0050999999999799E-2</v>
      </c>
      <c r="AE4871">
        <v>-4.2280000000005202E-2</v>
      </c>
      <c r="AF4871">
        <v>5.3597735086895901E-2</v>
      </c>
      <c r="AG4871">
        <v>-6.0050999999999799E-2</v>
      </c>
      <c r="AH4871">
        <v>0.65768765481851699</v>
      </c>
      <c r="AI4871">
        <v>95.199854312598404</v>
      </c>
      <c r="AJ4871">
        <v>85.341021477249797</v>
      </c>
      <c r="AK4871">
        <v>0.66259481669276998</v>
      </c>
      <c r="AL4871">
        <v>83.383985342414604</v>
      </c>
      <c r="AM4871">
        <v>86.954232455290096</v>
      </c>
      <c r="AN4871">
        <v>0.99999998147291902</v>
      </c>
    </row>
    <row r="4872" spans="1:40" x14ac:dyDescent="0.25">
      <c r="A4872" t="str">
        <f>"20190312164407216"</f>
        <v>20190312164407216</v>
      </c>
      <c r="B4872" t="str">
        <f>"1552380247209778"</f>
        <v>1552380247209778</v>
      </c>
      <c r="C4872" t="s">
        <v>40</v>
      </c>
      <c r="D4872">
        <v>5.1387589999999896</v>
      </c>
      <c r="E4872">
        <v>0.51166639999999997</v>
      </c>
      <c r="F4872" t="s">
        <v>41</v>
      </c>
      <c r="G4872">
        <v>-260.65019999999998</v>
      </c>
      <c r="H4872">
        <v>1.0391790000000001</v>
      </c>
      <c r="I4872">
        <v>-61.800289999999997</v>
      </c>
      <c r="J4872">
        <v>-261.4348</v>
      </c>
      <c r="K4872">
        <v>1.1079829999999999</v>
      </c>
      <c r="L4872">
        <v>-61.750579999999999</v>
      </c>
      <c r="M4872">
        <v>0.99983330000000004</v>
      </c>
      <c r="N4872">
        <v>0</v>
      </c>
      <c r="O4872">
        <v>1.6927270000000001E-2</v>
      </c>
      <c r="P4872">
        <v>0.99339330000000003</v>
      </c>
      <c r="Q4872">
        <v>0.1090228</v>
      </c>
      <c r="R4872">
        <v>-3.5831969999999998E-2</v>
      </c>
      <c r="S4872">
        <v>3.038513</v>
      </c>
      <c r="T4872">
        <v>-0.22103500000000001</v>
      </c>
      <c r="U4872">
        <v>-0.15261839999999999</v>
      </c>
      <c r="V4872">
        <v>5.3010399999999999E-2</v>
      </c>
      <c r="W4872">
        <v>0.1156425</v>
      </c>
      <c r="X4872">
        <v>0.99187539999999996</v>
      </c>
      <c r="Y4872">
        <v>6.6843059999999996E-2</v>
      </c>
      <c r="Z4872">
        <v>-3.655583E-3</v>
      </c>
      <c r="AA4872">
        <v>0.9977568</v>
      </c>
      <c r="AB4872">
        <v>32</v>
      </c>
      <c r="AC4872">
        <v>0.78460000000001096</v>
      </c>
      <c r="AD4872">
        <v>-6.8803999999999796E-2</v>
      </c>
      <c r="AE4872">
        <v>-4.9709999999997402E-2</v>
      </c>
      <c r="AF4872">
        <v>6.2505573493586999E-2</v>
      </c>
      <c r="AG4872">
        <v>-6.8803999999999796E-2</v>
      </c>
      <c r="AH4872">
        <v>0.77768952277173897</v>
      </c>
      <c r="AI4872">
        <v>95.039758892644898</v>
      </c>
      <c r="AJ4872">
        <v>85.404819540388999</v>
      </c>
      <c r="AK4872">
        <v>0.78322533856017296</v>
      </c>
      <c r="AL4872">
        <v>83.359315490193893</v>
      </c>
      <c r="AM4872">
        <v>86.940759573217903</v>
      </c>
      <c r="AN4872">
        <v>1.0000000497197801</v>
      </c>
    </row>
    <row r="4873" spans="1:40" x14ac:dyDescent="0.25">
      <c r="A4873" t="str">
        <f>"20190312164407228"</f>
        <v>20190312164407228</v>
      </c>
      <c r="B4873" t="str">
        <f>"1552380247219538"</f>
        <v>1552380247219538</v>
      </c>
      <c r="C4873" t="s">
        <v>40</v>
      </c>
      <c r="D4873">
        <v>5.0196589999999999</v>
      </c>
      <c r="E4873">
        <v>0.5115999</v>
      </c>
      <c r="F4873" t="s">
        <v>41</v>
      </c>
      <c r="G4873">
        <v>-260.64330000000001</v>
      </c>
      <c r="H4873">
        <v>1.050708</v>
      </c>
      <c r="I4873">
        <v>-61.791240000000002</v>
      </c>
      <c r="J4873">
        <v>-261.27870000000001</v>
      </c>
      <c r="K4873">
        <v>1.1079779999999999</v>
      </c>
      <c r="L4873">
        <v>-61.748600000000003</v>
      </c>
      <c r="M4873">
        <v>0.99984600000000001</v>
      </c>
      <c r="N4873">
        <v>0</v>
      </c>
      <c r="O4873">
        <v>1.616743E-2</v>
      </c>
      <c r="P4873">
        <v>0.99329040000000002</v>
      </c>
      <c r="Q4873">
        <v>0.10965859999999999</v>
      </c>
      <c r="R4873">
        <v>-3.6739170000000002E-2</v>
      </c>
      <c r="S4873">
        <v>3.0384519999999999</v>
      </c>
      <c r="T4873">
        <v>-0.21984039999999999</v>
      </c>
      <c r="U4873">
        <v>-0.15594479999999999</v>
      </c>
      <c r="V4873">
        <v>5.316473E-2</v>
      </c>
      <c r="W4873">
        <v>0.1162648</v>
      </c>
      <c r="X4873">
        <v>0.99179430000000002</v>
      </c>
      <c r="Y4873">
        <v>6.717882E-2</v>
      </c>
      <c r="Z4873">
        <v>-3.5931000000000001E-3</v>
      </c>
      <c r="AA4873">
        <v>0.99773449999999997</v>
      </c>
      <c r="AB4873">
        <v>32</v>
      </c>
      <c r="AC4873">
        <v>0.63540000000000396</v>
      </c>
      <c r="AD4873">
        <v>-5.7270000000000099E-2</v>
      </c>
      <c r="AE4873">
        <v>-4.2639999999998603E-2</v>
      </c>
      <c r="AF4873">
        <v>5.2483000329822199E-2</v>
      </c>
      <c r="AG4873">
        <v>-5.7270000000000099E-2</v>
      </c>
      <c r="AH4873">
        <v>0.62953624626108196</v>
      </c>
      <c r="AI4873">
        <v>95.180116377269897</v>
      </c>
      <c r="AJ4873">
        <v>85.2344017981344</v>
      </c>
      <c r="AK4873">
        <v>0.63431080991901301</v>
      </c>
      <c r="AL4873">
        <v>83.323417604565506</v>
      </c>
      <c r="AM4873">
        <v>86.931619746139802</v>
      </c>
      <c r="AN4873">
        <v>0.99999996287375004</v>
      </c>
    </row>
    <row r="4874" spans="1:40" x14ac:dyDescent="0.25">
      <c r="A4874" t="str">
        <f>"20190312164407238"</f>
        <v>20190312164407238</v>
      </c>
      <c r="B4874" t="str">
        <f>"1552380247230274"</f>
        <v>1552380247230274</v>
      </c>
      <c r="C4874" t="s">
        <v>40</v>
      </c>
      <c r="D4874">
        <v>5.187576</v>
      </c>
      <c r="E4874">
        <v>0.51148970000000005</v>
      </c>
      <c r="F4874" t="s">
        <v>41</v>
      </c>
      <c r="G4874">
        <v>-260.36149999999998</v>
      </c>
      <c r="H4874">
        <v>1.042851</v>
      </c>
      <c r="I4874">
        <v>-61.796700000000001</v>
      </c>
      <c r="J4874">
        <v>-261.12389999999999</v>
      </c>
      <c r="K4874">
        <v>1.107974</v>
      </c>
      <c r="L4874">
        <v>-61.746699999999997</v>
      </c>
      <c r="M4874">
        <v>0.99985809999999997</v>
      </c>
      <c r="N4874">
        <v>0</v>
      </c>
      <c r="O4874">
        <v>1.541636E-2</v>
      </c>
      <c r="P4874">
        <v>0.99318870000000004</v>
      </c>
      <c r="Q4874">
        <v>0.11023189999999999</v>
      </c>
      <c r="R4874">
        <v>-3.7756039999999998E-2</v>
      </c>
      <c r="S4874">
        <v>3.0382690000000001</v>
      </c>
      <c r="T4874">
        <v>-0.21563099999999999</v>
      </c>
      <c r="U4874">
        <v>-0.1587219</v>
      </c>
      <c r="V4874">
        <v>5.3437529999999997E-2</v>
      </c>
      <c r="W4874">
        <v>0.1168246</v>
      </c>
      <c r="X4874">
        <v>0.99171390000000004</v>
      </c>
      <c r="Y4874">
        <v>6.7351640000000004E-2</v>
      </c>
      <c r="Z4874">
        <v>-3.4775180000000002E-3</v>
      </c>
      <c r="AA4874">
        <v>0.99772320000000003</v>
      </c>
      <c r="AB4874">
        <v>32</v>
      </c>
      <c r="AC4874">
        <v>0.76240000000001296</v>
      </c>
      <c r="AD4874">
        <v>-6.5123E-2</v>
      </c>
      <c r="AE4874">
        <v>-5.0000000000004201E-2</v>
      </c>
      <c r="AF4874">
        <v>6.1302396166113902E-2</v>
      </c>
      <c r="AG4874">
        <v>-6.5123E-2</v>
      </c>
      <c r="AH4874">
        <v>0.7560458399444</v>
      </c>
      <c r="AI4874">
        <v>94.907070362446305</v>
      </c>
      <c r="AJ4874">
        <v>85.364432515607803</v>
      </c>
      <c r="AK4874">
        <v>0.761317477142053</v>
      </c>
      <c r="AL4874">
        <v>83.291123659595499</v>
      </c>
      <c r="AM4874">
        <v>86.915655974786702</v>
      </c>
      <c r="AN4874">
        <v>1.0000000081154301</v>
      </c>
    </row>
    <row r="4875" spans="1:40" x14ac:dyDescent="0.25">
      <c r="A4875" t="str">
        <f>"20190312164407249"</f>
        <v>20190312164407249</v>
      </c>
      <c r="B4875" t="str">
        <f>"1552380247240034"</f>
        <v>1552380247240034</v>
      </c>
      <c r="C4875" t="s">
        <v>40</v>
      </c>
      <c r="D4875">
        <v>5.0146569999999997</v>
      </c>
      <c r="E4875">
        <v>0.51140370000000002</v>
      </c>
      <c r="F4875" t="s">
        <v>41</v>
      </c>
      <c r="G4875">
        <v>-260.3535</v>
      </c>
      <c r="H4875">
        <v>1.0538590000000001</v>
      </c>
      <c r="I4875">
        <v>-61.787790000000001</v>
      </c>
      <c r="J4875">
        <v>-260.96800000000002</v>
      </c>
      <c r="K4875">
        <v>1.1079680000000001</v>
      </c>
      <c r="L4875">
        <v>-61.744999999999997</v>
      </c>
      <c r="M4875">
        <v>0.99986929999999996</v>
      </c>
      <c r="N4875">
        <v>0</v>
      </c>
      <c r="O4875">
        <v>1.4666159999999999E-2</v>
      </c>
      <c r="P4875">
        <v>0.9931046</v>
      </c>
      <c r="Q4875">
        <v>0.11072849999999999</v>
      </c>
      <c r="R4875">
        <v>-3.850282E-2</v>
      </c>
      <c r="S4875">
        <v>3.0381469999999999</v>
      </c>
      <c r="T4875">
        <v>-0.21323059999999999</v>
      </c>
      <c r="U4875">
        <v>-0.16131589999999901</v>
      </c>
      <c r="V4875">
        <v>5.3440580000000001E-2</v>
      </c>
      <c r="W4875">
        <v>0.1173081</v>
      </c>
      <c r="X4875">
        <v>0.99165669999999995</v>
      </c>
      <c r="Y4875">
        <v>6.7460790000000007E-2</v>
      </c>
      <c r="Z4875">
        <v>-3.3902289999999998E-3</v>
      </c>
      <c r="AA4875">
        <v>0.99771620000000005</v>
      </c>
      <c r="AB4875">
        <v>32</v>
      </c>
      <c r="AC4875">
        <v>0.61450000000002003</v>
      </c>
      <c r="AD4875">
        <v>-5.41089999999999E-2</v>
      </c>
      <c r="AE4875">
        <v>-4.2790000000003603E-2</v>
      </c>
      <c r="AF4875">
        <v>5.1401346592937699E-2</v>
      </c>
      <c r="AG4875">
        <v>-5.41089999999999E-2</v>
      </c>
      <c r="AH4875">
        <v>0.60910643570436995</v>
      </c>
      <c r="AI4875">
        <v>95.058567705257204</v>
      </c>
      <c r="AJ4875">
        <v>85.176345574495002</v>
      </c>
      <c r="AK4875">
        <v>0.61366157801270904</v>
      </c>
      <c r="AL4875">
        <v>83.263229623426</v>
      </c>
      <c r="AM4875">
        <v>86.915302697359905</v>
      </c>
      <c r="AN4875">
        <v>1.00000004828561</v>
      </c>
    </row>
    <row r="4876" spans="1:40" x14ac:dyDescent="0.25">
      <c r="A4876" t="str">
        <f>"20190312164407260"</f>
        <v>20190312164407260</v>
      </c>
      <c r="B4876" t="str">
        <f>"1552380247249793"</f>
        <v>1552380247249793</v>
      </c>
      <c r="C4876" t="s">
        <v>40</v>
      </c>
      <c r="D4876">
        <v>5.1432169999999999</v>
      </c>
      <c r="E4876">
        <v>0.51134120000000005</v>
      </c>
      <c r="F4876" t="s">
        <v>41</v>
      </c>
      <c r="G4876">
        <v>-260.07240000000002</v>
      </c>
      <c r="H4876">
        <v>1.045682</v>
      </c>
      <c r="I4876">
        <v>-61.793129999999998</v>
      </c>
      <c r="J4876">
        <v>-260.80509999999998</v>
      </c>
      <c r="K4876">
        <v>1.1079639999999999</v>
      </c>
      <c r="L4876">
        <v>-61.743259999999999</v>
      </c>
      <c r="M4876">
        <v>0.99988049999999995</v>
      </c>
      <c r="N4876">
        <v>0</v>
      </c>
      <c r="O4876">
        <v>1.388319E-2</v>
      </c>
      <c r="P4876">
        <v>0.99301729999999999</v>
      </c>
      <c r="Q4876">
        <v>0.11119370000000001</v>
      </c>
      <c r="R4876">
        <v>-3.9403830000000001E-2</v>
      </c>
      <c r="S4876">
        <v>3.0380549999999999</v>
      </c>
      <c r="T4876">
        <v>-0.2112417</v>
      </c>
      <c r="U4876">
        <v>-0.16299439999999901</v>
      </c>
      <c r="V4876">
        <v>5.3565199999999903E-2</v>
      </c>
      <c r="W4876">
        <v>0.1177584</v>
      </c>
      <c r="X4876">
        <v>0.99159660000000005</v>
      </c>
      <c r="Y4876">
        <v>6.7236909999999997E-2</v>
      </c>
      <c r="Z4876">
        <v>-3.2966219999999999E-3</v>
      </c>
      <c r="AA4876">
        <v>0.99773160000000005</v>
      </c>
      <c r="AB4876">
        <v>32</v>
      </c>
      <c r="AC4876">
        <v>0.73269999999996505</v>
      </c>
      <c r="AD4876">
        <v>-6.22819999999999E-2</v>
      </c>
      <c r="AE4876">
        <v>-4.9870000000005597E-2</v>
      </c>
      <c r="AF4876">
        <v>5.9608919108686598E-2</v>
      </c>
      <c r="AG4876">
        <v>-6.22819999999999E-2</v>
      </c>
      <c r="AH4876">
        <v>0.72671032090180199</v>
      </c>
      <c r="AI4876">
        <v>94.882191851126606</v>
      </c>
      <c r="AJ4876">
        <v>85.310771775545803</v>
      </c>
      <c r="AK4876">
        <v>0.73180609540130703</v>
      </c>
      <c r="AL4876">
        <v>83.237249236476799</v>
      </c>
      <c r="AM4876">
        <v>86.907936289009996</v>
      </c>
      <c r="AN4876">
        <v>1.00000004427657</v>
      </c>
    </row>
    <row r="4877" spans="1:40" x14ac:dyDescent="0.25">
      <c r="A4877" t="str">
        <f>"20190312164407272"</f>
        <v>20190312164407272</v>
      </c>
      <c r="B4877" t="str">
        <f>"1552380247259554"</f>
        <v>1552380247259554</v>
      </c>
      <c r="C4877" t="s">
        <v>40</v>
      </c>
      <c r="D4877">
        <v>5.0529679999999999</v>
      </c>
      <c r="E4877">
        <v>0.51128090000000004</v>
      </c>
      <c r="F4877" t="s">
        <v>41</v>
      </c>
      <c r="G4877">
        <v>-260.0616</v>
      </c>
      <c r="H4877">
        <v>1.0564070000000001</v>
      </c>
      <c r="I4877">
        <v>-61.783850000000001</v>
      </c>
      <c r="J4877">
        <v>-260.64890000000003</v>
      </c>
      <c r="K4877">
        <v>1.1079669999999999</v>
      </c>
      <c r="L4877">
        <v>-61.741759999999999</v>
      </c>
      <c r="M4877">
        <v>0.99989079999999997</v>
      </c>
      <c r="N4877">
        <v>0</v>
      </c>
      <c r="O4877">
        <v>1.314334E-2</v>
      </c>
      <c r="P4877">
        <v>0.9929424</v>
      </c>
      <c r="Q4877">
        <v>0.1115292</v>
      </c>
      <c r="R4877">
        <v>-4.033175E-2</v>
      </c>
      <c r="S4877">
        <v>3.038116</v>
      </c>
      <c r="T4877">
        <v>-0.21063129999999999</v>
      </c>
      <c r="U4877">
        <v>-0.16552729999999999</v>
      </c>
      <c r="V4877">
        <v>5.3758569999999999E-2</v>
      </c>
      <c r="W4877">
        <v>0.1180809</v>
      </c>
      <c r="X4877">
        <v>0.99154779999999998</v>
      </c>
      <c r="Y4877">
        <v>6.7329700000000006E-2</v>
      </c>
      <c r="Z4877">
        <v>-3.2389889999999998E-3</v>
      </c>
      <c r="AA4877">
        <v>0.99772550000000004</v>
      </c>
      <c r="AB4877">
        <v>32</v>
      </c>
      <c r="AC4877">
        <v>0.58730000000002702</v>
      </c>
      <c r="AD4877">
        <v>-5.1560000000000002E-2</v>
      </c>
      <c r="AE4877">
        <v>-4.2090000000001702E-2</v>
      </c>
      <c r="AF4877">
        <v>4.9426621645286599E-2</v>
      </c>
      <c r="AG4877">
        <v>-5.1560000000000002E-2</v>
      </c>
      <c r="AH4877">
        <v>0.58223151332594303</v>
      </c>
      <c r="AI4877">
        <v>95.042631051301498</v>
      </c>
      <c r="AJ4877">
        <v>85.147697888104702</v>
      </c>
      <c r="AK4877">
        <v>0.58659607877745301</v>
      </c>
      <c r="AL4877">
        <v>83.218641640495207</v>
      </c>
      <c r="AM4877">
        <v>86.896643309102302</v>
      </c>
      <c r="AN4877">
        <v>1.0000000612390401</v>
      </c>
    </row>
    <row r="4878" spans="1:40" x14ac:dyDescent="0.25">
      <c r="A4878" t="str">
        <f>"20190312164407283"</f>
        <v>20190312164407283</v>
      </c>
      <c r="B4878" t="str">
        <f>"1552380247280050"</f>
        <v>1552380247280050</v>
      </c>
      <c r="C4878" t="s">
        <v>40</v>
      </c>
      <c r="D4878">
        <v>5.053388</v>
      </c>
      <c r="E4878">
        <v>0.51102809999999999</v>
      </c>
      <c r="F4878" t="s">
        <v>41</v>
      </c>
      <c r="G4878">
        <v>-259.78199999999998</v>
      </c>
      <c r="H4878">
        <v>1.048408</v>
      </c>
      <c r="I4878">
        <v>-61.789949999999997</v>
      </c>
      <c r="J4878">
        <v>-260.4837</v>
      </c>
      <c r="K4878">
        <v>1.107966</v>
      </c>
      <c r="L4878">
        <v>-61.740229999999997</v>
      </c>
      <c r="M4878">
        <v>0.99990080000000003</v>
      </c>
      <c r="N4878">
        <v>0</v>
      </c>
      <c r="O4878">
        <v>1.236339E-2</v>
      </c>
      <c r="P4878">
        <v>0.99284799999999995</v>
      </c>
      <c r="Q4878">
        <v>0.1120722</v>
      </c>
      <c r="R4878">
        <v>-4.1146299999999997E-2</v>
      </c>
      <c r="S4878">
        <v>3.0379640000000001</v>
      </c>
      <c r="T4878">
        <v>-0.2085726</v>
      </c>
      <c r="U4878">
        <v>-0.16799929999999999</v>
      </c>
      <c r="V4878">
        <v>5.3798869999999999E-2</v>
      </c>
      <c r="W4878">
        <v>0.1186102</v>
      </c>
      <c r="X4878">
        <v>0.99148239999999999</v>
      </c>
      <c r="Y4878">
        <v>6.7369040000000005E-2</v>
      </c>
      <c r="Z4878">
        <v>-3.1553940000000002E-3</v>
      </c>
      <c r="AA4878">
        <v>0.99772320000000003</v>
      </c>
      <c r="AB4878">
        <v>32</v>
      </c>
      <c r="AC4878">
        <v>0.70170000000001598</v>
      </c>
      <c r="AD4878">
        <v>-5.9558E-2</v>
      </c>
      <c r="AE4878">
        <v>-4.9719999999993499E-2</v>
      </c>
      <c r="AF4878">
        <v>5.7976210468799097E-2</v>
      </c>
      <c r="AG4878">
        <v>-5.9558E-2</v>
      </c>
      <c r="AH4878">
        <v>0.69604236431395305</v>
      </c>
      <c r="AI4878">
        <v>94.873897676565406</v>
      </c>
      <c r="AJ4878">
        <v>85.238591685128796</v>
      </c>
      <c r="AK4878">
        <v>0.70098742446928397</v>
      </c>
      <c r="AL4878">
        <v>83.188100099493099</v>
      </c>
      <c r="AM4878">
        <v>86.894116981507395</v>
      </c>
      <c r="AN4878">
        <v>1.00000002373353</v>
      </c>
    </row>
    <row r="4879" spans="1:40" x14ac:dyDescent="0.25">
      <c r="A4879" t="str">
        <f>"20190312164407294"</f>
        <v>20190312164407294</v>
      </c>
      <c r="B4879" t="str">
        <f>"1552380247289810"</f>
        <v>1552380247289810</v>
      </c>
      <c r="C4879" t="s">
        <v>40</v>
      </c>
      <c r="D4879">
        <v>5.4877449999999897</v>
      </c>
      <c r="E4879">
        <v>0.51090630000000004</v>
      </c>
      <c r="F4879" t="s">
        <v>41</v>
      </c>
      <c r="G4879">
        <v>-259.4966</v>
      </c>
      <c r="H4879">
        <v>1.041015</v>
      </c>
      <c r="I4879">
        <v>-61.795099999999998</v>
      </c>
      <c r="J4879">
        <v>-260.31560000000002</v>
      </c>
      <c r="K4879">
        <v>1.1079650000000001</v>
      </c>
      <c r="L4879">
        <v>-61.738889999999998</v>
      </c>
      <c r="M4879">
        <v>0.99991030000000003</v>
      </c>
      <c r="N4879">
        <v>0</v>
      </c>
      <c r="O4879">
        <v>1.158025E-2</v>
      </c>
      <c r="P4879">
        <v>0.99280210000000002</v>
      </c>
      <c r="Q4879">
        <v>0.1120543</v>
      </c>
      <c r="R4879">
        <v>-4.2287659999999998E-2</v>
      </c>
      <c r="S4879">
        <v>3.0378720000000001</v>
      </c>
      <c r="T4879">
        <v>-0.20593139999999999</v>
      </c>
      <c r="U4879">
        <v>-0.1685181</v>
      </c>
      <c r="V4879">
        <v>5.41612E-2</v>
      </c>
      <c r="W4879">
        <v>0.1185766</v>
      </c>
      <c r="X4879">
        <v>0.99146659999999998</v>
      </c>
      <c r="Y4879">
        <v>6.6766989999999998E-2</v>
      </c>
      <c r="Z4879">
        <v>-3.0422489999999999E-3</v>
      </c>
      <c r="AA4879">
        <v>0.99776390000000004</v>
      </c>
      <c r="AB4879">
        <v>32</v>
      </c>
      <c r="AC4879">
        <v>0.81900000000001605</v>
      </c>
      <c r="AD4879">
        <v>-6.6949999999999801E-2</v>
      </c>
      <c r="AE4879">
        <v>-5.6209999999992898E-2</v>
      </c>
      <c r="AF4879">
        <v>6.5256642852944594E-2</v>
      </c>
      <c r="AG4879">
        <v>-6.6949999999999801E-2</v>
      </c>
      <c r="AH4879">
        <v>0.81288755654639699</v>
      </c>
      <c r="AI4879">
        <v>94.693263838895902</v>
      </c>
      <c r="AJ4879">
        <v>85.410276276068203</v>
      </c>
      <c r="AK4879">
        <v>0.81824624137505797</v>
      </c>
      <c r="AL4879">
        <v>83.190038294371305</v>
      </c>
      <c r="AM4879">
        <v>86.873190808906301</v>
      </c>
      <c r="AN4879">
        <v>0.99999993228427697</v>
      </c>
    </row>
    <row r="4880" spans="1:40" x14ac:dyDescent="0.25">
      <c r="A4880" t="str">
        <f>"20190312164407306"</f>
        <v>20190312164407306</v>
      </c>
      <c r="B4880" t="str">
        <f>"1552380247299570"</f>
        <v>1552380247299570</v>
      </c>
      <c r="C4880" t="s">
        <v>40</v>
      </c>
      <c r="D4880">
        <v>5.2255830000000003</v>
      </c>
      <c r="E4880">
        <v>0.51078170000000001</v>
      </c>
      <c r="F4880" t="s">
        <v>41</v>
      </c>
      <c r="G4880">
        <v>-259.48950000000002</v>
      </c>
      <c r="H4880">
        <v>1.0518829999999999</v>
      </c>
      <c r="I4880">
        <v>-61.785519999999998</v>
      </c>
      <c r="J4880">
        <v>-260.14890000000003</v>
      </c>
      <c r="K4880">
        <v>1.1079669999999999</v>
      </c>
      <c r="L4880">
        <v>-61.737609999999997</v>
      </c>
      <c r="M4880">
        <v>0.999919</v>
      </c>
      <c r="N4880">
        <v>0</v>
      </c>
      <c r="O4880">
        <v>1.0809579999999999E-2</v>
      </c>
      <c r="P4880">
        <v>0.99272720000000003</v>
      </c>
      <c r="Q4880">
        <v>0.1123618</v>
      </c>
      <c r="R4880">
        <v>-4.3218850000000003E-2</v>
      </c>
      <c r="S4880">
        <v>3.0377200000000002</v>
      </c>
      <c r="T4880">
        <v>-0.20609820000000001</v>
      </c>
      <c r="U4880">
        <v>-0.1710815</v>
      </c>
      <c r="V4880">
        <v>5.4326310000000003E-2</v>
      </c>
      <c r="W4880">
        <v>0.11886919999999999</v>
      </c>
      <c r="X4880">
        <v>0.99142260000000004</v>
      </c>
      <c r="Y4880">
        <v>6.6841419999999999E-2</v>
      </c>
      <c r="Z4880">
        <v>-2.995115E-3</v>
      </c>
      <c r="AA4880">
        <v>0.99775910000000001</v>
      </c>
      <c r="AB4880">
        <v>32</v>
      </c>
      <c r="AC4880">
        <v>0.65940000000000498</v>
      </c>
      <c r="AD4880">
        <v>-5.6084000000000002E-2</v>
      </c>
      <c r="AE4880">
        <v>-4.7910000000001597E-2</v>
      </c>
      <c r="AF4880">
        <v>5.4641992818053403E-2</v>
      </c>
      <c r="AG4880">
        <v>-5.6084000000000002E-2</v>
      </c>
      <c r="AH4880">
        <v>0.65413638370194904</v>
      </c>
      <c r="AI4880">
        <v>94.883485636199097</v>
      </c>
      <c r="AJ4880">
        <v>85.224995746890798</v>
      </c>
      <c r="AK4880">
        <v>0.65880617097731597</v>
      </c>
      <c r="AL4880">
        <v>83.173154620224594</v>
      </c>
      <c r="AM4880">
        <v>86.863538841880398</v>
      </c>
      <c r="AN4880">
        <v>1.0000000032287999</v>
      </c>
    </row>
    <row r="4881" spans="1:40" x14ac:dyDescent="0.25">
      <c r="A4881" t="str">
        <f>"20190312164407317"</f>
        <v>20190312164407317</v>
      </c>
      <c r="B4881" t="str">
        <f>"1552380247310306"</f>
        <v>1552380247310306</v>
      </c>
      <c r="C4881" t="s">
        <v>40</v>
      </c>
      <c r="D4881">
        <v>5.4609719999999999</v>
      </c>
      <c r="E4881">
        <v>0.51063139999999996</v>
      </c>
      <c r="F4881" t="s">
        <v>41</v>
      </c>
      <c r="G4881">
        <v>-259.2047</v>
      </c>
      <c r="H4881">
        <v>1.044235</v>
      </c>
      <c r="I4881">
        <v>-61.791580000000003</v>
      </c>
      <c r="J4881">
        <v>-259.98270000000002</v>
      </c>
      <c r="K4881">
        <v>1.107969</v>
      </c>
      <c r="L4881">
        <v>-61.736510000000003</v>
      </c>
      <c r="M4881">
        <v>0.99992700000000001</v>
      </c>
      <c r="N4881">
        <v>0</v>
      </c>
      <c r="O4881">
        <v>1.0048400000000001E-2</v>
      </c>
      <c r="P4881">
        <v>0.9926661</v>
      </c>
      <c r="Q4881">
        <v>0.11254450000000001</v>
      </c>
      <c r="R4881">
        <v>-4.4134960000000001E-2</v>
      </c>
      <c r="S4881">
        <v>3.0376590000000001</v>
      </c>
      <c r="T4881">
        <v>-0.204929</v>
      </c>
      <c r="U4881">
        <v>-0.17285159999999999</v>
      </c>
      <c r="V4881">
        <v>5.4485260000000001E-2</v>
      </c>
      <c r="W4881">
        <v>0.1190373</v>
      </c>
      <c r="X4881">
        <v>0.99139370000000004</v>
      </c>
      <c r="Y4881">
        <v>6.6666699999999995E-2</v>
      </c>
      <c r="Z4881">
        <v>-2.921033E-3</v>
      </c>
      <c r="AA4881">
        <v>0.99777099999999996</v>
      </c>
      <c r="AB4881">
        <v>32</v>
      </c>
      <c r="AC4881">
        <v>0.77800000000002001</v>
      </c>
      <c r="AD4881">
        <v>-6.3733999999999902E-2</v>
      </c>
      <c r="AE4881">
        <v>-5.5070000000007703E-2</v>
      </c>
      <c r="AF4881">
        <v>6.2467922468733297E-2</v>
      </c>
      <c r="AG4881">
        <v>-6.3733999999999902E-2</v>
      </c>
      <c r="AH4881">
        <v>0.77225065347803001</v>
      </c>
      <c r="AI4881">
        <v>94.702648667411694</v>
      </c>
      <c r="AJ4881">
        <v>85.375371573206607</v>
      </c>
      <c r="AK4881">
        <v>0.77739007961949502</v>
      </c>
      <c r="AL4881">
        <v>83.163454272269803</v>
      </c>
      <c r="AM4881">
        <v>86.854288952498706</v>
      </c>
      <c r="AN4881">
        <v>0.99999999537412299</v>
      </c>
    </row>
    <row r="4882" spans="1:40" x14ac:dyDescent="0.25">
      <c r="A4882" t="str">
        <f>"20190312164407328"</f>
        <v>20190312164407328</v>
      </c>
      <c r="B4882" t="str">
        <f>"1552380247320066"</f>
        <v>1552380247320066</v>
      </c>
      <c r="C4882" t="s">
        <v>40</v>
      </c>
      <c r="D4882">
        <v>5.26945</v>
      </c>
      <c r="E4882">
        <v>0.51066729999999905</v>
      </c>
      <c r="F4882" t="s">
        <v>41</v>
      </c>
      <c r="G4882">
        <v>-259.19630000000001</v>
      </c>
      <c r="H4882">
        <v>1.0551010000000001</v>
      </c>
      <c r="I4882">
        <v>-61.781939999999999</v>
      </c>
      <c r="J4882">
        <v>-259.82400000000001</v>
      </c>
      <c r="K4882">
        <v>1.1079730000000001</v>
      </c>
      <c r="L4882">
        <v>-61.735529999999997</v>
      </c>
      <c r="M4882">
        <v>0.99993399999999999</v>
      </c>
      <c r="N4882">
        <v>0</v>
      </c>
      <c r="O4882">
        <v>9.3313300000000005E-3</v>
      </c>
      <c r="P4882">
        <v>0.99257870000000004</v>
      </c>
      <c r="Q4882">
        <v>0.1128923</v>
      </c>
      <c r="R4882">
        <v>-4.5198519999999999E-2</v>
      </c>
      <c r="S4882">
        <v>3.0375369999999999</v>
      </c>
      <c r="T4882">
        <v>-0.20410619999999999</v>
      </c>
      <c r="U4882">
        <v>-0.17452999999999999</v>
      </c>
      <c r="V4882">
        <v>5.4835559999999998E-2</v>
      </c>
      <c r="W4882">
        <v>0.11937150000000001</v>
      </c>
      <c r="X4882">
        <v>0.99133419999999906</v>
      </c>
      <c r="Y4882">
        <v>6.6506350000000006E-2</v>
      </c>
      <c r="Z4882">
        <v>-2.85593E-3</v>
      </c>
      <c r="AA4882">
        <v>0.9977819</v>
      </c>
      <c r="AB4882">
        <v>32</v>
      </c>
      <c r="AC4882">
        <v>0.62770000000000403</v>
      </c>
      <c r="AD4882">
        <v>-5.2871999999999801E-2</v>
      </c>
      <c r="AE4882">
        <v>-4.6410000000001603E-2</v>
      </c>
      <c r="AF4882">
        <v>5.1899168491899003E-2</v>
      </c>
      <c r="AG4882">
        <v>-5.2871999999999801E-2</v>
      </c>
      <c r="AH4882">
        <v>0.62284458949225396</v>
      </c>
      <c r="AI4882">
        <v>94.835411108895002</v>
      </c>
      <c r="AJ4882">
        <v>85.236773732918394</v>
      </c>
      <c r="AK4882">
        <v>0.62723548586948097</v>
      </c>
      <c r="AL4882">
        <v>83.144168506515399</v>
      </c>
      <c r="AM4882">
        <v>86.833915731520406</v>
      </c>
      <c r="AN4882">
        <v>0.99999999487120095</v>
      </c>
    </row>
    <row r="4883" spans="1:40" x14ac:dyDescent="0.25">
      <c r="A4883" t="str">
        <f>"20190312164407339"</f>
        <v>20190312164407339</v>
      </c>
      <c r="B4883" t="str">
        <f>"1552380247329827"</f>
        <v>1552380247329827</v>
      </c>
      <c r="C4883" t="s">
        <v>40</v>
      </c>
      <c r="D4883">
        <v>5.1142209999999997</v>
      </c>
      <c r="E4883">
        <v>0.51066729999999905</v>
      </c>
      <c r="F4883" t="s">
        <v>41</v>
      </c>
      <c r="G4883">
        <v>-258.91219999999998</v>
      </c>
      <c r="H4883">
        <v>1.0472250000000001</v>
      </c>
      <c r="I4883">
        <v>-61.789079999999998</v>
      </c>
      <c r="J4883">
        <v>-259.66379999999998</v>
      </c>
      <c r="K4883">
        <v>1.1079779999999999</v>
      </c>
      <c r="L4883">
        <v>-61.734650000000002</v>
      </c>
      <c r="M4883">
        <v>0.99994050000000001</v>
      </c>
      <c r="N4883">
        <v>0</v>
      </c>
      <c r="O4883">
        <v>8.6119960000000002E-3</v>
      </c>
      <c r="P4883">
        <v>0.99250559999999999</v>
      </c>
      <c r="Q4883">
        <v>0.1131014</v>
      </c>
      <c r="R4883">
        <v>-4.6269709999999999E-2</v>
      </c>
      <c r="S4883">
        <v>3.0373230000000002</v>
      </c>
      <c r="T4883">
        <v>-0.20232420000000001</v>
      </c>
      <c r="U4883">
        <v>-0.17822270000000001</v>
      </c>
      <c r="V4883">
        <v>5.5190990000000002E-2</v>
      </c>
      <c r="W4883">
        <v>0.11956799999999999</v>
      </c>
      <c r="X4883">
        <v>0.99129080000000003</v>
      </c>
      <c r="Y4883">
        <v>6.7004999999999995E-2</v>
      </c>
      <c r="Z4883">
        <v>-2.799897E-3</v>
      </c>
      <c r="AA4883">
        <v>0.99774870000000004</v>
      </c>
      <c r="AB4883">
        <v>32</v>
      </c>
      <c r="AC4883">
        <v>0.75159999999999605</v>
      </c>
      <c r="AD4883">
        <v>-6.0753000000000001E-2</v>
      </c>
      <c r="AE4883">
        <v>-5.4430000000003503E-2</v>
      </c>
      <c r="AF4883">
        <v>6.0507624118572703E-2</v>
      </c>
      <c r="AG4883">
        <v>-6.0753000000000001E-2</v>
      </c>
      <c r="AH4883">
        <v>0.74625297913962796</v>
      </c>
      <c r="AI4883">
        <v>94.639069567981494</v>
      </c>
      <c r="AJ4883">
        <v>85.364488838504499</v>
      </c>
      <c r="AK4883">
        <v>0.75116283751277502</v>
      </c>
      <c r="AL4883">
        <v>83.132828710901194</v>
      </c>
      <c r="AM4883">
        <v>86.813296918896995</v>
      </c>
      <c r="AN4883">
        <v>1.00000000108291</v>
      </c>
    </row>
    <row r="4884" spans="1:40" x14ac:dyDescent="0.25">
      <c r="A4884" t="str">
        <f>"20190312164407351"</f>
        <v>20190312164407351</v>
      </c>
      <c r="B4884" t="str">
        <f>"1552380247339586"</f>
        <v>1552380247339586</v>
      </c>
      <c r="C4884" t="s">
        <v>40</v>
      </c>
      <c r="D4884">
        <v>5.0775030000000001</v>
      </c>
      <c r="E4884">
        <v>0.52799770000000001</v>
      </c>
      <c r="F4884" t="s">
        <v>55</v>
      </c>
      <c r="G4884">
        <v>-242.9812</v>
      </c>
      <c r="H4884" s="1">
        <v>-8.9039429999999995E-7</v>
      </c>
      <c r="I4884">
        <v>-62.7301199999999</v>
      </c>
      <c r="J4884">
        <v>-259.4975</v>
      </c>
      <c r="K4884">
        <v>1.1079810000000001</v>
      </c>
      <c r="L4884">
        <v>-61.73386</v>
      </c>
      <c r="M4884">
        <v>0.99994669999999997</v>
      </c>
      <c r="N4884">
        <v>0</v>
      </c>
      <c r="O4884">
        <v>7.8810000000000009E-3</v>
      </c>
      <c r="P4884">
        <v>0.99240130000000004</v>
      </c>
      <c r="Q4884">
        <v>0.113535999999999</v>
      </c>
      <c r="R4884">
        <v>-4.7429649999999997E-2</v>
      </c>
      <c r="S4884">
        <v>3.037201</v>
      </c>
      <c r="T4884">
        <v>-0.2017157</v>
      </c>
      <c r="U4884">
        <v>-0.18124390000000001</v>
      </c>
      <c r="V4884">
        <v>5.5623449999999998E-2</v>
      </c>
      <c r="W4884">
        <v>0.11998979999999999</v>
      </c>
      <c r="X4884">
        <v>0.99121559999999997</v>
      </c>
      <c r="Y4884">
        <v>6.7269010000000004E-2</v>
      </c>
      <c r="Z4884">
        <v>-2.7518170000000002E-3</v>
      </c>
      <c r="AA4884">
        <v>0.99773109999999998</v>
      </c>
      <c r="AB4884">
        <v>32</v>
      </c>
      <c r="AC4884">
        <v>16.516300000000001</v>
      </c>
      <c r="AD4884">
        <v>-1.1079818903943</v>
      </c>
      <c r="AE4884">
        <v>-0.99625999999999204</v>
      </c>
      <c r="AF4884">
        <v>1.1213687335223499</v>
      </c>
      <c r="AG4884">
        <v>-1.1079818903943</v>
      </c>
      <c r="AH4884">
        <v>16.434244728627601</v>
      </c>
      <c r="AI4884">
        <v>93.848072225565403</v>
      </c>
      <c r="AJ4884">
        <v>86.096549464781305</v>
      </c>
      <c r="AK4884">
        <v>16.509678722082601</v>
      </c>
      <c r="AL4884">
        <v>83.108485696237395</v>
      </c>
      <c r="AM4884">
        <v>86.788135795944498</v>
      </c>
      <c r="AN4884">
        <v>0.99999994298864903</v>
      </c>
    </row>
    <row r="4885" spans="1:40" x14ac:dyDescent="0.25">
      <c r="A4885" t="str">
        <f>"20190312164407374"</f>
        <v>20190312164407374</v>
      </c>
      <c r="B4885" t="str">
        <f>"1552380247369844"</f>
        <v>1552380247369844</v>
      </c>
      <c r="C4885" t="s">
        <v>40</v>
      </c>
      <c r="D4885">
        <v>5.0556210000000004</v>
      </c>
      <c r="E4885">
        <v>0.53314649999999997</v>
      </c>
      <c r="F4885" t="s">
        <v>41</v>
      </c>
      <c r="G4885">
        <v>-258.61410000000001</v>
      </c>
      <c r="H4885">
        <v>1.0523579999999999</v>
      </c>
      <c r="I4885">
        <v>-61.828600000000002</v>
      </c>
      <c r="J4885">
        <v>-259.16500000000002</v>
      </c>
      <c r="K4885">
        <v>1.1079939999999999</v>
      </c>
      <c r="L4885">
        <v>-61.732640000000004</v>
      </c>
      <c r="M4885">
        <v>0.99995710000000004</v>
      </c>
      <c r="N4885">
        <v>0</v>
      </c>
      <c r="O4885">
        <v>6.4446520000000004E-3</v>
      </c>
      <c r="P4885">
        <v>0.99224349999999994</v>
      </c>
      <c r="Q4885">
        <v>0.11396050000000001</v>
      </c>
      <c r="R4885">
        <v>-4.966015E-2</v>
      </c>
      <c r="S4885">
        <v>3.0292659999999998</v>
      </c>
      <c r="T4885">
        <v>-0.1905512</v>
      </c>
      <c r="U4885">
        <v>-0.32379150000000001</v>
      </c>
      <c r="V4885">
        <v>5.6423059999999997E-2</v>
      </c>
      <c r="W4885">
        <v>0.1203922</v>
      </c>
      <c r="X4885">
        <v>0.99112160000000005</v>
      </c>
      <c r="Y4885">
        <v>0.112456</v>
      </c>
      <c r="Z4885">
        <v>-3.9273210000000001E-3</v>
      </c>
      <c r="AA4885">
        <v>0.99364889999999995</v>
      </c>
      <c r="AB4885">
        <v>33</v>
      </c>
      <c r="AC4885">
        <v>0.55090000000001205</v>
      </c>
      <c r="AD4885">
        <v>-5.5636000000000199E-2</v>
      </c>
      <c r="AE4885">
        <v>-9.5959999999998005E-2</v>
      </c>
      <c r="AF4885">
        <v>9.8533079455463607E-2</v>
      </c>
      <c r="AG4885">
        <v>-5.5636000000000199E-2</v>
      </c>
      <c r="AH4885">
        <v>0.54487646140792501</v>
      </c>
      <c r="AI4885">
        <v>95.737700990277304</v>
      </c>
      <c r="AJ4885">
        <v>79.749657407344003</v>
      </c>
      <c r="AK4885">
        <v>0.55650201296976298</v>
      </c>
      <c r="AL4885">
        <v>83.085261458793894</v>
      </c>
      <c r="AM4885">
        <v>86.741754358563796</v>
      </c>
      <c r="AN4885">
        <v>0.99999993475357896</v>
      </c>
    </row>
    <row r="4886" spans="1:40" x14ac:dyDescent="0.25">
      <c r="A4886" t="str">
        <f>"20190312164407387"</f>
        <v>20190312164407387</v>
      </c>
      <c r="B4886" t="str">
        <f>"1552380247379602"</f>
        <v>1552380247379602</v>
      </c>
      <c r="C4886" t="s">
        <v>40</v>
      </c>
      <c r="D4886">
        <v>5.035075</v>
      </c>
      <c r="E4886">
        <v>0.53376380000000001</v>
      </c>
      <c r="F4886" t="s">
        <v>55</v>
      </c>
      <c r="G4886">
        <v>-241.19880000000001</v>
      </c>
      <c r="H4886" s="1">
        <v>-4.4814430000000002E-7</v>
      </c>
      <c r="I4886">
        <v>-63.941650000000003</v>
      </c>
      <c r="J4886">
        <v>-258.97309999999999</v>
      </c>
      <c r="K4886">
        <v>1.108007</v>
      </c>
      <c r="L4886">
        <v>-61.732089999999999</v>
      </c>
      <c r="M4886">
        <v>0.99996200000000002</v>
      </c>
      <c r="N4886">
        <v>0</v>
      </c>
      <c r="O4886">
        <v>5.6340619999999996E-3</v>
      </c>
      <c r="P4886">
        <v>0.99216219999999999</v>
      </c>
      <c r="Q4886">
        <v>0.1142345</v>
      </c>
      <c r="R4886">
        <v>-5.0642340000000001E-2</v>
      </c>
      <c r="S4886">
        <v>3.0262449999999999</v>
      </c>
      <c r="T4886">
        <v>-0.1866324</v>
      </c>
      <c r="U4886">
        <v>-0.37210080000000001</v>
      </c>
      <c r="V4886">
        <v>5.6597910000000001E-2</v>
      </c>
      <c r="W4886">
        <v>0.120655399999999</v>
      </c>
      <c r="X4886">
        <v>0.99107970000000001</v>
      </c>
      <c r="Y4886">
        <v>0.12737999999999999</v>
      </c>
      <c r="Z4886">
        <v>-4.255305E-3</v>
      </c>
      <c r="AA4886">
        <v>0.99184479999999997</v>
      </c>
      <c r="AB4886">
        <v>33</v>
      </c>
      <c r="AC4886">
        <v>17.774299999999901</v>
      </c>
      <c r="AD4886">
        <v>-1.1080074481443001</v>
      </c>
      <c r="AE4886">
        <v>-2.2095600000000002</v>
      </c>
      <c r="AF4886">
        <v>2.3008636166823599</v>
      </c>
      <c r="AG4886">
        <v>-1.1080074481443001</v>
      </c>
      <c r="AH4886">
        <v>17.693857248432099</v>
      </c>
      <c r="AI4886">
        <v>93.553401504823597</v>
      </c>
      <c r="AJ4886">
        <v>82.590979281392706</v>
      </c>
      <c r="AK4886">
        <v>17.877198835824601</v>
      </c>
      <c r="AL4886">
        <v>83.070070999456604</v>
      </c>
      <c r="AM4886">
        <v>86.731541327205704</v>
      </c>
      <c r="AN4886">
        <v>1.0000000103588</v>
      </c>
    </row>
    <row r="4887" spans="1:40" x14ac:dyDescent="0.25">
      <c r="A4887" t="str">
        <f>"20190312164407398"</f>
        <v>20190312164407398</v>
      </c>
      <c r="B4887" t="str">
        <f>"1552380247390339"</f>
        <v>1552380247390339</v>
      </c>
      <c r="C4887" t="s">
        <v>40</v>
      </c>
      <c r="D4887">
        <v>5.4932670000000003</v>
      </c>
      <c r="E4887">
        <v>0.53398330000000005</v>
      </c>
      <c r="F4887" t="s">
        <v>41</v>
      </c>
      <c r="G4887">
        <v>-258.02109999999999</v>
      </c>
      <c r="H4887">
        <v>1.049304</v>
      </c>
      <c r="I4887">
        <v>-61.852040000000002</v>
      </c>
      <c r="J4887">
        <v>-258.80450000000002</v>
      </c>
      <c r="K4887">
        <v>1.1080159999999999</v>
      </c>
      <c r="L4887">
        <v>-61.731720000000003</v>
      </c>
      <c r="M4887">
        <v>0.99996580000000002</v>
      </c>
      <c r="N4887">
        <v>0</v>
      </c>
      <c r="O4887">
        <v>4.9309109999999996E-3</v>
      </c>
      <c r="P4887">
        <v>0.99209959999999997</v>
      </c>
      <c r="Q4887">
        <v>0.11443730000000001</v>
      </c>
      <c r="R4887">
        <v>-5.1409150000000001E-2</v>
      </c>
      <c r="S4887">
        <v>3.0257719999999999</v>
      </c>
      <c r="T4887">
        <v>-0.18640209999999999</v>
      </c>
      <c r="U4887">
        <v>-0.3804321</v>
      </c>
      <c r="V4887">
        <v>5.6664180000000001E-2</v>
      </c>
      <c r="W4887">
        <v>0.1208499</v>
      </c>
      <c r="X4887">
        <v>0.99105220000000005</v>
      </c>
      <c r="Y4887">
        <v>0.1293887</v>
      </c>
      <c r="Z4887">
        <v>-4.2684630000000001E-3</v>
      </c>
      <c r="AA4887">
        <v>0.99158480000000004</v>
      </c>
      <c r="AB4887">
        <v>33</v>
      </c>
      <c r="AC4887">
        <v>0.78340000000002796</v>
      </c>
      <c r="AD4887">
        <v>-5.8711999999999799E-2</v>
      </c>
      <c r="AE4887">
        <v>-0.12032000000000601</v>
      </c>
      <c r="AF4887">
        <v>0.12350379204652701</v>
      </c>
      <c r="AG4887">
        <v>-5.8711999999999799E-2</v>
      </c>
      <c r="AH4887">
        <v>0.77852515156138202</v>
      </c>
      <c r="AI4887">
        <v>94.259695535861994</v>
      </c>
      <c r="AJ4887">
        <v>80.985819632578298</v>
      </c>
      <c r="AK4887">
        <v>0.79044398739413801</v>
      </c>
      <c r="AL4887">
        <v>83.0588447198095</v>
      </c>
      <c r="AM4887">
        <v>86.727632026284297</v>
      </c>
      <c r="AN4887">
        <v>0.99999999537496098</v>
      </c>
    </row>
    <row r="4888" spans="1:40" x14ac:dyDescent="0.25">
      <c r="A4888" t="str">
        <f>"20190312164407409"</f>
        <v>20190312164407409</v>
      </c>
      <c r="B4888" t="str">
        <f>"1552380247400098"</f>
        <v>1552380247400098</v>
      </c>
      <c r="C4888" t="s">
        <v>40</v>
      </c>
      <c r="D4888">
        <v>5.1995490000000002</v>
      </c>
      <c r="E4888">
        <v>0.53417150000000002</v>
      </c>
      <c r="F4888" t="s">
        <v>55</v>
      </c>
      <c r="G4888">
        <v>-240.84809999999999</v>
      </c>
      <c r="H4888" s="1">
        <v>-3.174503E-7</v>
      </c>
      <c r="I4888">
        <v>-64.015979999999999</v>
      </c>
      <c r="J4888">
        <v>-258.64049999999997</v>
      </c>
      <c r="K4888">
        <v>1.1080289999999999</v>
      </c>
      <c r="L4888">
        <v>-61.731540000000003</v>
      </c>
      <c r="M4888">
        <v>0.99996910000000006</v>
      </c>
      <c r="N4888">
        <v>0</v>
      </c>
      <c r="O4888">
        <v>4.2586200000000003E-3</v>
      </c>
      <c r="P4888">
        <v>0.99203640000000004</v>
      </c>
      <c r="Q4888">
        <v>0.11458119999999999</v>
      </c>
      <c r="R4888">
        <v>-5.229864E-2</v>
      </c>
      <c r="S4888">
        <v>3.0254819999999998</v>
      </c>
      <c r="T4888">
        <v>-0.1866903</v>
      </c>
      <c r="U4888">
        <v>-0.3848877</v>
      </c>
      <c r="V4888">
        <v>5.6884070000000002E-2</v>
      </c>
      <c r="W4888">
        <v>0.1209858</v>
      </c>
      <c r="X4888">
        <v>0.99102299999999999</v>
      </c>
      <c r="Y4888">
        <v>0.13017010000000001</v>
      </c>
      <c r="Z4888">
        <v>-4.257767E-3</v>
      </c>
      <c r="AA4888">
        <v>0.99148259999999999</v>
      </c>
      <c r="AB4888">
        <v>33</v>
      </c>
      <c r="AC4888">
        <v>17.792399999999901</v>
      </c>
      <c r="AD4888">
        <v>-1.1080293174503</v>
      </c>
      <c r="AE4888">
        <v>-2.2844399999999898</v>
      </c>
      <c r="AF4888">
        <v>2.35122131657997</v>
      </c>
      <c r="AG4888">
        <v>-1.1080293174503</v>
      </c>
      <c r="AH4888">
        <v>17.714921554833499</v>
      </c>
      <c r="AI4888">
        <v>93.548028114967394</v>
      </c>
      <c r="AJ4888">
        <v>82.439578920219702</v>
      </c>
      <c r="AK4888">
        <v>17.904592046225801</v>
      </c>
      <c r="AL4888">
        <v>83.051000517596904</v>
      </c>
      <c r="AM4888">
        <v>86.714864511327804</v>
      </c>
      <c r="AN4888">
        <v>0.99999997387520201</v>
      </c>
    </row>
    <row r="4889" spans="1:40" x14ac:dyDescent="0.25">
      <c r="A4889" t="str">
        <f>"20190312164407421"</f>
        <v>20190312164407421</v>
      </c>
      <c r="B4889" t="str">
        <f>"1552380247409858"</f>
        <v>1552380247409858</v>
      </c>
      <c r="C4889" t="s">
        <v>40</v>
      </c>
      <c r="D4889">
        <v>5.4201309999999996</v>
      </c>
      <c r="E4889">
        <v>0.53422360000000002</v>
      </c>
      <c r="F4889" t="s">
        <v>55</v>
      </c>
      <c r="G4889">
        <v>-240.697</v>
      </c>
      <c r="H4889" s="1">
        <v>-2.5944250000000002E-7</v>
      </c>
      <c r="I4889">
        <v>-64.041569999999993</v>
      </c>
      <c r="J4889">
        <v>-258.46480000000003</v>
      </c>
      <c r="K4889">
        <v>1.108039</v>
      </c>
      <c r="L4889">
        <v>-61.731380000000001</v>
      </c>
      <c r="M4889">
        <v>0.99997179999999997</v>
      </c>
      <c r="N4889">
        <v>0</v>
      </c>
      <c r="O4889">
        <v>3.542885E-3</v>
      </c>
      <c r="P4889">
        <v>0.99200080000000002</v>
      </c>
      <c r="Q4889">
        <v>0.1144593</v>
      </c>
      <c r="R4889">
        <v>-5.3229999999999902E-2</v>
      </c>
      <c r="S4889">
        <v>3.025131</v>
      </c>
      <c r="T4889">
        <v>-0.1868051</v>
      </c>
      <c r="U4889">
        <v>-0.38946530000000001</v>
      </c>
      <c r="V4889">
        <v>5.7101680000000002E-2</v>
      </c>
      <c r="W4889">
        <v>0.12085650000000001</v>
      </c>
      <c r="X4889">
        <v>0.99102630000000003</v>
      </c>
      <c r="Y4889">
        <v>0.1309505</v>
      </c>
      <c r="Z4889">
        <v>-4.2404579999999999E-3</v>
      </c>
      <c r="AA4889">
        <v>0.99137989999999998</v>
      </c>
      <c r="AB4889">
        <v>33</v>
      </c>
      <c r="AC4889">
        <v>17.767800000000001</v>
      </c>
      <c r="AD4889">
        <v>-1.1080392594424999</v>
      </c>
      <c r="AE4889">
        <v>-2.3101899999999902</v>
      </c>
      <c r="AF4889">
        <v>2.3640849654467799</v>
      </c>
      <c r="AG4889">
        <v>-1.1080392594424999</v>
      </c>
      <c r="AH4889">
        <v>17.6918430263133</v>
      </c>
      <c r="AI4889">
        <v>93.552258962718</v>
      </c>
      <c r="AJ4889">
        <v>82.388898306002204</v>
      </c>
      <c r="AK4889">
        <v>17.8834548785191</v>
      </c>
      <c r="AL4889">
        <v>83.058463887076101</v>
      </c>
      <c r="AM4889">
        <v>86.702335865355707</v>
      </c>
      <c r="AN4889">
        <v>1.0000000113713801</v>
      </c>
    </row>
    <row r="4890" spans="1:40" x14ac:dyDescent="0.25">
      <c r="A4890" t="str">
        <f>"20190312164407432"</f>
        <v>20190312164407432</v>
      </c>
      <c r="B4890" t="str">
        <f>"1552380247430354"</f>
        <v>1552380247430354</v>
      </c>
      <c r="C4890" t="s">
        <v>40</v>
      </c>
      <c r="D4890">
        <v>5.3434210000000002</v>
      </c>
      <c r="E4890">
        <v>0.53413029999999995</v>
      </c>
      <c r="F4890" t="s">
        <v>41</v>
      </c>
      <c r="G4890">
        <v>-257.44119999999998</v>
      </c>
      <c r="H4890">
        <v>1.0443420000000001</v>
      </c>
      <c r="I4890">
        <v>-61.864559999999997</v>
      </c>
      <c r="J4890">
        <v>-258.29219999999998</v>
      </c>
      <c r="K4890">
        <v>1.1080460000000001</v>
      </c>
      <c r="L4890">
        <v>-61.731380000000001</v>
      </c>
      <c r="M4890">
        <v>0.99997409999999998</v>
      </c>
      <c r="N4890">
        <v>0</v>
      </c>
      <c r="O4890">
        <v>2.8539500000000001E-3</v>
      </c>
      <c r="P4890">
        <v>0.99195230000000001</v>
      </c>
      <c r="Q4890">
        <v>0.1144921</v>
      </c>
      <c r="R4890">
        <v>-5.4057290000000001E-2</v>
      </c>
      <c r="S4890">
        <v>3.0248110000000001</v>
      </c>
      <c r="T4890">
        <v>-0.1881015</v>
      </c>
      <c r="U4890">
        <v>-0.39288329999999999</v>
      </c>
      <c r="V4890">
        <v>5.7242759999999997E-2</v>
      </c>
      <c r="W4890">
        <v>0.12088309999999999</v>
      </c>
      <c r="X4890">
        <v>0.99101490000000003</v>
      </c>
      <c r="Y4890">
        <v>0.13137960000000001</v>
      </c>
      <c r="Z4890">
        <v>-4.2406170000000003E-3</v>
      </c>
      <c r="AA4890">
        <v>0.99132310000000001</v>
      </c>
      <c r="AB4890">
        <v>33</v>
      </c>
      <c r="AC4890">
        <v>0.85099999999999898</v>
      </c>
      <c r="AD4890">
        <v>-6.3703999999999705E-2</v>
      </c>
      <c r="AE4890">
        <v>-0.133179999999995</v>
      </c>
      <c r="AF4890">
        <v>0.13487051682946399</v>
      </c>
      <c r="AG4890">
        <v>-6.3703999999999705E-2</v>
      </c>
      <c r="AH4890">
        <v>0.84598910528824101</v>
      </c>
      <c r="AI4890">
        <v>94.252809750917507</v>
      </c>
      <c r="AJ4890">
        <v>80.941934305286097</v>
      </c>
      <c r="AK4890">
        <v>0.85903773036592801</v>
      </c>
      <c r="AL4890">
        <v>83.056928446817906</v>
      </c>
      <c r="AM4890">
        <v>86.694168495335603</v>
      </c>
      <c r="AN4890">
        <v>0.99999999473001799</v>
      </c>
    </row>
    <row r="4891" spans="1:40" x14ac:dyDescent="0.25">
      <c r="A4891" t="str">
        <f>"20190312164407443"</f>
        <v>20190312164407443</v>
      </c>
      <c r="B4891" t="str">
        <f>"1552380247440113"</f>
        <v>1552380247440113</v>
      </c>
      <c r="C4891" t="s">
        <v>40</v>
      </c>
      <c r="D4891">
        <v>5.0676750000000004</v>
      </c>
      <c r="E4891">
        <v>0.53415449999999998</v>
      </c>
      <c r="F4891" t="s">
        <v>55</v>
      </c>
      <c r="G4891">
        <v>-240.40430000000001</v>
      </c>
      <c r="H4891" s="1">
        <v>-1.4064309999999999E-7</v>
      </c>
      <c r="I4891">
        <v>-64.066929999999999</v>
      </c>
      <c r="J4891">
        <v>-258.149</v>
      </c>
      <c r="K4891">
        <v>1.10805</v>
      </c>
      <c r="L4891">
        <v>-61.731409999999997</v>
      </c>
      <c r="M4891">
        <v>0.99997559999999996</v>
      </c>
      <c r="N4891">
        <v>0</v>
      </c>
      <c r="O4891">
        <v>2.2841340000000002E-3</v>
      </c>
      <c r="P4891">
        <v>0.99188410000000005</v>
      </c>
      <c r="Q4891">
        <v>0.1146331</v>
      </c>
      <c r="R4891">
        <v>-5.5006480000000003E-2</v>
      </c>
      <c r="S4891">
        <v>3.0244140000000002</v>
      </c>
      <c r="T4891">
        <v>-0.1873447</v>
      </c>
      <c r="U4891">
        <v>-0.39489750000000001</v>
      </c>
      <c r="V4891">
        <v>5.7624639999999998E-2</v>
      </c>
      <c r="W4891">
        <v>0.1210175</v>
      </c>
      <c r="X4891">
        <v>0.99097639999999998</v>
      </c>
      <c r="Y4891">
        <v>0.131483399999999</v>
      </c>
      <c r="Z4891">
        <v>-4.1920359999999997E-3</v>
      </c>
      <c r="AA4891">
        <v>0.99130949999999995</v>
      </c>
      <c r="AB4891">
        <v>33</v>
      </c>
      <c r="AC4891">
        <v>17.744699999999899</v>
      </c>
      <c r="AD4891">
        <v>-1.1080501406431</v>
      </c>
      <c r="AE4891">
        <v>-2.3355199999999998</v>
      </c>
      <c r="AF4891">
        <v>2.36697379287979</v>
      </c>
      <c r="AG4891">
        <v>-1.1080501406431</v>
      </c>
      <c r="AH4891">
        <v>17.671586302547201</v>
      </c>
      <c r="AI4891">
        <v>93.556207640480693</v>
      </c>
      <c r="AJ4891">
        <v>82.371074804651499</v>
      </c>
      <c r="AK4891">
        <v>17.863798658144798</v>
      </c>
      <c r="AL4891">
        <v>83.049171188446707</v>
      </c>
      <c r="AM4891">
        <v>86.672034915271396</v>
      </c>
      <c r="AN4891">
        <v>1.00000002989916</v>
      </c>
    </row>
    <row r="4892" spans="1:40" x14ac:dyDescent="0.25">
      <c r="A4892" t="str">
        <f>"20190312164407452"</f>
        <v>20190312164407452</v>
      </c>
      <c r="B4892" t="str">
        <f>"1552380247449875"</f>
        <v>1552380247449875</v>
      </c>
      <c r="C4892" t="s">
        <v>40</v>
      </c>
      <c r="D4892">
        <v>5.2252939999999999</v>
      </c>
      <c r="E4892">
        <v>0.53412299999999902</v>
      </c>
      <c r="F4892" t="s">
        <v>41</v>
      </c>
      <c r="G4892">
        <v>-257.14120000000003</v>
      </c>
      <c r="H4892">
        <v>1.045436</v>
      </c>
      <c r="I4892">
        <v>-61.864049999999999</v>
      </c>
      <c r="J4892">
        <v>-257.99470000000002</v>
      </c>
      <c r="K4892">
        <v>1.1080540000000001</v>
      </c>
      <c r="L4892">
        <v>-61.7316</v>
      </c>
      <c r="M4892">
        <v>0.9999768</v>
      </c>
      <c r="N4892">
        <v>0</v>
      </c>
      <c r="O4892">
        <v>1.679619E-3</v>
      </c>
      <c r="P4892">
        <v>0.99181629999999998</v>
      </c>
      <c r="Q4892">
        <v>0.1149058</v>
      </c>
      <c r="R4892">
        <v>-5.5653889999999998E-2</v>
      </c>
      <c r="S4892">
        <v>3.0242</v>
      </c>
      <c r="T4892">
        <v>-0.1878705</v>
      </c>
      <c r="U4892">
        <v>-0.39785769999999998</v>
      </c>
      <c r="V4892">
        <v>5.7671140000000003E-2</v>
      </c>
      <c r="W4892">
        <v>0.1212858</v>
      </c>
      <c r="X4892">
        <v>0.99094090000000001</v>
      </c>
      <c r="Y4892">
        <v>0.13184609999999999</v>
      </c>
      <c r="Z4892">
        <v>-4.1776540000000003E-3</v>
      </c>
      <c r="AA4892">
        <v>0.99126139999999996</v>
      </c>
      <c r="AB4892">
        <v>33</v>
      </c>
      <c r="AC4892">
        <v>0.85349999999999604</v>
      </c>
      <c r="AD4892">
        <v>-6.2617999999999993E-2</v>
      </c>
      <c r="AE4892">
        <v>-0.13244999999999801</v>
      </c>
      <c r="AF4892">
        <v>0.13318338550049799</v>
      </c>
      <c r="AG4892">
        <v>-6.2617999999999993E-2</v>
      </c>
      <c r="AH4892">
        <v>0.84881494257285195</v>
      </c>
      <c r="AI4892">
        <v>94.168313937506994</v>
      </c>
      <c r="AJ4892">
        <v>81.082705103116893</v>
      </c>
      <c r="AK4892">
        <v>0.86147874891510101</v>
      </c>
      <c r="AL4892">
        <v>83.033684703671696</v>
      </c>
      <c r="AM4892">
        <v>86.669236418734201</v>
      </c>
      <c r="AN4892">
        <v>1.0000000364816699</v>
      </c>
    </row>
    <row r="4893" spans="1:40" x14ac:dyDescent="0.25">
      <c r="A4893" t="str">
        <f>"20190312164407462"</f>
        <v>20190312164407462</v>
      </c>
      <c r="B4893" t="str">
        <f>"1552380247459634"</f>
        <v>1552380247459634</v>
      </c>
      <c r="C4893" t="s">
        <v>40</v>
      </c>
      <c r="D4893">
        <v>5.0618309999999997</v>
      </c>
      <c r="E4893">
        <v>0.53415159999999995</v>
      </c>
      <c r="F4893" t="s">
        <v>55</v>
      </c>
      <c r="G4893">
        <v>-240.10499999999999</v>
      </c>
      <c r="H4893" s="1">
        <v>-1.9971820000000001E-8</v>
      </c>
      <c r="I4893">
        <v>-64.096009999999893</v>
      </c>
      <c r="J4893">
        <v>-257.8553</v>
      </c>
      <c r="K4893">
        <v>1.1080669999999999</v>
      </c>
      <c r="L4893">
        <v>-61.731810000000003</v>
      </c>
      <c r="M4893">
        <v>0.99997760000000002</v>
      </c>
      <c r="N4893">
        <v>0</v>
      </c>
      <c r="O4893">
        <v>1.134396E-3</v>
      </c>
      <c r="P4893">
        <v>0.99176030000000004</v>
      </c>
      <c r="Q4893">
        <v>0.1150669</v>
      </c>
      <c r="R4893">
        <v>-5.6312699999999903E-2</v>
      </c>
      <c r="S4893">
        <v>3.0240629999999999</v>
      </c>
      <c r="T4893">
        <v>-0.1873049</v>
      </c>
      <c r="U4893">
        <v>-0.39968870000000001</v>
      </c>
      <c r="V4893">
        <v>5.7787749999999999E-2</v>
      </c>
      <c r="W4893">
        <v>0.12144249999999999</v>
      </c>
      <c r="X4893">
        <v>0.99091490000000004</v>
      </c>
      <c r="Y4893">
        <v>0.13190389999999999</v>
      </c>
      <c r="Z4893">
        <v>-4.1333070000000001E-3</v>
      </c>
      <c r="AA4893">
        <v>0.99125390000000002</v>
      </c>
      <c r="AB4893">
        <v>33</v>
      </c>
      <c r="AC4893">
        <v>17.750299999999999</v>
      </c>
      <c r="AD4893">
        <v>-1.1080670199718201</v>
      </c>
      <c r="AE4893">
        <v>-2.3641999999999901</v>
      </c>
      <c r="AF4893">
        <v>2.37524002575101</v>
      </c>
      <c r="AG4893">
        <v>-1.1080670199718201</v>
      </c>
      <c r="AH4893">
        <v>17.679910454450201</v>
      </c>
      <c r="AI4893">
        <v>93.554402619280296</v>
      </c>
      <c r="AJ4893">
        <v>82.348309126969497</v>
      </c>
      <c r="AK4893">
        <v>17.873130989786201</v>
      </c>
      <c r="AL4893">
        <v>83.024639492485505</v>
      </c>
      <c r="AM4893">
        <v>86.662429511614604</v>
      </c>
      <c r="AN4893">
        <v>1.00000002194916</v>
      </c>
    </row>
    <row r="4894" spans="1:40" x14ac:dyDescent="0.25">
      <c r="A4894" t="str">
        <f>"20190312164407473"</f>
        <v>20190312164407473</v>
      </c>
      <c r="B4894" t="str">
        <f>"1552380247470371"</f>
        <v>1552380247470371</v>
      </c>
      <c r="C4894" t="s">
        <v>40</v>
      </c>
      <c r="D4894">
        <v>5.0363350000000002</v>
      </c>
      <c r="E4894">
        <v>0.53415919999999995</v>
      </c>
      <c r="F4894" t="s">
        <v>41</v>
      </c>
      <c r="G4894">
        <v>-256.84140000000002</v>
      </c>
      <c r="H4894">
        <v>1.0452349999999999</v>
      </c>
      <c r="I4894">
        <v>-61.866759999999999</v>
      </c>
      <c r="J4894">
        <v>-257.7011</v>
      </c>
      <c r="K4894">
        <v>1.1080730000000001</v>
      </c>
      <c r="L4894">
        <v>-61.73218</v>
      </c>
      <c r="M4894">
        <v>0.99997820000000004</v>
      </c>
      <c r="N4894">
        <v>0</v>
      </c>
      <c r="O4894">
        <v>5.3861839999999996E-4</v>
      </c>
      <c r="P4894">
        <v>0.99167190000000005</v>
      </c>
      <c r="Q4894">
        <v>0.1156367</v>
      </c>
      <c r="R4894">
        <v>-5.6705079999999998E-2</v>
      </c>
      <c r="S4894">
        <v>3.0238339999999999</v>
      </c>
      <c r="T4894">
        <v>-0.1873425</v>
      </c>
      <c r="U4894">
        <v>-0.40213009999999999</v>
      </c>
      <c r="V4894">
        <v>5.758924E-2</v>
      </c>
      <c r="W4894">
        <v>0.12200900000000001</v>
      </c>
      <c r="X4894">
        <v>0.99085679999999998</v>
      </c>
      <c r="Y4894">
        <v>0.13211020000000001</v>
      </c>
      <c r="Z4894">
        <v>-4.1038689999999996E-3</v>
      </c>
      <c r="AA4894">
        <v>0.99122659999999996</v>
      </c>
      <c r="AB4894">
        <v>33</v>
      </c>
      <c r="AC4894">
        <v>0.85969999999997504</v>
      </c>
      <c r="AD4894">
        <v>-6.28379999999997E-2</v>
      </c>
      <c r="AE4894">
        <v>-0.13457999999999201</v>
      </c>
      <c r="AF4894">
        <v>0.13434247352182799</v>
      </c>
      <c r="AG4894">
        <v>-6.28379999999997E-2</v>
      </c>
      <c r="AH4894">
        <v>0.85516786920486199</v>
      </c>
      <c r="AI4894">
        <v>94.151821387383606</v>
      </c>
      <c r="AJ4894">
        <v>81.072093887679799</v>
      </c>
      <c r="AK4894">
        <v>0.86793352219876096</v>
      </c>
      <c r="AL4894">
        <v>82.991937805030702</v>
      </c>
      <c r="AM4894">
        <v>86.673674211802606</v>
      </c>
      <c r="AN4894">
        <v>0.99999995737550695</v>
      </c>
    </row>
    <row r="4895" spans="1:40" x14ac:dyDescent="0.25">
      <c r="A4895" t="str">
        <f>"20190312164407486"</f>
        <v>20190312164407486</v>
      </c>
      <c r="B4895" t="str">
        <f>"1552380247480130"</f>
        <v>1552380247480130</v>
      </c>
      <c r="C4895" t="s">
        <v>40</v>
      </c>
      <c r="D4895">
        <v>5.0190390000000003</v>
      </c>
      <c r="E4895">
        <v>0.5341688</v>
      </c>
      <c r="F4895" t="s">
        <v>56</v>
      </c>
      <c r="G4895">
        <v>-239.7115</v>
      </c>
      <c r="H4895" s="1">
        <v>-3.844124E-6</v>
      </c>
      <c r="I4895">
        <v>-64.133769999999998</v>
      </c>
      <c r="J4895">
        <v>-257.50229999999999</v>
      </c>
      <c r="K4895">
        <v>1.10808</v>
      </c>
      <c r="L4895">
        <v>-61.732759999999999</v>
      </c>
      <c r="M4895">
        <v>0.99997829999999999</v>
      </c>
      <c r="N4895">
        <v>0</v>
      </c>
      <c r="O4895">
        <v>-2.2695340000000001E-4</v>
      </c>
      <c r="P4895">
        <v>0.99161129999999997</v>
      </c>
      <c r="Q4895">
        <v>0.1158459</v>
      </c>
      <c r="R4895">
        <v>-5.7328919999999998E-2</v>
      </c>
      <c r="S4895">
        <v>3.0238339999999999</v>
      </c>
      <c r="T4895">
        <v>-0.18625330000000001</v>
      </c>
      <c r="U4895">
        <v>-0.4036865</v>
      </c>
      <c r="V4895">
        <v>5.7452690000000001E-2</v>
      </c>
      <c r="W4895">
        <v>0.1222126</v>
      </c>
      <c r="X4895">
        <v>0.99083969999999999</v>
      </c>
      <c r="Y4895">
        <v>0.13185749999999999</v>
      </c>
      <c r="Z4895">
        <v>-4.0252700000000001E-3</v>
      </c>
      <c r="AA4895">
        <v>0.99126049999999999</v>
      </c>
      <c r="AB4895">
        <v>33</v>
      </c>
      <c r="AC4895">
        <v>17.790799999999901</v>
      </c>
      <c r="AD4895">
        <v>-1.108083844124</v>
      </c>
      <c r="AE4895">
        <v>-2.4010099999999901</v>
      </c>
      <c r="AF4895">
        <v>2.3878745670906301</v>
      </c>
      <c r="AG4895">
        <v>-1.108083844124</v>
      </c>
      <c r="AH4895">
        <v>17.7238182161901</v>
      </c>
      <c r="AI4895">
        <v>93.545495771574295</v>
      </c>
      <c r="AJ4895">
        <v>82.326921835174502</v>
      </c>
      <c r="AK4895">
        <v>17.918245642760901</v>
      </c>
      <c r="AL4895">
        <v>82.980184876973397</v>
      </c>
      <c r="AM4895">
        <v>86.681486482391406</v>
      </c>
      <c r="AN4895">
        <v>1.0000000211415401</v>
      </c>
    </row>
    <row r="4896" spans="1:40" x14ac:dyDescent="0.25">
      <c r="A4896" t="str">
        <f>"20190312164407496"</f>
        <v>20190312164407496</v>
      </c>
      <c r="B4896" t="str">
        <f>"1552380247489891"</f>
        <v>1552380247489891</v>
      </c>
      <c r="C4896" t="s">
        <v>40</v>
      </c>
      <c r="D4896">
        <v>5.0648759999999999</v>
      </c>
      <c r="E4896">
        <v>0.53414629999999996</v>
      </c>
      <c r="F4896" t="s">
        <v>56</v>
      </c>
      <c r="G4896">
        <v>-239.39359999999999</v>
      </c>
      <c r="H4896" s="1">
        <v>-3.741482E-6</v>
      </c>
      <c r="I4896">
        <v>-64.164959999999994</v>
      </c>
      <c r="J4896">
        <v>-257.34300000000002</v>
      </c>
      <c r="K4896">
        <v>1.108082</v>
      </c>
      <c r="L4896">
        <v>-61.733310000000003</v>
      </c>
      <c r="M4896">
        <v>0.99997809999999998</v>
      </c>
      <c r="N4896">
        <v>0</v>
      </c>
      <c r="O4896">
        <v>-8.3698659999999995E-4</v>
      </c>
      <c r="P4896">
        <v>0.9915254</v>
      </c>
      <c r="Q4896">
        <v>0.116451399999999</v>
      </c>
      <c r="R4896">
        <v>-5.7591679999999999E-2</v>
      </c>
      <c r="S4896">
        <v>3.0234830000000001</v>
      </c>
      <c r="T4896">
        <v>-0.18500849999999999</v>
      </c>
      <c r="U4896">
        <v>-0.4060974</v>
      </c>
      <c r="V4896">
        <v>5.711082E-2</v>
      </c>
      <c r="W4896">
        <v>0.12281309999999999</v>
      </c>
      <c r="X4896">
        <v>0.99078520000000003</v>
      </c>
      <c r="Y4896">
        <v>0.13204839999999901</v>
      </c>
      <c r="Z4896">
        <v>-3.9673490000000002E-3</v>
      </c>
      <c r="AA4896">
        <v>0.99123530000000004</v>
      </c>
      <c r="AB4896">
        <v>33</v>
      </c>
      <c r="AC4896">
        <v>17.949400000000001</v>
      </c>
      <c r="AD4896">
        <v>-1.108085741482</v>
      </c>
      <c r="AE4896">
        <v>-2.4316499999999901</v>
      </c>
      <c r="AF4896">
        <v>2.4076151913638202</v>
      </c>
      <c r="AG4896">
        <v>-1.108085741482</v>
      </c>
      <c r="AH4896">
        <v>17.884498315503201</v>
      </c>
      <c r="AI4896">
        <v>93.513777504348496</v>
      </c>
      <c r="AJ4896">
        <v>82.332923327986293</v>
      </c>
      <c r="AK4896">
        <v>18.079815953637301</v>
      </c>
      <c r="AL4896">
        <v>82.945517516748794</v>
      </c>
      <c r="AM4896">
        <v>86.701008371766605</v>
      </c>
      <c r="AN4896">
        <v>1.00000000791586</v>
      </c>
    </row>
    <row r="4897" spans="1:40" x14ac:dyDescent="0.25">
      <c r="A4897" t="str">
        <f>"20190312164407507"</f>
        <v>20190312164407507</v>
      </c>
      <c r="B4897" t="str">
        <f>"1552380247499650"</f>
        <v>1552380247499650</v>
      </c>
      <c r="C4897" t="s">
        <v>40</v>
      </c>
      <c r="D4897">
        <v>5.0503809999999998</v>
      </c>
      <c r="E4897">
        <v>0.53408719999999998</v>
      </c>
      <c r="F4897" t="s">
        <v>56</v>
      </c>
      <c r="G4897">
        <v>-239.1122</v>
      </c>
      <c r="H4897" s="1">
        <v>-3.6495930000000002E-6</v>
      </c>
      <c r="I4897">
        <v>-64.186779999999999</v>
      </c>
      <c r="J4897">
        <v>-257.18669999999997</v>
      </c>
      <c r="K4897">
        <v>1.1080859999999999</v>
      </c>
      <c r="L4897">
        <v>-61.73395</v>
      </c>
      <c r="M4897">
        <v>0.99997740000000002</v>
      </c>
      <c r="N4897">
        <v>0</v>
      </c>
      <c r="O4897">
        <v>-1.4326079999999999E-3</v>
      </c>
      <c r="P4897">
        <v>0.99146000000000001</v>
      </c>
      <c r="Q4897">
        <v>0.1168811</v>
      </c>
      <c r="R4897">
        <v>-5.784454E-2</v>
      </c>
      <c r="S4897">
        <v>3.02359</v>
      </c>
      <c r="T4897">
        <v>-0.183777</v>
      </c>
      <c r="U4897">
        <v>-0.40692139999999999</v>
      </c>
      <c r="V4897">
        <v>5.6773669999999998E-2</v>
      </c>
      <c r="W4897">
        <v>0.1232376</v>
      </c>
      <c r="X4897">
        <v>0.99075190000000002</v>
      </c>
      <c r="Y4897">
        <v>0.1317236</v>
      </c>
      <c r="Z4897">
        <v>-3.894954E-3</v>
      </c>
      <c r="AA4897">
        <v>0.99127880000000002</v>
      </c>
      <c r="AB4897">
        <v>33</v>
      </c>
      <c r="AC4897">
        <v>18.074499999999901</v>
      </c>
      <c r="AD4897">
        <v>-1.1080896495929999</v>
      </c>
      <c r="AE4897">
        <v>-2.4528299999999899</v>
      </c>
      <c r="AF4897">
        <v>2.41800945013869</v>
      </c>
      <c r="AG4897">
        <v>-1.1080896495929999</v>
      </c>
      <c r="AH4897">
        <v>18.011522926094599</v>
      </c>
      <c r="AI4897">
        <v>93.489241730880593</v>
      </c>
      <c r="AJ4897">
        <v>82.3538762963924</v>
      </c>
      <c r="AK4897">
        <v>18.2068555904013</v>
      </c>
      <c r="AL4897">
        <v>82.9210095212445</v>
      </c>
      <c r="AM4897">
        <v>86.720331129285299</v>
      </c>
      <c r="AN4897">
        <v>1.0000000415063099</v>
      </c>
    </row>
    <row r="4898" spans="1:40" x14ac:dyDescent="0.25">
      <c r="A4898" t="str">
        <f>"20190312164407518"</f>
        <v>20190312164407518</v>
      </c>
      <c r="B4898" t="str">
        <f>"1552380247510386"</f>
        <v>1552380247510386</v>
      </c>
      <c r="C4898" t="s">
        <v>40</v>
      </c>
      <c r="D4898">
        <v>5.2857010000000004</v>
      </c>
      <c r="E4898">
        <v>0.53409499999999999</v>
      </c>
      <c r="F4898" t="s">
        <v>56</v>
      </c>
      <c r="G4898">
        <v>-238.76920000000001</v>
      </c>
      <c r="H4898" s="1">
        <v>-3.5381890000000002E-6</v>
      </c>
      <c r="I4898">
        <v>-64.216719999999995</v>
      </c>
      <c r="J4898">
        <v>-257.02210000000002</v>
      </c>
      <c r="K4898">
        <v>1.108088</v>
      </c>
      <c r="L4898">
        <v>-61.734679999999997</v>
      </c>
      <c r="M4898">
        <v>0.99997650000000005</v>
      </c>
      <c r="N4898">
        <v>0</v>
      </c>
      <c r="O4898">
        <v>-2.0587499999999998E-3</v>
      </c>
      <c r="P4898">
        <v>0.9914134</v>
      </c>
      <c r="Q4898">
        <v>0.11721289999999999</v>
      </c>
      <c r="R4898">
        <v>-5.797331E-2</v>
      </c>
      <c r="S4898">
        <v>3.0234990000000002</v>
      </c>
      <c r="T4898">
        <v>-0.18190880000000001</v>
      </c>
      <c r="U4898">
        <v>-0.40759279999999998</v>
      </c>
      <c r="V4898">
        <v>5.6281770000000002E-2</v>
      </c>
      <c r="W4898">
        <v>0.1235641</v>
      </c>
      <c r="X4898">
        <v>0.99073929999999999</v>
      </c>
      <c r="Y4898">
        <v>0.13132959999999999</v>
      </c>
      <c r="Z4898">
        <v>-3.8062370000000001E-3</v>
      </c>
      <c r="AA4898">
        <v>0.99133150000000003</v>
      </c>
      <c r="AB4898">
        <v>33</v>
      </c>
      <c r="AC4898">
        <v>18.2529</v>
      </c>
      <c r="AD4898">
        <v>-1.108091538189</v>
      </c>
      <c r="AE4898">
        <v>-2.4820399999999898</v>
      </c>
      <c r="AF4898">
        <v>2.4356423684643902</v>
      </c>
      <c r="AG4898">
        <v>-1.108091538189</v>
      </c>
      <c r="AH4898">
        <v>18.192142772562601</v>
      </c>
      <c r="AI4898">
        <v>93.454854191823998</v>
      </c>
      <c r="AJ4898">
        <v>82.374342005659599</v>
      </c>
      <c r="AK4898">
        <v>18.387884034368</v>
      </c>
      <c r="AL4898">
        <v>82.9021583759328</v>
      </c>
      <c r="AM4898">
        <v>86.748644438333898</v>
      </c>
      <c r="AN4898">
        <v>1.00000004250381</v>
      </c>
    </row>
    <row r="4899" spans="1:40" x14ac:dyDescent="0.25">
      <c r="A4899" t="str">
        <f>"20190312164407529"</f>
        <v>20190312164407529</v>
      </c>
      <c r="B4899" t="str">
        <f>"1552380247520146"</f>
        <v>1552380247520146</v>
      </c>
      <c r="C4899" t="s">
        <v>40</v>
      </c>
      <c r="D4899">
        <v>5.0593750000000002</v>
      </c>
      <c r="E4899">
        <v>0.53414069999999902</v>
      </c>
      <c r="F4899" t="s">
        <v>56</v>
      </c>
      <c r="G4899">
        <v>-238.577</v>
      </c>
      <c r="H4899" s="1">
        <v>-3.474012E-6</v>
      </c>
      <c r="I4899">
        <v>-64.223690000000005</v>
      </c>
      <c r="J4899">
        <v>-256.86149999999998</v>
      </c>
      <c r="K4899">
        <v>1.108088</v>
      </c>
      <c r="L4899">
        <v>-61.735529999999997</v>
      </c>
      <c r="M4899">
        <v>0.99997499999999995</v>
      </c>
      <c r="N4899">
        <v>0</v>
      </c>
      <c r="O4899">
        <v>-2.6678610000000001E-3</v>
      </c>
      <c r="P4899">
        <v>0.99135119999999999</v>
      </c>
      <c r="Q4899">
        <v>0.11751929999999999</v>
      </c>
      <c r="R4899">
        <v>-5.8413939999999998E-2</v>
      </c>
      <c r="S4899">
        <v>3.0236049999999999</v>
      </c>
      <c r="T4899">
        <v>-0.18164369999999999</v>
      </c>
      <c r="U4899">
        <v>-0.40801999999999999</v>
      </c>
      <c r="V4899">
        <v>5.6119280000000001E-2</v>
      </c>
      <c r="W4899">
        <v>0.1238655</v>
      </c>
      <c r="X4899">
        <v>0.99071089999999995</v>
      </c>
      <c r="Y4899">
        <v>0.13086130000000001</v>
      </c>
      <c r="Z4899">
        <v>-3.7501470000000001E-3</v>
      </c>
      <c r="AA4899">
        <v>0.99139359999999999</v>
      </c>
      <c r="AB4899">
        <v>33</v>
      </c>
      <c r="AC4899">
        <v>18.284499999999898</v>
      </c>
      <c r="AD4899">
        <v>-1.108091474012</v>
      </c>
      <c r="AE4899">
        <v>-2.4881600000000001</v>
      </c>
      <c r="AF4899">
        <v>2.4306050207962802</v>
      </c>
      <c r="AG4899">
        <v>-1.108091474012</v>
      </c>
      <c r="AH4899">
        <v>18.225353918113999</v>
      </c>
      <c r="AI4899">
        <v>93.448808615945794</v>
      </c>
      <c r="AJ4899">
        <v>82.403633592209999</v>
      </c>
      <c r="AK4899">
        <v>18.420076897841899</v>
      </c>
      <c r="AL4899">
        <v>82.884755874467302</v>
      </c>
      <c r="AM4899">
        <v>86.757918574008201</v>
      </c>
      <c r="AN4899">
        <v>1.0000000615283799</v>
      </c>
    </row>
    <row r="4900" spans="1:40" x14ac:dyDescent="0.25">
      <c r="A4900" t="str">
        <f>"20190312164407539"</f>
        <v>20190312164407539</v>
      </c>
      <c r="B4900" t="str">
        <f>"1552380247529908"</f>
        <v>1552380247529908</v>
      </c>
      <c r="C4900" t="s">
        <v>40</v>
      </c>
      <c r="D4900">
        <v>5.3117839999999896</v>
      </c>
      <c r="E4900">
        <v>0.5341458</v>
      </c>
      <c r="F4900" t="s">
        <v>56</v>
      </c>
      <c r="G4900">
        <v>-238.42080000000001</v>
      </c>
      <c r="H4900" s="1">
        <v>-3.4229540000000001E-6</v>
      </c>
      <c r="I4900">
        <v>-64.235529999999997</v>
      </c>
      <c r="J4900">
        <v>-256.70359999999999</v>
      </c>
      <c r="K4900">
        <v>1.1080890000000001</v>
      </c>
      <c r="L4900">
        <v>-61.736449999999998</v>
      </c>
      <c r="M4900">
        <v>0.99997320000000001</v>
      </c>
      <c r="N4900">
        <v>0</v>
      </c>
      <c r="O4900">
        <v>-3.2657710000000002E-3</v>
      </c>
      <c r="P4900">
        <v>0.99132240000000005</v>
      </c>
      <c r="Q4900">
        <v>0.11788029999999999</v>
      </c>
      <c r="R4900">
        <v>-5.8174030000000002E-2</v>
      </c>
      <c r="S4900">
        <v>3.0235599999999998</v>
      </c>
      <c r="T4900">
        <v>-0.1816844</v>
      </c>
      <c r="U4900">
        <v>-0.4099121</v>
      </c>
      <c r="V4900">
        <v>5.5287049999999997E-2</v>
      </c>
      <c r="W4900">
        <v>0.12422270000000001</v>
      </c>
      <c r="X4900">
        <v>0.99071290000000001</v>
      </c>
      <c r="Y4900">
        <v>0.13088079999999999</v>
      </c>
      <c r="Z4900">
        <v>-3.715735E-3</v>
      </c>
      <c r="AA4900">
        <v>0.99139120000000003</v>
      </c>
      <c r="AB4900">
        <v>33</v>
      </c>
      <c r="AC4900">
        <v>18.282799999999899</v>
      </c>
      <c r="AD4900">
        <v>-1.1080924229539999</v>
      </c>
      <c r="AE4900">
        <v>-2.49908000000001</v>
      </c>
      <c r="AF4900">
        <v>2.4305932084903801</v>
      </c>
      <c r="AG4900">
        <v>-1.1080924229539999</v>
      </c>
      <c r="AH4900">
        <v>18.2251440392122</v>
      </c>
      <c r="AI4900">
        <v>93.448850782402502</v>
      </c>
      <c r="AJ4900">
        <v>82.403583621072897</v>
      </c>
      <c r="AK4900">
        <v>18.419867736034401</v>
      </c>
      <c r="AL4900">
        <v>82.864130040748606</v>
      </c>
      <c r="AM4900">
        <v>86.805903685176304</v>
      </c>
      <c r="AN4900">
        <v>0.99999999365970105</v>
      </c>
    </row>
    <row r="4901" spans="1:40" x14ac:dyDescent="0.25">
      <c r="A4901" t="str">
        <f>"20190312164407552"</f>
        <v>20190312164407552</v>
      </c>
      <c r="B4901" t="str">
        <f>"1552380247539667"</f>
        <v>1552380247539667</v>
      </c>
      <c r="C4901" t="s">
        <v>40</v>
      </c>
      <c r="D4901">
        <v>5.2605060000000003</v>
      </c>
      <c r="E4901">
        <v>0.53413180000000005</v>
      </c>
      <c r="F4901" t="s">
        <v>56</v>
      </c>
      <c r="G4901">
        <v>-238.16659999999999</v>
      </c>
      <c r="H4901" s="1">
        <v>-3.3383139999999998E-6</v>
      </c>
      <c r="I4901">
        <v>-64.245990000000006</v>
      </c>
      <c r="J4901">
        <v>-256.52339999999998</v>
      </c>
      <c r="K4901">
        <v>1.108087</v>
      </c>
      <c r="L4901">
        <v>-61.737639999999999</v>
      </c>
      <c r="M4901">
        <v>0.99997080000000005</v>
      </c>
      <c r="N4901">
        <v>0</v>
      </c>
      <c r="O4901">
        <v>-3.9471380000000002E-3</v>
      </c>
      <c r="P4901">
        <v>0.99125269999999999</v>
      </c>
      <c r="Q4901">
        <v>0.1183777</v>
      </c>
      <c r="R4901">
        <v>-5.8355539999999997E-2</v>
      </c>
      <c r="S4901">
        <v>3.0237270000000001</v>
      </c>
      <c r="T4901">
        <v>-0.180751</v>
      </c>
      <c r="U4901">
        <v>-0.40936280000000003</v>
      </c>
      <c r="V4901">
        <v>5.4794599999999999E-2</v>
      </c>
      <c r="W4901">
        <v>0.1247157</v>
      </c>
      <c r="X4901">
        <v>0.99067830000000001</v>
      </c>
      <c r="Y4901">
        <v>0.130026</v>
      </c>
      <c r="Z4901">
        <v>-3.6306070000000001E-3</v>
      </c>
      <c r="AA4901">
        <v>0.99150400000000005</v>
      </c>
      <c r="AB4901">
        <v>33</v>
      </c>
      <c r="AC4901">
        <v>18.3568</v>
      </c>
      <c r="AD4901">
        <v>-1.1080903383139999</v>
      </c>
      <c r="AE4901">
        <v>-2.5083500000000001</v>
      </c>
      <c r="AF4901">
        <v>2.42718996192206</v>
      </c>
      <c r="AG4901">
        <v>-1.1080903383139999</v>
      </c>
      <c r="AH4901">
        <v>18.3010945082898</v>
      </c>
      <c r="AI4901">
        <v>93.434896873046</v>
      </c>
      <c r="AJ4901">
        <v>82.445213468529602</v>
      </c>
      <c r="AK4901">
        <v>18.494571514649301</v>
      </c>
      <c r="AL4901">
        <v>82.835661695974494</v>
      </c>
      <c r="AM4901">
        <v>86.834185512840904</v>
      </c>
      <c r="AN4901">
        <v>0.99999997405326901</v>
      </c>
    </row>
    <row r="4902" spans="1:40" x14ac:dyDescent="0.25">
      <c r="A4902" t="str">
        <f>"20190312164407564"</f>
        <v>20190312164407564</v>
      </c>
      <c r="B4902" t="str">
        <f>"1552380247560162"</f>
        <v>1552380247560162</v>
      </c>
      <c r="C4902" t="s">
        <v>40</v>
      </c>
      <c r="D4902">
        <v>5.1132489999999997</v>
      </c>
      <c r="E4902">
        <v>0.53408679999999997</v>
      </c>
      <c r="F4902" t="s">
        <v>56</v>
      </c>
      <c r="G4902">
        <v>-237.8691</v>
      </c>
      <c r="H4902" s="1">
        <v>-3.240634E-6</v>
      </c>
      <c r="I4902">
        <v>-64.266040000000004</v>
      </c>
      <c r="J4902">
        <v>-256.34820000000002</v>
      </c>
      <c r="K4902">
        <v>1.108085</v>
      </c>
      <c r="L4902">
        <v>-61.738889999999998</v>
      </c>
      <c r="M4902">
        <v>0.99996790000000002</v>
      </c>
      <c r="N4902">
        <v>0</v>
      </c>
      <c r="O4902">
        <v>-4.6093180000000003E-3</v>
      </c>
      <c r="P4902">
        <v>0.99123459999999997</v>
      </c>
      <c r="Q4902">
        <v>0.1185417</v>
      </c>
      <c r="R4902">
        <v>-5.8324389999999997E-2</v>
      </c>
      <c r="S4902">
        <v>3.0237729999999998</v>
      </c>
      <c r="T4902">
        <v>-0.1796162</v>
      </c>
      <c r="U4902">
        <v>-0.40985110000000002</v>
      </c>
      <c r="V4902">
        <v>5.410773E-2</v>
      </c>
      <c r="W4902">
        <v>0.124877</v>
      </c>
      <c r="X4902">
        <v>0.99069580000000002</v>
      </c>
      <c r="Y4902">
        <v>0.12952949999999999</v>
      </c>
      <c r="Z4902">
        <v>-3.5539759999999999E-3</v>
      </c>
      <c r="AA4902">
        <v>0.99156920000000004</v>
      </c>
      <c r="AB4902">
        <v>33</v>
      </c>
      <c r="AC4902">
        <v>18.479099999999999</v>
      </c>
      <c r="AD4902">
        <v>-1.108088240634</v>
      </c>
      <c r="AE4902">
        <v>-2.52714999999999</v>
      </c>
      <c r="AF4902">
        <v>2.4333562207878101</v>
      </c>
      <c r="AG4902">
        <v>-1.108088240634</v>
      </c>
      <c r="AH4902">
        <v>18.425515553134598</v>
      </c>
      <c r="AI4902">
        <v>93.411999080715603</v>
      </c>
      <c r="AJ4902">
        <v>82.476798266015095</v>
      </c>
      <c r="AK4902">
        <v>18.618504382605</v>
      </c>
      <c r="AL4902">
        <v>82.826347542774798</v>
      </c>
      <c r="AM4902">
        <v>86.873846033862506</v>
      </c>
      <c r="AN4902">
        <v>1.0000000398561899</v>
      </c>
    </row>
    <row r="4903" spans="1:40" x14ac:dyDescent="0.25">
      <c r="A4903" t="str">
        <f>"20190312164407575"</f>
        <v>20190312164407575</v>
      </c>
      <c r="B4903" t="str">
        <f>"1552380247569922"</f>
        <v>1552380247569922</v>
      </c>
      <c r="C4903" t="s">
        <v>40</v>
      </c>
      <c r="D4903">
        <v>5.1151819999999999</v>
      </c>
      <c r="E4903">
        <v>0.53408849999999997</v>
      </c>
      <c r="F4903" t="s">
        <v>56</v>
      </c>
      <c r="G4903">
        <v>-237.69329999999999</v>
      </c>
      <c r="H4903" s="1">
        <v>-3.1807759999999999E-6</v>
      </c>
      <c r="I4903">
        <v>-64.265940000000001</v>
      </c>
      <c r="J4903">
        <v>-256.16539999999998</v>
      </c>
      <c r="K4903">
        <v>1.1080840000000001</v>
      </c>
      <c r="L4903">
        <v>-61.74033</v>
      </c>
      <c r="M4903">
        <v>0.99996470000000004</v>
      </c>
      <c r="N4903">
        <v>0</v>
      </c>
      <c r="O4903">
        <v>-5.3002359999999998E-3</v>
      </c>
      <c r="P4903">
        <v>0.99118660000000003</v>
      </c>
      <c r="Q4903">
        <v>0.11891599999999999</v>
      </c>
      <c r="R4903">
        <v>-5.8381389999999998E-2</v>
      </c>
      <c r="S4903">
        <v>3.023911</v>
      </c>
      <c r="T4903">
        <v>-0.1796179</v>
      </c>
      <c r="U4903">
        <v>-0.40963749999999999</v>
      </c>
      <c r="V4903">
        <v>5.3481149999999998E-2</v>
      </c>
      <c r="W4903">
        <v>0.125248</v>
      </c>
      <c r="X4903">
        <v>0.99068299999999998</v>
      </c>
      <c r="Y4903">
        <v>0.1287721</v>
      </c>
      <c r="Z4903">
        <v>-3.4906820000000002E-3</v>
      </c>
      <c r="AA4903">
        <v>0.99166799999999999</v>
      </c>
      <c r="AB4903">
        <v>34</v>
      </c>
      <c r="AC4903">
        <v>18.472099999999902</v>
      </c>
      <c r="AD4903">
        <v>-1.108087180776</v>
      </c>
      <c r="AE4903">
        <v>-2.5256099999999901</v>
      </c>
      <c r="AF4903">
        <v>2.4191206167770298</v>
      </c>
      <c r="AG4903">
        <v>-1.108087180776</v>
      </c>
      <c r="AH4903">
        <v>18.420159505509101</v>
      </c>
      <c r="AI4903">
        <v>93.413309320548805</v>
      </c>
      <c r="AJ4903">
        <v>82.518160432567996</v>
      </c>
      <c r="AK4903">
        <v>18.6113480964468</v>
      </c>
      <c r="AL4903">
        <v>82.804922677618904</v>
      </c>
      <c r="AM4903">
        <v>86.909937206129896</v>
      </c>
      <c r="AN4903">
        <v>1.00000005069915</v>
      </c>
    </row>
    <row r="4904" spans="1:40" x14ac:dyDescent="0.25">
      <c r="A4904" t="str">
        <f>"20190312164407589"</f>
        <v>20190312164407589</v>
      </c>
      <c r="B4904" t="str">
        <f>"1552380247579682"</f>
        <v>1552380247579682</v>
      </c>
      <c r="C4904" t="s">
        <v>40</v>
      </c>
      <c r="D4904">
        <v>4.9376629999999997</v>
      </c>
      <c r="E4904">
        <v>0.53411589999999998</v>
      </c>
      <c r="F4904" t="s">
        <v>56</v>
      </c>
      <c r="G4904">
        <v>-237.45140000000001</v>
      </c>
      <c r="H4904" s="1">
        <v>-3.100598E-6</v>
      </c>
      <c r="I4904">
        <v>-64.277940000000001</v>
      </c>
      <c r="J4904">
        <v>-255.9736</v>
      </c>
      <c r="K4904">
        <v>1.1080810000000001</v>
      </c>
      <c r="L4904">
        <v>-61.741970000000002</v>
      </c>
      <c r="M4904">
        <v>0.99996059999999998</v>
      </c>
      <c r="N4904">
        <v>0</v>
      </c>
      <c r="O4904">
        <v>-6.0247759999999999E-3</v>
      </c>
      <c r="P4904">
        <v>0.99111870000000002</v>
      </c>
      <c r="Q4904">
        <v>0.119515</v>
      </c>
      <c r="R4904">
        <v>-5.8311830000000002E-2</v>
      </c>
      <c r="S4904">
        <v>3.0240019999999999</v>
      </c>
      <c r="T4904">
        <v>-0.17905650000000001</v>
      </c>
      <c r="U4904">
        <v>-0.4100647</v>
      </c>
      <c r="V4904">
        <v>5.2695560000000002E-2</v>
      </c>
      <c r="W4904">
        <v>0.12584400000000001</v>
      </c>
      <c r="X4904">
        <v>0.99064949999999996</v>
      </c>
      <c r="Y4904">
        <v>0.12819069999999999</v>
      </c>
      <c r="Z4904">
        <v>-3.4198750000000002E-3</v>
      </c>
      <c r="AA4904">
        <v>0.99174359999999995</v>
      </c>
      <c r="AB4904">
        <v>34</v>
      </c>
      <c r="AC4904">
        <v>18.522200000000002</v>
      </c>
      <c r="AD4904">
        <v>-1.10808410059799</v>
      </c>
      <c r="AE4904">
        <v>-2.5359699999999998</v>
      </c>
      <c r="AF4904">
        <v>2.4158423214740701</v>
      </c>
      <c r="AG4904">
        <v>-1.10808410059799</v>
      </c>
      <c r="AH4904">
        <v>18.472247352740599</v>
      </c>
      <c r="AI4904">
        <v>93.403937403422503</v>
      </c>
      <c r="AJ4904">
        <v>82.549016764485501</v>
      </c>
      <c r="AK4904">
        <v>18.662477508547902</v>
      </c>
      <c r="AL4904">
        <v>82.7705015601437</v>
      </c>
      <c r="AM4904">
        <v>86.955138641092205</v>
      </c>
      <c r="AN4904">
        <v>0.99999998311498095</v>
      </c>
    </row>
    <row r="4905" spans="1:40" x14ac:dyDescent="0.25">
      <c r="A4905" t="str">
        <f>"20190312164407599"</f>
        <v>20190312164407599</v>
      </c>
      <c r="B4905" t="str">
        <f>"1552380247590419"</f>
        <v>1552380247590419</v>
      </c>
      <c r="C4905" t="s">
        <v>40</v>
      </c>
      <c r="D4905">
        <v>4.9973799999999997</v>
      </c>
      <c r="E4905">
        <v>0.5341439</v>
      </c>
      <c r="F4905" t="s">
        <v>56</v>
      </c>
      <c r="G4905">
        <v>-237.11529999999999</v>
      </c>
      <c r="H4905" s="1">
        <v>-2.9904619999999998E-6</v>
      </c>
      <c r="I4905">
        <v>-64.301879999999997</v>
      </c>
      <c r="J4905">
        <v>-255.79750000000001</v>
      </c>
      <c r="K4905">
        <v>1.108079</v>
      </c>
      <c r="L4905">
        <v>-61.743560000000002</v>
      </c>
      <c r="M4905">
        <v>0.99995630000000002</v>
      </c>
      <c r="N4905">
        <v>0</v>
      </c>
      <c r="O4905">
        <v>-6.6895979999999997E-3</v>
      </c>
      <c r="P4905">
        <v>0.99109460000000005</v>
      </c>
      <c r="Q4905">
        <v>0.11976150000000001</v>
      </c>
      <c r="R4905">
        <v>-5.8215000000000003E-2</v>
      </c>
      <c r="S4905">
        <v>3.0241549999999999</v>
      </c>
      <c r="T4905">
        <v>-0.17769489999999999</v>
      </c>
      <c r="U4905">
        <v>-0.41052250000000001</v>
      </c>
      <c r="V4905">
        <v>5.1940739999999999E-2</v>
      </c>
      <c r="W4905">
        <v>0.1260886</v>
      </c>
      <c r="X4905">
        <v>0.99065829999999999</v>
      </c>
      <c r="Y4905">
        <v>0.12767729999999999</v>
      </c>
      <c r="Z4905">
        <v>-3.3398630000000002E-3</v>
      </c>
      <c r="AA4905">
        <v>0.99181010000000003</v>
      </c>
      <c r="AB4905">
        <v>34</v>
      </c>
      <c r="AC4905">
        <v>18.682200000000002</v>
      </c>
      <c r="AD4905">
        <v>-1.1080819904620001</v>
      </c>
      <c r="AE4905">
        <v>-2.5583200000000099</v>
      </c>
      <c r="AF4905">
        <v>2.4249100308332099</v>
      </c>
      <c r="AG4905">
        <v>-1.1080819904620001</v>
      </c>
      <c r="AH4905">
        <v>18.634548011988599</v>
      </c>
      <c r="AI4905">
        <v>93.374634415486398</v>
      </c>
      <c r="AJ4905">
        <v>82.585774521691306</v>
      </c>
      <c r="AK4905">
        <v>18.824303810933699</v>
      </c>
      <c r="AL4905">
        <v>82.756374762368694</v>
      </c>
      <c r="AM4905">
        <v>86.998700035621994</v>
      </c>
      <c r="AN4905">
        <v>1.00000002144029</v>
      </c>
    </row>
    <row r="4906" spans="1:40" x14ac:dyDescent="0.25">
      <c r="A4906" t="str">
        <f>"20190312164407609"</f>
        <v>20190312164407609</v>
      </c>
      <c r="B4906" t="str">
        <f>"1552380247600179"</f>
        <v>1552380247600179</v>
      </c>
      <c r="C4906" t="s">
        <v>40</v>
      </c>
      <c r="D4906">
        <v>4.9603570000000001</v>
      </c>
      <c r="E4906">
        <v>0.53418409999999905</v>
      </c>
      <c r="F4906" t="s">
        <v>56</v>
      </c>
      <c r="G4906">
        <v>-236.93279999999999</v>
      </c>
      <c r="H4906" s="1">
        <v>-2.9290830000000002E-6</v>
      </c>
      <c r="I4906">
        <v>-64.305930000000004</v>
      </c>
      <c r="J4906">
        <v>-255.64160000000001</v>
      </c>
      <c r="K4906">
        <v>1.108077</v>
      </c>
      <c r="L4906">
        <v>-61.745119999999901</v>
      </c>
      <c r="M4906">
        <v>0.99995230000000002</v>
      </c>
      <c r="N4906">
        <v>0</v>
      </c>
      <c r="O4906">
        <v>-7.278957E-3</v>
      </c>
      <c r="P4906">
        <v>0.99110279999999995</v>
      </c>
      <c r="Q4906">
        <v>0.1199233</v>
      </c>
      <c r="R4906">
        <v>-5.7740769999999997E-2</v>
      </c>
      <c r="S4906">
        <v>3.0243069999999999</v>
      </c>
      <c r="T4906">
        <v>-0.17764269999999999</v>
      </c>
      <c r="U4906">
        <v>-0.41079710000000003</v>
      </c>
      <c r="V4906">
        <v>5.0883009999999999E-2</v>
      </c>
      <c r="W4906">
        <v>0.126248</v>
      </c>
      <c r="X4906">
        <v>0.99069289999999999</v>
      </c>
      <c r="Y4906">
        <v>0.1271765</v>
      </c>
      <c r="Z4906">
        <v>-3.2896459999999998E-3</v>
      </c>
      <c r="AA4906">
        <v>0.99187460000000005</v>
      </c>
      <c r="AB4906">
        <v>34</v>
      </c>
      <c r="AC4906">
        <v>18.7088</v>
      </c>
      <c r="AD4906">
        <v>-1.1080799290829999</v>
      </c>
      <c r="AE4906">
        <v>-2.5608100000000098</v>
      </c>
      <c r="AF4906">
        <v>2.4162386137601501</v>
      </c>
      <c r="AG4906">
        <v>-1.1080799290829999</v>
      </c>
      <c r="AH4906">
        <v>18.662681476698602</v>
      </c>
      <c r="AI4906">
        <v>93.369836308434799</v>
      </c>
      <c r="AJ4906">
        <v>82.623008622075602</v>
      </c>
      <c r="AK4906">
        <v>18.851040556652901</v>
      </c>
      <c r="AL4906">
        <v>82.747168308232702</v>
      </c>
      <c r="AM4906">
        <v>87.059813164507702</v>
      </c>
      <c r="AN4906">
        <v>1.0000000301605301</v>
      </c>
    </row>
    <row r="4907" spans="1:40" x14ac:dyDescent="0.25">
      <c r="A4907" t="str">
        <f>"20190312164407619"</f>
        <v>20190312164407619</v>
      </c>
      <c r="B4907" t="str">
        <f>"1552380247609939"</f>
        <v>1552380247609939</v>
      </c>
      <c r="C4907" t="s">
        <v>40</v>
      </c>
      <c r="D4907">
        <v>4.9632949999999996</v>
      </c>
      <c r="E4907">
        <v>0.53416059999999999</v>
      </c>
      <c r="F4907" t="s">
        <v>56</v>
      </c>
      <c r="G4907">
        <v>-236.7628</v>
      </c>
      <c r="H4907" s="1">
        <v>-2.8708839999999999E-6</v>
      </c>
      <c r="I4907">
        <v>-64.304100000000005</v>
      </c>
      <c r="J4907">
        <v>-255.49170000000001</v>
      </c>
      <c r="K4907">
        <v>1.108074</v>
      </c>
      <c r="L4907">
        <v>-61.746639999999999</v>
      </c>
      <c r="M4907">
        <v>0.9999479</v>
      </c>
      <c r="N4907">
        <v>0</v>
      </c>
      <c r="O4907">
        <v>-7.8451890000000007E-3</v>
      </c>
      <c r="P4907">
        <v>0.99110279999999995</v>
      </c>
      <c r="Q4907">
        <v>0.1201248</v>
      </c>
      <c r="R4907">
        <v>-5.731754E-2</v>
      </c>
      <c r="S4907">
        <v>3.0244900000000001</v>
      </c>
      <c r="T4907">
        <v>-0.17752039999999999</v>
      </c>
      <c r="U4907">
        <v>-0.40997309999999998</v>
      </c>
      <c r="V4907">
        <v>4.989942E-2</v>
      </c>
      <c r="W4907">
        <v>0.12644810000000001</v>
      </c>
      <c r="X4907">
        <v>0.99071739999999997</v>
      </c>
      <c r="Y4907">
        <v>0.12634409999999999</v>
      </c>
      <c r="Z4907">
        <v>-3.229904E-3</v>
      </c>
      <c r="AA4907">
        <v>0.99198120000000001</v>
      </c>
      <c r="AB4907">
        <v>34</v>
      </c>
      <c r="AC4907">
        <v>18.728899999999999</v>
      </c>
      <c r="AD4907">
        <v>-1.1080768708840001</v>
      </c>
      <c r="AE4907">
        <v>-2.5574599999999998</v>
      </c>
      <c r="AF4907">
        <v>2.40219173413012</v>
      </c>
      <c r="AG4907">
        <v>-1.1080768708840001</v>
      </c>
      <c r="AH4907">
        <v>18.684183228811399</v>
      </c>
      <c r="AI4907">
        <v>93.366341877939107</v>
      </c>
      <c r="AJ4907">
        <v>82.673775532664195</v>
      </c>
      <c r="AK4907">
        <v>18.870534237458902</v>
      </c>
      <c r="AL4907">
        <v>82.735610729518797</v>
      </c>
      <c r="AM4907">
        <v>87.116622542450202</v>
      </c>
      <c r="AN4907">
        <v>1.0000000203863499</v>
      </c>
    </row>
    <row r="4908" spans="1:40" x14ac:dyDescent="0.25">
      <c r="A4908" t="str">
        <f>"20190312164407630"</f>
        <v>20190312164407630</v>
      </c>
      <c r="B4908" t="str">
        <f>"1552380247619700"</f>
        <v>1552380247619700</v>
      </c>
      <c r="C4908" t="s">
        <v>40</v>
      </c>
      <c r="D4908">
        <v>4.8948580000000002</v>
      </c>
      <c r="E4908">
        <v>0.53414450000000002</v>
      </c>
      <c r="F4908" t="s">
        <v>56</v>
      </c>
      <c r="G4908">
        <v>-236.608</v>
      </c>
      <c r="H4908" s="1">
        <v>-2.8172369999999999E-6</v>
      </c>
      <c r="I4908">
        <v>-64.298590000000004</v>
      </c>
      <c r="J4908">
        <v>-255.3425</v>
      </c>
      <c r="K4908">
        <v>1.10807099999999</v>
      </c>
      <c r="L4908">
        <v>-61.7483199999999</v>
      </c>
      <c r="M4908">
        <v>0.99994360000000004</v>
      </c>
      <c r="N4908">
        <v>0</v>
      </c>
      <c r="O4908">
        <v>-8.4091579999999999E-3</v>
      </c>
      <c r="P4908">
        <v>0.99113039999999997</v>
      </c>
      <c r="Q4908">
        <v>0.1201063</v>
      </c>
      <c r="R4908">
        <v>-5.6880470000000002E-2</v>
      </c>
      <c r="S4908">
        <v>3.0248110000000001</v>
      </c>
      <c r="T4908">
        <v>-0.17749239999999999</v>
      </c>
      <c r="U4908">
        <v>-0.40878300000000001</v>
      </c>
      <c r="V4908">
        <v>4.8903349999999998E-2</v>
      </c>
      <c r="W4908">
        <v>0.12642680000000001</v>
      </c>
      <c r="X4908">
        <v>0.99076969999999998</v>
      </c>
      <c r="Y4908">
        <v>0.12539</v>
      </c>
      <c r="Z4908">
        <v>-3.1683919999999999E-3</v>
      </c>
      <c r="AA4908">
        <v>0.99210240000000005</v>
      </c>
      <c r="AB4908">
        <v>34</v>
      </c>
      <c r="AC4908">
        <v>18.734500000000001</v>
      </c>
      <c r="AD4908">
        <v>-1.1080738172369899</v>
      </c>
      <c r="AE4908">
        <v>-2.55027000000001</v>
      </c>
      <c r="AF4908">
        <v>2.3844454671982001</v>
      </c>
      <c r="AG4908">
        <v>-1.1080738172369899</v>
      </c>
      <c r="AH4908">
        <v>18.691086797041901</v>
      </c>
      <c r="AI4908">
        <v>93.365513890509604</v>
      </c>
      <c r="AJ4908">
        <v>82.729974081806901</v>
      </c>
      <c r="AK4908">
        <v>18.875119428100099</v>
      </c>
      <c r="AL4908">
        <v>82.736840386247593</v>
      </c>
      <c r="AM4908">
        <v>87.174233925346201</v>
      </c>
      <c r="AN4908">
        <v>0.99999993591877401</v>
      </c>
    </row>
    <row r="4909" spans="1:40" x14ac:dyDescent="0.25">
      <c r="A4909" t="str">
        <f>"20190312164407640"</f>
        <v>20190312164407640</v>
      </c>
      <c r="B4909" t="str">
        <f>"1552380247630435"</f>
        <v>1552380247630435</v>
      </c>
      <c r="C4909" t="s">
        <v>40</v>
      </c>
      <c r="D4909">
        <v>5.0543440000000004</v>
      </c>
      <c r="E4909">
        <v>0.53411580000000003</v>
      </c>
      <c r="F4909" t="s">
        <v>56</v>
      </c>
      <c r="G4909">
        <v>-236.47890000000001</v>
      </c>
      <c r="H4909" s="1">
        <v>-2.771599E-6</v>
      </c>
      <c r="I4909">
        <v>-64.289019999999994</v>
      </c>
      <c r="J4909">
        <v>-255.18109999999999</v>
      </c>
      <c r="K4909">
        <v>1.1080730000000001</v>
      </c>
      <c r="L4909">
        <v>-61.750120000000003</v>
      </c>
      <c r="M4909">
        <v>0.9999382</v>
      </c>
      <c r="N4909">
        <v>0</v>
      </c>
      <c r="O4909">
        <v>-9.0189020000000005E-3</v>
      </c>
      <c r="P4909">
        <v>0.99117569999999999</v>
      </c>
      <c r="Q4909">
        <v>0.12000570000000001</v>
      </c>
      <c r="R4909">
        <v>-5.6301120000000003E-2</v>
      </c>
      <c r="S4909">
        <v>3.0250089999999998</v>
      </c>
      <c r="T4909">
        <v>-0.1776925</v>
      </c>
      <c r="U4909">
        <v>-0.40744019999999997</v>
      </c>
      <c r="V4909">
        <v>4.7719169999999998E-2</v>
      </c>
      <c r="W4909">
        <v>0.12632370000000001</v>
      </c>
      <c r="X4909">
        <v>0.99084070000000002</v>
      </c>
      <c r="Y4909">
        <v>0.1243462</v>
      </c>
      <c r="Z4909">
        <v>-3.1057379999999998E-3</v>
      </c>
      <c r="AA4909">
        <v>0.99223410000000001</v>
      </c>
      <c r="AB4909">
        <v>34</v>
      </c>
      <c r="AC4909">
        <v>18.702199999999898</v>
      </c>
      <c r="AD4909">
        <v>-1.1080757715989999</v>
      </c>
      <c r="AE4909">
        <v>-2.5388999999999902</v>
      </c>
      <c r="AF4909">
        <v>2.3619784716315699</v>
      </c>
      <c r="AG4909">
        <v>-1.1080757715989999</v>
      </c>
      <c r="AH4909">
        <v>18.660019568173301</v>
      </c>
      <c r="AI4909">
        <v>93.371527291702293</v>
      </c>
      <c r="AJ4909">
        <v>82.785887015638806</v>
      </c>
      <c r="AK4909">
        <v>18.8415260661302</v>
      </c>
      <c r="AL4909">
        <v>82.742796117939605</v>
      </c>
      <c r="AM4909">
        <v>87.242749375774494</v>
      </c>
      <c r="AN4909">
        <v>1.00000004457183</v>
      </c>
    </row>
    <row r="4910" spans="1:40" x14ac:dyDescent="0.25">
      <c r="A4910" t="str">
        <f>"20190312164407651"</f>
        <v>20190312164407651</v>
      </c>
      <c r="B4910" t="str">
        <f>"1552380247640195"</f>
        <v>1552380247640195</v>
      </c>
      <c r="C4910" t="s">
        <v>40</v>
      </c>
      <c r="D4910">
        <v>4.896039</v>
      </c>
      <c r="E4910">
        <v>0.53414430000000002</v>
      </c>
      <c r="F4910" t="s">
        <v>56</v>
      </c>
      <c r="G4910">
        <v>-236.3366</v>
      </c>
      <c r="H4910" s="1">
        <v>-2.720958E-6</v>
      </c>
      <c r="I4910">
        <v>-64.276510000000002</v>
      </c>
      <c r="J4910">
        <v>-255.01169999999999</v>
      </c>
      <c r="K4910">
        <v>1.1080700000000001</v>
      </c>
      <c r="L4910">
        <v>-61.752229999999997</v>
      </c>
      <c r="M4910">
        <v>0.9999323</v>
      </c>
      <c r="N4910">
        <v>0</v>
      </c>
      <c r="O4910">
        <v>-9.6586910000000005E-3</v>
      </c>
      <c r="P4910">
        <v>0.99118640000000002</v>
      </c>
      <c r="Q4910">
        <v>0.1201696</v>
      </c>
      <c r="R4910">
        <v>-5.5759639999999999E-2</v>
      </c>
      <c r="S4910">
        <v>3.0251769999999998</v>
      </c>
      <c r="T4910">
        <v>-0.17788280000000001</v>
      </c>
      <c r="U4910">
        <v>-0.40557860000000001</v>
      </c>
      <c r="V4910">
        <v>4.6544349999999998E-2</v>
      </c>
      <c r="W4910">
        <v>0.1264855</v>
      </c>
      <c r="X4910">
        <v>0.99087590000000003</v>
      </c>
      <c r="Y4910">
        <v>0.12310699999999999</v>
      </c>
      <c r="Z4910">
        <v>-3.0353649999999999E-3</v>
      </c>
      <c r="AA4910">
        <v>0.99238879999999996</v>
      </c>
      <c r="AB4910">
        <v>34</v>
      </c>
      <c r="AC4910">
        <v>18.675099999999901</v>
      </c>
      <c r="AD4910">
        <v>-1.1080727209579999</v>
      </c>
      <c r="AE4910">
        <v>-2.5242799999999899</v>
      </c>
      <c r="AF4910">
        <v>2.3357059984158801</v>
      </c>
      <c r="AG4910">
        <v>-1.1080727209579999</v>
      </c>
      <c r="AH4910">
        <v>18.634185075797198</v>
      </c>
      <c r="AI4910">
        <v>93.376697116319207</v>
      </c>
      <c r="AJ4910">
        <v>82.855509221674893</v>
      </c>
      <c r="AK4910">
        <v>18.812660659912801</v>
      </c>
      <c r="AL4910">
        <v>82.733450400960507</v>
      </c>
      <c r="AM4910">
        <v>87.310625862799</v>
      </c>
      <c r="AN4910">
        <v>1.00000000371399</v>
      </c>
    </row>
    <row r="4911" spans="1:40" x14ac:dyDescent="0.25">
      <c r="A4911" t="str">
        <f>"20190312164407674"</f>
        <v>20190312164407674</v>
      </c>
      <c r="B4911" t="str">
        <f>"1552380247670451"</f>
        <v>1552380247670451</v>
      </c>
      <c r="C4911" t="s">
        <v>40</v>
      </c>
      <c r="D4911">
        <v>5.1460780000000002</v>
      </c>
      <c r="E4911">
        <v>0.53411309999999901</v>
      </c>
      <c r="F4911" t="s">
        <v>56</v>
      </c>
      <c r="G4911">
        <v>-236.17519999999999</v>
      </c>
      <c r="H4911" s="1">
        <v>-2.6648470000000001E-6</v>
      </c>
      <c r="I4911">
        <v>-64.269829999999999</v>
      </c>
      <c r="J4911">
        <v>-254.66</v>
      </c>
      <c r="K4911">
        <v>1.108063</v>
      </c>
      <c r="L4911">
        <v>-61.756839999999997</v>
      </c>
      <c r="M4911">
        <v>0.99991870000000005</v>
      </c>
      <c r="N4911">
        <v>0</v>
      </c>
      <c r="O4911">
        <v>-1.0984880000000001E-2</v>
      </c>
      <c r="P4911">
        <v>0.99133660000000001</v>
      </c>
      <c r="Q4911">
        <v>0.11971859999999999</v>
      </c>
      <c r="R4911">
        <v>-5.4029519999999998E-2</v>
      </c>
      <c r="S4911">
        <v>3.025528</v>
      </c>
      <c r="T4911">
        <v>-0.1779792</v>
      </c>
      <c r="U4911">
        <v>-0.40438839999999998</v>
      </c>
      <c r="V4911">
        <v>4.3497500000000001E-2</v>
      </c>
      <c r="W4911">
        <v>0.1260337</v>
      </c>
      <c r="X4911">
        <v>0.99107190000000001</v>
      </c>
      <c r="Y4911">
        <v>0.121397</v>
      </c>
      <c r="Z4911">
        <v>-2.9091310000000001E-3</v>
      </c>
      <c r="AA4911">
        <v>0.99259980000000003</v>
      </c>
      <c r="AB4911">
        <v>34</v>
      </c>
      <c r="AC4911">
        <v>18.4848</v>
      </c>
      <c r="AD4911">
        <v>-1.108065664847</v>
      </c>
      <c r="AE4911">
        <v>-2.5129899999999901</v>
      </c>
      <c r="AF4911">
        <v>2.3016601826801999</v>
      </c>
      <c r="AG4911">
        <v>-1.108065664847</v>
      </c>
      <c r="AH4911">
        <v>18.446208987254298</v>
      </c>
      <c r="AI4911">
        <v>93.411242997993696</v>
      </c>
      <c r="AJ4911">
        <v>82.887571837259799</v>
      </c>
      <c r="AK4911">
        <v>18.6222467794735</v>
      </c>
      <c r="AL4911">
        <v>82.759545574646395</v>
      </c>
      <c r="AM4911">
        <v>87.486938353644106</v>
      </c>
      <c r="AN4911">
        <v>1.00000001850577</v>
      </c>
    </row>
    <row r="4912" spans="1:40" x14ac:dyDescent="0.25">
      <c r="A4912" t="str">
        <f>"20190312164407687"</f>
        <v>20190312164407687</v>
      </c>
      <c r="B4912" t="str">
        <f>"1552380247680214"</f>
        <v>1552380247680214</v>
      </c>
      <c r="C4912" t="s">
        <v>40</v>
      </c>
      <c r="D4912">
        <v>4.9189809999999996</v>
      </c>
      <c r="E4912">
        <v>0.4913034</v>
      </c>
      <c r="F4912" t="s">
        <v>56</v>
      </c>
      <c r="G4912">
        <v>-235.97800000000001</v>
      </c>
      <c r="H4912" s="1">
        <v>-2.572969E-6</v>
      </c>
      <c r="I4912">
        <v>-64.222040000000007</v>
      </c>
      <c r="J4912">
        <v>-254.4821</v>
      </c>
      <c r="K4912">
        <v>1.108061</v>
      </c>
      <c r="L4912">
        <v>-61.759340000000002</v>
      </c>
      <c r="M4912">
        <v>0.99991099999999999</v>
      </c>
      <c r="N4912">
        <v>0</v>
      </c>
      <c r="O4912">
        <v>-1.165423E-2</v>
      </c>
      <c r="P4912">
        <v>0.9914461</v>
      </c>
      <c r="Q4912">
        <v>0.1193786</v>
      </c>
      <c r="R4912">
        <v>-5.2759100000000003E-2</v>
      </c>
      <c r="S4912">
        <v>3.0261079999999998</v>
      </c>
      <c r="T4912">
        <v>-0.17948420000000001</v>
      </c>
      <c r="U4912">
        <v>-0.39932250000000002</v>
      </c>
      <c r="V4912">
        <v>4.1561399999999998E-2</v>
      </c>
      <c r="W4912">
        <v>0.1256941</v>
      </c>
      <c r="X4912">
        <v>0.99119809999999997</v>
      </c>
      <c r="Y4912">
        <v>0.1190763</v>
      </c>
      <c r="Z4912">
        <v>-2.825508E-3</v>
      </c>
      <c r="AA4912">
        <v>0.99288109999999996</v>
      </c>
      <c r="AB4912">
        <v>34</v>
      </c>
      <c r="AC4912">
        <v>18.504100000000001</v>
      </c>
      <c r="AD4912">
        <v>-1.108063572969</v>
      </c>
      <c r="AE4912">
        <v>-2.4626999999999999</v>
      </c>
      <c r="AF4912">
        <v>2.2389881950727699</v>
      </c>
      <c r="AG4912">
        <v>-1.108063572969</v>
      </c>
      <c r="AH4912">
        <v>18.466479031598801</v>
      </c>
      <c r="AI4912">
        <v>93.408955778832905</v>
      </c>
      <c r="AJ4912">
        <v>83.086855363163707</v>
      </c>
      <c r="AK4912">
        <v>18.6346913267672</v>
      </c>
      <c r="AL4912">
        <v>82.779159173317396</v>
      </c>
      <c r="AM4912">
        <v>87.598967640147094</v>
      </c>
      <c r="AN4912">
        <v>1.0000000150941799</v>
      </c>
    </row>
    <row r="4913" spans="1:40" x14ac:dyDescent="0.25">
      <c r="A4913" t="str">
        <f>"20190312164407697"</f>
        <v>20190312164407697</v>
      </c>
      <c r="B4913" t="str">
        <f>"1552380247689970"</f>
        <v>1552380247689970</v>
      </c>
      <c r="C4913" t="s">
        <v>40</v>
      </c>
      <c r="D4913">
        <v>5.0801689999999997</v>
      </c>
      <c r="E4913">
        <v>0.4745374</v>
      </c>
      <c r="F4913" t="s">
        <v>41</v>
      </c>
      <c r="G4913">
        <v>-253.5284</v>
      </c>
      <c r="H4913">
        <v>1.041865</v>
      </c>
      <c r="I4913">
        <v>-61.775779999999997</v>
      </c>
      <c r="J4913">
        <v>-254.31180000000001</v>
      </c>
      <c r="K4913">
        <v>1.10805</v>
      </c>
      <c r="L4913">
        <v>-61.761839999999999</v>
      </c>
      <c r="M4913">
        <v>0.9999034</v>
      </c>
      <c r="N4913">
        <v>0</v>
      </c>
      <c r="O4913">
        <v>-1.229389E-2</v>
      </c>
      <c r="P4913">
        <v>0.99151210000000001</v>
      </c>
      <c r="Q4913">
        <v>0.11931799999999999</v>
      </c>
      <c r="R4913">
        <v>-5.164759E-2</v>
      </c>
      <c r="S4913">
        <v>3.048584</v>
      </c>
      <c r="T4913">
        <v>-0.2115146</v>
      </c>
      <c r="U4913">
        <v>-5.2001949999999998E-2</v>
      </c>
      <c r="V4913">
        <v>3.981473E-2</v>
      </c>
      <c r="W4913">
        <v>0.1256321</v>
      </c>
      <c r="X4913">
        <v>0.99127759999999998</v>
      </c>
      <c r="Y4913">
        <v>4.7796679999999999E-3</v>
      </c>
      <c r="Z4913">
        <v>6.8626089999999896E-4</v>
      </c>
      <c r="AA4913">
        <v>0.99998830000000005</v>
      </c>
      <c r="AB4913">
        <v>34</v>
      </c>
      <c r="AC4913">
        <v>0.78339999999999999</v>
      </c>
      <c r="AD4913">
        <v>-6.6184999999999897E-2</v>
      </c>
      <c r="AE4913">
        <v>-1.3940000000005099E-2</v>
      </c>
      <c r="AF4913">
        <v>4.2771913387596302E-3</v>
      </c>
      <c r="AG4913">
        <v>-6.6184999999999897E-2</v>
      </c>
      <c r="AH4913">
        <v>0.77796115882640304</v>
      </c>
      <c r="AI4913">
        <v>94.862652777892293</v>
      </c>
      <c r="AJ4913">
        <v>89.684993858735695</v>
      </c>
      <c r="AK4913">
        <v>0.78078314097658896</v>
      </c>
      <c r="AL4913">
        <v>82.782739487396</v>
      </c>
      <c r="AM4913">
        <v>87.699947555690301</v>
      </c>
      <c r="AN4913">
        <v>0.99999995876856995</v>
      </c>
    </row>
    <row r="4914" spans="1:40" x14ac:dyDescent="0.25">
      <c r="A4914" t="str">
        <f>"20190312164407708"</f>
        <v>20190312164407708</v>
      </c>
      <c r="B4914" t="str">
        <f>"1552380247699730"</f>
        <v>1552380247699730</v>
      </c>
      <c r="C4914" t="s">
        <v>40</v>
      </c>
      <c r="D4914">
        <v>5.1390200000000004</v>
      </c>
      <c r="E4914">
        <v>0.46344400000000002</v>
      </c>
      <c r="F4914" t="s">
        <v>56</v>
      </c>
      <c r="G4914">
        <v>-236.84</v>
      </c>
      <c r="H4914" s="1">
        <v>-2.160479E-6</v>
      </c>
      <c r="I4914">
        <v>-61.2819</v>
      </c>
      <c r="J4914">
        <v>-254.14789999999999</v>
      </c>
      <c r="K4914">
        <v>1.1080490000000001</v>
      </c>
      <c r="L4914">
        <v>-61.7643699999999</v>
      </c>
      <c r="M4914">
        <v>0.9998958</v>
      </c>
      <c r="N4914">
        <v>0</v>
      </c>
      <c r="O4914">
        <v>-1.290696E-2</v>
      </c>
      <c r="P4914">
        <v>0.99159260000000005</v>
      </c>
      <c r="Q4914">
        <v>0.11922389999999999</v>
      </c>
      <c r="R4914">
        <v>-5.0298589999999997E-2</v>
      </c>
      <c r="S4914">
        <v>3.0533450000000002</v>
      </c>
      <c r="T4914">
        <v>-0.19364110000000001</v>
      </c>
      <c r="U4914">
        <v>8.3862300000000001E-2</v>
      </c>
      <c r="V4914">
        <v>3.7856760000000003E-2</v>
      </c>
      <c r="W4914">
        <v>0.12553699999999901</v>
      </c>
      <c r="X4914">
        <v>0.99136639999999998</v>
      </c>
      <c r="Y4914">
        <v>-4.0248730000000003E-2</v>
      </c>
      <c r="Z4914">
        <v>2.0923650000000001E-3</v>
      </c>
      <c r="AA4914">
        <v>0.99918750000000001</v>
      </c>
      <c r="AB4914">
        <v>34</v>
      </c>
      <c r="AC4914">
        <v>17.307899999999901</v>
      </c>
      <c r="AD4914">
        <v>-1.108051160479</v>
      </c>
      <c r="AE4914">
        <v>0.48246999999999202</v>
      </c>
      <c r="AF4914">
        <v>-0.70294801659476802</v>
      </c>
      <c r="AG4914">
        <v>-1.108051160479</v>
      </c>
      <c r="AH4914">
        <v>17.229668938193701</v>
      </c>
      <c r="AI4914">
        <v>93.676611141954297</v>
      </c>
      <c r="AJ4914">
        <v>92.336297354960905</v>
      </c>
      <c r="AK4914">
        <v>17.279566111683199</v>
      </c>
      <c r="AL4914">
        <v>82.788232140658494</v>
      </c>
      <c r="AM4914">
        <v>87.813140330678607</v>
      </c>
      <c r="AN4914">
        <v>1.00000000584782</v>
      </c>
    </row>
    <row r="4915" spans="1:40" x14ac:dyDescent="0.25">
      <c r="A4915" t="str">
        <f>"20190312164407718"</f>
        <v>20190312164407718</v>
      </c>
      <c r="B4915" t="str">
        <f>"1552380247710466"</f>
        <v>1552380247710466</v>
      </c>
      <c r="C4915" t="s">
        <v>40</v>
      </c>
      <c r="D4915">
        <v>5.1661419999999998</v>
      </c>
      <c r="E4915">
        <v>0.45694170000000001</v>
      </c>
      <c r="F4915" t="s">
        <v>56</v>
      </c>
      <c r="G4915">
        <v>-237.3578</v>
      </c>
      <c r="H4915" s="1">
        <v>-2.2525480000000001E-6</v>
      </c>
      <c r="I4915">
        <v>-60.793030000000002</v>
      </c>
      <c r="J4915">
        <v>-253.98439999999999</v>
      </c>
      <c r="K4915">
        <v>1.108047</v>
      </c>
      <c r="L4915">
        <v>-61.766939999999998</v>
      </c>
      <c r="M4915">
        <v>0.99988779999999999</v>
      </c>
      <c r="N4915">
        <v>0</v>
      </c>
      <c r="O4915">
        <v>-1.351787E-2</v>
      </c>
      <c r="P4915">
        <v>0.99169600000000002</v>
      </c>
      <c r="Q4915">
        <v>0.11893529999999999</v>
      </c>
      <c r="R4915">
        <v>-4.8925160000000002E-2</v>
      </c>
      <c r="S4915">
        <v>3.0587010000000001</v>
      </c>
      <c r="T4915">
        <v>-0.20185639999999999</v>
      </c>
      <c r="U4915">
        <v>0.17694089999999901</v>
      </c>
      <c r="V4915">
        <v>3.587514E-2</v>
      </c>
      <c r="W4915">
        <v>0.125248</v>
      </c>
      <c r="X4915">
        <v>0.99147669999999999</v>
      </c>
      <c r="Y4915">
        <v>-7.1058780000000002E-2</v>
      </c>
      <c r="Z4915">
        <v>3.2307099999999999E-3</v>
      </c>
      <c r="AA4915">
        <v>0.99746690000000005</v>
      </c>
      <c r="AB4915">
        <v>34</v>
      </c>
      <c r="AC4915">
        <v>16.6265999999999</v>
      </c>
      <c r="AD4915">
        <v>-1.1080492525479999</v>
      </c>
      <c r="AE4915">
        <v>0.97391000000000305</v>
      </c>
      <c r="AF4915">
        <v>-1.1933002121076799</v>
      </c>
      <c r="AG4915">
        <v>-1.1080492525479999</v>
      </c>
      <c r="AH4915">
        <v>16.538712879503901</v>
      </c>
      <c r="AI4915">
        <v>93.823026341504203</v>
      </c>
      <c r="AJ4915">
        <v>94.126850208740393</v>
      </c>
      <c r="AK4915">
        <v>16.6186871398723</v>
      </c>
      <c r="AL4915">
        <v>82.804922794862904</v>
      </c>
      <c r="AM4915">
        <v>87.927739739728096</v>
      </c>
      <c r="AN4915">
        <v>1.0000000669084499</v>
      </c>
    </row>
    <row r="4916" spans="1:40" x14ac:dyDescent="0.25">
      <c r="A4916" t="str">
        <f>"20190312164407730"</f>
        <v>20190312164407730</v>
      </c>
      <c r="B4916" t="str">
        <f>"1552380247720227"</f>
        <v>1552380247720227</v>
      </c>
      <c r="C4916" t="s">
        <v>40</v>
      </c>
      <c r="D4916">
        <v>5.0067240000000002</v>
      </c>
      <c r="E4916">
        <v>0.45293519999999998</v>
      </c>
      <c r="F4916" t="s">
        <v>56</v>
      </c>
      <c r="G4916">
        <v>-237.28720000000001</v>
      </c>
      <c r="H4916" s="1">
        <v>-2.1430180000000001E-6</v>
      </c>
      <c r="I4916">
        <v>-60.495220000000003</v>
      </c>
      <c r="J4916">
        <v>-253.81229999999999</v>
      </c>
      <c r="K4916">
        <v>1.108044</v>
      </c>
      <c r="L4916">
        <v>-61.76981</v>
      </c>
      <c r="M4916">
        <v>0.99987890000000001</v>
      </c>
      <c r="N4916">
        <v>0</v>
      </c>
      <c r="O4916">
        <v>-1.4154160000000001E-2</v>
      </c>
      <c r="P4916">
        <v>0.99177110000000002</v>
      </c>
      <c r="Q4916">
        <v>0.118808</v>
      </c>
      <c r="R4916">
        <v>-4.7695300000000003E-2</v>
      </c>
      <c r="S4916">
        <v>3.0609890000000002</v>
      </c>
      <c r="T4916">
        <v>-0.2031317</v>
      </c>
      <c r="U4916">
        <v>0.23312379999999999</v>
      </c>
      <c r="V4916">
        <v>3.4012269999999997E-2</v>
      </c>
      <c r="W4916">
        <v>0.12512019999999999</v>
      </c>
      <c r="X4916">
        <v>0.99155839999999995</v>
      </c>
      <c r="Y4916">
        <v>-8.9818250000000002E-2</v>
      </c>
      <c r="Z4916">
        <v>3.9096979999999996E-3</v>
      </c>
      <c r="AA4916">
        <v>0.99595049999999996</v>
      </c>
      <c r="AB4916">
        <v>34</v>
      </c>
      <c r="AC4916">
        <v>16.525099999999899</v>
      </c>
      <c r="AD4916">
        <v>-1.108046143018</v>
      </c>
      <c r="AE4916">
        <v>1.2745899999999999</v>
      </c>
      <c r="AF4916">
        <v>-1.5016545858241599</v>
      </c>
      <c r="AG4916">
        <v>-1.108046143018</v>
      </c>
      <c r="AH4916">
        <v>16.431962005098299</v>
      </c>
      <c r="AI4916">
        <v>93.841789419440801</v>
      </c>
      <c r="AJ4916">
        <v>95.221540076276497</v>
      </c>
      <c r="AK4916">
        <v>16.537596805073498</v>
      </c>
      <c r="AL4916">
        <v>82.812302623620994</v>
      </c>
      <c r="AM4916">
        <v>88.035420053822705</v>
      </c>
      <c r="AN4916">
        <v>0.999999979784576</v>
      </c>
    </row>
    <row r="4917" spans="1:40" x14ac:dyDescent="0.25">
      <c r="A4917" t="str">
        <f>"20190312164407740"</f>
        <v>20190312164407740</v>
      </c>
      <c r="B4917" t="str">
        <f>"1552380247729987"</f>
        <v>1552380247729987</v>
      </c>
      <c r="C4917" t="s">
        <v>40</v>
      </c>
      <c r="D4917">
        <v>4.8558830000000004</v>
      </c>
      <c r="E4917">
        <v>0.44982329999999998</v>
      </c>
      <c r="F4917" t="s">
        <v>56</v>
      </c>
      <c r="G4917">
        <v>-237.09739999999999</v>
      </c>
      <c r="H4917" s="1">
        <v>-2.0462279999999999E-6</v>
      </c>
      <c r="I4917">
        <v>-60.302979999999998</v>
      </c>
      <c r="J4917">
        <v>-253.64529999999999</v>
      </c>
      <c r="K4917">
        <v>1.108044</v>
      </c>
      <c r="L4917">
        <v>-61.77261</v>
      </c>
      <c r="M4917">
        <v>0.99987020000000004</v>
      </c>
      <c r="N4917">
        <v>0</v>
      </c>
      <c r="O4917">
        <v>-1.4770180000000001E-2</v>
      </c>
      <c r="P4917">
        <v>0.99184760000000005</v>
      </c>
      <c r="Q4917">
        <v>0.118753399999999</v>
      </c>
      <c r="R4917">
        <v>-4.622039E-2</v>
      </c>
      <c r="S4917">
        <v>3.0621339999999999</v>
      </c>
      <c r="T4917">
        <v>-0.20299159999999999</v>
      </c>
      <c r="U4917">
        <v>0.26870729999999998</v>
      </c>
      <c r="V4917">
        <v>3.1924149999999998E-2</v>
      </c>
      <c r="W4917">
        <v>0.12506529999999999</v>
      </c>
      <c r="X4917">
        <v>0.99163480000000004</v>
      </c>
      <c r="Y4917">
        <v>-0.101866</v>
      </c>
      <c r="Z4917">
        <v>4.342584E-3</v>
      </c>
      <c r="AA4917">
        <v>0.99478860000000002</v>
      </c>
      <c r="AB4917">
        <v>34</v>
      </c>
      <c r="AC4917">
        <v>16.547899999999998</v>
      </c>
      <c r="AD4917">
        <v>-1.108046046228</v>
      </c>
      <c r="AE4917">
        <v>1.46962999999999</v>
      </c>
      <c r="AF4917">
        <v>-1.70629965446303</v>
      </c>
      <c r="AG4917">
        <v>-1.108046046228</v>
      </c>
      <c r="AH4917">
        <v>16.451203749792398</v>
      </c>
      <c r="AI4917">
        <v>93.832752519640593</v>
      </c>
      <c r="AJ4917">
        <v>95.921478334592805</v>
      </c>
      <c r="AK4917">
        <v>16.576529472979701</v>
      </c>
      <c r="AL4917">
        <v>82.815473418162398</v>
      </c>
      <c r="AM4917">
        <v>88.156087764117004</v>
      </c>
      <c r="AN4917">
        <v>1.0000000285941699</v>
      </c>
    </row>
    <row r="4918" spans="1:40" x14ac:dyDescent="0.25">
      <c r="A4918" t="str">
        <f>"20190312164407754"</f>
        <v>20190312164407754</v>
      </c>
      <c r="B4918" t="str">
        <f>"1552380247750485"</f>
        <v>1552380247750485</v>
      </c>
      <c r="C4918" t="s">
        <v>40</v>
      </c>
      <c r="D4918">
        <v>4.8288760000000002</v>
      </c>
      <c r="E4918">
        <v>0.4456928</v>
      </c>
      <c r="F4918" t="s">
        <v>56</v>
      </c>
      <c r="G4918">
        <v>-237.80430000000001</v>
      </c>
      <c r="H4918" s="1">
        <v>-2.3627869999999999E-6</v>
      </c>
      <c r="I4918">
        <v>-60.22786</v>
      </c>
      <c r="J4918">
        <v>-253.45609999999999</v>
      </c>
      <c r="K4918">
        <v>1.1080449999999999</v>
      </c>
      <c r="L4918">
        <v>-61.776060000000001</v>
      </c>
      <c r="M4918">
        <v>0.99985990000000002</v>
      </c>
      <c r="N4918">
        <v>0</v>
      </c>
      <c r="O4918">
        <v>-1.54547E-2</v>
      </c>
      <c r="P4918">
        <v>0.99192840000000004</v>
      </c>
      <c r="Q4918">
        <v>0.11854720000000001</v>
      </c>
      <c r="R4918">
        <v>-4.4999949999999997E-2</v>
      </c>
      <c r="S4918">
        <v>3.0642239999999998</v>
      </c>
      <c r="T4918">
        <v>-0.21433530000000001</v>
      </c>
      <c r="U4918">
        <v>0.298797599999999</v>
      </c>
      <c r="V4918">
        <v>3.0020910000000001E-2</v>
      </c>
      <c r="W4918">
        <v>0.1248591</v>
      </c>
      <c r="X4918">
        <v>0.99172020000000005</v>
      </c>
      <c r="Y4918">
        <v>-0.112113</v>
      </c>
      <c r="Z4918">
        <v>4.9843509999999997E-3</v>
      </c>
      <c r="AA4918">
        <v>0.99368299999999998</v>
      </c>
      <c r="AB4918">
        <v>34</v>
      </c>
      <c r="AC4918">
        <v>15.6517999999999</v>
      </c>
      <c r="AD4918">
        <v>-1.108047362787</v>
      </c>
      <c r="AE4918">
        <v>1.5482</v>
      </c>
      <c r="AF4918">
        <v>-1.7810741809744299</v>
      </c>
      <c r="AG4918">
        <v>-1.108047362787</v>
      </c>
      <c r="AH4918">
        <v>15.5488315956308</v>
      </c>
      <c r="AI4918">
        <v>94.0497522625149</v>
      </c>
      <c r="AJ4918">
        <v>96.534586757532196</v>
      </c>
      <c r="AK4918">
        <v>15.689683176712</v>
      </c>
      <c r="AL4918">
        <v>82.827380958038404</v>
      </c>
      <c r="AM4918">
        <v>88.266097309171101</v>
      </c>
      <c r="AN4918">
        <v>1.0000000024890301</v>
      </c>
    </row>
    <row r="4919" spans="1:40" x14ac:dyDescent="0.25">
      <c r="A4919" t="str">
        <f>"20190312164407766"</f>
        <v>20190312164407766</v>
      </c>
      <c r="B4919" t="str">
        <f>"1552380247760243"</f>
        <v>1552380247760243</v>
      </c>
      <c r="C4919" t="s">
        <v>40</v>
      </c>
      <c r="D4919">
        <v>4.8490390000000003</v>
      </c>
      <c r="E4919">
        <v>0.44425369999999997</v>
      </c>
      <c r="F4919" t="s">
        <v>56</v>
      </c>
      <c r="G4919">
        <v>-238.26439999999999</v>
      </c>
      <c r="H4919" s="1">
        <v>-2.5808509999999998E-6</v>
      </c>
      <c r="I4919">
        <v>-60.11139</v>
      </c>
      <c r="J4919">
        <v>-253.26779999999999</v>
      </c>
      <c r="K4919">
        <v>1.1080490000000001</v>
      </c>
      <c r="L4919">
        <v>-61.77948</v>
      </c>
      <c r="M4919">
        <v>0.99984930000000005</v>
      </c>
      <c r="N4919">
        <v>0</v>
      </c>
      <c r="O4919">
        <v>-1.612895E-2</v>
      </c>
      <c r="P4919">
        <v>0.99199680000000001</v>
      </c>
      <c r="Q4919">
        <v>0.1184297</v>
      </c>
      <c r="R4919">
        <v>-4.3785589999999999E-2</v>
      </c>
      <c r="S4919">
        <v>3.0664060000000002</v>
      </c>
      <c r="T4919">
        <v>-0.22365740000000001</v>
      </c>
      <c r="U4919">
        <v>0.33599849999999998</v>
      </c>
      <c r="V4919">
        <v>2.813367E-2</v>
      </c>
      <c r="W4919">
        <v>0.1247417</v>
      </c>
      <c r="X4919">
        <v>0.99179030000000001</v>
      </c>
      <c r="Y4919">
        <v>-0.1245718</v>
      </c>
      <c r="Z4919">
        <v>5.695098E-3</v>
      </c>
      <c r="AA4919">
        <v>0.99219420000000003</v>
      </c>
      <c r="AB4919">
        <v>34</v>
      </c>
      <c r="AC4919">
        <v>15.003399999999999</v>
      </c>
      <c r="AD4919">
        <v>-1.1080515808509901</v>
      </c>
      <c r="AE4919">
        <v>1.6680900000000001</v>
      </c>
      <c r="AF4919">
        <v>-1.8996323942537401</v>
      </c>
      <c r="AG4919">
        <v>-1.1080515808509901</v>
      </c>
      <c r="AH4919">
        <v>14.894296866268</v>
      </c>
      <c r="AI4919">
        <v>94.220580948387195</v>
      </c>
      <c r="AJ4919">
        <v>97.268315736489498</v>
      </c>
      <c r="AK4919">
        <v>15.0557783153063</v>
      </c>
      <c r="AL4919">
        <v>82.834160447250696</v>
      </c>
      <c r="AM4919">
        <v>88.375152079538196</v>
      </c>
      <c r="AN4919">
        <v>0.99999999714032395</v>
      </c>
    </row>
    <row r="4920" spans="1:40" x14ac:dyDescent="0.25">
      <c r="A4920" t="str">
        <f>"20190312164407777"</f>
        <v>20190312164407777</v>
      </c>
      <c r="B4920" t="str">
        <f>"1552380247770002"</f>
        <v>1552380247770002</v>
      </c>
      <c r="C4920" t="s">
        <v>40</v>
      </c>
      <c r="D4920">
        <v>4.8277919999999996</v>
      </c>
      <c r="E4920">
        <v>0.4431814</v>
      </c>
      <c r="F4920" t="s">
        <v>56</v>
      </c>
      <c r="G4920">
        <v>-238.37430000000001</v>
      </c>
      <c r="H4920" s="1">
        <v>-2.6348249999999998E-6</v>
      </c>
      <c r="I4920">
        <v>-60.072920000000003</v>
      </c>
      <c r="J4920">
        <v>-253.0865</v>
      </c>
      <c r="K4920">
        <v>1.108058</v>
      </c>
      <c r="L4920">
        <v>-61.78293</v>
      </c>
      <c r="M4920">
        <v>0.99983869999999997</v>
      </c>
      <c r="N4920">
        <v>0</v>
      </c>
      <c r="O4920">
        <v>-1.676658E-2</v>
      </c>
      <c r="P4920">
        <v>0.99205239999999995</v>
      </c>
      <c r="Q4920">
        <v>0.1184434</v>
      </c>
      <c r="R4920">
        <v>-4.2463859999999999E-2</v>
      </c>
      <c r="S4920">
        <v>3.0669400000000002</v>
      </c>
      <c r="T4920">
        <v>-0.22817560000000001</v>
      </c>
      <c r="U4920">
        <v>0.3514099</v>
      </c>
      <c r="V4920">
        <v>2.6175380000000002E-2</v>
      </c>
      <c r="W4920">
        <v>0.1247569</v>
      </c>
      <c r="X4920">
        <v>0.991842</v>
      </c>
      <c r="Y4920">
        <v>-0.13007630000000001</v>
      </c>
      <c r="Z4920">
        <v>6.0582889999999997E-3</v>
      </c>
      <c r="AA4920">
        <v>0.99148550000000002</v>
      </c>
      <c r="AB4920">
        <v>35</v>
      </c>
      <c r="AC4920">
        <v>14.7121999999999</v>
      </c>
      <c r="AD4920">
        <v>-1.1080606348249999</v>
      </c>
      <c r="AE4920">
        <v>1.71001000000001</v>
      </c>
      <c r="AF4920">
        <v>-1.94555899812619</v>
      </c>
      <c r="AG4920">
        <v>-1.1080606348249999</v>
      </c>
      <c r="AH4920">
        <v>14.599747570917399</v>
      </c>
      <c r="AI4920">
        <v>94.302304988033697</v>
      </c>
      <c r="AJ4920">
        <v>97.590502062143699</v>
      </c>
      <c r="AK4920">
        <v>14.770430844093401</v>
      </c>
      <c r="AL4920">
        <v>82.833282670517207</v>
      </c>
      <c r="AM4920">
        <v>88.488276587051502</v>
      </c>
      <c r="AN4920">
        <v>0.99999999378987703</v>
      </c>
    </row>
    <row r="4921" spans="1:40" x14ac:dyDescent="0.25">
      <c r="A4921" t="str">
        <f>"20190312164407789"</f>
        <v>20190312164407789</v>
      </c>
      <c r="B4921" t="str">
        <f>"1552380247780271"</f>
        <v>1552380247780271</v>
      </c>
      <c r="C4921" t="s">
        <v>40</v>
      </c>
      <c r="D4921">
        <v>4.8321500000000004</v>
      </c>
      <c r="E4921">
        <v>0.44229390000000002</v>
      </c>
      <c r="F4921" t="s">
        <v>56</v>
      </c>
      <c r="G4921">
        <v>-238.38679999999999</v>
      </c>
      <c r="H4921" s="1">
        <v>-2.6464050000000001E-6</v>
      </c>
      <c r="I4921">
        <v>-60.0379</v>
      </c>
      <c r="J4921">
        <v>-252.8998</v>
      </c>
      <c r="K4921">
        <v>1.10807099999999</v>
      </c>
      <c r="L4921">
        <v>-61.786589999999997</v>
      </c>
      <c r="M4921">
        <v>0.99982769999999999</v>
      </c>
      <c r="N4921">
        <v>0</v>
      </c>
      <c r="O4921">
        <v>-1.741038E-2</v>
      </c>
      <c r="P4921">
        <v>0.99213700000000005</v>
      </c>
      <c r="Q4921">
        <v>0.118155</v>
      </c>
      <c r="R4921">
        <v>-4.1278429999999998E-2</v>
      </c>
      <c r="S4921">
        <v>3.0672450000000002</v>
      </c>
      <c r="T4921">
        <v>-0.2312082</v>
      </c>
      <c r="U4921">
        <v>0.36410520000000002</v>
      </c>
      <c r="V4921">
        <v>2.4344979999999999E-2</v>
      </c>
      <c r="W4921">
        <v>0.1244692</v>
      </c>
      <c r="X4921">
        <v>0.99192480000000005</v>
      </c>
      <c r="Y4921">
        <v>-0.1347256</v>
      </c>
      <c r="Z4921">
        <v>6.3592129999999998E-3</v>
      </c>
      <c r="AA4921">
        <v>0.99086249999999998</v>
      </c>
      <c r="AB4921">
        <v>35</v>
      </c>
      <c r="AC4921">
        <v>14.513</v>
      </c>
      <c r="AD4921">
        <v>-1.1080736464049901</v>
      </c>
      <c r="AE4921">
        <v>1.7486900000000001</v>
      </c>
      <c r="AF4921">
        <v>-1.9896744167485301</v>
      </c>
      <c r="AG4921">
        <v>-1.1080736464049901</v>
      </c>
      <c r="AH4921">
        <v>14.3976258870556</v>
      </c>
      <c r="AI4921">
        <v>94.359665444590306</v>
      </c>
      <c r="AJ4921">
        <v>97.868133068882997</v>
      </c>
      <c r="AK4921">
        <v>14.576634133919001</v>
      </c>
      <c r="AL4921">
        <v>82.849896453060097</v>
      </c>
      <c r="AM4921">
        <v>88.594062136637206</v>
      </c>
      <c r="AN4921">
        <v>1.00000003432743</v>
      </c>
    </row>
    <row r="4922" spans="1:40" x14ac:dyDescent="0.25">
      <c r="A4922" t="str">
        <f>"20190312164407800"</f>
        <v>20190312164407800</v>
      </c>
      <c r="B4922" t="str">
        <f>"1552380247790032"</f>
        <v>1552380247790032</v>
      </c>
      <c r="C4922" t="s">
        <v>40</v>
      </c>
      <c r="D4922">
        <v>4.8202059999999998</v>
      </c>
      <c r="E4922">
        <v>0.44150400000000001</v>
      </c>
      <c r="F4922" t="s">
        <v>56</v>
      </c>
      <c r="G4922">
        <v>-238.4375</v>
      </c>
      <c r="H4922" s="1">
        <v>-2.6714099999999998E-6</v>
      </c>
      <c r="I4922">
        <v>-60.01943</v>
      </c>
      <c r="J4922">
        <v>-252.7216</v>
      </c>
      <c r="K4922">
        <v>1.108082</v>
      </c>
      <c r="L4922">
        <v>-61.79016</v>
      </c>
      <c r="M4922">
        <v>0.99981710000000001</v>
      </c>
      <c r="N4922">
        <v>0</v>
      </c>
      <c r="O4922">
        <v>-1.801842E-2</v>
      </c>
      <c r="P4922">
        <v>0.99220240000000004</v>
      </c>
      <c r="Q4922">
        <v>0.1180235</v>
      </c>
      <c r="R4922">
        <v>-4.0062779999999999E-2</v>
      </c>
      <c r="S4922">
        <v>3.0673370000000002</v>
      </c>
      <c r="T4922">
        <v>-0.235013</v>
      </c>
      <c r="U4922">
        <v>0.37478640000000002</v>
      </c>
      <c r="V4922">
        <v>2.2520559999999998E-2</v>
      </c>
      <c r="W4922">
        <v>0.12433959999999999</v>
      </c>
      <c r="X4922">
        <v>0.99198410000000004</v>
      </c>
      <c r="Y4922">
        <v>-0.1386975</v>
      </c>
      <c r="Z4922">
        <v>6.659791E-3</v>
      </c>
      <c r="AA4922">
        <v>0.99031239999999998</v>
      </c>
      <c r="AB4922">
        <v>35</v>
      </c>
      <c r="AC4922">
        <v>14.284099999999899</v>
      </c>
      <c r="AD4922">
        <v>-1.1080846714100001</v>
      </c>
      <c r="AE4922">
        <v>1.7707299999999899</v>
      </c>
      <c r="AF4922">
        <v>-2.0158771132388398</v>
      </c>
      <c r="AG4922">
        <v>-1.1080846714100001</v>
      </c>
      <c r="AH4922">
        <v>14.165916631258799</v>
      </c>
      <c r="AI4922">
        <v>94.428243789615394</v>
      </c>
      <c r="AJ4922">
        <v>98.099082732560007</v>
      </c>
      <c r="AK4922">
        <v>14.351474007169699</v>
      </c>
      <c r="AL4922">
        <v>82.857379754901402</v>
      </c>
      <c r="AM4922">
        <v>88.699463603026999</v>
      </c>
      <c r="AN4922">
        <v>0.99999998320184103</v>
      </c>
    </row>
    <row r="4923" spans="1:40" x14ac:dyDescent="0.25">
      <c r="A4923" t="str">
        <f>"20190312164407819"</f>
        <v>20190312164407819</v>
      </c>
      <c r="B4923" t="str">
        <f>"1552380247809551"</f>
        <v>1552380247809551</v>
      </c>
      <c r="C4923" t="s">
        <v>40</v>
      </c>
      <c r="D4923">
        <v>4.8495059999999999</v>
      </c>
      <c r="E4923">
        <v>0.4408765</v>
      </c>
      <c r="F4923" t="s">
        <v>56</v>
      </c>
      <c r="G4923">
        <v>-238.5256</v>
      </c>
      <c r="H4923" s="1">
        <v>-2.7109939999999998E-6</v>
      </c>
      <c r="I4923">
        <v>-60.009360000000001</v>
      </c>
      <c r="J4923">
        <v>-252.42400000000001</v>
      </c>
      <c r="K4923">
        <v>1.1081030000000001</v>
      </c>
      <c r="L4923">
        <v>-61.796390000000002</v>
      </c>
      <c r="M4923">
        <v>0.99979890000000005</v>
      </c>
      <c r="N4923">
        <v>0</v>
      </c>
      <c r="O4923">
        <v>-1.8999439999999999E-2</v>
      </c>
      <c r="P4923">
        <v>0.99232790000000004</v>
      </c>
      <c r="Q4923">
        <v>0.11778760000000001</v>
      </c>
      <c r="R4923">
        <v>-3.7570949999999999E-2</v>
      </c>
      <c r="S4923">
        <v>3.067596</v>
      </c>
      <c r="T4923">
        <v>-0.23944389999999999</v>
      </c>
      <c r="U4923">
        <v>0.38479609999999997</v>
      </c>
      <c r="V4923">
        <v>1.9044559999999999E-2</v>
      </c>
      <c r="W4923">
        <v>0.1241087</v>
      </c>
      <c r="X4923">
        <v>0.99208589999999997</v>
      </c>
      <c r="Y4923">
        <v>-0.142808399999999</v>
      </c>
      <c r="Z4923">
        <v>7.0188409999999996E-3</v>
      </c>
      <c r="AA4923">
        <v>0.98972550000000004</v>
      </c>
      <c r="AB4923">
        <v>35</v>
      </c>
      <c r="AC4923">
        <v>13.898400000000001</v>
      </c>
      <c r="AD4923">
        <v>-1.108105710994</v>
      </c>
      <c r="AE4923">
        <v>1.7870299999999999</v>
      </c>
      <c r="AF4923">
        <v>-2.0380301898460198</v>
      </c>
      <c r="AG4923">
        <v>-1.108105710994</v>
      </c>
      <c r="AH4923">
        <v>13.775793261746699</v>
      </c>
      <c r="AI4923">
        <v>94.549583481656597</v>
      </c>
      <c r="AJ4923">
        <v>98.415458883692096</v>
      </c>
      <c r="AK4923">
        <v>13.969751082673101</v>
      </c>
      <c r="AL4923">
        <v>82.870713094950105</v>
      </c>
      <c r="AM4923">
        <v>88.900257622749095</v>
      </c>
      <c r="AN4923">
        <v>1.00000004883004</v>
      </c>
    </row>
    <row r="4924" spans="1:40" x14ac:dyDescent="0.25">
      <c r="A4924" t="str">
        <f>"20190312164407830"</f>
        <v>20190312164407830</v>
      </c>
      <c r="B4924" t="str">
        <f>"1552380247820288"</f>
        <v>1552380247820288</v>
      </c>
      <c r="C4924" t="s">
        <v>40</v>
      </c>
      <c r="D4924">
        <v>4.8361080000000003</v>
      </c>
      <c r="E4924">
        <v>0.44038719999999998</v>
      </c>
      <c r="F4924" t="s">
        <v>56</v>
      </c>
      <c r="G4924">
        <v>-238.5641</v>
      </c>
      <c r="H4924" s="1">
        <v>-2.7286200000000001E-6</v>
      </c>
      <c r="I4924">
        <v>-60.003</v>
      </c>
      <c r="J4924">
        <v>-252.2602</v>
      </c>
      <c r="K4924">
        <v>1.108114</v>
      </c>
      <c r="L4924">
        <v>-61.799930000000003</v>
      </c>
      <c r="M4924">
        <v>0.99978889999999998</v>
      </c>
      <c r="N4924">
        <v>0</v>
      </c>
      <c r="O4924">
        <v>-1.9520309999999999E-2</v>
      </c>
      <c r="P4924">
        <v>0.99235830000000003</v>
      </c>
      <c r="Q4924">
        <v>0.1179031</v>
      </c>
      <c r="R4924">
        <v>-3.6388709999999998E-2</v>
      </c>
      <c r="S4924">
        <v>3.0673370000000002</v>
      </c>
      <c r="T4924">
        <v>-0.24523500000000001</v>
      </c>
      <c r="U4924">
        <v>0.39688109999999999</v>
      </c>
      <c r="V4924">
        <v>1.7340580000000001E-2</v>
      </c>
      <c r="W4924">
        <v>0.12422420000000001</v>
      </c>
      <c r="X4924">
        <v>0.99210259999999995</v>
      </c>
      <c r="Y4924">
        <v>-0.14713129999999999</v>
      </c>
      <c r="Z4924">
        <v>7.4001609999999997E-3</v>
      </c>
      <c r="AA4924">
        <v>0.98908929999999995</v>
      </c>
      <c r="AB4924">
        <v>35</v>
      </c>
      <c r="AC4924">
        <v>13.696099999999999</v>
      </c>
      <c r="AD4924">
        <v>-1.10811672862</v>
      </c>
      <c r="AE4924">
        <v>1.7969299999999999</v>
      </c>
      <c r="AF4924">
        <v>-2.0507481470687599</v>
      </c>
      <c r="AG4924">
        <v>-1.10811672862</v>
      </c>
      <c r="AH4924">
        <v>13.571079672315101</v>
      </c>
      <c r="AI4924">
        <v>94.615832490377102</v>
      </c>
      <c r="AJ4924">
        <v>98.593046337738201</v>
      </c>
      <c r="AK4924">
        <v>13.7698109689014</v>
      </c>
      <c r="AL4924">
        <v>82.864043172214494</v>
      </c>
      <c r="AM4924">
        <v>88.998651056364096</v>
      </c>
      <c r="AN4924">
        <v>0.99999995825356702</v>
      </c>
    </row>
    <row r="4925" spans="1:40" x14ac:dyDescent="0.25">
      <c r="A4925" t="str">
        <f>"20190312164407853"</f>
        <v>20190312164407853</v>
      </c>
      <c r="B4925" t="str">
        <f>"1552380247849567"</f>
        <v>1552380247849567</v>
      </c>
      <c r="C4925" t="s">
        <v>40</v>
      </c>
      <c r="D4925">
        <v>4.8488110000000004</v>
      </c>
      <c r="E4925">
        <v>0.43941180000000002</v>
      </c>
      <c r="F4925" t="s">
        <v>56</v>
      </c>
      <c r="G4925">
        <v>-238.524</v>
      </c>
      <c r="H4925" s="1">
        <v>-2.71361E-6</v>
      </c>
      <c r="I4925">
        <v>-59.990690000000001</v>
      </c>
      <c r="J4925">
        <v>-251.90289999999999</v>
      </c>
      <c r="K4925">
        <v>1.1081479999999999</v>
      </c>
      <c r="L4925">
        <v>-61.807859999999998</v>
      </c>
      <c r="M4925">
        <v>0.99976670000000001</v>
      </c>
      <c r="N4925">
        <v>0</v>
      </c>
      <c r="O4925">
        <v>-2.0628779999999999E-2</v>
      </c>
      <c r="P4925">
        <v>0.99246009999999996</v>
      </c>
      <c r="Q4925">
        <v>0.1177309</v>
      </c>
      <c r="R4925">
        <v>-3.4096670000000003E-2</v>
      </c>
      <c r="S4925">
        <v>3.0673219999999999</v>
      </c>
      <c r="T4925">
        <v>-0.24744430000000001</v>
      </c>
      <c r="U4925">
        <v>0.40399170000000001</v>
      </c>
      <c r="V4925">
        <v>1.3935909999999999E-2</v>
      </c>
      <c r="W4925">
        <v>0.12405099999999999</v>
      </c>
      <c r="X4925">
        <v>0.992178</v>
      </c>
      <c r="Y4925">
        <v>-0.1504587</v>
      </c>
      <c r="Z4925">
        <v>7.6879100000000001E-3</v>
      </c>
      <c r="AA4925">
        <v>0.98858639999999998</v>
      </c>
      <c r="AB4925">
        <v>35</v>
      </c>
      <c r="AC4925">
        <v>13.3788999999999</v>
      </c>
      <c r="AD4925">
        <v>-1.1081507136099999</v>
      </c>
      <c r="AE4925">
        <v>1.81716999999999</v>
      </c>
      <c r="AF4925">
        <v>-2.07877619161862</v>
      </c>
      <c r="AG4925">
        <v>-1.1081507136099999</v>
      </c>
      <c r="AH4925">
        <v>13.2493154848737</v>
      </c>
      <c r="AI4925">
        <v>94.723477810529005</v>
      </c>
      <c r="AJ4925">
        <v>98.916835468940207</v>
      </c>
      <c r="AK4925">
        <v>13.4571047880526</v>
      </c>
      <c r="AL4925">
        <v>82.874044615317302</v>
      </c>
      <c r="AM4925">
        <v>89.195289227779099</v>
      </c>
      <c r="AN4925">
        <v>1.0000000219362599</v>
      </c>
    </row>
    <row r="4926" spans="1:40" x14ac:dyDescent="0.25">
      <c r="A4926" t="str">
        <f>"20190312164407865"</f>
        <v>20190312164407865</v>
      </c>
      <c r="B4926" t="str">
        <f>"1552380247860304"</f>
        <v>1552380247860304</v>
      </c>
      <c r="C4926" t="s">
        <v>40</v>
      </c>
      <c r="D4926">
        <v>4.8405129999999996</v>
      </c>
      <c r="E4926">
        <v>0.43940269999999998</v>
      </c>
      <c r="F4926" t="s">
        <v>56</v>
      </c>
      <c r="G4926">
        <v>-238.76730000000001</v>
      </c>
      <c r="H4926" s="1">
        <v>-2.8137860000000001E-6</v>
      </c>
      <c r="I4926">
        <v>-60.01455</v>
      </c>
      <c r="J4926">
        <v>-251.7277</v>
      </c>
      <c r="K4926">
        <v>1.1081589999999999</v>
      </c>
      <c r="L4926">
        <v>-61.811889999999998</v>
      </c>
      <c r="M4926">
        <v>0.99975579999999997</v>
      </c>
      <c r="N4926">
        <v>0</v>
      </c>
      <c r="O4926">
        <v>-2.115788E-2</v>
      </c>
      <c r="P4926">
        <v>0.99249109999999996</v>
      </c>
      <c r="Q4926">
        <v>0.1177371</v>
      </c>
      <c r="R4926">
        <v>-3.3160160000000001E-2</v>
      </c>
      <c r="S4926">
        <v>3.0678709999999998</v>
      </c>
      <c r="T4926">
        <v>-0.25881470000000001</v>
      </c>
      <c r="U4926">
        <v>0.41882320000000001</v>
      </c>
      <c r="V4926">
        <v>1.24691E-2</v>
      </c>
      <c r="W4926">
        <v>0.1240557</v>
      </c>
      <c r="X4926">
        <v>0.99219690000000005</v>
      </c>
      <c r="Y4926">
        <v>-0.15558129999999901</v>
      </c>
      <c r="Z4926">
        <v>8.2950990000000002E-3</v>
      </c>
      <c r="AA4926">
        <v>0.98778829999999995</v>
      </c>
      <c r="AB4926">
        <v>35</v>
      </c>
      <c r="AC4926">
        <v>12.9603999999999</v>
      </c>
      <c r="AD4926">
        <v>-1.1081618137860001</v>
      </c>
      <c r="AE4926">
        <v>1.7973399999999999</v>
      </c>
      <c r="AF4926">
        <v>-2.0564073466358899</v>
      </c>
      <c r="AG4926">
        <v>-1.1081618137860001</v>
      </c>
      <c r="AH4926">
        <v>12.827459527133501</v>
      </c>
      <c r="AI4926">
        <v>94.875564459305295</v>
      </c>
      <c r="AJ4926">
        <v>99.107756899346597</v>
      </c>
      <c r="AK4926">
        <v>13.0384259671587</v>
      </c>
      <c r="AL4926">
        <v>82.873773012714395</v>
      </c>
      <c r="AM4926">
        <v>89.279992512344194</v>
      </c>
      <c r="AN4926">
        <v>0.999999991763455</v>
      </c>
    </row>
    <row r="4927" spans="1:40" x14ac:dyDescent="0.25">
      <c r="A4927" t="str">
        <f>"20190312164407874"</f>
        <v>20190312164407874</v>
      </c>
      <c r="B4927" t="str">
        <f>"1552380247870063"</f>
        <v>1552380247870063</v>
      </c>
      <c r="C4927" t="s">
        <v>40</v>
      </c>
      <c r="D4927">
        <v>5.0985239999999896</v>
      </c>
      <c r="E4927">
        <v>0.43949719999999998</v>
      </c>
      <c r="F4927" t="s">
        <v>56</v>
      </c>
      <c r="G4927">
        <v>-238.59479999999999</v>
      </c>
      <c r="H4927" s="1">
        <v>-2.7410160000000001E-6</v>
      </c>
      <c r="I4927">
        <v>-60.007469999999998</v>
      </c>
      <c r="J4927">
        <v>-251.54660000000001</v>
      </c>
      <c r="K4927">
        <v>1.1081719999999999</v>
      </c>
      <c r="L4927">
        <v>-61.816160000000004</v>
      </c>
      <c r="M4927">
        <v>0.99974439999999998</v>
      </c>
      <c r="N4927">
        <v>0</v>
      </c>
      <c r="O4927">
        <v>-2.169248E-2</v>
      </c>
      <c r="P4927">
        <v>0.99254580000000003</v>
      </c>
      <c r="Q4927">
        <v>0.1175773</v>
      </c>
      <c r="R4927">
        <v>-3.2077710000000002E-2</v>
      </c>
      <c r="S4927">
        <v>3.0674739999999998</v>
      </c>
      <c r="T4927">
        <v>-0.25883590000000001</v>
      </c>
      <c r="U4927">
        <v>0.42144779999999998</v>
      </c>
      <c r="V4927">
        <v>1.0849950000000001E-2</v>
      </c>
      <c r="W4927">
        <v>0.1238948</v>
      </c>
      <c r="X4927">
        <v>0.99223600000000001</v>
      </c>
      <c r="Y4927">
        <v>-0.15694920000000001</v>
      </c>
      <c r="Z4927">
        <v>8.3985510000000006E-3</v>
      </c>
      <c r="AA4927">
        <v>0.98757090000000003</v>
      </c>
      <c r="AB4927">
        <v>35</v>
      </c>
      <c r="AC4927">
        <v>12.9518</v>
      </c>
      <c r="AD4927">
        <v>-1.1081747410160001</v>
      </c>
      <c r="AE4927">
        <v>1.8086899999999899</v>
      </c>
      <c r="AF4927">
        <v>-2.0743315359665999</v>
      </c>
      <c r="AG4927">
        <v>-1.1081747410160001</v>
      </c>
      <c r="AH4927">
        <v>12.8174776297059</v>
      </c>
      <c r="AI4927">
        <v>94.878238576725906</v>
      </c>
      <c r="AJ4927">
        <v>99.192826416570298</v>
      </c>
      <c r="AK4927">
        <v>13.031447938189499</v>
      </c>
      <c r="AL4927">
        <v>82.883063359542007</v>
      </c>
      <c r="AM4927">
        <v>89.373504320173396</v>
      </c>
      <c r="AN4927">
        <v>0.99999996128902002</v>
      </c>
    </row>
    <row r="4928" spans="1:40" x14ac:dyDescent="0.25">
      <c r="A4928" t="str">
        <f>"20190312164407886"</f>
        <v>20190312164407886</v>
      </c>
      <c r="B4928" t="str">
        <f>"1552380247880158"</f>
        <v>1552380247880158</v>
      </c>
      <c r="C4928" t="s">
        <v>40</v>
      </c>
      <c r="D4928">
        <v>4.8810479999999998</v>
      </c>
      <c r="E4928">
        <v>0.43938899999999997</v>
      </c>
      <c r="F4928" t="s">
        <v>56</v>
      </c>
      <c r="G4928">
        <v>-238.179</v>
      </c>
      <c r="H4928" s="1">
        <v>-2.5690010000000001E-6</v>
      </c>
      <c r="I4928">
        <v>-59.971609999999998</v>
      </c>
      <c r="J4928">
        <v>-251.3699</v>
      </c>
      <c r="K4928">
        <v>1.108182</v>
      </c>
      <c r="L4928">
        <v>-61.820369999999997</v>
      </c>
      <c r="M4928">
        <v>0.99973299999999998</v>
      </c>
      <c r="N4928">
        <v>0</v>
      </c>
      <c r="O4928">
        <v>-2.220755E-2</v>
      </c>
      <c r="P4928">
        <v>0.99263900000000005</v>
      </c>
      <c r="Q4928">
        <v>0.11711580000000001</v>
      </c>
      <c r="R4928">
        <v>-3.0850039999999999E-2</v>
      </c>
      <c r="S4928">
        <v>3.0663149999999999</v>
      </c>
      <c r="T4928">
        <v>-0.25419700000000001</v>
      </c>
      <c r="U4928">
        <v>0.42309570000000002</v>
      </c>
      <c r="V4928">
        <v>9.1044130000000004E-3</v>
      </c>
      <c r="W4928">
        <v>0.1234335</v>
      </c>
      <c r="X4928">
        <v>0.9923111</v>
      </c>
      <c r="Y4928">
        <v>-0.1580454</v>
      </c>
      <c r="Z4928">
        <v>8.3389229999999998E-3</v>
      </c>
      <c r="AA4928">
        <v>0.98739670000000002</v>
      </c>
      <c r="AB4928">
        <v>35</v>
      </c>
      <c r="AC4928">
        <v>13.190899999999999</v>
      </c>
      <c r="AD4928">
        <v>-1.1081845690009999</v>
      </c>
      <c r="AE4928">
        <v>1.84875999999999</v>
      </c>
      <c r="AF4928">
        <v>-2.12652791009006</v>
      </c>
      <c r="AG4928">
        <v>-1.1081845690009999</v>
      </c>
      <c r="AH4928">
        <v>13.056215296763201</v>
      </c>
      <c r="AI4928">
        <v>94.788716125907797</v>
      </c>
      <c r="AJ4928">
        <v>99.250804657934495</v>
      </c>
      <c r="AK4928">
        <v>13.2745979926625</v>
      </c>
      <c r="AL4928">
        <v>82.909698763525</v>
      </c>
      <c r="AM4928">
        <v>89.474328360063097</v>
      </c>
      <c r="AN4928">
        <v>1.0000000192207601</v>
      </c>
    </row>
    <row r="4929" spans="1:40" x14ac:dyDescent="0.25">
      <c r="A4929" t="str">
        <f>"20190312164407897"</f>
        <v>20190312164407897</v>
      </c>
      <c r="B4929" t="str">
        <f>"1552380247889918"</f>
        <v>1552380247889918</v>
      </c>
      <c r="C4929" t="s">
        <v>40</v>
      </c>
      <c r="D4929">
        <v>4.9179370000000002</v>
      </c>
      <c r="E4929">
        <v>0.43921929999999998</v>
      </c>
      <c r="F4929" t="s">
        <v>56</v>
      </c>
      <c r="G4929">
        <v>-238.1585</v>
      </c>
      <c r="H4929" s="1">
        <v>-2.5586730000000001E-6</v>
      </c>
      <c r="I4929">
        <v>-59.980260000000001</v>
      </c>
      <c r="J4929">
        <v>-251.19470000000001</v>
      </c>
      <c r="K4929">
        <v>1.108187</v>
      </c>
      <c r="L4929">
        <v>-61.824680000000001</v>
      </c>
      <c r="M4929">
        <v>0.99972179999999999</v>
      </c>
      <c r="N4929">
        <v>0</v>
      </c>
      <c r="O4929">
        <v>-2.27125E-2</v>
      </c>
      <c r="P4929">
        <v>0.99270689999999995</v>
      </c>
      <c r="Q4929">
        <v>0.11686050000000001</v>
      </c>
      <c r="R4929">
        <v>-2.9613919999999998E-2</v>
      </c>
      <c r="S4929">
        <v>3.065842</v>
      </c>
      <c r="T4929">
        <v>-0.25716519999999998</v>
      </c>
      <c r="U4929">
        <v>0.42700199999999999</v>
      </c>
      <c r="V4929">
        <v>7.3619050000000002E-3</v>
      </c>
      <c r="W4929">
        <v>0.12317839999999999</v>
      </c>
      <c r="X4929">
        <v>0.9923573</v>
      </c>
      <c r="Y4929">
        <v>-0.159776799999999</v>
      </c>
      <c r="Z4929">
        <v>8.5507669999999904E-3</v>
      </c>
      <c r="AA4929">
        <v>0.9871162</v>
      </c>
      <c r="AB4929">
        <v>35</v>
      </c>
      <c r="AC4929">
        <v>13.036199999999999</v>
      </c>
      <c r="AD4929">
        <v>-1.108189558673</v>
      </c>
      <c r="AE4929">
        <v>1.8444200000000099</v>
      </c>
      <c r="AF4929">
        <v>-2.1249801363326002</v>
      </c>
      <c r="AG4929">
        <v>-1.108189558673</v>
      </c>
      <c r="AH4929">
        <v>12.899555962775599</v>
      </c>
      <c r="AI4929">
        <v>94.845189783021894</v>
      </c>
      <c r="AJ4929">
        <v>99.354481485975896</v>
      </c>
      <c r="AK4929">
        <v>13.1202960604759</v>
      </c>
      <c r="AL4929">
        <v>82.924427628544507</v>
      </c>
      <c r="AM4929">
        <v>89.574953146609005</v>
      </c>
      <c r="AN4929">
        <v>1.0000000633675299</v>
      </c>
    </row>
    <row r="4930" spans="1:40" x14ac:dyDescent="0.25">
      <c r="A4930" t="str">
        <f>"20190312164407908"</f>
        <v>20190312164407908</v>
      </c>
      <c r="B4930" t="str">
        <f>"1552380247899678"</f>
        <v>1552380247899678</v>
      </c>
      <c r="C4930" t="s">
        <v>40</v>
      </c>
      <c r="D4930">
        <v>4.8668879999999897</v>
      </c>
      <c r="E4930">
        <v>0.4392547</v>
      </c>
      <c r="F4930" t="s">
        <v>56</v>
      </c>
      <c r="G4930">
        <v>-238.11259999999999</v>
      </c>
      <c r="H4930" s="1">
        <v>-2.5384000000000001E-6</v>
      </c>
      <c r="I4930">
        <v>-59.983469999999997</v>
      </c>
      <c r="J4930">
        <v>-251.02889999999999</v>
      </c>
      <c r="K4930">
        <v>1.1081920000000001</v>
      </c>
      <c r="L4930">
        <v>-61.828830000000004</v>
      </c>
      <c r="M4930">
        <v>0.99971089999999996</v>
      </c>
      <c r="N4930">
        <v>0</v>
      </c>
      <c r="O4930">
        <v>-2.3184469999999999E-2</v>
      </c>
      <c r="P4930">
        <v>0.99278900000000003</v>
      </c>
      <c r="Q4930">
        <v>0.116422499999999</v>
      </c>
      <c r="R4930">
        <v>-2.8566859999999999E-2</v>
      </c>
      <c r="S4930">
        <v>3.0654910000000002</v>
      </c>
      <c r="T4930">
        <v>-0.259677299999999</v>
      </c>
      <c r="U4930">
        <v>0.431427</v>
      </c>
      <c r="V4930">
        <v>5.8411940000000001E-3</v>
      </c>
      <c r="W4930">
        <v>0.12274069999999999</v>
      </c>
      <c r="X4930">
        <v>0.99242160000000001</v>
      </c>
      <c r="Y4930">
        <v>-0.1616349</v>
      </c>
      <c r="Z4930">
        <v>8.7520480000000001E-3</v>
      </c>
      <c r="AA4930">
        <v>0.98681180000000002</v>
      </c>
      <c r="AB4930">
        <v>35</v>
      </c>
      <c r="AC4930">
        <v>12.9163</v>
      </c>
      <c r="AD4930">
        <v>-1.1081945384</v>
      </c>
      <c r="AE4930">
        <v>1.8453599999999999</v>
      </c>
      <c r="AF4930">
        <v>-2.1289690765998701</v>
      </c>
      <c r="AG4930">
        <v>-1.1081945384</v>
      </c>
      <c r="AH4930">
        <v>12.7778630817409</v>
      </c>
      <c r="AI4930">
        <v>94.889656984806606</v>
      </c>
      <c r="AJ4930">
        <v>99.459378295556206</v>
      </c>
      <c r="AK4930">
        <v>13.0013226019423</v>
      </c>
      <c r="AL4930">
        <v>82.949697408770902</v>
      </c>
      <c r="AM4930">
        <v>89.662772455864797</v>
      </c>
      <c r="AN4930">
        <v>1.00000001556519</v>
      </c>
    </row>
    <row r="4931" spans="1:40" x14ac:dyDescent="0.25">
      <c r="A4931" t="str">
        <f>"20190312164407920"</f>
        <v>20190312164407920</v>
      </c>
      <c r="B4931" t="str">
        <f>"1552380247910415"</f>
        <v>1552380247910415</v>
      </c>
      <c r="C4931" t="s">
        <v>40</v>
      </c>
      <c r="D4931">
        <v>5.0523199999999999</v>
      </c>
      <c r="E4931">
        <v>0.43941750000000002</v>
      </c>
      <c r="F4931" t="s">
        <v>56</v>
      </c>
      <c r="G4931">
        <v>-238.0909</v>
      </c>
      <c r="H4931" s="1">
        <v>-2.5265560000000001E-6</v>
      </c>
      <c r="I4931">
        <v>-59.99774</v>
      </c>
      <c r="J4931">
        <v>-250.8486</v>
      </c>
      <c r="K4931">
        <v>1.1081939999999999</v>
      </c>
      <c r="L4931">
        <v>-61.833370000000002</v>
      </c>
      <c r="M4931">
        <v>0.999699</v>
      </c>
      <c r="N4931">
        <v>0</v>
      </c>
      <c r="O4931">
        <v>-2.3694949999999999E-2</v>
      </c>
      <c r="P4931">
        <v>0.99287809999999999</v>
      </c>
      <c r="Q4931">
        <v>0.11595370000000001</v>
      </c>
      <c r="R4931">
        <v>-2.7352000000000001E-2</v>
      </c>
      <c r="S4931">
        <v>3.0650789999999999</v>
      </c>
      <c r="T4931">
        <v>-0.26253589999999999</v>
      </c>
      <c r="U4931">
        <v>0.43377690000000002</v>
      </c>
      <c r="V4931">
        <v>4.1141370000000003E-3</v>
      </c>
      <c r="W4931">
        <v>0.122272699999999</v>
      </c>
      <c r="X4931">
        <v>0.99248800000000004</v>
      </c>
      <c r="Y4931">
        <v>-0.16287789999999999</v>
      </c>
      <c r="Z4931">
        <v>8.9450910000000005E-3</v>
      </c>
      <c r="AA4931">
        <v>0.98660570000000003</v>
      </c>
      <c r="AB4931">
        <v>35</v>
      </c>
      <c r="AC4931">
        <v>12.7577</v>
      </c>
      <c r="AD4931">
        <v>-1.1081965265559901</v>
      </c>
      <c r="AE4931">
        <v>1.8356299999999901</v>
      </c>
      <c r="AF4931">
        <v>-2.1217289604957599</v>
      </c>
      <c r="AG4931">
        <v>-1.1081965265559901</v>
      </c>
      <c r="AH4931">
        <v>12.6173485325542</v>
      </c>
      <c r="AI4931">
        <v>94.950323480374493</v>
      </c>
      <c r="AJ4931">
        <v>99.545531920635099</v>
      </c>
      <c r="AK4931">
        <v>12.842403097365599</v>
      </c>
      <c r="AL4931">
        <v>82.976715123205906</v>
      </c>
      <c r="AM4931">
        <v>89.762494522566698</v>
      </c>
      <c r="AN4931">
        <v>0.99999998471627205</v>
      </c>
    </row>
    <row r="4932" spans="1:40" x14ac:dyDescent="0.25">
      <c r="A4932" t="str">
        <f>"20190312164407930"</f>
        <v>20190312164407930</v>
      </c>
      <c r="B4932" t="str">
        <f>"1552380247920175"</f>
        <v>1552380247920175</v>
      </c>
      <c r="C4932" t="s">
        <v>40</v>
      </c>
      <c r="D4932">
        <v>4.8816790000000001</v>
      </c>
      <c r="E4932">
        <v>0.43927250000000001</v>
      </c>
      <c r="F4932" t="s">
        <v>56</v>
      </c>
      <c r="G4932">
        <v>-237.9469</v>
      </c>
      <c r="H4932" s="1">
        <v>-2.4646769999999999E-6</v>
      </c>
      <c r="I4932">
        <v>-59.9983199999999</v>
      </c>
      <c r="J4932">
        <v>-250.67920000000001</v>
      </c>
      <c r="K4932">
        <v>1.108195</v>
      </c>
      <c r="L4932">
        <v>-61.837800000000001</v>
      </c>
      <c r="M4932">
        <v>0.99968769999999996</v>
      </c>
      <c r="N4932">
        <v>0</v>
      </c>
      <c r="O4932">
        <v>-2.4169690000000001E-2</v>
      </c>
      <c r="P4932">
        <v>0.99292689999999995</v>
      </c>
      <c r="Q4932">
        <v>0.1157474</v>
      </c>
      <c r="R4932">
        <v>-2.6437639999999998E-2</v>
      </c>
      <c r="S4932">
        <v>3.0642550000000002</v>
      </c>
      <c r="T4932">
        <v>-0.26320389999999999</v>
      </c>
      <c r="U4932">
        <v>0.43582149999999997</v>
      </c>
      <c r="V4932">
        <v>2.725407E-3</v>
      </c>
      <c r="W4932">
        <v>0.1220668</v>
      </c>
      <c r="X4932">
        <v>0.99251809999999996</v>
      </c>
      <c r="Y4932">
        <v>-0.1640189</v>
      </c>
      <c r="Z4932">
        <v>9.0589309999999992E-3</v>
      </c>
      <c r="AA4932">
        <v>0.98641559999999995</v>
      </c>
      <c r="AB4932">
        <v>35</v>
      </c>
      <c r="AC4932">
        <v>12.7323</v>
      </c>
      <c r="AD4932">
        <v>-1.1081974646770001</v>
      </c>
      <c r="AE4932">
        <v>1.83948</v>
      </c>
      <c r="AF4932">
        <v>-2.1308718489949801</v>
      </c>
      <c r="AG4932">
        <v>-1.1081974646770001</v>
      </c>
      <c r="AH4932">
        <v>12.5906872027131</v>
      </c>
      <c r="AI4932">
        <v>94.959881749919404</v>
      </c>
      <c r="AJ4932">
        <v>99.605824252441593</v>
      </c>
      <c r="AK4932">
        <v>12.8177268146157</v>
      </c>
      <c r="AL4932">
        <v>82.988601153382206</v>
      </c>
      <c r="AM4932">
        <v>89.842668938655905</v>
      </c>
      <c r="AN4932">
        <v>0.99999995516658102</v>
      </c>
    </row>
    <row r="4933" spans="1:40" x14ac:dyDescent="0.25">
      <c r="A4933" t="str">
        <f>"20190312164407942"</f>
        <v>20190312164407942</v>
      </c>
      <c r="B4933" t="str">
        <f>"1552380247939694"</f>
        <v>1552380247939694</v>
      </c>
      <c r="C4933" t="s">
        <v>40</v>
      </c>
      <c r="D4933">
        <v>4.9106800000000002</v>
      </c>
      <c r="E4933">
        <v>0.43917420000000001</v>
      </c>
      <c r="F4933" t="s">
        <v>56</v>
      </c>
      <c r="G4933">
        <v>-237.798</v>
      </c>
      <c r="H4933" s="1">
        <v>-2.4022920000000001E-6</v>
      </c>
      <c r="I4933">
        <v>-59.990020000000001</v>
      </c>
      <c r="J4933">
        <v>-250.4999</v>
      </c>
      <c r="K4933">
        <v>1.108196</v>
      </c>
      <c r="L4933">
        <v>-61.842529999999996</v>
      </c>
      <c r="M4933">
        <v>0.99967539999999999</v>
      </c>
      <c r="N4933">
        <v>0</v>
      </c>
      <c r="O4933">
        <v>-2.467138E-2</v>
      </c>
      <c r="P4933">
        <v>0.99300770000000005</v>
      </c>
      <c r="Q4933">
        <v>0.1152855</v>
      </c>
      <c r="R4933">
        <v>-2.5397989999999999E-2</v>
      </c>
      <c r="S4933">
        <v>3.063828</v>
      </c>
      <c r="T4933">
        <v>-0.26358720000000002</v>
      </c>
      <c r="U4933">
        <v>0.43948359999999898</v>
      </c>
      <c r="V4933">
        <v>1.183178E-3</v>
      </c>
      <c r="W4933">
        <v>0.1216058</v>
      </c>
      <c r="X4933">
        <v>0.99257779999999995</v>
      </c>
      <c r="Y4933">
        <v>-0.16567850000000001</v>
      </c>
      <c r="Z4933">
        <v>9.1863589999999998E-3</v>
      </c>
      <c r="AA4933">
        <v>0.98613700000000004</v>
      </c>
      <c r="AB4933">
        <v>35</v>
      </c>
      <c r="AC4933">
        <v>12.701899999999901</v>
      </c>
      <c r="AD4933">
        <v>-1.108198402292</v>
      </c>
      <c r="AE4933">
        <v>1.8525100000000001</v>
      </c>
      <c r="AF4933">
        <v>-2.1493061122978698</v>
      </c>
      <c r="AG4933">
        <v>-1.108198402292</v>
      </c>
      <c r="AH4933">
        <v>12.5587229906504</v>
      </c>
      <c r="AI4933">
        <v>94.970893097487902</v>
      </c>
      <c r="AJ4933">
        <v>99.711543623638406</v>
      </c>
      <c r="AK4933">
        <v>12.789415296216401</v>
      </c>
      <c r="AL4933">
        <v>83.015213283859097</v>
      </c>
      <c r="AM4933">
        <v>89.931702004916801</v>
      </c>
      <c r="AN4933">
        <v>1.00000002977832</v>
      </c>
    </row>
    <row r="4934" spans="1:40" x14ac:dyDescent="0.25">
      <c r="A4934" t="str">
        <f>"20190312164407953"</f>
        <v>20190312164407953</v>
      </c>
      <c r="B4934" t="str">
        <f>"1552380247950431"</f>
        <v>1552380247950431</v>
      </c>
      <c r="C4934" t="s">
        <v>40</v>
      </c>
      <c r="D4934">
        <v>4.815321</v>
      </c>
      <c r="E4934">
        <v>0.43923719999999999</v>
      </c>
      <c r="F4934" t="s">
        <v>56</v>
      </c>
      <c r="G4934">
        <v>-237.88200000000001</v>
      </c>
      <c r="H4934" s="1">
        <v>-2.4338100000000002E-6</v>
      </c>
      <c r="I4934">
        <v>-60.015479999999997</v>
      </c>
      <c r="J4934">
        <v>-250.3152</v>
      </c>
      <c r="K4934">
        <v>1.108195</v>
      </c>
      <c r="L4934">
        <v>-61.847499999999997</v>
      </c>
      <c r="M4934">
        <v>0.99966259999999996</v>
      </c>
      <c r="N4934">
        <v>0</v>
      </c>
      <c r="O4934">
        <v>-2.5185119999999998E-2</v>
      </c>
      <c r="P4934">
        <v>0.99306930000000004</v>
      </c>
      <c r="Q4934">
        <v>0.11493349999999999</v>
      </c>
      <c r="R4934">
        <v>-2.4578760000000002E-2</v>
      </c>
      <c r="S4934">
        <v>3.0636899999999998</v>
      </c>
      <c r="T4934">
        <v>-0.2690768</v>
      </c>
      <c r="U4934">
        <v>0.44360349999999998</v>
      </c>
      <c r="V4934">
        <v>-1.49868E-4</v>
      </c>
      <c r="W4934">
        <v>0.1212546</v>
      </c>
      <c r="X4934">
        <v>0.99262139999999999</v>
      </c>
      <c r="Y4934">
        <v>-0.16745279999999901</v>
      </c>
      <c r="Z4934">
        <v>9.4986959999999992E-3</v>
      </c>
      <c r="AA4934">
        <v>0.9858344</v>
      </c>
      <c r="AB4934">
        <v>35</v>
      </c>
      <c r="AC4934">
        <v>12.433199999999999</v>
      </c>
      <c r="AD4934">
        <v>-1.10819743381</v>
      </c>
      <c r="AE4934">
        <v>1.83201999999999</v>
      </c>
      <c r="AF4934">
        <v>-2.1280298835518598</v>
      </c>
      <c r="AG4934">
        <v>-1.10819743381</v>
      </c>
      <c r="AH4934">
        <v>12.2875709219995</v>
      </c>
      <c r="AI4934">
        <v>95.078286732660303</v>
      </c>
      <c r="AJ4934">
        <v>99.825344078315993</v>
      </c>
      <c r="AK4934">
        <v>12.519625070295101</v>
      </c>
      <c r="AL4934">
        <v>83.035485173014806</v>
      </c>
      <c r="AM4934">
        <v>90.008650633382203</v>
      </c>
      <c r="AN4934">
        <v>0.99999997210976799</v>
      </c>
    </row>
    <row r="4935" spans="1:40" x14ac:dyDescent="0.25">
      <c r="A4935" t="str">
        <f>"20190312164407967"</f>
        <v>20190312164407967</v>
      </c>
      <c r="B4935" t="str">
        <f>"1552380247960190"</f>
        <v>1552380247960190</v>
      </c>
      <c r="C4935" t="s">
        <v>40</v>
      </c>
      <c r="D4935">
        <v>4.912566</v>
      </c>
      <c r="E4935">
        <v>0.4395425</v>
      </c>
      <c r="F4935" t="s">
        <v>56</v>
      </c>
      <c r="G4935">
        <v>-237.77099999999999</v>
      </c>
      <c r="H4935" s="1">
        <v>-2.3847720000000001E-6</v>
      </c>
      <c r="I4935">
        <v>-60.0233699999999</v>
      </c>
      <c r="J4935">
        <v>-250.1096</v>
      </c>
      <c r="K4935">
        <v>1.108195</v>
      </c>
      <c r="L4935">
        <v>-61.853149999999999</v>
      </c>
      <c r="M4935">
        <v>0.99964799999999998</v>
      </c>
      <c r="N4935">
        <v>0</v>
      </c>
      <c r="O4935">
        <v>-2.5756210000000002E-2</v>
      </c>
      <c r="P4935">
        <v>0.99312560000000005</v>
      </c>
      <c r="Q4935">
        <v>0.1146257</v>
      </c>
      <c r="R4935">
        <v>-2.3716910000000001E-2</v>
      </c>
      <c r="S4935">
        <v>3.0632779999999999</v>
      </c>
      <c r="T4935">
        <v>-0.2706192</v>
      </c>
      <c r="U4935">
        <v>0.44543460000000001</v>
      </c>
      <c r="V4935">
        <v>-1.581245E-3</v>
      </c>
      <c r="W4935">
        <v>0.1209479</v>
      </c>
      <c r="X4935">
        <v>0.99265760000000003</v>
      </c>
      <c r="Y4935">
        <v>-0.16859669999999999</v>
      </c>
      <c r="Z4935">
        <v>9.6540930000000007E-3</v>
      </c>
      <c r="AA4935">
        <v>0.98563780000000001</v>
      </c>
      <c r="AB4935">
        <v>35</v>
      </c>
      <c r="AC4935">
        <v>12.3386</v>
      </c>
      <c r="AD4935">
        <v>-1.1081973847719999</v>
      </c>
      <c r="AE4935">
        <v>1.82978</v>
      </c>
      <c r="AF4935">
        <v>-2.1301611012348598</v>
      </c>
      <c r="AG4935">
        <v>-1.1081973847719999</v>
      </c>
      <c r="AH4935">
        <v>12.1911498067774</v>
      </c>
      <c r="AI4935">
        <v>95.116911164544405</v>
      </c>
      <c r="AJ4935">
        <v>99.911241465199495</v>
      </c>
      <c r="AK4935">
        <v>12.4253700698256</v>
      </c>
      <c r="AL4935">
        <v>83.053188294279806</v>
      </c>
      <c r="AM4935">
        <v>90.091268719693502</v>
      </c>
      <c r="AN4935">
        <v>1.00000000284396</v>
      </c>
    </row>
    <row r="4936" spans="1:40" x14ac:dyDescent="0.25">
      <c r="A4936" t="str">
        <f>"20190312164407978"</f>
        <v>20190312164407978</v>
      </c>
      <c r="B4936" t="str">
        <f>"1552380247969950"</f>
        <v>1552380247969950</v>
      </c>
      <c r="C4936" t="s">
        <v>40</v>
      </c>
      <c r="D4936">
        <v>4.8468309999999999</v>
      </c>
      <c r="E4936">
        <v>0.44012099999999998</v>
      </c>
      <c r="F4936" t="s">
        <v>56</v>
      </c>
      <c r="G4936">
        <v>-237.61009999999999</v>
      </c>
      <c r="H4936" s="1">
        <v>-2.3137800000000001E-6</v>
      </c>
      <c r="I4936">
        <v>-60.034579999999998</v>
      </c>
      <c r="J4936">
        <v>-249.9186</v>
      </c>
      <c r="K4936">
        <v>1.108195</v>
      </c>
      <c r="L4936">
        <v>-61.858490000000003</v>
      </c>
      <c r="M4936">
        <v>0.99963429999999998</v>
      </c>
      <c r="N4936">
        <v>0</v>
      </c>
      <c r="O4936">
        <v>-2.6286070000000002E-2</v>
      </c>
      <c r="P4936">
        <v>0.99320900000000001</v>
      </c>
      <c r="Q4936">
        <v>0.1140515</v>
      </c>
      <c r="R4936">
        <v>-2.2988709999999999E-2</v>
      </c>
      <c r="S4936">
        <v>3.0627439999999999</v>
      </c>
      <c r="T4936">
        <v>-0.27154119999999998</v>
      </c>
      <c r="U4936">
        <v>0.44558720000000002</v>
      </c>
      <c r="V4936">
        <v>-2.8405150000000001E-3</v>
      </c>
      <c r="W4936">
        <v>0.1203751</v>
      </c>
      <c r="X4936">
        <v>0.99272439999999995</v>
      </c>
      <c r="Y4936">
        <v>-0.169182</v>
      </c>
      <c r="Z4936">
        <v>9.7609270000000008E-3</v>
      </c>
      <c r="AA4936">
        <v>0.98553650000000004</v>
      </c>
      <c r="AB4936">
        <v>35</v>
      </c>
      <c r="AC4936">
        <v>12.3085</v>
      </c>
      <c r="AD4936">
        <v>-1.1081973137799901</v>
      </c>
      <c r="AE4936">
        <v>1.8239099999999899</v>
      </c>
      <c r="AF4936">
        <v>-2.1299334105613998</v>
      </c>
      <c r="AG4936">
        <v>-1.1081973137799901</v>
      </c>
      <c r="AH4936">
        <v>12.159848659712701</v>
      </c>
      <c r="AI4936">
        <v>95.129638933134999</v>
      </c>
      <c r="AJ4936">
        <v>99.9352056453057</v>
      </c>
      <c r="AK4936">
        <v>12.3946212950139</v>
      </c>
      <c r="AL4936">
        <v>83.086248734915998</v>
      </c>
      <c r="AM4936">
        <v>90.163941852330893</v>
      </c>
      <c r="AN4936">
        <v>0.99999998379041699</v>
      </c>
    </row>
    <row r="4937" spans="1:40" x14ac:dyDescent="0.25">
      <c r="A4937" t="str">
        <f>"20190312164407991"</f>
        <v>20190312164407991</v>
      </c>
      <c r="B4937" t="str">
        <f>"1552380247980217"</f>
        <v>1552380247980217</v>
      </c>
      <c r="C4937" t="s">
        <v>40</v>
      </c>
      <c r="D4937">
        <v>4.8781699999999999</v>
      </c>
      <c r="E4937">
        <v>0.44012099999999998</v>
      </c>
      <c r="F4937" t="s">
        <v>56</v>
      </c>
      <c r="G4937">
        <v>-237.48070000000001</v>
      </c>
      <c r="H4937" s="1">
        <v>-2.2539609999999999E-6</v>
      </c>
      <c r="I4937">
        <v>-60.058779999999999</v>
      </c>
      <c r="J4937">
        <v>-249.7089</v>
      </c>
      <c r="K4937">
        <v>1.1081909999999999</v>
      </c>
      <c r="L4937">
        <v>-61.8645</v>
      </c>
      <c r="M4937">
        <v>0.99961880000000003</v>
      </c>
      <c r="N4937">
        <v>0</v>
      </c>
      <c r="O4937">
        <v>-2.68679E-2</v>
      </c>
      <c r="P4937">
        <v>0.99324400000000002</v>
      </c>
      <c r="Q4937">
        <v>0.113881</v>
      </c>
      <c r="R4937">
        <v>-2.2311709999999998E-2</v>
      </c>
      <c r="S4937">
        <v>3.0620880000000001</v>
      </c>
      <c r="T4937">
        <v>-0.27282709999999999</v>
      </c>
      <c r="U4937">
        <v>0.44305420000000001</v>
      </c>
      <c r="V4937">
        <v>-4.0969149999999996E-3</v>
      </c>
      <c r="W4937">
        <v>0.1202061</v>
      </c>
      <c r="X4937">
        <v>0.99274050000000003</v>
      </c>
      <c r="Y4937">
        <v>-0.1689782</v>
      </c>
      <c r="Z4937">
        <v>9.852108E-3</v>
      </c>
      <c r="AA4937">
        <v>0.98557050000000002</v>
      </c>
      <c r="AB4937">
        <v>35</v>
      </c>
      <c r="AC4937">
        <v>12.2281999999999</v>
      </c>
      <c r="AD4937">
        <v>-1.108193253961</v>
      </c>
      <c r="AE4937">
        <v>1.80571999999999</v>
      </c>
      <c r="AF4937">
        <v>-2.11660789987635</v>
      </c>
      <c r="AG4937">
        <v>-1.108193253961</v>
      </c>
      <c r="AH4937">
        <v>12.0781863567938</v>
      </c>
      <c r="AI4937">
        <v>95.164044686230994</v>
      </c>
      <c r="AJ4937">
        <v>99.939709407708804</v>
      </c>
      <c r="AK4937">
        <v>12.3122177920708</v>
      </c>
      <c r="AL4937">
        <v>83.096002630033993</v>
      </c>
      <c r="AM4937">
        <v>90.236451122860899</v>
      </c>
      <c r="AN4937">
        <v>0.99999999576498799</v>
      </c>
    </row>
    <row r="4938" spans="1:40" x14ac:dyDescent="0.25">
      <c r="A4938" t="str">
        <f>"20190312164408005"</f>
        <v>20190312164408005</v>
      </c>
      <c r="B4938" t="str">
        <f>"1552380247999736"</f>
        <v>1552380247999736</v>
      </c>
      <c r="C4938" t="s">
        <v>40</v>
      </c>
      <c r="D4938">
        <v>4.95709</v>
      </c>
      <c r="E4938">
        <v>0.4849232</v>
      </c>
      <c r="F4938" t="s">
        <v>56</v>
      </c>
      <c r="G4938">
        <v>-237.30529999999999</v>
      </c>
      <c r="H4938" s="1">
        <v>-2.17821E-6</v>
      </c>
      <c r="I4938">
        <v>-60.061790000000002</v>
      </c>
      <c r="J4938">
        <v>-249.4984</v>
      </c>
      <c r="K4938">
        <v>1.1081890000000001</v>
      </c>
      <c r="L4938">
        <v>-61.870609999999999</v>
      </c>
      <c r="M4938">
        <v>0.99960309999999997</v>
      </c>
      <c r="N4938">
        <v>0</v>
      </c>
      <c r="O4938">
        <v>-2.7451880000000001E-2</v>
      </c>
      <c r="P4938">
        <v>0.99328810000000001</v>
      </c>
      <c r="Q4938">
        <v>0.1136228</v>
      </c>
      <c r="R4938">
        <v>-2.165545E-2</v>
      </c>
      <c r="S4938">
        <v>3.0617679999999998</v>
      </c>
      <c r="T4938">
        <v>-0.27355380000000001</v>
      </c>
      <c r="U4938">
        <v>0.44497680000000001</v>
      </c>
      <c r="V4938">
        <v>-5.335429E-3</v>
      </c>
      <c r="W4938">
        <v>0.1199496</v>
      </c>
      <c r="X4938">
        <v>0.99276569999999997</v>
      </c>
      <c r="Y4938">
        <v>-0.1701635</v>
      </c>
      <c r="Z4938">
        <v>9.9832419999999998E-3</v>
      </c>
      <c r="AA4938">
        <v>0.9853653</v>
      </c>
      <c r="AB4938">
        <v>36</v>
      </c>
      <c r="AC4938">
        <v>12.193099999999999</v>
      </c>
      <c r="AD4938">
        <v>-1.10819117820999</v>
      </c>
      <c r="AE4938">
        <v>1.8088199999999901</v>
      </c>
      <c r="AF4938">
        <v>-2.1256875659273899</v>
      </c>
      <c r="AG4938">
        <v>-1.10819117820999</v>
      </c>
      <c r="AH4938">
        <v>12.041522115515299</v>
      </c>
      <c r="AI4938">
        <v>95.178541670776497</v>
      </c>
      <c r="AJ4938">
        <v>100.01127023862399</v>
      </c>
      <c r="AK4938">
        <v>12.2778210678379</v>
      </c>
      <c r="AL4938">
        <v>83.1108065131275</v>
      </c>
      <c r="AM4938">
        <v>90.3079222222011</v>
      </c>
      <c r="AN4938">
        <v>1.0000000542196299</v>
      </c>
    </row>
    <row r="4939" spans="1:40" x14ac:dyDescent="0.25">
      <c r="A4939" t="str">
        <f>"20190312164408017"</f>
        <v>20190312164408017</v>
      </c>
      <c r="B4939" t="str">
        <f>"1552380248010473"</f>
        <v>1552380248010473</v>
      </c>
      <c r="C4939" t="s">
        <v>40</v>
      </c>
      <c r="D4939">
        <v>4.8396720000000002</v>
      </c>
      <c r="E4939">
        <v>0.48691780000000001</v>
      </c>
      <c r="F4939" t="s">
        <v>56</v>
      </c>
      <c r="G4939">
        <v>-236.61009999999999</v>
      </c>
      <c r="H4939" s="1">
        <v>-2.1194660000000001E-6</v>
      </c>
      <c r="I4939">
        <v>-61.498390000000001</v>
      </c>
      <c r="J4939">
        <v>-249.29900000000001</v>
      </c>
      <c r="K4939">
        <v>1.108188</v>
      </c>
      <c r="L4939">
        <v>-61.876530000000002</v>
      </c>
      <c r="M4939">
        <v>0.99958769999999997</v>
      </c>
      <c r="N4939">
        <v>0</v>
      </c>
      <c r="O4939">
        <v>-2.8005240000000001E-2</v>
      </c>
      <c r="P4939">
        <v>0.99331340000000001</v>
      </c>
      <c r="Q4939">
        <v>0.1135114</v>
      </c>
      <c r="R4939">
        <v>-2.1063930000000002E-2</v>
      </c>
      <c r="S4939">
        <v>3.052216</v>
      </c>
      <c r="T4939">
        <v>-0.26244269999999997</v>
      </c>
      <c r="U4939">
        <v>8.8134770000000001E-2</v>
      </c>
      <c r="V4939">
        <v>-6.4777960000000001E-3</v>
      </c>
      <c r="W4939">
        <v>0.11984069999999999</v>
      </c>
      <c r="X4939">
        <v>0.99277199999999999</v>
      </c>
      <c r="Y4939">
        <v>-5.6534729999999998E-2</v>
      </c>
      <c r="Z4939">
        <v>4.8287060000000003E-3</v>
      </c>
      <c r="AA4939">
        <v>0.99838890000000002</v>
      </c>
      <c r="AB4939">
        <v>36</v>
      </c>
      <c r="AC4939">
        <v>12.6889</v>
      </c>
      <c r="AD4939">
        <v>-1.108190119466</v>
      </c>
      <c r="AE4939">
        <v>0.37814000000000098</v>
      </c>
      <c r="AF4939">
        <v>-0.72780809021222903</v>
      </c>
      <c r="AG4939">
        <v>-1.108190119466</v>
      </c>
      <c r="AH4939">
        <v>12.5774835242698</v>
      </c>
      <c r="AI4939">
        <v>95.026907597421499</v>
      </c>
      <c r="AJ4939">
        <v>93.311781803308605</v>
      </c>
      <c r="AK4939">
        <v>12.6471689227407</v>
      </c>
      <c r="AL4939">
        <v>83.1170909807784</v>
      </c>
      <c r="AM4939">
        <v>90.373847272313</v>
      </c>
      <c r="AN4939">
        <v>0.99999999960075303</v>
      </c>
    </row>
    <row r="4940" spans="1:40" x14ac:dyDescent="0.25">
      <c r="A4940" t="str">
        <f>"20190312164408031"</f>
        <v>20190312164408031</v>
      </c>
      <c r="B4940" t="str">
        <f>"1552380248020233"</f>
        <v>1552380248020233</v>
      </c>
      <c r="C4940" t="s">
        <v>40</v>
      </c>
      <c r="D4940">
        <v>5.0970209999999998</v>
      </c>
      <c r="E4940">
        <v>0.48793779999999998</v>
      </c>
      <c r="F4940" t="s">
        <v>56</v>
      </c>
      <c r="G4940">
        <v>-236.12309999999999</v>
      </c>
      <c r="H4940" s="1">
        <v>-1.926763E-6</v>
      </c>
      <c r="I4940">
        <v>-61.559379999999997</v>
      </c>
      <c r="J4940">
        <v>-249.0692</v>
      </c>
      <c r="K4940">
        <v>1.108187</v>
      </c>
      <c r="L4940">
        <v>-61.883479999999999</v>
      </c>
      <c r="M4940">
        <v>0.99956959999999995</v>
      </c>
      <c r="N4940">
        <v>0</v>
      </c>
      <c r="O4940">
        <v>-2.8643709999999999E-2</v>
      </c>
      <c r="P4940">
        <v>0.99333400000000005</v>
      </c>
      <c r="Q4940">
        <v>0.1136409</v>
      </c>
      <c r="R4940">
        <v>-1.9324790000000001E-2</v>
      </c>
      <c r="S4940">
        <v>3.0510709999999999</v>
      </c>
      <c r="T4940">
        <v>-0.25661719999999999</v>
      </c>
      <c r="U4940">
        <v>7.3425290000000004E-2</v>
      </c>
      <c r="V4940">
        <v>-8.8512119999999903E-3</v>
      </c>
      <c r="W4940">
        <v>0.1199751</v>
      </c>
      <c r="X4940">
        <v>0.99273739999999999</v>
      </c>
      <c r="Y4940">
        <v>-5.2398569999999998E-2</v>
      </c>
      <c r="Z4940">
        <v>4.6039100000000001E-3</v>
      </c>
      <c r="AA4940">
        <v>0.99861560000000005</v>
      </c>
      <c r="AB4940">
        <v>36</v>
      </c>
      <c r="AC4940">
        <v>12.946099999999999</v>
      </c>
      <c r="AD4940">
        <v>-1.1081889267630001</v>
      </c>
      <c r="AE4940">
        <v>0.324100000000001</v>
      </c>
      <c r="AF4940">
        <v>-0.68974789966740002</v>
      </c>
      <c r="AG4940">
        <v>-1.1081889267630001</v>
      </c>
      <c r="AH4940">
        <v>12.8374976717515</v>
      </c>
      <c r="AI4940">
        <v>94.926719979663304</v>
      </c>
      <c r="AJ4940">
        <v>93.0754966112369</v>
      </c>
      <c r="AK4940">
        <v>12.9036886716443</v>
      </c>
      <c r="AL4940">
        <v>83.109334169689703</v>
      </c>
      <c r="AM4940">
        <v>90.510833633974599</v>
      </c>
      <c r="AN4940">
        <v>0.99999995696631805</v>
      </c>
    </row>
    <row r="4941" spans="1:40" x14ac:dyDescent="0.25">
      <c r="A4941" t="str">
        <f>"20190312164408042"</f>
        <v>20190312164408042</v>
      </c>
      <c r="B4941" t="str">
        <f>"1552380248039753"</f>
        <v>1552380248039753</v>
      </c>
      <c r="C4941" t="s">
        <v>40</v>
      </c>
      <c r="D4941">
        <v>4.8895439999999999</v>
      </c>
      <c r="E4941">
        <v>0.48913109999999999</v>
      </c>
      <c r="F4941" t="s">
        <v>56</v>
      </c>
      <c r="G4941">
        <v>-235.61439999999999</v>
      </c>
      <c r="H4941" s="1">
        <v>-1.7134270000000001E-6</v>
      </c>
      <c r="I4941">
        <v>-61.577710000000003</v>
      </c>
      <c r="J4941">
        <v>-248.8913</v>
      </c>
      <c r="K4941">
        <v>1.108188</v>
      </c>
      <c r="L4941">
        <v>-61.888950000000001</v>
      </c>
      <c r="M4941">
        <v>0.99955530000000004</v>
      </c>
      <c r="N4941">
        <v>0</v>
      </c>
      <c r="O4941">
        <v>-2.9138299999999999E-2</v>
      </c>
      <c r="P4941">
        <v>0.99335479999999998</v>
      </c>
      <c r="Q4941">
        <v>0.11355419999999999</v>
      </c>
      <c r="R4941">
        <v>-1.875522E-2</v>
      </c>
      <c r="S4941">
        <v>3.0502009999999999</v>
      </c>
      <c r="T4941">
        <v>-0.25122709999999998</v>
      </c>
      <c r="U4941">
        <v>6.9305420000000006E-2</v>
      </c>
      <c r="V4941">
        <v>-9.9130840000000008E-3</v>
      </c>
      <c r="W4941">
        <v>0.11989089999999999</v>
      </c>
      <c r="X4941">
        <v>0.9927376</v>
      </c>
      <c r="Y4941">
        <v>-5.1564289999999999E-2</v>
      </c>
      <c r="Z4941">
        <v>4.5152400000000002E-3</v>
      </c>
      <c r="AA4941">
        <v>0.99865950000000003</v>
      </c>
      <c r="AB4941">
        <v>36</v>
      </c>
      <c r="AC4941">
        <v>13.276899999999999</v>
      </c>
      <c r="AD4941">
        <v>-1.108189713427</v>
      </c>
      <c r="AE4941">
        <v>0.31124000000000501</v>
      </c>
      <c r="AF4941">
        <v>-0.69315546301423103</v>
      </c>
      <c r="AG4941">
        <v>-1.108189713427</v>
      </c>
      <c r="AH4941">
        <v>13.1704870034189</v>
      </c>
      <c r="AI4941">
        <v>94.803030088435193</v>
      </c>
      <c r="AJ4941">
        <v>93.0126657564103</v>
      </c>
      <c r="AK4941">
        <v>13.235190850307999</v>
      </c>
      <c r="AL4941">
        <v>83.114193984324203</v>
      </c>
      <c r="AM4941">
        <v>90.572113918285893</v>
      </c>
      <c r="AN4941">
        <v>1.0000000197954799</v>
      </c>
    </row>
    <row r="4942" spans="1:40" x14ac:dyDescent="0.25">
      <c r="A4942" t="str">
        <f>"20190312164408054"</f>
        <v>20190312164408054</v>
      </c>
      <c r="B4942" t="str">
        <f>"1552380248050489"</f>
        <v>1552380248050489</v>
      </c>
      <c r="C4942" t="s">
        <v>40</v>
      </c>
      <c r="D4942">
        <v>4.9536540000000002</v>
      </c>
      <c r="E4942">
        <v>0.48943609999999999</v>
      </c>
      <c r="F4942" t="s">
        <v>56</v>
      </c>
      <c r="G4942">
        <v>-235.10720000000001</v>
      </c>
      <c r="H4942" s="1">
        <v>-1.505714E-6</v>
      </c>
      <c r="I4942">
        <v>-61.614910000000002</v>
      </c>
      <c r="J4942">
        <v>-248.70519999999999</v>
      </c>
      <c r="K4942">
        <v>1.108187</v>
      </c>
      <c r="L4942">
        <v>-61.894779999999997</v>
      </c>
      <c r="M4942">
        <v>0.99953999999999998</v>
      </c>
      <c r="N4942">
        <v>0</v>
      </c>
      <c r="O4942">
        <v>-2.9655669999999999E-2</v>
      </c>
      <c r="P4942">
        <v>0.99336480000000005</v>
      </c>
      <c r="Q4942">
        <v>0.1135625</v>
      </c>
      <c r="R4942">
        <v>-1.816071E-2</v>
      </c>
      <c r="S4942">
        <v>3.0492400000000002</v>
      </c>
      <c r="T4942">
        <v>-0.24514649999999999</v>
      </c>
      <c r="U4942">
        <v>6.0607910000000001E-2</v>
      </c>
      <c r="V4942">
        <v>-1.1021710000000001E-2</v>
      </c>
      <c r="W4942">
        <v>0.1199022</v>
      </c>
      <c r="X4942">
        <v>0.99272450000000001</v>
      </c>
      <c r="Y4942">
        <v>-4.9259600000000001E-2</v>
      </c>
      <c r="Z4942">
        <v>4.3568359999999898E-3</v>
      </c>
      <c r="AA4942">
        <v>0.99877649999999996</v>
      </c>
      <c r="AB4942">
        <v>36</v>
      </c>
      <c r="AC4942">
        <v>13.5979999999999</v>
      </c>
      <c r="AD4942">
        <v>-1.108188505714</v>
      </c>
      <c r="AE4942">
        <v>0.279870000000009</v>
      </c>
      <c r="AF4942">
        <v>-0.67850831413358004</v>
      </c>
      <c r="AG4942">
        <v>-1.108188505714</v>
      </c>
      <c r="AH4942">
        <v>13.494133488532301</v>
      </c>
      <c r="AI4942">
        <v>94.688910172189097</v>
      </c>
      <c r="AJ4942">
        <v>92.878506420395894</v>
      </c>
      <c r="AK4942">
        <v>13.5565516966105</v>
      </c>
      <c r="AL4942">
        <v>83.113541522726706</v>
      </c>
      <c r="AM4942">
        <v>90.636099462354196</v>
      </c>
      <c r="AN4942">
        <v>0.99999997427820597</v>
      </c>
    </row>
    <row r="4943" spans="1:40" x14ac:dyDescent="0.25">
      <c r="A4943" t="str">
        <f>"20190312164408066"</f>
        <v>20190312164408066</v>
      </c>
      <c r="B4943" t="str">
        <f>"1552380248060252"</f>
        <v>1552380248060252</v>
      </c>
      <c r="C4943" t="s">
        <v>40</v>
      </c>
      <c r="D4943">
        <v>4.9150929999999997</v>
      </c>
      <c r="E4943">
        <v>0.48976730000000002</v>
      </c>
      <c r="F4943" t="s">
        <v>56</v>
      </c>
      <c r="G4943">
        <v>-234.79839999999999</v>
      </c>
      <c r="H4943" s="1">
        <v>-1.375362E-6</v>
      </c>
      <c r="I4943">
        <v>-61.622860000000003</v>
      </c>
      <c r="J4943">
        <v>-248.51990000000001</v>
      </c>
      <c r="K4943">
        <v>1.1081840000000001</v>
      </c>
      <c r="L4943">
        <v>-61.900700000000001</v>
      </c>
      <c r="M4943">
        <v>0.99952470000000004</v>
      </c>
      <c r="N4943">
        <v>0</v>
      </c>
      <c r="O4943">
        <v>-3.0171139999999999E-2</v>
      </c>
      <c r="P4943">
        <v>0.99337929999999997</v>
      </c>
      <c r="Q4943">
        <v>0.1135168</v>
      </c>
      <c r="R4943">
        <v>-1.7658750000000001E-2</v>
      </c>
      <c r="S4943">
        <v>3.0489199999999999</v>
      </c>
      <c r="T4943">
        <v>-0.24295900000000001</v>
      </c>
      <c r="U4943">
        <v>5.960083E-2</v>
      </c>
      <c r="V4943">
        <v>-1.203619E-2</v>
      </c>
      <c r="W4943">
        <v>0.1198592</v>
      </c>
      <c r="X4943">
        <v>0.99271790000000004</v>
      </c>
      <c r="Y4943">
        <v>-4.944921E-2</v>
      </c>
      <c r="Z4943">
        <v>4.3670860000000001E-3</v>
      </c>
      <c r="AA4943">
        <v>0.99876710000000002</v>
      </c>
      <c r="AB4943">
        <v>36</v>
      </c>
      <c r="AC4943">
        <v>13.721500000000001</v>
      </c>
      <c r="AD4943">
        <v>-1.1081853753619999</v>
      </c>
      <c r="AE4943">
        <v>0.27784000000000397</v>
      </c>
      <c r="AF4943">
        <v>-0.68723437388416397</v>
      </c>
      <c r="AG4943">
        <v>-1.1081853753619999</v>
      </c>
      <c r="AH4943">
        <v>13.618081009128799</v>
      </c>
      <c r="AI4943">
        <v>94.646365259039399</v>
      </c>
      <c r="AJ4943">
        <v>92.888971958278205</v>
      </c>
      <c r="AK4943">
        <v>13.680369011178399</v>
      </c>
      <c r="AL4943">
        <v>83.116023062282494</v>
      </c>
      <c r="AM4943">
        <v>90.694647592406298</v>
      </c>
      <c r="AN4943">
        <v>0.99999996333738195</v>
      </c>
    </row>
    <row r="4944" spans="1:40" x14ac:dyDescent="0.25">
      <c r="A4944" t="str">
        <f>"20190312164408077"</f>
        <v>20190312164408077</v>
      </c>
      <c r="B4944" t="str">
        <f>"1552380248070009"</f>
        <v>1552380248070009</v>
      </c>
      <c r="C4944" t="s">
        <v>40</v>
      </c>
      <c r="D4944">
        <v>4.9967480000000002</v>
      </c>
      <c r="E4944">
        <v>0.49012820000000001</v>
      </c>
      <c r="F4944" t="s">
        <v>56</v>
      </c>
      <c r="G4944">
        <v>-234.54329999999999</v>
      </c>
      <c r="H4944" s="1">
        <v>-1.2688790000000001E-6</v>
      </c>
      <c r="I4944">
        <v>-61.633969999999998</v>
      </c>
      <c r="J4944">
        <v>-248.328</v>
      </c>
      <c r="K4944">
        <v>1.108182</v>
      </c>
      <c r="L4944">
        <v>-61.906889999999997</v>
      </c>
      <c r="M4944">
        <v>0.99950830000000002</v>
      </c>
      <c r="N4944">
        <v>0</v>
      </c>
      <c r="O4944">
        <v>-3.0704599999999999E-2</v>
      </c>
      <c r="P4944">
        <v>0.99339909999999998</v>
      </c>
      <c r="Q4944">
        <v>0.113368</v>
      </c>
      <c r="R4944">
        <v>-1.7494719999999998E-2</v>
      </c>
      <c r="S4944">
        <v>3.0486300000000002</v>
      </c>
      <c r="T4944">
        <v>-0.2417222</v>
      </c>
      <c r="U4944">
        <v>5.8166500000000003E-2</v>
      </c>
      <c r="V4944">
        <v>-1.2731309999999999E-2</v>
      </c>
      <c r="W4944">
        <v>0.1197129</v>
      </c>
      <c r="X4944">
        <v>0.99272689999999997</v>
      </c>
      <c r="Y4944">
        <v>-4.9515040000000003E-2</v>
      </c>
      <c r="Z4944">
        <v>4.3901779999999998E-3</v>
      </c>
      <c r="AA4944">
        <v>0.99876370000000003</v>
      </c>
      <c r="AB4944">
        <v>36</v>
      </c>
      <c r="AC4944">
        <v>13.784700000000001</v>
      </c>
      <c r="AD4944">
        <v>-1.1081832688789901</v>
      </c>
      <c r="AE4944">
        <v>0.27292000000000599</v>
      </c>
      <c r="AF4944">
        <v>-0.69158565143822304</v>
      </c>
      <c r="AG4944">
        <v>-1.1081832688789901</v>
      </c>
      <c r="AH4944">
        <v>13.6814329082861</v>
      </c>
      <c r="AI4944">
        <v>94.624915484050604</v>
      </c>
      <c r="AJ4944">
        <v>92.893793415575701</v>
      </c>
      <c r="AK4944">
        <v>13.743651890768801</v>
      </c>
      <c r="AL4944">
        <v>83.1244663525476</v>
      </c>
      <c r="AM4944">
        <v>90.734754285118996</v>
      </c>
      <c r="AN4944">
        <v>0.99999998133216705</v>
      </c>
    </row>
    <row r="4945" spans="1:40" x14ac:dyDescent="0.25">
      <c r="A4945" t="str">
        <f>"20190312164408088"</f>
        <v>20190312164408088</v>
      </c>
      <c r="B4945" t="str">
        <f>"1552380248079768"</f>
        <v>1552380248079768</v>
      </c>
      <c r="C4945" t="s">
        <v>40</v>
      </c>
      <c r="D4945">
        <v>4.8005879999999896</v>
      </c>
      <c r="E4945">
        <v>0.49038470000000001</v>
      </c>
      <c r="F4945" t="s">
        <v>56</v>
      </c>
      <c r="G4945">
        <v>-234.321</v>
      </c>
      <c r="H4945" s="1">
        <v>-1.178084E-6</v>
      </c>
      <c r="I4945">
        <v>-61.651200000000003</v>
      </c>
      <c r="J4945">
        <v>-248.16030000000001</v>
      </c>
      <c r="K4945">
        <v>1.1081780000000001</v>
      </c>
      <c r="L4945">
        <v>-61.912379999999999</v>
      </c>
      <c r="M4945">
        <v>0.99949390000000005</v>
      </c>
      <c r="N4945">
        <v>0</v>
      </c>
      <c r="O4945">
        <v>-3.11706E-2</v>
      </c>
      <c r="P4945">
        <v>0.99337350000000002</v>
      </c>
      <c r="Q4945">
        <v>0.11368739999999999</v>
      </c>
      <c r="R4945">
        <v>-1.68592999999999E-2</v>
      </c>
      <c r="S4945">
        <v>3.0484469999999999</v>
      </c>
      <c r="T4945">
        <v>-0.24118129999999999</v>
      </c>
      <c r="U4945">
        <v>5.5633540000000002E-2</v>
      </c>
      <c r="V4945">
        <v>-1.382709E-2</v>
      </c>
      <c r="W4945">
        <v>0.1200353</v>
      </c>
      <c r="X4945">
        <v>0.99267329999999998</v>
      </c>
      <c r="Y4945">
        <v>-4.9153009999999997E-2</v>
      </c>
      <c r="Z4945">
        <v>4.4031740000000002E-3</v>
      </c>
      <c r="AA4945">
        <v>0.99878160000000005</v>
      </c>
      <c r="AB4945">
        <v>36</v>
      </c>
      <c r="AC4945">
        <v>13.8393</v>
      </c>
      <c r="AD4945">
        <v>-1.108179178084</v>
      </c>
      <c r="AE4945">
        <v>0.26118000000000302</v>
      </c>
      <c r="AF4945">
        <v>-0.68803100132554096</v>
      </c>
      <c r="AG4945">
        <v>-1.108179178084</v>
      </c>
      <c r="AH4945">
        <v>13.736387622173</v>
      </c>
      <c r="AI4945">
        <v>94.606581724942103</v>
      </c>
      <c r="AJ4945">
        <v>92.867446384156693</v>
      </c>
      <c r="AK4945">
        <v>13.7981807734249</v>
      </c>
      <c r="AL4945">
        <v>83.105859953560199</v>
      </c>
      <c r="AM4945">
        <v>90.798029592637704</v>
      </c>
      <c r="AN4945">
        <v>0.99999997109842298</v>
      </c>
    </row>
    <row r="4946" spans="1:40" x14ac:dyDescent="0.25">
      <c r="A4946" t="str">
        <f>"20190312164408098"</f>
        <v>20190312164408098</v>
      </c>
      <c r="B4946" t="str">
        <f>"1552380248089529"</f>
        <v>1552380248089529</v>
      </c>
      <c r="C4946" t="s">
        <v>40</v>
      </c>
      <c r="D4946">
        <v>4.7718660000000002</v>
      </c>
      <c r="E4946">
        <v>0.49055870000000001</v>
      </c>
      <c r="F4946" t="s">
        <v>56</v>
      </c>
      <c r="G4946">
        <v>-233.95519999999999</v>
      </c>
      <c r="H4946" s="1">
        <v>-1.0221159999999999E-6</v>
      </c>
      <c r="I4946">
        <v>-61.654760000000003</v>
      </c>
      <c r="J4946">
        <v>-247.98349999999999</v>
      </c>
      <c r="K4946">
        <v>1.108177</v>
      </c>
      <c r="L4946">
        <v>-61.9182699999999</v>
      </c>
      <c r="M4946">
        <v>0.99947839999999999</v>
      </c>
      <c r="N4946">
        <v>0</v>
      </c>
      <c r="O4946">
        <v>-3.1661759999999997E-2</v>
      </c>
      <c r="P4946">
        <v>0.99339319999999998</v>
      </c>
      <c r="Q4946">
        <v>0.11355759999999999</v>
      </c>
      <c r="R4946">
        <v>-1.657308E-2</v>
      </c>
      <c r="S4946">
        <v>3.0481410000000002</v>
      </c>
      <c r="T4946">
        <v>-0.23779320000000001</v>
      </c>
      <c r="U4946">
        <v>5.5267330000000003E-2</v>
      </c>
      <c r="V4946">
        <v>-1.460264E-2</v>
      </c>
      <c r="W4946">
        <v>0.119908399999999</v>
      </c>
      <c r="X4946">
        <v>0.99267760000000005</v>
      </c>
      <c r="Y4946">
        <v>-4.9529999999999998E-2</v>
      </c>
      <c r="Z4946">
        <v>4.394874E-3</v>
      </c>
      <c r="AA4946">
        <v>0.99876299999999996</v>
      </c>
      <c r="AB4946">
        <v>36</v>
      </c>
      <c r="AC4946">
        <v>14.0283</v>
      </c>
      <c r="AD4946">
        <v>-1.108178022116</v>
      </c>
      <c r="AE4946">
        <v>0.26350999999999603</v>
      </c>
      <c r="AF4946">
        <v>-0.70316111114859203</v>
      </c>
      <c r="AG4946">
        <v>-1.108178022116</v>
      </c>
      <c r="AH4946">
        <v>13.926050357661801</v>
      </c>
      <c r="AI4946">
        <v>94.544011475621403</v>
      </c>
      <c r="AJ4946">
        <v>92.890552389614001</v>
      </c>
      <c r="AK4946">
        <v>13.987757956193899</v>
      </c>
      <c r="AL4946">
        <v>83.113184158806604</v>
      </c>
      <c r="AM4946">
        <v>90.842780475084595</v>
      </c>
      <c r="AN4946">
        <v>1.0000000395136399</v>
      </c>
    </row>
    <row r="4947" spans="1:40" x14ac:dyDescent="0.25">
      <c r="A4947" t="str">
        <f>"20190312164408109"</f>
        <v>20190312164408109</v>
      </c>
      <c r="B4947" t="str">
        <f>"1552380248100265"</f>
        <v>1552380248100265</v>
      </c>
      <c r="C4947" t="s">
        <v>40</v>
      </c>
      <c r="D4947">
        <v>4.7638049999999996</v>
      </c>
      <c r="E4947">
        <v>0.49079659999999897</v>
      </c>
      <c r="F4947" t="s">
        <v>56</v>
      </c>
      <c r="G4947">
        <v>-233.7287</v>
      </c>
      <c r="H4947" s="1">
        <v>-9.2738760000000002E-7</v>
      </c>
      <c r="I4947">
        <v>-61.663879999999999</v>
      </c>
      <c r="J4947">
        <v>-247.81530000000001</v>
      </c>
      <c r="K4947">
        <v>1.1081749999999999</v>
      </c>
      <c r="L4947">
        <v>-61.92398</v>
      </c>
      <c r="M4947">
        <v>0.99946360000000001</v>
      </c>
      <c r="N4947">
        <v>0</v>
      </c>
      <c r="O4947">
        <v>-3.2129190000000002E-2</v>
      </c>
      <c r="P4947">
        <v>0.99336329999999995</v>
      </c>
      <c r="Q4947">
        <v>0.1138854</v>
      </c>
      <c r="R4947">
        <v>-1.611214E-2</v>
      </c>
      <c r="S4947">
        <v>3.0479579999999999</v>
      </c>
      <c r="T4947">
        <v>-0.2369502</v>
      </c>
      <c r="U4947">
        <v>5.4382319999999998E-2</v>
      </c>
      <c r="V4947">
        <v>-1.5525509999999999E-2</v>
      </c>
      <c r="W4947">
        <v>0.12023929999999999</v>
      </c>
      <c r="X4947">
        <v>0.99262349999999999</v>
      </c>
      <c r="Y4947">
        <v>-4.9708040000000002E-2</v>
      </c>
      <c r="Z4947">
        <v>4.4227930000000004E-3</v>
      </c>
      <c r="AA4947">
        <v>0.99875400000000003</v>
      </c>
      <c r="AB4947">
        <v>36</v>
      </c>
      <c r="AC4947">
        <v>14.086600000000001</v>
      </c>
      <c r="AD4947">
        <v>-1.1081759273876</v>
      </c>
      <c r="AE4947">
        <v>0.260100000000001</v>
      </c>
      <c r="AF4947">
        <v>-0.70818455786421397</v>
      </c>
      <c r="AG4947">
        <v>-1.1081759273876</v>
      </c>
      <c r="AH4947">
        <v>13.9844529587174</v>
      </c>
      <c r="AI4947">
        <v>94.525071281477693</v>
      </c>
      <c r="AJ4947">
        <v>92.899030375381898</v>
      </c>
      <c r="AK4947">
        <v>14.0461561933725</v>
      </c>
      <c r="AL4947">
        <v>83.094086345713706</v>
      </c>
      <c r="AM4947">
        <v>90.896083630613205</v>
      </c>
      <c r="AN4947">
        <v>0.99999997173874899</v>
      </c>
    </row>
    <row r="4948" spans="1:40" x14ac:dyDescent="0.25">
      <c r="A4948" t="str">
        <f>"20190312164408120"</f>
        <v>20190312164408120</v>
      </c>
      <c r="B4948" t="str">
        <f>"1552380248110025"</f>
        <v>1552380248110025</v>
      </c>
      <c r="C4948" t="s">
        <v>40</v>
      </c>
      <c r="D4948">
        <v>4.7640479999999998</v>
      </c>
      <c r="E4948">
        <v>0.49093490000000001</v>
      </c>
      <c r="F4948" t="s">
        <v>56</v>
      </c>
      <c r="G4948">
        <v>-233.45099999999999</v>
      </c>
      <c r="H4948" s="1">
        <v>-8.1018519999999998E-7</v>
      </c>
      <c r="I4948">
        <v>-61.671219999999998</v>
      </c>
      <c r="J4948">
        <v>-247.62799999999999</v>
      </c>
      <c r="K4948">
        <v>1.108176</v>
      </c>
      <c r="L4948">
        <v>-61.93036</v>
      </c>
      <c r="M4948">
        <v>0.99944670000000002</v>
      </c>
      <c r="N4948">
        <v>0</v>
      </c>
      <c r="O4948">
        <v>-3.2649440000000002E-2</v>
      </c>
      <c r="P4948">
        <v>0.99334109999999998</v>
      </c>
      <c r="Q4948">
        <v>0.11412410000000001</v>
      </c>
      <c r="R4948">
        <v>-1.5802440000000001E-2</v>
      </c>
      <c r="S4948">
        <v>3.047882</v>
      </c>
      <c r="T4948">
        <v>-0.2351375</v>
      </c>
      <c r="U4948">
        <v>5.3619380000000001E-2</v>
      </c>
      <c r="V4948">
        <v>-1.6350489999999999E-2</v>
      </c>
      <c r="W4948">
        <v>0.1204817</v>
      </c>
      <c r="X4948">
        <v>0.99258089999999999</v>
      </c>
      <c r="Y4948">
        <v>-4.9979830000000003E-2</v>
      </c>
      <c r="Z4948">
        <v>4.4397070000000002E-3</v>
      </c>
      <c r="AA4948">
        <v>0.99874039999999997</v>
      </c>
      <c r="AB4948">
        <v>36</v>
      </c>
      <c r="AC4948">
        <v>14.1769999999999</v>
      </c>
      <c r="AD4948">
        <v>-1.1081768101851901</v>
      </c>
      <c r="AE4948">
        <v>0.25914000000000198</v>
      </c>
      <c r="AF4948">
        <v>-0.71749973551302604</v>
      </c>
      <c r="AG4948">
        <v>-1.1081768101851901</v>
      </c>
      <c r="AH4948">
        <v>14.075009281565899</v>
      </c>
      <c r="AI4948">
        <v>94.496004782114198</v>
      </c>
      <c r="AJ4948">
        <v>92.9182326966163</v>
      </c>
      <c r="AK4948">
        <v>14.136787046187701</v>
      </c>
      <c r="AL4948">
        <v>83.080096414687404</v>
      </c>
      <c r="AM4948">
        <v>90.943730983492102</v>
      </c>
      <c r="AN4948">
        <v>1.0000000108014699</v>
      </c>
    </row>
    <row r="4949" spans="1:40" x14ac:dyDescent="0.25">
      <c r="A4949" t="str">
        <f>"20190312164408132"</f>
        <v>20190312164408132</v>
      </c>
      <c r="B4949" t="str">
        <f>"1552380248119785"</f>
        <v>1552380248119785</v>
      </c>
      <c r="C4949" t="s">
        <v>40</v>
      </c>
      <c r="D4949">
        <v>4.7916480000000004</v>
      </c>
      <c r="E4949">
        <v>0.4910756</v>
      </c>
      <c r="F4949" t="s">
        <v>56</v>
      </c>
      <c r="G4949">
        <v>-233.4239</v>
      </c>
      <c r="H4949" s="1">
        <v>-8.0154449999999898E-7</v>
      </c>
      <c r="I4949">
        <v>-61.682290000000002</v>
      </c>
      <c r="J4949">
        <v>-247.45320000000001</v>
      </c>
      <c r="K4949">
        <v>1.1081700000000001</v>
      </c>
      <c r="L4949">
        <v>-61.936489999999999</v>
      </c>
      <c r="M4949">
        <v>0.99943070000000001</v>
      </c>
      <c r="N4949">
        <v>0</v>
      </c>
      <c r="O4949">
        <v>-3.3134650000000002E-2</v>
      </c>
      <c r="P4949">
        <v>0.99332889999999996</v>
      </c>
      <c r="Q4949">
        <v>0.1142614</v>
      </c>
      <c r="R4949">
        <v>-1.556431E-2</v>
      </c>
      <c r="S4949">
        <v>3.048279</v>
      </c>
      <c r="T4949">
        <v>-0.23782130000000001</v>
      </c>
      <c r="U4949">
        <v>5.3222659999999998E-2</v>
      </c>
      <c r="V4949">
        <v>-1.7069129999999998E-2</v>
      </c>
      <c r="W4949">
        <v>0.1206222</v>
      </c>
      <c r="X4949">
        <v>0.99255170000000004</v>
      </c>
      <c r="Y4949">
        <v>-5.0324380000000002E-2</v>
      </c>
      <c r="Z4949">
        <v>4.5408559999999898E-3</v>
      </c>
      <c r="AA4949">
        <v>0.99872260000000002</v>
      </c>
      <c r="AB4949">
        <v>36</v>
      </c>
      <c r="AC4949">
        <v>14.029299999999999</v>
      </c>
      <c r="AD4949">
        <v>-1.1081708015445</v>
      </c>
      <c r="AE4949">
        <v>0.25419999999999698</v>
      </c>
      <c r="AF4949">
        <v>-0.71446935874677497</v>
      </c>
      <c r="AG4949">
        <v>-1.1081708015445</v>
      </c>
      <c r="AH4949">
        <v>13.9263101399773</v>
      </c>
      <c r="AI4949">
        <v>94.543711276137699</v>
      </c>
      <c r="AJ4949">
        <v>92.936902862352895</v>
      </c>
      <c r="AK4949">
        <v>13.988589031950999</v>
      </c>
      <c r="AL4949">
        <v>83.071986959598405</v>
      </c>
      <c r="AM4949">
        <v>90.985231010607293</v>
      </c>
      <c r="AN4949">
        <v>0.99999997375234295</v>
      </c>
    </row>
    <row r="4950" spans="1:40" x14ac:dyDescent="0.25">
      <c r="A4950" t="str">
        <f>"20190312164408144"</f>
        <v>20190312164408144</v>
      </c>
      <c r="B4950" t="str">
        <f>"1552380248140282"</f>
        <v>1552380248140282</v>
      </c>
      <c r="C4950" t="s">
        <v>40</v>
      </c>
      <c r="D4950">
        <v>4.7628170000000001</v>
      </c>
      <c r="E4950">
        <v>0.49138520000000002</v>
      </c>
      <c r="F4950" t="s">
        <v>56</v>
      </c>
      <c r="G4950">
        <v>-233.35380000000001</v>
      </c>
      <c r="H4950" s="1">
        <v>-7.7420129999999999E-7</v>
      </c>
      <c r="I4950">
        <v>-61.692680000000003</v>
      </c>
      <c r="J4950">
        <v>-247.26410000000001</v>
      </c>
      <c r="K4950">
        <v>1.108168</v>
      </c>
      <c r="L4950">
        <v>-61.943150000000003</v>
      </c>
      <c r="M4950">
        <v>0.99941310000000005</v>
      </c>
      <c r="N4950">
        <v>0</v>
      </c>
      <c r="O4950">
        <v>-3.3659550000000003E-2</v>
      </c>
      <c r="P4950">
        <v>0.99329429999999996</v>
      </c>
      <c r="Q4950">
        <v>0.1145983</v>
      </c>
      <c r="R4950">
        <v>-1.52829E-2</v>
      </c>
      <c r="S4950">
        <v>3.0485380000000002</v>
      </c>
      <c r="T4950">
        <v>-0.23960519999999999</v>
      </c>
      <c r="U4950">
        <v>5.2703859999999998E-2</v>
      </c>
      <c r="V4950">
        <v>-1.7869659999999999E-2</v>
      </c>
      <c r="W4950">
        <v>0.1209626</v>
      </c>
      <c r="X4950">
        <v>0.99249620000000005</v>
      </c>
      <c r="Y4950">
        <v>-5.0671059999999997E-2</v>
      </c>
      <c r="Z4950">
        <v>4.6292089999999996E-3</v>
      </c>
      <c r="AA4950">
        <v>0.9987047</v>
      </c>
      <c r="AB4950">
        <v>36</v>
      </c>
      <c r="AC4950">
        <v>13.910299999999999</v>
      </c>
      <c r="AD4950">
        <v>-1.1081687742013</v>
      </c>
      <c r="AE4950">
        <v>0.25047000000000003</v>
      </c>
      <c r="AF4950">
        <v>-0.71402186644630605</v>
      </c>
      <c r="AG4950">
        <v>-1.1081687742013</v>
      </c>
      <c r="AH4950">
        <v>13.806391843836501</v>
      </c>
      <c r="AI4950">
        <v>94.582904006190006</v>
      </c>
      <c r="AJ4950">
        <v>92.960514591401605</v>
      </c>
      <c r="AK4950">
        <v>13.869186025266</v>
      </c>
      <c r="AL4950">
        <v>83.052339735337597</v>
      </c>
      <c r="AM4950">
        <v>91.031485547095699</v>
      </c>
      <c r="AN4950">
        <v>0.99999999118085703</v>
      </c>
    </row>
    <row r="4951" spans="1:40" x14ac:dyDescent="0.25">
      <c r="A4951" t="str">
        <f>"20190312164408154"</f>
        <v>20190312164408154</v>
      </c>
      <c r="B4951" t="str">
        <f>"1552380248150040"</f>
        <v>1552380248150040</v>
      </c>
      <c r="C4951" t="s">
        <v>40</v>
      </c>
      <c r="D4951">
        <v>5.0617869999999998</v>
      </c>
      <c r="E4951">
        <v>0.49166100000000001</v>
      </c>
      <c r="F4951" t="s">
        <v>56</v>
      </c>
      <c r="G4951">
        <v>-233.4753</v>
      </c>
      <c r="H4951" s="1">
        <v>-8.3107609999999999E-7</v>
      </c>
      <c r="I4951">
        <v>-61.710560000000001</v>
      </c>
      <c r="J4951">
        <v>-247.07320000000001</v>
      </c>
      <c r="K4951">
        <v>1.108168</v>
      </c>
      <c r="L4951">
        <v>-61.950009999999999</v>
      </c>
      <c r="M4951">
        <v>0.99939509999999998</v>
      </c>
      <c r="N4951">
        <v>0</v>
      </c>
      <c r="O4951">
        <v>-3.4188990000000002E-2</v>
      </c>
      <c r="P4951">
        <v>0.99328269999999996</v>
      </c>
      <c r="Q4951">
        <v>0.1147261</v>
      </c>
      <c r="R4951">
        <v>-1.508633E-2</v>
      </c>
      <c r="S4951">
        <v>3.0493320000000002</v>
      </c>
      <c r="T4951">
        <v>-0.24506600000000001</v>
      </c>
      <c r="U4951">
        <v>5.1422120000000002E-2</v>
      </c>
      <c r="V4951">
        <v>-1.8591070000000001E-2</v>
      </c>
      <c r="W4951">
        <v>0.1210942</v>
      </c>
      <c r="X4951">
        <v>0.99246690000000004</v>
      </c>
      <c r="Y4951">
        <v>-5.0762139999999997E-2</v>
      </c>
      <c r="Z4951">
        <v>4.7792829999999996E-3</v>
      </c>
      <c r="AA4951">
        <v>0.99869929999999996</v>
      </c>
      <c r="AB4951">
        <v>36</v>
      </c>
      <c r="AC4951">
        <v>13.597899999999999</v>
      </c>
      <c r="AD4951">
        <v>-1.1081688310761</v>
      </c>
      <c r="AE4951">
        <v>0.239449999999997</v>
      </c>
      <c r="AF4951">
        <v>-0.69957310508281501</v>
      </c>
      <c r="AG4951">
        <v>-1.1081688310761</v>
      </c>
      <c r="AH4951">
        <v>13.492182465535</v>
      </c>
      <c r="AI4951">
        <v>94.689129336837297</v>
      </c>
      <c r="AJ4951">
        <v>92.968142798154403</v>
      </c>
      <c r="AK4951">
        <v>13.555678823681699</v>
      </c>
      <c r="AL4951">
        <v>83.044743767481094</v>
      </c>
      <c r="AM4951">
        <v>91.073149426001905</v>
      </c>
      <c r="AN4951">
        <v>0.99999999037649701</v>
      </c>
    </row>
    <row r="4952" spans="1:40" x14ac:dyDescent="0.25">
      <c r="A4952" t="str">
        <f>"20190312164408167"</f>
        <v>20190312164408167</v>
      </c>
      <c r="B4952" t="str">
        <f>"1552380248159801"</f>
        <v>1552380248159801</v>
      </c>
      <c r="C4952" t="s">
        <v>40</v>
      </c>
      <c r="D4952">
        <v>4.9731249999999996</v>
      </c>
      <c r="E4952">
        <v>0.49189949999999999</v>
      </c>
      <c r="F4952" t="s">
        <v>56</v>
      </c>
      <c r="G4952">
        <v>-233.20949999999999</v>
      </c>
      <c r="H4952" s="1">
        <v>-7.2089569999999896E-7</v>
      </c>
      <c r="I4952">
        <v>-61.724890000000002</v>
      </c>
      <c r="J4952">
        <v>-246.887</v>
      </c>
      <c r="K4952">
        <v>1.1081700000000001</v>
      </c>
      <c r="L4952">
        <v>-61.956760000000003</v>
      </c>
      <c r="M4952">
        <v>0.99937730000000002</v>
      </c>
      <c r="N4952">
        <v>0</v>
      </c>
      <c r="O4952">
        <v>-3.4705079999999999E-2</v>
      </c>
      <c r="P4952">
        <v>0.99327619999999905</v>
      </c>
      <c r="Q4952">
        <v>0.1148243</v>
      </c>
      <c r="R4952">
        <v>-1.4764920000000001E-2</v>
      </c>
      <c r="S4952">
        <v>3.0491790000000001</v>
      </c>
      <c r="T4952">
        <v>-0.24373110000000001</v>
      </c>
      <c r="U4952">
        <v>4.9499509999999997E-2</v>
      </c>
      <c r="V4952">
        <v>-1.9424199999999999E-2</v>
      </c>
      <c r="W4952">
        <v>0.1211964</v>
      </c>
      <c r="X4952">
        <v>0.9924385</v>
      </c>
      <c r="Y4952">
        <v>-5.0650819999999999E-2</v>
      </c>
      <c r="Z4952">
        <v>4.7903169999999997E-3</v>
      </c>
      <c r="AA4952">
        <v>0.99870490000000001</v>
      </c>
      <c r="AB4952">
        <v>36</v>
      </c>
      <c r="AC4952">
        <v>13.6775</v>
      </c>
      <c r="AD4952">
        <v>-1.1081707208956999</v>
      </c>
      <c r="AE4952">
        <v>0.231869999999993</v>
      </c>
      <c r="AF4952">
        <v>-0.70181296704158203</v>
      </c>
      <c r="AG4952">
        <v>-1.1081707208956999</v>
      </c>
      <c r="AH4952">
        <v>13.5721446862817</v>
      </c>
      <c r="AI4952">
        <v>94.661666355781804</v>
      </c>
      <c r="AJ4952">
        <v>92.960117158338505</v>
      </c>
      <c r="AK4952">
        <v>13.6353839393221</v>
      </c>
      <c r="AL4952">
        <v>83.038844909216905</v>
      </c>
      <c r="AM4952">
        <v>91.121261018606305</v>
      </c>
      <c r="AN4952">
        <v>1.0000000216004199</v>
      </c>
    </row>
    <row r="4953" spans="1:40" x14ac:dyDescent="0.25">
      <c r="A4953" t="str">
        <f>"20190312164408177"</f>
        <v>20190312164408177</v>
      </c>
      <c r="B4953" t="str">
        <f>"1552380248169561"</f>
        <v>1552380248169561</v>
      </c>
      <c r="C4953" t="s">
        <v>40</v>
      </c>
      <c r="D4953">
        <v>4.8095350000000003</v>
      </c>
      <c r="E4953">
        <v>0.49214659999999899</v>
      </c>
      <c r="F4953" t="s">
        <v>56</v>
      </c>
      <c r="G4953">
        <v>-232.9821</v>
      </c>
      <c r="H4953" s="1">
        <v>-6.2620819999999897E-7</v>
      </c>
      <c r="I4953">
        <v>-61.735689999999998</v>
      </c>
      <c r="J4953">
        <v>-246.69319999999999</v>
      </c>
      <c r="K4953">
        <v>1.108168</v>
      </c>
      <c r="L4953">
        <v>-61.963869999999901</v>
      </c>
      <c r="M4953">
        <v>0.99935850000000004</v>
      </c>
      <c r="N4953">
        <v>0</v>
      </c>
      <c r="O4953">
        <v>-3.5242509999999998E-2</v>
      </c>
      <c r="P4953">
        <v>0.99328919999999998</v>
      </c>
      <c r="Q4953">
        <v>0.1147701</v>
      </c>
      <c r="R4953">
        <v>-1.430087E-2</v>
      </c>
      <c r="S4953">
        <v>3.0491329999999999</v>
      </c>
      <c r="T4953">
        <v>-0.24300469999999999</v>
      </c>
      <c r="U4953">
        <v>4.8461909999999997E-2</v>
      </c>
      <c r="V4953">
        <v>-2.0421419999999999E-2</v>
      </c>
      <c r="W4953">
        <v>0.1211472</v>
      </c>
      <c r="X4953">
        <v>0.99242450000000004</v>
      </c>
      <c r="Y4953">
        <v>-5.0847650000000001E-2</v>
      </c>
      <c r="Z4953">
        <v>4.8267429999999997E-3</v>
      </c>
      <c r="AA4953">
        <v>0.99869479999999999</v>
      </c>
      <c r="AB4953">
        <v>36</v>
      </c>
      <c r="AC4953">
        <v>13.711099999999901</v>
      </c>
      <c r="AD4953">
        <v>-1.1081686262082</v>
      </c>
      <c r="AE4953">
        <v>0.228179999999987</v>
      </c>
      <c r="AF4953">
        <v>-0.70664686212092997</v>
      </c>
      <c r="AG4953">
        <v>-1.1081686262082</v>
      </c>
      <c r="AH4953">
        <v>13.605688349196001</v>
      </c>
      <c r="AI4953">
        <v>94.650160620408698</v>
      </c>
      <c r="AJ4953">
        <v>92.973134105595307</v>
      </c>
      <c r="AK4953">
        <v>13.669021287104201</v>
      </c>
      <c r="AL4953">
        <v>83.041684869035706</v>
      </c>
      <c r="AM4953">
        <v>91.178826273496</v>
      </c>
      <c r="AN4953">
        <v>1.00000003333145</v>
      </c>
    </row>
    <row r="4954" spans="1:40" x14ac:dyDescent="0.25">
      <c r="A4954" t="str">
        <f>"20190312164408189"</f>
        <v>20190312164408189</v>
      </c>
      <c r="B4954" t="str">
        <f>"1552380248179828"</f>
        <v>1552380248179828</v>
      </c>
      <c r="C4954" t="s">
        <v>40</v>
      </c>
      <c r="D4954">
        <v>4.7893780000000001</v>
      </c>
      <c r="E4954">
        <v>0.49228549999999899</v>
      </c>
      <c r="F4954" t="s">
        <v>56</v>
      </c>
      <c r="G4954">
        <v>-232.75919999999999</v>
      </c>
      <c r="H4954" s="1">
        <v>-5.3329360000000002E-7</v>
      </c>
      <c r="I4954">
        <v>-61.745959999999997</v>
      </c>
      <c r="J4954">
        <v>-246.51490000000001</v>
      </c>
      <c r="K4954">
        <v>1.108168</v>
      </c>
      <c r="L4954">
        <v>-61.970550000000003</v>
      </c>
      <c r="M4954">
        <v>0.99934109999999998</v>
      </c>
      <c r="N4954">
        <v>0</v>
      </c>
      <c r="O4954">
        <v>-3.573606E-2</v>
      </c>
      <c r="P4954">
        <v>0.9932898</v>
      </c>
      <c r="Q4954">
        <v>0.1147912</v>
      </c>
      <c r="R4954">
        <v>-1.409871E-2</v>
      </c>
      <c r="S4954">
        <v>3.0489959999999998</v>
      </c>
      <c r="T4954">
        <v>-0.24248600000000001</v>
      </c>
      <c r="U4954">
        <v>4.7668460000000003E-2</v>
      </c>
      <c r="V4954">
        <v>-2.1113670000000001E-2</v>
      </c>
      <c r="W4954">
        <v>0.121172699999999</v>
      </c>
      <c r="X4954">
        <v>0.99240680000000003</v>
      </c>
      <c r="Y4954">
        <v>-5.1080609999999999E-2</v>
      </c>
      <c r="Z4954">
        <v>4.8651199999999997E-3</v>
      </c>
      <c r="AA4954">
        <v>0.99868270000000003</v>
      </c>
      <c r="AB4954">
        <v>36</v>
      </c>
      <c r="AC4954">
        <v>13.755699999999999</v>
      </c>
      <c r="AD4954">
        <v>-1.1081685332936</v>
      </c>
      <c r="AE4954">
        <v>0.22459000000000601</v>
      </c>
      <c r="AF4954">
        <v>-0.71141509642796497</v>
      </c>
      <c r="AG4954">
        <v>-1.1081685332936</v>
      </c>
      <c r="AH4954">
        <v>13.6503199668684</v>
      </c>
      <c r="AI4954">
        <v>94.634979262285896</v>
      </c>
      <c r="AJ4954">
        <v>92.983390693895799</v>
      </c>
      <c r="AK4954">
        <v>13.713693307621201</v>
      </c>
      <c r="AL4954">
        <v>83.040212284980896</v>
      </c>
      <c r="AM4954">
        <v>91.218796273337105</v>
      </c>
      <c r="AN4954">
        <v>0.99999993348619698</v>
      </c>
    </row>
    <row r="4955" spans="1:40" x14ac:dyDescent="0.25">
      <c r="A4955" t="str">
        <f>"20190312164408202"</f>
        <v>20190312164408202</v>
      </c>
      <c r="B4955" t="str">
        <f>"1552380248189588"</f>
        <v>1552380248189588</v>
      </c>
      <c r="C4955" t="s">
        <v>40</v>
      </c>
      <c r="D4955">
        <v>5.8050459999999999</v>
      </c>
      <c r="E4955">
        <v>0.49250769999999999</v>
      </c>
      <c r="F4955" t="s">
        <v>56</v>
      </c>
      <c r="G4955">
        <v>-232.73560000000001</v>
      </c>
      <c r="H4955" s="1">
        <v>-5.263391E-7</v>
      </c>
      <c r="I4955">
        <v>-61.757840000000002</v>
      </c>
      <c r="J4955">
        <v>-246.31630000000001</v>
      </c>
      <c r="K4955">
        <v>1.1081620000000001</v>
      </c>
      <c r="L4955">
        <v>-61.978029999999997</v>
      </c>
      <c r="M4955">
        <v>0.99932129999999997</v>
      </c>
      <c r="N4955">
        <v>0</v>
      </c>
      <c r="O4955">
        <v>-3.6285890000000001E-2</v>
      </c>
      <c r="P4955">
        <v>0.99326999999999999</v>
      </c>
      <c r="Q4955">
        <v>0.1149828</v>
      </c>
      <c r="R4955">
        <v>-1.3921909999999999E-2</v>
      </c>
      <c r="S4955">
        <v>3.0492710000000001</v>
      </c>
      <c r="T4955">
        <v>-0.24522969999999999</v>
      </c>
      <c r="U4955">
        <v>4.705811E-2</v>
      </c>
      <c r="V4955">
        <v>-2.1834329999999999E-2</v>
      </c>
      <c r="W4955">
        <v>0.1213682</v>
      </c>
      <c r="X4955">
        <v>0.99236740000000001</v>
      </c>
      <c r="Y4955">
        <v>-5.1419760000000002E-2</v>
      </c>
      <c r="Z4955">
        <v>4.9773009999999999E-3</v>
      </c>
      <c r="AA4955">
        <v>0.99866469999999896</v>
      </c>
      <c r="AB4955">
        <v>37</v>
      </c>
      <c r="AC4955">
        <v>13.5807</v>
      </c>
      <c r="AD4955">
        <v>-1.1081625263391</v>
      </c>
      <c r="AE4955">
        <v>0.220190000000002</v>
      </c>
      <c r="AF4955">
        <v>-0.70812900974645299</v>
      </c>
      <c r="AG4955">
        <v>-1.1081625263391</v>
      </c>
      <c r="AH4955">
        <v>13.4740754182806</v>
      </c>
      <c r="AI4955">
        <v>94.695204562460702</v>
      </c>
      <c r="AJ4955">
        <v>93.008407614931798</v>
      </c>
      <c r="AK4955">
        <v>13.538101021071601</v>
      </c>
      <c r="AL4955">
        <v>83.028928260163397</v>
      </c>
      <c r="AM4955">
        <v>91.260433529100993</v>
      </c>
      <c r="AN4955">
        <v>1.0000000172602701</v>
      </c>
    </row>
    <row r="4956" spans="1:40" x14ac:dyDescent="0.25">
      <c r="A4956" t="str">
        <f>"20190312164408213"</f>
        <v>20190312164408213</v>
      </c>
      <c r="B4956" t="str">
        <f>"1552380248210082"</f>
        <v>1552380248210082</v>
      </c>
      <c r="C4956" t="s">
        <v>40</v>
      </c>
      <c r="D4956">
        <v>5.5836009999999998</v>
      </c>
      <c r="E4956">
        <v>0.49289949999999999</v>
      </c>
      <c r="F4956" t="s">
        <v>56</v>
      </c>
      <c r="G4956">
        <v>-232.47120000000001</v>
      </c>
      <c r="H4956" s="1">
        <v>-4.164947E-7</v>
      </c>
      <c r="I4956">
        <v>-61.7712199999999</v>
      </c>
      <c r="J4956">
        <v>-246.10849999999999</v>
      </c>
      <c r="K4956">
        <v>1.1081589999999999</v>
      </c>
      <c r="L4956">
        <v>-61.986080000000001</v>
      </c>
      <c r="M4956">
        <v>0.99930010000000002</v>
      </c>
      <c r="N4956">
        <v>0</v>
      </c>
      <c r="O4956">
        <v>-3.6857760000000003E-2</v>
      </c>
      <c r="P4956">
        <v>0.99327699999999997</v>
      </c>
      <c r="Q4956">
        <v>0.1149587</v>
      </c>
      <c r="R4956">
        <v>-1.361272E-2</v>
      </c>
      <c r="S4956">
        <v>3.049194</v>
      </c>
      <c r="T4956">
        <v>-0.24405879999999999</v>
      </c>
      <c r="U4956">
        <v>4.553223E-2</v>
      </c>
      <c r="V4956">
        <v>-2.271167E-2</v>
      </c>
      <c r="W4956">
        <v>0.12134979999999999</v>
      </c>
      <c r="X4956">
        <v>0.99234990000000001</v>
      </c>
      <c r="Y4956">
        <v>-5.1492639999999999E-2</v>
      </c>
      <c r="Z4956">
        <v>5.0023410000000004E-3</v>
      </c>
      <c r="AA4956">
        <v>0.99866089999999996</v>
      </c>
      <c r="AB4956">
        <v>37</v>
      </c>
      <c r="AC4956">
        <v>13.6372999999999</v>
      </c>
      <c r="AD4956">
        <v>-1.1081594164947</v>
      </c>
      <c r="AE4956">
        <v>0.21486000000000799</v>
      </c>
      <c r="AF4956">
        <v>-0.712659994513407</v>
      </c>
      <c r="AG4956">
        <v>-1.1081594164947</v>
      </c>
      <c r="AH4956">
        <v>13.530790999093</v>
      </c>
      <c r="AI4956">
        <v>94.675570564676207</v>
      </c>
      <c r="AJ4956">
        <v>93.014954205659805</v>
      </c>
      <c r="AK4956">
        <v>13.5947860086609</v>
      </c>
      <c r="AL4956">
        <v>83.029989944468298</v>
      </c>
      <c r="AM4956">
        <v>91.3110856387746</v>
      </c>
      <c r="AN4956">
        <v>0.99999995897211802</v>
      </c>
    </row>
    <row r="4957" spans="1:40" x14ac:dyDescent="0.25">
      <c r="A4957" t="str">
        <f>"20190312164408224"</f>
        <v>20190312164408224</v>
      </c>
      <c r="B4957" t="str">
        <f>"1552380248219843"</f>
        <v>1552380248219843</v>
      </c>
      <c r="C4957" t="s">
        <v>40</v>
      </c>
      <c r="D4957">
        <v>4.8259339999999904</v>
      </c>
      <c r="E4957">
        <v>0.49309310000000001</v>
      </c>
      <c r="F4957" t="s">
        <v>56</v>
      </c>
      <c r="G4957">
        <v>-232.2259</v>
      </c>
      <c r="H4957" s="1">
        <v>-3.159083E-7</v>
      </c>
      <c r="I4957">
        <v>-61.788719999999998</v>
      </c>
      <c r="J4957">
        <v>-245.93989999999999</v>
      </c>
      <c r="K4957">
        <v>1.108155</v>
      </c>
      <c r="L4957">
        <v>-61.992609999999999</v>
      </c>
      <c r="M4957">
        <v>0.99928300000000003</v>
      </c>
      <c r="N4957">
        <v>0</v>
      </c>
      <c r="O4957">
        <v>-3.7321020000000003E-2</v>
      </c>
      <c r="P4957">
        <v>0.99328110000000003</v>
      </c>
      <c r="Q4957">
        <v>0.11498079999999999</v>
      </c>
      <c r="R4957">
        <v>-1.311795E-2</v>
      </c>
      <c r="S4957">
        <v>3.0490719999999998</v>
      </c>
      <c r="T4957">
        <v>-0.24338770000000001</v>
      </c>
      <c r="U4957">
        <v>4.3334959999999999E-2</v>
      </c>
      <c r="V4957">
        <v>-2.366648E-2</v>
      </c>
      <c r="W4957">
        <v>0.1213762</v>
      </c>
      <c r="X4957">
        <v>0.9923244</v>
      </c>
      <c r="Y4957">
        <v>-5.123755E-2</v>
      </c>
      <c r="Z4957">
        <v>5.0155850000000004E-3</v>
      </c>
      <c r="AA4957">
        <v>0.9986739</v>
      </c>
      <c r="AB4957">
        <v>37</v>
      </c>
      <c r="AC4957">
        <v>13.714</v>
      </c>
      <c r="AD4957">
        <v>-1.1081553159083</v>
      </c>
      <c r="AE4957">
        <v>0.20389000000000099</v>
      </c>
      <c r="AF4957">
        <v>-0.71093784676175098</v>
      </c>
      <c r="AG4957">
        <v>-1.1081553159083</v>
      </c>
      <c r="AH4957">
        <v>13.608003513099099</v>
      </c>
      <c r="AI4957">
        <v>94.649243644162397</v>
      </c>
      <c r="AJ4957">
        <v>92.990647266985704</v>
      </c>
      <c r="AK4957">
        <v>13.6715471121103</v>
      </c>
      <c r="AL4957">
        <v>83.028466355725598</v>
      </c>
      <c r="AM4957">
        <v>91.366218962066</v>
      </c>
      <c r="AN4957">
        <v>0.999999999518695</v>
      </c>
    </row>
    <row r="4958" spans="1:40" x14ac:dyDescent="0.25">
      <c r="A4958" t="str">
        <f>"20190312164408234"</f>
        <v>20190312164408234</v>
      </c>
      <c r="B4958" t="str">
        <f>"1552380248229602"</f>
        <v>1552380248229602</v>
      </c>
      <c r="C4958" t="s">
        <v>40</v>
      </c>
      <c r="D4958">
        <v>5.1738049999999998</v>
      </c>
      <c r="E4958">
        <v>0.49324430000000002</v>
      </c>
      <c r="F4958" t="s">
        <v>56</v>
      </c>
      <c r="G4958">
        <v>-232.041</v>
      </c>
      <c r="H4958" s="1">
        <v>-2.3826420000000001E-7</v>
      </c>
      <c r="I4958">
        <v>-61.795009999999998</v>
      </c>
      <c r="J4958">
        <v>-245.7713</v>
      </c>
      <c r="K4958">
        <v>1.1081559999999999</v>
      </c>
      <c r="L4958">
        <v>-61.999270000000003</v>
      </c>
      <c r="M4958">
        <v>0.99926570000000003</v>
      </c>
      <c r="N4958">
        <v>0</v>
      </c>
      <c r="O4958">
        <v>-3.7781769999999999E-2</v>
      </c>
      <c r="P4958">
        <v>0.99327759999999998</v>
      </c>
      <c r="Q4958">
        <v>0.1150499</v>
      </c>
      <c r="R4958">
        <v>-1.2780400000000001E-2</v>
      </c>
      <c r="S4958">
        <v>3.0490110000000001</v>
      </c>
      <c r="T4958">
        <v>-0.24309739999999999</v>
      </c>
      <c r="U4958">
        <v>4.3334959999999999E-2</v>
      </c>
      <c r="V4958">
        <v>-2.446166E-2</v>
      </c>
      <c r="W4958">
        <v>0.12145010000000001</v>
      </c>
      <c r="X4958">
        <v>0.99229610000000001</v>
      </c>
      <c r="Y4958">
        <v>-5.1696039999999999E-2</v>
      </c>
      <c r="Z4958">
        <v>5.0646320000000003E-3</v>
      </c>
      <c r="AA4958">
        <v>0.99865000000000004</v>
      </c>
      <c r="AB4958">
        <v>37</v>
      </c>
      <c r="AC4958">
        <v>13.7303</v>
      </c>
      <c r="AD4958">
        <v>-1.1081562382641901</v>
      </c>
      <c r="AE4958">
        <v>0.204259999999997</v>
      </c>
      <c r="AF4958">
        <v>-0.71820244966945701</v>
      </c>
      <c r="AG4958">
        <v>-1.1081562382641901</v>
      </c>
      <c r="AH4958">
        <v>13.6240526451977</v>
      </c>
      <c r="AI4958">
        <v>94.643680519771095</v>
      </c>
      <c r="AJ4958">
        <v>93.017598049984599</v>
      </c>
      <c r="AK4958">
        <v>13.6879010621145</v>
      </c>
      <c r="AL4958">
        <v>83.024200817600203</v>
      </c>
      <c r="AM4958">
        <v>91.412145098666102</v>
      </c>
      <c r="AN4958">
        <v>1.00000002483758</v>
      </c>
    </row>
    <row r="4959" spans="1:40" x14ac:dyDescent="0.25">
      <c r="A4959" t="str">
        <f>"20190312164408244"</f>
        <v>20190312164408244</v>
      </c>
      <c r="B4959" t="str">
        <f>"1552380248240339"</f>
        <v>1552380248240339</v>
      </c>
      <c r="C4959" t="s">
        <v>40</v>
      </c>
      <c r="D4959">
        <v>4.826301</v>
      </c>
      <c r="E4959">
        <v>0.49339050000000001</v>
      </c>
      <c r="F4959" t="s">
        <v>56</v>
      </c>
      <c r="G4959">
        <v>-231.84829999999999</v>
      </c>
      <c r="H4959" s="1">
        <v>-1.573275E-7</v>
      </c>
      <c r="I4959">
        <v>-61.801459999999999</v>
      </c>
      <c r="J4959">
        <v>-245.6155</v>
      </c>
      <c r="K4959">
        <v>1.1081559999999999</v>
      </c>
      <c r="L4959">
        <v>-62.005459999999999</v>
      </c>
      <c r="M4959">
        <v>0.99924959999999996</v>
      </c>
      <c r="N4959">
        <v>0</v>
      </c>
      <c r="O4959">
        <v>-3.8205799999999998E-2</v>
      </c>
      <c r="P4959">
        <v>0.99328660000000002</v>
      </c>
      <c r="Q4959">
        <v>0.115018</v>
      </c>
      <c r="R4959">
        <v>-1.2361509999999999E-2</v>
      </c>
      <c r="S4959">
        <v>3.0489959999999998</v>
      </c>
      <c r="T4959">
        <v>-0.24267639999999999</v>
      </c>
      <c r="U4959">
        <v>4.330444E-2</v>
      </c>
      <c r="V4959">
        <v>-2.5302080000000001E-2</v>
      </c>
      <c r="W4959">
        <v>0.12142260000000001</v>
      </c>
      <c r="X4959">
        <v>0.99227829999999995</v>
      </c>
      <c r="Y4959">
        <v>-5.2108219999999997E-2</v>
      </c>
      <c r="Z4959">
        <v>5.1059699999999996E-3</v>
      </c>
      <c r="AA4959">
        <v>0.99862839999999997</v>
      </c>
      <c r="AB4959">
        <v>37</v>
      </c>
      <c r="AC4959">
        <v>13.767200000000001</v>
      </c>
      <c r="AD4959">
        <v>-1.1081561573274901</v>
      </c>
      <c r="AE4959">
        <v>0.20399999999999999</v>
      </c>
      <c r="AF4959">
        <v>-0.72515135384287599</v>
      </c>
      <c r="AG4959">
        <v>-1.1081561573274901</v>
      </c>
      <c r="AH4959">
        <v>13.660864046818901</v>
      </c>
      <c r="AI4959">
        <v>94.631132365300502</v>
      </c>
      <c r="AJ4959">
        <v>93.038545281783001</v>
      </c>
      <c r="AK4959">
        <v>13.7249065956993</v>
      </c>
      <c r="AL4959">
        <v>83.025787561618699</v>
      </c>
      <c r="AM4959">
        <v>91.460667155247705</v>
      </c>
      <c r="AN4959">
        <v>0.99999993384698604</v>
      </c>
    </row>
    <row r="4960" spans="1:40" x14ac:dyDescent="0.25">
      <c r="A4960" t="str">
        <f>"20190312164408255"</f>
        <v>20190312164408255</v>
      </c>
      <c r="B4960" t="str">
        <f>"1552380248250099"</f>
        <v>1552380248250099</v>
      </c>
      <c r="C4960" t="s">
        <v>40</v>
      </c>
      <c r="D4960">
        <v>4.7885669999999996</v>
      </c>
      <c r="E4960">
        <v>0.49356280000000002</v>
      </c>
      <c r="F4960" t="s">
        <v>56</v>
      </c>
      <c r="G4960">
        <v>-231.69649999999999</v>
      </c>
      <c r="H4960" s="1">
        <v>-9.3531299999999995E-8</v>
      </c>
      <c r="I4960">
        <v>-61.806449999999998</v>
      </c>
      <c r="J4960">
        <v>-245.41370000000001</v>
      </c>
      <c r="K4960">
        <v>1.108155</v>
      </c>
      <c r="L4960">
        <v>-62.01361</v>
      </c>
      <c r="M4960">
        <v>0.99922849999999996</v>
      </c>
      <c r="N4960">
        <v>0</v>
      </c>
      <c r="O4960">
        <v>-3.8749739999999998E-2</v>
      </c>
      <c r="P4960">
        <v>0.99324389999999996</v>
      </c>
      <c r="Q4960">
        <v>0.1154299</v>
      </c>
      <c r="R4960">
        <v>-1.1947040000000001E-2</v>
      </c>
      <c r="S4960">
        <v>3.0489199999999999</v>
      </c>
      <c r="T4960">
        <v>-0.24273980000000001</v>
      </c>
      <c r="U4960">
        <v>4.3579100000000003E-2</v>
      </c>
      <c r="V4960">
        <v>-2.6254599999999999E-2</v>
      </c>
      <c r="W4960">
        <v>0.12183910000000001</v>
      </c>
      <c r="X4960">
        <v>0.99220260000000005</v>
      </c>
      <c r="Y4960">
        <v>-5.273825E-2</v>
      </c>
      <c r="Z4960">
        <v>5.1756830000000004E-3</v>
      </c>
      <c r="AA4960">
        <v>0.99859489999999995</v>
      </c>
      <c r="AB4960">
        <v>37</v>
      </c>
      <c r="AC4960">
        <v>13.7172</v>
      </c>
      <c r="AD4960">
        <v>-1.1081550935313</v>
      </c>
      <c r="AE4960">
        <v>0.20716000000000101</v>
      </c>
      <c r="AF4960">
        <v>-0.73376548318687795</v>
      </c>
      <c r="AG4960">
        <v>-1.1081550935313</v>
      </c>
      <c r="AH4960">
        <v>13.610065914524199</v>
      </c>
      <c r="AI4960">
        <v>94.648132363306701</v>
      </c>
      <c r="AJ4960">
        <v>93.086024924377796</v>
      </c>
      <c r="AK4960">
        <v>13.6748058009366</v>
      </c>
      <c r="AL4960">
        <v>83.001746074688</v>
      </c>
      <c r="AM4960">
        <v>91.515745707083894</v>
      </c>
      <c r="AN4960">
        <v>1.00000003487836</v>
      </c>
    </row>
    <row r="4961" spans="1:40" x14ac:dyDescent="0.25">
      <c r="A4961" t="str">
        <f>"20190312164408267"</f>
        <v>20190312164408267</v>
      </c>
      <c r="B4961" t="str">
        <f>"1552380248259859"</f>
        <v>1552380248259859</v>
      </c>
      <c r="C4961" t="s">
        <v>40</v>
      </c>
      <c r="D4961">
        <v>5.0539909999999999</v>
      </c>
      <c r="E4961">
        <v>0.4937472</v>
      </c>
      <c r="F4961" t="s">
        <v>56</v>
      </c>
      <c r="G4961">
        <v>-231.37559999999999</v>
      </c>
      <c r="H4961" s="1">
        <v>4.2213169999999997E-8</v>
      </c>
      <c r="I4961">
        <v>-61.813740000000003</v>
      </c>
      <c r="J4961">
        <v>-245.2328</v>
      </c>
      <c r="K4961">
        <v>1.1081529999999999</v>
      </c>
      <c r="L4961">
        <v>-62.021000000000001</v>
      </c>
      <c r="M4961">
        <v>0.99920980000000004</v>
      </c>
      <c r="N4961">
        <v>0</v>
      </c>
      <c r="O4961">
        <v>-3.9231910000000002E-2</v>
      </c>
      <c r="P4961">
        <v>0.99322920000000003</v>
      </c>
      <c r="Q4961">
        <v>0.1155805</v>
      </c>
      <c r="R4961">
        <v>-1.1714749999999999E-2</v>
      </c>
      <c r="S4961">
        <v>3.0489199999999999</v>
      </c>
      <c r="T4961">
        <v>-0.2406797</v>
      </c>
      <c r="U4961">
        <v>4.3395999999999997E-2</v>
      </c>
      <c r="V4961">
        <v>-2.696612E-2</v>
      </c>
      <c r="W4961">
        <v>0.1219944</v>
      </c>
      <c r="X4961">
        <v>0.99216439999999995</v>
      </c>
      <c r="Y4961">
        <v>-5.3162199999999903E-2</v>
      </c>
      <c r="Z4961">
        <v>5.1865890000000001E-3</v>
      </c>
      <c r="AA4961">
        <v>0.99857240000000003</v>
      </c>
      <c r="AB4961">
        <v>37</v>
      </c>
      <c r="AC4961">
        <v>13.857200000000001</v>
      </c>
      <c r="AD4961">
        <v>-1.1081529577868301</v>
      </c>
      <c r="AE4961">
        <v>0.207259999999998</v>
      </c>
      <c r="AF4961">
        <v>-0.74598629705623898</v>
      </c>
      <c r="AG4961">
        <v>-1.1081529577868301</v>
      </c>
      <c r="AH4961">
        <v>13.750483708812199</v>
      </c>
      <c r="AI4961">
        <v>94.600778811208102</v>
      </c>
      <c r="AJ4961">
        <v>93.105345819053298</v>
      </c>
      <c r="AK4961">
        <v>13.8152198954471</v>
      </c>
      <c r="AL4961">
        <v>82.992780926182604</v>
      </c>
      <c r="AM4961">
        <v>91.556863551516798</v>
      </c>
      <c r="AN4961">
        <v>1.0000000009432799</v>
      </c>
    </row>
    <row r="4962" spans="1:40" x14ac:dyDescent="0.25">
      <c r="A4962" t="str">
        <f>"20190312164408277"</f>
        <v>20190312164408277</v>
      </c>
      <c r="B4962" t="str">
        <f>"1552380248269619"</f>
        <v>1552380248269619</v>
      </c>
      <c r="C4962" t="s">
        <v>40</v>
      </c>
      <c r="D4962">
        <v>4.8203110000000002</v>
      </c>
      <c r="E4962">
        <v>0.49394159999999998</v>
      </c>
      <c r="F4962" t="s">
        <v>56</v>
      </c>
      <c r="G4962">
        <v>-231.14439999999999</v>
      </c>
      <c r="H4962" s="1">
        <v>1.3878870000000001E-7</v>
      </c>
      <c r="I4962">
        <v>-61.823509999999999</v>
      </c>
      <c r="J4962">
        <v>-245.05850000000001</v>
      </c>
      <c r="K4962">
        <v>1.1081559999999999</v>
      </c>
      <c r="L4962">
        <v>-62.028199999999998</v>
      </c>
      <c r="M4962">
        <v>0.99919150000000001</v>
      </c>
      <c r="N4962">
        <v>0</v>
      </c>
      <c r="O4962">
        <v>-3.9691659999999997E-2</v>
      </c>
      <c r="P4962">
        <v>0.99319199999999996</v>
      </c>
      <c r="Q4962">
        <v>0.1159245</v>
      </c>
      <c r="R4962">
        <v>-1.144994E-2</v>
      </c>
      <c r="S4962">
        <v>3.0488590000000002</v>
      </c>
      <c r="T4962">
        <v>-0.23981540000000001</v>
      </c>
      <c r="U4962">
        <v>4.2724610000000003E-2</v>
      </c>
      <c r="V4962">
        <v>-2.7685919999999999E-2</v>
      </c>
      <c r="W4962">
        <v>0.1223422</v>
      </c>
      <c r="X4962">
        <v>0.99210169999999998</v>
      </c>
      <c r="Y4962">
        <v>-5.3401999999999998E-2</v>
      </c>
      <c r="Z4962">
        <v>5.2136329999999996E-3</v>
      </c>
      <c r="AA4962">
        <v>0.99855950000000004</v>
      </c>
      <c r="AB4962">
        <v>37</v>
      </c>
      <c r="AC4962">
        <v>13.914099999999999</v>
      </c>
      <c r="AD4962">
        <v>-1.1081558612112901</v>
      </c>
      <c r="AE4962">
        <v>0.20468999999999901</v>
      </c>
      <c r="AF4962">
        <v>-0.75204456770185502</v>
      </c>
      <c r="AG4962">
        <v>-1.1081558612112901</v>
      </c>
      <c r="AH4962">
        <v>13.8074492040388</v>
      </c>
      <c r="AI4962">
        <v>94.581837135399397</v>
      </c>
      <c r="AJ4962">
        <v>93.117624798236605</v>
      </c>
      <c r="AK4962">
        <v>13.8722468968318</v>
      </c>
      <c r="AL4962">
        <v>82.972702724341204</v>
      </c>
      <c r="AM4962">
        <v>91.598500213889395</v>
      </c>
      <c r="AN4962">
        <v>0.99999995360498695</v>
      </c>
    </row>
    <row r="4963" spans="1:40" x14ac:dyDescent="0.25">
      <c r="A4963" t="str">
        <f>"20190312164408288"</f>
        <v>20190312164408288</v>
      </c>
      <c r="B4963" t="str">
        <f>"1552380248280355"</f>
        <v>1552380248280355</v>
      </c>
      <c r="C4963" t="s">
        <v>40</v>
      </c>
      <c r="D4963">
        <v>5.2215629999999997</v>
      </c>
      <c r="E4963">
        <v>0.4941026</v>
      </c>
      <c r="F4963" t="s">
        <v>56</v>
      </c>
      <c r="G4963">
        <v>-230.87289999999999</v>
      </c>
      <c r="H4963" s="1">
        <v>2.5296270000000001E-7</v>
      </c>
      <c r="I4963">
        <v>-61.832189999999997</v>
      </c>
      <c r="J4963">
        <v>-244.87469999999999</v>
      </c>
      <c r="K4963">
        <v>1.1081639999999999</v>
      </c>
      <c r="L4963">
        <v>-62.035829999999997</v>
      </c>
      <c r="M4963">
        <v>0.99917250000000002</v>
      </c>
      <c r="N4963">
        <v>0</v>
      </c>
      <c r="O4963">
        <v>-4.0165920000000001E-2</v>
      </c>
      <c r="P4963">
        <v>0.99317699999999998</v>
      </c>
      <c r="Q4963">
        <v>0.11607960000000001</v>
      </c>
      <c r="R4963">
        <v>-1.117958E-2</v>
      </c>
      <c r="S4963">
        <v>3.0488590000000002</v>
      </c>
      <c r="T4963">
        <v>-0.2381712</v>
      </c>
      <c r="U4963">
        <v>4.2114260000000001E-2</v>
      </c>
      <c r="V4963">
        <v>-2.8429010000000001E-2</v>
      </c>
      <c r="W4963">
        <v>0.12250170000000001</v>
      </c>
      <c r="X4963">
        <v>0.99206099999999997</v>
      </c>
      <c r="Y4963">
        <v>-5.3677740000000002E-2</v>
      </c>
      <c r="Z4963">
        <v>5.2257299999999996E-3</v>
      </c>
      <c r="AA4963">
        <v>0.9985446</v>
      </c>
      <c r="AB4963">
        <v>37</v>
      </c>
      <c r="AC4963">
        <v>14.001799999999999</v>
      </c>
      <c r="AD4963">
        <v>-1.1081637470373</v>
      </c>
      <c r="AE4963">
        <v>0.20363999999999999</v>
      </c>
      <c r="AF4963">
        <v>-0.761115878548558</v>
      </c>
      <c r="AG4963">
        <v>-1.1081637470373</v>
      </c>
      <c r="AH4963">
        <v>13.8953014275146</v>
      </c>
      <c r="AI4963">
        <v>94.552947021653196</v>
      </c>
      <c r="AJ4963">
        <v>93.135246324069698</v>
      </c>
      <c r="AK4963">
        <v>13.9601835959387</v>
      </c>
      <c r="AL4963">
        <v>82.963494770807799</v>
      </c>
      <c r="AM4963">
        <v>91.641448093083596</v>
      </c>
      <c r="AN4963">
        <v>0.99999995141673304</v>
      </c>
    </row>
    <row r="4964" spans="1:40" x14ac:dyDescent="0.25">
      <c r="A4964" t="str">
        <f>"20190312164408299"</f>
        <v>20190312164408299</v>
      </c>
      <c r="B4964" t="str">
        <f>"1552380248290115"</f>
        <v>1552380248290115</v>
      </c>
      <c r="C4964" t="s">
        <v>40</v>
      </c>
      <c r="D4964">
        <v>4.8655460000000001</v>
      </c>
      <c r="E4964">
        <v>0.49422100000000002</v>
      </c>
      <c r="F4964" t="s">
        <v>56</v>
      </c>
      <c r="G4964">
        <v>-230.6677</v>
      </c>
      <c r="H4964" s="1">
        <v>3.3870840000000001E-7</v>
      </c>
      <c r="I4964">
        <v>-61.840800000000002</v>
      </c>
      <c r="J4964">
        <v>-244.6927</v>
      </c>
      <c r="K4964">
        <v>1.1081730000000001</v>
      </c>
      <c r="L4964">
        <v>-62.043489999999998</v>
      </c>
      <c r="M4964">
        <v>0.99915390000000004</v>
      </c>
      <c r="N4964">
        <v>0</v>
      </c>
      <c r="O4964">
        <v>-4.063112E-2</v>
      </c>
      <c r="P4964">
        <v>0.99312840000000002</v>
      </c>
      <c r="Q4964">
        <v>0.1165096</v>
      </c>
      <c r="R4964">
        <v>-1.103646E-2</v>
      </c>
      <c r="S4964">
        <v>3.0488740000000001</v>
      </c>
      <c r="T4964">
        <v>-0.237815</v>
      </c>
      <c r="U4964">
        <v>4.1839599999999998E-2</v>
      </c>
      <c r="V4964">
        <v>-2.9033420000000001E-2</v>
      </c>
      <c r="W4964">
        <v>0.122935199999999</v>
      </c>
      <c r="X4964">
        <v>0.99198989999999998</v>
      </c>
      <c r="Y4964">
        <v>-5.4050939999999999E-2</v>
      </c>
      <c r="Z4964">
        <v>5.2686590000000002E-3</v>
      </c>
      <c r="AA4964">
        <v>0.99852430000000003</v>
      </c>
      <c r="AB4964">
        <v>37</v>
      </c>
      <c r="AC4964">
        <v>14.025</v>
      </c>
      <c r="AD4964">
        <v>-1.1081726612916001</v>
      </c>
      <c r="AE4964">
        <v>0.20269000000000401</v>
      </c>
      <c r="AF4964">
        <v>-0.767594374919633</v>
      </c>
      <c r="AG4964">
        <v>-1.1081726612916001</v>
      </c>
      <c r="AH4964">
        <v>13.918305214053699</v>
      </c>
      <c r="AI4964">
        <v>94.5453970125251</v>
      </c>
      <c r="AJ4964">
        <v>93.156663829445904</v>
      </c>
      <c r="AK4964">
        <v>13.9834354792804</v>
      </c>
      <c r="AL4964">
        <v>82.938468102992601</v>
      </c>
      <c r="AM4964">
        <v>91.676446189712493</v>
      </c>
      <c r="AN4964">
        <v>0.99999998228897302</v>
      </c>
    </row>
    <row r="4965" spans="1:40" x14ac:dyDescent="0.25">
      <c r="A4965" t="str">
        <f>"20190312164408310"</f>
        <v>20190312164408310</v>
      </c>
      <c r="B4965" t="str">
        <f>"1552380248299874"</f>
        <v>1552380248299874</v>
      </c>
      <c r="C4965" t="s">
        <v>40</v>
      </c>
      <c r="D4965">
        <v>4.8223849999999997</v>
      </c>
      <c r="E4965">
        <v>0.49430790000000002</v>
      </c>
      <c r="F4965" t="s">
        <v>56</v>
      </c>
      <c r="G4965">
        <v>-230.54820000000001</v>
      </c>
      <c r="H4965" s="1">
        <v>3.874208E-7</v>
      </c>
      <c r="I4965">
        <v>-61.85033</v>
      </c>
      <c r="J4965">
        <v>-244.5077</v>
      </c>
      <c r="K4965">
        <v>1.108187</v>
      </c>
      <c r="L4965">
        <v>-62.051389999999998</v>
      </c>
      <c r="M4965">
        <v>0.99913529999999995</v>
      </c>
      <c r="N4965">
        <v>0</v>
      </c>
      <c r="O4965">
        <v>-4.1083500000000002E-2</v>
      </c>
      <c r="P4965">
        <v>0.9930947</v>
      </c>
      <c r="Q4965">
        <v>0.1167995</v>
      </c>
      <c r="R4965">
        <v>-1.099552E-2</v>
      </c>
      <c r="S4965">
        <v>3.049255</v>
      </c>
      <c r="T4965">
        <v>-0.238898</v>
      </c>
      <c r="U4965">
        <v>4.162598E-2</v>
      </c>
      <c r="V4965">
        <v>-2.9526170000000001E-2</v>
      </c>
      <c r="W4965">
        <v>0.12322809999999999</v>
      </c>
      <c r="X4965">
        <v>0.99193900000000002</v>
      </c>
      <c r="Y4965">
        <v>-5.442628E-2</v>
      </c>
      <c r="Z4965">
        <v>5.3419690000000002E-3</v>
      </c>
      <c r="AA4965">
        <v>0.99850349999999999</v>
      </c>
      <c r="AB4965">
        <v>37</v>
      </c>
      <c r="AC4965">
        <v>13.959499999999901</v>
      </c>
      <c r="AD4965">
        <v>-1.1081866125791999</v>
      </c>
      <c r="AE4965">
        <v>0.20105999999999799</v>
      </c>
      <c r="AF4965">
        <v>-0.76955822335249702</v>
      </c>
      <c r="AG4965">
        <v>-1.1081866125791999</v>
      </c>
      <c r="AH4965">
        <v>13.852173494150801</v>
      </c>
      <c r="AI4965">
        <v>94.566961228287994</v>
      </c>
      <c r="AJ4965">
        <v>93.179801375881894</v>
      </c>
      <c r="AK4965">
        <v>13.917722800066199</v>
      </c>
      <c r="AL4965">
        <v>82.921557499772504</v>
      </c>
      <c r="AM4965">
        <v>91.704969314341596</v>
      </c>
      <c r="AN4965">
        <v>0.99999996953273795</v>
      </c>
    </row>
    <row r="4966" spans="1:40" x14ac:dyDescent="0.25">
      <c r="A4966" t="str">
        <f>"20190312164408322"</f>
        <v>20190312164408322</v>
      </c>
      <c r="B4966" t="str">
        <f>"1552380248309635"</f>
        <v>1552380248309635</v>
      </c>
      <c r="C4966" t="s">
        <v>40</v>
      </c>
      <c r="D4966">
        <v>4.8403749999999999</v>
      </c>
      <c r="E4966">
        <v>0.49442380000000002</v>
      </c>
      <c r="F4966" t="s">
        <v>56</v>
      </c>
      <c r="G4966">
        <v>-230.39340000000001</v>
      </c>
      <c r="H4966" s="1">
        <v>4.5148280000000001E-7</v>
      </c>
      <c r="I4966">
        <v>-61.859229999999997</v>
      </c>
      <c r="J4966">
        <v>-244.3201</v>
      </c>
      <c r="K4966">
        <v>1.1082019999999999</v>
      </c>
      <c r="L4966">
        <v>-62.059420000000003</v>
      </c>
      <c r="M4966">
        <v>0.99911640000000002</v>
      </c>
      <c r="N4966">
        <v>0</v>
      </c>
      <c r="O4966">
        <v>-4.1536700000000003E-2</v>
      </c>
      <c r="P4966">
        <v>0.99304460000000006</v>
      </c>
      <c r="Q4966">
        <v>0.1172405</v>
      </c>
      <c r="R4966">
        <v>-1.0842879999999999E-2</v>
      </c>
      <c r="S4966">
        <v>3.0494690000000002</v>
      </c>
      <c r="T4966">
        <v>-0.2394289</v>
      </c>
      <c r="U4966">
        <v>4.1503909999999998E-2</v>
      </c>
      <c r="V4966">
        <v>-3.0130870000000001E-2</v>
      </c>
      <c r="W4966">
        <v>0.123672</v>
      </c>
      <c r="X4966">
        <v>0.99186560000000001</v>
      </c>
      <c r="Y4966">
        <v>-5.4834399999999998E-2</v>
      </c>
      <c r="Z4966">
        <v>5.4049369999999899E-3</v>
      </c>
      <c r="AA4966">
        <v>0.9984809</v>
      </c>
      <c r="AB4966">
        <v>37</v>
      </c>
      <c r="AC4966">
        <v>13.926699999999901</v>
      </c>
      <c r="AD4966">
        <v>-1.1082015485171901</v>
      </c>
      <c r="AE4966">
        <v>0.20018999999999201</v>
      </c>
      <c r="AF4966">
        <v>-0.77360084838364196</v>
      </c>
      <c r="AG4966">
        <v>-1.1082015485171901</v>
      </c>
      <c r="AH4966">
        <v>13.818881950268599</v>
      </c>
      <c r="AI4966">
        <v>94.577870321225305</v>
      </c>
      <c r="AJ4966">
        <v>93.204155586833195</v>
      </c>
      <c r="AK4966">
        <v>13.884814269561399</v>
      </c>
      <c r="AL4966">
        <v>82.895928078104205</v>
      </c>
      <c r="AM4966">
        <v>91.739994746887007</v>
      </c>
      <c r="AN4966">
        <v>1.0000000006871499</v>
      </c>
    </row>
    <row r="4967" spans="1:40" x14ac:dyDescent="0.25">
      <c r="A4967" t="str">
        <f>"20190312164408333"</f>
        <v>20190312164408333</v>
      </c>
      <c r="B4967" t="str">
        <f>"1552380248320371"</f>
        <v>1552380248320371</v>
      </c>
      <c r="C4967" t="s">
        <v>40</v>
      </c>
      <c r="D4967">
        <v>4.9424349999999997</v>
      </c>
      <c r="E4967">
        <v>0.49464930000000001</v>
      </c>
      <c r="F4967" t="s">
        <v>56</v>
      </c>
      <c r="G4967">
        <v>-230.22399999999999</v>
      </c>
      <c r="H4967" s="1">
        <v>5.2162899999999997E-7</v>
      </c>
      <c r="I4967">
        <v>-61.868650000000002</v>
      </c>
      <c r="J4967">
        <v>-244.14189999999999</v>
      </c>
      <c r="K4967">
        <v>1.1082240000000001</v>
      </c>
      <c r="L4967">
        <v>-62.067169999999997</v>
      </c>
      <c r="M4967">
        <v>0.99909959999999998</v>
      </c>
      <c r="N4967">
        <v>0</v>
      </c>
      <c r="O4967">
        <v>-4.1938700000000002E-2</v>
      </c>
      <c r="P4967">
        <v>0.99301859999999997</v>
      </c>
      <c r="Q4967">
        <v>0.1174726</v>
      </c>
      <c r="R4967">
        <v>-1.068825E-2</v>
      </c>
      <c r="S4967">
        <v>3.0497589999999999</v>
      </c>
      <c r="T4967">
        <v>-0.2397649</v>
      </c>
      <c r="U4967">
        <v>4.1259770000000001E-2</v>
      </c>
      <c r="V4967">
        <v>-3.068947E-2</v>
      </c>
      <c r="W4967">
        <v>0.12390669999999999</v>
      </c>
      <c r="X4967">
        <v>0.99181920000000001</v>
      </c>
      <c r="Y4967">
        <v>-5.5151930000000002E-2</v>
      </c>
      <c r="Z4967">
        <v>5.4559880000000002E-3</v>
      </c>
      <c r="AA4967">
        <v>0.99846310000000005</v>
      </c>
      <c r="AB4967">
        <v>37</v>
      </c>
      <c r="AC4967">
        <v>13.9178999999999</v>
      </c>
      <c r="AD4967">
        <v>-1.1082234783710001</v>
      </c>
      <c r="AE4967">
        <v>0.19851999999999401</v>
      </c>
      <c r="AF4967">
        <v>-0.77712976549840496</v>
      </c>
      <c r="AG4967">
        <v>-1.1082234783710001</v>
      </c>
      <c r="AH4967">
        <v>13.809788605492299</v>
      </c>
      <c r="AI4967">
        <v>94.580887528699805</v>
      </c>
      <c r="AJ4967">
        <v>93.220856233110297</v>
      </c>
      <c r="AK4967">
        <v>13.875963075722799</v>
      </c>
      <c r="AL4967">
        <v>82.882376663024104</v>
      </c>
      <c r="AM4967">
        <v>91.772315201839504</v>
      </c>
      <c r="AN4967">
        <v>1.0000000196812</v>
      </c>
    </row>
    <row r="4968" spans="1:40" x14ac:dyDescent="0.25">
      <c r="A4968" t="str">
        <f>"20190312164408344"</f>
        <v>20190312164408344</v>
      </c>
      <c r="B4968" t="str">
        <f>"1552380248339891"</f>
        <v>1552380248339891</v>
      </c>
      <c r="C4968" t="s">
        <v>40</v>
      </c>
      <c r="D4968">
        <v>5.0877420000000004</v>
      </c>
      <c r="E4968">
        <v>0.49501329999999999</v>
      </c>
      <c r="F4968" t="s">
        <v>56</v>
      </c>
      <c r="G4968">
        <v>-230.06</v>
      </c>
      <c r="H4968" s="1">
        <v>5.8846479999999996E-7</v>
      </c>
      <c r="I4968">
        <v>-61.881959999999999</v>
      </c>
      <c r="J4968">
        <v>-243.9384</v>
      </c>
      <c r="K4968">
        <v>1.10825</v>
      </c>
      <c r="L4968">
        <v>-62.0760199999999</v>
      </c>
      <c r="M4968">
        <v>0.99908070000000004</v>
      </c>
      <c r="N4968">
        <v>0</v>
      </c>
      <c r="O4968">
        <v>-4.2385109999999997E-2</v>
      </c>
      <c r="P4968">
        <v>0.99298560000000002</v>
      </c>
      <c r="Q4968">
        <v>0.1177665</v>
      </c>
      <c r="R4968">
        <v>-1.051999E-2</v>
      </c>
      <c r="S4968">
        <v>3.0499109999999998</v>
      </c>
      <c r="T4968">
        <v>-0.24002290000000001</v>
      </c>
      <c r="U4968">
        <v>4.01001E-2</v>
      </c>
      <c r="V4968">
        <v>-3.1306420000000001E-2</v>
      </c>
      <c r="W4968">
        <v>0.1242033</v>
      </c>
      <c r="X4968">
        <v>0.99176280000000006</v>
      </c>
      <c r="Y4968">
        <v>-5.5215609999999998E-2</v>
      </c>
      <c r="Z4968">
        <v>5.499136E-3</v>
      </c>
      <c r="AA4968">
        <v>0.99845930000000005</v>
      </c>
      <c r="AB4968">
        <v>37</v>
      </c>
      <c r="AC4968">
        <v>13.878399999999999</v>
      </c>
      <c r="AD4968">
        <v>-1.1082494115352</v>
      </c>
      <c r="AE4968">
        <v>0.19405999999999299</v>
      </c>
      <c r="AF4968">
        <v>-0.77718036593423301</v>
      </c>
      <c r="AG4968">
        <v>-1.1082494115352</v>
      </c>
      <c r="AH4968">
        <v>13.769912716633399</v>
      </c>
      <c r="AI4968">
        <v>94.594160704456598</v>
      </c>
      <c r="AJ4968">
        <v>93.230373571154502</v>
      </c>
      <c r="AK4968">
        <v>13.8362828210131</v>
      </c>
      <c r="AL4968">
        <v>82.865250310973806</v>
      </c>
      <c r="AM4968">
        <v>91.808023363586699</v>
      </c>
      <c r="AN4968">
        <v>1.0000000015639701</v>
      </c>
    </row>
    <row r="4969" spans="1:40" x14ac:dyDescent="0.25">
      <c r="A4969" t="str">
        <f>"20190312164408356"</f>
        <v>20190312164408356</v>
      </c>
      <c r="B4969" t="str">
        <f>"1552380248349651"</f>
        <v>1552380248349651</v>
      </c>
      <c r="C4969" t="s">
        <v>40</v>
      </c>
      <c r="D4969">
        <v>5.0594890000000001</v>
      </c>
      <c r="E4969">
        <v>0.49526419999999999</v>
      </c>
      <c r="F4969" t="s">
        <v>57</v>
      </c>
      <c r="G4969">
        <v>-229.95840000000001</v>
      </c>
      <c r="H4969" s="1">
        <v>-3.600475E-6</v>
      </c>
      <c r="I4969">
        <v>-61.901319999999998</v>
      </c>
      <c r="J4969">
        <v>-243.73849999999999</v>
      </c>
      <c r="K4969">
        <v>1.108279</v>
      </c>
      <c r="L4969">
        <v>-62.08484</v>
      </c>
      <c r="M4969">
        <v>0.99906320000000004</v>
      </c>
      <c r="N4969">
        <v>0</v>
      </c>
      <c r="O4969">
        <v>-4.2797870000000002E-2</v>
      </c>
      <c r="P4969">
        <v>0.99296229999999996</v>
      </c>
      <c r="Q4969">
        <v>0.11797150000000001</v>
      </c>
      <c r="R4969">
        <v>-1.042234E-2</v>
      </c>
      <c r="S4969">
        <v>3.050262</v>
      </c>
      <c r="T4969">
        <v>-0.24180689999999999</v>
      </c>
      <c r="U4969">
        <v>3.8116459999999998E-2</v>
      </c>
      <c r="V4969">
        <v>-3.1821530000000001E-2</v>
      </c>
      <c r="W4969">
        <v>0.1244101</v>
      </c>
      <c r="X4969">
        <v>0.9917205</v>
      </c>
      <c r="Y4969">
        <v>-5.4972439999999997E-2</v>
      </c>
      <c r="Z4969">
        <v>5.5622850000000001E-3</v>
      </c>
      <c r="AA4969">
        <v>0.99847240000000004</v>
      </c>
      <c r="AB4969">
        <v>37</v>
      </c>
      <c r="AC4969">
        <v>13.7800999999999</v>
      </c>
      <c r="AD4969">
        <v>-1.1082826004749999</v>
      </c>
      <c r="AE4969">
        <v>0.18352000000000099</v>
      </c>
      <c r="AF4969">
        <v>-0.76815503473619995</v>
      </c>
      <c r="AG4969">
        <v>-1.1082826004749999</v>
      </c>
      <c r="AH4969">
        <v>13.6712040403618</v>
      </c>
      <c r="AI4969">
        <v>94.627391200444293</v>
      </c>
      <c r="AJ4969">
        <v>93.215942980721493</v>
      </c>
      <c r="AK4969">
        <v>13.7375460833844</v>
      </c>
      <c r="AL4969">
        <v>82.853309031347607</v>
      </c>
      <c r="AM4969">
        <v>91.837830340671303</v>
      </c>
      <c r="AN4969">
        <v>1.0000000164369001</v>
      </c>
    </row>
    <row r="4970" spans="1:40" x14ac:dyDescent="0.25">
      <c r="A4970" t="str">
        <f>"20190312164408370"</f>
        <v>20190312164408370</v>
      </c>
      <c r="B4970" t="str">
        <f>"1552380248360387"</f>
        <v>1552380248360387</v>
      </c>
      <c r="C4970" t="s">
        <v>40</v>
      </c>
      <c r="D4970">
        <v>4.8752269999999998</v>
      </c>
      <c r="E4970">
        <v>0.49536849999999999</v>
      </c>
      <c r="F4970" t="s">
        <v>57</v>
      </c>
      <c r="G4970">
        <v>-229.7706</v>
      </c>
      <c r="H4970" s="1">
        <v>-3.5388010000000001E-6</v>
      </c>
      <c r="I4970">
        <v>-61.918129999999998</v>
      </c>
      <c r="J4970">
        <v>-243.5299</v>
      </c>
      <c r="K4970">
        <v>1.1083130000000001</v>
      </c>
      <c r="L4970">
        <v>-62.094090000000001</v>
      </c>
      <c r="M4970">
        <v>0.99904599999999999</v>
      </c>
      <c r="N4970">
        <v>0</v>
      </c>
      <c r="O4970">
        <v>-4.3197220000000001E-2</v>
      </c>
      <c r="P4970">
        <v>0.99296209999999996</v>
      </c>
      <c r="Q4970">
        <v>0.11797630000000001</v>
      </c>
      <c r="R4970">
        <v>-1.0402079999999999E-2</v>
      </c>
      <c r="S4970">
        <v>3.0503999999999998</v>
      </c>
      <c r="T4970">
        <v>-0.24203379999999999</v>
      </c>
      <c r="U4970">
        <v>3.6407469999999997E-2</v>
      </c>
      <c r="V4970">
        <v>-3.2249460000000001E-2</v>
      </c>
      <c r="W4970">
        <v>0.12441720000000001</v>
      </c>
      <c r="X4970">
        <v>0.99170579999999997</v>
      </c>
      <c r="Y4970">
        <v>-5.481039E-2</v>
      </c>
      <c r="Z4970">
        <v>5.5924479999999999E-3</v>
      </c>
      <c r="AA4970">
        <v>0.99848110000000001</v>
      </c>
      <c r="AB4970">
        <v>37</v>
      </c>
      <c r="AC4970">
        <v>13.7592999999999</v>
      </c>
      <c r="AD4970">
        <v>-1.1083165388009999</v>
      </c>
      <c r="AE4970">
        <v>0.17595999999999601</v>
      </c>
      <c r="AF4970">
        <v>-0.76520733772553995</v>
      </c>
      <c r="AG4970">
        <v>-1.1083165388009999</v>
      </c>
      <c r="AH4970">
        <v>13.650301324389</v>
      </c>
      <c r="AI4970">
        <v>94.634621120572604</v>
      </c>
      <c r="AJ4970">
        <v>93.208523439955798</v>
      </c>
      <c r="AK4970">
        <v>13.716582448500199</v>
      </c>
      <c r="AL4970">
        <v>82.852899147234496</v>
      </c>
      <c r="AM4970">
        <v>91.862555436943893</v>
      </c>
      <c r="AN4970">
        <v>1.00000003053988</v>
      </c>
    </row>
    <row r="4971" spans="1:40" x14ac:dyDescent="0.25">
      <c r="A4971" t="str">
        <f>"20190312164408383"</f>
        <v>20190312164408383</v>
      </c>
      <c r="B4971" t="str">
        <f>"1552380248379907"</f>
        <v>1552380248379907</v>
      </c>
      <c r="C4971" t="s">
        <v>40</v>
      </c>
      <c r="D4971">
        <v>4.8807729999999996</v>
      </c>
      <c r="E4971">
        <v>0.49549870000000001</v>
      </c>
      <c r="F4971" t="s">
        <v>57</v>
      </c>
      <c r="G4971">
        <v>-229.66050000000001</v>
      </c>
      <c r="H4971" s="1">
        <v>-3.5029820000000001E-6</v>
      </c>
      <c r="I4971">
        <v>-61.930500000000002</v>
      </c>
      <c r="J4971">
        <v>-243.29939999999999</v>
      </c>
      <c r="K4971">
        <v>1.108355</v>
      </c>
      <c r="L4971">
        <v>-62.104340000000001</v>
      </c>
      <c r="M4971">
        <v>0.99902789999999997</v>
      </c>
      <c r="N4971">
        <v>0</v>
      </c>
      <c r="O4971">
        <v>-4.3611410000000003E-2</v>
      </c>
      <c r="P4971">
        <v>0.99292530000000001</v>
      </c>
      <c r="Q4971">
        <v>0.1182589</v>
      </c>
      <c r="R4971">
        <v>-1.068651E-2</v>
      </c>
      <c r="S4971">
        <v>3.0505979999999999</v>
      </c>
      <c r="T4971">
        <v>-0.2437761</v>
      </c>
      <c r="U4971">
        <v>3.598022E-2</v>
      </c>
      <c r="V4971">
        <v>-3.2387319999999997E-2</v>
      </c>
      <c r="W4971">
        <v>0.12470059999999999</v>
      </c>
      <c r="X4971">
        <v>0.99166569999999998</v>
      </c>
      <c r="Y4971">
        <v>-5.5077180000000003E-2</v>
      </c>
      <c r="Z4971">
        <v>5.6758829999999996E-3</v>
      </c>
      <c r="AA4971">
        <v>0.99846599999999996</v>
      </c>
      <c r="AB4971">
        <v>37</v>
      </c>
      <c r="AC4971">
        <v>13.6388999999999</v>
      </c>
      <c r="AD4971">
        <v>-1.108358502982</v>
      </c>
      <c r="AE4971">
        <v>0.173839999999998</v>
      </c>
      <c r="AF4971">
        <v>-0.76345754577110503</v>
      </c>
      <c r="AG4971">
        <v>-1.108358502982</v>
      </c>
      <c r="AH4971">
        <v>13.5290114378822</v>
      </c>
      <c r="AI4971">
        <v>94.676066693522003</v>
      </c>
      <c r="AJ4971">
        <v>93.229840644972299</v>
      </c>
      <c r="AK4971">
        <v>13.595788924577899</v>
      </c>
      <c r="AL4971">
        <v>82.836533995516305</v>
      </c>
      <c r="AM4971">
        <v>91.870587429516505</v>
      </c>
      <c r="AN4971">
        <v>1.0000000193468099</v>
      </c>
    </row>
    <row r="4972" spans="1:40" x14ac:dyDescent="0.25">
      <c r="A4972" t="str">
        <f>"20190312164408402"</f>
        <v>20190312164408402</v>
      </c>
      <c r="B4972" t="str">
        <f>"1552380248389668"</f>
        <v>1552380248389668</v>
      </c>
      <c r="C4972" t="s">
        <v>40</v>
      </c>
      <c r="D4972">
        <v>5.1930399999999999</v>
      </c>
      <c r="E4972">
        <v>0.49559039999999999</v>
      </c>
      <c r="F4972" t="s">
        <v>57</v>
      </c>
      <c r="G4972">
        <v>-229.53989999999999</v>
      </c>
      <c r="H4972" s="1">
        <v>-3.4643360000000002E-6</v>
      </c>
      <c r="I4972">
        <v>-61.948270000000001</v>
      </c>
      <c r="J4972">
        <v>-242.99109999999999</v>
      </c>
      <c r="K4972">
        <v>1.1084240000000001</v>
      </c>
      <c r="L4972">
        <v>-62.118189999999998</v>
      </c>
      <c r="M4972">
        <v>0.99900670000000003</v>
      </c>
      <c r="N4972">
        <v>0</v>
      </c>
      <c r="O4972">
        <v>-4.4093199999999999E-2</v>
      </c>
      <c r="P4972">
        <v>0.99285219999999996</v>
      </c>
      <c r="Q4972">
        <v>0.1188776</v>
      </c>
      <c r="R4972">
        <v>-1.06327E-2</v>
      </c>
      <c r="S4972">
        <v>3.0510100000000002</v>
      </c>
      <c r="T4972">
        <v>-0.24576680000000001</v>
      </c>
      <c r="U4972">
        <v>3.4606930000000001E-2</v>
      </c>
      <c r="V4972">
        <v>-3.2935609999999997E-2</v>
      </c>
      <c r="W4972">
        <v>0.1253203</v>
      </c>
      <c r="X4972">
        <v>0.99156949999999999</v>
      </c>
      <c r="Y4972">
        <v>-5.510106E-2</v>
      </c>
      <c r="Z4972">
        <v>5.7610020000000003E-3</v>
      </c>
      <c r="AA4972">
        <v>0.99846420000000002</v>
      </c>
      <c r="AB4972">
        <v>38</v>
      </c>
      <c r="AC4972">
        <v>13.4512</v>
      </c>
      <c r="AD4972">
        <v>-1.1084274643359999</v>
      </c>
      <c r="AE4972">
        <v>0.16992000000001101</v>
      </c>
      <c r="AF4972">
        <v>-0.75772903471324804</v>
      </c>
      <c r="AG4972">
        <v>-1.1084274643359999</v>
      </c>
      <c r="AH4972">
        <v>13.3400553814304</v>
      </c>
      <c r="AI4972">
        <v>94.742196335512006</v>
      </c>
      <c r="AJ4972">
        <v>93.250966671957798</v>
      </c>
      <c r="AK4972">
        <v>13.4074547291189</v>
      </c>
      <c r="AL4972">
        <v>82.800746947069001</v>
      </c>
      <c r="AM4972">
        <v>91.902416239461303</v>
      </c>
      <c r="AN4972">
        <v>1.0000000026642</v>
      </c>
    </row>
    <row r="4973" spans="1:40" x14ac:dyDescent="0.25">
      <c r="A4973" t="str">
        <f>"20190312164408415"</f>
        <v>20190312164408415</v>
      </c>
      <c r="B4973" t="str">
        <f>"1552380248410163"</f>
        <v>1552380248410163</v>
      </c>
      <c r="C4973" t="s">
        <v>40</v>
      </c>
      <c r="D4973">
        <v>5.4454729999999998</v>
      </c>
      <c r="E4973">
        <v>0.49578090000000002</v>
      </c>
      <c r="F4973" t="s">
        <v>57</v>
      </c>
      <c r="G4973">
        <v>-229.11840000000001</v>
      </c>
      <c r="H4973" s="1">
        <v>-3.3226120000000001E-6</v>
      </c>
      <c r="I4973">
        <v>-61.961269999999899</v>
      </c>
      <c r="J4973">
        <v>-242.76130000000001</v>
      </c>
      <c r="K4973">
        <v>1.1084780000000001</v>
      </c>
      <c r="L4973">
        <v>-62.128599999999999</v>
      </c>
      <c r="M4973">
        <v>0.99899349999999998</v>
      </c>
      <c r="N4973">
        <v>0</v>
      </c>
      <c r="O4973">
        <v>-4.4391769999999997E-2</v>
      </c>
      <c r="P4973">
        <v>0.99281419999999998</v>
      </c>
      <c r="Q4973">
        <v>0.1192043</v>
      </c>
      <c r="R4973">
        <v>-1.05109E-2</v>
      </c>
      <c r="S4973">
        <v>3.0511629999999998</v>
      </c>
      <c r="T4973">
        <v>-0.24378659999999999</v>
      </c>
      <c r="U4973">
        <v>3.4515379999999998E-2</v>
      </c>
      <c r="V4973">
        <v>-3.3367790000000001E-2</v>
      </c>
      <c r="W4973">
        <v>0.12564719999999999</v>
      </c>
      <c r="X4973">
        <v>0.99151369999999905</v>
      </c>
      <c r="Y4973">
        <v>-5.5372310000000001E-2</v>
      </c>
      <c r="Z4973">
        <v>5.7490709999999997E-3</v>
      </c>
      <c r="AA4973">
        <v>0.99844920000000004</v>
      </c>
      <c r="AB4973">
        <v>38</v>
      </c>
      <c r="AC4973">
        <v>13.6428999999999</v>
      </c>
      <c r="AD4973">
        <v>-1.1084813226120001</v>
      </c>
      <c r="AE4973">
        <v>0.167330000000006</v>
      </c>
      <c r="AF4973">
        <v>-0.767742543543252</v>
      </c>
      <c r="AG4973">
        <v>-1.1084813226120001</v>
      </c>
      <c r="AH4973">
        <v>13.5326992077363</v>
      </c>
      <c r="AI4973">
        <v>94.675234716269998</v>
      </c>
      <c r="AJ4973">
        <v>93.247046620926696</v>
      </c>
      <c r="AK4973">
        <v>13.599709824213701</v>
      </c>
      <c r="AL4973">
        <v>82.781867875225601</v>
      </c>
      <c r="AM4973">
        <v>91.927469362855305</v>
      </c>
      <c r="AN4973">
        <v>1.0000000227825001</v>
      </c>
    </row>
    <row r="4974" spans="1:40" x14ac:dyDescent="0.25">
      <c r="A4974" t="str">
        <f>"20190312164408427"</f>
        <v>20190312164408427</v>
      </c>
      <c r="B4974" t="str">
        <f>"1552380248419924"</f>
        <v>1552380248419924</v>
      </c>
      <c r="C4974" t="s">
        <v>40</v>
      </c>
      <c r="D4974">
        <v>4.9394179999999999</v>
      </c>
      <c r="E4974">
        <v>0.4958439</v>
      </c>
      <c r="F4974" t="s">
        <v>57</v>
      </c>
      <c r="G4974">
        <v>-228.89599999999999</v>
      </c>
      <c r="H4974" s="1">
        <v>-3.2489400000000002E-6</v>
      </c>
      <c r="I4974">
        <v>-61.976199999999999</v>
      </c>
      <c r="J4974">
        <v>-242.54589999999999</v>
      </c>
      <c r="K4974">
        <v>1.1085290000000001</v>
      </c>
      <c r="L4974">
        <v>-62.138339999999999</v>
      </c>
      <c r="M4974">
        <v>0.99898229999999999</v>
      </c>
      <c r="N4974">
        <v>0</v>
      </c>
      <c r="O4974">
        <v>-4.4641989999999999E-2</v>
      </c>
      <c r="P4974">
        <v>0.99277280000000001</v>
      </c>
      <c r="Q4974">
        <v>0.1195548</v>
      </c>
      <c r="R4974">
        <v>-1.04384E-2</v>
      </c>
      <c r="S4974">
        <v>3.051361</v>
      </c>
      <c r="T4974">
        <v>-0.2439461</v>
      </c>
      <c r="U4974">
        <v>3.3538819999999997E-2</v>
      </c>
      <c r="V4974">
        <v>-3.3701479999999999E-2</v>
      </c>
      <c r="W4974">
        <v>0.1259982</v>
      </c>
      <c r="X4974">
        <v>0.99145779999999994</v>
      </c>
      <c r="Y4974">
        <v>-5.5301219999999998E-2</v>
      </c>
      <c r="Z4974">
        <v>5.7695740000000004E-3</v>
      </c>
      <c r="AA4974">
        <v>0.99845300000000003</v>
      </c>
      <c r="AB4974">
        <v>38</v>
      </c>
      <c r="AC4974">
        <v>13.649900000000001</v>
      </c>
      <c r="AD4974">
        <v>-1.10853224894</v>
      </c>
      <c r="AE4974">
        <v>0.16214000000000001</v>
      </c>
      <c r="AF4974">
        <v>-0.76629639999525501</v>
      </c>
      <c r="AG4974">
        <v>-1.10853224894</v>
      </c>
      <c r="AH4974">
        <v>13.5397658859474</v>
      </c>
      <c r="AI4974">
        <v>94.673055001513703</v>
      </c>
      <c r="AJ4974">
        <v>93.239255522966801</v>
      </c>
      <c r="AK4974">
        <v>13.6066643291385</v>
      </c>
      <c r="AL4974">
        <v>82.761595440586007</v>
      </c>
      <c r="AM4974">
        <v>91.946839672850103</v>
      </c>
      <c r="AN4974">
        <v>0.999999952669134</v>
      </c>
    </row>
    <row r="4975" spans="1:40" x14ac:dyDescent="0.25">
      <c r="A4975" t="str">
        <f>"20190312164408446"</f>
        <v>20190312164408446</v>
      </c>
      <c r="B4975" t="str">
        <f>"1552380248440419"</f>
        <v>1552380248440419</v>
      </c>
      <c r="C4975" t="s">
        <v>40</v>
      </c>
      <c r="D4975">
        <v>5.0690150000000003</v>
      </c>
      <c r="E4975">
        <v>0.4959616</v>
      </c>
      <c r="F4975" t="s">
        <v>57</v>
      </c>
      <c r="G4975">
        <v>-228.68950000000001</v>
      </c>
      <c r="H4975" s="1">
        <v>-3.180058E-6</v>
      </c>
      <c r="I4975">
        <v>-61.986739999999998</v>
      </c>
      <c r="J4975">
        <v>-242.24760000000001</v>
      </c>
      <c r="K4975">
        <v>1.1085969999999901</v>
      </c>
      <c r="L4975">
        <v>-62.151890000000002</v>
      </c>
      <c r="M4975">
        <v>0.99896929999999995</v>
      </c>
      <c r="N4975">
        <v>0</v>
      </c>
      <c r="O4975">
        <v>-4.493076E-2</v>
      </c>
      <c r="P4975">
        <v>0.99272780000000005</v>
      </c>
      <c r="Q4975">
        <v>0.1199717</v>
      </c>
      <c r="R4975">
        <v>-9.9167040000000001E-3</v>
      </c>
      <c r="S4975">
        <v>3.0516200000000002</v>
      </c>
      <c r="T4975">
        <v>-0.2441334</v>
      </c>
      <c r="U4975">
        <v>3.3386230000000003E-2</v>
      </c>
      <c r="V4975">
        <v>-3.452885E-2</v>
      </c>
      <c r="W4975">
        <v>0.12641549999999999</v>
      </c>
      <c r="X4975">
        <v>0.99137629999999999</v>
      </c>
      <c r="Y4975">
        <v>-5.5536879999999997E-2</v>
      </c>
      <c r="Z4975">
        <v>5.8059629999999999E-3</v>
      </c>
      <c r="AA4975">
        <v>0.99843970000000004</v>
      </c>
      <c r="AB4975">
        <v>38</v>
      </c>
      <c r="AC4975">
        <v>13.5580999999999</v>
      </c>
      <c r="AD4975">
        <v>-1.1086001800580001</v>
      </c>
      <c r="AE4975">
        <v>0.16514999999999699</v>
      </c>
      <c r="AF4975">
        <v>-0.76903079659394602</v>
      </c>
      <c r="AG4975">
        <v>-1.1086001800580001</v>
      </c>
      <c r="AH4975">
        <v>13.4470956678518</v>
      </c>
      <c r="AI4975">
        <v>94.705244524352494</v>
      </c>
      <c r="AJ4975">
        <v>93.273143668105604</v>
      </c>
      <c r="AK4975">
        <v>13.5146137431187</v>
      </c>
      <c r="AL4975">
        <v>82.737493855619803</v>
      </c>
      <c r="AM4975">
        <v>91.994760207395203</v>
      </c>
      <c r="AN4975">
        <v>1.00000004416213</v>
      </c>
    </row>
    <row r="4976" spans="1:40" x14ac:dyDescent="0.25">
      <c r="A4976" t="str">
        <f>"20190312164408457"</f>
        <v>20190312164408457</v>
      </c>
      <c r="B4976" t="str">
        <f>"1552380248450179"</f>
        <v>1552380248450179</v>
      </c>
      <c r="C4976" t="s">
        <v>40</v>
      </c>
      <c r="D4976">
        <v>4.9987000000000004</v>
      </c>
      <c r="E4976">
        <v>0.49601669999999998</v>
      </c>
      <c r="F4976" t="s">
        <v>57</v>
      </c>
      <c r="G4976">
        <v>-228.3338</v>
      </c>
      <c r="H4976" s="1">
        <v>-3.0522140000000001E-6</v>
      </c>
      <c r="I4976">
        <v>-61.998130000000003</v>
      </c>
      <c r="J4976">
        <v>-242.0341</v>
      </c>
      <c r="K4976">
        <v>1.108649</v>
      </c>
      <c r="L4976">
        <v>-62.1616199999999</v>
      </c>
      <c r="M4976">
        <v>0.99896209999999996</v>
      </c>
      <c r="N4976">
        <v>0</v>
      </c>
      <c r="O4976">
        <v>-4.5092159999999999E-2</v>
      </c>
      <c r="P4976">
        <v>0.99267240000000001</v>
      </c>
      <c r="Q4976">
        <v>0.120462</v>
      </c>
      <c r="R4976">
        <v>-9.5318160000000002E-3</v>
      </c>
      <c r="S4976">
        <v>3.0517120000000002</v>
      </c>
      <c r="T4976">
        <v>-0.24314859999999999</v>
      </c>
      <c r="U4976">
        <v>3.3721920000000002E-2</v>
      </c>
      <c r="V4976">
        <v>-3.5086819999999998E-2</v>
      </c>
      <c r="W4976">
        <v>0.12690599999999999</v>
      </c>
      <c r="X4976">
        <v>0.99129400000000001</v>
      </c>
      <c r="Y4976">
        <v>-5.5808900000000002E-2</v>
      </c>
      <c r="Z4976">
        <v>5.8060909999999898E-3</v>
      </c>
      <c r="AA4976">
        <v>0.9984246</v>
      </c>
      <c r="AB4976">
        <v>38</v>
      </c>
      <c r="AC4976">
        <v>13.7003</v>
      </c>
      <c r="AD4976">
        <v>-1.108652052214</v>
      </c>
      <c r="AE4976">
        <v>0.16348999999998801</v>
      </c>
      <c r="AF4976">
        <v>-0.77603162483846599</v>
      </c>
      <c r="AG4976">
        <v>-1.108652052214</v>
      </c>
      <c r="AH4976">
        <v>13.590012457192101</v>
      </c>
      <c r="AI4976">
        <v>94.656221089750204</v>
      </c>
      <c r="AJ4976">
        <v>93.268216509814096</v>
      </c>
      <c r="AK4976">
        <v>13.657224207073099</v>
      </c>
      <c r="AL4976">
        <v>82.709161816433706</v>
      </c>
      <c r="AM4976">
        <v>92.027136064619398</v>
      </c>
      <c r="AN4976">
        <v>1.00000000610485</v>
      </c>
    </row>
    <row r="4977" spans="1:40" x14ac:dyDescent="0.25">
      <c r="A4977" t="str">
        <f>"20190312164408467"</f>
        <v>20190312164408467</v>
      </c>
      <c r="B4977" t="str">
        <f>"1552380248459939"</f>
        <v>1552380248459939</v>
      </c>
      <c r="C4977" t="s">
        <v>40</v>
      </c>
      <c r="D4977">
        <v>4.9428199999999904</v>
      </c>
      <c r="E4977">
        <v>0.49605529999999998</v>
      </c>
      <c r="F4977" t="s">
        <v>57</v>
      </c>
      <c r="G4977">
        <v>-228.0283</v>
      </c>
      <c r="H4977" s="1">
        <v>-2.9225130000000001E-6</v>
      </c>
      <c r="I4977">
        <v>-62.004199999999997</v>
      </c>
      <c r="J4977">
        <v>-241.86920000000001</v>
      </c>
      <c r="K4977">
        <v>1.1086849999999999</v>
      </c>
      <c r="L4977">
        <v>-62.169159999999998</v>
      </c>
      <c r="M4977">
        <v>0.99895769999999995</v>
      </c>
      <c r="N4977">
        <v>0</v>
      </c>
      <c r="O4977">
        <v>-4.5189189999999997E-2</v>
      </c>
      <c r="P4977">
        <v>0.99263970000000001</v>
      </c>
      <c r="Q4977">
        <v>0.1207816</v>
      </c>
      <c r="R4977">
        <v>-8.8595099999999993E-3</v>
      </c>
      <c r="S4977">
        <v>3.0517880000000002</v>
      </c>
      <c r="T4977">
        <v>-0.2415689</v>
      </c>
      <c r="U4977">
        <v>3.4301760000000001E-2</v>
      </c>
      <c r="V4977">
        <v>-3.5865250000000001E-2</v>
      </c>
      <c r="W4977">
        <v>0.12722610000000001</v>
      </c>
      <c r="X4977">
        <v>0.99122509999999997</v>
      </c>
      <c r="Y4977">
        <v>-5.6098219999999997E-2</v>
      </c>
      <c r="Z4977">
        <v>5.7874409999999999E-3</v>
      </c>
      <c r="AA4977">
        <v>0.99840850000000003</v>
      </c>
      <c r="AB4977">
        <v>38</v>
      </c>
      <c r="AC4977">
        <v>13.8409</v>
      </c>
      <c r="AD4977">
        <v>-1.108687922513</v>
      </c>
      <c r="AE4977">
        <v>0.16496</v>
      </c>
      <c r="AF4977">
        <v>-0.78522590969327499</v>
      </c>
      <c r="AG4977">
        <v>-1.108687922513</v>
      </c>
      <c r="AH4977">
        <v>13.731213485051301</v>
      </c>
      <c r="AI4977">
        <v>94.608674410919406</v>
      </c>
      <c r="AJ4977">
        <v>93.272921561294893</v>
      </c>
      <c r="AK4977">
        <v>13.798260484960901</v>
      </c>
      <c r="AL4977">
        <v>82.690671498971597</v>
      </c>
      <c r="AM4977">
        <v>92.072214873791197</v>
      </c>
      <c r="AN4977">
        <v>0.99999999777439097</v>
      </c>
    </row>
    <row r="4978" spans="1:40" x14ac:dyDescent="0.25">
      <c r="A4978" t="str">
        <f>"20190312164408478"</f>
        <v>20190312164408478</v>
      </c>
      <c r="B4978" t="str">
        <f>"1552380248469699"</f>
        <v>1552380248469699</v>
      </c>
      <c r="C4978" t="s">
        <v>40</v>
      </c>
      <c r="D4978">
        <v>5.0836880000000004</v>
      </c>
      <c r="E4978">
        <v>0.49608980000000003</v>
      </c>
      <c r="F4978" t="s">
        <v>57</v>
      </c>
      <c r="G4978">
        <v>-227.89920000000001</v>
      </c>
      <c r="H4978" s="1">
        <v>-2.8669629999999999E-6</v>
      </c>
      <c r="I4978">
        <v>-62.003489999999999</v>
      </c>
      <c r="J4978">
        <v>-241.679</v>
      </c>
      <c r="K4978">
        <v>1.1087309999999999</v>
      </c>
      <c r="L4978">
        <v>-62.17783</v>
      </c>
      <c r="M4978">
        <v>0.99895319999999999</v>
      </c>
      <c r="N4978">
        <v>0</v>
      </c>
      <c r="O4978">
        <v>-4.5286659999999999E-2</v>
      </c>
      <c r="P4978">
        <v>0.99258550000000001</v>
      </c>
      <c r="Q4978">
        <v>0.12123680000000001</v>
      </c>
      <c r="R4978">
        <v>-8.7303109999999993E-3</v>
      </c>
      <c r="S4978">
        <v>3.0520480000000001</v>
      </c>
      <c r="T4978">
        <v>-0.2422173</v>
      </c>
      <c r="U4978">
        <v>3.619385E-2</v>
      </c>
      <c r="V4978">
        <v>-3.6102759999999998E-2</v>
      </c>
      <c r="W4978">
        <v>0.12768109999999999</v>
      </c>
      <c r="X4978">
        <v>0.99115790000000004</v>
      </c>
      <c r="Y4978">
        <v>-5.6809350000000002E-2</v>
      </c>
      <c r="Z4978">
        <v>5.8383169999999896E-3</v>
      </c>
      <c r="AA4978">
        <v>0.99836800000000003</v>
      </c>
      <c r="AB4978">
        <v>38</v>
      </c>
      <c r="AC4978">
        <v>13.7797999999999</v>
      </c>
      <c r="AD4978">
        <v>-1.10873386696299</v>
      </c>
      <c r="AE4978">
        <v>0.17434000000000699</v>
      </c>
      <c r="AF4978">
        <v>-0.79308168738514495</v>
      </c>
      <c r="AG4978">
        <v>-1.10873386696299</v>
      </c>
      <c r="AH4978">
        <v>13.669286346402099</v>
      </c>
      <c r="AI4978">
        <v>94.629433298326603</v>
      </c>
      <c r="AJ4978">
        <v>93.320535367444194</v>
      </c>
      <c r="AK4978">
        <v>13.7370906152122</v>
      </c>
      <c r="AL4978">
        <v>82.664387044036005</v>
      </c>
      <c r="AM4978">
        <v>92.086066893795405</v>
      </c>
      <c r="AN4978">
        <v>0.99999992765461598</v>
      </c>
    </row>
    <row r="4979" spans="1:40" x14ac:dyDescent="0.25">
      <c r="A4979" t="str">
        <f>"20190312164408499"</f>
        <v>20190312164408499</v>
      </c>
      <c r="B4979" t="str">
        <f>"1552380248490195"</f>
        <v>1552380248490195</v>
      </c>
      <c r="C4979" t="s">
        <v>40</v>
      </c>
      <c r="D4979">
        <v>5.3242659999999997</v>
      </c>
      <c r="E4979">
        <v>0.49615009999999998</v>
      </c>
      <c r="F4979" t="s">
        <v>57</v>
      </c>
      <c r="G4979">
        <v>-227.63399999999999</v>
      </c>
      <c r="H4979" s="1">
        <v>-2.7549690000000001E-6</v>
      </c>
      <c r="I4979">
        <v>-62.011409999999998</v>
      </c>
      <c r="J4979">
        <v>-241.31970000000001</v>
      </c>
      <c r="K4979">
        <v>1.1088070000000001</v>
      </c>
      <c r="L4979">
        <v>-62.194209999999998</v>
      </c>
      <c r="M4979">
        <v>0.99894799999999995</v>
      </c>
      <c r="N4979">
        <v>0</v>
      </c>
      <c r="O4979">
        <v>-4.5400379999999997E-2</v>
      </c>
      <c r="P4979">
        <v>0.99248049999999999</v>
      </c>
      <c r="Q4979">
        <v>0.1221469</v>
      </c>
      <c r="R4979">
        <v>-7.9370269999999993E-3</v>
      </c>
      <c r="S4979">
        <v>3.052155</v>
      </c>
      <c r="T4979">
        <v>-0.24094209999999999</v>
      </c>
      <c r="U4979">
        <v>3.616333E-2</v>
      </c>
      <c r="V4979">
        <v>-3.7027520000000001E-2</v>
      </c>
      <c r="W4979">
        <v>0.12859100000000001</v>
      </c>
      <c r="X4979">
        <v>0.99100619999999995</v>
      </c>
      <c r="Y4979">
        <v>-5.6915319999999998E-2</v>
      </c>
      <c r="Z4979">
        <v>5.8206079999999997E-3</v>
      </c>
      <c r="AA4979">
        <v>0.99836210000000003</v>
      </c>
      <c r="AB4979">
        <v>38</v>
      </c>
      <c r="AC4979">
        <v>13.685699999999899</v>
      </c>
      <c r="AD4979">
        <v>-1.1088097549689999</v>
      </c>
      <c r="AE4979">
        <v>0.18279999999999999</v>
      </c>
      <c r="AF4979">
        <v>-0.79871844607684495</v>
      </c>
      <c r="AG4979">
        <v>-1.1088097549689999</v>
      </c>
      <c r="AH4979">
        <v>13.5742008146175</v>
      </c>
      <c r="AI4979">
        <v>94.661815043741896</v>
      </c>
      <c r="AJ4979">
        <v>93.367453557619896</v>
      </c>
      <c r="AK4979">
        <v>13.6428126859669</v>
      </c>
      <c r="AL4979">
        <v>82.611820709207507</v>
      </c>
      <c r="AM4979">
        <v>92.139778952417799</v>
      </c>
      <c r="AN4979">
        <v>0.99999998547839497</v>
      </c>
    </row>
    <row r="4980" spans="1:40" x14ac:dyDescent="0.25">
      <c r="A4980" t="str">
        <f>"20190312164408524"</f>
        <v>20190312164408524</v>
      </c>
      <c r="B4980" t="str">
        <f>"1552380248520450"</f>
        <v>1552380248520450</v>
      </c>
      <c r="C4980" t="s">
        <v>40</v>
      </c>
      <c r="D4980">
        <v>4.9975300000000002</v>
      </c>
      <c r="E4980">
        <v>0.49634240000000002</v>
      </c>
      <c r="F4980" t="s">
        <v>57</v>
      </c>
      <c r="G4980">
        <v>-227.18109999999999</v>
      </c>
      <c r="H4980" s="1">
        <v>-2.5618269999999999E-6</v>
      </c>
      <c r="I4980">
        <v>-62.016680000000001</v>
      </c>
      <c r="J4980">
        <v>-240.9238</v>
      </c>
      <c r="K4980">
        <v>1.108895</v>
      </c>
      <c r="L4980">
        <v>-62.212249999999997</v>
      </c>
      <c r="M4980">
        <v>0.99894689999999997</v>
      </c>
      <c r="N4980">
        <v>0</v>
      </c>
      <c r="O4980">
        <v>-4.5424069999999997E-2</v>
      </c>
      <c r="P4980">
        <v>0.99239880000000003</v>
      </c>
      <c r="Q4980">
        <v>0.1228527</v>
      </c>
      <c r="R4980">
        <v>-7.2054850000000002E-3</v>
      </c>
      <c r="S4980">
        <v>3.052521</v>
      </c>
      <c r="T4980">
        <v>-0.23939199999999999</v>
      </c>
      <c r="U4980">
        <v>3.8330080000000002E-2</v>
      </c>
      <c r="V4980">
        <v>-3.7805610000000003E-2</v>
      </c>
      <c r="W4980">
        <v>0.12929689999999999</v>
      </c>
      <c r="X4980">
        <v>0.99088500000000002</v>
      </c>
      <c r="Y4980">
        <v>-5.7647940000000002E-2</v>
      </c>
      <c r="Z4980">
        <v>5.8131099999999998E-3</v>
      </c>
      <c r="AA4980">
        <v>0.99831999999999999</v>
      </c>
      <c r="AB4980">
        <v>38</v>
      </c>
      <c r="AC4980">
        <v>13.742699999999999</v>
      </c>
      <c r="AD4980">
        <v>-1.1088975618269901</v>
      </c>
      <c r="AE4980">
        <v>0.195569999999989</v>
      </c>
      <c r="AF4980">
        <v>-0.81432960286678702</v>
      </c>
      <c r="AG4980">
        <v>-1.1088975618269901</v>
      </c>
      <c r="AH4980">
        <v>13.6308993590448</v>
      </c>
      <c r="AI4980">
        <v>94.6426289729107</v>
      </c>
      <c r="AJ4980">
        <v>93.418869073808196</v>
      </c>
      <c r="AK4980">
        <v>13.700153424</v>
      </c>
      <c r="AL4980">
        <v>82.571035376143996</v>
      </c>
      <c r="AM4980">
        <v>92.184967742344796</v>
      </c>
      <c r="AN4980">
        <v>1.00000001786104</v>
      </c>
    </row>
    <row r="4981" spans="1:40" x14ac:dyDescent="0.25">
      <c r="A4981" t="str">
        <f>"20190312164408534"</f>
        <v>20190312164408534</v>
      </c>
      <c r="B4981" t="str">
        <f>"1552380248530211"</f>
        <v>1552380248530211</v>
      </c>
      <c r="C4981" t="s">
        <v>40</v>
      </c>
      <c r="D4981">
        <v>5.176145</v>
      </c>
      <c r="E4981">
        <v>0.49640119999999999</v>
      </c>
      <c r="F4981" t="s">
        <v>57</v>
      </c>
      <c r="G4981">
        <v>-226.5855</v>
      </c>
      <c r="H4981" s="1">
        <v>-2.3087270000000001E-6</v>
      </c>
      <c r="I4981">
        <v>-62.027470000000001</v>
      </c>
      <c r="J4981">
        <v>-240.7379</v>
      </c>
      <c r="K4981">
        <v>1.108938</v>
      </c>
      <c r="L4981">
        <v>-62.220730000000003</v>
      </c>
      <c r="M4981">
        <v>0.99894819999999995</v>
      </c>
      <c r="N4981">
        <v>0</v>
      </c>
      <c r="O4981">
        <v>-4.5395339999999999E-2</v>
      </c>
      <c r="P4981">
        <v>0.99236970000000002</v>
      </c>
      <c r="Q4981">
        <v>0.1231191</v>
      </c>
      <c r="R4981">
        <v>-6.6675329999999998E-3</v>
      </c>
      <c r="S4981">
        <v>3.0524900000000001</v>
      </c>
      <c r="T4981">
        <v>-0.23607439999999999</v>
      </c>
      <c r="U4981">
        <v>3.9337160000000003E-2</v>
      </c>
      <c r="V4981">
        <v>-3.8326829999999999E-2</v>
      </c>
      <c r="W4981">
        <v>0.12956319999999999</v>
      </c>
      <c r="X4981">
        <v>0.99083019999999999</v>
      </c>
      <c r="Y4981">
        <v>-5.7956519999999997E-2</v>
      </c>
      <c r="Z4981">
        <v>5.74254E-3</v>
      </c>
      <c r="AA4981">
        <v>0.99830260000000004</v>
      </c>
      <c r="AB4981">
        <v>38</v>
      </c>
      <c r="AC4981">
        <v>14.1524</v>
      </c>
      <c r="AD4981">
        <v>-1.108940308727</v>
      </c>
      <c r="AE4981">
        <v>0.19326000000000901</v>
      </c>
      <c r="AF4981">
        <v>-0.83042944093184301</v>
      </c>
      <c r="AG4981">
        <v>-1.108940308727</v>
      </c>
      <c r="AH4981">
        <v>14.0428319106512</v>
      </c>
      <c r="AI4981">
        <v>94.507345704196496</v>
      </c>
      <c r="AJ4981">
        <v>93.384271487171205</v>
      </c>
      <c r="AK4981">
        <v>14.1110059788624</v>
      </c>
      <c r="AL4981">
        <v>82.555648149034099</v>
      </c>
      <c r="AM4981">
        <v>92.215184132961994</v>
      </c>
      <c r="AN4981">
        <v>1.0000000269620599</v>
      </c>
    </row>
    <row r="4982" spans="1:40" x14ac:dyDescent="0.25">
      <c r="A4982" t="str">
        <f>"20190312164408546"</f>
        <v>20190312164408546</v>
      </c>
      <c r="B4982" t="str">
        <f>"1552380248539971"</f>
        <v>1552380248539971</v>
      </c>
      <c r="C4982" t="s">
        <v>40</v>
      </c>
      <c r="D4982">
        <v>5.215948</v>
      </c>
      <c r="E4982">
        <v>0.4964594</v>
      </c>
      <c r="F4982" t="s">
        <v>57</v>
      </c>
      <c r="G4982">
        <v>-226.32050000000001</v>
      </c>
      <c r="H4982" s="1">
        <v>-2.1954970000000001E-6</v>
      </c>
      <c r="I4982">
        <v>-62.02946</v>
      </c>
      <c r="J4982">
        <v>-240.5308</v>
      </c>
      <c r="K4982">
        <v>1.108984</v>
      </c>
      <c r="L4982">
        <v>-62.230130000000003</v>
      </c>
      <c r="M4982">
        <v>0.99895020000000001</v>
      </c>
      <c r="N4982">
        <v>0</v>
      </c>
      <c r="O4982">
        <v>-4.5346560000000001E-2</v>
      </c>
      <c r="P4982">
        <v>0.99235830000000003</v>
      </c>
      <c r="Q4982">
        <v>0.1232362</v>
      </c>
      <c r="R4982">
        <v>-6.14446E-3</v>
      </c>
      <c r="S4982">
        <v>3.0524749999999998</v>
      </c>
      <c r="T4982">
        <v>-0.23478669999999999</v>
      </c>
      <c r="U4982">
        <v>4.0496829999999998E-2</v>
      </c>
      <c r="V4982">
        <v>-3.8814759999999997E-2</v>
      </c>
      <c r="W4982">
        <v>0.129680399999999</v>
      </c>
      <c r="X4982">
        <v>0.99079589999999995</v>
      </c>
      <c r="Y4982">
        <v>-5.8289559999999997E-2</v>
      </c>
      <c r="Z4982">
        <v>5.7203769999999996E-3</v>
      </c>
      <c r="AA4982">
        <v>0.99828329999999998</v>
      </c>
      <c r="AB4982">
        <v>38</v>
      </c>
      <c r="AC4982">
        <v>14.210299999999901</v>
      </c>
      <c r="AD4982">
        <v>-1.1089861954969999</v>
      </c>
      <c r="AE4982">
        <v>0.20067000000000201</v>
      </c>
      <c r="AF4982">
        <v>-0.839751974350049</v>
      </c>
      <c r="AG4982">
        <v>-1.1089861954969999</v>
      </c>
      <c r="AH4982">
        <v>14.1007196884885</v>
      </c>
      <c r="AI4982">
        <v>94.488991828909107</v>
      </c>
      <c r="AJ4982">
        <v>93.408158175792394</v>
      </c>
      <c r="AK4982">
        <v>14.169168271057901</v>
      </c>
      <c r="AL4982">
        <v>82.548876149839202</v>
      </c>
      <c r="AM4982">
        <v>92.243434079541899</v>
      </c>
      <c r="AN4982">
        <v>1.0000000535974101</v>
      </c>
    </row>
    <row r="4983" spans="1:40" x14ac:dyDescent="0.25">
      <c r="A4983" t="str">
        <f>"20190312164408556"</f>
        <v>20190312164408556</v>
      </c>
      <c r="B4983" t="str">
        <f>"1552380248549731"</f>
        <v>1552380248549731</v>
      </c>
      <c r="C4983" t="s">
        <v>40</v>
      </c>
      <c r="D4983">
        <v>5.5170949999999896</v>
      </c>
      <c r="E4983">
        <v>0.49651669999999998</v>
      </c>
      <c r="F4983" t="s">
        <v>57</v>
      </c>
      <c r="G4983">
        <v>-226.0796</v>
      </c>
      <c r="H4983" s="1">
        <v>-2.092888E-6</v>
      </c>
      <c r="I4983">
        <v>-62.032919999999997</v>
      </c>
      <c r="J4983">
        <v>-240.3466</v>
      </c>
      <c r="K4983">
        <v>1.109024</v>
      </c>
      <c r="L4983">
        <v>-62.238430000000001</v>
      </c>
      <c r="M4983">
        <v>0.99895299999999998</v>
      </c>
      <c r="N4983">
        <v>0</v>
      </c>
      <c r="O4983">
        <v>-4.5284119999999997E-2</v>
      </c>
      <c r="P4983">
        <v>0.99236559999999996</v>
      </c>
      <c r="Q4983">
        <v>0.12320109999999999</v>
      </c>
      <c r="R4983">
        <v>-5.6570880000000002E-3</v>
      </c>
      <c r="S4983">
        <v>3.0524290000000001</v>
      </c>
      <c r="T4983">
        <v>-0.2342426</v>
      </c>
      <c r="U4983">
        <v>4.1656489999999997E-2</v>
      </c>
      <c r="V4983">
        <v>-3.9253830000000003E-2</v>
      </c>
      <c r="W4983">
        <v>0.12964539999999999</v>
      </c>
      <c r="X4983">
        <v>0.99078319999999998</v>
      </c>
      <c r="Y4983">
        <v>-5.860721E-2</v>
      </c>
      <c r="Z4983">
        <v>5.7146230000000003E-3</v>
      </c>
      <c r="AA4983">
        <v>0.99826479999999995</v>
      </c>
      <c r="AB4983">
        <v>38</v>
      </c>
      <c r="AC4983">
        <v>14.2669999999999</v>
      </c>
      <c r="AD4983">
        <v>-1.109026092888</v>
      </c>
      <c r="AE4983">
        <v>0.20551000000000999</v>
      </c>
      <c r="AF4983">
        <v>-0.84626882090033795</v>
      </c>
      <c r="AG4983">
        <v>-1.109026092888</v>
      </c>
      <c r="AH4983">
        <v>14.1575275968244</v>
      </c>
      <c r="AI4983">
        <v>94.471154266054398</v>
      </c>
      <c r="AJ4983">
        <v>93.420795402863106</v>
      </c>
      <c r="AK4983">
        <v>14.2260921354664</v>
      </c>
      <c r="AL4983">
        <v>82.550898706598005</v>
      </c>
      <c r="AM4983">
        <v>92.268814337447793</v>
      </c>
      <c r="AN4983">
        <v>1.00000007115653</v>
      </c>
    </row>
    <row r="4984" spans="1:40" x14ac:dyDescent="0.25">
      <c r="A4984" t="str">
        <f>"20190312164408568"</f>
        <v>20190312164408568</v>
      </c>
      <c r="B4984" t="str">
        <f>"1552380248559492"</f>
        <v>1552380248559492</v>
      </c>
      <c r="C4984" t="s">
        <v>40</v>
      </c>
      <c r="D4984">
        <v>4.9977130000000001</v>
      </c>
      <c r="E4984">
        <v>0.4965715</v>
      </c>
      <c r="F4984" t="s">
        <v>57</v>
      </c>
      <c r="G4984">
        <v>-225.87370000000001</v>
      </c>
      <c r="H4984" s="1">
        <v>-2.0053099999999999E-6</v>
      </c>
      <c r="I4984">
        <v>-62.036290000000001</v>
      </c>
      <c r="J4984">
        <v>-240.15309999999999</v>
      </c>
      <c r="K4984">
        <v>1.1090709999999999</v>
      </c>
      <c r="L4984">
        <v>-62.247160000000001</v>
      </c>
      <c r="M4984">
        <v>0.99895719999999999</v>
      </c>
      <c r="N4984">
        <v>0</v>
      </c>
      <c r="O4984">
        <v>-4.519401E-2</v>
      </c>
      <c r="P4984">
        <v>0.9923516</v>
      </c>
      <c r="Q4984">
        <v>0.1233416</v>
      </c>
      <c r="R4984">
        <v>-5.0375960000000001E-3</v>
      </c>
      <c r="S4984">
        <v>3.0523530000000001</v>
      </c>
      <c r="T4984">
        <v>-0.23389360000000001</v>
      </c>
      <c r="U4984">
        <v>4.263306E-2</v>
      </c>
      <c r="V4984">
        <v>-3.979593E-2</v>
      </c>
      <c r="W4984">
        <v>0.12978589999999901</v>
      </c>
      <c r="X4984">
        <v>0.99074309999999999</v>
      </c>
      <c r="Y4984">
        <v>-5.8837300000000002E-2</v>
      </c>
      <c r="Z4984">
        <v>5.7081830000000004E-3</v>
      </c>
      <c r="AA4984">
        <v>0.99825129999999995</v>
      </c>
      <c r="AB4984">
        <v>38</v>
      </c>
      <c r="AC4984">
        <v>14.2793999999999</v>
      </c>
      <c r="AD4984">
        <v>-1.10907300531</v>
      </c>
      <c r="AE4984">
        <v>0.210869999999999</v>
      </c>
      <c r="AF4984">
        <v>-0.85087958593127599</v>
      </c>
      <c r="AG4984">
        <v>-1.10907300531</v>
      </c>
      <c r="AH4984">
        <v>14.169817463647499</v>
      </c>
      <c r="AI4984">
        <v>94.467407561820906</v>
      </c>
      <c r="AJ4984">
        <v>93.4364125353231</v>
      </c>
      <c r="AK4984">
        <v>14.2386012639568</v>
      </c>
      <c r="AL4984">
        <v>82.542779471748005</v>
      </c>
      <c r="AM4984">
        <v>92.300206502345503</v>
      </c>
      <c r="AN4984">
        <v>0.99999999304049203</v>
      </c>
    </row>
    <row r="4985" spans="1:40" x14ac:dyDescent="0.25">
      <c r="A4985" t="str">
        <f>"20190312164408579"</f>
        <v>20190312164408579</v>
      </c>
      <c r="B4985" t="str">
        <f>"1552380248570227"</f>
        <v>1552380248570227</v>
      </c>
      <c r="C4985" t="s">
        <v>40</v>
      </c>
      <c r="D4985">
        <v>5.1556329999999999</v>
      </c>
      <c r="E4985">
        <v>0.49661830000000001</v>
      </c>
      <c r="F4985" t="s">
        <v>57</v>
      </c>
      <c r="G4985">
        <v>-225.63149999999999</v>
      </c>
      <c r="H4985" s="1">
        <v>-1.901479E-6</v>
      </c>
      <c r="I4985">
        <v>-62.036639999999998</v>
      </c>
      <c r="J4985">
        <v>-239.95500000000001</v>
      </c>
      <c r="K4985">
        <v>1.109116</v>
      </c>
      <c r="L4985">
        <v>-62.256100000000004</v>
      </c>
      <c r="M4985">
        <v>0.99896189999999996</v>
      </c>
      <c r="N4985">
        <v>0</v>
      </c>
      <c r="O4985">
        <v>-4.5087090000000003E-2</v>
      </c>
      <c r="P4985">
        <v>0.99237200000000003</v>
      </c>
      <c r="Q4985">
        <v>0.1231912</v>
      </c>
      <c r="R4985">
        <v>-4.6778829999999999E-3</v>
      </c>
      <c r="S4985">
        <v>3.0523220000000002</v>
      </c>
      <c r="T4985">
        <v>-0.23311689999999999</v>
      </c>
      <c r="U4985">
        <v>4.4250490000000003E-2</v>
      </c>
      <c r="V4985">
        <v>-4.0064589999999997E-2</v>
      </c>
      <c r="W4985">
        <v>0.12963549999999999</v>
      </c>
      <c r="X4985">
        <v>0.99075199999999997</v>
      </c>
      <c r="Y4985">
        <v>-5.9260550000000002E-2</v>
      </c>
      <c r="Z4985">
        <v>5.697316E-3</v>
      </c>
      <c r="AA4985">
        <v>0.99822630000000001</v>
      </c>
      <c r="AB4985">
        <v>38</v>
      </c>
      <c r="AC4985">
        <v>14.323499999999999</v>
      </c>
      <c r="AD4985">
        <v>-1.109117901479</v>
      </c>
      <c r="AE4985">
        <v>0.21945999999999799</v>
      </c>
      <c r="AF4985">
        <v>-0.85990069712755202</v>
      </c>
      <c r="AG4985">
        <v>-1.109117901479</v>
      </c>
      <c r="AH4985">
        <v>14.213832965557</v>
      </c>
      <c r="AI4985">
        <v>94.453689257495</v>
      </c>
      <c r="AJ4985">
        <v>93.462029255421598</v>
      </c>
      <c r="AK4985">
        <v>14.2829485506689</v>
      </c>
      <c r="AL4985">
        <v>82.551470453030106</v>
      </c>
      <c r="AM4985">
        <v>92.315697433755204</v>
      </c>
      <c r="AN4985">
        <v>1.00000002986805</v>
      </c>
    </row>
    <row r="4986" spans="1:40" x14ac:dyDescent="0.25">
      <c r="A4986" t="str">
        <f>"20190312164408593"</f>
        <v>20190312164408593</v>
      </c>
      <c r="B4986" t="str">
        <f>"1552380248589747"</f>
        <v>1552380248589747</v>
      </c>
      <c r="C4986" t="s">
        <v>40</v>
      </c>
      <c r="D4986">
        <v>5.8847060000000004</v>
      </c>
      <c r="E4986">
        <v>0.49673699999999998</v>
      </c>
      <c r="F4986" t="s">
        <v>57</v>
      </c>
      <c r="G4986">
        <v>-225.42500000000001</v>
      </c>
      <c r="H4986" s="1">
        <v>-1.814058E-6</v>
      </c>
      <c r="I4986">
        <v>-62.041820000000001</v>
      </c>
      <c r="J4986">
        <v>-239.73670000000001</v>
      </c>
      <c r="K4986">
        <v>1.109165</v>
      </c>
      <c r="L4986">
        <v>-62.265839999999997</v>
      </c>
      <c r="M4986">
        <v>0.99896910000000005</v>
      </c>
      <c r="N4986">
        <v>0</v>
      </c>
      <c r="O4986">
        <v>-4.492935E-2</v>
      </c>
      <c r="P4986">
        <v>0.99237549999999997</v>
      </c>
      <c r="Q4986">
        <v>0.1231894</v>
      </c>
      <c r="R4986">
        <v>-3.9572640000000003E-3</v>
      </c>
      <c r="S4986">
        <v>3.052216</v>
      </c>
      <c r="T4986">
        <v>-0.23298450000000001</v>
      </c>
      <c r="U4986">
        <v>4.501343E-2</v>
      </c>
      <c r="V4986">
        <v>-4.0644739999999999E-2</v>
      </c>
      <c r="W4986">
        <v>0.129633199999999</v>
      </c>
      <c r="X4986">
        <v>0.99072870000000002</v>
      </c>
      <c r="Y4986">
        <v>-5.9353410000000002E-2</v>
      </c>
      <c r="Z4986">
        <v>5.6858079999999997E-3</v>
      </c>
      <c r="AA4986">
        <v>0.99822089999999997</v>
      </c>
      <c r="AB4986">
        <v>38</v>
      </c>
      <c r="AC4986">
        <v>14.3117</v>
      </c>
      <c r="AD4986">
        <v>-1.109166814058</v>
      </c>
      <c r="AE4986">
        <v>0.22402000000000999</v>
      </c>
      <c r="AF4986">
        <v>-0.86164857603018397</v>
      </c>
      <c r="AG4986">
        <v>-1.109166814058</v>
      </c>
      <c r="AH4986">
        <v>14.201900857780901</v>
      </c>
      <c r="AI4986">
        <v>94.457565248448205</v>
      </c>
      <c r="AJ4986">
        <v>93.471956676110807</v>
      </c>
      <c r="AK4986">
        <v>14.271183457030499</v>
      </c>
      <c r="AL4986">
        <v>82.5516035746098</v>
      </c>
      <c r="AM4986">
        <v>92.349247470696397</v>
      </c>
      <c r="AN4986">
        <v>1.00000005921779</v>
      </c>
    </row>
    <row r="4987" spans="1:40" x14ac:dyDescent="0.25">
      <c r="A4987" t="str">
        <f>"20190312164408605"</f>
        <v>20190312164408605</v>
      </c>
      <c r="B4987" t="str">
        <f>"1552380248599507"</f>
        <v>1552380248599507</v>
      </c>
      <c r="C4987" t="s">
        <v>40</v>
      </c>
      <c r="D4987">
        <v>5.0093779999999999</v>
      </c>
      <c r="E4987">
        <v>0.4967936</v>
      </c>
      <c r="F4987" t="s">
        <v>57</v>
      </c>
      <c r="G4987">
        <v>-225.18289999999999</v>
      </c>
      <c r="H4987" s="1">
        <v>-1.710953E-6</v>
      </c>
      <c r="I4987">
        <v>-62.045229999999997</v>
      </c>
      <c r="J4987">
        <v>-239.52010000000001</v>
      </c>
      <c r="K4987">
        <v>1.109216</v>
      </c>
      <c r="L4987">
        <v>-62.275480000000002</v>
      </c>
      <c r="M4987">
        <v>0.9989768</v>
      </c>
      <c r="N4987">
        <v>0</v>
      </c>
      <c r="O4987">
        <v>-4.4755999999999997E-2</v>
      </c>
      <c r="P4987">
        <v>0.99234500000000003</v>
      </c>
      <c r="Q4987">
        <v>0.12345349999999999</v>
      </c>
      <c r="R4987">
        <v>-3.310538E-3</v>
      </c>
      <c r="S4987">
        <v>3.0521240000000001</v>
      </c>
      <c r="T4987">
        <v>-0.23260620000000001</v>
      </c>
      <c r="U4987">
        <v>4.6264649999999997E-2</v>
      </c>
      <c r="V4987">
        <v>-4.1133200000000002E-2</v>
      </c>
      <c r="W4987">
        <v>0.12989700000000001</v>
      </c>
      <c r="X4987">
        <v>0.99067400000000005</v>
      </c>
      <c r="Y4987">
        <v>-5.9590549999999999E-2</v>
      </c>
      <c r="Z4987">
        <v>5.6726009999999898E-3</v>
      </c>
      <c r="AA4987">
        <v>0.99820679999999995</v>
      </c>
      <c r="AB4987">
        <v>38</v>
      </c>
      <c r="AC4987">
        <v>14.337199999999999</v>
      </c>
      <c r="AD4987">
        <v>-1.1092177109529999</v>
      </c>
      <c r="AE4987">
        <v>0.23024999999999801</v>
      </c>
      <c r="AF4987">
        <v>-0.86652325700039501</v>
      </c>
      <c r="AG4987">
        <v>-1.1092177109529999</v>
      </c>
      <c r="AH4987">
        <v>14.227390524146401</v>
      </c>
      <c r="AI4987">
        <v>94.449751785647607</v>
      </c>
      <c r="AJ4987">
        <v>93.485310431587806</v>
      </c>
      <c r="AK4987">
        <v>14.296848170551</v>
      </c>
      <c r="AL4987">
        <v>82.536360161134496</v>
      </c>
      <c r="AM4987">
        <v>92.377579152499607</v>
      </c>
      <c r="AN4987">
        <v>1.00000007251361</v>
      </c>
    </row>
    <row r="4988" spans="1:40" x14ac:dyDescent="0.25">
      <c r="A4988" t="str">
        <f>"20190312164408618"</f>
        <v>20190312164408618</v>
      </c>
      <c r="B4988" t="str">
        <f>"1552380248610242"</f>
        <v>1552380248610242</v>
      </c>
      <c r="C4988" t="s">
        <v>40</v>
      </c>
      <c r="D4988">
        <v>5.4985150000000003</v>
      </c>
      <c r="E4988">
        <v>0.4968456</v>
      </c>
      <c r="F4988" t="s">
        <v>57</v>
      </c>
      <c r="G4988">
        <v>-224.904</v>
      </c>
      <c r="H4988" s="1">
        <v>-1.5919139999999999E-6</v>
      </c>
      <c r="I4988">
        <v>-62.047939999999997</v>
      </c>
      <c r="J4988">
        <v>-239.3031</v>
      </c>
      <c r="K4988">
        <v>1.109264</v>
      </c>
      <c r="L4988">
        <v>-62.2851</v>
      </c>
      <c r="M4988">
        <v>0.99898580000000003</v>
      </c>
      <c r="N4988">
        <v>0</v>
      </c>
      <c r="O4988">
        <v>-4.455572E-2</v>
      </c>
      <c r="P4988">
        <v>0.99235150000000005</v>
      </c>
      <c r="Q4988">
        <v>0.1234204</v>
      </c>
      <c r="R4988">
        <v>-2.4209800000000001E-3</v>
      </c>
      <c r="S4988">
        <v>3.0521389999999999</v>
      </c>
      <c r="T4988">
        <v>-0.23162730000000001</v>
      </c>
      <c r="U4988">
        <v>4.7515870000000002E-2</v>
      </c>
      <c r="V4988">
        <v>-4.183912E-2</v>
      </c>
      <c r="W4988">
        <v>0.12986339999999999</v>
      </c>
      <c r="X4988">
        <v>0.99064870000000005</v>
      </c>
      <c r="Y4988">
        <v>-5.9801979999999998E-2</v>
      </c>
      <c r="Z4988">
        <v>5.6416030000000002E-3</v>
      </c>
      <c r="AA4988">
        <v>0.99819429999999998</v>
      </c>
      <c r="AB4988">
        <v>39</v>
      </c>
      <c r="AC4988">
        <v>14.399099999999899</v>
      </c>
      <c r="AD4988">
        <v>-1.109265591914</v>
      </c>
      <c r="AE4988">
        <v>0.23715999999999501</v>
      </c>
      <c r="AF4988">
        <v>-0.87331876027892497</v>
      </c>
      <c r="AG4988">
        <v>-1.109265591914</v>
      </c>
      <c r="AH4988">
        <v>14.289451678854601</v>
      </c>
      <c r="AI4988">
        <v>94.430636860988898</v>
      </c>
      <c r="AJ4988">
        <v>93.497357311216405</v>
      </c>
      <c r="AK4988">
        <v>14.3590245174518</v>
      </c>
      <c r="AL4988">
        <v>82.538300680926596</v>
      </c>
      <c r="AM4988">
        <v>92.418396356805403</v>
      </c>
      <c r="AN4988">
        <v>0.99999993071680904</v>
      </c>
    </row>
    <row r="4989" spans="1:40" x14ac:dyDescent="0.25">
      <c r="A4989" t="str">
        <f>"20190312164408627"</f>
        <v>20190312164408627</v>
      </c>
      <c r="B4989" t="str">
        <f>"1552380248620003"</f>
        <v>1552380248620003</v>
      </c>
      <c r="C4989" t="s">
        <v>40</v>
      </c>
      <c r="D4989">
        <v>5.3229790000000001</v>
      </c>
      <c r="E4989">
        <v>0.49689870000000003</v>
      </c>
      <c r="F4989" t="s">
        <v>57</v>
      </c>
      <c r="G4989">
        <v>-224.67320000000001</v>
      </c>
      <c r="H4989" s="1">
        <v>-1.4929419999999901E-6</v>
      </c>
      <c r="I4989">
        <v>-62.048110000000001</v>
      </c>
      <c r="J4989">
        <v>-239.12010000000001</v>
      </c>
      <c r="K4989">
        <v>1.1093040000000001</v>
      </c>
      <c r="L4989">
        <v>-62.293149999999997</v>
      </c>
      <c r="M4989">
        <v>0.99899389999999999</v>
      </c>
      <c r="N4989">
        <v>0</v>
      </c>
      <c r="O4989">
        <v>-4.4368520000000002E-2</v>
      </c>
      <c r="P4989">
        <v>0.99235810000000002</v>
      </c>
      <c r="Q4989">
        <v>0.12338010000000001</v>
      </c>
      <c r="R4989">
        <v>-1.6747450000000001E-3</v>
      </c>
      <c r="S4989">
        <v>3.0520170000000002</v>
      </c>
      <c r="T4989">
        <v>-0.23140930000000001</v>
      </c>
      <c r="U4989">
        <v>4.943848E-2</v>
      </c>
      <c r="V4989">
        <v>-4.2411860000000003E-2</v>
      </c>
      <c r="W4989">
        <v>0.12982270000000001</v>
      </c>
      <c r="X4989">
        <v>0.99062969999999895</v>
      </c>
      <c r="Y4989">
        <v>-6.0244010000000001E-2</v>
      </c>
      <c r="Z4989">
        <v>5.6390859999999998E-3</v>
      </c>
      <c r="AA4989">
        <v>0.99816780000000005</v>
      </c>
      <c r="AB4989">
        <v>39</v>
      </c>
      <c r="AC4989">
        <v>14.446899999999999</v>
      </c>
      <c r="AD4989">
        <v>-1.1093054929420001</v>
      </c>
      <c r="AE4989">
        <v>0.24503999999999601</v>
      </c>
      <c r="AF4989">
        <v>-0.88060938829559199</v>
      </c>
      <c r="AG4989">
        <v>-1.1093054929420001</v>
      </c>
      <c r="AH4989">
        <v>14.3372927654794</v>
      </c>
      <c r="AI4989">
        <v>94.415987601831304</v>
      </c>
      <c r="AJ4989">
        <v>93.514742813644006</v>
      </c>
      <c r="AK4989">
        <v>14.4070814329098</v>
      </c>
      <c r="AL4989">
        <v>82.540652680252904</v>
      </c>
      <c r="AM4989">
        <v>92.451508877011307</v>
      </c>
      <c r="AN4989">
        <v>0.99999995091301797</v>
      </c>
    </row>
    <row r="4990" spans="1:40" x14ac:dyDescent="0.25">
      <c r="A4990" t="str">
        <f>"20190312164408638"</f>
        <v>20190312164408638</v>
      </c>
      <c r="B4990" t="str">
        <f>"1552380248629763"</f>
        <v>1552380248629763</v>
      </c>
      <c r="C4990" t="s">
        <v>40</v>
      </c>
      <c r="D4990">
        <v>5.174887</v>
      </c>
      <c r="E4990">
        <v>0.49693900000000002</v>
      </c>
      <c r="F4990" t="s">
        <v>57</v>
      </c>
      <c r="G4990">
        <v>-224.50380000000001</v>
      </c>
      <c r="H4990" s="1">
        <v>-1.4205619999999901E-6</v>
      </c>
      <c r="I4990">
        <v>-62.049509999999998</v>
      </c>
      <c r="J4990">
        <v>-238.9435</v>
      </c>
      <c r="K4990">
        <v>1.10934</v>
      </c>
      <c r="L4990">
        <v>-62.300840000000001</v>
      </c>
      <c r="M4990">
        <v>0.99900230000000001</v>
      </c>
      <c r="N4990">
        <v>0</v>
      </c>
      <c r="O4990">
        <v>-4.4180030000000002E-2</v>
      </c>
      <c r="P4990">
        <v>0.99235399999999996</v>
      </c>
      <c r="Q4990">
        <v>0.1234222</v>
      </c>
      <c r="R4990">
        <v>-7.0187259999999997E-4</v>
      </c>
      <c r="S4990">
        <v>3.051987</v>
      </c>
      <c r="T4990">
        <v>-0.23163010000000001</v>
      </c>
      <c r="U4990">
        <v>5.0872800000000003E-2</v>
      </c>
      <c r="V4990">
        <v>-4.3208030000000001E-2</v>
      </c>
      <c r="W4990">
        <v>0.12986429999999999</v>
      </c>
      <c r="X4990">
        <v>0.99058990000000002</v>
      </c>
      <c r="Y4990">
        <v>-6.0523970000000003E-2</v>
      </c>
      <c r="Z4990">
        <v>5.640824E-3</v>
      </c>
      <c r="AA4990">
        <v>0.9981508</v>
      </c>
      <c r="AB4990">
        <v>39</v>
      </c>
      <c r="AC4990">
        <v>14.439699999999901</v>
      </c>
      <c r="AD4990">
        <v>-1.109341420562</v>
      </c>
      <c r="AE4990">
        <v>0.251330000000002</v>
      </c>
      <c r="AF4990">
        <v>-0.88382957141478602</v>
      </c>
      <c r="AG4990">
        <v>-1.109341420562</v>
      </c>
      <c r="AH4990">
        <v>14.329943652429099</v>
      </c>
      <c r="AI4990">
        <v>94.418316766544606</v>
      </c>
      <c r="AJ4990">
        <v>93.529367551965095</v>
      </c>
      <c r="AK4990">
        <v>14.399967992342001</v>
      </c>
      <c r="AL4990">
        <v>82.538249270228903</v>
      </c>
      <c r="AM4990">
        <v>92.497571924962998</v>
      </c>
      <c r="AN4990">
        <v>1.0000000101264901</v>
      </c>
    </row>
    <row r="4991" spans="1:40" x14ac:dyDescent="0.25">
      <c r="A4991" t="str">
        <f>"20190312164408647"</f>
        <v>20190312164408647</v>
      </c>
      <c r="B4991" t="str">
        <f>"1552380248639524"</f>
        <v>1552380248639524</v>
      </c>
      <c r="C4991" t="s">
        <v>40</v>
      </c>
      <c r="D4991">
        <v>5.2658079999999998</v>
      </c>
      <c r="E4991">
        <v>0.49699120000000002</v>
      </c>
      <c r="F4991" t="s">
        <v>57</v>
      </c>
      <c r="G4991">
        <v>-224.31290000000001</v>
      </c>
      <c r="H4991" s="1">
        <v>-1.3376360000000001E-6</v>
      </c>
      <c r="I4991">
        <v>-62.044820000000001</v>
      </c>
      <c r="J4991">
        <v>-238.7816</v>
      </c>
      <c r="K4991">
        <v>1.1093740000000001</v>
      </c>
      <c r="L4991">
        <v>-62.30789</v>
      </c>
      <c r="M4991">
        <v>0.99901059999999997</v>
      </c>
      <c r="N4991">
        <v>0</v>
      </c>
      <c r="O4991">
        <v>-4.399409E-2</v>
      </c>
      <c r="P4991">
        <v>0.99240830000000002</v>
      </c>
      <c r="Q4991">
        <v>0.122988</v>
      </c>
      <c r="R4991">
        <v>1.84169E-4</v>
      </c>
      <c r="S4991">
        <v>3.0519409999999998</v>
      </c>
      <c r="T4991">
        <v>-0.23140740000000001</v>
      </c>
      <c r="U4991">
        <v>5.3405759999999997E-2</v>
      </c>
      <c r="V4991">
        <v>-4.3920460000000001E-2</v>
      </c>
      <c r="W4991">
        <v>0.12943080000000001</v>
      </c>
      <c r="X4991">
        <v>0.99061529999999998</v>
      </c>
      <c r="Y4991">
        <v>-6.1165850000000001E-2</v>
      </c>
      <c r="Z4991">
        <v>5.6457039999999997E-3</v>
      </c>
      <c r="AA4991">
        <v>0.99811170000000005</v>
      </c>
      <c r="AB4991">
        <v>39</v>
      </c>
      <c r="AC4991">
        <v>14.468699999999901</v>
      </c>
      <c r="AD4991">
        <v>-1.109375337636</v>
      </c>
      <c r="AE4991">
        <v>0.26307000000000602</v>
      </c>
      <c r="AF4991">
        <v>-0.89411137138978103</v>
      </c>
      <c r="AG4991">
        <v>-1.109375337636</v>
      </c>
      <c r="AH4991">
        <v>14.358730896250901</v>
      </c>
      <c r="AI4991">
        <v>94.409467279690205</v>
      </c>
      <c r="AJ4991">
        <v>93.563180399013604</v>
      </c>
      <c r="AK4991">
        <v>14.429251599967101</v>
      </c>
      <c r="AL4991">
        <v>82.563298368599106</v>
      </c>
      <c r="AM4991">
        <v>92.538634365209106</v>
      </c>
      <c r="AN4991">
        <v>1.0000000056946701</v>
      </c>
    </row>
    <row r="4992" spans="1:40" x14ac:dyDescent="0.25">
      <c r="A4992" t="str">
        <f>"20190312164408657"</f>
        <v>20190312164408657</v>
      </c>
      <c r="B4992" t="str">
        <f>"1552380248650259"</f>
        <v>1552380248650259</v>
      </c>
      <c r="C4992" t="s">
        <v>40</v>
      </c>
      <c r="D4992">
        <v>5.0847110000000004</v>
      </c>
      <c r="E4992">
        <v>0.49702420000000003</v>
      </c>
      <c r="F4992" t="s">
        <v>57</v>
      </c>
      <c r="G4992">
        <v>-224.2397</v>
      </c>
      <c r="H4992" s="1">
        <v>-1.3059789999999999E-6</v>
      </c>
      <c r="I4992">
        <v>-62.043669999999999</v>
      </c>
      <c r="J4992">
        <v>-238.6105</v>
      </c>
      <c r="K4992">
        <v>1.109405</v>
      </c>
      <c r="L4992">
        <v>-62.315280000000001</v>
      </c>
      <c r="M4992">
        <v>0.9990194</v>
      </c>
      <c r="N4992">
        <v>0</v>
      </c>
      <c r="O4992">
        <v>-4.379218E-2</v>
      </c>
      <c r="P4992">
        <v>0.99241440000000003</v>
      </c>
      <c r="Q4992">
        <v>0.1229333</v>
      </c>
      <c r="R4992">
        <v>1.178169E-3</v>
      </c>
      <c r="S4992">
        <v>3.0517880000000002</v>
      </c>
      <c r="T4992">
        <v>-0.23281540000000001</v>
      </c>
      <c r="U4992">
        <v>5.5450439999999997E-2</v>
      </c>
      <c r="V4992">
        <v>-4.4723319999999997E-2</v>
      </c>
      <c r="W4992">
        <v>0.12937589999999999</v>
      </c>
      <c r="X4992">
        <v>0.99058650000000004</v>
      </c>
      <c r="Y4992">
        <v>-6.1629049999999998E-2</v>
      </c>
      <c r="Z4992">
        <v>5.682487E-3</v>
      </c>
      <c r="AA4992">
        <v>0.9980829</v>
      </c>
      <c r="AB4992">
        <v>39</v>
      </c>
      <c r="AC4992">
        <v>14.370799999999999</v>
      </c>
      <c r="AD4992">
        <v>-1.109406305979</v>
      </c>
      <c r="AE4992">
        <v>0.27161000000000202</v>
      </c>
      <c r="AF4992">
        <v>-0.89535735795892502</v>
      </c>
      <c r="AG4992">
        <v>-1.109406305979</v>
      </c>
      <c r="AH4992">
        <v>14.2601633531809</v>
      </c>
      <c r="AI4992">
        <v>94.439805298571599</v>
      </c>
      <c r="AJ4992">
        <v>93.592731922085505</v>
      </c>
      <c r="AK4992">
        <v>14.3312492829342</v>
      </c>
      <c r="AL4992">
        <v>82.566470210320503</v>
      </c>
      <c r="AM4992">
        <v>92.585052924007499</v>
      </c>
      <c r="AN4992">
        <v>0.99999995641743999</v>
      </c>
    </row>
    <row r="4993" spans="1:40" x14ac:dyDescent="0.25">
      <c r="A4993" t="str">
        <f>"20190312164408667"</f>
        <v>20190312164408667</v>
      </c>
      <c r="B4993" t="str">
        <f>"1552380248660019"</f>
        <v>1552380248660019</v>
      </c>
      <c r="C4993" t="s">
        <v>40</v>
      </c>
      <c r="D4993">
        <v>5.0610200000000001</v>
      </c>
      <c r="E4993">
        <v>0.49708390000000002</v>
      </c>
      <c r="F4993" t="s">
        <v>57</v>
      </c>
      <c r="G4993">
        <v>-224.06639999999999</v>
      </c>
      <c r="H4993" s="1">
        <v>-1.2304520000000001E-6</v>
      </c>
      <c r="I4993">
        <v>-62.038350000000001</v>
      </c>
      <c r="J4993">
        <v>-238.429</v>
      </c>
      <c r="K4993">
        <v>1.109434</v>
      </c>
      <c r="L4993">
        <v>-62.323120000000003</v>
      </c>
      <c r="M4993">
        <v>0.99902919999999995</v>
      </c>
      <c r="N4993">
        <v>0</v>
      </c>
      <c r="O4993">
        <v>-4.3567880000000003E-2</v>
      </c>
      <c r="P4993">
        <v>0.99241550000000001</v>
      </c>
      <c r="Q4993">
        <v>0.12290760000000001</v>
      </c>
      <c r="R4993">
        <v>2.345176E-3</v>
      </c>
      <c r="S4993">
        <v>3.0516969999999999</v>
      </c>
      <c r="T4993">
        <v>-0.23277880000000001</v>
      </c>
      <c r="U4993">
        <v>5.8105469999999999E-2</v>
      </c>
      <c r="V4993">
        <v>-4.5675710000000001E-2</v>
      </c>
      <c r="W4993">
        <v>0.12934989999999999</v>
      </c>
      <c r="X4993">
        <v>0.9905465</v>
      </c>
      <c r="Y4993">
        <v>-6.2272399999999999E-2</v>
      </c>
      <c r="Z4993">
        <v>5.6891600000000004E-3</v>
      </c>
      <c r="AA4993">
        <v>0.99804300000000001</v>
      </c>
      <c r="AB4993">
        <v>39</v>
      </c>
      <c r="AC4993">
        <v>14.3626</v>
      </c>
      <c r="AD4993">
        <v>-1.1094352304520001</v>
      </c>
      <c r="AE4993">
        <v>0.28476999999999397</v>
      </c>
      <c r="AF4993">
        <v>-0.90486394615588395</v>
      </c>
      <c r="AG4993">
        <v>-1.1094352304520001</v>
      </c>
      <c r="AH4993">
        <v>14.251552576522</v>
      </c>
      <c r="AI4993">
        <v>94.442396275600998</v>
      </c>
      <c r="AJ4993">
        <v>93.632964614387902</v>
      </c>
      <c r="AK4993">
        <v>14.323280913708</v>
      </c>
      <c r="AL4993">
        <v>82.5679729835513</v>
      </c>
      <c r="AM4993">
        <v>92.640131409569406</v>
      </c>
      <c r="AN4993">
        <v>1.0000000178881301</v>
      </c>
    </row>
    <row r="4994" spans="1:40" x14ac:dyDescent="0.25">
      <c r="A4994" t="str">
        <f>"20190312164408691"</f>
        <v>20190312164408691</v>
      </c>
      <c r="B4994" t="str">
        <f>"1552380248679539"</f>
        <v>1552380248679539</v>
      </c>
      <c r="C4994" t="s">
        <v>40</v>
      </c>
      <c r="D4994">
        <v>5.050592</v>
      </c>
      <c r="E4994">
        <v>0.4972124</v>
      </c>
      <c r="F4994" t="s">
        <v>57</v>
      </c>
      <c r="G4994">
        <v>-223.8835</v>
      </c>
      <c r="H4994" s="1">
        <v>-1.1509090000000001E-6</v>
      </c>
      <c r="I4994">
        <v>-62.033360000000002</v>
      </c>
      <c r="J4994">
        <v>-238.03380000000001</v>
      </c>
      <c r="K4994">
        <v>1.1094839999999999</v>
      </c>
      <c r="L4994">
        <v>-62.339970000000001</v>
      </c>
      <c r="M4994">
        <v>0.99905109999999997</v>
      </c>
      <c r="N4994">
        <v>0</v>
      </c>
      <c r="O4994">
        <v>-4.3059229999999997E-2</v>
      </c>
      <c r="P4994">
        <v>0.99239960000000005</v>
      </c>
      <c r="Q4994">
        <v>0.12298050000000001</v>
      </c>
      <c r="R4994">
        <v>4.366679E-3</v>
      </c>
      <c r="S4994">
        <v>3.0516200000000002</v>
      </c>
      <c r="T4994">
        <v>-0.2327591</v>
      </c>
      <c r="U4994">
        <v>6.0791020000000001E-2</v>
      </c>
      <c r="V4994">
        <v>-4.7206480000000002E-2</v>
      </c>
      <c r="W4994">
        <v>0.1294246</v>
      </c>
      <c r="X4994">
        <v>0.99046489999999998</v>
      </c>
      <c r="Y4994">
        <v>-6.2643169999999998E-2</v>
      </c>
      <c r="Z4994">
        <v>5.6641909999999998E-3</v>
      </c>
      <c r="AA4994">
        <v>0.99801989999999996</v>
      </c>
      <c r="AB4994">
        <v>39</v>
      </c>
      <c r="AC4994">
        <v>14.1503</v>
      </c>
      <c r="AD4994">
        <v>-1.109485150909</v>
      </c>
      <c r="AE4994">
        <v>0.30660999999999899</v>
      </c>
      <c r="AF4994">
        <v>-0.91004761431480796</v>
      </c>
      <c r="AG4994">
        <v>-1.109485150909</v>
      </c>
      <c r="AH4994">
        <v>14.037713702240501</v>
      </c>
      <c r="AI4994">
        <v>94.509609532759399</v>
      </c>
      <c r="AJ4994">
        <v>93.709223983890396</v>
      </c>
      <c r="AK4994">
        <v>14.1108663783086</v>
      </c>
      <c r="AL4994">
        <v>82.563656187864495</v>
      </c>
      <c r="AM4994">
        <v>92.728705343715902</v>
      </c>
      <c r="AN4994">
        <v>0.99999994848557805</v>
      </c>
    </row>
    <row r="4995" spans="1:40" x14ac:dyDescent="0.25">
      <c r="A4995" t="str">
        <f>"20190312164408701"</f>
        <v>20190312164408701</v>
      </c>
      <c r="B4995" t="str">
        <f>"1552380248690274"</f>
        <v>1552380248690274</v>
      </c>
      <c r="C4995" t="s">
        <v>40</v>
      </c>
      <c r="D4995">
        <v>5.0543930000000001</v>
      </c>
      <c r="E4995">
        <v>0.49724829999999998</v>
      </c>
      <c r="F4995" t="s">
        <v>57</v>
      </c>
      <c r="G4995">
        <v>-223.46709999999999</v>
      </c>
      <c r="H4995" s="1">
        <v>-9.7081339999999999E-7</v>
      </c>
      <c r="I4995">
        <v>-62.026910000000001</v>
      </c>
      <c r="J4995">
        <v>-237.85169999999999</v>
      </c>
      <c r="K4995">
        <v>1.109502</v>
      </c>
      <c r="L4995">
        <v>-62.34769</v>
      </c>
      <c r="M4995">
        <v>0.99906150000000005</v>
      </c>
      <c r="N4995">
        <v>0</v>
      </c>
      <c r="O4995">
        <v>-4.2818780000000001E-2</v>
      </c>
      <c r="P4995">
        <v>0.99238820000000005</v>
      </c>
      <c r="Q4995">
        <v>0.1230305</v>
      </c>
      <c r="R4995">
        <v>5.4283430000000004E-3</v>
      </c>
      <c r="S4995">
        <v>3.0515140000000001</v>
      </c>
      <c r="T4995">
        <v>-0.23242160000000001</v>
      </c>
      <c r="U4995">
        <v>6.5582280000000007E-2</v>
      </c>
      <c r="V4995">
        <v>-4.8035019999999998E-2</v>
      </c>
      <c r="W4995">
        <v>0.1294747</v>
      </c>
      <c r="X4995">
        <v>0.99041860000000004</v>
      </c>
      <c r="Y4995">
        <v>-6.3967689999999994E-2</v>
      </c>
      <c r="Z4995">
        <v>5.6882189999999996E-3</v>
      </c>
      <c r="AA4995">
        <v>0.99793580000000004</v>
      </c>
      <c r="AB4995">
        <v>39</v>
      </c>
      <c r="AC4995">
        <v>14.384600000000001</v>
      </c>
      <c r="AD4995">
        <v>-1.1095029708134001</v>
      </c>
      <c r="AE4995">
        <v>0.32077999999999901</v>
      </c>
      <c r="AF4995">
        <v>-0.93089458937912894</v>
      </c>
      <c r="AG4995">
        <v>-1.1095029708134001</v>
      </c>
      <c r="AH4995">
        <v>14.272800891505399</v>
      </c>
      <c r="AI4995">
        <v>94.435589266066501</v>
      </c>
      <c r="AJ4995">
        <v>93.731635834164805</v>
      </c>
      <c r="AK4995">
        <v>14.346093784279301</v>
      </c>
      <c r="AL4995">
        <v>82.560761937628598</v>
      </c>
      <c r="AM4995">
        <v>92.776653248845406</v>
      </c>
      <c r="AN4995">
        <v>1.0000000321562199</v>
      </c>
    </row>
    <row r="4996" spans="1:40" x14ac:dyDescent="0.25">
      <c r="A4996" t="str">
        <f>"20190312164408712"</f>
        <v>20190312164408712</v>
      </c>
      <c r="B4996" t="str">
        <f>"1552380248709795"</f>
        <v>1552380248709795</v>
      </c>
      <c r="C4996" t="s">
        <v>40</v>
      </c>
      <c r="D4996">
        <v>5.0677059999999896</v>
      </c>
      <c r="E4996">
        <v>0.49735249999999998</v>
      </c>
      <c r="F4996" t="s">
        <v>57</v>
      </c>
      <c r="G4996">
        <v>-223.2662</v>
      </c>
      <c r="H4996" s="1">
        <v>-8.8293929999999999E-7</v>
      </c>
      <c r="I4996">
        <v>-62.019329999999997</v>
      </c>
      <c r="J4996">
        <v>-237.65180000000001</v>
      </c>
      <c r="K4996">
        <v>1.109521</v>
      </c>
      <c r="L4996">
        <v>-62.356050000000003</v>
      </c>
      <c r="M4996">
        <v>0.99907299999999999</v>
      </c>
      <c r="N4996">
        <v>0</v>
      </c>
      <c r="O4996">
        <v>-4.2547710000000002E-2</v>
      </c>
      <c r="P4996">
        <v>0.99237280000000005</v>
      </c>
      <c r="Q4996">
        <v>0.1230986</v>
      </c>
      <c r="R4996">
        <v>6.5646480000000002E-3</v>
      </c>
      <c r="S4996">
        <v>3.0514220000000001</v>
      </c>
      <c r="T4996">
        <v>-0.23211870000000001</v>
      </c>
      <c r="U4996">
        <v>6.8695069999999997E-2</v>
      </c>
      <c r="V4996">
        <v>-4.890634E-2</v>
      </c>
      <c r="W4996">
        <v>0.12954660000000001</v>
      </c>
      <c r="X4996">
        <v>0.99036650000000004</v>
      </c>
      <c r="Y4996">
        <v>-6.4714480000000005E-2</v>
      </c>
      <c r="Z4996">
        <v>5.6887319999999898E-3</v>
      </c>
      <c r="AA4996">
        <v>0.99788759999999999</v>
      </c>
      <c r="AB4996">
        <v>39</v>
      </c>
      <c r="AC4996">
        <v>14.3856</v>
      </c>
      <c r="AD4996">
        <v>-1.1095218829393001</v>
      </c>
      <c r="AE4996">
        <v>0.33671999999999902</v>
      </c>
      <c r="AF4996">
        <v>-0.94289665451733395</v>
      </c>
      <c r="AG4996">
        <v>-1.1095218829393001</v>
      </c>
      <c r="AH4996">
        <v>14.2733850267891</v>
      </c>
      <c r="AI4996">
        <v>94.435241749837104</v>
      </c>
      <c r="AJ4996">
        <v>93.779455177220996</v>
      </c>
      <c r="AK4996">
        <v>14.3474601596516</v>
      </c>
      <c r="AL4996">
        <v>82.556606976232302</v>
      </c>
      <c r="AM4996">
        <v>92.827087200496194</v>
      </c>
      <c r="AN4996">
        <v>0.999999977993002</v>
      </c>
    </row>
    <row r="4997" spans="1:40" x14ac:dyDescent="0.25">
      <c r="A4997" t="str">
        <f>"20190312164408724"</f>
        <v>20190312164408724</v>
      </c>
      <c r="B4997" t="str">
        <f>"1552380248719558"</f>
        <v>1552380248719558</v>
      </c>
      <c r="C4997" t="s">
        <v>40</v>
      </c>
      <c r="D4997">
        <v>5.3279940000000003</v>
      </c>
      <c r="E4997">
        <v>0.49739</v>
      </c>
      <c r="F4997" t="s">
        <v>57</v>
      </c>
      <c r="G4997">
        <v>-223.09889999999999</v>
      </c>
      <c r="H4997" s="1">
        <v>-8.1044169999999997E-7</v>
      </c>
      <c r="I4997">
        <v>-62.016060000000003</v>
      </c>
      <c r="J4997">
        <v>-237.4478</v>
      </c>
      <c r="K4997">
        <v>1.109537</v>
      </c>
      <c r="L4997">
        <v>-62.364559999999997</v>
      </c>
      <c r="M4997">
        <v>0.99908470000000005</v>
      </c>
      <c r="N4997">
        <v>0</v>
      </c>
      <c r="O4997">
        <v>-4.2269969999999997E-2</v>
      </c>
      <c r="P4997">
        <v>0.99232010000000004</v>
      </c>
      <c r="Q4997">
        <v>0.12344819999999999</v>
      </c>
      <c r="R4997">
        <v>7.8385360000000001E-3</v>
      </c>
      <c r="S4997">
        <v>3.0514679999999998</v>
      </c>
      <c r="T4997">
        <v>-0.23264550000000001</v>
      </c>
      <c r="U4997">
        <v>7.1289060000000001E-2</v>
      </c>
      <c r="V4997">
        <v>-4.9907510000000002E-2</v>
      </c>
      <c r="W4997">
        <v>0.1298993</v>
      </c>
      <c r="X4997">
        <v>0.9902704</v>
      </c>
      <c r="Y4997">
        <v>-6.5282350000000003E-2</v>
      </c>
      <c r="Z4997">
        <v>5.7019610000000002E-3</v>
      </c>
      <c r="AA4997">
        <v>0.99785049999999997</v>
      </c>
      <c r="AB4997">
        <v>39</v>
      </c>
      <c r="AC4997">
        <v>14.3489</v>
      </c>
      <c r="AD4997">
        <v>-1.1095378104417</v>
      </c>
      <c r="AE4997">
        <v>0.34850000000000098</v>
      </c>
      <c r="AF4997">
        <v>-0.94905781085805596</v>
      </c>
      <c r="AG4997">
        <v>-1.1095378104417</v>
      </c>
      <c r="AH4997">
        <v>14.236271266837701</v>
      </c>
      <c r="AI4997">
        <v>94.4466445907306</v>
      </c>
      <c r="AJ4997">
        <v>93.813966889331297</v>
      </c>
      <c r="AK4997">
        <v>14.3109470149302</v>
      </c>
      <c r="AL4997">
        <v>82.536226908681002</v>
      </c>
      <c r="AM4997">
        <v>92.885143684207605</v>
      </c>
      <c r="AN4997">
        <v>1.00000002640552</v>
      </c>
    </row>
    <row r="4998" spans="1:40" x14ac:dyDescent="0.25">
      <c r="A4998" t="str">
        <f>"20190312164408735"</f>
        <v>20190312164408735</v>
      </c>
      <c r="B4998" t="str">
        <f>"1552380248730291"</f>
        <v>1552380248730291</v>
      </c>
      <c r="C4998" t="s">
        <v>40</v>
      </c>
      <c r="D4998">
        <v>5.0803320000000003</v>
      </c>
      <c r="E4998">
        <v>0.4974518</v>
      </c>
      <c r="F4998" t="s">
        <v>57</v>
      </c>
      <c r="G4998">
        <v>-222.81829999999999</v>
      </c>
      <c r="H4998" s="1">
        <v>-6.8778229999999996E-7</v>
      </c>
      <c r="I4998">
        <v>-62.005809999999997</v>
      </c>
      <c r="J4998">
        <v>-237.2491</v>
      </c>
      <c r="K4998">
        <v>1.109548</v>
      </c>
      <c r="L4998">
        <v>-62.372799999999998</v>
      </c>
      <c r="M4998">
        <v>0.99909619999999999</v>
      </c>
      <c r="N4998">
        <v>0</v>
      </c>
      <c r="O4998">
        <v>-4.1996550000000001E-2</v>
      </c>
      <c r="P4998">
        <v>0.99231849999999999</v>
      </c>
      <c r="Q4998">
        <v>0.1233933</v>
      </c>
      <c r="R4998">
        <v>8.8427160000000005E-3</v>
      </c>
      <c r="S4998">
        <v>3.051437</v>
      </c>
      <c r="T4998">
        <v>-0.23142740000000001</v>
      </c>
      <c r="U4998">
        <v>7.4829099999999996E-2</v>
      </c>
      <c r="V4998">
        <v>-5.0644460000000002E-2</v>
      </c>
      <c r="W4998">
        <v>0.1298501</v>
      </c>
      <c r="X4998">
        <v>0.99023939999999999</v>
      </c>
      <c r="Y4998">
        <v>-6.6167920000000005E-2</v>
      </c>
      <c r="Z4998">
        <v>5.6850219999999996E-3</v>
      </c>
      <c r="AA4998">
        <v>0.99779229999999997</v>
      </c>
      <c r="AB4998">
        <v>39</v>
      </c>
      <c r="AC4998">
        <v>14.4308</v>
      </c>
      <c r="AD4998">
        <v>-1.1095486877823</v>
      </c>
      <c r="AE4998">
        <v>0.36699000000000098</v>
      </c>
      <c r="AF4998">
        <v>-0.96701010481586702</v>
      </c>
      <c r="AG4998">
        <v>-1.1095486877823</v>
      </c>
      <c r="AH4998">
        <v>14.318066003360199</v>
      </c>
      <c r="AI4998">
        <v>94.421129644668099</v>
      </c>
      <c r="AJ4998">
        <v>93.863761077834695</v>
      </c>
      <c r="AK4998">
        <v>14.3935131538466</v>
      </c>
      <c r="AL4998">
        <v>82.539069663757601</v>
      </c>
      <c r="AM4998">
        <v>92.927764537047096</v>
      </c>
      <c r="AN4998">
        <v>0.99999998955553004</v>
      </c>
    </row>
    <row r="4999" spans="1:40" x14ac:dyDescent="0.25">
      <c r="A4999" t="str">
        <f>"20190312164408746"</f>
        <v>20190312164408746</v>
      </c>
      <c r="B4999" t="str">
        <f>"1552380248740051"</f>
        <v>1552380248740051</v>
      </c>
      <c r="C4999" t="s">
        <v>40</v>
      </c>
      <c r="D4999">
        <v>5.2807250000000003</v>
      </c>
      <c r="E4999">
        <v>0.49751099999999998</v>
      </c>
      <c r="F4999" t="s">
        <v>57</v>
      </c>
      <c r="G4999">
        <v>-222.62889999999999</v>
      </c>
      <c r="H4999" s="1">
        <v>-6.0576930000000001E-7</v>
      </c>
      <c r="I4999">
        <v>-62.002420000000001</v>
      </c>
      <c r="J4999">
        <v>-237.05109999999999</v>
      </c>
      <c r="K4999">
        <v>1.109561</v>
      </c>
      <c r="L4999">
        <v>-62.380920000000003</v>
      </c>
      <c r="M4999">
        <v>0.99910770000000004</v>
      </c>
      <c r="N4999">
        <v>0</v>
      </c>
      <c r="O4999">
        <v>-4.1723730000000001E-2</v>
      </c>
      <c r="P4999">
        <v>0.9923208</v>
      </c>
      <c r="Q4999">
        <v>0.1232907</v>
      </c>
      <c r="R4999">
        <v>9.9602990000000006E-3</v>
      </c>
      <c r="S4999">
        <v>3.0513309999999998</v>
      </c>
      <c r="T4999">
        <v>-0.23156950000000001</v>
      </c>
      <c r="U4999">
        <v>7.7301030000000007E-2</v>
      </c>
      <c r="V4999">
        <v>-5.1495020000000002E-2</v>
      </c>
      <c r="W4999">
        <v>0.12975419999999999</v>
      </c>
      <c r="X4999">
        <v>0.99020810000000004</v>
      </c>
      <c r="Y4999">
        <v>-6.6702979999999995E-2</v>
      </c>
      <c r="Z4999">
        <v>5.6882649999999996E-3</v>
      </c>
      <c r="AA4999">
        <v>0.99775670000000005</v>
      </c>
      <c r="AB4999">
        <v>39</v>
      </c>
      <c r="AC4999">
        <v>14.4222</v>
      </c>
      <c r="AD4999">
        <v>-1.1095616057693001</v>
      </c>
      <c r="AE4999">
        <v>0.378500000000002</v>
      </c>
      <c r="AF4999">
        <v>-0.97416925379969799</v>
      </c>
      <c r="AG4999">
        <v>-1.1095616057693001</v>
      </c>
      <c r="AH4999">
        <v>14.3092113712705</v>
      </c>
      <c r="AI4999">
        <v>94.423744679577993</v>
      </c>
      <c r="AJ4999">
        <v>93.894679545627596</v>
      </c>
      <c r="AK4999">
        <v>14.385189006743801</v>
      </c>
      <c r="AL4999">
        <v>82.544611179910902</v>
      </c>
      <c r="AM4999">
        <v>92.976941765371905</v>
      </c>
      <c r="AN4999">
        <v>0.99999998540402502</v>
      </c>
    </row>
    <row r="5000" spans="1:40" x14ac:dyDescent="0.25">
      <c r="A5000" t="str">
        <f>"20190312164408757"</f>
        <v>20190312164408757</v>
      </c>
      <c r="B5000" t="str">
        <f>"1552380248749811"</f>
        <v>1552380248749811</v>
      </c>
      <c r="C5000" t="s">
        <v>40</v>
      </c>
      <c r="D5000">
        <v>5.2220779999999998</v>
      </c>
      <c r="E5000">
        <v>0.4975677</v>
      </c>
      <c r="F5000" t="s">
        <v>57</v>
      </c>
      <c r="G5000">
        <v>-222.4494</v>
      </c>
      <c r="H5000" s="1">
        <v>-5.2788440000000001E-7</v>
      </c>
      <c r="I5000">
        <v>-61.998289999999997</v>
      </c>
      <c r="J5000">
        <v>-236.86240000000001</v>
      </c>
      <c r="K5000">
        <v>1.1095729999999999</v>
      </c>
      <c r="L5000">
        <v>-62.388640000000002</v>
      </c>
      <c r="M5000">
        <v>0.99911839999999996</v>
      </c>
      <c r="N5000">
        <v>0</v>
      </c>
      <c r="O5000">
        <v>-4.1462730000000003E-2</v>
      </c>
      <c r="P5000">
        <v>0.99232379999999998</v>
      </c>
      <c r="Q5000">
        <v>0.12317790000000001</v>
      </c>
      <c r="R5000">
        <v>1.100754E-2</v>
      </c>
      <c r="S5000">
        <v>3.0512239999999999</v>
      </c>
      <c r="T5000">
        <v>-0.23185829999999999</v>
      </c>
      <c r="U5000">
        <v>7.9956050000000001E-2</v>
      </c>
      <c r="V5000">
        <v>-5.2286140000000002E-2</v>
      </c>
      <c r="W5000">
        <v>0.12964870000000001</v>
      </c>
      <c r="X5000">
        <v>0.99018050000000002</v>
      </c>
      <c r="Y5000">
        <v>-6.7309040000000001E-2</v>
      </c>
      <c r="Z5000">
        <v>5.6986819999999896E-3</v>
      </c>
      <c r="AA5000">
        <v>0.99771589999999999</v>
      </c>
      <c r="AB5000">
        <v>39</v>
      </c>
      <c r="AC5000">
        <v>14.413</v>
      </c>
      <c r="AD5000">
        <v>-1.1095735278843999</v>
      </c>
      <c r="AE5000">
        <v>0.39034999999999798</v>
      </c>
      <c r="AF5000">
        <v>-0.98181502965267997</v>
      </c>
      <c r="AG5000">
        <v>-1.1095735278843999</v>
      </c>
      <c r="AH5000">
        <v>14.2997334449927</v>
      </c>
      <c r="AI5000">
        <v>94.426538516576002</v>
      </c>
      <c r="AJ5000">
        <v>93.927745260339407</v>
      </c>
      <c r="AK5000">
        <v>14.3762822302595</v>
      </c>
      <c r="AL5000">
        <v>82.550707669521501</v>
      </c>
      <c r="AM5000">
        <v>93.022676565755404</v>
      </c>
      <c r="AN5000">
        <v>1.0000000242140099</v>
      </c>
    </row>
    <row r="5001" spans="1:40" x14ac:dyDescent="0.25">
      <c r="A5001" t="str">
        <f>"20190312164408769"</f>
        <v>20190312164408769</v>
      </c>
      <c r="B5001" t="str">
        <f>"1552380248759571"</f>
        <v>1552380248759571</v>
      </c>
      <c r="C5001" t="s">
        <v>40</v>
      </c>
      <c r="D5001">
        <v>5.2323069999999996</v>
      </c>
      <c r="E5001">
        <v>0.4976294</v>
      </c>
      <c r="F5001" t="s">
        <v>57</v>
      </c>
      <c r="G5001">
        <v>-222.28200000000001</v>
      </c>
      <c r="H5001" s="1">
        <v>-4.5516940000000001E-7</v>
      </c>
      <c r="I5001">
        <v>-61.994309999999999</v>
      </c>
      <c r="J5001">
        <v>-236.66220000000001</v>
      </c>
      <c r="K5001">
        <v>1.109585</v>
      </c>
      <c r="L5001">
        <v>-62.396790000000003</v>
      </c>
      <c r="M5001">
        <v>0.99912979999999996</v>
      </c>
      <c r="N5001">
        <v>0</v>
      </c>
      <c r="O5001">
        <v>-4.1186229999999997E-2</v>
      </c>
      <c r="P5001">
        <v>0.99234089999999997</v>
      </c>
      <c r="Q5001">
        <v>0.12292400000000001</v>
      </c>
      <c r="R5001">
        <v>1.222004E-2</v>
      </c>
      <c r="S5001">
        <v>3.051132</v>
      </c>
      <c r="T5001">
        <v>-0.2321926</v>
      </c>
      <c r="U5001">
        <v>8.2519529999999994E-2</v>
      </c>
      <c r="V5001">
        <v>-5.322789E-2</v>
      </c>
      <c r="W5001">
        <v>0.1294033</v>
      </c>
      <c r="X5001">
        <v>0.9901624</v>
      </c>
      <c r="Y5001">
        <v>-6.7869659999999998E-2</v>
      </c>
      <c r="Z5001">
        <v>5.7072950000000002E-3</v>
      </c>
      <c r="AA5001">
        <v>0.99767790000000001</v>
      </c>
      <c r="AB5001">
        <v>39</v>
      </c>
      <c r="AC5001">
        <v>14.3802</v>
      </c>
      <c r="AD5001">
        <v>-1.1095854551694</v>
      </c>
      <c r="AE5001">
        <v>0.402480000000004</v>
      </c>
      <c r="AF5001">
        <v>-0.98853662691065203</v>
      </c>
      <c r="AG5001">
        <v>-1.1095854551694</v>
      </c>
      <c r="AH5001">
        <v>14.2665475153487</v>
      </c>
      <c r="AI5001">
        <v>94.436650307717699</v>
      </c>
      <c r="AJ5001">
        <v>93.963719476727206</v>
      </c>
      <c r="AK5001">
        <v>14.3437360040112</v>
      </c>
      <c r="AL5001">
        <v>82.564887325623104</v>
      </c>
      <c r="AM5001">
        <v>93.077071842378999</v>
      </c>
      <c r="AN5001">
        <v>1.00000000034925</v>
      </c>
    </row>
    <row r="5002" spans="1:40" x14ac:dyDescent="0.25">
      <c r="A5002" t="str">
        <f>"20190312164408781"</f>
        <v>20190312164408781</v>
      </c>
      <c r="B5002" t="str">
        <f>"1552380248770308"</f>
        <v>1552380248770308</v>
      </c>
      <c r="C5002" t="s">
        <v>40</v>
      </c>
      <c r="D5002">
        <v>5.1173890000000002</v>
      </c>
      <c r="E5002">
        <v>0.49757190000000001</v>
      </c>
      <c r="F5002" t="s">
        <v>57</v>
      </c>
      <c r="G5002">
        <v>-222.1387</v>
      </c>
      <c r="H5002" s="1">
        <v>-3.924648E-7</v>
      </c>
      <c r="I5002">
        <v>-61.988720000000001</v>
      </c>
      <c r="J5002">
        <v>-236.45249999999999</v>
      </c>
      <c r="K5002">
        <v>1.1095950000000001</v>
      </c>
      <c r="L5002">
        <v>-62.405270000000002</v>
      </c>
      <c r="M5002">
        <v>0.99914150000000002</v>
      </c>
      <c r="N5002">
        <v>0</v>
      </c>
      <c r="O5002">
        <v>-4.0896509999999997E-2</v>
      </c>
      <c r="P5002">
        <v>0.99237070000000005</v>
      </c>
      <c r="Q5002">
        <v>0.122556</v>
      </c>
      <c r="R5002">
        <v>1.343623E-2</v>
      </c>
      <c r="S5002">
        <v>3.050964</v>
      </c>
      <c r="T5002">
        <v>-0.2330922</v>
      </c>
      <c r="U5002">
        <v>8.5723880000000002E-2</v>
      </c>
      <c r="V5002">
        <v>-5.4160079999999999E-2</v>
      </c>
      <c r="W5002">
        <v>0.1290454</v>
      </c>
      <c r="X5002">
        <v>0.9901586</v>
      </c>
      <c r="Y5002">
        <v>-6.8625050000000007E-2</v>
      </c>
      <c r="Z5002">
        <v>5.7363099999999997E-3</v>
      </c>
      <c r="AA5002">
        <v>0.99762600000000001</v>
      </c>
      <c r="AB5002">
        <v>39</v>
      </c>
      <c r="AC5002">
        <v>14.313799999999899</v>
      </c>
      <c r="AD5002">
        <v>-1.1095953924648001</v>
      </c>
      <c r="AE5002">
        <v>0.41654999999999998</v>
      </c>
      <c r="AF5002">
        <v>-0.99562090076759602</v>
      </c>
      <c r="AG5002">
        <v>-1.1095953924648001</v>
      </c>
      <c r="AH5002">
        <v>14.199532395596</v>
      </c>
      <c r="AI5002">
        <v>94.457290438227503</v>
      </c>
      <c r="AJ5002">
        <v>94.010812838109899</v>
      </c>
      <c r="AK5002">
        <v>14.277576235713299</v>
      </c>
      <c r="AL5002">
        <v>82.585567180962897</v>
      </c>
      <c r="AM5002">
        <v>93.130866879427103</v>
      </c>
      <c r="AN5002">
        <v>1.00000004134036</v>
      </c>
    </row>
    <row r="5003" spans="1:40" x14ac:dyDescent="0.25">
      <c r="A5003" t="str">
        <f>"20190312164408804"</f>
        <v>20190312164408804</v>
      </c>
      <c r="B5003" t="str">
        <f>"1552380248799587"</f>
        <v>1552380248799587</v>
      </c>
      <c r="C5003" t="s">
        <v>40</v>
      </c>
      <c r="D5003">
        <v>5.1315460000000002</v>
      </c>
      <c r="E5003">
        <v>0.47987170000000001</v>
      </c>
      <c r="F5003" t="s">
        <v>57</v>
      </c>
      <c r="G5003">
        <v>-221.99770000000001</v>
      </c>
      <c r="H5003" s="1">
        <v>-3.3021970000000003E-7</v>
      </c>
      <c r="I5003">
        <v>-61.980879999999999</v>
      </c>
      <c r="J5003">
        <v>-236.0625</v>
      </c>
      <c r="K5003">
        <v>1.109607</v>
      </c>
      <c r="L5003">
        <v>-62.420810000000003</v>
      </c>
      <c r="M5003">
        <v>0.99916329999999998</v>
      </c>
      <c r="N5003">
        <v>0</v>
      </c>
      <c r="O5003">
        <v>-4.0359300000000001E-2</v>
      </c>
      <c r="P5003">
        <v>0.99238700000000002</v>
      </c>
      <c r="Q5003">
        <v>0.12209200000000001</v>
      </c>
      <c r="R5003">
        <v>1.6180299999999901E-2</v>
      </c>
      <c r="S5003">
        <v>3.050751</v>
      </c>
      <c r="T5003">
        <v>-0.23418439999999999</v>
      </c>
      <c r="U5003">
        <v>8.9569090000000004E-2</v>
      </c>
      <c r="V5003">
        <v>-5.6375219999999997E-2</v>
      </c>
      <c r="W5003">
        <v>0.12859949999999901</v>
      </c>
      <c r="X5003">
        <v>0.99009290000000005</v>
      </c>
      <c r="Y5003">
        <v>-6.9343429999999998E-2</v>
      </c>
      <c r="Z5003">
        <v>5.7497980000000004E-3</v>
      </c>
      <c r="AA5003">
        <v>0.99757629999999997</v>
      </c>
      <c r="AB5003">
        <v>39</v>
      </c>
      <c r="AC5003">
        <v>14.0647999999999</v>
      </c>
      <c r="AD5003">
        <v>-1.10960733021969</v>
      </c>
      <c r="AE5003">
        <v>0.439929999999989</v>
      </c>
      <c r="AF5003">
        <v>-1.00100527034758</v>
      </c>
      <c r="AG5003">
        <v>-1.10960733021969</v>
      </c>
      <c r="AH5003">
        <v>13.948851107745501</v>
      </c>
      <c r="AI5003">
        <v>94.536586643689006</v>
      </c>
      <c r="AJ5003">
        <v>94.104655348883696</v>
      </c>
      <c r="AK5003">
        <v>14.0286737507361</v>
      </c>
      <c r="AL5003">
        <v>82.611329530334004</v>
      </c>
      <c r="AM5003">
        <v>93.258864128832997</v>
      </c>
      <c r="AN5003">
        <v>0.99999997373035399</v>
      </c>
    </row>
    <row r="5004" spans="1:40" x14ac:dyDescent="0.25">
      <c r="A5004" t="str">
        <f>"20190312164408816"</f>
        <v>20190312164408816</v>
      </c>
      <c r="B5004" t="str">
        <f>"1552380248810323"</f>
        <v>1552380248810323</v>
      </c>
      <c r="C5004" t="s">
        <v>40</v>
      </c>
      <c r="D5004">
        <v>5.122986</v>
      </c>
      <c r="E5004">
        <v>0.47961480000000001</v>
      </c>
      <c r="F5004" t="s">
        <v>57</v>
      </c>
      <c r="G5004">
        <v>-222.0378</v>
      </c>
      <c r="H5004" s="1">
        <v>-2.010231E-7</v>
      </c>
      <c r="I5004">
        <v>-61.322589999999998</v>
      </c>
      <c r="J5004">
        <v>-235.8356</v>
      </c>
      <c r="K5004">
        <v>1.1096170000000001</v>
      </c>
      <c r="L5004">
        <v>-62.429780000000001</v>
      </c>
      <c r="M5004">
        <v>0.99917560000000005</v>
      </c>
      <c r="N5004">
        <v>0</v>
      </c>
      <c r="O5004">
        <v>-4.0047779999999998E-2</v>
      </c>
      <c r="P5004">
        <v>0.99236460000000004</v>
      </c>
      <c r="Q5004">
        <v>0.12208289999999999</v>
      </c>
      <c r="R5004">
        <v>1.755526E-2</v>
      </c>
      <c r="S5004">
        <v>3.048813</v>
      </c>
      <c r="T5004">
        <v>-0.2412155</v>
      </c>
      <c r="U5004">
        <v>0.23873900000000001</v>
      </c>
      <c r="V5004">
        <v>-5.7442149999999997E-2</v>
      </c>
      <c r="W5004">
        <v>0.12860279999999999</v>
      </c>
      <c r="X5004">
        <v>0.9900312</v>
      </c>
      <c r="Y5004">
        <v>-0.1174409</v>
      </c>
      <c r="Z5004">
        <v>7.790941E-3</v>
      </c>
      <c r="AA5004">
        <v>0.99304930000000002</v>
      </c>
      <c r="AB5004">
        <v>40</v>
      </c>
      <c r="AC5004">
        <v>13.797799999999899</v>
      </c>
      <c r="AD5004">
        <v>-1.1096172010231</v>
      </c>
      <c r="AE5004">
        <v>1.1071899999999999</v>
      </c>
      <c r="AF5004">
        <v>-1.6482933373624</v>
      </c>
      <c r="AG5004">
        <v>-1.1096172010231</v>
      </c>
      <c r="AH5004">
        <v>13.6546445268946</v>
      </c>
      <c r="AI5004">
        <v>94.612479555978695</v>
      </c>
      <c r="AJ5004">
        <v>96.8830429458271</v>
      </c>
      <c r="AK5004">
        <v>13.798457827404199</v>
      </c>
      <c r="AL5004">
        <v>82.611139280782993</v>
      </c>
      <c r="AM5004">
        <v>93.320609556139701</v>
      </c>
      <c r="AN5004">
        <v>1.0000000288689499</v>
      </c>
    </row>
    <row r="5005" spans="1:40" x14ac:dyDescent="0.25">
      <c r="A5005" t="str">
        <f>"20190312164408826"</f>
        <v>20190312164408826</v>
      </c>
      <c r="B5005" t="str">
        <f>"1552380248820084"</f>
        <v>1552380248820084</v>
      </c>
      <c r="C5005" t="s">
        <v>40</v>
      </c>
      <c r="D5005">
        <v>5.2483709999999997</v>
      </c>
      <c r="E5005">
        <v>0.47957889999999997</v>
      </c>
      <c r="F5005" t="s">
        <v>57</v>
      </c>
      <c r="G5005">
        <v>-221.90539999999999</v>
      </c>
      <c r="H5005" s="1">
        <v>-1.419304E-7</v>
      </c>
      <c r="I5005">
        <v>-61.312130000000003</v>
      </c>
      <c r="J5005">
        <v>-235.65190000000001</v>
      </c>
      <c r="K5005">
        <v>1.1096239999999999</v>
      </c>
      <c r="L5005">
        <v>-62.436950000000003</v>
      </c>
      <c r="M5005">
        <v>0.99918560000000001</v>
      </c>
      <c r="N5005">
        <v>0</v>
      </c>
      <c r="O5005">
        <v>-3.9795879999999999E-2</v>
      </c>
      <c r="P5005">
        <v>0.99230370000000001</v>
      </c>
      <c r="Q5005">
        <v>0.1223542</v>
      </c>
      <c r="R5005">
        <v>1.9048929999999999E-2</v>
      </c>
      <c r="S5005">
        <v>3.0486300000000002</v>
      </c>
      <c r="T5005">
        <v>-0.24284049999999999</v>
      </c>
      <c r="U5005">
        <v>0.24459839999999999</v>
      </c>
      <c r="V5005">
        <v>-5.8685300000000003E-2</v>
      </c>
      <c r="W5005">
        <v>0.12888369999999999</v>
      </c>
      <c r="X5005">
        <v>0.98992170000000002</v>
      </c>
      <c r="Y5005">
        <v>-0.1190808</v>
      </c>
      <c r="Z5005">
        <v>7.8882710000000005E-3</v>
      </c>
      <c r="AA5005">
        <v>0.99285319999999999</v>
      </c>
      <c r="AB5005">
        <v>40</v>
      </c>
      <c r="AC5005">
        <v>13.746499999999999</v>
      </c>
      <c r="AD5005">
        <v>-1.1096241419303901</v>
      </c>
      <c r="AE5005">
        <v>1.1248199999999899</v>
      </c>
      <c r="AF5005">
        <v>-1.6602492307385599</v>
      </c>
      <c r="AG5005">
        <v>-1.1096241419303901</v>
      </c>
      <c r="AH5005">
        <v>13.602802159470899</v>
      </c>
      <c r="AI5005">
        <v>94.629272673365605</v>
      </c>
      <c r="AJ5005">
        <v>96.958647167908595</v>
      </c>
      <c r="AK5005">
        <v>13.7485970133039</v>
      </c>
      <c r="AL5005">
        <v>82.5949094137261</v>
      </c>
      <c r="AM5005">
        <v>93.392681743785602</v>
      </c>
      <c r="AN5005">
        <v>0.99999997234633398</v>
      </c>
    </row>
    <row r="5006" spans="1:40" x14ac:dyDescent="0.25">
      <c r="A5006" t="str">
        <f>"20190312164408835"</f>
        <v>20190312164408835</v>
      </c>
      <c r="B5006" t="str">
        <f>"1552380248829843"</f>
        <v>1552380248829843</v>
      </c>
      <c r="C5006" t="s">
        <v>40</v>
      </c>
      <c r="D5006">
        <v>5.175834</v>
      </c>
      <c r="E5006">
        <v>0.47950579999999998</v>
      </c>
      <c r="F5006" t="s">
        <v>57</v>
      </c>
      <c r="G5006">
        <v>-221.6713</v>
      </c>
      <c r="H5006" s="1">
        <v>-3.7712480000000001E-8</v>
      </c>
      <c r="I5006">
        <v>-61.29513</v>
      </c>
      <c r="J5006">
        <v>-235.47040000000001</v>
      </c>
      <c r="K5006">
        <v>1.109637</v>
      </c>
      <c r="L5006">
        <v>-62.444029999999998</v>
      </c>
      <c r="M5006">
        <v>0.99919539999999996</v>
      </c>
      <c r="N5006">
        <v>0</v>
      </c>
      <c r="O5006">
        <v>-3.9547199999999998E-2</v>
      </c>
      <c r="P5006">
        <v>0.99226270000000005</v>
      </c>
      <c r="Q5006">
        <v>0.1224775</v>
      </c>
      <c r="R5006">
        <v>2.0349909999999999E-2</v>
      </c>
      <c r="S5006">
        <v>3.0483250000000002</v>
      </c>
      <c r="T5006">
        <v>-0.24194199999999999</v>
      </c>
      <c r="U5006">
        <v>0.2489624</v>
      </c>
      <c r="V5006">
        <v>-5.9739199999999902E-2</v>
      </c>
      <c r="W5006">
        <v>0.12901799999999999</v>
      </c>
      <c r="X5006">
        <v>0.98984119999999998</v>
      </c>
      <c r="Y5006">
        <v>-0.120254399999999</v>
      </c>
      <c r="Z5006">
        <v>7.8862769999999902E-3</v>
      </c>
      <c r="AA5006">
        <v>0.99271180000000003</v>
      </c>
      <c r="AB5006">
        <v>40</v>
      </c>
      <c r="AC5006">
        <v>13.799099999999999</v>
      </c>
      <c r="AD5006">
        <v>-1.10963703771248</v>
      </c>
      <c r="AE5006">
        <v>1.14889999999999</v>
      </c>
      <c r="AF5006">
        <v>-1.6829216379213701</v>
      </c>
      <c r="AG5006">
        <v>-1.10963703771248</v>
      </c>
      <c r="AH5006">
        <v>13.655176239705501</v>
      </c>
      <c r="AI5006">
        <v>94.610985881393702</v>
      </c>
      <c r="AJ5006">
        <v>97.025944313914493</v>
      </c>
      <c r="AK5006">
        <v>13.803164772336199</v>
      </c>
      <c r="AL5006">
        <v>82.587150076823207</v>
      </c>
      <c r="AM5006">
        <v>93.453743235264298</v>
      </c>
      <c r="AN5006">
        <v>1.0000000087790399</v>
      </c>
    </row>
    <row r="5007" spans="1:40" x14ac:dyDescent="0.25">
      <c r="A5007" t="str">
        <f>"20190312164408859"</f>
        <v>20190312164408859</v>
      </c>
      <c r="B5007" t="str">
        <f>"1552380248850340"</f>
        <v>1552380248850340</v>
      </c>
      <c r="C5007" t="s">
        <v>40</v>
      </c>
      <c r="D5007">
        <v>5.1887339999999904</v>
      </c>
      <c r="E5007">
        <v>0.47981430000000003</v>
      </c>
      <c r="F5007" t="s">
        <v>57</v>
      </c>
      <c r="G5007">
        <v>-221.5538</v>
      </c>
      <c r="H5007" s="1">
        <v>1.44841E-8</v>
      </c>
      <c r="I5007">
        <v>-61.287190000000002</v>
      </c>
      <c r="J5007">
        <v>-235.0762</v>
      </c>
      <c r="K5007">
        <v>1.109653</v>
      </c>
      <c r="L5007">
        <v>-62.459229999999998</v>
      </c>
      <c r="M5007">
        <v>0.99921649999999995</v>
      </c>
      <c r="N5007">
        <v>0</v>
      </c>
      <c r="O5007">
        <v>-3.9007800000000002E-2</v>
      </c>
      <c r="P5007">
        <v>0.99220160000000002</v>
      </c>
      <c r="Q5007">
        <v>0.1225361</v>
      </c>
      <c r="R5007">
        <v>2.282723E-2</v>
      </c>
      <c r="S5007">
        <v>3.048203</v>
      </c>
      <c r="T5007">
        <v>-0.24304709999999999</v>
      </c>
      <c r="U5007">
        <v>0.25338749999999999</v>
      </c>
      <c r="V5007">
        <v>-6.1681569999999998E-2</v>
      </c>
      <c r="W5007">
        <v>0.12910639999999901</v>
      </c>
      <c r="X5007">
        <v>0.98971050000000005</v>
      </c>
      <c r="Y5007">
        <v>-0.12114750000000001</v>
      </c>
      <c r="Z5007">
        <v>7.9146600000000004E-3</v>
      </c>
      <c r="AA5007">
        <v>0.99260289999999995</v>
      </c>
      <c r="AB5007">
        <v>40</v>
      </c>
      <c r="AC5007">
        <v>13.522399999999999</v>
      </c>
      <c r="AD5007">
        <v>-1.1096529855158901</v>
      </c>
      <c r="AE5007">
        <v>1.17204</v>
      </c>
      <c r="AF5007">
        <v>-1.6873610111323101</v>
      </c>
      <c r="AG5007">
        <v>-1.1096529855158901</v>
      </c>
      <c r="AH5007">
        <v>13.376980381625399</v>
      </c>
      <c r="AI5007">
        <v>94.704854572720905</v>
      </c>
      <c r="AJ5007">
        <v>97.189271991206894</v>
      </c>
      <c r="AK5007">
        <v>13.5285668516863</v>
      </c>
      <c r="AL5007">
        <v>82.582042169007707</v>
      </c>
      <c r="AM5007">
        <v>93.566223289191498</v>
      </c>
      <c r="AN5007">
        <v>0.99999997620443704</v>
      </c>
    </row>
    <row r="5008" spans="1:40" x14ac:dyDescent="0.25">
      <c r="A5008" t="str">
        <f>"20190312164408869"</f>
        <v>20190312164408869</v>
      </c>
      <c r="B5008" t="str">
        <f>"1552380248860099"</f>
        <v>1552380248860099</v>
      </c>
      <c r="C5008" t="s">
        <v>40</v>
      </c>
      <c r="D5008">
        <v>5.1024139999999996</v>
      </c>
      <c r="E5008">
        <v>0.48022749999999997</v>
      </c>
      <c r="F5008" t="s">
        <v>57</v>
      </c>
      <c r="G5008">
        <v>-221.14320000000001</v>
      </c>
      <c r="H5008" s="1">
        <v>1.929424E-7</v>
      </c>
      <c r="I5008">
        <v>-61.276789999999998</v>
      </c>
      <c r="J5008">
        <v>-234.88419999999999</v>
      </c>
      <c r="K5008">
        <v>1.109656</v>
      </c>
      <c r="L5008">
        <v>-62.466520000000003</v>
      </c>
      <c r="M5008">
        <v>0.99922650000000002</v>
      </c>
      <c r="N5008">
        <v>0</v>
      </c>
      <c r="O5008">
        <v>-3.8744969999999997E-2</v>
      </c>
      <c r="P5008">
        <v>0.99220649999999999</v>
      </c>
      <c r="Q5008">
        <v>0.12221600000000001</v>
      </c>
      <c r="R5008">
        <v>2.428924E-2</v>
      </c>
      <c r="S5008">
        <v>3.0475919999999999</v>
      </c>
      <c r="T5008">
        <v>-0.2427154</v>
      </c>
      <c r="U5008">
        <v>0.25863649999999999</v>
      </c>
      <c r="V5008">
        <v>-6.2883179999999997E-2</v>
      </c>
      <c r="W5008">
        <v>0.1288057</v>
      </c>
      <c r="X5008">
        <v>0.9896741</v>
      </c>
      <c r="Y5008">
        <v>-0.1225979</v>
      </c>
      <c r="Z5008">
        <v>7.9416179999999992E-3</v>
      </c>
      <c r="AA5008">
        <v>0.99242470000000005</v>
      </c>
      <c r="AB5008">
        <v>40</v>
      </c>
      <c r="AC5008">
        <v>13.7409999999999</v>
      </c>
      <c r="AD5008">
        <v>-1.1096558070575999</v>
      </c>
      <c r="AE5008">
        <v>1.18972999999999</v>
      </c>
      <c r="AF5008">
        <v>-1.7101735846224</v>
      </c>
      <c r="AG5008">
        <v>-1.1096558070575999</v>
      </c>
      <c r="AH5008">
        <v>13.596575997730801</v>
      </c>
      <c r="AI5008">
        <v>94.629417476899704</v>
      </c>
      <c r="AJ5008">
        <v>97.168999742030493</v>
      </c>
      <c r="AK5008">
        <v>13.748560235957299</v>
      </c>
      <c r="AL5008">
        <v>82.599416354287598</v>
      </c>
      <c r="AM5008">
        <v>93.635645190603398</v>
      </c>
      <c r="AN5008">
        <v>1.0000000134450999</v>
      </c>
    </row>
    <row r="5009" spans="1:40" x14ac:dyDescent="0.25">
      <c r="A5009" t="str">
        <f>"20190312164408879"</f>
        <v>20190312164408879</v>
      </c>
      <c r="B5009" t="str">
        <f>"1552380248869860"</f>
        <v>1552380248869860</v>
      </c>
      <c r="C5009" t="s">
        <v>40</v>
      </c>
      <c r="D5009">
        <v>5.1464749999999997</v>
      </c>
      <c r="E5009">
        <v>0.48058699999999999</v>
      </c>
      <c r="F5009" t="s">
        <v>57</v>
      </c>
      <c r="G5009">
        <v>-221.26300000000001</v>
      </c>
      <c r="H5009" s="1">
        <v>1.353054E-7</v>
      </c>
      <c r="I5009">
        <v>-61.304749999999999</v>
      </c>
      <c r="J5009">
        <v>-234.69540000000001</v>
      </c>
      <c r="K5009">
        <v>1.109661</v>
      </c>
      <c r="L5009">
        <v>-62.473689999999998</v>
      </c>
      <c r="M5009">
        <v>0.99923640000000002</v>
      </c>
      <c r="N5009">
        <v>0</v>
      </c>
      <c r="O5009">
        <v>-3.8486550000000001E-2</v>
      </c>
      <c r="P5009">
        <v>0.99221040000000005</v>
      </c>
      <c r="Q5009">
        <v>0.1219281</v>
      </c>
      <c r="R5009">
        <v>2.5542499999999999E-2</v>
      </c>
      <c r="S5009">
        <v>3.0477599999999998</v>
      </c>
      <c r="T5009">
        <v>-0.24828800000000001</v>
      </c>
      <c r="U5009">
        <v>0.25994869999999998</v>
      </c>
      <c r="V5009">
        <v>-6.3880660000000006E-2</v>
      </c>
      <c r="W5009">
        <v>0.1285376</v>
      </c>
      <c r="X5009">
        <v>0.98964510000000006</v>
      </c>
      <c r="Y5009">
        <v>-0.12273779999999999</v>
      </c>
      <c r="Z5009">
        <v>8.1074700000000003E-3</v>
      </c>
      <c r="AA5009">
        <v>0.99240600000000001</v>
      </c>
      <c r="AB5009">
        <v>40</v>
      </c>
      <c r="AC5009">
        <v>13.432399999999999</v>
      </c>
      <c r="AD5009">
        <v>-1.1096608646946</v>
      </c>
      <c r="AE5009">
        <v>1.1689400000000001</v>
      </c>
      <c r="AF5009">
        <v>-1.6737158987142899</v>
      </c>
      <c r="AG5009">
        <v>-1.1096608646946</v>
      </c>
      <c r="AH5009">
        <v>13.287459038006901</v>
      </c>
      <c r="AI5009">
        <v>94.736545842943997</v>
      </c>
      <c r="AJ5009">
        <v>97.179284644235906</v>
      </c>
      <c r="AK5009">
        <v>13.438349594758799</v>
      </c>
      <c r="AL5009">
        <v>82.614906302227197</v>
      </c>
      <c r="AM5009">
        <v>93.6932649128713</v>
      </c>
      <c r="AN5009">
        <v>1.0000000386448999</v>
      </c>
    </row>
    <row r="5010" spans="1:40" x14ac:dyDescent="0.25">
      <c r="A5010" t="str">
        <f>"20190312164408891"</f>
        <v>20190312164408891</v>
      </c>
      <c r="B5010" t="str">
        <f>"1552380248879620"</f>
        <v>1552380248879620</v>
      </c>
      <c r="C5010" t="s">
        <v>40</v>
      </c>
      <c r="D5010">
        <v>4.9881719999999996</v>
      </c>
      <c r="E5010">
        <v>0.48084579999999999</v>
      </c>
      <c r="F5010" t="s">
        <v>57</v>
      </c>
      <c r="G5010">
        <v>-221.12129999999999</v>
      </c>
      <c r="H5010" s="1">
        <v>1.944902E-7</v>
      </c>
      <c r="I5010">
        <v>-61.312010000000001</v>
      </c>
      <c r="J5010">
        <v>-234.49850000000001</v>
      </c>
      <c r="K5010">
        <v>1.109669</v>
      </c>
      <c r="L5010">
        <v>-62.481079999999999</v>
      </c>
      <c r="M5010">
        <v>0.99924650000000004</v>
      </c>
      <c r="N5010">
        <v>0</v>
      </c>
      <c r="O5010">
        <v>-3.8217069999999999E-2</v>
      </c>
      <c r="P5010">
        <v>0.992174</v>
      </c>
      <c r="Q5010">
        <v>0.1219602</v>
      </c>
      <c r="R5010">
        <v>2.6772839999999999E-2</v>
      </c>
      <c r="S5010">
        <v>3.0474549999999998</v>
      </c>
      <c r="T5010">
        <v>-0.24912429999999999</v>
      </c>
      <c r="U5010">
        <v>0.26080320000000001</v>
      </c>
      <c r="V5010">
        <v>-6.4843269999999995E-2</v>
      </c>
      <c r="W5010">
        <v>0.12859519999999999</v>
      </c>
      <c r="X5010">
        <v>0.98957499999999998</v>
      </c>
      <c r="Y5010">
        <v>-0.122752</v>
      </c>
      <c r="Z5010">
        <v>8.1140250000000004E-3</v>
      </c>
      <c r="AA5010">
        <v>0.99240419999999996</v>
      </c>
      <c r="AB5010">
        <v>40</v>
      </c>
      <c r="AC5010">
        <v>13.3772</v>
      </c>
      <c r="AD5010">
        <v>-1.1096688055098001</v>
      </c>
      <c r="AE5010">
        <v>1.1690700000000001</v>
      </c>
      <c r="AF5010">
        <v>-1.66807388607081</v>
      </c>
      <c r="AG5010">
        <v>-1.1096688055098001</v>
      </c>
      <c r="AH5010">
        <v>13.2323846386276</v>
      </c>
      <c r="AI5010">
        <v>94.756145923985997</v>
      </c>
      <c r="AJ5010">
        <v>97.184805468418006</v>
      </c>
      <c r="AK5010">
        <v>13.383192390902099</v>
      </c>
      <c r="AL5010">
        <v>82.611578367256996</v>
      </c>
      <c r="AM5010">
        <v>93.749025557261007</v>
      </c>
      <c r="AN5010">
        <v>1.00000002787616</v>
      </c>
    </row>
    <row r="5011" spans="1:40" x14ac:dyDescent="0.25">
      <c r="A5011" t="str">
        <f>"20190312164408903"</f>
        <v>20190312164408903</v>
      </c>
      <c r="B5011" t="str">
        <f>"1552380248890355"</f>
        <v>1552380248890355</v>
      </c>
      <c r="C5011" t="s">
        <v>40</v>
      </c>
      <c r="D5011">
        <v>4.974526</v>
      </c>
      <c r="E5011">
        <v>0.48106749999999998</v>
      </c>
      <c r="F5011" t="s">
        <v>57</v>
      </c>
      <c r="G5011">
        <v>-220.95670000000001</v>
      </c>
      <c r="H5011" s="1">
        <v>2.6459940000000002E-7</v>
      </c>
      <c r="I5011">
        <v>-61.314230000000002</v>
      </c>
      <c r="J5011">
        <v>-234.2936</v>
      </c>
      <c r="K5011">
        <v>1.10968</v>
      </c>
      <c r="L5011">
        <v>-62.48874</v>
      </c>
      <c r="M5011">
        <v>0.99925699999999995</v>
      </c>
      <c r="N5011">
        <v>0</v>
      </c>
      <c r="O5011">
        <v>-3.7936619999999997E-2</v>
      </c>
      <c r="P5011">
        <v>0.99209449999999999</v>
      </c>
      <c r="Q5011">
        <v>0.12227780000000001</v>
      </c>
      <c r="R5011">
        <v>2.8232549999999999E-2</v>
      </c>
      <c r="S5011">
        <v>3.047256</v>
      </c>
      <c r="T5011">
        <v>-0.24970500000000001</v>
      </c>
      <c r="U5011">
        <v>0.26257320000000001</v>
      </c>
      <c r="V5011">
        <v>-6.6022289999999997E-2</v>
      </c>
      <c r="W5011">
        <v>0.12894040000000001</v>
      </c>
      <c r="X5011">
        <v>0.98945209999999995</v>
      </c>
      <c r="Y5011">
        <v>-0.12304859999999999</v>
      </c>
      <c r="Z5011">
        <v>8.1224130000000002E-3</v>
      </c>
      <c r="AA5011">
        <v>0.99236740000000001</v>
      </c>
      <c r="AB5011">
        <v>40</v>
      </c>
      <c r="AC5011">
        <v>13.336899999999901</v>
      </c>
      <c r="AD5011">
        <v>-1.1096797354006001</v>
      </c>
      <c r="AE5011">
        <v>1.17450999999999</v>
      </c>
      <c r="AF5011">
        <v>-1.6681734410662501</v>
      </c>
      <c r="AG5011">
        <v>-1.1096797354006001</v>
      </c>
      <c r="AH5011">
        <v>13.1921166390116</v>
      </c>
      <c r="AI5011">
        <v>94.770412064233597</v>
      </c>
      <c r="AJ5011">
        <v>97.206931934740496</v>
      </c>
      <c r="AK5011">
        <v>13.343392865456799</v>
      </c>
      <c r="AL5011">
        <v>82.591633717331902</v>
      </c>
      <c r="AM5011">
        <v>93.817465622237904</v>
      </c>
      <c r="AN5011">
        <v>1.0000000138617</v>
      </c>
    </row>
    <row r="5012" spans="1:40" x14ac:dyDescent="0.25">
      <c r="A5012" t="str">
        <f>"20190312164408913"</f>
        <v>20190312164408913</v>
      </c>
      <c r="B5012" t="str">
        <f>"1552380248909875"</f>
        <v>1552380248909875</v>
      </c>
      <c r="C5012" t="s">
        <v>40</v>
      </c>
      <c r="D5012">
        <v>4.9629949999999896</v>
      </c>
      <c r="E5012">
        <v>0.48139929999999997</v>
      </c>
      <c r="F5012" t="s">
        <v>57</v>
      </c>
      <c r="G5012">
        <v>-220.6585</v>
      </c>
      <c r="H5012" s="1">
        <v>3.9524920000000001E-7</v>
      </c>
      <c r="I5012">
        <v>-61.302100000000003</v>
      </c>
      <c r="J5012">
        <v>-234.0872</v>
      </c>
      <c r="K5012">
        <v>1.1096889999999999</v>
      </c>
      <c r="L5012">
        <v>-62.496369999999999</v>
      </c>
      <c r="M5012">
        <v>0.99926729999999997</v>
      </c>
      <c r="N5012">
        <v>0</v>
      </c>
      <c r="O5012">
        <v>-3.7653930000000002E-2</v>
      </c>
      <c r="P5012">
        <v>0.99196890000000004</v>
      </c>
      <c r="Q5012">
        <v>0.1229229</v>
      </c>
      <c r="R5012">
        <v>2.9794339999999999E-2</v>
      </c>
      <c r="S5012">
        <v>3.0469210000000002</v>
      </c>
      <c r="T5012">
        <v>-0.2479692</v>
      </c>
      <c r="U5012">
        <v>0.26516719999999999</v>
      </c>
      <c r="V5012">
        <v>-6.7300009999999993E-2</v>
      </c>
      <c r="W5012">
        <v>0.1296185</v>
      </c>
      <c r="X5012">
        <v>0.98927739999999997</v>
      </c>
      <c r="Y5012">
        <v>-0.1236222</v>
      </c>
      <c r="Z5012">
        <v>8.0670610000000004E-3</v>
      </c>
      <c r="AA5012">
        <v>0.99229659999999997</v>
      </c>
      <c r="AB5012">
        <v>40</v>
      </c>
      <c r="AC5012">
        <v>13.4286999999999</v>
      </c>
      <c r="AD5012">
        <v>-1.1096886047507999</v>
      </c>
      <c r="AE5012">
        <v>1.19426999999999</v>
      </c>
      <c r="AF5012">
        <v>-1.6876443704916599</v>
      </c>
      <c r="AG5012">
        <v>-1.1096886047507999</v>
      </c>
      <c r="AH5012">
        <v>13.284205200077199</v>
      </c>
      <c r="AI5012">
        <v>94.737184859263706</v>
      </c>
      <c r="AJ5012">
        <v>97.240152890595695</v>
      </c>
      <c r="AK5012">
        <v>13.4368768736832</v>
      </c>
      <c r="AL5012">
        <v>82.552452624307094</v>
      </c>
      <c r="AM5012">
        <v>93.891804720245801</v>
      </c>
      <c r="AN5012">
        <v>1.0000000105194999</v>
      </c>
    </row>
    <row r="5013" spans="1:40" x14ac:dyDescent="0.25">
      <c r="A5013" t="str">
        <f>"20190312164408926"</f>
        <v>20190312164408926</v>
      </c>
      <c r="B5013" t="str">
        <f>"1552380248919635"</f>
        <v>1552380248919635</v>
      </c>
      <c r="C5013" t="s">
        <v>40</v>
      </c>
      <c r="D5013">
        <v>5.0060289999999998</v>
      </c>
      <c r="E5013">
        <v>0.48153839999999998</v>
      </c>
      <c r="F5013" t="s">
        <v>57</v>
      </c>
      <c r="G5013">
        <v>-220.31720000000001</v>
      </c>
      <c r="H5013" s="1">
        <v>5.4448210000000001E-7</v>
      </c>
      <c r="I5013">
        <v>-61.289360000000002</v>
      </c>
      <c r="J5013">
        <v>-233.8861</v>
      </c>
      <c r="K5013">
        <v>1.109702</v>
      </c>
      <c r="L5013">
        <v>-62.503749999999997</v>
      </c>
      <c r="M5013">
        <v>0.99927739999999998</v>
      </c>
      <c r="N5013">
        <v>0</v>
      </c>
      <c r="O5013">
        <v>-3.7378519999999998E-2</v>
      </c>
      <c r="P5013">
        <v>0.99188770000000004</v>
      </c>
      <c r="Q5013">
        <v>0.123227</v>
      </c>
      <c r="R5013">
        <v>3.1214349999999998E-2</v>
      </c>
      <c r="S5013">
        <v>3.0467070000000001</v>
      </c>
      <c r="T5013">
        <v>-0.2455263</v>
      </c>
      <c r="U5013">
        <v>0.2670593</v>
      </c>
      <c r="V5013">
        <v>-6.844509E-2</v>
      </c>
      <c r="W5013">
        <v>0.1299575</v>
      </c>
      <c r="X5013">
        <v>0.98915430000000004</v>
      </c>
      <c r="Y5013">
        <v>-0.1239764</v>
      </c>
      <c r="Z5013">
        <v>7.9802969999999904E-3</v>
      </c>
      <c r="AA5013">
        <v>0.9922531</v>
      </c>
      <c r="AB5013">
        <v>40</v>
      </c>
      <c r="AC5013">
        <v>13.5688999999999</v>
      </c>
      <c r="AD5013">
        <v>-1.1097014555178999</v>
      </c>
      <c r="AE5013">
        <v>1.2143900000000001</v>
      </c>
      <c r="AF5013">
        <v>-1.7093964730846101</v>
      </c>
      <c r="AG5013">
        <v>-1.1097014555178999</v>
      </c>
      <c r="AH5013">
        <v>13.424946070486</v>
      </c>
      <c r="AI5013">
        <v>94.687630486729702</v>
      </c>
      <c r="AJ5013">
        <v>97.256415745909607</v>
      </c>
      <c r="AK5013">
        <v>13.578757329668599</v>
      </c>
      <c r="AL5013">
        <v>82.532863255361605</v>
      </c>
      <c r="AM5013">
        <v>93.958304355080699</v>
      </c>
      <c r="AN5013">
        <v>0.99999995567992295</v>
      </c>
    </row>
    <row r="5014" spans="1:40" x14ac:dyDescent="0.25">
      <c r="A5014" t="str">
        <f>"20190312164408937"</f>
        <v>20190312164408937</v>
      </c>
      <c r="B5014" t="str">
        <f>"1552380248930372"</f>
        <v>1552380248930372</v>
      </c>
      <c r="C5014" t="s">
        <v>40</v>
      </c>
      <c r="D5014">
        <v>5.0990699999999904</v>
      </c>
      <c r="E5014">
        <v>0.48180289999999998</v>
      </c>
      <c r="F5014" t="s">
        <v>57</v>
      </c>
      <c r="G5014">
        <v>-220.19390000000001</v>
      </c>
      <c r="H5014" s="1">
        <v>5.9698519999999995E-7</v>
      </c>
      <c r="I5014">
        <v>-61.291080000000001</v>
      </c>
      <c r="J5014">
        <v>-233.6704</v>
      </c>
      <c r="K5014">
        <v>1.109712</v>
      </c>
      <c r="L5014">
        <v>-62.511629999999997</v>
      </c>
      <c r="M5014">
        <v>0.99928810000000001</v>
      </c>
      <c r="N5014">
        <v>0</v>
      </c>
      <c r="O5014">
        <v>-3.7083110000000002E-2</v>
      </c>
      <c r="P5014">
        <v>0.99174910000000005</v>
      </c>
      <c r="Q5014">
        <v>0.12391629999999999</v>
      </c>
      <c r="R5014">
        <v>3.284372E-2</v>
      </c>
      <c r="S5014">
        <v>3.0467070000000001</v>
      </c>
      <c r="T5014">
        <v>-0.24692449999999999</v>
      </c>
      <c r="U5014">
        <v>0.26983639999999998</v>
      </c>
      <c r="V5014">
        <v>-6.9777790000000006E-2</v>
      </c>
      <c r="W5014">
        <v>0.13068840000000001</v>
      </c>
      <c r="X5014">
        <v>0.98896490000000004</v>
      </c>
      <c r="Y5014">
        <v>-0.12457360000000001</v>
      </c>
      <c r="Z5014">
        <v>8.0255420000000001E-3</v>
      </c>
      <c r="AA5014">
        <v>0.99217789999999995</v>
      </c>
      <c r="AB5014">
        <v>40</v>
      </c>
      <c r="AC5014">
        <v>13.4764999999999</v>
      </c>
      <c r="AD5014">
        <v>-1.1097114030148001</v>
      </c>
      <c r="AE5014">
        <v>1.22054999999999</v>
      </c>
      <c r="AF5014">
        <v>-1.70798612033741</v>
      </c>
      <c r="AG5014">
        <v>-1.1097114030148001</v>
      </c>
      <c r="AH5014">
        <v>13.3323022914883</v>
      </c>
      <c r="AI5014">
        <v>94.7196394647614</v>
      </c>
      <c r="AJ5014">
        <v>97.300333206617694</v>
      </c>
      <c r="AK5014">
        <v>13.4869922657674</v>
      </c>
      <c r="AL5014">
        <v>82.490625773422707</v>
      </c>
      <c r="AM5014">
        <v>94.035894878966403</v>
      </c>
      <c r="AN5014">
        <v>0.99999998565192605</v>
      </c>
    </row>
    <row r="5015" spans="1:40" x14ac:dyDescent="0.25">
      <c r="A5015" t="str">
        <f>"20190312164408947"</f>
        <v>20190312164408947</v>
      </c>
      <c r="B5015" t="str">
        <f>"1552380248940131"</f>
        <v>1552380248940131</v>
      </c>
      <c r="C5015" t="s">
        <v>40</v>
      </c>
      <c r="D5015">
        <v>5.1700629999999999</v>
      </c>
      <c r="E5015">
        <v>0.48217280000000001</v>
      </c>
      <c r="F5015" t="s">
        <v>58</v>
      </c>
      <c r="G5015">
        <v>-219.96170000000001</v>
      </c>
      <c r="H5015" s="1">
        <v>-3.409841E-6</v>
      </c>
      <c r="I5015">
        <v>-61.286479999999997</v>
      </c>
      <c r="J5015">
        <v>-233.47800000000001</v>
      </c>
      <c r="K5015">
        <v>1.109721</v>
      </c>
      <c r="L5015">
        <v>-62.518590000000003</v>
      </c>
      <c r="M5015">
        <v>0.99929760000000001</v>
      </c>
      <c r="N5015">
        <v>0</v>
      </c>
      <c r="O5015">
        <v>-3.681976E-2</v>
      </c>
      <c r="P5015">
        <v>0.99166169999999998</v>
      </c>
      <c r="Q5015">
        <v>0.1242534</v>
      </c>
      <c r="R5015">
        <v>3.4183270000000002E-2</v>
      </c>
      <c r="S5015">
        <v>3.0467680000000001</v>
      </c>
      <c r="T5015">
        <v>-0.24663470000000001</v>
      </c>
      <c r="U5015">
        <v>0.27227780000000001</v>
      </c>
      <c r="V5015">
        <v>-7.0853600000000003E-2</v>
      </c>
      <c r="W5015">
        <v>0.13106799999999999</v>
      </c>
      <c r="X5015">
        <v>0.9888382</v>
      </c>
      <c r="Y5015">
        <v>-0.12509970000000001</v>
      </c>
      <c r="Z5015">
        <v>8.0156889999999995E-3</v>
      </c>
      <c r="AA5015">
        <v>0.99211179999999999</v>
      </c>
      <c r="AB5015">
        <v>40</v>
      </c>
      <c r="AC5015">
        <v>13.5162999999999</v>
      </c>
      <c r="AD5015">
        <v>-1.109724409841</v>
      </c>
      <c r="AE5015">
        <v>1.23210999999999</v>
      </c>
      <c r="AF5015">
        <v>-1.7174717040076299</v>
      </c>
      <c r="AG5015">
        <v>-1.109724409841</v>
      </c>
      <c r="AH5015">
        <v>13.372369102717601</v>
      </c>
      <c r="AI5015">
        <v>94.705424383127493</v>
      </c>
      <c r="AJ5015">
        <v>97.318680941174705</v>
      </c>
      <c r="AK5015">
        <v>13.527802953147299</v>
      </c>
      <c r="AL5015">
        <v>82.468687849352506</v>
      </c>
      <c r="AM5015">
        <v>94.098431813873205</v>
      </c>
      <c r="AN5015">
        <v>1.00000001951809</v>
      </c>
    </row>
    <row r="5016" spans="1:40" x14ac:dyDescent="0.25">
      <c r="A5016" t="str">
        <f>"20190312164408958"</f>
        <v>20190312164408958</v>
      </c>
      <c r="B5016" t="str">
        <f>"1552380248949891"</f>
        <v>1552380248949891</v>
      </c>
      <c r="C5016" t="s">
        <v>40</v>
      </c>
      <c r="D5016">
        <v>4.9501439999999999</v>
      </c>
      <c r="E5016">
        <v>0.48225499999999999</v>
      </c>
      <c r="F5016" t="s">
        <v>58</v>
      </c>
      <c r="G5016">
        <v>-219.79859999999999</v>
      </c>
      <c r="H5016" s="1">
        <v>-3.3554469999999999E-6</v>
      </c>
      <c r="I5016">
        <v>-61.292639999999999</v>
      </c>
      <c r="J5016">
        <v>-233.28530000000001</v>
      </c>
      <c r="K5016">
        <v>1.1097319999999999</v>
      </c>
      <c r="L5016">
        <v>-62.525509999999997</v>
      </c>
      <c r="M5016">
        <v>0.9993069</v>
      </c>
      <c r="N5016">
        <v>0</v>
      </c>
      <c r="O5016">
        <v>-3.6555709999999998E-2</v>
      </c>
      <c r="P5016">
        <v>0.99161049999999995</v>
      </c>
      <c r="Q5016">
        <v>0.1242337</v>
      </c>
      <c r="R5016">
        <v>3.5707049999999997E-2</v>
      </c>
      <c r="S5016">
        <v>3.046783</v>
      </c>
      <c r="T5016">
        <v>-0.24716689999999999</v>
      </c>
      <c r="U5016">
        <v>0.27304079999999997</v>
      </c>
      <c r="V5016">
        <v>-7.2113640000000007E-2</v>
      </c>
      <c r="W5016">
        <v>0.1310935</v>
      </c>
      <c r="X5016">
        <v>0.9887437</v>
      </c>
      <c r="Y5016">
        <v>-0.12508219999999901</v>
      </c>
      <c r="Z5016">
        <v>8.0107470000000004E-3</v>
      </c>
      <c r="AA5016">
        <v>0.9921141</v>
      </c>
      <c r="AB5016">
        <v>40</v>
      </c>
      <c r="AC5016">
        <v>13.486700000000001</v>
      </c>
      <c r="AD5016">
        <v>-1.109735355447</v>
      </c>
      <c r="AE5016">
        <v>1.2328699999999899</v>
      </c>
      <c r="AF5016">
        <v>-1.7135682558357701</v>
      </c>
      <c r="AG5016">
        <v>-1.109735355447</v>
      </c>
      <c r="AH5016">
        <v>13.343024048435099</v>
      </c>
      <c r="AI5016">
        <v>94.7157785946617</v>
      </c>
      <c r="AJ5016">
        <v>97.318112614257799</v>
      </c>
      <c r="AK5016">
        <v>13.4983006146572</v>
      </c>
      <c r="AL5016">
        <v>82.467213894242207</v>
      </c>
      <c r="AM5016">
        <v>94.171459385518503</v>
      </c>
      <c r="AN5016">
        <v>0.99999999355299396</v>
      </c>
    </row>
    <row r="5017" spans="1:40" x14ac:dyDescent="0.25">
      <c r="A5017" t="str">
        <f>"20190312164408970"</f>
        <v>20190312164408970</v>
      </c>
      <c r="B5017" t="str">
        <f>"1552380248959651"</f>
        <v>1552380248959651</v>
      </c>
      <c r="C5017" t="s">
        <v>40</v>
      </c>
      <c r="D5017">
        <v>5.1117410000000003</v>
      </c>
      <c r="E5017">
        <v>0.48235719999999999</v>
      </c>
      <c r="F5017" t="s">
        <v>58</v>
      </c>
      <c r="G5017">
        <v>-219.58850000000001</v>
      </c>
      <c r="H5017" s="1">
        <v>-3.2818530000000001E-6</v>
      </c>
      <c r="I5017">
        <v>-61.280949999999997</v>
      </c>
      <c r="J5017">
        <v>-233.0874</v>
      </c>
      <c r="K5017">
        <v>1.1097410000000001</v>
      </c>
      <c r="L5017">
        <v>-62.532530000000001</v>
      </c>
      <c r="M5017">
        <v>0.99931639999999999</v>
      </c>
      <c r="N5017">
        <v>0</v>
      </c>
      <c r="O5017">
        <v>-3.6284650000000002E-2</v>
      </c>
      <c r="P5017">
        <v>0.9916102</v>
      </c>
      <c r="Q5017">
        <v>0.1237637</v>
      </c>
      <c r="R5017">
        <v>3.731284E-2</v>
      </c>
      <c r="S5017">
        <v>3.0463559999999998</v>
      </c>
      <c r="T5017">
        <v>-0.2468196</v>
      </c>
      <c r="U5017">
        <v>0.2767944</v>
      </c>
      <c r="V5017">
        <v>-7.3450489999999993E-2</v>
      </c>
      <c r="W5017">
        <v>0.13067699999999999</v>
      </c>
      <c r="X5017">
        <v>0.98870040000000003</v>
      </c>
      <c r="Y5017">
        <v>-0.12603719999999999</v>
      </c>
      <c r="Z5017">
        <v>8.0168789999999993E-3</v>
      </c>
      <c r="AA5017">
        <v>0.99199309999999996</v>
      </c>
      <c r="AB5017">
        <v>40</v>
      </c>
      <c r="AC5017">
        <v>13.4988999999999</v>
      </c>
      <c r="AD5017">
        <v>-1.1097442818529999</v>
      </c>
      <c r="AE5017">
        <v>1.2515799999999999</v>
      </c>
      <c r="AF5017">
        <v>-1.7289852164270101</v>
      </c>
      <c r="AG5017">
        <v>-1.1097442818529999</v>
      </c>
      <c r="AH5017">
        <v>13.3551052699446</v>
      </c>
      <c r="AI5017">
        <v>94.710951982523397</v>
      </c>
      <c r="AJ5017">
        <v>97.376624959457303</v>
      </c>
      <c r="AK5017">
        <v>13.512207777451801</v>
      </c>
      <c r="AL5017">
        <v>82.491284453487197</v>
      </c>
      <c r="AM5017">
        <v>94.248695120526406</v>
      </c>
      <c r="AN5017">
        <v>0.99999996688519899</v>
      </c>
    </row>
    <row r="5018" spans="1:40" x14ac:dyDescent="0.25">
      <c r="A5018" t="str">
        <f>"20190312164408982"</f>
        <v>20190312164408982</v>
      </c>
      <c r="B5018" t="str">
        <f>"1552380248970387"</f>
        <v>1552380248970387</v>
      </c>
      <c r="C5018" t="s">
        <v>40</v>
      </c>
      <c r="D5018">
        <v>4.9656969999999996</v>
      </c>
      <c r="E5018">
        <v>0.48247190000000001</v>
      </c>
      <c r="F5018" t="s">
        <v>58</v>
      </c>
      <c r="G5018">
        <v>-219.47710000000001</v>
      </c>
      <c r="H5018" s="1">
        <v>-3.243309E-6</v>
      </c>
      <c r="I5018">
        <v>-61.277209999999997</v>
      </c>
      <c r="J5018">
        <v>-232.88740000000001</v>
      </c>
      <c r="K5018">
        <v>1.10975</v>
      </c>
      <c r="L5018">
        <v>-62.539639999999999</v>
      </c>
      <c r="M5018">
        <v>0.99932589999999999</v>
      </c>
      <c r="N5018">
        <v>0</v>
      </c>
      <c r="O5018">
        <v>-3.601062E-2</v>
      </c>
      <c r="P5018">
        <v>0.99158139999999995</v>
      </c>
      <c r="Q5018">
        <v>0.12358130000000001</v>
      </c>
      <c r="R5018">
        <v>3.8653140000000002E-2</v>
      </c>
      <c r="S5018">
        <v>3.0458219999999998</v>
      </c>
      <c r="T5018">
        <v>-0.24834790000000001</v>
      </c>
      <c r="U5018">
        <v>0.28091430000000001</v>
      </c>
      <c r="V5018">
        <v>-7.4517639999999996E-2</v>
      </c>
      <c r="W5018">
        <v>0.13055220000000001</v>
      </c>
      <c r="X5018">
        <v>0.98863699999999999</v>
      </c>
      <c r="Y5018">
        <v>-0.1271022</v>
      </c>
      <c r="Z5018">
        <v>8.0882739999999995E-3</v>
      </c>
      <c r="AA5018">
        <v>0.99185659999999998</v>
      </c>
      <c r="AB5018">
        <v>40</v>
      </c>
      <c r="AC5018">
        <v>13.410299999999999</v>
      </c>
      <c r="AD5018">
        <v>-1.109753243309</v>
      </c>
      <c r="AE5018">
        <v>1.2624299999999999</v>
      </c>
      <c r="AF5018">
        <v>-1.73277454937861</v>
      </c>
      <c r="AG5018">
        <v>-1.109753243309</v>
      </c>
      <c r="AH5018">
        <v>13.266089017308399</v>
      </c>
      <c r="AI5018">
        <v>94.741760362801202</v>
      </c>
      <c r="AJ5018">
        <v>97.441664025521405</v>
      </c>
      <c r="AK5018">
        <v>13.4247226308464</v>
      </c>
      <c r="AL5018">
        <v>82.498496525344805</v>
      </c>
      <c r="AM5018">
        <v>94.310468106630793</v>
      </c>
      <c r="AN5018">
        <v>0.99999993668250198</v>
      </c>
    </row>
    <row r="5019" spans="1:40" x14ac:dyDescent="0.25">
      <c r="A5019" t="str">
        <f>"20190312164408995"</f>
        <v>20190312164408995</v>
      </c>
      <c r="B5019" t="str">
        <f>"1552380248989907"</f>
        <v>1552380248989907</v>
      </c>
      <c r="C5019" t="s">
        <v>40</v>
      </c>
      <c r="D5019">
        <v>4.964283</v>
      </c>
      <c r="E5019">
        <v>0.48267070000000001</v>
      </c>
      <c r="F5019" t="s">
        <v>58</v>
      </c>
      <c r="G5019">
        <v>-219.31309999999999</v>
      </c>
      <c r="H5019" s="1">
        <v>-3.186695E-6</v>
      </c>
      <c r="I5019">
        <v>-61.272770000000001</v>
      </c>
      <c r="J5019">
        <v>-232.625</v>
      </c>
      <c r="K5019">
        <v>1.1097649999999999</v>
      </c>
      <c r="L5019">
        <v>-62.548830000000002</v>
      </c>
      <c r="M5019">
        <v>0.99933799999999995</v>
      </c>
      <c r="N5019">
        <v>0</v>
      </c>
      <c r="O5019">
        <v>-3.565132E-2</v>
      </c>
      <c r="P5019">
        <v>0.99156219999999995</v>
      </c>
      <c r="Q5019">
        <v>0.123115</v>
      </c>
      <c r="R5019">
        <v>4.0585320000000001E-2</v>
      </c>
      <c r="S5019">
        <v>3.04541</v>
      </c>
      <c r="T5019">
        <v>-0.24897420000000001</v>
      </c>
      <c r="U5019">
        <v>0.28421020000000002</v>
      </c>
      <c r="V5019">
        <v>-7.609262E-2</v>
      </c>
      <c r="W5019">
        <v>0.13017210000000001</v>
      </c>
      <c r="X5019">
        <v>0.98856719999999998</v>
      </c>
      <c r="Y5019">
        <v>-0.12781819999999999</v>
      </c>
      <c r="Z5019">
        <v>8.109191E-3</v>
      </c>
      <c r="AA5019">
        <v>0.99176450000000005</v>
      </c>
      <c r="AB5019">
        <v>40</v>
      </c>
      <c r="AC5019">
        <v>13.3119</v>
      </c>
      <c r="AD5019">
        <v>-1.109768186695</v>
      </c>
      <c r="AE5019">
        <v>1.27606</v>
      </c>
      <c r="AF5019">
        <v>-1.7378797491946101</v>
      </c>
      <c r="AG5019">
        <v>-1.109768186695</v>
      </c>
      <c r="AH5019">
        <v>13.1672634565981</v>
      </c>
      <c r="AI5019">
        <v>94.776409495722405</v>
      </c>
      <c r="AJ5019">
        <v>97.518719112392205</v>
      </c>
      <c r="AK5019">
        <v>13.3277394327142</v>
      </c>
      <c r="AL5019">
        <v>82.520462465661794</v>
      </c>
      <c r="AM5019">
        <v>94.401527980055207</v>
      </c>
      <c r="AN5019">
        <v>0.99999998567635695</v>
      </c>
    </row>
    <row r="5020" spans="1:40" x14ac:dyDescent="0.25">
      <c r="A5020" t="str">
        <f>"20190312164409008"</f>
        <v>20190312164409008</v>
      </c>
      <c r="B5020" t="str">
        <f>"1552380248999667"</f>
        <v>1552380248999667</v>
      </c>
      <c r="C5020" t="s">
        <v>40</v>
      </c>
      <c r="D5020">
        <v>5.2443770000000001</v>
      </c>
      <c r="E5020">
        <v>0.48278670000000001</v>
      </c>
      <c r="F5020" t="s">
        <v>58</v>
      </c>
      <c r="G5020">
        <v>-219.15979999999999</v>
      </c>
      <c r="H5020" s="1">
        <v>-3.1343440000000002E-6</v>
      </c>
      <c r="I5020">
        <v>-61.271810000000002</v>
      </c>
      <c r="J5020">
        <v>-232.4042</v>
      </c>
      <c r="K5020">
        <v>1.1097779999999999</v>
      </c>
      <c r="L5020">
        <v>-62.556489999999997</v>
      </c>
      <c r="M5020">
        <v>0.99934840000000003</v>
      </c>
      <c r="N5020">
        <v>0</v>
      </c>
      <c r="O5020">
        <v>-3.5349220000000001E-2</v>
      </c>
      <c r="P5020">
        <v>0.99151520000000004</v>
      </c>
      <c r="Q5020">
        <v>0.1230527</v>
      </c>
      <c r="R5020">
        <v>4.19058E-2</v>
      </c>
      <c r="S5020">
        <v>3.0448759999999999</v>
      </c>
      <c r="T5020">
        <v>-0.25095089999999998</v>
      </c>
      <c r="U5020">
        <v>0.28875729999999999</v>
      </c>
      <c r="V5020">
        <v>-7.7112059999999996E-2</v>
      </c>
      <c r="W5020">
        <v>0.13018440000000001</v>
      </c>
      <c r="X5020">
        <v>0.98848659999999999</v>
      </c>
      <c r="Y5020">
        <v>-0.12899089999999999</v>
      </c>
      <c r="Z5020">
        <v>8.1975550000000005E-3</v>
      </c>
      <c r="AA5020">
        <v>0.99161189999999999</v>
      </c>
      <c r="AB5020">
        <v>40</v>
      </c>
      <c r="AC5020">
        <v>13.244400000000001</v>
      </c>
      <c r="AD5020">
        <v>-1.1097811343440001</v>
      </c>
      <c r="AE5020">
        <v>1.28468</v>
      </c>
      <c r="AF5020">
        <v>-1.73996598046205</v>
      </c>
      <c r="AG5020">
        <v>-1.1097811343440001</v>
      </c>
      <c r="AH5020">
        <v>13.0995911450813</v>
      </c>
      <c r="AI5020">
        <v>94.800502101530697</v>
      </c>
      <c r="AJ5020">
        <v>97.566079807668004</v>
      </c>
      <c r="AK5020">
        <v>13.2611607315349</v>
      </c>
      <c r="AL5020">
        <v>82.519751810206898</v>
      </c>
      <c r="AM5020">
        <v>94.460622654472601</v>
      </c>
      <c r="AN5020">
        <v>1.0000000030901799</v>
      </c>
    </row>
    <row r="5021" spans="1:40" x14ac:dyDescent="0.25">
      <c r="A5021" t="str">
        <f>"20190312164409020"</f>
        <v>20190312164409020</v>
      </c>
      <c r="B5021" t="str">
        <f>"1552380249010404"</f>
        <v>1552380249010404</v>
      </c>
      <c r="C5021" t="s">
        <v>40</v>
      </c>
      <c r="D5021">
        <v>4.9591229999999999</v>
      </c>
      <c r="E5021">
        <v>0.4829079</v>
      </c>
      <c r="F5021" t="s">
        <v>58</v>
      </c>
      <c r="G5021">
        <v>-218.94309999999999</v>
      </c>
      <c r="H5021" s="1">
        <v>-3.0402379999999999E-6</v>
      </c>
      <c r="I5021">
        <v>-61.265509999999999</v>
      </c>
      <c r="J5021">
        <v>-232.1891</v>
      </c>
      <c r="K5021">
        <v>1.109793</v>
      </c>
      <c r="L5021">
        <v>-62.563899999999997</v>
      </c>
      <c r="M5021">
        <v>0.99935810000000003</v>
      </c>
      <c r="N5021">
        <v>0</v>
      </c>
      <c r="O5021">
        <v>-3.5054620000000002E-2</v>
      </c>
      <c r="P5021">
        <v>0.99149039999999999</v>
      </c>
      <c r="Q5021">
        <v>0.1226599</v>
      </c>
      <c r="R5021">
        <v>4.3606329999999999E-2</v>
      </c>
      <c r="S5021">
        <v>3.0444490000000002</v>
      </c>
      <c r="T5021">
        <v>-0.25099539999999998</v>
      </c>
      <c r="U5021">
        <v>0.29196169999999999</v>
      </c>
      <c r="V5021">
        <v>-7.8518959999999999E-2</v>
      </c>
      <c r="W5021">
        <v>0.1298658</v>
      </c>
      <c r="X5021">
        <v>0.98841769999999995</v>
      </c>
      <c r="Y5021">
        <v>-0.1297441</v>
      </c>
      <c r="Z5021">
        <v>8.2064789999999992E-3</v>
      </c>
      <c r="AA5021">
        <v>0.99151359999999999</v>
      </c>
      <c r="AB5021">
        <v>40</v>
      </c>
      <c r="AC5021">
        <v>13.246</v>
      </c>
      <c r="AD5021">
        <v>-1.109796040238</v>
      </c>
      <c r="AE5021">
        <v>1.2983899999999899</v>
      </c>
      <c r="AF5021">
        <v>-1.7497721926613801</v>
      </c>
      <c r="AG5021">
        <v>-1.109796040238</v>
      </c>
      <c r="AH5021">
        <v>13.1012514553369</v>
      </c>
      <c r="AI5021">
        <v>94.799503308768806</v>
      </c>
      <c r="AJ5021">
        <v>97.607270195867898</v>
      </c>
      <c r="AK5021">
        <v>13.264092116428699</v>
      </c>
      <c r="AL5021">
        <v>82.538162151703105</v>
      </c>
      <c r="AM5021">
        <v>94.541983981878502</v>
      </c>
      <c r="AN5021">
        <v>0.99999995138120401</v>
      </c>
    </row>
    <row r="5022" spans="1:40" x14ac:dyDescent="0.25">
      <c r="A5022" t="str">
        <f>"20190312164409031"</f>
        <v>20190312164409031</v>
      </c>
      <c r="B5022" t="str">
        <f>"1552380249020163"</f>
        <v>1552380249020163</v>
      </c>
      <c r="C5022" t="s">
        <v>40</v>
      </c>
      <c r="D5022">
        <v>5.0890510000000004</v>
      </c>
      <c r="E5022">
        <v>0.48300720000000003</v>
      </c>
      <c r="F5022" t="s">
        <v>58</v>
      </c>
      <c r="G5022">
        <v>-218.78129999999999</v>
      </c>
      <c r="H5022" s="1">
        <v>-2.9691239999999999E-6</v>
      </c>
      <c r="I5022">
        <v>-61.259239999999998</v>
      </c>
      <c r="J5022">
        <v>-231.97919999999999</v>
      </c>
      <c r="K5022">
        <v>1.1098049999999999</v>
      </c>
      <c r="L5022">
        <v>-62.571040000000004</v>
      </c>
      <c r="M5022">
        <v>0.99936749999999996</v>
      </c>
      <c r="N5022">
        <v>0</v>
      </c>
      <c r="O5022">
        <v>-3.4767439999999997E-2</v>
      </c>
      <c r="P5022">
        <v>0.99136279999999999</v>
      </c>
      <c r="Q5022">
        <v>0.12313399999999999</v>
      </c>
      <c r="R5022">
        <v>4.5145209999999998E-2</v>
      </c>
      <c r="S5022">
        <v>3.0438839999999998</v>
      </c>
      <c r="T5022">
        <v>-0.25194810000000001</v>
      </c>
      <c r="U5022">
        <v>0.29617310000000002</v>
      </c>
      <c r="V5022">
        <v>-7.9770060000000004E-2</v>
      </c>
      <c r="W5022">
        <v>0.13041839999999999</v>
      </c>
      <c r="X5022">
        <v>0.98824480000000003</v>
      </c>
      <c r="Y5022">
        <v>-0.13082869999999999</v>
      </c>
      <c r="Z5022">
        <v>8.2595350000000001E-3</v>
      </c>
      <c r="AA5022">
        <v>0.99137059999999999</v>
      </c>
      <c r="AB5022">
        <v>40</v>
      </c>
      <c r="AC5022">
        <v>13.197900000000001</v>
      </c>
      <c r="AD5022">
        <v>-1.1098079691239999</v>
      </c>
      <c r="AE5022">
        <v>1.3117999999999901</v>
      </c>
      <c r="AF5022">
        <v>-1.75757053397478</v>
      </c>
      <c r="AG5022">
        <v>-1.1098079691239999</v>
      </c>
      <c r="AH5022">
        <v>13.052915949134</v>
      </c>
      <c r="AI5022">
        <v>94.816554450413307</v>
      </c>
      <c r="AJ5022">
        <v>97.668732441781998</v>
      </c>
      <c r="AK5022">
        <v>13.217387891916699</v>
      </c>
      <c r="AL5022">
        <v>82.506229311086301</v>
      </c>
      <c r="AM5022">
        <v>94.614848455403902</v>
      </c>
      <c r="AN5022">
        <v>1.0000000031289999</v>
      </c>
    </row>
    <row r="5023" spans="1:40" x14ac:dyDescent="0.25">
      <c r="A5023" t="str">
        <f>"20190312164409044"</f>
        <v>20190312164409044</v>
      </c>
      <c r="B5023" t="str">
        <f>"1552380249039685"</f>
        <v>1552380249039685</v>
      </c>
      <c r="C5023" t="s">
        <v>40</v>
      </c>
      <c r="D5023">
        <v>4.9517129999999998</v>
      </c>
      <c r="E5023">
        <v>0.48325679999999999</v>
      </c>
      <c r="F5023" t="s">
        <v>58</v>
      </c>
      <c r="G5023">
        <v>-218.5008</v>
      </c>
      <c r="H5023" s="1">
        <v>-2.844314E-6</v>
      </c>
      <c r="I5023">
        <v>-61.242370000000001</v>
      </c>
      <c r="J5023">
        <v>-231.75559999999999</v>
      </c>
      <c r="K5023">
        <v>1.1098140000000001</v>
      </c>
      <c r="L5023">
        <v>-62.578609999999998</v>
      </c>
      <c r="M5023">
        <v>0.99937739999999997</v>
      </c>
      <c r="N5023">
        <v>0</v>
      </c>
      <c r="O5023">
        <v>-3.4461449999999998E-2</v>
      </c>
      <c r="P5023">
        <v>0.99129639999999997</v>
      </c>
      <c r="Q5023">
        <v>0.1231202</v>
      </c>
      <c r="R5023">
        <v>4.6614799999999998E-2</v>
      </c>
      <c r="S5023">
        <v>3.0436100000000001</v>
      </c>
      <c r="T5023">
        <v>-0.25060880000000002</v>
      </c>
      <c r="U5023">
        <v>0.30001830000000002</v>
      </c>
      <c r="V5023">
        <v>-8.0934099999999995E-2</v>
      </c>
      <c r="W5023">
        <v>0.13049269999999999</v>
      </c>
      <c r="X5023">
        <v>0.98814029999999997</v>
      </c>
      <c r="Y5023">
        <v>-0.13177809999999901</v>
      </c>
      <c r="Z5023">
        <v>8.2298519999999993E-3</v>
      </c>
      <c r="AA5023">
        <v>0.99124509999999999</v>
      </c>
      <c r="AB5023">
        <v>40</v>
      </c>
      <c r="AC5023">
        <v>13.2547999999999</v>
      </c>
      <c r="AD5023">
        <v>-1.109816844314</v>
      </c>
      <c r="AE5023">
        <v>1.3362400000000001</v>
      </c>
      <c r="AF5023">
        <v>-1.77988639861999</v>
      </c>
      <c r="AG5023">
        <v>-1.109816844314</v>
      </c>
      <c r="AH5023">
        <v>13.1098927091848</v>
      </c>
      <c r="AI5023">
        <v>94.795049364798004</v>
      </c>
      <c r="AJ5023">
        <v>97.731583755629003</v>
      </c>
      <c r="AK5023">
        <v>13.276632700585299</v>
      </c>
      <c r="AL5023">
        <v>82.5019352373548</v>
      </c>
      <c r="AM5023">
        <v>94.682386059082802</v>
      </c>
      <c r="AN5023">
        <v>0.99999996289009396</v>
      </c>
    </row>
    <row r="5024" spans="1:40" x14ac:dyDescent="0.25">
      <c r="A5024" t="str">
        <f>"20190312164409058"</f>
        <v>20190312164409058</v>
      </c>
      <c r="B5024" t="str">
        <f>"1552380249050419"</f>
        <v>1552380249050419</v>
      </c>
      <c r="C5024" t="s">
        <v>40</v>
      </c>
      <c r="D5024">
        <v>4.994707</v>
      </c>
      <c r="E5024">
        <v>0.48334369999999999</v>
      </c>
      <c r="F5024" t="s">
        <v>58</v>
      </c>
      <c r="G5024">
        <v>-218.31440000000001</v>
      </c>
      <c r="H5024" s="1">
        <v>-2.7646549999999998E-6</v>
      </c>
      <c r="I5024">
        <v>-61.243499999999997</v>
      </c>
      <c r="J5024">
        <v>-231.4837</v>
      </c>
      <c r="K5024">
        <v>1.1098319999999999</v>
      </c>
      <c r="L5024">
        <v>-62.587739999999997</v>
      </c>
      <c r="M5024">
        <v>0.99938919999999998</v>
      </c>
      <c r="N5024">
        <v>0</v>
      </c>
      <c r="O5024">
        <v>-3.4090099999999998E-2</v>
      </c>
      <c r="P5024">
        <v>0.99106459999999996</v>
      </c>
      <c r="Q5024">
        <v>0.1238452</v>
      </c>
      <c r="R5024">
        <v>4.9533859999999999E-2</v>
      </c>
      <c r="S5024">
        <v>3.043304</v>
      </c>
      <c r="T5024">
        <v>-0.25128</v>
      </c>
      <c r="U5024">
        <v>0.30227659999999901</v>
      </c>
      <c r="V5024">
        <v>-8.3477819999999994E-2</v>
      </c>
      <c r="W5024">
        <v>0.13133220000000001</v>
      </c>
      <c r="X5024">
        <v>0.98781750000000001</v>
      </c>
      <c r="Y5024">
        <v>-0.13214489999999901</v>
      </c>
      <c r="Z5024">
        <v>8.2368830000000004E-3</v>
      </c>
      <c r="AA5024">
        <v>0.99119619999999997</v>
      </c>
      <c r="AB5024">
        <v>40</v>
      </c>
      <c r="AC5024">
        <v>13.1692999999999</v>
      </c>
      <c r="AD5024">
        <v>-1.109834764655</v>
      </c>
      <c r="AE5024">
        <v>1.3442400000000001</v>
      </c>
      <c r="AF5024">
        <v>-1.7799038172387001</v>
      </c>
      <c r="AG5024">
        <v>-1.109834764655</v>
      </c>
      <c r="AH5024">
        <v>13.024271637632999</v>
      </c>
      <c r="AI5024">
        <v>94.825926785942201</v>
      </c>
      <c r="AJ5024">
        <v>97.781865359750597</v>
      </c>
      <c r="AK5024">
        <v>13.1920977291069</v>
      </c>
      <c r="AL5024">
        <v>82.4534185693891</v>
      </c>
      <c r="AM5024">
        <v>94.830436359588802</v>
      </c>
      <c r="AN5024">
        <v>1.00000005324751</v>
      </c>
    </row>
    <row r="5025" spans="1:40" x14ac:dyDescent="0.25">
      <c r="A5025" t="str">
        <f>"20190312164409069"</f>
        <v>20190312164409069</v>
      </c>
      <c r="B5025" t="str">
        <f>"1552380249060179"</f>
        <v>1552380249060179</v>
      </c>
      <c r="C5025" t="s">
        <v>40</v>
      </c>
      <c r="D5025">
        <v>5.136787</v>
      </c>
      <c r="E5025">
        <v>0.48344229999999999</v>
      </c>
      <c r="F5025" t="s">
        <v>58</v>
      </c>
      <c r="G5025">
        <v>-217.9365</v>
      </c>
      <c r="H5025" s="1">
        <v>-2.592986E-6</v>
      </c>
      <c r="I5025">
        <v>-61.207599999999999</v>
      </c>
      <c r="J5025">
        <v>-231.28210000000001</v>
      </c>
      <c r="K5025">
        <v>1.1098479999999999</v>
      </c>
      <c r="L5025">
        <v>-62.594389999999997</v>
      </c>
      <c r="M5025">
        <v>0.9993978</v>
      </c>
      <c r="N5025">
        <v>0</v>
      </c>
      <c r="O5025">
        <v>-3.3814530000000002E-2</v>
      </c>
      <c r="P5025">
        <v>0.99104999999999999</v>
      </c>
      <c r="Q5025">
        <v>0.12341779999999999</v>
      </c>
      <c r="R5025">
        <v>5.0872470000000003E-2</v>
      </c>
      <c r="S5025">
        <v>3.0427089999999999</v>
      </c>
      <c r="T5025">
        <v>-0.24926909999999999</v>
      </c>
      <c r="U5025">
        <v>0.30996699999999999</v>
      </c>
      <c r="V5025">
        <v>-8.4542759999999995E-2</v>
      </c>
      <c r="W5025">
        <v>0.130998</v>
      </c>
      <c r="X5025">
        <v>0.98777130000000002</v>
      </c>
      <c r="Y5025">
        <v>-0.13437289999999999</v>
      </c>
      <c r="Z5025">
        <v>8.2401680000000008E-3</v>
      </c>
      <c r="AA5025">
        <v>0.99089660000000002</v>
      </c>
      <c r="AB5025">
        <v>40</v>
      </c>
      <c r="AC5025">
        <v>13.345599999999999</v>
      </c>
      <c r="AD5025">
        <v>-1.1098505929860001</v>
      </c>
      <c r="AE5025">
        <v>1.38679</v>
      </c>
      <c r="AF5025">
        <v>-1.82480031294707</v>
      </c>
      <c r="AG5025">
        <v>-1.1098505929860001</v>
      </c>
      <c r="AH5025">
        <v>13.2007517927496</v>
      </c>
      <c r="AI5025">
        <v>94.760769135109697</v>
      </c>
      <c r="AJ5025">
        <v>97.870379490276406</v>
      </c>
      <c r="AK5025">
        <v>13.372416102360299</v>
      </c>
      <c r="AL5025">
        <v>82.472733648120396</v>
      </c>
      <c r="AM5025">
        <v>94.891989549639106</v>
      </c>
      <c r="AN5025">
        <v>1.00000004768805</v>
      </c>
    </row>
    <row r="5026" spans="1:40" x14ac:dyDescent="0.25">
      <c r="A5026" t="str">
        <f>"20190312164409081"</f>
        <v>20190312164409081</v>
      </c>
      <c r="B5026" t="str">
        <f>"1552380249069940"</f>
        <v>1552380249069940</v>
      </c>
      <c r="C5026" t="s">
        <v>40</v>
      </c>
      <c r="D5026">
        <v>4.9898930000000004</v>
      </c>
      <c r="E5026">
        <v>0.48358770000000001</v>
      </c>
      <c r="F5026" t="s">
        <v>58</v>
      </c>
      <c r="G5026">
        <v>-217.7937</v>
      </c>
      <c r="H5026" s="1">
        <v>-2.531147E-6</v>
      </c>
      <c r="I5026">
        <v>-61.205390000000001</v>
      </c>
      <c r="J5026">
        <v>-231.07830000000001</v>
      </c>
      <c r="K5026">
        <v>1.1098629999999901</v>
      </c>
      <c r="L5026">
        <v>-62.601100000000002</v>
      </c>
      <c r="M5026">
        <v>0.99940649999999998</v>
      </c>
      <c r="N5026">
        <v>0</v>
      </c>
      <c r="O5026">
        <v>-3.3536240000000002E-2</v>
      </c>
      <c r="P5026">
        <v>0.99099130000000002</v>
      </c>
      <c r="Q5026">
        <v>0.1233447</v>
      </c>
      <c r="R5026">
        <v>5.217844E-2</v>
      </c>
      <c r="S5026">
        <v>3.0421909999999999</v>
      </c>
      <c r="T5026">
        <v>-0.25031690000000001</v>
      </c>
      <c r="U5026">
        <v>0.31326290000000001</v>
      </c>
      <c r="V5026">
        <v>-8.5571149999999999E-2</v>
      </c>
      <c r="W5026">
        <v>0.13101979999999999</v>
      </c>
      <c r="X5026">
        <v>0.9876798</v>
      </c>
      <c r="Y5026">
        <v>-0.13516979999999901</v>
      </c>
      <c r="Z5026">
        <v>8.2854799999999996E-3</v>
      </c>
      <c r="AA5026">
        <v>0.9907878</v>
      </c>
      <c r="AB5026">
        <v>40</v>
      </c>
      <c r="AC5026">
        <v>13.284599999999999</v>
      </c>
      <c r="AD5026">
        <v>-1.10986553114699</v>
      </c>
      <c r="AE5026">
        <v>1.39571</v>
      </c>
      <c r="AF5026">
        <v>-1.8278355420891099</v>
      </c>
      <c r="AG5026">
        <v>-1.10986553114699</v>
      </c>
      <c r="AH5026">
        <v>13.1396079322116</v>
      </c>
      <c r="AI5026">
        <v>94.782318201750499</v>
      </c>
      <c r="AJ5026">
        <v>97.919525781301303</v>
      </c>
      <c r="AK5026">
        <v>13.3124783897812</v>
      </c>
      <c r="AL5026">
        <v>82.471473368955799</v>
      </c>
      <c r="AM5026">
        <v>94.951658763077404</v>
      </c>
      <c r="AN5026">
        <v>0.99999999851620103</v>
      </c>
    </row>
    <row r="5027" spans="1:40" x14ac:dyDescent="0.25">
      <c r="A5027" t="str">
        <f>"20190312164409092"</f>
        <v>20190312164409092</v>
      </c>
      <c r="B5027" t="str">
        <f>"1552380249079700"</f>
        <v>1552380249079700</v>
      </c>
      <c r="C5027" t="s">
        <v>40</v>
      </c>
      <c r="D5027">
        <v>5.1065170000000002</v>
      </c>
      <c r="E5027">
        <v>0.48358770000000001</v>
      </c>
      <c r="F5027" t="s">
        <v>58</v>
      </c>
      <c r="G5027">
        <v>-217.61500000000001</v>
      </c>
      <c r="H5027" s="1">
        <v>-2.4535190000000002E-6</v>
      </c>
      <c r="I5027">
        <v>-61.201830000000001</v>
      </c>
      <c r="J5027">
        <v>-230.88130000000001</v>
      </c>
      <c r="K5027">
        <v>1.1098809999999999</v>
      </c>
      <c r="L5027">
        <v>-62.607480000000002</v>
      </c>
      <c r="M5027">
        <v>0.99941460000000004</v>
      </c>
      <c r="N5027">
        <v>0</v>
      </c>
      <c r="O5027">
        <v>-3.3267400000000003E-2</v>
      </c>
      <c r="P5027">
        <v>0.990954</v>
      </c>
      <c r="Q5027">
        <v>0.123041899999999</v>
      </c>
      <c r="R5027">
        <v>5.358284E-2</v>
      </c>
      <c r="S5027">
        <v>3.0418400000000001</v>
      </c>
      <c r="T5027">
        <v>-0.2507566</v>
      </c>
      <c r="U5027">
        <v>0.31613160000000001</v>
      </c>
      <c r="V5027">
        <v>-8.6708399999999894E-2</v>
      </c>
      <c r="W5027">
        <v>0.1308222</v>
      </c>
      <c r="X5027">
        <v>0.98760680000000001</v>
      </c>
      <c r="Y5027">
        <v>-0.13583609999999999</v>
      </c>
      <c r="Z5027">
        <v>8.3058149999999994E-3</v>
      </c>
      <c r="AA5027">
        <v>0.99069649999999998</v>
      </c>
      <c r="AB5027">
        <v>40</v>
      </c>
      <c r="AC5027">
        <v>13.266299999999999</v>
      </c>
      <c r="AD5027">
        <v>-1.1098834535190001</v>
      </c>
      <c r="AE5027">
        <v>1.4056499999999901</v>
      </c>
      <c r="AF5027">
        <v>-1.8335303132507199</v>
      </c>
      <c r="AG5027">
        <v>-1.1098834535190001</v>
      </c>
      <c r="AH5027">
        <v>13.1213717479033</v>
      </c>
      <c r="AI5027">
        <v>94.788601829026405</v>
      </c>
      <c r="AJ5027">
        <v>97.954784439813693</v>
      </c>
      <c r="AK5027">
        <v>13.2952649930973</v>
      </c>
      <c r="AL5027">
        <v>82.482893267166503</v>
      </c>
      <c r="AM5027">
        <v>95.017502108617094</v>
      </c>
      <c r="AN5027">
        <v>0.99999999302482001</v>
      </c>
    </row>
    <row r="5028" spans="1:40" x14ac:dyDescent="0.25">
      <c r="A5028" t="str">
        <f>"20190312164409106"</f>
        <v>20190312164409106</v>
      </c>
      <c r="B5028" t="str">
        <f>"1552380249100196"</f>
        <v>1552380249100196</v>
      </c>
      <c r="C5028" t="s">
        <v>40</v>
      </c>
      <c r="D5028">
        <v>5.2938460000000003</v>
      </c>
      <c r="E5028">
        <v>0.49317139999999998</v>
      </c>
      <c r="F5028" t="s">
        <v>58</v>
      </c>
      <c r="G5028">
        <v>-217.47030000000001</v>
      </c>
      <c r="H5028" s="1">
        <v>-2.3895600000000001E-6</v>
      </c>
      <c r="I5028">
        <v>-61.194710000000001</v>
      </c>
      <c r="J5028">
        <v>-230.64009999999999</v>
      </c>
      <c r="K5028">
        <v>1.1099110000000001</v>
      </c>
      <c r="L5028">
        <v>-62.615299999999998</v>
      </c>
      <c r="M5028">
        <v>0.99942419999999998</v>
      </c>
      <c r="N5028">
        <v>0</v>
      </c>
      <c r="O5028">
        <v>-3.2938330000000002E-2</v>
      </c>
      <c r="P5028">
        <v>0.99087210000000003</v>
      </c>
      <c r="Q5028">
        <v>0.12311610000000001</v>
      </c>
      <c r="R5028">
        <v>5.4911099999999997E-2</v>
      </c>
      <c r="S5028">
        <v>3.0413209999999999</v>
      </c>
      <c r="T5028">
        <v>-0.2516968</v>
      </c>
      <c r="U5028">
        <v>0.32037349999999998</v>
      </c>
      <c r="V5028">
        <v>-8.7708549999999996E-2</v>
      </c>
      <c r="W5028">
        <v>0.1310288</v>
      </c>
      <c r="X5028">
        <v>0.98749109999999996</v>
      </c>
      <c r="Y5028">
        <v>-0.13688729999999999</v>
      </c>
      <c r="Z5028">
        <v>8.3538610000000006E-3</v>
      </c>
      <c r="AA5028">
        <v>0.99055139999999997</v>
      </c>
      <c r="AB5028">
        <v>40</v>
      </c>
      <c r="AC5028">
        <v>13.169799999999899</v>
      </c>
      <c r="AD5028">
        <v>-1.10991338956</v>
      </c>
      <c r="AE5028">
        <v>1.42058999999999</v>
      </c>
      <c r="AF5028">
        <v>-1.84070125377806</v>
      </c>
      <c r="AG5028">
        <v>-1.10991338956</v>
      </c>
      <c r="AH5028">
        <v>13.024416229341099</v>
      </c>
      <c r="AI5028">
        <v>94.823158228946497</v>
      </c>
      <c r="AJ5028">
        <v>98.044164890543897</v>
      </c>
      <c r="AK5028">
        <v>13.2005873715191</v>
      </c>
      <c r="AL5028">
        <v>82.470953267214796</v>
      </c>
      <c r="AM5028">
        <v>95.075668161695802</v>
      </c>
      <c r="AN5028">
        <v>1.0000000043758701</v>
      </c>
    </row>
    <row r="5029" spans="1:40" x14ac:dyDescent="0.25">
      <c r="A5029" t="str">
        <f>"20190312164409116"</f>
        <v>20190312164409116</v>
      </c>
      <c r="B5029" t="str">
        <f>"1552380249109955"</f>
        <v>1552380249109955</v>
      </c>
      <c r="C5029" t="s">
        <v>40</v>
      </c>
      <c r="D5029">
        <v>4.9938699999999896</v>
      </c>
      <c r="E5029">
        <v>0.4919306</v>
      </c>
      <c r="F5029" t="s">
        <v>58</v>
      </c>
      <c r="G5029">
        <v>-219.09010000000001</v>
      </c>
      <c r="H5029" s="1">
        <v>-3.1811279999999998E-6</v>
      </c>
      <c r="I5029">
        <v>-61.669269999999997</v>
      </c>
      <c r="J5029">
        <v>-230.4306</v>
      </c>
      <c r="K5029">
        <v>1.1099319999999999</v>
      </c>
      <c r="L5029">
        <v>-62.621980000000001</v>
      </c>
      <c r="M5029">
        <v>0.99943269999999995</v>
      </c>
      <c r="N5029">
        <v>0</v>
      </c>
      <c r="O5029">
        <v>-3.265274E-2</v>
      </c>
      <c r="P5029">
        <v>0.99076660000000005</v>
      </c>
      <c r="Q5029">
        <v>0.1232425</v>
      </c>
      <c r="R5029">
        <v>5.6507099999999998E-2</v>
      </c>
      <c r="S5029">
        <v>3.0502319999999998</v>
      </c>
      <c r="T5029">
        <v>-0.29311419999999999</v>
      </c>
      <c r="U5029">
        <v>0.24981690000000001</v>
      </c>
      <c r="V5029">
        <v>-8.9018810000000004E-2</v>
      </c>
      <c r="W5029">
        <v>0.13127510000000001</v>
      </c>
      <c r="X5029">
        <v>0.98734109999999997</v>
      </c>
      <c r="Y5029">
        <v>-0.11346000000000001</v>
      </c>
      <c r="Z5029">
        <v>8.5560649999999999E-3</v>
      </c>
      <c r="AA5029">
        <v>0.99350570000000005</v>
      </c>
      <c r="AB5029">
        <v>41</v>
      </c>
      <c r="AC5029">
        <v>11.340499999999899</v>
      </c>
      <c r="AD5029">
        <v>-1.1099351811279901</v>
      </c>
      <c r="AE5029">
        <v>0.95271000000001005</v>
      </c>
      <c r="AF5029">
        <v>-1.31005159758114</v>
      </c>
      <c r="AG5029">
        <v>-1.1099351811279901</v>
      </c>
      <c r="AH5029">
        <v>11.196837233911101</v>
      </c>
      <c r="AI5029">
        <v>95.623088800174102</v>
      </c>
      <c r="AJ5029">
        <v>96.6733756989032</v>
      </c>
      <c r="AK5029">
        <v>11.3277250733467</v>
      </c>
      <c r="AL5029">
        <v>82.4567181297204</v>
      </c>
      <c r="AM5029">
        <v>95.151865946841994</v>
      </c>
      <c r="AN5029">
        <v>0.99999997408151697</v>
      </c>
    </row>
    <row r="5030" spans="1:40" x14ac:dyDescent="0.25">
      <c r="A5030" t="str">
        <f>"20190312164409127"</f>
        <v>20190312164409127</v>
      </c>
      <c r="B5030" t="str">
        <f>"1552380249119716"</f>
        <v>1552380249119716</v>
      </c>
      <c r="C5030" t="s">
        <v>40</v>
      </c>
      <c r="D5030">
        <v>4.9521600000000001</v>
      </c>
      <c r="E5030">
        <v>0.49101879999999998</v>
      </c>
      <c r="F5030" t="s">
        <v>58</v>
      </c>
      <c r="G5030">
        <v>-218.62049999999999</v>
      </c>
      <c r="H5030" s="1">
        <v>-2.990399E-6</v>
      </c>
      <c r="I5030">
        <v>-61.59843</v>
      </c>
      <c r="J5030">
        <v>-230.24510000000001</v>
      </c>
      <c r="K5030">
        <v>1.1099509999999999</v>
      </c>
      <c r="L5030">
        <v>-62.627839999999999</v>
      </c>
      <c r="M5030">
        <v>0.99944</v>
      </c>
      <c r="N5030">
        <v>0</v>
      </c>
      <c r="O5030">
        <v>-3.2400039999999998E-2</v>
      </c>
      <c r="P5030">
        <v>0.99066379999999998</v>
      </c>
      <c r="Q5030">
        <v>0.1234485</v>
      </c>
      <c r="R5030">
        <v>5.7841389999999999E-2</v>
      </c>
      <c r="S5030">
        <v>3.0485229999999999</v>
      </c>
      <c r="T5030">
        <v>-0.2865046</v>
      </c>
      <c r="U5030">
        <v>0.2641907</v>
      </c>
      <c r="V5030">
        <v>-9.0099659999999998E-2</v>
      </c>
      <c r="W5030">
        <v>0.13159219999999999</v>
      </c>
      <c r="X5030">
        <v>0.98720090000000005</v>
      </c>
      <c r="Y5030">
        <v>-0.1179153</v>
      </c>
      <c r="Z5030">
        <v>8.551899E-3</v>
      </c>
      <c r="AA5030">
        <v>0.99298690000000001</v>
      </c>
      <c r="AB5030">
        <v>41</v>
      </c>
      <c r="AC5030">
        <v>11.624599999999999</v>
      </c>
      <c r="AD5030">
        <v>-1.1099539903989999</v>
      </c>
      <c r="AE5030">
        <v>1.0294099999999899</v>
      </c>
      <c r="AF5030">
        <v>-1.3929196814485501</v>
      </c>
      <c r="AG5030">
        <v>-1.1099539903989999</v>
      </c>
      <c r="AH5030">
        <v>11.481281493313601</v>
      </c>
      <c r="AI5030">
        <v>95.481965935572404</v>
      </c>
      <c r="AJ5030">
        <v>96.917370724209704</v>
      </c>
      <c r="AK5030">
        <v>11.618607826606199</v>
      </c>
      <c r="AL5030">
        <v>82.438391119959704</v>
      </c>
      <c r="AM5030">
        <v>95.214812629378997</v>
      </c>
      <c r="AN5030">
        <v>1.00000003639688</v>
      </c>
    </row>
    <row r="5031" spans="1:40" x14ac:dyDescent="0.25">
      <c r="A5031" t="str">
        <f>"20190312164409138"</f>
        <v>20190312164409138</v>
      </c>
      <c r="B5031" t="str">
        <f>"1552380249129476"</f>
        <v>1552380249129476</v>
      </c>
      <c r="C5031" t="s">
        <v>40</v>
      </c>
      <c r="D5031">
        <v>5.1566720000000004</v>
      </c>
      <c r="E5031">
        <v>0.49072060000000001</v>
      </c>
      <c r="F5031" t="s">
        <v>58</v>
      </c>
      <c r="G5031">
        <v>-218.20330000000001</v>
      </c>
      <c r="H5031" s="1">
        <v>-2.796221E-6</v>
      </c>
      <c r="I5031">
        <v>-61.541319999999899</v>
      </c>
      <c r="J5031">
        <v>-230.04339999999999</v>
      </c>
      <c r="K5031">
        <v>1.109974</v>
      </c>
      <c r="L5031">
        <v>-62.6342199999999</v>
      </c>
      <c r="M5031">
        <v>0.9994478</v>
      </c>
      <c r="N5031">
        <v>0</v>
      </c>
      <c r="O5031">
        <v>-3.212545E-2</v>
      </c>
      <c r="P5031">
        <v>0.99056829999999996</v>
      </c>
      <c r="Q5031">
        <v>0.1236488</v>
      </c>
      <c r="R5031">
        <v>5.9041080000000003E-2</v>
      </c>
      <c r="S5031">
        <v>3.0472410000000001</v>
      </c>
      <c r="T5031">
        <v>-0.28087719999999999</v>
      </c>
      <c r="U5031">
        <v>0.27493289999999998</v>
      </c>
      <c r="V5031">
        <v>-9.1025350000000005E-2</v>
      </c>
      <c r="W5031">
        <v>0.13191739999999999</v>
      </c>
      <c r="X5031">
        <v>0.98707250000000002</v>
      </c>
      <c r="Y5031">
        <v>-0.1211638</v>
      </c>
      <c r="Z5031">
        <v>8.5107710000000003E-3</v>
      </c>
      <c r="AA5031">
        <v>0.99259600000000003</v>
      </c>
      <c r="AB5031">
        <v>41</v>
      </c>
      <c r="AC5031">
        <v>11.8400999999999</v>
      </c>
      <c r="AD5031">
        <v>-1.1099767962209901</v>
      </c>
      <c r="AE5031">
        <v>1.0929</v>
      </c>
      <c r="AF5031">
        <v>-1.45999526198621</v>
      </c>
      <c r="AG5031">
        <v>-1.1099767962209901</v>
      </c>
      <c r="AH5031">
        <v>11.6969463702067</v>
      </c>
      <c r="AI5031">
        <v>95.379331844968206</v>
      </c>
      <c r="AJ5031">
        <v>97.114776737935401</v>
      </c>
      <c r="AK5031">
        <v>11.8398559552328</v>
      </c>
      <c r="AL5031">
        <v>82.419594146722304</v>
      </c>
      <c r="AM5031">
        <v>95.268771460505107</v>
      </c>
      <c r="AN5031">
        <v>0.99999996751081499</v>
      </c>
    </row>
    <row r="5032" spans="1:40" x14ac:dyDescent="0.25">
      <c r="A5032" t="str">
        <f>"20190312164409148"</f>
        <v>20190312164409148</v>
      </c>
      <c r="B5032" t="str">
        <f>"1552380249140213"</f>
        <v>1552380249140213</v>
      </c>
      <c r="C5032" t="s">
        <v>40</v>
      </c>
      <c r="D5032">
        <v>5.1318590000000004</v>
      </c>
      <c r="E5032">
        <v>0.49054579999999998</v>
      </c>
      <c r="F5032" t="s">
        <v>58</v>
      </c>
      <c r="G5032">
        <v>-217.8886</v>
      </c>
      <c r="H5032" s="1">
        <v>-2.6540860000000002E-6</v>
      </c>
      <c r="I5032">
        <v>-61.514499999999998</v>
      </c>
      <c r="J5032">
        <v>-229.857</v>
      </c>
      <c r="K5032">
        <v>1.1099920000000001</v>
      </c>
      <c r="L5032">
        <v>-62.639980000000001</v>
      </c>
      <c r="M5032">
        <v>0.99945470000000003</v>
      </c>
      <c r="N5032">
        <v>0</v>
      </c>
      <c r="O5032">
        <v>-3.1871839999999999E-2</v>
      </c>
      <c r="P5032">
        <v>0.99044100000000002</v>
      </c>
      <c r="Q5032">
        <v>0.124041</v>
      </c>
      <c r="R5032">
        <v>6.0336519999999998E-2</v>
      </c>
      <c r="S5032">
        <v>3.0465849999999999</v>
      </c>
      <c r="T5032">
        <v>-0.27821400000000002</v>
      </c>
      <c r="U5032">
        <v>0.28063959999999999</v>
      </c>
      <c r="V5032">
        <v>-9.2066190000000006E-2</v>
      </c>
      <c r="W5032">
        <v>0.1324303</v>
      </c>
      <c r="X5032">
        <v>0.98690730000000004</v>
      </c>
      <c r="Y5032">
        <v>-0.1227813</v>
      </c>
      <c r="Z5032">
        <v>8.4819969999999998E-3</v>
      </c>
      <c r="AA5032">
        <v>0.99239750000000004</v>
      </c>
      <c r="AB5032">
        <v>41</v>
      </c>
      <c r="AC5032">
        <v>11.968400000000001</v>
      </c>
      <c r="AD5032">
        <v>-1.109994654086</v>
      </c>
      <c r="AE5032">
        <v>1.12548</v>
      </c>
      <c r="AF5032">
        <v>-1.4936424959146299</v>
      </c>
      <c r="AG5032">
        <v>-1.109994654086</v>
      </c>
      <c r="AH5032">
        <v>11.825621317306799</v>
      </c>
      <c r="AI5032">
        <v>95.320249615622799</v>
      </c>
      <c r="AJ5032">
        <v>97.198660423628397</v>
      </c>
      <c r="AK5032">
        <v>11.9711476299494</v>
      </c>
      <c r="AL5032">
        <v>82.389947229626799</v>
      </c>
      <c r="AM5032">
        <v>95.329559823463498</v>
      </c>
      <c r="AN5032">
        <v>0.999999993246248</v>
      </c>
    </row>
    <row r="5033" spans="1:40" x14ac:dyDescent="0.25">
      <c r="A5033" t="str">
        <f>"20190312164409159"</f>
        <v>20190312164409159</v>
      </c>
      <c r="B5033" t="str">
        <f>"1552380249149972"</f>
        <v>1552380249149972</v>
      </c>
      <c r="C5033" t="s">
        <v>40</v>
      </c>
      <c r="D5033">
        <v>5.0706920000000002</v>
      </c>
      <c r="E5033">
        <v>0.49082690000000001</v>
      </c>
      <c r="F5033" t="s">
        <v>58</v>
      </c>
      <c r="G5033">
        <v>-217.60740000000001</v>
      </c>
      <c r="H5033" s="1">
        <v>-2.5274550000000002E-6</v>
      </c>
      <c r="I5033">
        <v>-61.491970000000002</v>
      </c>
      <c r="J5033">
        <v>-229.6619</v>
      </c>
      <c r="K5033">
        <v>1.110012</v>
      </c>
      <c r="L5033">
        <v>-62.646059999999999</v>
      </c>
      <c r="M5033">
        <v>0.99946210000000002</v>
      </c>
      <c r="N5033">
        <v>0</v>
      </c>
      <c r="O5033">
        <v>-3.160657E-2</v>
      </c>
      <c r="P5033">
        <v>0.99032679999999995</v>
      </c>
      <c r="Q5033">
        <v>0.1242823</v>
      </c>
      <c r="R5033">
        <v>6.1702279999999998E-2</v>
      </c>
      <c r="S5033">
        <v>3.0461119999999999</v>
      </c>
      <c r="T5033">
        <v>-0.27602100000000002</v>
      </c>
      <c r="U5033">
        <v>0.28546139999999998</v>
      </c>
      <c r="V5033">
        <v>-9.316692E-2</v>
      </c>
      <c r="W5033">
        <v>0.1327999</v>
      </c>
      <c r="X5033">
        <v>0.98675440000000003</v>
      </c>
      <c r="Y5033">
        <v>-0.124095</v>
      </c>
      <c r="Z5033">
        <v>8.4514450000000001E-3</v>
      </c>
      <c r="AA5033">
        <v>0.99223430000000001</v>
      </c>
      <c r="AB5033">
        <v>41</v>
      </c>
      <c r="AC5033">
        <v>12.0544999999999</v>
      </c>
      <c r="AD5033">
        <v>-1.110014527455</v>
      </c>
      <c r="AE5033">
        <v>1.1540900000000001</v>
      </c>
      <c r="AF5033">
        <v>-1.5217432491629801</v>
      </c>
      <c r="AG5033">
        <v>-1.110014527455</v>
      </c>
      <c r="AH5033">
        <v>11.9119117161258</v>
      </c>
      <c r="AI5033">
        <v>95.281074241826204</v>
      </c>
      <c r="AJ5033">
        <v>97.280086385958697</v>
      </c>
      <c r="AK5033">
        <v>12.059911919259999</v>
      </c>
      <c r="AL5033">
        <v>82.368582570786202</v>
      </c>
      <c r="AM5033">
        <v>95.393736507078501</v>
      </c>
      <c r="AN5033">
        <v>1.00000006717082</v>
      </c>
    </row>
    <row r="5034" spans="1:40" x14ac:dyDescent="0.25">
      <c r="A5034" t="str">
        <f>"20190312164409171"</f>
        <v>20190312164409171</v>
      </c>
      <c r="B5034" t="str">
        <f>"1552380249159732"</f>
        <v>1552380249159732</v>
      </c>
      <c r="C5034" t="s">
        <v>40</v>
      </c>
      <c r="D5034">
        <v>5.0783550000000002</v>
      </c>
      <c r="E5034">
        <v>0.49085960000000001</v>
      </c>
      <c r="F5034" t="s">
        <v>58</v>
      </c>
      <c r="G5034">
        <v>-217.7647</v>
      </c>
      <c r="H5034" s="1">
        <v>-2.603379E-6</v>
      </c>
      <c r="I5034">
        <v>-61.523670000000003</v>
      </c>
      <c r="J5034">
        <v>-229.45070000000001</v>
      </c>
      <c r="K5034">
        <v>1.110036</v>
      </c>
      <c r="L5034">
        <v>-62.652500000000003</v>
      </c>
      <c r="M5034">
        <v>0.99946979999999996</v>
      </c>
      <c r="N5034">
        <v>0</v>
      </c>
      <c r="O5034">
        <v>-3.1319449999999999E-2</v>
      </c>
      <c r="P5034">
        <v>0.99023130000000004</v>
      </c>
      <c r="Q5034">
        <v>0.1242914</v>
      </c>
      <c r="R5034">
        <v>6.3196500000000003E-2</v>
      </c>
      <c r="S5034">
        <v>3.0470579999999998</v>
      </c>
      <c r="T5034">
        <v>-0.28429209999999999</v>
      </c>
      <c r="U5034">
        <v>0.28744509999999901</v>
      </c>
      <c r="V5034">
        <v>-9.4374079999999999E-2</v>
      </c>
      <c r="W5034">
        <v>0.13295489999999999</v>
      </c>
      <c r="X5034">
        <v>0.98661880000000002</v>
      </c>
      <c r="Y5034">
        <v>-0.1243837</v>
      </c>
      <c r="Z5034">
        <v>8.6874180000000006E-3</v>
      </c>
      <c r="AA5034">
        <v>0.99219610000000003</v>
      </c>
      <c r="AB5034">
        <v>41</v>
      </c>
      <c r="AC5034">
        <v>11.686</v>
      </c>
      <c r="AD5034">
        <v>-1.110038603379</v>
      </c>
      <c r="AE5034">
        <v>1.12883</v>
      </c>
      <c r="AF5034">
        <v>-1.48104999738328</v>
      </c>
      <c r="AG5034">
        <v>-1.110038603379</v>
      </c>
      <c r="AH5034">
        <v>11.5417341998878</v>
      </c>
      <c r="AI5034">
        <v>95.449177450414993</v>
      </c>
      <c r="AJ5034">
        <v>97.312306298221699</v>
      </c>
      <c r="AK5034">
        <v>11.689196855926401</v>
      </c>
      <c r="AL5034">
        <v>82.359622249106195</v>
      </c>
      <c r="AM5034">
        <v>95.463949098829801</v>
      </c>
      <c r="AN5034">
        <v>1.00000006446164</v>
      </c>
    </row>
    <row r="5035" spans="1:40" x14ac:dyDescent="0.25">
      <c r="A5035" t="str">
        <f>"20190312164409183"</f>
        <v>20190312164409183</v>
      </c>
      <c r="B5035" t="str">
        <f>"1552380249170469"</f>
        <v>1552380249170469</v>
      </c>
      <c r="C5035" t="s">
        <v>40</v>
      </c>
      <c r="D5035">
        <v>5.1776739999999997</v>
      </c>
      <c r="E5035">
        <v>0.49124790000000002</v>
      </c>
      <c r="F5035" t="s">
        <v>58</v>
      </c>
      <c r="G5035">
        <v>-217.61760000000001</v>
      </c>
      <c r="H5035" s="1">
        <v>-2.5392179999999998E-6</v>
      </c>
      <c r="I5035">
        <v>-61.519730000000003</v>
      </c>
      <c r="J5035">
        <v>-229.24889999999999</v>
      </c>
      <c r="K5035">
        <v>1.110058</v>
      </c>
      <c r="L5035">
        <v>-62.6586</v>
      </c>
      <c r="M5035">
        <v>0.9994769</v>
      </c>
      <c r="N5035">
        <v>0</v>
      </c>
      <c r="O5035">
        <v>-3.1045070000000001E-2</v>
      </c>
      <c r="P5035">
        <v>0.99012929999999999</v>
      </c>
      <c r="Q5035">
        <v>0.1244374</v>
      </c>
      <c r="R5035">
        <v>6.4492899999999895E-2</v>
      </c>
      <c r="S5035">
        <v>3.0468600000000001</v>
      </c>
      <c r="T5035">
        <v>-0.28581960000000001</v>
      </c>
      <c r="U5035">
        <v>0.29165649999999999</v>
      </c>
      <c r="V5035">
        <v>-9.5396880000000003E-2</v>
      </c>
      <c r="W5035">
        <v>0.13324169999999999</v>
      </c>
      <c r="X5035">
        <v>0.98648170000000002</v>
      </c>
      <c r="Y5035">
        <v>-0.12546579999999999</v>
      </c>
      <c r="Z5035">
        <v>8.7588070000000004E-3</v>
      </c>
      <c r="AA5035">
        <v>0.99205929999999998</v>
      </c>
      <c r="AB5035">
        <v>41</v>
      </c>
      <c r="AC5035">
        <v>11.6312999999999</v>
      </c>
      <c r="AD5035">
        <v>-1.1100605392180001</v>
      </c>
      <c r="AE5035">
        <v>1.1388699999999901</v>
      </c>
      <c r="AF5035">
        <v>-1.4860237527623901</v>
      </c>
      <c r="AG5035">
        <v>-1.1100605392180001</v>
      </c>
      <c r="AH5035">
        <v>11.4867046348245</v>
      </c>
      <c r="AI5035">
        <v>95.474509596793197</v>
      </c>
      <c r="AJ5035">
        <v>97.371357750009295</v>
      </c>
      <c r="AK5035">
        <v>11.635501036148</v>
      </c>
      <c r="AL5035">
        <v>82.343042039831602</v>
      </c>
      <c r="AM5035">
        <v>95.523564489754406</v>
      </c>
      <c r="AN5035">
        <v>1.0000000298837499</v>
      </c>
    </row>
    <row r="5036" spans="1:40" x14ac:dyDescent="0.25">
      <c r="A5036" t="str">
        <f>"20190312164409194"</f>
        <v>20190312164409194</v>
      </c>
      <c r="B5036" t="str">
        <f>"1552380249189987"</f>
        <v>1552380249189987</v>
      </c>
      <c r="C5036" t="s">
        <v>40</v>
      </c>
      <c r="D5036">
        <v>5.4413640000000001</v>
      </c>
      <c r="E5036">
        <v>0.49121090000000001</v>
      </c>
      <c r="F5036" t="s">
        <v>58</v>
      </c>
      <c r="G5036">
        <v>-217.47919999999999</v>
      </c>
      <c r="H5036" s="1">
        <v>-2.4824440000000001E-6</v>
      </c>
      <c r="I5036">
        <v>-61.52946</v>
      </c>
      <c r="J5036">
        <v>-229.02760000000001</v>
      </c>
      <c r="K5036">
        <v>1.1100829999999999</v>
      </c>
      <c r="L5036">
        <v>-62.665219999999998</v>
      </c>
      <c r="M5036">
        <v>0.99948479999999995</v>
      </c>
      <c r="N5036">
        <v>0</v>
      </c>
      <c r="O5036">
        <v>-3.074466E-2</v>
      </c>
      <c r="P5036">
        <v>0.9900525</v>
      </c>
      <c r="Q5036">
        <v>0.1243001</v>
      </c>
      <c r="R5036">
        <v>6.5923579999999996E-2</v>
      </c>
      <c r="S5036">
        <v>3.046967</v>
      </c>
      <c r="T5036">
        <v>-0.28737439999999997</v>
      </c>
      <c r="U5036">
        <v>0.29229739999999999</v>
      </c>
      <c r="V5036">
        <v>-9.6528299999999997E-2</v>
      </c>
      <c r="W5036">
        <v>0.13326350000000001</v>
      </c>
      <c r="X5036">
        <v>0.98636869999999999</v>
      </c>
      <c r="Y5036">
        <v>-0.12536559999999999</v>
      </c>
      <c r="Z5036">
        <v>8.7729319999999902E-3</v>
      </c>
      <c r="AA5036">
        <v>0.99207179999999995</v>
      </c>
      <c r="AB5036">
        <v>41</v>
      </c>
      <c r="AC5036">
        <v>11.548400000000001</v>
      </c>
      <c r="AD5036">
        <v>-1.1100854824439901</v>
      </c>
      <c r="AE5036">
        <v>1.1357599999999901</v>
      </c>
      <c r="AF5036">
        <v>-1.47677515397887</v>
      </c>
      <c r="AG5036">
        <v>-1.1100854824439901</v>
      </c>
      <c r="AH5036">
        <v>11.403660483035001</v>
      </c>
      <c r="AI5036">
        <v>95.514163135095799</v>
      </c>
      <c r="AJ5036">
        <v>97.378744084837393</v>
      </c>
      <c r="AK5036">
        <v>11.5523429245359</v>
      </c>
      <c r="AL5036">
        <v>82.341781851790998</v>
      </c>
      <c r="AM5036">
        <v>95.589298589450195</v>
      </c>
      <c r="AN5036">
        <v>1.00000004273641</v>
      </c>
    </row>
    <row r="5037" spans="1:40" x14ac:dyDescent="0.25">
      <c r="A5037" t="str">
        <f>"20190312164409208"</f>
        <v>20190312164409208</v>
      </c>
      <c r="B5037" t="str">
        <f>"1552380249199747"</f>
        <v>1552380249199747</v>
      </c>
      <c r="C5037" t="s">
        <v>40</v>
      </c>
      <c r="D5037">
        <v>5.2211210000000001</v>
      </c>
      <c r="E5037">
        <v>0.49162280000000003</v>
      </c>
      <c r="F5037" t="s">
        <v>58</v>
      </c>
      <c r="G5037">
        <v>-217.26060000000001</v>
      </c>
      <c r="H5037" s="1">
        <v>-2.38566E-6</v>
      </c>
      <c r="I5037">
        <v>-61.518120000000003</v>
      </c>
      <c r="J5037">
        <v>-228.78720000000001</v>
      </c>
      <c r="K5037">
        <v>1.110106</v>
      </c>
      <c r="L5037">
        <v>-62.672359999999998</v>
      </c>
      <c r="M5037">
        <v>0.99949319999999997</v>
      </c>
      <c r="N5037">
        <v>0</v>
      </c>
      <c r="O5037">
        <v>-3.0418089999999998E-2</v>
      </c>
      <c r="P5037">
        <v>0.98998540000000002</v>
      </c>
      <c r="Q5037">
        <v>0.12409439999999999</v>
      </c>
      <c r="R5037">
        <v>6.7305149999999994E-2</v>
      </c>
      <c r="S5037">
        <v>3.0464630000000001</v>
      </c>
      <c r="T5037">
        <v>-0.28739910000000002</v>
      </c>
      <c r="U5037">
        <v>0.29696660000000002</v>
      </c>
      <c r="V5037">
        <v>-9.7585050000000007E-2</v>
      </c>
      <c r="W5037">
        <v>0.13323090000000001</v>
      </c>
      <c r="X5037">
        <v>0.98626910000000001</v>
      </c>
      <c r="Y5037">
        <v>-0.12655939999999999</v>
      </c>
      <c r="Z5037">
        <v>8.7998720000000002E-3</v>
      </c>
      <c r="AA5037">
        <v>0.99192000000000002</v>
      </c>
      <c r="AB5037">
        <v>41</v>
      </c>
      <c r="AC5037">
        <v>11.5266</v>
      </c>
      <c r="AD5037">
        <v>-1.11010838566</v>
      </c>
      <c r="AE5037">
        <v>1.1542399999999999</v>
      </c>
      <c r="AF5037">
        <v>-1.49064947489513</v>
      </c>
      <c r="AG5037">
        <v>-1.11010838566</v>
      </c>
      <c r="AH5037">
        <v>11.381634329991799</v>
      </c>
      <c r="AI5037">
        <v>95.523848389984707</v>
      </c>
      <c r="AJ5037">
        <v>97.461542896262301</v>
      </c>
      <c r="AK5037">
        <v>11.5323881527881</v>
      </c>
      <c r="AL5037">
        <v>82.343666372139694</v>
      </c>
      <c r="AM5037">
        <v>95.6506609039225</v>
      </c>
      <c r="AN5037">
        <v>1.00000002615656</v>
      </c>
    </row>
    <row r="5038" spans="1:40" x14ac:dyDescent="0.25">
      <c r="A5038" t="str">
        <f>"20190312164409220"</f>
        <v>20190312164409220</v>
      </c>
      <c r="B5038" t="str">
        <f>"1552380249210484"</f>
        <v>1552380249210484</v>
      </c>
      <c r="C5038" t="s">
        <v>40</v>
      </c>
      <c r="D5038">
        <v>5.0349510000000004</v>
      </c>
      <c r="E5038">
        <v>0.49152279999999998</v>
      </c>
      <c r="F5038" t="s">
        <v>58</v>
      </c>
      <c r="G5038">
        <v>-217.13460000000001</v>
      </c>
      <c r="H5038" s="1">
        <v>-2.3354990000000001E-6</v>
      </c>
      <c r="I5038">
        <v>-61.532699999999998</v>
      </c>
      <c r="J5038">
        <v>-228.55520000000001</v>
      </c>
      <c r="K5038">
        <v>1.110128</v>
      </c>
      <c r="L5038">
        <v>-62.679200000000002</v>
      </c>
      <c r="M5038">
        <v>0.99950099999999997</v>
      </c>
      <c r="N5038">
        <v>0</v>
      </c>
      <c r="O5038">
        <v>-3.0103089999999999E-2</v>
      </c>
      <c r="P5038">
        <v>0.98992380000000002</v>
      </c>
      <c r="Q5038">
        <v>0.1237574</v>
      </c>
      <c r="R5038">
        <v>6.881263E-2</v>
      </c>
      <c r="S5038">
        <v>3.046494</v>
      </c>
      <c r="T5038">
        <v>-0.29023149999999998</v>
      </c>
      <c r="U5038">
        <v>0.29794310000000002</v>
      </c>
      <c r="V5038">
        <v>-9.8779409999999998E-2</v>
      </c>
      <c r="W5038">
        <v>0.13306219999999999</v>
      </c>
      <c r="X5038">
        <v>0.98617299999999997</v>
      </c>
      <c r="Y5038">
        <v>-0.12654869999999999</v>
      </c>
      <c r="Z5038">
        <v>8.8556030000000001E-3</v>
      </c>
      <c r="AA5038">
        <v>0.99192089999999999</v>
      </c>
      <c r="AB5038">
        <v>41</v>
      </c>
      <c r="AC5038">
        <v>11.4206</v>
      </c>
      <c r="AD5038">
        <v>-1.110130335499</v>
      </c>
      <c r="AE5038">
        <v>1.1465000000000001</v>
      </c>
      <c r="AF5038">
        <v>-1.4759845195741701</v>
      </c>
      <c r="AG5038">
        <v>-1.110130335499</v>
      </c>
      <c r="AH5038">
        <v>11.275434179950301</v>
      </c>
      <c r="AI5038">
        <v>95.575707017863195</v>
      </c>
      <c r="AJ5038">
        <v>97.457766299643595</v>
      </c>
      <c r="AK5038">
        <v>11.4256875333701</v>
      </c>
      <c r="AL5038">
        <v>82.353419213523097</v>
      </c>
      <c r="AM5038">
        <v>95.719918181382894</v>
      </c>
      <c r="AN5038">
        <v>1.00000005341889</v>
      </c>
    </row>
    <row r="5039" spans="1:40" x14ac:dyDescent="0.25">
      <c r="A5039" t="str">
        <f>"20190312164409232"</f>
        <v>20190312164409232</v>
      </c>
      <c r="B5039" t="str">
        <f>"1552380249220243"</f>
        <v>1552380249220243</v>
      </c>
      <c r="C5039" t="s">
        <v>40</v>
      </c>
      <c r="D5039">
        <v>5.1663180000000004</v>
      </c>
      <c r="E5039">
        <v>0.4916275</v>
      </c>
      <c r="F5039" t="s">
        <v>58</v>
      </c>
      <c r="G5039">
        <v>-217.08879999999999</v>
      </c>
      <c r="H5039" s="1">
        <v>-2.3167499999999999E-6</v>
      </c>
      <c r="I5039">
        <v>-61.536189999999998</v>
      </c>
      <c r="J5039">
        <v>-228.34270000000001</v>
      </c>
      <c r="K5039">
        <v>1.11015</v>
      </c>
      <c r="L5039">
        <v>-62.68533</v>
      </c>
      <c r="M5039">
        <v>0.99950810000000001</v>
      </c>
      <c r="N5039">
        <v>0</v>
      </c>
      <c r="O5039">
        <v>-2.9813909999999999E-2</v>
      </c>
      <c r="P5039">
        <v>0.98982910000000002</v>
      </c>
      <c r="Q5039">
        <v>0.1236961</v>
      </c>
      <c r="R5039">
        <v>7.0270890000000003E-2</v>
      </c>
      <c r="S5039">
        <v>3.0463100000000001</v>
      </c>
      <c r="T5039">
        <v>-0.2949312</v>
      </c>
      <c r="U5039">
        <v>0.30364989999999997</v>
      </c>
      <c r="V5039">
        <v>-9.9949419999999997E-2</v>
      </c>
      <c r="W5039">
        <v>0.13315759999999999</v>
      </c>
      <c r="X5039">
        <v>0.98604219999999998</v>
      </c>
      <c r="Y5039">
        <v>-0.1280791</v>
      </c>
      <c r="Z5039">
        <v>9.0439390000000008E-3</v>
      </c>
      <c r="AA5039">
        <v>0.99172269999999896</v>
      </c>
      <c r="AB5039">
        <v>41</v>
      </c>
      <c r="AC5039">
        <v>11.2539</v>
      </c>
      <c r="AD5039">
        <v>-1.11015231675</v>
      </c>
      <c r="AE5039">
        <v>1.1491400000000001</v>
      </c>
      <c r="AF5039">
        <v>-1.47001065291989</v>
      </c>
      <c r="AG5039">
        <v>-1.11015231675</v>
      </c>
      <c r="AH5039">
        <v>11.1076611374506</v>
      </c>
      <c r="AI5039">
        <v>95.658445604118398</v>
      </c>
      <c r="AJ5039">
        <v>97.538831900054106</v>
      </c>
      <c r="AK5039">
        <v>11.2593741136226</v>
      </c>
      <c r="AL5039">
        <v>82.347903912654303</v>
      </c>
      <c r="AM5039">
        <v>95.7879740226997</v>
      </c>
      <c r="AN5039">
        <v>1.0000000265884601</v>
      </c>
    </row>
    <row r="5040" spans="1:40" x14ac:dyDescent="0.25">
      <c r="A5040" t="str">
        <f>"20190312164409249"</f>
        <v>20190312164409249</v>
      </c>
      <c r="B5040" t="str">
        <f>"1552380249239763"</f>
        <v>1552380249239763</v>
      </c>
      <c r="C5040" t="s">
        <v>40</v>
      </c>
      <c r="D5040">
        <v>5.0573230000000002</v>
      </c>
      <c r="E5040">
        <v>0.49153580000000002</v>
      </c>
      <c r="F5040" t="s">
        <v>58</v>
      </c>
      <c r="G5040">
        <v>-216.9333</v>
      </c>
      <c r="H5040" s="1">
        <v>-2.2494340000000001E-6</v>
      </c>
      <c r="I5040">
        <v>-61.533850000000001</v>
      </c>
      <c r="J5040">
        <v>-228.04069999999999</v>
      </c>
      <c r="K5040">
        <v>1.110185</v>
      </c>
      <c r="L5040">
        <v>-62.693969999999901</v>
      </c>
      <c r="M5040">
        <v>0.99951789999999996</v>
      </c>
      <c r="N5040">
        <v>0</v>
      </c>
      <c r="O5040">
        <v>-2.9404309999999999E-2</v>
      </c>
      <c r="P5040">
        <v>0.98963630000000002</v>
      </c>
      <c r="Q5040">
        <v>0.1234609</v>
      </c>
      <c r="R5040">
        <v>7.3332289999999994E-2</v>
      </c>
      <c r="S5040">
        <v>3.046036</v>
      </c>
      <c r="T5040">
        <v>-0.296384599999999</v>
      </c>
      <c r="U5040">
        <v>0.307403599999999</v>
      </c>
      <c r="V5040">
        <v>-0.102599499999999</v>
      </c>
      <c r="W5040">
        <v>0.133152399999999</v>
      </c>
      <c r="X5040">
        <v>0.98577060000000005</v>
      </c>
      <c r="Y5040">
        <v>-0.12888239999999901</v>
      </c>
      <c r="Z5040">
        <v>9.0877890000000006E-3</v>
      </c>
      <c r="AA5040">
        <v>0.99161820000000001</v>
      </c>
      <c r="AB5040">
        <v>41</v>
      </c>
      <c r="AC5040">
        <v>11.107399999999901</v>
      </c>
      <c r="AD5040">
        <v>-1.1101872494339999</v>
      </c>
      <c r="AE5040">
        <v>1.16011999999999</v>
      </c>
      <c r="AF5040">
        <v>-1.47169630912159</v>
      </c>
      <c r="AG5040">
        <v>-1.1101872494339999</v>
      </c>
      <c r="AH5040">
        <v>10.9601713568852</v>
      </c>
      <c r="AI5040">
        <v>95.732822546211594</v>
      </c>
      <c r="AJ5040">
        <v>97.647747028117493</v>
      </c>
      <c r="AK5040">
        <v>11.114124433682401</v>
      </c>
      <c r="AL5040">
        <v>82.348203918239705</v>
      </c>
      <c r="AM5040">
        <v>95.941979195319504</v>
      </c>
      <c r="AN5040">
        <v>0.99999994742518294</v>
      </c>
    </row>
    <row r="5041" spans="1:40" x14ac:dyDescent="0.25">
      <c r="A5041" t="str">
        <f>"20190312164409259"</f>
        <v>20190312164409259</v>
      </c>
      <c r="B5041" t="str">
        <f>"1552380249249524"</f>
        <v>1552380249249524</v>
      </c>
      <c r="C5041" t="s">
        <v>40</v>
      </c>
      <c r="D5041">
        <v>5.0192610000000002</v>
      </c>
      <c r="E5041">
        <v>0.49143009999999898</v>
      </c>
      <c r="F5041" t="s">
        <v>58</v>
      </c>
      <c r="G5041">
        <v>-216.50470000000001</v>
      </c>
      <c r="H5041" s="1">
        <v>-2.0543730000000001E-6</v>
      </c>
      <c r="I5041">
        <v>-61.491869999999999</v>
      </c>
      <c r="J5041">
        <v>-227.83930000000001</v>
      </c>
      <c r="K5041">
        <v>1.110209</v>
      </c>
      <c r="L5041">
        <v>-62.699710000000003</v>
      </c>
      <c r="M5041">
        <v>0.99952419999999997</v>
      </c>
      <c r="N5041">
        <v>0</v>
      </c>
      <c r="O5041">
        <v>-2.913236E-2</v>
      </c>
      <c r="P5041">
        <v>0.98949149999999997</v>
      </c>
      <c r="Q5041">
        <v>0.12365760000000001</v>
      </c>
      <c r="R5041">
        <v>7.4938950000000004E-2</v>
      </c>
      <c r="S5041">
        <v>3.0444640000000001</v>
      </c>
      <c r="T5041">
        <v>-0.29298839999999998</v>
      </c>
      <c r="U5041">
        <v>0.31723020000000002</v>
      </c>
      <c r="V5041">
        <v>-0.1039341</v>
      </c>
      <c r="W5041">
        <v>0.13350919999999999</v>
      </c>
      <c r="X5041">
        <v>0.98558259999999998</v>
      </c>
      <c r="Y5041">
        <v>-0.1318347</v>
      </c>
      <c r="Z5041">
        <v>9.1025959999999993E-3</v>
      </c>
      <c r="AA5041">
        <v>0.99123000000000006</v>
      </c>
      <c r="AB5041">
        <v>41</v>
      </c>
      <c r="AC5041">
        <v>11.334599999999901</v>
      </c>
      <c r="AD5041">
        <v>-1.1102110543729999</v>
      </c>
      <c r="AE5041">
        <v>1.20783999999999</v>
      </c>
      <c r="AF5041">
        <v>-1.5230993853387</v>
      </c>
      <c r="AG5041">
        <v>-1.1102110543729999</v>
      </c>
      <c r="AH5041">
        <v>11.1884630147789</v>
      </c>
      <c r="AI5041">
        <v>95.615350176324796</v>
      </c>
      <c r="AJ5041">
        <v>97.752093568553505</v>
      </c>
      <c r="AK5041">
        <v>11.346105276963799</v>
      </c>
      <c r="AL5041">
        <v>82.327577270734906</v>
      </c>
      <c r="AM5041">
        <v>96.019847526276905</v>
      </c>
      <c r="AN5041">
        <v>1.0000000325250999</v>
      </c>
    </row>
    <row r="5042" spans="1:40" x14ac:dyDescent="0.25">
      <c r="A5042" t="str">
        <f>"20190312164409271"</f>
        <v>20190312164409271</v>
      </c>
      <c r="B5042" t="str">
        <f>"1552380249260260"</f>
        <v>1552380249260260</v>
      </c>
      <c r="C5042" t="s">
        <v>40</v>
      </c>
      <c r="D5042">
        <v>5.2414899999999998</v>
      </c>
      <c r="E5042">
        <v>0.49148940000000002</v>
      </c>
      <c r="F5042" t="s">
        <v>58</v>
      </c>
      <c r="G5042">
        <v>-216.35239999999999</v>
      </c>
      <c r="H5042" s="1">
        <v>-1.9861240000000002E-6</v>
      </c>
      <c r="I5042">
        <v>-61.480840000000001</v>
      </c>
      <c r="J5042">
        <v>-227.63910000000001</v>
      </c>
      <c r="K5042">
        <v>1.1102350000000001</v>
      </c>
      <c r="L5042">
        <v>-62.705260000000003</v>
      </c>
      <c r="M5042">
        <v>0.99953020000000004</v>
      </c>
      <c r="N5042">
        <v>0</v>
      </c>
      <c r="O5042">
        <v>-2.8864029999999999E-2</v>
      </c>
      <c r="P5042">
        <v>0.98936219999999997</v>
      </c>
      <c r="Q5042">
        <v>0.1237637</v>
      </c>
      <c r="R5042">
        <v>7.6452690000000004E-2</v>
      </c>
      <c r="S5042">
        <v>3.0441590000000001</v>
      </c>
      <c r="T5042">
        <v>-0.29421829999999999</v>
      </c>
      <c r="U5042">
        <v>0.32299800000000001</v>
      </c>
      <c r="V5042">
        <v>-0.1051788</v>
      </c>
      <c r="W5042">
        <v>0.13377900000000001</v>
      </c>
      <c r="X5042">
        <v>0.98541389999999995</v>
      </c>
      <c r="Y5042">
        <v>-0.13342399999999999</v>
      </c>
      <c r="Z5042">
        <v>9.1912650000000005E-3</v>
      </c>
      <c r="AA5042">
        <v>0.99101640000000002</v>
      </c>
      <c r="AB5042">
        <v>41</v>
      </c>
      <c r="AC5042">
        <v>11.2867</v>
      </c>
      <c r="AD5042">
        <v>-1.110236986124</v>
      </c>
      <c r="AE5042">
        <v>1.2244199999999901</v>
      </c>
      <c r="AF5042">
        <v>-1.5350265391096101</v>
      </c>
      <c r="AG5042">
        <v>-1.110236986124</v>
      </c>
      <c r="AH5042">
        <v>11.1401149640028</v>
      </c>
      <c r="AI5042">
        <v>95.638443423351504</v>
      </c>
      <c r="AJ5042">
        <v>97.845535251178006</v>
      </c>
      <c r="AK5042">
        <v>11.300048409291399</v>
      </c>
      <c r="AL5042">
        <v>82.311978518280597</v>
      </c>
      <c r="AM5042">
        <v>96.092436510007005</v>
      </c>
      <c r="AN5042">
        <v>0.99999997756182402</v>
      </c>
    </row>
    <row r="5043" spans="1:40" x14ac:dyDescent="0.25">
      <c r="A5043" t="str">
        <f>"20190312164409283"</f>
        <v>20190312164409283</v>
      </c>
      <c r="B5043" t="str">
        <f>"1552380249279780"</f>
        <v>1552380249279780</v>
      </c>
      <c r="C5043" t="s">
        <v>40</v>
      </c>
      <c r="D5043">
        <v>5.2442500000000001</v>
      </c>
      <c r="E5043">
        <v>0.49163519999999999</v>
      </c>
      <c r="F5043" t="s">
        <v>58</v>
      </c>
      <c r="G5043">
        <v>-216.1123</v>
      </c>
      <c r="H5043" s="1">
        <v>-1.8791670000000001E-6</v>
      </c>
      <c r="I5043">
        <v>-61.466000000000001</v>
      </c>
      <c r="J5043">
        <v>-227.42519999999999</v>
      </c>
      <c r="K5043">
        <v>1.1102590000000001</v>
      </c>
      <c r="L5043">
        <v>-62.711210000000001</v>
      </c>
      <c r="M5043">
        <v>0.9995366</v>
      </c>
      <c r="N5043">
        <v>0</v>
      </c>
      <c r="O5043">
        <v>-2.8577780000000001E-2</v>
      </c>
      <c r="P5043">
        <v>0.98924060000000003</v>
      </c>
      <c r="Q5043">
        <v>0.12388879999999999</v>
      </c>
      <c r="R5043">
        <v>7.7814369999999994E-2</v>
      </c>
      <c r="S5043">
        <v>3.0436550000000002</v>
      </c>
      <c r="T5043">
        <v>-0.2931571</v>
      </c>
      <c r="U5043">
        <v>0.32720949999999999</v>
      </c>
      <c r="V5043">
        <v>-0.1062546</v>
      </c>
      <c r="W5043">
        <v>0.1340819</v>
      </c>
      <c r="X5043">
        <v>0.9852573</v>
      </c>
      <c r="Y5043">
        <v>-0.13451479999999999</v>
      </c>
      <c r="Z5043">
        <v>9.1839320000000006E-3</v>
      </c>
      <c r="AA5043">
        <v>0.990869</v>
      </c>
      <c r="AB5043">
        <v>41</v>
      </c>
      <c r="AC5043">
        <v>11.3128999999999</v>
      </c>
      <c r="AD5043">
        <v>-1.1102608791669999</v>
      </c>
      <c r="AE5043">
        <v>1.2452099999999899</v>
      </c>
      <c r="AF5043">
        <v>-1.55323550651987</v>
      </c>
      <c r="AG5043">
        <v>-1.1102608791669999</v>
      </c>
      <c r="AH5043">
        <v>11.1664276317769</v>
      </c>
      <c r="AI5043">
        <v>95.6243710432867</v>
      </c>
      <c r="AJ5043">
        <v>97.918955847606895</v>
      </c>
      <c r="AK5043">
        <v>11.328474116765801</v>
      </c>
      <c r="AL5043">
        <v>82.294465803426405</v>
      </c>
      <c r="AM5043">
        <v>96.1552466237071</v>
      </c>
      <c r="AN5043">
        <v>0.99999997156602904</v>
      </c>
    </row>
    <row r="5044" spans="1:40" x14ac:dyDescent="0.25">
      <c r="A5044" t="str">
        <f>"20190312164409294"</f>
        <v>20190312164409294</v>
      </c>
      <c r="B5044" t="str">
        <f>"1552380249290516"</f>
        <v>1552380249290516</v>
      </c>
      <c r="C5044" t="s">
        <v>40</v>
      </c>
      <c r="D5044">
        <v>5.2635160000000001</v>
      </c>
      <c r="E5044">
        <v>0.4916973</v>
      </c>
      <c r="F5044" t="s">
        <v>58</v>
      </c>
      <c r="G5044">
        <v>-215.89940000000001</v>
      </c>
      <c r="H5044" s="1">
        <v>-1.786331E-6</v>
      </c>
      <c r="I5044">
        <v>-61.460270000000001</v>
      </c>
      <c r="J5044">
        <v>-227.22149999999999</v>
      </c>
      <c r="K5044">
        <v>1.110282</v>
      </c>
      <c r="L5044">
        <v>-62.716769999999997</v>
      </c>
      <c r="M5044">
        <v>0.99954229999999999</v>
      </c>
      <c r="N5044">
        <v>0</v>
      </c>
      <c r="O5044">
        <v>-2.8305879999999999E-2</v>
      </c>
      <c r="P5044">
        <v>0.98908580000000001</v>
      </c>
      <c r="Q5044">
        <v>0.12413490000000001</v>
      </c>
      <c r="R5044">
        <v>7.9373059999999995E-2</v>
      </c>
      <c r="S5044">
        <v>3.0433650000000001</v>
      </c>
      <c r="T5044">
        <v>-0.29316170000000003</v>
      </c>
      <c r="U5044">
        <v>0.33029170000000002</v>
      </c>
      <c r="V5044">
        <v>-0.1075393</v>
      </c>
      <c r="W5044">
        <v>0.13450670000000001</v>
      </c>
      <c r="X5044">
        <v>0.98506000000000005</v>
      </c>
      <c r="Y5044">
        <v>-0.13524510000000001</v>
      </c>
      <c r="Z5044">
        <v>9.1933850000000001E-3</v>
      </c>
      <c r="AA5044">
        <v>0.99076949999999997</v>
      </c>
      <c r="AB5044">
        <v>41</v>
      </c>
      <c r="AC5044">
        <v>11.322099999999899</v>
      </c>
      <c r="AD5044">
        <v>-1.110283786331</v>
      </c>
      <c r="AE5044">
        <v>1.2565</v>
      </c>
      <c r="AF5044">
        <v>-1.5616618317797299</v>
      </c>
      <c r="AG5044">
        <v>-1.110283786331</v>
      </c>
      <c r="AH5044">
        <v>11.1758303405358</v>
      </c>
      <c r="AI5044">
        <v>95.619298148015602</v>
      </c>
      <c r="AJ5044">
        <v>97.954754445605005</v>
      </c>
      <c r="AK5044">
        <v>11.3389021321937</v>
      </c>
      <c r="AL5044">
        <v>82.2699041165544</v>
      </c>
      <c r="AM5044">
        <v>96.230324538704707</v>
      </c>
      <c r="AN5044">
        <v>0.99999997849468902</v>
      </c>
    </row>
    <row r="5045" spans="1:40" x14ac:dyDescent="0.25">
      <c r="A5045" t="str">
        <f>"20190312164409305"</f>
        <v>20190312164409305</v>
      </c>
      <c r="B5045" t="str">
        <f>"1552380249300276"</f>
        <v>1552380249300276</v>
      </c>
      <c r="C5045" t="s">
        <v>40</v>
      </c>
      <c r="D5045">
        <v>5.0789869999999997</v>
      </c>
      <c r="E5045">
        <v>0.49178189999999999</v>
      </c>
      <c r="F5045" t="s">
        <v>58</v>
      </c>
      <c r="G5045">
        <v>-215.60400000000001</v>
      </c>
      <c r="H5045" s="1">
        <v>-1.653756E-6</v>
      </c>
      <c r="I5045">
        <v>-61.4383699999999</v>
      </c>
      <c r="J5045">
        <v>-227.02109999999999</v>
      </c>
      <c r="K5045">
        <v>1.110303</v>
      </c>
      <c r="L5045">
        <v>-62.722200000000001</v>
      </c>
      <c r="M5045">
        <v>0.99954790000000004</v>
      </c>
      <c r="N5045">
        <v>0</v>
      </c>
      <c r="O5045">
        <v>-2.8037699999999999E-2</v>
      </c>
      <c r="P5045">
        <v>0.98896050000000002</v>
      </c>
      <c r="Q5045">
        <v>0.1242999</v>
      </c>
      <c r="R5045">
        <v>8.0665780000000006E-2</v>
      </c>
      <c r="S5045">
        <v>3.0427550000000001</v>
      </c>
      <c r="T5045">
        <v>-0.29079460000000001</v>
      </c>
      <c r="U5045">
        <v>0.3348083</v>
      </c>
      <c r="V5045">
        <v>-0.1085628</v>
      </c>
      <c r="W5045">
        <v>0.13484930000000001</v>
      </c>
      <c r="X5045">
        <v>0.98490089999999997</v>
      </c>
      <c r="Y5045">
        <v>-0.13646150000000001</v>
      </c>
      <c r="Z5045">
        <v>9.1529019999999992E-3</v>
      </c>
      <c r="AA5045">
        <v>0.99060309999999996</v>
      </c>
      <c r="AB5045">
        <v>41</v>
      </c>
      <c r="AC5045">
        <v>11.4170999999999</v>
      </c>
      <c r="AD5045">
        <v>-1.110304653756</v>
      </c>
      <c r="AE5045">
        <v>1.28383</v>
      </c>
      <c r="AF5045">
        <v>-1.58861670361403</v>
      </c>
      <c r="AG5045">
        <v>-1.110304653756</v>
      </c>
      <c r="AH5045">
        <v>11.2713464489887</v>
      </c>
      <c r="AI5045">
        <v>95.571163914218999</v>
      </c>
      <c r="AJ5045">
        <v>98.022591425391894</v>
      </c>
      <c r="AK5045">
        <v>11.436770970351899</v>
      </c>
      <c r="AL5045">
        <v>82.2500942613501</v>
      </c>
      <c r="AM5045">
        <v>96.290156206837196</v>
      </c>
      <c r="AN5045">
        <v>0.99999999903756998</v>
      </c>
    </row>
    <row r="5046" spans="1:40" x14ac:dyDescent="0.25">
      <c r="A5046" t="str">
        <f>"20190312164409316"</f>
        <v>20190312164409316</v>
      </c>
      <c r="B5046" t="str">
        <f>"1552380249310036"</f>
        <v>1552380249310036</v>
      </c>
      <c r="C5046" t="s">
        <v>40</v>
      </c>
      <c r="D5046">
        <v>5.2977179999999997</v>
      </c>
      <c r="E5046">
        <v>0.49183139999999997</v>
      </c>
      <c r="F5046" t="s">
        <v>58</v>
      </c>
      <c r="G5046">
        <v>-215.48910000000001</v>
      </c>
      <c r="H5046" s="1">
        <v>-1.605065E-6</v>
      </c>
      <c r="I5046">
        <v>-61.44059</v>
      </c>
      <c r="J5046">
        <v>-226.8091</v>
      </c>
      <c r="K5046">
        <v>1.1103270000000001</v>
      </c>
      <c r="L5046">
        <v>-62.727939999999997</v>
      </c>
      <c r="M5046">
        <v>0.99955369999999999</v>
      </c>
      <c r="N5046">
        <v>0</v>
      </c>
      <c r="O5046">
        <v>-2.775244E-2</v>
      </c>
      <c r="P5046">
        <v>0.98886410000000002</v>
      </c>
      <c r="Q5046">
        <v>0.124095899999999</v>
      </c>
      <c r="R5046">
        <v>8.2146200000000003E-2</v>
      </c>
      <c r="S5046">
        <v>3.0427089999999999</v>
      </c>
      <c r="T5046">
        <v>-0.29295270000000001</v>
      </c>
      <c r="U5046">
        <v>0.33813480000000001</v>
      </c>
      <c r="V5046">
        <v>-0.1097563</v>
      </c>
      <c r="W5046">
        <v>0.13483609999999999</v>
      </c>
      <c r="X5046">
        <v>0.98477040000000005</v>
      </c>
      <c r="Y5046">
        <v>-0.1372371</v>
      </c>
      <c r="Z5046">
        <v>9.2299300000000008E-3</v>
      </c>
      <c r="AA5046">
        <v>0.99049520000000002</v>
      </c>
      <c r="AB5046">
        <v>41</v>
      </c>
      <c r="AC5046">
        <v>11.319999999999901</v>
      </c>
      <c r="AD5046">
        <v>-1.1103286050650001</v>
      </c>
      <c r="AE5046">
        <v>1.28735</v>
      </c>
      <c r="AF5046">
        <v>-1.5859674791973799</v>
      </c>
      <c r="AG5046">
        <v>-1.1103286050650001</v>
      </c>
      <c r="AH5046">
        <v>11.173782096820499</v>
      </c>
      <c r="AI5046">
        <v>95.618849971847993</v>
      </c>
      <c r="AJ5046">
        <v>98.078401515256104</v>
      </c>
      <c r="AK5046">
        <v>11.3402614080772</v>
      </c>
      <c r="AL5046">
        <v>82.250857388068596</v>
      </c>
      <c r="AM5046">
        <v>96.3595802649197</v>
      </c>
      <c r="AN5046">
        <v>0.99999997998452905</v>
      </c>
    </row>
    <row r="5047" spans="1:40" x14ac:dyDescent="0.25">
      <c r="A5047" t="str">
        <f>"20190312164409328"</f>
        <v>20190312164409328</v>
      </c>
      <c r="B5047" t="str">
        <f>"1552380249319796"</f>
        <v>1552380249319796</v>
      </c>
      <c r="C5047" t="s">
        <v>40</v>
      </c>
      <c r="D5047">
        <v>5.0549019999999896</v>
      </c>
      <c r="E5047">
        <v>0.49192160000000001</v>
      </c>
      <c r="F5047" t="s">
        <v>58</v>
      </c>
      <c r="G5047">
        <v>-215.28360000000001</v>
      </c>
      <c r="H5047" s="1">
        <v>-1.5143780000000001E-6</v>
      </c>
      <c r="I5047">
        <v>-61.431190000000001</v>
      </c>
      <c r="J5047">
        <v>-226.59780000000001</v>
      </c>
      <c r="K5047">
        <v>1.110347</v>
      </c>
      <c r="L5047">
        <v>-62.733519999999999</v>
      </c>
      <c r="M5047">
        <v>0.99955959999999999</v>
      </c>
      <c r="N5047">
        <v>0</v>
      </c>
      <c r="O5047">
        <v>-2.746467E-2</v>
      </c>
      <c r="P5047">
        <v>0.98872510000000002</v>
      </c>
      <c r="Q5047">
        <v>0.12421690000000001</v>
      </c>
      <c r="R5047">
        <v>8.3626399999999906E-2</v>
      </c>
      <c r="S5047">
        <v>3.0421299999999998</v>
      </c>
      <c r="T5047">
        <v>-0.29306670000000001</v>
      </c>
      <c r="U5047">
        <v>0.34225460000000002</v>
      </c>
      <c r="V5047">
        <v>-0.1109475</v>
      </c>
      <c r="W5047">
        <v>0.1351427</v>
      </c>
      <c r="X5047">
        <v>0.98459490000000005</v>
      </c>
      <c r="Y5047">
        <v>-0.13829330000000001</v>
      </c>
      <c r="Z5047">
        <v>9.2575890000000001E-3</v>
      </c>
      <c r="AA5047">
        <v>0.99034800000000001</v>
      </c>
      <c r="AB5047">
        <v>41</v>
      </c>
      <c r="AC5047">
        <v>11.3142</v>
      </c>
      <c r="AD5047">
        <v>-1.1103485143780001</v>
      </c>
      <c r="AE5047">
        <v>1.30232999999999</v>
      </c>
      <c r="AF5047">
        <v>-1.59741553910607</v>
      </c>
      <c r="AG5047">
        <v>-1.1103485143780001</v>
      </c>
      <c r="AH5047">
        <v>11.1680086097669</v>
      </c>
      <c r="AI5047">
        <v>95.620979487162799</v>
      </c>
      <c r="AJ5047">
        <v>98.140085882066998</v>
      </c>
      <c r="AK5047">
        <v>11.3361821851885</v>
      </c>
      <c r="AL5047">
        <v>82.233128439387499</v>
      </c>
      <c r="AM5047">
        <v>96.429163179505807</v>
      </c>
      <c r="AN5047">
        <v>1.0000000071127699</v>
      </c>
    </row>
    <row r="5048" spans="1:40" x14ac:dyDescent="0.25">
      <c r="A5048" t="str">
        <f>"20190312164409339"</f>
        <v>20190312164409339</v>
      </c>
      <c r="B5048" t="str">
        <f>"1552380249329556"</f>
        <v>1552380249329556</v>
      </c>
      <c r="C5048" t="s">
        <v>40</v>
      </c>
      <c r="D5048">
        <v>5.0401400000000001</v>
      </c>
      <c r="E5048">
        <v>0.49200630000000001</v>
      </c>
      <c r="F5048" t="s">
        <v>58</v>
      </c>
      <c r="G5048">
        <v>-215.02430000000001</v>
      </c>
      <c r="H5048" s="1">
        <v>-1.3997360000000001E-6</v>
      </c>
      <c r="I5048">
        <v>-61.4182699999999</v>
      </c>
      <c r="J5048">
        <v>-226.40809999999999</v>
      </c>
      <c r="K5048">
        <v>1.1103590000000001</v>
      </c>
      <c r="L5048">
        <v>-62.73856</v>
      </c>
      <c r="M5048">
        <v>0.99956480000000003</v>
      </c>
      <c r="N5048">
        <v>0</v>
      </c>
      <c r="O5048">
        <v>-2.720446E-2</v>
      </c>
      <c r="P5048">
        <v>0.98858310000000005</v>
      </c>
      <c r="Q5048">
        <v>0.124209</v>
      </c>
      <c r="R5048">
        <v>8.5298979999999996E-2</v>
      </c>
      <c r="S5048">
        <v>3.0416110000000001</v>
      </c>
      <c r="T5048">
        <v>-0.29180810000000001</v>
      </c>
      <c r="U5048">
        <v>0.34564210000000001</v>
      </c>
      <c r="V5048">
        <v>-0.1123577</v>
      </c>
      <c r="W5048">
        <v>0.13529859999999999</v>
      </c>
      <c r="X5048">
        <v>0.9844136</v>
      </c>
      <c r="Y5048">
        <v>-0.13914699999999999</v>
      </c>
      <c r="Z5048">
        <v>9.2348959999999994E-3</v>
      </c>
      <c r="AA5048">
        <v>0.99022869999999996</v>
      </c>
      <c r="AB5048">
        <v>41</v>
      </c>
      <c r="AC5048">
        <v>11.3837999999999</v>
      </c>
      <c r="AD5048">
        <v>-1.1103603997360001</v>
      </c>
      <c r="AE5048">
        <v>1.32029</v>
      </c>
      <c r="AF5048">
        <v>-1.61435677297268</v>
      </c>
      <c r="AG5048">
        <v>-1.1103603997360001</v>
      </c>
      <c r="AH5048">
        <v>11.2381676416415</v>
      </c>
      <c r="AI5048">
        <v>95.585691106798905</v>
      </c>
      <c r="AJ5048">
        <v>98.174586209682701</v>
      </c>
      <c r="AK5048">
        <v>11.4076930160915</v>
      </c>
      <c r="AL5048">
        <v>82.224113561968807</v>
      </c>
      <c r="AM5048">
        <v>96.511372663824901</v>
      </c>
      <c r="AN5048">
        <v>1.0000000498881001</v>
      </c>
    </row>
    <row r="5049" spans="1:40" x14ac:dyDescent="0.25">
      <c r="A5049" t="str">
        <f>"20190312164409351"</f>
        <v>20190312164409351</v>
      </c>
      <c r="B5049" t="str">
        <f>"1552380249340293"</f>
        <v>1552380249340293</v>
      </c>
      <c r="C5049" t="s">
        <v>40</v>
      </c>
      <c r="D5049">
        <v>5.0819400000000003</v>
      </c>
      <c r="E5049">
        <v>0.49202699999999999</v>
      </c>
      <c r="F5049" t="s">
        <v>58</v>
      </c>
      <c r="G5049">
        <v>-214.81039999999999</v>
      </c>
      <c r="H5049" s="1">
        <v>-1.3043109999999901E-6</v>
      </c>
      <c r="I5049">
        <v>-61.404589999999999</v>
      </c>
      <c r="J5049">
        <v>-226.20820000000001</v>
      </c>
      <c r="K5049">
        <v>1.1103769999999999</v>
      </c>
      <c r="L5049">
        <v>-62.74371</v>
      </c>
      <c r="M5049">
        <v>0.99957050000000003</v>
      </c>
      <c r="N5049">
        <v>0</v>
      </c>
      <c r="O5049">
        <v>-2.6923599999999999E-2</v>
      </c>
      <c r="P5049">
        <v>0.98842010000000002</v>
      </c>
      <c r="Q5049">
        <v>0.12432609999999999</v>
      </c>
      <c r="R5049">
        <v>8.7000439999999998E-2</v>
      </c>
      <c r="S5049">
        <v>3.0410460000000001</v>
      </c>
      <c r="T5049">
        <v>-0.29114770000000001</v>
      </c>
      <c r="U5049">
        <v>0.34976200000000002</v>
      </c>
      <c r="V5049">
        <v>-0.1137779</v>
      </c>
      <c r="W5049">
        <v>0.13557739999999999</v>
      </c>
      <c r="X5049">
        <v>0.98421199999999998</v>
      </c>
      <c r="Y5049">
        <v>-0.14021330000000001</v>
      </c>
      <c r="Z5049">
        <v>9.2391030000000002E-3</v>
      </c>
      <c r="AA5049">
        <v>0.99007820000000002</v>
      </c>
      <c r="AB5049">
        <v>41</v>
      </c>
      <c r="AC5049">
        <v>11.3978</v>
      </c>
      <c r="AD5049">
        <v>-1.110378304311</v>
      </c>
      <c r="AE5049">
        <v>1.3391200000000001</v>
      </c>
      <c r="AF5049">
        <v>-1.6302631294596599</v>
      </c>
      <c r="AG5049">
        <v>-1.110378304311</v>
      </c>
      <c r="AH5049">
        <v>11.2522730469835</v>
      </c>
      <c r="AI5049">
        <v>95.577856355861996</v>
      </c>
      <c r="AJ5049">
        <v>98.243821821930396</v>
      </c>
      <c r="AK5049">
        <v>11.4238499015801</v>
      </c>
      <c r="AL5049">
        <v>82.207990170799405</v>
      </c>
      <c r="AM5049">
        <v>96.594294773980707</v>
      </c>
      <c r="AN5049">
        <v>0.99999995143158305</v>
      </c>
    </row>
    <row r="5050" spans="1:40" x14ac:dyDescent="0.25">
      <c r="A5050" t="str">
        <f>"20190312164409366"</f>
        <v>20190312164409366</v>
      </c>
      <c r="B5050" t="str">
        <f>"1552380249359812"</f>
        <v>1552380249359812</v>
      </c>
      <c r="C5050" t="s">
        <v>40</v>
      </c>
      <c r="D5050">
        <v>5.2032740000000004</v>
      </c>
      <c r="E5050">
        <v>0.49219059999999998</v>
      </c>
      <c r="F5050" t="s">
        <v>58</v>
      </c>
      <c r="G5050">
        <v>-214.66460000000001</v>
      </c>
      <c r="H5050" s="1">
        <v>-1.239669E-6</v>
      </c>
      <c r="I5050">
        <v>-61.396599999999999</v>
      </c>
      <c r="J5050">
        <v>-225.9263</v>
      </c>
      <c r="K5050">
        <v>1.1104039999999999</v>
      </c>
      <c r="L5050">
        <v>-62.750979999999998</v>
      </c>
      <c r="M5050">
        <v>0.99957839999999998</v>
      </c>
      <c r="N5050">
        <v>0</v>
      </c>
      <c r="O5050">
        <v>-2.651999E-2</v>
      </c>
      <c r="P5050">
        <v>0.98825419999999997</v>
      </c>
      <c r="Q5050">
        <v>0.1243302</v>
      </c>
      <c r="R5050">
        <v>8.8857050000000007E-2</v>
      </c>
      <c r="S5050">
        <v>3.0406949999999999</v>
      </c>
      <c r="T5050">
        <v>-0.29248550000000001</v>
      </c>
      <c r="U5050">
        <v>0.35482789999999997</v>
      </c>
      <c r="V5050">
        <v>-0.1152333</v>
      </c>
      <c r="W5050">
        <v>0.13580029999999901</v>
      </c>
      <c r="X5050">
        <v>0.98401190000000005</v>
      </c>
      <c r="Y5050">
        <v>-0.1414434</v>
      </c>
      <c r="Z5050">
        <v>9.3017640000000006E-3</v>
      </c>
      <c r="AA5050">
        <v>0.98990259999999997</v>
      </c>
      <c r="AB5050">
        <v>40</v>
      </c>
      <c r="AC5050">
        <v>11.2616999999999</v>
      </c>
      <c r="AD5050">
        <v>-1.1104052396690001</v>
      </c>
      <c r="AE5050">
        <v>1.3543799999999999</v>
      </c>
      <c r="AF5050">
        <v>-1.63689760159228</v>
      </c>
      <c r="AG5050">
        <v>-1.1104052396690001</v>
      </c>
      <c r="AH5050">
        <v>11.115295769413899</v>
      </c>
      <c r="AI5050">
        <v>95.644377567522795</v>
      </c>
      <c r="AJ5050">
        <v>98.377466770068693</v>
      </c>
      <c r="AK5050">
        <v>11.289917342298599</v>
      </c>
      <c r="AL5050">
        <v>82.195099532702201</v>
      </c>
      <c r="AM5050">
        <v>96.679234881638294</v>
      </c>
      <c r="AN5050">
        <v>0.99999992712529195</v>
      </c>
    </row>
    <row r="5051" spans="1:40" x14ac:dyDescent="0.25">
      <c r="A5051" t="str">
        <f>"20190312164409379"</f>
        <v>20190312164409379</v>
      </c>
      <c r="B5051" t="str">
        <f>"1552380249370548"</f>
        <v>1552380249370548</v>
      </c>
      <c r="C5051" t="s">
        <v>40</v>
      </c>
      <c r="D5051">
        <v>5.1727449999999999</v>
      </c>
      <c r="E5051">
        <v>0.49229849999999997</v>
      </c>
      <c r="F5051" t="s">
        <v>58</v>
      </c>
      <c r="G5051">
        <v>-214.51339999999999</v>
      </c>
      <c r="H5051" s="1">
        <v>-1.1765869999999999E-6</v>
      </c>
      <c r="I5051">
        <v>-61.403370000000002</v>
      </c>
      <c r="J5051">
        <v>-225.6788</v>
      </c>
      <c r="K5051">
        <v>1.1104290000000001</v>
      </c>
      <c r="L5051">
        <v>-62.757260000000002</v>
      </c>
      <c r="M5051">
        <v>0.99958590000000003</v>
      </c>
      <c r="N5051">
        <v>0</v>
      </c>
      <c r="O5051">
        <v>-2.615582E-2</v>
      </c>
      <c r="P5051">
        <v>0.988093</v>
      </c>
      <c r="Q5051">
        <v>0.1242205</v>
      </c>
      <c r="R5051">
        <v>9.0784740000000003E-2</v>
      </c>
      <c r="S5051">
        <v>3.0405730000000002</v>
      </c>
      <c r="T5051">
        <v>-0.29582979999999998</v>
      </c>
      <c r="U5051">
        <v>0.35900880000000002</v>
      </c>
      <c r="V5051">
        <v>-0.1168001</v>
      </c>
      <c r="W5051">
        <v>0.1358684</v>
      </c>
      <c r="X5051">
        <v>0.98381779999999996</v>
      </c>
      <c r="Y5051">
        <v>-0.1424097</v>
      </c>
      <c r="Z5051">
        <v>9.4187639999999996E-3</v>
      </c>
      <c r="AA5051">
        <v>0.98976299999999995</v>
      </c>
      <c r="AB5051">
        <v>40</v>
      </c>
      <c r="AC5051">
        <v>11.1654</v>
      </c>
      <c r="AD5051">
        <v>-1.1104301765869999</v>
      </c>
      <c r="AE5051">
        <v>1.35388999999999</v>
      </c>
      <c r="AF5051">
        <v>-1.62960332923067</v>
      </c>
      <c r="AG5051">
        <v>-1.1104301765869999</v>
      </c>
      <c r="AH5051">
        <v>11.0187591264026</v>
      </c>
      <c r="AI5051">
        <v>95.693118944356598</v>
      </c>
      <c r="AJ5051">
        <v>98.412694002551504</v>
      </c>
      <c r="AK5051">
        <v>11.193824854507801</v>
      </c>
      <c r="AL5051">
        <v>82.191161560067002</v>
      </c>
      <c r="AM5051">
        <v>96.770536819505395</v>
      </c>
      <c r="AN5051">
        <v>0.99999997453770395</v>
      </c>
    </row>
    <row r="5052" spans="1:40" x14ac:dyDescent="0.25">
      <c r="A5052" t="str">
        <f>"20190312164409395"</f>
        <v>20190312164409395</v>
      </c>
      <c r="B5052" t="str">
        <f>"1552380249390068"</f>
        <v>1552380249390068</v>
      </c>
      <c r="C5052" t="s">
        <v>40</v>
      </c>
      <c r="D5052">
        <v>5.2346879999999896</v>
      </c>
      <c r="E5052">
        <v>0.49243999999999999</v>
      </c>
      <c r="F5052" t="s">
        <v>58</v>
      </c>
      <c r="G5052">
        <v>-214.33750000000001</v>
      </c>
      <c r="H5052" s="1">
        <v>-1.100059E-6</v>
      </c>
      <c r="I5052">
        <v>-61.399349999999998</v>
      </c>
      <c r="J5052">
        <v>-225.40129999999999</v>
      </c>
      <c r="K5052">
        <v>1.1104620000000001</v>
      </c>
      <c r="L5052">
        <v>-62.764159999999997</v>
      </c>
      <c r="M5052">
        <v>0.9995946</v>
      </c>
      <c r="N5052">
        <v>0</v>
      </c>
      <c r="O5052">
        <v>-2.5728040000000001E-2</v>
      </c>
      <c r="P5052">
        <v>0.98776379999999997</v>
      </c>
      <c r="Q5052">
        <v>0.1240797</v>
      </c>
      <c r="R5052">
        <v>9.4481770000000007E-2</v>
      </c>
      <c r="S5052">
        <v>3.0401310000000001</v>
      </c>
      <c r="T5052">
        <v>-0.29765999999999998</v>
      </c>
      <c r="U5052">
        <v>0.36398320000000001</v>
      </c>
      <c r="V5052">
        <v>-0.1200719</v>
      </c>
      <c r="W5052">
        <v>0.13590379999999999</v>
      </c>
      <c r="X5052">
        <v>0.98341900000000004</v>
      </c>
      <c r="Y5052">
        <v>-0.14358650000000001</v>
      </c>
      <c r="Z5052">
        <v>9.4928459999999992E-3</v>
      </c>
      <c r="AA5052">
        <v>0.98959229999999998</v>
      </c>
      <c r="AB5052">
        <v>40</v>
      </c>
      <c r="AC5052">
        <v>11.063799999999899</v>
      </c>
      <c r="AD5052">
        <v>-1.110463100059</v>
      </c>
      <c r="AE5052">
        <v>1.3648099999999901</v>
      </c>
      <c r="AF5052">
        <v>-1.6328267553447999</v>
      </c>
      <c r="AG5052">
        <v>-1.110463100059</v>
      </c>
      <c r="AH5052">
        <v>10.9166948314141</v>
      </c>
      <c r="AI5052">
        <v>95.744767266553595</v>
      </c>
      <c r="AJ5052">
        <v>98.5067548242736</v>
      </c>
      <c r="AK5052">
        <v>11.0938486356984</v>
      </c>
      <c r="AL5052">
        <v>82.189114632096803</v>
      </c>
      <c r="AM5052">
        <v>96.961152532997502</v>
      </c>
      <c r="AN5052">
        <v>1.00000001679252</v>
      </c>
    </row>
    <row r="5053" spans="1:40" x14ac:dyDescent="0.25">
      <c r="A5053" t="str">
        <f>"20190312164409410"</f>
        <v>20190312164409410</v>
      </c>
      <c r="B5053" t="str">
        <f>"1552380249399827"</f>
        <v>1552380249399827</v>
      </c>
      <c r="C5053" t="s">
        <v>40</v>
      </c>
      <c r="D5053">
        <v>5.1120640000000002</v>
      </c>
      <c r="E5053">
        <v>0.49253540000000001</v>
      </c>
      <c r="F5053" t="s">
        <v>58</v>
      </c>
      <c r="G5053">
        <v>-214.07810000000001</v>
      </c>
      <c r="H5053" s="1">
        <v>-9.8095050000000002E-7</v>
      </c>
      <c r="I5053">
        <v>-61.369959999999999</v>
      </c>
      <c r="J5053">
        <v>-225.13329999999999</v>
      </c>
      <c r="K5053">
        <v>1.1105</v>
      </c>
      <c r="L5053">
        <v>-62.770690000000002</v>
      </c>
      <c r="M5053">
        <v>0.99960380000000004</v>
      </c>
      <c r="N5053">
        <v>0</v>
      </c>
      <c r="O5053">
        <v>-2.5288140000000001E-2</v>
      </c>
      <c r="P5053">
        <v>0.98755519999999997</v>
      </c>
      <c r="Q5053">
        <v>0.1243587</v>
      </c>
      <c r="R5053">
        <v>9.6280240000000003E-2</v>
      </c>
      <c r="S5053">
        <v>3.0388030000000001</v>
      </c>
      <c r="T5053">
        <v>-0.29801460000000002</v>
      </c>
      <c r="U5053">
        <v>0.37414550000000002</v>
      </c>
      <c r="V5053">
        <v>-0.1214403</v>
      </c>
      <c r="W5053">
        <v>0.1363422</v>
      </c>
      <c r="X5053">
        <v>0.98319020000000001</v>
      </c>
      <c r="Y5053">
        <v>-0.1464491</v>
      </c>
      <c r="Z5053">
        <v>9.6029489999999995E-3</v>
      </c>
      <c r="AA5053">
        <v>0.98917160000000004</v>
      </c>
      <c r="AB5053">
        <v>40</v>
      </c>
      <c r="AC5053">
        <v>11.0551999999999</v>
      </c>
      <c r="AD5053">
        <v>-1.1105009809505</v>
      </c>
      <c r="AE5053">
        <v>1.40073</v>
      </c>
      <c r="AF5053">
        <v>-1.66335024115007</v>
      </c>
      <c r="AG5053">
        <v>-1.1105009809505</v>
      </c>
      <c r="AH5053">
        <v>10.907914229883</v>
      </c>
      <c r="AI5053">
        <v>95.747094681579995</v>
      </c>
      <c r="AJ5053">
        <v>98.670253838127906</v>
      </c>
      <c r="AK5053">
        <v>11.089749289317099</v>
      </c>
      <c r="AL5053">
        <v>82.163759679778096</v>
      </c>
      <c r="AM5053">
        <v>97.041315533871796</v>
      </c>
      <c r="AN5053">
        <v>0.99999995567048405</v>
      </c>
    </row>
    <row r="5054" spans="1:40" x14ac:dyDescent="0.25">
      <c r="A5054" t="str">
        <f>"20190312164409424"</f>
        <v>20190312164409424</v>
      </c>
      <c r="B5054" t="str">
        <f>"1552380249420324"</f>
        <v>1552380249420324</v>
      </c>
      <c r="C5054" t="s">
        <v>40</v>
      </c>
      <c r="D5054">
        <v>5.222245</v>
      </c>
      <c r="E5054">
        <v>0.49299199999999999</v>
      </c>
      <c r="F5054" t="s">
        <v>58</v>
      </c>
      <c r="G5054">
        <v>-213.7568</v>
      </c>
      <c r="H5054" s="1">
        <v>-8.3775790000000001E-7</v>
      </c>
      <c r="I5054">
        <v>-61.34986</v>
      </c>
      <c r="J5054">
        <v>-224.8879</v>
      </c>
      <c r="K5054">
        <v>1.1105449999999999</v>
      </c>
      <c r="L5054">
        <v>-62.776580000000003</v>
      </c>
      <c r="M5054">
        <v>0.99961259999999996</v>
      </c>
      <c r="N5054">
        <v>0</v>
      </c>
      <c r="O5054">
        <v>-2.485973E-2</v>
      </c>
      <c r="P5054">
        <v>0.98737160000000002</v>
      </c>
      <c r="Q5054">
        <v>0.12432459999999999</v>
      </c>
      <c r="R5054">
        <v>9.8188910000000004E-2</v>
      </c>
      <c r="S5054">
        <v>3.0381619999999998</v>
      </c>
      <c r="T5054">
        <v>-0.29656529999999998</v>
      </c>
      <c r="U5054">
        <v>0.37942500000000001</v>
      </c>
      <c r="V5054">
        <v>-0.1229326</v>
      </c>
      <c r="W5054">
        <v>0.13644229999999999</v>
      </c>
      <c r="X5054">
        <v>0.9829909</v>
      </c>
      <c r="Y5054">
        <v>-0.14774699999999999</v>
      </c>
      <c r="Z5054">
        <v>9.5788309999999995E-3</v>
      </c>
      <c r="AA5054">
        <v>0.98897880000000005</v>
      </c>
      <c r="AB5054">
        <v>40</v>
      </c>
      <c r="AC5054">
        <v>11.1311</v>
      </c>
      <c r="AD5054">
        <v>-1.1105458377578901</v>
      </c>
      <c r="AE5054">
        <v>1.42672</v>
      </c>
      <c r="AF5054">
        <v>-1.6865007576504301</v>
      </c>
      <c r="AG5054">
        <v>-1.1105458377578901</v>
      </c>
      <c r="AH5054">
        <v>10.9846153629742</v>
      </c>
      <c r="AI5054">
        <v>95.706576018771202</v>
      </c>
      <c r="AJ5054">
        <v>98.728632914607203</v>
      </c>
      <c r="AK5054">
        <v>11.168678146307499</v>
      </c>
      <c r="AL5054">
        <v>82.1579707567833</v>
      </c>
      <c r="AM5054">
        <v>97.1283872966129</v>
      </c>
      <c r="AN5054">
        <v>1.0000000174274299</v>
      </c>
    </row>
    <row r="5055" spans="1:40" x14ac:dyDescent="0.25">
      <c r="A5055" t="str">
        <f>"20190312164409437"</f>
        <v>20190312164409437</v>
      </c>
      <c r="B5055" t="str">
        <f>"1552380249430084"</f>
        <v>1552380249430084</v>
      </c>
      <c r="C5055" t="s">
        <v>40</v>
      </c>
      <c r="D5055">
        <v>5.0879450000000004</v>
      </c>
      <c r="E5055">
        <v>0.49315100000000001</v>
      </c>
      <c r="F5055" t="s">
        <v>58</v>
      </c>
      <c r="G5055">
        <v>-213.56720000000001</v>
      </c>
      <c r="H5055" s="1">
        <v>-7.5650279999999997E-7</v>
      </c>
      <c r="I5055">
        <v>-61.350070000000002</v>
      </c>
      <c r="J5055">
        <v>-224.6343</v>
      </c>
      <c r="K5055">
        <v>1.1105989999999999</v>
      </c>
      <c r="L5055">
        <v>-62.782440000000001</v>
      </c>
      <c r="M5055">
        <v>0.99962289999999998</v>
      </c>
      <c r="N5055">
        <v>0</v>
      </c>
      <c r="O5055">
        <v>-2.4371279999999999E-2</v>
      </c>
      <c r="P5055">
        <v>0.98717750000000004</v>
      </c>
      <c r="Q5055">
        <v>0.1244378</v>
      </c>
      <c r="R5055">
        <v>9.9980529999999998E-2</v>
      </c>
      <c r="S5055">
        <v>3.0378419999999999</v>
      </c>
      <c r="T5055">
        <v>-0.29800989999999999</v>
      </c>
      <c r="U5055">
        <v>0.38278200000000001</v>
      </c>
      <c r="V5055">
        <v>-0.1242535</v>
      </c>
      <c r="W5055">
        <v>0.13667899999999999</v>
      </c>
      <c r="X5055">
        <v>0.98279190000000005</v>
      </c>
      <c r="Y5055">
        <v>-0.14834420000000001</v>
      </c>
      <c r="Z5055">
        <v>9.6070930000000006E-3</v>
      </c>
      <c r="AA5055">
        <v>0.98888920000000002</v>
      </c>
      <c r="AB5055">
        <v>40</v>
      </c>
      <c r="AC5055">
        <v>11.0670999999999</v>
      </c>
      <c r="AD5055">
        <v>-1.1105997565028001</v>
      </c>
      <c r="AE5055">
        <v>1.4323699999999999</v>
      </c>
      <c r="AF5055">
        <v>-1.6849964124763199</v>
      </c>
      <c r="AG5055">
        <v>-1.1105997565028001</v>
      </c>
      <c r="AH5055">
        <v>10.9207362941104</v>
      </c>
      <c r="AI5055">
        <v>95.739358538639294</v>
      </c>
      <c r="AJ5055">
        <v>98.771187658814597</v>
      </c>
      <c r="AK5055">
        <v>11.105634873103901</v>
      </c>
      <c r="AL5055">
        <v>82.144280454844207</v>
      </c>
      <c r="AM5055">
        <v>97.205624066117096</v>
      </c>
      <c r="AN5055">
        <v>1.00000000000443</v>
      </c>
    </row>
    <row r="5056" spans="1:40" x14ac:dyDescent="0.25">
      <c r="A5056" t="str">
        <f>"20190312164409451"</f>
        <v>20190312164409451</v>
      </c>
      <c r="B5056" t="str">
        <f>"1552380249439844"</f>
        <v>1552380249439844</v>
      </c>
      <c r="C5056" t="s">
        <v>40</v>
      </c>
      <c r="D5056">
        <v>5.0895199999999896</v>
      </c>
      <c r="E5056">
        <v>0.49331920000000001</v>
      </c>
      <c r="F5056" t="s">
        <v>58</v>
      </c>
      <c r="G5056">
        <v>-213.32210000000001</v>
      </c>
      <c r="H5056" s="1">
        <v>-6.4810179999999995E-7</v>
      </c>
      <c r="I5056">
        <v>-61.337859999999999</v>
      </c>
      <c r="J5056">
        <v>-224.39449999999999</v>
      </c>
      <c r="K5056">
        <v>1.1106590000000001</v>
      </c>
      <c r="L5056">
        <v>-62.787869999999998</v>
      </c>
      <c r="M5056">
        <v>0.99963349999999995</v>
      </c>
      <c r="N5056">
        <v>0</v>
      </c>
      <c r="O5056">
        <v>-2.3862029999999999E-2</v>
      </c>
      <c r="P5056">
        <v>0.98687000000000002</v>
      </c>
      <c r="Q5056">
        <v>0.124297</v>
      </c>
      <c r="R5056">
        <v>0.1031417</v>
      </c>
      <c r="S5056">
        <v>3.037277</v>
      </c>
      <c r="T5056">
        <v>-0.29819109999999999</v>
      </c>
      <c r="U5056">
        <v>0.38784790000000002</v>
      </c>
      <c r="V5056">
        <v>-0.12692210000000001</v>
      </c>
      <c r="W5056">
        <v>0.13663699999999901</v>
      </c>
      <c r="X5056">
        <v>0.98245669999999996</v>
      </c>
      <c r="Y5056">
        <v>-0.14948239999999999</v>
      </c>
      <c r="Z5056">
        <v>9.6194939999999993E-3</v>
      </c>
      <c r="AA5056">
        <v>0.98871759999999997</v>
      </c>
      <c r="AB5056">
        <v>40</v>
      </c>
      <c r="AC5056">
        <v>11.072399999999901</v>
      </c>
      <c r="AD5056">
        <v>-1.1106596481018001</v>
      </c>
      <c r="AE5056">
        <v>1.45000999999999</v>
      </c>
      <c r="AF5056">
        <v>-1.69704110172283</v>
      </c>
      <c r="AG5056">
        <v>-1.1106596481018001</v>
      </c>
      <c r="AH5056">
        <v>10.9265558924793</v>
      </c>
      <c r="AI5056">
        <v>95.735750591213005</v>
      </c>
      <c r="AJ5056">
        <v>98.828270213108496</v>
      </c>
      <c r="AK5056">
        <v>11.1131965260375</v>
      </c>
      <c r="AL5056">
        <v>82.1467098914258</v>
      </c>
      <c r="AM5056">
        <v>97.361184160969998</v>
      </c>
      <c r="AN5056">
        <v>1.0000000283061401</v>
      </c>
    </row>
    <row r="5057" spans="1:40" x14ac:dyDescent="0.25">
      <c r="A5057" t="str">
        <f>"20190312164409464"</f>
        <v>20190312164409464</v>
      </c>
      <c r="B5057" t="str">
        <f>"1552380249460340"</f>
        <v>1552380249460340</v>
      </c>
      <c r="C5057" t="s">
        <v>40</v>
      </c>
      <c r="D5057">
        <v>5.1154210000000004</v>
      </c>
      <c r="E5057">
        <v>0.4936586</v>
      </c>
      <c r="F5057" t="s">
        <v>58</v>
      </c>
      <c r="G5057">
        <v>-213.12440000000001</v>
      </c>
      <c r="H5057" s="1">
        <v>-5.5757609999999998E-7</v>
      </c>
      <c r="I5057">
        <v>-61.316409999999998</v>
      </c>
      <c r="J5057">
        <v>-224.18260000000001</v>
      </c>
      <c r="K5057">
        <v>1.110716</v>
      </c>
      <c r="L5057">
        <v>-62.792569999999998</v>
      </c>
      <c r="M5057">
        <v>0.99964330000000001</v>
      </c>
      <c r="N5057">
        <v>0</v>
      </c>
      <c r="O5057">
        <v>-2.3386179999999999E-2</v>
      </c>
      <c r="P5057">
        <v>0.98671109999999995</v>
      </c>
      <c r="Q5057">
        <v>0.1240777</v>
      </c>
      <c r="R5057">
        <v>0.10491</v>
      </c>
      <c r="S5057">
        <v>3.0361630000000002</v>
      </c>
      <c r="T5057">
        <v>-0.2992107</v>
      </c>
      <c r="U5057">
        <v>0.39639279999999999</v>
      </c>
      <c r="V5057">
        <v>-0.1282343</v>
      </c>
      <c r="W5057">
        <v>0.13650179999999901</v>
      </c>
      <c r="X5057">
        <v>0.98230499999999998</v>
      </c>
      <c r="Y5057">
        <v>-0.15177939999999901</v>
      </c>
      <c r="Z5057">
        <v>9.719854E-3</v>
      </c>
      <c r="AA5057">
        <v>0.98836659999999998</v>
      </c>
      <c r="AB5057">
        <v>40</v>
      </c>
      <c r="AC5057">
        <v>11.058199999999999</v>
      </c>
      <c r="AD5057">
        <v>-1.1107165575761</v>
      </c>
      <c r="AE5057">
        <v>1.4761599999999999</v>
      </c>
      <c r="AF5057">
        <v>-1.71736405277005</v>
      </c>
      <c r="AG5057">
        <v>-1.1107165575761</v>
      </c>
      <c r="AH5057">
        <v>10.9124846097013</v>
      </c>
      <c r="AI5057">
        <v>95.741593968042196</v>
      </c>
      <c r="AJ5057">
        <v>98.943630304114706</v>
      </c>
      <c r="AK5057">
        <v>11.1024930046359</v>
      </c>
      <c r="AL5057">
        <v>82.154528889615605</v>
      </c>
      <c r="AM5057">
        <v>97.437576731229797</v>
      </c>
      <c r="AN5057">
        <v>0.999999945062363</v>
      </c>
    </row>
    <row r="5058" spans="1:40" x14ac:dyDescent="0.25">
      <c r="A5058" t="str">
        <f>"20190312164409475"</f>
        <v>20190312164409475</v>
      </c>
      <c r="B5058" t="str">
        <f>"1552380249470101"</f>
        <v>1552380249470101</v>
      </c>
      <c r="C5058" t="s">
        <v>40</v>
      </c>
      <c r="D5058">
        <v>5.1273629999999999</v>
      </c>
      <c r="E5058">
        <v>0.49384040000000001</v>
      </c>
      <c r="F5058" t="s">
        <v>58</v>
      </c>
      <c r="G5058">
        <v>-212.9914</v>
      </c>
      <c r="H5058" s="1">
        <v>-5.0164820000000003E-7</v>
      </c>
      <c r="I5058">
        <v>-61.320689999999999</v>
      </c>
      <c r="J5058">
        <v>-223.94409999999999</v>
      </c>
      <c r="K5058">
        <v>1.1107990000000001</v>
      </c>
      <c r="L5058">
        <v>-62.797640000000001</v>
      </c>
      <c r="M5058">
        <v>0.99965610000000005</v>
      </c>
      <c r="N5058">
        <v>0</v>
      </c>
      <c r="O5058">
        <v>-2.277239E-2</v>
      </c>
      <c r="P5058">
        <v>0.98652079999999998</v>
      </c>
      <c r="Q5058">
        <v>0.1238195</v>
      </c>
      <c r="R5058">
        <v>0.1069841</v>
      </c>
      <c r="S5058">
        <v>3.0358429999999998</v>
      </c>
      <c r="T5058">
        <v>-0.30130430000000002</v>
      </c>
      <c r="U5058">
        <v>0.39926149999999999</v>
      </c>
      <c r="V5058">
        <v>-0.1297227</v>
      </c>
      <c r="W5058">
        <v>0.13632239999999901</v>
      </c>
      <c r="X5058">
        <v>0.98213450000000002</v>
      </c>
      <c r="Y5058">
        <v>-0.152093899999999</v>
      </c>
      <c r="Z5058">
        <v>9.7429249999999995E-3</v>
      </c>
      <c r="AA5058">
        <v>0.98831800000000003</v>
      </c>
      <c r="AB5058">
        <v>40</v>
      </c>
      <c r="AC5058">
        <v>10.952699999999901</v>
      </c>
      <c r="AD5058">
        <v>-1.1107995016482</v>
      </c>
      <c r="AE5058">
        <v>1.47695</v>
      </c>
      <c r="AF5058">
        <v>-1.7087456099976801</v>
      </c>
      <c r="AG5058">
        <v>-1.1107995016482</v>
      </c>
      <c r="AH5058">
        <v>10.807051032646401</v>
      </c>
      <c r="AI5058">
        <v>95.797005298294593</v>
      </c>
      <c r="AJ5058">
        <v>98.984881107647595</v>
      </c>
      <c r="AK5058">
        <v>10.997546958971</v>
      </c>
      <c r="AL5058">
        <v>82.164904987537199</v>
      </c>
      <c r="AM5058">
        <v>97.524211633679499</v>
      </c>
      <c r="AN5058">
        <v>0.99999997586364897</v>
      </c>
    </row>
    <row r="5059" spans="1:40" x14ac:dyDescent="0.25">
      <c r="A5059" t="str">
        <f>"20190312164409487"</f>
        <v>20190312164409487</v>
      </c>
      <c r="B5059" t="str">
        <f>"1552380249479860"</f>
        <v>1552380249479860</v>
      </c>
      <c r="C5059" t="s">
        <v>40</v>
      </c>
      <c r="D5059">
        <v>5.2458359999999997</v>
      </c>
      <c r="E5059">
        <v>0.49409599999999998</v>
      </c>
      <c r="F5059" t="s">
        <v>58</v>
      </c>
      <c r="G5059">
        <v>-212.79400000000001</v>
      </c>
      <c r="H5059" s="1">
        <v>-4.1460039999999999E-7</v>
      </c>
      <c r="I5059">
        <v>-61.31185</v>
      </c>
      <c r="J5059">
        <v>-223.73859999999999</v>
      </c>
      <c r="K5059">
        <v>1.110873</v>
      </c>
      <c r="L5059">
        <v>-62.8018199999999</v>
      </c>
      <c r="M5059">
        <v>0.99966790000000005</v>
      </c>
      <c r="N5059">
        <v>0</v>
      </c>
      <c r="O5059">
        <v>-2.219488E-2</v>
      </c>
      <c r="P5059">
        <v>0.98632430000000004</v>
      </c>
      <c r="Q5059">
        <v>0.1238115</v>
      </c>
      <c r="R5059">
        <v>0.108789</v>
      </c>
      <c r="S5059">
        <v>3.0350950000000001</v>
      </c>
      <c r="T5059">
        <v>-0.30236299999999999</v>
      </c>
      <c r="U5059">
        <v>0.40441890000000003</v>
      </c>
      <c r="V5059">
        <v>-0.1309776</v>
      </c>
      <c r="W5059">
        <v>0.13637379999999999</v>
      </c>
      <c r="X5059">
        <v>0.98196079999999997</v>
      </c>
      <c r="Y5059">
        <v>-0.1531962</v>
      </c>
      <c r="Z5059">
        <v>9.7756630000000004E-3</v>
      </c>
      <c r="AA5059">
        <v>0.98814740000000001</v>
      </c>
      <c r="AB5059">
        <v>40</v>
      </c>
      <c r="AC5059">
        <v>10.9445999999999</v>
      </c>
      <c r="AD5059">
        <v>-1.11087341460039</v>
      </c>
      <c r="AE5059">
        <v>1.48996999999999</v>
      </c>
      <c r="AF5059">
        <v>-1.7151891495467799</v>
      </c>
      <c r="AG5059">
        <v>-1.11087341460039</v>
      </c>
      <c r="AH5059">
        <v>10.799595995926699</v>
      </c>
      <c r="AI5059">
        <v>95.800734488964693</v>
      </c>
      <c r="AJ5059">
        <v>99.024329478873398</v>
      </c>
      <c r="AK5059">
        <v>10.991232289294301</v>
      </c>
      <c r="AL5059">
        <v>82.161932245515501</v>
      </c>
      <c r="AM5059">
        <v>97.597480760679005</v>
      </c>
      <c r="AN5059">
        <v>0.99999997888241898</v>
      </c>
    </row>
    <row r="5060" spans="1:40" x14ac:dyDescent="0.25">
      <c r="A5060" t="str">
        <f>"20190312164409498"</f>
        <v>20190312164409498</v>
      </c>
      <c r="B5060" t="str">
        <f>"1552380249490596"</f>
        <v>1552380249490596</v>
      </c>
      <c r="C5060" t="s">
        <v>40</v>
      </c>
      <c r="D5060">
        <v>5.1189330000000002</v>
      </c>
      <c r="E5060">
        <v>0.49428490000000003</v>
      </c>
      <c r="F5060" t="s">
        <v>58</v>
      </c>
      <c r="G5060">
        <v>-212.58799999999999</v>
      </c>
      <c r="H5060" s="1">
        <v>-3.236624E-7</v>
      </c>
      <c r="I5060">
        <v>-61.302109999999999</v>
      </c>
      <c r="J5060">
        <v>-223.53960000000001</v>
      </c>
      <c r="K5060">
        <v>1.110949</v>
      </c>
      <c r="L5060">
        <v>-62.805790000000002</v>
      </c>
      <c r="M5060">
        <v>0.99968000000000001</v>
      </c>
      <c r="N5060">
        <v>0</v>
      </c>
      <c r="O5060">
        <v>-2.1596899999999999E-2</v>
      </c>
      <c r="P5060">
        <v>0.98609610000000003</v>
      </c>
      <c r="Q5060">
        <v>0.12390959999999999</v>
      </c>
      <c r="R5060">
        <v>0.1107302</v>
      </c>
      <c r="S5060">
        <v>3.0345149999999999</v>
      </c>
      <c r="T5060">
        <v>-0.30231140000000001</v>
      </c>
      <c r="U5060">
        <v>0.40811160000000002</v>
      </c>
      <c r="V5060">
        <v>-0.1323491</v>
      </c>
      <c r="W5060">
        <v>0.1365217</v>
      </c>
      <c r="X5060">
        <v>0.98175639999999997</v>
      </c>
      <c r="Y5060">
        <v>-0.15381120000000001</v>
      </c>
      <c r="Z5060">
        <v>9.7462980000000005E-3</v>
      </c>
      <c r="AA5060">
        <v>0.98805220000000005</v>
      </c>
      <c r="AB5060">
        <v>40</v>
      </c>
      <c r="AC5060">
        <v>10.951599999999999</v>
      </c>
      <c r="AD5060">
        <v>-1.1109493236624</v>
      </c>
      <c r="AE5060">
        <v>1.5036799999999999</v>
      </c>
      <c r="AF5060">
        <v>-1.72247333095672</v>
      </c>
      <c r="AG5060">
        <v>-1.1109493236624</v>
      </c>
      <c r="AH5060">
        <v>10.8074124652073</v>
      </c>
      <c r="AI5060">
        <v>95.796461574371406</v>
      </c>
      <c r="AJ5060">
        <v>99.0555744977449</v>
      </c>
      <c r="AK5060">
        <v>11.0000584984227</v>
      </c>
      <c r="AL5060">
        <v>82.153378709122094</v>
      </c>
      <c r="AM5060">
        <v>97.677671304308305</v>
      </c>
      <c r="AN5060">
        <v>1.0000000438913199</v>
      </c>
    </row>
    <row r="5061" spans="1:40" x14ac:dyDescent="0.25">
      <c r="A5061" t="str">
        <f>"20190312164409509"</f>
        <v>20190312164409509</v>
      </c>
      <c r="B5061" t="str">
        <f>"1552380249500356"</f>
        <v>1552380249500356</v>
      </c>
      <c r="C5061" t="s">
        <v>40</v>
      </c>
      <c r="D5061">
        <v>5.0993209999999998</v>
      </c>
      <c r="E5061">
        <v>0.4944807</v>
      </c>
      <c r="F5061" t="s">
        <v>58</v>
      </c>
      <c r="G5061">
        <v>-212.3466</v>
      </c>
      <c r="H5061" s="1">
        <v>-2.1487199999999999E-7</v>
      </c>
      <c r="I5061">
        <v>-61.282550000000001</v>
      </c>
      <c r="J5061">
        <v>-223.34469999999999</v>
      </c>
      <c r="K5061">
        <v>1.111035</v>
      </c>
      <c r="L5061">
        <v>-62.809480000000001</v>
      </c>
      <c r="M5061">
        <v>0.99969300000000005</v>
      </c>
      <c r="N5061">
        <v>0</v>
      </c>
      <c r="O5061">
        <v>-2.093571E-2</v>
      </c>
      <c r="P5061">
        <v>0.98587729999999996</v>
      </c>
      <c r="Q5061">
        <v>0.12414559999999999</v>
      </c>
      <c r="R5061">
        <v>0.1123999</v>
      </c>
      <c r="S5061">
        <v>3.0337679999999998</v>
      </c>
      <c r="T5061">
        <v>-0.3011124</v>
      </c>
      <c r="U5061">
        <v>0.41284179999999998</v>
      </c>
      <c r="V5061">
        <v>-0.13339200000000001</v>
      </c>
      <c r="W5061">
        <v>0.13679749999999999</v>
      </c>
      <c r="X5061">
        <v>0.98157680000000003</v>
      </c>
      <c r="Y5061">
        <v>-0.15470819999999999</v>
      </c>
      <c r="Z5061">
        <v>9.688192E-3</v>
      </c>
      <c r="AA5061">
        <v>0.98791269999999998</v>
      </c>
      <c r="AB5061">
        <v>40</v>
      </c>
      <c r="AC5061">
        <v>10.9980999999999</v>
      </c>
      <c r="AD5061">
        <v>-1.111035214872</v>
      </c>
      <c r="AE5061">
        <v>1.5269299999999999</v>
      </c>
      <c r="AF5061">
        <v>-1.73945280593039</v>
      </c>
      <c r="AG5061">
        <v>-1.111035214872</v>
      </c>
      <c r="AH5061">
        <v>10.8550362747026</v>
      </c>
      <c r="AI5061">
        <v>95.770873582916295</v>
      </c>
      <c r="AJ5061">
        <v>99.103899240809497</v>
      </c>
      <c r="AK5061">
        <v>11.0495207062503</v>
      </c>
      <c r="AL5061">
        <v>82.137426511505495</v>
      </c>
      <c r="AM5061">
        <v>97.738839236718604</v>
      </c>
      <c r="AN5061">
        <v>0.99999999798424499</v>
      </c>
    </row>
    <row r="5062" spans="1:40" x14ac:dyDescent="0.25">
      <c r="A5062" t="str">
        <f>"20190312164409519"</f>
        <v>20190312164409519</v>
      </c>
      <c r="B5062" t="str">
        <f>"1552380249510117"</f>
        <v>1552380249510117</v>
      </c>
      <c r="C5062" t="s">
        <v>40</v>
      </c>
      <c r="D5062">
        <v>5.1251800000000003</v>
      </c>
      <c r="E5062">
        <v>0.49466779999999999</v>
      </c>
      <c r="F5062" t="s">
        <v>58</v>
      </c>
      <c r="G5062">
        <v>-212.10239999999999</v>
      </c>
      <c r="H5062" s="1">
        <v>-1.0538460000000001E-7</v>
      </c>
      <c r="I5062">
        <v>-61.264769999999999</v>
      </c>
      <c r="J5062">
        <v>-223.14529999999999</v>
      </c>
      <c r="K5062">
        <v>1.111127</v>
      </c>
      <c r="L5062">
        <v>-62.813139999999997</v>
      </c>
      <c r="M5062">
        <v>0.99970669999999995</v>
      </c>
      <c r="N5062">
        <v>0</v>
      </c>
      <c r="O5062">
        <v>-2.0234530000000001E-2</v>
      </c>
      <c r="P5062">
        <v>0.98569110000000004</v>
      </c>
      <c r="Q5062">
        <v>0.1240382</v>
      </c>
      <c r="R5062">
        <v>0.1141404</v>
      </c>
      <c r="S5062">
        <v>3.0332029999999999</v>
      </c>
      <c r="T5062">
        <v>-0.2997591</v>
      </c>
      <c r="U5062">
        <v>0.41674800000000001</v>
      </c>
      <c r="V5062">
        <v>-0.13446739999999999</v>
      </c>
      <c r="W5062">
        <v>0.13672809999999999</v>
      </c>
      <c r="X5062">
        <v>0.98143970000000003</v>
      </c>
      <c r="Y5062">
        <v>-0.15529679999999901</v>
      </c>
      <c r="Z5062">
        <v>9.6058389999999997E-3</v>
      </c>
      <c r="AA5062">
        <v>0.98782119999999995</v>
      </c>
      <c r="AB5062">
        <v>40</v>
      </c>
      <c r="AC5062">
        <v>11.042899999999999</v>
      </c>
      <c r="AD5062">
        <v>-1.1111271053845999</v>
      </c>
      <c r="AE5062">
        <v>1.54837</v>
      </c>
      <c r="AF5062">
        <v>-1.75410409749716</v>
      </c>
      <c r="AG5062">
        <v>-1.1111271053845999</v>
      </c>
      <c r="AH5062">
        <v>10.901068583857599</v>
      </c>
      <c r="AI5062">
        <v>95.746543926442399</v>
      </c>
      <c r="AJ5062">
        <v>99.141174785442104</v>
      </c>
      <c r="AK5062">
        <v>11.097061813792999</v>
      </c>
      <c r="AL5062">
        <v>82.141440332894604</v>
      </c>
      <c r="AM5062">
        <v>97.801540568049504</v>
      </c>
      <c r="AN5062">
        <v>0.99999996986422901</v>
      </c>
    </row>
    <row r="5063" spans="1:40" x14ac:dyDescent="0.25">
      <c r="A5063" t="str">
        <f>"20190312164409530"</f>
        <v>20190312164409530</v>
      </c>
      <c r="B5063" t="str">
        <f>"1552380249519878"</f>
        <v>1552380249519878</v>
      </c>
      <c r="C5063" t="s">
        <v>40</v>
      </c>
      <c r="D5063">
        <v>5.097035</v>
      </c>
      <c r="E5063">
        <v>0.49484070000000002</v>
      </c>
      <c r="F5063" t="s">
        <v>58</v>
      </c>
      <c r="G5063">
        <v>-211.88839999999999</v>
      </c>
      <c r="H5063" s="1">
        <v>-9.8555120000000007E-9</v>
      </c>
      <c r="I5063">
        <v>-61.250770000000003</v>
      </c>
      <c r="J5063">
        <v>-222.95760000000001</v>
      </c>
      <c r="K5063">
        <v>1.1112229999999901</v>
      </c>
      <c r="L5063">
        <v>-62.816279999999999</v>
      </c>
      <c r="M5063">
        <v>0.99972079999999997</v>
      </c>
      <c r="N5063">
        <v>0</v>
      </c>
      <c r="O5063">
        <v>-1.9471349999999998E-2</v>
      </c>
      <c r="P5063">
        <v>0.98543449999999999</v>
      </c>
      <c r="Q5063">
        <v>0.1244691</v>
      </c>
      <c r="R5063">
        <v>0.1158719</v>
      </c>
      <c r="S5063">
        <v>3.032486</v>
      </c>
      <c r="T5063">
        <v>-0.299324599999999</v>
      </c>
      <c r="U5063">
        <v>0.42086790000000002</v>
      </c>
      <c r="V5063">
        <v>-0.13547619999999999</v>
      </c>
      <c r="W5063">
        <v>0.13718250000000001</v>
      </c>
      <c r="X5063">
        <v>0.98123760000000004</v>
      </c>
      <c r="Y5063">
        <v>-0.15589430000000001</v>
      </c>
      <c r="Z5063">
        <v>9.5477789999999993E-3</v>
      </c>
      <c r="AA5063">
        <v>0.98772760000000004</v>
      </c>
      <c r="AB5063">
        <v>40</v>
      </c>
      <c r="AC5063">
        <v>11.0692</v>
      </c>
      <c r="AD5063">
        <v>-1.11122300985551</v>
      </c>
      <c r="AE5063">
        <v>1.5655100000000099</v>
      </c>
      <c r="AF5063">
        <v>-1.76334242990532</v>
      </c>
      <c r="AG5063">
        <v>-1.11122300985551</v>
      </c>
      <c r="AH5063">
        <v>10.928637847475001</v>
      </c>
      <c r="AI5063">
        <v>95.732242492698802</v>
      </c>
      <c r="AJ5063">
        <v>99.165713885848604</v>
      </c>
      <c r="AK5063">
        <v>11.1256154123716</v>
      </c>
      <c r="AL5063">
        <v>82.115157976119406</v>
      </c>
      <c r="AM5063">
        <v>97.860938962088596</v>
      </c>
      <c r="AN5063">
        <v>1.00000003336322</v>
      </c>
    </row>
    <row r="5064" spans="1:40" x14ac:dyDescent="0.25">
      <c r="A5064" t="str">
        <f>"20190312164409542"</f>
        <v>20190312164409542</v>
      </c>
      <c r="B5064" t="str">
        <f>"1552380249530613"</f>
        <v>1552380249530613</v>
      </c>
      <c r="C5064" t="s">
        <v>40</v>
      </c>
      <c r="D5064">
        <v>5.1078169999999998</v>
      </c>
      <c r="E5064">
        <v>0.49498890000000001</v>
      </c>
      <c r="F5064" t="s">
        <v>58</v>
      </c>
      <c r="G5064">
        <v>-211.6147</v>
      </c>
      <c r="H5064" s="1">
        <v>1.13879E-7</v>
      </c>
      <c r="I5064">
        <v>-61.226959999999998</v>
      </c>
      <c r="J5064">
        <v>-222.74979999999999</v>
      </c>
      <c r="K5064">
        <v>1.111334</v>
      </c>
      <c r="L5064">
        <v>-62.819670000000002</v>
      </c>
      <c r="M5064">
        <v>0.99973650000000003</v>
      </c>
      <c r="N5064">
        <v>0</v>
      </c>
      <c r="O5064">
        <v>-1.8603379999999999E-2</v>
      </c>
      <c r="P5064">
        <v>0.98517299999999997</v>
      </c>
      <c r="Q5064">
        <v>0.12485499999999999</v>
      </c>
      <c r="R5064">
        <v>0.1176663</v>
      </c>
      <c r="S5064">
        <v>3.0319060000000002</v>
      </c>
      <c r="T5064">
        <v>-0.29702630000000002</v>
      </c>
      <c r="U5064">
        <v>0.42480469999999998</v>
      </c>
      <c r="V5064">
        <v>-0.1364495</v>
      </c>
      <c r="W5064">
        <v>0.13759199999999999</v>
      </c>
      <c r="X5064">
        <v>0.98104539999999996</v>
      </c>
      <c r="Y5064">
        <v>-0.15633520000000001</v>
      </c>
      <c r="Z5064">
        <v>9.4127410000000005E-3</v>
      </c>
      <c r="AA5064">
        <v>0.98765919999999896</v>
      </c>
      <c r="AB5064">
        <v>40</v>
      </c>
      <c r="AC5064">
        <v>11.1350999999999</v>
      </c>
      <c r="AD5064">
        <v>-1.111333886121</v>
      </c>
      <c r="AE5064">
        <v>1.5927099999999901</v>
      </c>
      <c r="AF5064">
        <v>-1.7822069871041599</v>
      </c>
      <c r="AG5064">
        <v>-1.111333886121</v>
      </c>
      <c r="AH5064">
        <v>10.9962035094416</v>
      </c>
      <c r="AI5064">
        <v>95.697172225289805</v>
      </c>
      <c r="AJ5064">
        <v>99.206146719083605</v>
      </c>
      <c r="AK5064">
        <v>11.194990682103301</v>
      </c>
      <c r="AL5064">
        <v>82.091470876605499</v>
      </c>
      <c r="AM5064">
        <v>97.918231965426102</v>
      </c>
      <c r="AN5064">
        <v>1.0000000506877</v>
      </c>
    </row>
    <row r="5065" spans="1:40" x14ac:dyDescent="0.25">
      <c r="A5065" t="str">
        <f>"20190312164409553"</f>
        <v>20190312164409553</v>
      </c>
      <c r="B5065" t="str">
        <f>"1552380249540373"</f>
        <v>1552380249540373</v>
      </c>
      <c r="C5065" t="s">
        <v>40</v>
      </c>
      <c r="D5065">
        <v>5.1080560000000004</v>
      </c>
      <c r="E5065">
        <v>0.49510759999999998</v>
      </c>
      <c r="F5065" t="s">
        <v>58</v>
      </c>
      <c r="G5065">
        <v>-211.34350000000001</v>
      </c>
      <c r="H5065" s="1">
        <v>2.358988E-7</v>
      </c>
      <c r="I5065">
        <v>-61.205669999999998</v>
      </c>
      <c r="J5065">
        <v>-222.5591</v>
      </c>
      <c r="K5065">
        <v>1.11145</v>
      </c>
      <c r="L5065">
        <v>-62.822479999999999</v>
      </c>
      <c r="M5065">
        <v>0.99975230000000004</v>
      </c>
      <c r="N5065">
        <v>0</v>
      </c>
      <c r="O5065">
        <v>-1.7699599999999999E-2</v>
      </c>
      <c r="P5065">
        <v>0.9849232</v>
      </c>
      <c r="Q5065">
        <v>0.12512200000000001</v>
      </c>
      <c r="R5065">
        <v>0.1194617</v>
      </c>
      <c r="S5065">
        <v>3.0313720000000002</v>
      </c>
      <c r="T5065">
        <v>-0.29535070000000002</v>
      </c>
      <c r="U5065">
        <v>0.42892459999999999</v>
      </c>
      <c r="V5065">
        <v>-0.13738939999999999</v>
      </c>
      <c r="W5065">
        <v>0.1378711</v>
      </c>
      <c r="X5065">
        <v>0.98087500000000005</v>
      </c>
      <c r="Y5065">
        <v>-0.15679379999999901</v>
      </c>
      <c r="Z5065">
        <v>9.2953500000000008E-3</v>
      </c>
      <c r="AA5065">
        <v>0.98758760000000001</v>
      </c>
      <c r="AB5065">
        <v>40</v>
      </c>
      <c r="AC5065">
        <v>11.215599999999901</v>
      </c>
      <c r="AD5065">
        <v>-1.1114497641012</v>
      </c>
      <c r="AE5065">
        <v>1.6168100000000001</v>
      </c>
      <c r="AF5065">
        <v>-1.79779057194425</v>
      </c>
      <c r="AG5065">
        <v>-1.1114497641012</v>
      </c>
      <c r="AH5065">
        <v>11.078640146223201</v>
      </c>
      <c r="AI5065">
        <v>95.655462810862403</v>
      </c>
      <c r="AJ5065">
        <v>99.217347282426005</v>
      </c>
      <c r="AK5065">
        <v>11.2784590706444</v>
      </c>
      <c r="AL5065">
        <v>82.075325563163801</v>
      </c>
      <c r="AM5065">
        <v>97.973443062226593</v>
      </c>
      <c r="AN5065">
        <v>1.0000000265362801</v>
      </c>
    </row>
    <row r="5066" spans="1:40" x14ac:dyDescent="0.25">
      <c r="A5066" t="str">
        <f>"20190312164409563"</f>
        <v>20190312164409563</v>
      </c>
      <c r="B5066" t="str">
        <f>"1552380249559893"</f>
        <v>1552380249559893</v>
      </c>
      <c r="C5066" t="s">
        <v>40</v>
      </c>
      <c r="D5066">
        <v>5.1213419999999896</v>
      </c>
      <c r="E5066">
        <v>0.49534319999999998</v>
      </c>
      <c r="F5066" t="s">
        <v>58</v>
      </c>
      <c r="G5066">
        <v>-211.08539999999999</v>
      </c>
      <c r="H5066" s="1">
        <v>3.5286499999999998E-7</v>
      </c>
      <c r="I5066">
        <v>-61.182259999999999</v>
      </c>
      <c r="J5066">
        <v>-222.3766</v>
      </c>
      <c r="K5066">
        <v>1.1115619999999999</v>
      </c>
      <c r="L5066">
        <v>-62.825069999999997</v>
      </c>
      <c r="M5066">
        <v>0.99976679999999996</v>
      </c>
      <c r="N5066">
        <v>0</v>
      </c>
      <c r="O5066">
        <v>-1.680922E-2</v>
      </c>
      <c r="P5066">
        <v>0.98467700000000002</v>
      </c>
      <c r="Q5066">
        <v>0.12527160000000001</v>
      </c>
      <c r="R5066">
        <v>0.1213193</v>
      </c>
      <c r="S5066">
        <v>3.0306549999999999</v>
      </c>
      <c r="T5066">
        <v>-0.29357610000000001</v>
      </c>
      <c r="U5066">
        <v>0.43322749999999999</v>
      </c>
      <c r="V5066">
        <v>-0.138404</v>
      </c>
      <c r="W5066">
        <v>0.13803029999999999</v>
      </c>
      <c r="X5066">
        <v>0.98070990000000002</v>
      </c>
      <c r="Y5066">
        <v>-0.15733229999999901</v>
      </c>
      <c r="Z5066">
        <v>9.1812279999999996E-3</v>
      </c>
      <c r="AA5066">
        <v>0.98750309999999997</v>
      </c>
      <c r="AB5066">
        <v>40</v>
      </c>
      <c r="AC5066">
        <v>11.2912</v>
      </c>
      <c r="AD5066">
        <v>-1.1115616471349901</v>
      </c>
      <c r="AE5066">
        <v>1.6428099999999899</v>
      </c>
      <c r="AF5066">
        <v>-1.8151647289196999</v>
      </c>
      <c r="AG5066">
        <v>-1.1115616471349901</v>
      </c>
      <c r="AH5066">
        <v>11.1561103956812</v>
      </c>
      <c r="AI5066">
        <v>95.616623528165505</v>
      </c>
      <c r="AJ5066">
        <v>99.241378296118896</v>
      </c>
      <c r="AK5066">
        <v>11.3573408617124</v>
      </c>
      <c r="AL5066">
        <v>82.066115567921997</v>
      </c>
      <c r="AM5066">
        <v>98.032894617221501</v>
      </c>
      <c r="AN5066">
        <v>0.99999996944604896</v>
      </c>
    </row>
    <row r="5067" spans="1:40" x14ac:dyDescent="0.25">
      <c r="A5067" t="str">
        <f>"20190312164409574"</f>
        <v>20190312164409574</v>
      </c>
      <c r="B5067" t="str">
        <f>"1552380249570628"</f>
        <v>1552380249570628</v>
      </c>
      <c r="C5067" t="s">
        <v>40</v>
      </c>
      <c r="D5067">
        <v>5.1086210000000003</v>
      </c>
      <c r="E5067">
        <v>0.49549120000000002</v>
      </c>
      <c r="F5067" t="s">
        <v>58</v>
      </c>
      <c r="G5067">
        <v>-210.87</v>
      </c>
      <c r="H5067" s="1">
        <v>4.496886E-7</v>
      </c>
      <c r="I5067">
        <v>-61.165610000000001</v>
      </c>
      <c r="J5067">
        <v>-222.1746</v>
      </c>
      <c r="K5067">
        <v>1.1116889999999999</v>
      </c>
      <c r="L5067">
        <v>-62.827579999999998</v>
      </c>
      <c r="M5067">
        <v>0.9997838</v>
      </c>
      <c r="N5067">
        <v>0</v>
      </c>
      <c r="O5067">
        <v>-1.5727229999999998E-2</v>
      </c>
      <c r="P5067">
        <v>0.98440000000000005</v>
      </c>
      <c r="Q5067">
        <v>0.12561359999999999</v>
      </c>
      <c r="R5067">
        <v>0.1231999</v>
      </c>
      <c r="S5067">
        <v>3.03009</v>
      </c>
      <c r="T5067">
        <v>-0.29271350000000002</v>
      </c>
      <c r="U5067">
        <v>0.43698120000000001</v>
      </c>
      <c r="V5067">
        <v>-0.13925950000000001</v>
      </c>
      <c r="W5067">
        <v>0.138376</v>
      </c>
      <c r="X5067">
        <v>0.98054010000000003</v>
      </c>
      <c r="Y5067">
        <v>-0.15749679999999999</v>
      </c>
      <c r="Z5067">
        <v>9.0593470000000006E-3</v>
      </c>
      <c r="AA5067">
        <v>0.98747799999999997</v>
      </c>
      <c r="AB5067">
        <v>40</v>
      </c>
      <c r="AC5067">
        <v>11.304599999999899</v>
      </c>
      <c r="AD5067">
        <v>-1.11168855031139</v>
      </c>
      <c r="AE5067">
        <v>1.6619699999999999</v>
      </c>
      <c r="AF5067">
        <v>-1.8223207137469799</v>
      </c>
      <c r="AG5067">
        <v>-1.11168855031139</v>
      </c>
      <c r="AH5067">
        <v>11.1713127217029</v>
      </c>
      <c r="AI5067">
        <v>95.609294509394502</v>
      </c>
      <c r="AJ5067">
        <v>99.264773001788299</v>
      </c>
      <c r="AK5067">
        <v>11.373430974984</v>
      </c>
      <c r="AL5067">
        <v>82.046116801567607</v>
      </c>
      <c r="AM5067">
        <v>98.083274399262606</v>
      </c>
      <c r="AN5067">
        <v>1.00000000671213</v>
      </c>
    </row>
    <row r="5068" spans="1:40" x14ac:dyDescent="0.25">
      <c r="A5068" t="str">
        <f>"20190312164409585"</f>
        <v>20190312164409585</v>
      </c>
      <c r="B5068" t="str">
        <f>"1552380249580389"</f>
        <v>1552380249580389</v>
      </c>
      <c r="C5068" t="s">
        <v>40</v>
      </c>
      <c r="D5068">
        <v>5.1091639999999998</v>
      </c>
      <c r="E5068">
        <v>0.49564190000000002</v>
      </c>
      <c r="F5068" t="s">
        <v>58</v>
      </c>
      <c r="G5068">
        <v>-210.6559</v>
      </c>
      <c r="H5068" s="1">
        <v>5.4612150000000001E-7</v>
      </c>
      <c r="I5068">
        <v>-61.148310000000002</v>
      </c>
      <c r="J5068">
        <v>-222.0035</v>
      </c>
      <c r="K5068">
        <v>1.1117999999999999</v>
      </c>
      <c r="L5068">
        <v>-62.829590000000003</v>
      </c>
      <c r="M5068">
        <v>0.99979779999999996</v>
      </c>
      <c r="N5068">
        <v>0</v>
      </c>
      <c r="O5068">
        <v>-1.4775719999999999E-2</v>
      </c>
      <c r="P5068">
        <v>0.98419630000000002</v>
      </c>
      <c r="Q5068">
        <v>0.1253619</v>
      </c>
      <c r="R5068">
        <v>0.1250694</v>
      </c>
      <c r="S5068">
        <v>3.0295559999999999</v>
      </c>
      <c r="T5068">
        <v>-0.29238710000000001</v>
      </c>
      <c r="U5068">
        <v>0.4416504</v>
      </c>
      <c r="V5068">
        <v>-0.14022519999999999</v>
      </c>
      <c r="W5068">
        <v>0.13812569999999999</v>
      </c>
      <c r="X5068">
        <v>0.98043780000000003</v>
      </c>
      <c r="Y5068">
        <v>-0.15807560000000001</v>
      </c>
      <c r="Z5068">
        <v>8.9864109999999997E-3</v>
      </c>
      <c r="AA5068">
        <v>0.98738610000000004</v>
      </c>
      <c r="AB5068">
        <v>40</v>
      </c>
      <c r="AC5068">
        <v>11.3476</v>
      </c>
      <c r="AD5068">
        <v>-1.1117994538785001</v>
      </c>
      <c r="AE5068">
        <v>1.6812800000000001</v>
      </c>
      <c r="AF5068">
        <v>-1.83157658555489</v>
      </c>
      <c r="AG5068">
        <v>-1.1117994538785001</v>
      </c>
      <c r="AH5068">
        <v>11.216160706029299</v>
      </c>
      <c r="AI5068">
        <v>95.587409019447406</v>
      </c>
      <c r="AJ5068">
        <v>99.274426227082898</v>
      </c>
      <c r="AK5068">
        <v>11.4189768279769</v>
      </c>
      <c r="AL5068">
        <v>82.060597312232503</v>
      </c>
      <c r="AM5068">
        <v>98.139417543994099</v>
      </c>
      <c r="AN5068">
        <v>1.00000004769218</v>
      </c>
    </row>
    <row r="5069" spans="1:40" x14ac:dyDescent="0.25">
      <c r="A5069" t="str">
        <f>"20190312164409596"</f>
        <v>20190312164409596</v>
      </c>
      <c r="B5069" t="str">
        <f>"1552380249590148"</f>
        <v>1552380249590148</v>
      </c>
      <c r="C5069" t="s">
        <v>40</v>
      </c>
      <c r="D5069">
        <v>5.1084230000000002</v>
      </c>
      <c r="E5069">
        <v>0.49574279999999998</v>
      </c>
      <c r="F5069" t="s">
        <v>58</v>
      </c>
      <c r="G5069">
        <v>-210.5488</v>
      </c>
      <c r="H5069" s="1">
        <v>5.9365999999999998E-7</v>
      </c>
      <c r="I5069">
        <v>-61.142330000000001</v>
      </c>
      <c r="J5069">
        <v>-221.77889999999999</v>
      </c>
      <c r="K5069">
        <v>1.1119460000000001</v>
      </c>
      <c r="L5069">
        <v>-62.831850000000003</v>
      </c>
      <c r="M5069">
        <v>0.99981589999999998</v>
      </c>
      <c r="N5069">
        <v>0</v>
      </c>
      <c r="O5069">
        <v>-1.3431830000000001E-2</v>
      </c>
      <c r="P5069">
        <v>0.98389729999999997</v>
      </c>
      <c r="Q5069">
        <v>0.12556809999999999</v>
      </c>
      <c r="R5069">
        <v>0.12719649999999999</v>
      </c>
      <c r="S5069">
        <v>3.028915</v>
      </c>
      <c r="T5069">
        <v>-0.29398740000000001</v>
      </c>
      <c r="U5069">
        <v>0.44613649999999999</v>
      </c>
      <c r="V5069">
        <v>-0.1410757</v>
      </c>
      <c r="W5069">
        <v>0.13832920000000001</v>
      </c>
      <c r="X5069">
        <v>0.98028700000000002</v>
      </c>
      <c r="Y5069">
        <v>-0.15820689999999901</v>
      </c>
      <c r="Z5069">
        <v>8.9131109999999996E-3</v>
      </c>
      <c r="AA5069">
        <v>0.98736570000000001</v>
      </c>
      <c r="AB5069">
        <v>40</v>
      </c>
      <c r="AC5069">
        <v>11.230099999999901</v>
      </c>
      <c r="AD5069">
        <v>-1.1119454063399901</v>
      </c>
      <c r="AE5069">
        <v>1.6895199999999999</v>
      </c>
      <c r="AF5069">
        <v>-1.82274795963</v>
      </c>
      <c r="AG5069">
        <v>-1.1119454063399901</v>
      </c>
      <c r="AH5069">
        <v>11.099976570200701</v>
      </c>
      <c r="AI5069">
        <v>95.6454357107325</v>
      </c>
      <c r="AJ5069">
        <v>99.325420071707796</v>
      </c>
      <c r="AK5069">
        <v>11.303464626831</v>
      </c>
      <c r="AL5069">
        <v>82.048823920243606</v>
      </c>
      <c r="AM5069">
        <v>98.189360162857</v>
      </c>
      <c r="AN5069">
        <v>0.99999996153606396</v>
      </c>
    </row>
    <row r="5070" spans="1:40" x14ac:dyDescent="0.25">
      <c r="A5070" t="str">
        <f>"20190312164409610"</f>
        <v>20190312164409610</v>
      </c>
      <c r="B5070" t="str">
        <f>"1552380249599908"</f>
        <v>1552380249599908</v>
      </c>
      <c r="C5070" t="s">
        <v>40</v>
      </c>
      <c r="D5070">
        <v>5.1110899999999999</v>
      </c>
      <c r="E5070">
        <v>0.4958304</v>
      </c>
      <c r="F5070" t="s">
        <v>58</v>
      </c>
      <c r="G5070">
        <v>-210.32499999999999</v>
      </c>
      <c r="H5070" s="1">
        <v>6.9519130000000002E-7</v>
      </c>
      <c r="I5070">
        <v>-61.121670000000002</v>
      </c>
      <c r="J5070">
        <v>-221.5361</v>
      </c>
      <c r="K5070">
        <v>1.112104</v>
      </c>
      <c r="L5070">
        <v>-62.833860000000001</v>
      </c>
      <c r="M5070">
        <v>0.99983480000000002</v>
      </c>
      <c r="N5070">
        <v>0</v>
      </c>
      <c r="O5070">
        <v>-1.187686E-2</v>
      </c>
      <c r="P5070">
        <v>0.98356390000000005</v>
      </c>
      <c r="Q5070">
        <v>0.1258107</v>
      </c>
      <c r="R5070">
        <v>0.12951389999999999</v>
      </c>
      <c r="S5070">
        <v>3.028168</v>
      </c>
      <c r="T5070">
        <v>-0.2939736</v>
      </c>
      <c r="U5070">
        <v>0.45211790000000002</v>
      </c>
      <c r="V5070">
        <v>-0.14191419999999999</v>
      </c>
      <c r="W5070">
        <v>0.1385644</v>
      </c>
      <c r="X5070">
        <v>0.98013280000000003</v>
      </c>
      <c r="Y5070">
        <v>-0.15862019999999999</v>
      </c>
      <c r="Z5070">
        <v>8.7836400000000005E-3</v>
      </c>
      <c r="AA5070">
        <v>0.98730059999999997</v>
      </c>
      <c r="AB5070">
        <v>40</v>
      </c>
      <c r="AC5070">
        <v>11.2111</v>
      </c>
      <c r="AD5070">
        <v>-1.1121033048086999</v>
      </c>
      <c r="AE5070">
        <v>1.7121899999999901</v>
      </c>
      <c r="AF5070">
        <v>-1.82766026457835</v>
      </c>
      <c r="AG5070">
        <v>-1.1121033048086999</v>
      </c>
      <c r="AH5070">
        <v>11.0833972034107</v>
      </c>
      <c r="AI5070">
        <v>95.654003547350001</v>
      </c>
      <c r="AJ5070">
        <v>99.363847874655505</v>
      </c>
      <c r="AK5070">
        <v>11.2879940366683</v>
      </c>
      <c r="AL5070">
        <v>82.035217378785106</v>
      </c>
      <c r="AM5070">
        <v>98.238646725678194</v>
      </c>
      <c r="AN5070">
        <v>1.0000000193724199</v>
      </c>
    </row>
    <row r="5071" spans="1:40" x14ac:dyDescent="0.25">
      <c r="A5071" t="str">
        <f>"20190312164409625"</f>
        <v>20190312164409625</v>
      </c>
      <c r="B5071" t="str">
        <f>"1552380249620404"</f>
        <v>1552380249620404</v>
      </c>
      <c r="C5071" t="s">
        <v>40</v>
      </c>
      <c r="D5071">
        <v>5.1215549999999999</v>
      </c>
      <c r="E5071">
        <v>0.49608459999999899</v>
      </c>
      <c r="F5071" t="s">
        <v>58</v>
      </c>
      <c r="G5071">
        <v>-210.0847</v>
      </c>
      <c r="H5071" s="1">
        <v>8.0406369999999999E-7</v>
      </c>
      <c r="I5071">
        <v>-61.099850000000004</v>
      </c>
      <c r="J5071">
        <v>-221.27459999999999</v>
      </c>
      <c r="K5071">
        <v>1.1122719999999999</v>
      </c>
      <c r="L5071">
        <v>-62.835599999999999</v>
      </c>
      <c r="M5071">
        <v>0.99985360000000001</v>
      </c>
      <c r="N5071">
        <v>0</v>
      </c>
      <c r="O5071">
        <v>-1.011072E-2</v>
      </c>
      <c r="P5071">
        <v>0.98324690000000003</v>
      </c>
      <c r="Q5071">
        <v>0.1257984</v>
      </c>
      <c r="R5071">
        <v>0.13191079999999999</v>
      </c>
      <c r="S5071">
        <v>3.02739</v>
      </c>
      <c r="T5071">
        <v>-0.29400609999999999</v>
      </c>
      <c r="U5071">
        <v>0.45840449999999999</v>
      </c>
      <c r="V5071">
        <v>-0.14262830000000001</v>
      </c>
      <c r="W5071">
        <v>0.13854169999999999</v>
      </c>
      <c r="X5071">
        <v>0.98003229999999997</v>
      </c>
      <c r="Y5071">
        <v>-0.15892479999999901</v>
      </c>
      <c r="Z5071">
        <v>8.6299389999999997E-3</v>
      </c>
      <c r="AA5071">
        <v>0.98725300000000005</v>
      </c>
      <c r="AB5071">
        <v>40</v>
      </c>
      <c r="AC5071">
        <v>11.1898999999999</v>
      </c>
      <c r="AD5071">
        <v>-1.1122711959363001</v>
      </c>
      <c r="AE5071">
        <v>1.7357499999999899</v>
      </c>
      <c r="AF5071">
        <v>-1.83114289082165</v>
      </c>
      <c r="AG5071">
        <v>-1.1122711959363001</v>
      </c>
      <c r="AH5071">
        <v>11.0650198671458</v>
      </c>
      <c r="AI5071">
        <v>95.663649797915099</v>
      </c>
      <c r="AJ5071">
        <v>99.396677267693605</v>
      </c>
      <c r="AK5071">
        <v>11.2705322039488</v>
      </c>
      <c r="AL5071">
        <v>82.036530278402395</v>
      </c>
      <c r="AM5071">
        <v>98.280366854131401</v>
      </c>
      <c r="AN5071">
        <v>0.99999997182153399</v>
      </c>
    </row>
    <row r="5072" spans="1:40" x14ac:dyDescent="0.25">
      <c r="A5072" t="str">
        <f>"20190312164409640"</f>
        <v>20190312164409640</v>
      </c>
      <c r="B5072" t="str">
        <f>"1552380249630164"</f>
        <v>1552380249630164</v>
      </c>
      <c r="C5072" t="s">
        <v>40</v>
      </c>
      <c r="D5072">
        <v>5.126252</v>
      </c>
      <c r="E5072">
        <v>0.49620940000000002</v>
      </c>
      <c r="F5072" t="s">
        <v>50</v>
      </c>
      <c r="G5072">
        <v>-209.8905</v>
      </c>
      <c r="H5072" s="1">
        <v>-2.122393E-7</v>
      </c>
      <c r="I5072">
        <v>-61.09066</v>
      </c>
      <c r="J5072">
        <v>-220.99250000000001</v>
      </c>
      <c r="K5072">
        <v>1.1124499999999999</v>
      </c>
      <c r="L5072">
        <v>-62.836849999999998</v>
      </c>
      <c r="M5072">
        <v>0.99987139999999997</v>
      </c>
      <c r="N5072">
        <v>0</v>
      </c>
      <c r="O5072">
        <v>-8.0849019999999997E-3</v>
      </c>
      <c r="P5072">
        <v>0.98269030000000002</v>
      </c>
      <c r="Q5072">
        <v>0.12605139999999901</v>
      </c>
      <c r="R5072">
        <v>0.13576099999999999</v>
      </c>
      <c r="S5072">
        <v>3.0267029999999999</v>
      </c>
      <c r="T5072">
        <v>-0.29572009999999899</v>
      </c>
      <c r="U5072">
        <v>0.46392820000000001</v>
      </c>
      <c r="V5072">
        <v>-0.14454539999999999</v>
      </c>
      <c r="W5072">
        <v>0.13876839999999999</v>
      </c>
      <c r="X5072">
        <v>0.97971929999999996</v>
      </c>
      <c r="Y5072">
        <v>-0.15872</v>
      </c>
      <c r="Z5072">
        <v>8.4744509999999992E-3</v>
      </c>
      <c r="AA5072">
        <v>0.98728729999999998</v>
      </c>
      <c r="AB5072">
        <v>40</v>
      </c>
      <c r="AC5072">
        <v>11.102</v>
      </c>
      <c r="AD5072">
        <v>-1.1124502122393001</v>
      </c>
      <c r="AE5072">
        <v>1.7461899999999899</v>
      </c>
      <c r="AF5072">
        <v>-1.8180861707449201</v>
      </c>
      <c r="AG5072">
        <v>-1.1124502122393001</v>
      </c>
      <c r="AH5072">
        <v>10.979934555495401</v>
      </c>
      <c r="AI5072">
        <v>95.708077003826602</v>
      </c>
      <c r="AJ5072">
        <v>99.401878175426205</v>
      </c>
      <c r="AK5072">
        <v>11.184898106014501</v>
      </c>
      <c r="AL5072">
        <v>82.023414656031804</v>
      </c>
      <c r="AM5072">
        <v>98.392733493942998</v>
      </c>
      <c r="AN5072">
        <v>0.99999997414610398</v>
      </c>
    </row>
    <row r="5073" spans="1:40" x14ac:dyDescent="0.25">
      <c r="A5073" t="str">
        <f>"20190312164409652"</f>
        <v>20190312164409652</v>
      </c>
      <c r="B5073" t="str">
        <f>"1552380249639924"</f>
        <v>1552380249639924</v>
      </c>
      <c r="C5073" t="s">
        <v>40</v>
      </c>
      <c r="D5073">
        <v>5.1127120000000001</v>
      </c>
      <c r="E5073">
        <v>0.4963554</v>
      </c>
      <c r="F5073" t="s">
        <v>50</v>
      </c>
      <c r="G5073">
        <v>-209.61179999999999</v>
      </c>
      <c r="H5073" s="1">
        <v>-3.1155470000000001E-7</v>
      </c>
      <c r="I5073">
        <v>-61.053260000000002</v>
      </c>
      <c r="J5073">
        <v>-220.7852</v>
      </c>
      <c r="K5073">
        <v>1.112576</v>
      </c>
      <c r="L5073">
        <v>-62.837220000000002</v>
      </c>
      <c r="M5073">
        <v>0.99988259999999995</v>
      </c>
      <c r="N5073">
        <v>0</v>
      </c>
      <c r="O5073">
        <v>-6.4934679999999996E-3</v>
      </c>
      <c r="P5073">
        <v>0.9823037</v>
      </c>
      <c r="Q5073">
        <v>0.1263724</v>
      </c>
      <c r="R5073">
        <v>0.13823829999999901</v>
      </c>
      <c r="S5073">
        <v>3.0252690000000002</v>
      </c>
      <c r="T5073">
        <v>-0.29571589999999998</v>
      </c>
      <c r="U5073">
        <v>0.47412109999999902</v>
      </c>
      <c r="V5073">
        <v>-0.14550099999999999</v>
      </c>
      <c r="W5073">
        <v>0.139072</v>
      </c>
      <c r="X5073">
        <v>0.97953480000000004</v>
      </c>
      <c r="Y5073">
        <v>-0.1604661</v>
      </c>
      <c r="Z5073">
        <v>8.4064410000000006E-3</v>
      </c>
      <c r="AA5073">
        <v>0.98700549999999998</v>
      </c>
      <c r="AB5073">
        <v>40</v>
      </c>
      <c r="AC5073">
        <v>11.173400000000001</v>
      </c>
      <c r="AD5073">
        <v>-1.1125763115547</v>
      </c>
      <c r="AE5073">
        <v>1.78396</v>
      </c>
      <c r="AF5073">
        <v>-1.83870605250116</v>
      </c>
      <c r="AG5073">
        <v>-1.1125763115547</v>
      </c>
      <c r="AH5073">
        <v>11.054697420228701</v>
      </c>
      <c r="AI5073">
        <v>95.669685986323898</v>
      </c>
      <c r="AJ5073">
        <v>99.443443152886104</v>
      </c>
      <c r="AK5073">
        <v>11.261660670138699</v>
      </c>
      <c r="AL5073">
        <v>82.005849490203602</v>
      </c>
      <c r="AM5073">
        <v>98.448988604196899</v>
      </c>
      <c r="AN5073">
        <v>0.99999999329802003</v>
      </c>
    </row>
    <row r="5074" spans="1:40" x14ac:dyDescent="0.25">
      <c r="A5074" t="str">
        <f>"20190312164409664"</f>
        <v>20190312164409664</v>
      </c>
      <c r="B5074" t="str">
        <f>"1552380249660421"</f>
        <v>1552380249660421</v>
      </c>
      <c r="C5074" t="s">
        <v>40</v>
      </c>
      <c r="D5074">
        <v>5.1384040000000004</v>
      </c>
      <c r="E5074">
        <v>0.4965735</v>
      </c>
      <c r="F5074" t="s">
        <v>50</v>
      </c>
      <c r="G5074">
        <v>-209.3913</v>
      </c>
      <c r="H5074" s="1">
        <v>-4.4816930000000002E-7</v>
      </c>
      <c r="I5074">
        <v>-61.027740000000001</v>
      </c>
      <c r="J5074">
        <v>-220.58340000000001</v>
      </c>
      <c r="K5074">
        <v>1.1126940000000001</v>
      </c>
      <c r="L5074">
        <v>-62.837400000000002</v>
      </c>
      <c r="M5074">
        <v>0.99989099999999997</v>
      </c>
      <c r="N5074">
        <v>0</v>
      </c>
      <c r="O5074">
        <v>-4.9202220000000001E-3</v>
      </c>
      <c r="P5074">
        <v>0.98188299999999995</v>
      </c>
      <c r="Q5074">
        <v>0.12671589999999999</v>
      </c>
      <c r="R5074">
        <v>0.14088729999999999</v>
      </c>
      <c r="S5074">
        <v>3.0244450000000001</v>
      </c>
      <c r="T5074">
        <v>-0.29532730000000001</v>
      </c>
      <c r="U5074">
        <v>0.48031620000000003</v>
      </c>
      <c r="V5074">
        <v>-0.14664549999999901</v>
      </c>
      <c r="W5074">
        <v>0.13939460000000001</v>
      </c>
      <c r="X5074">
        <v>0.97931829999999997</v>
      </c>
      <c r="Y5074">
        <v>-0.1609341</v>
      </c>
      <c r="Z5074">
        <v>8.2666679999999996E-3</v>
      </c>
      <c r="AA5074">
        <v>0.98693050000000004</v>
      </c>
      <c r="AB5074">
        <v>40</v>
      </c>
      <c r="AC5074">
        <v>11.1921</v>
      </c>
      <c r="AD5074">
        <v>-1.1126944481693</v>
      </c>
      <c r="AE5074">
        <v>1.80966</v>
      </c>
      <c r="AF5074">
        <v>-1.8469213367583901</v>
      </c>
      <c r="AG5074">
        <v>-1.1126944481693</v>
      </c>
      <c r="AH5074">
        <v>11.076371137528501</v>
      </c>
      <c r="AI5074">
        <v>95.6588816281064</v>
      </c>
      <c r="AJ5074">
        <v>99.466647908796006</v>
      </c>
      <c r="AK5074">
        <v>11.2842901830569</v>
      </c>
      <c r="AL5074">
        <v>81.987184479486501</v>
      </c>
      <c r="AM5074">
        <v>98.516332018327702</v>
      </c>
      <c r="AN5074">
        <v>1.00000004494714</v>
      </c>
    </row>
    <row r="5075" spans="1:40" x14ac:dyDescent="0.25">
      <c r="A5075" t="str">
        <f>"20190312164409676"</f>
        <v>20190312164409676</v>
      </c>
      <c r="B5075" t="str">
        <f>"1552380249670180"</f>
        <v>1552380249670180</v>
      </c>
      <c r="C5075" t="s">
        <v>40</v>
      </c>
      <c r="D5075">
        <v>5.1360760000000001</v>
      </c>
      <c r="E5075">
        <v>0.496693</v>
      </c>
      <c r="F5075" t="s">
        <v>50</v>
      </c>
      <c r="G5075">
        <v>-209.1088</v>
      </c>
      <c r="H5075" s="1">
        <v>-6.2252809999999899E-7</v>
      </c>
      <c r="I5075">
        <v>-60.990600000000001</v>
      </c>
      <c r="J5075">
        <v>-220.36959999999999</v>
      </c>
      <c r="K5075">
        <v>1.1128169999999999</v>
      </c>
      <c r="L5075">
        <v>-62.8371</v>
      </c>
      <c r="M5075">
        <v>0.99989760000000005</v>
      </c>
      <c r="N5075">
        <v>0</v>
      </c>
      <c r="O5075">
        <v>-3.1768809999999999E-3</v>
      </c>
      <c r="P5075">
        <v>0.98146710000000004</v>
      </c>
      <c r="Q5075">
        <v>0.12690070000000001</v>
      </c>
      <c r="R5075">
        <v>0.143591</v>
      </c>
      <c r="S5075">
        <v>3.0233759999999998</v>
      </c>
      <c r="T5075">
        <v>-0.29317759999999998</v>
      </c>
      <c r="U5075">
        <v>0.4866028</v>
      </c>
      <c r="V5075">
        <v>-0.1476787</v>
      </c>
      <c r="W5075">
        <v>0.139558399999999</v>
      </c>
      <c r="X5075">
        <v>0.9791396</v>
      </c>
      <c r="Y5075">
        <v>-0.16128580000000001</v>
      </c>
      <c r="Z5075">
        <v>8.05757E-3</v>
      </c>
      <c r="AA5075">
        <v>0.9868749</v>
      </c>
      <c r="AB5075">
        <v>40</v>
      </c>
      <c r="AC5075">
        <v>11.2607999999999</v>
      </c>
      <c r="AD5075">
        <v>-1.1128176225280999</v>
      </c>
      <c r="AE5075">
        <v>1.84649999999999</v>
      </c>
      <c r="AF5075">
        <v>-1.8645364043624799</v>
      </c>
      <c r="AG5075">
        <v>-1.1128176225280999</v>
      </c>
      <c r="AH5075">
        <v>11.1488494923217</v>
      </c>
      <c r="AI5075">
        <v>95.622498093534205</v>
      </c>
      <c r="AJ5075">
        <v>99.494295061636606</v>
      </c>
      <c r="AK5075">
        <v>11.358331922718399</v>
      </c>
      <c r="AL5075">
        <v>81.9777060307092</v>
      </c>
      <c r="AM5075">
        <v>98.576987148042306</v>
      </c>
      <c r="AN5075">
        <v>0.99999995086620297</v>
      </c>
    </row>
    <row r="5076" spans="1:40" x14ac:dyDescent="0.25">
      <c r="A5076" t="str">
        <f>"20190312164409687"</f>
        <v>20190312164409687</v>
      </c>
      <c r="B5076" t="str">
        <f>"1552380249679940"</f>
        <v>1552380249679940</v>
      </c>
      <c r="C5076" t="s">
        <v>40</v>
      </c>
      <c r="D5076">
        <v>5.1392639999999998</v>
      </c>
      <c r="E5076">
        <v>0.49679719999999999</v>
      </c>
      <c r="F5076" t="s">
        <v>50</v>
      </c>
      <c r="G5076">
        <v>-208.86060000000001</v>
      </c>
      <c r="H5076" s="1">
        <v>-7.7547469999999899E-7</v>
      </c>
      <c r="I5076">
        <v>-60.955880000000001</v>
      </c>
      <c r="J5076">
        <v>-220.17410000000001</v>
      </c>
      <c r="K5076">
        <v>1.1129249999999999</v>
      </c>
      <c r="L5076">
        <v>-62.836489999999998</v>
      </c>
      <c r="M5076">
        <v>0.99990109999999999</v>
      </c>
      <c r="N5076">
        <v>0</v>
      </c>
      <c r="O5076">
        <v>-1.5440619999999999E-3</v>
      </c>
      <c r="P5076">
        <v>0.98108629999999997</v>
      </c>
      <c r="Q5076">
        <v>0.12700449999999999</v>
      </c>
      <c r="R5076">
        <v>0.14607999999999999</v>
      </c>
      <c r="S5076">
        <v>3.022141</v>
      </c>
      <c r="T5076">
        <v>-0.29221560000000002</v>
      </c>
      <c r="U5076">
        <v>0.49398799999999998</v>
      </c>
      <c r="V5076">
        <v>-0.14860129999999999</v>
      </c>
      <c r="W5076">
        <v>0.13964199999999999</v>
      </c>
      <c r="X5076">
        <v>0.97898810000000003</v>
      </c>
      <c r="Y5076">
        <v>-0.16209589999999999</v>
      </c>
      <c r="Z5076">
        <v>7.9152370000000003E-3</v>
      </c>
      <c r="AA5076">
        <v>0.98674329999999999</v>
      </c>
      <c r="AB5076">
        <v>40</v>
      </c>
      <c r="AC5076">
        <v>11.313499999999999</v>
      </c>
      <c r="AD5076">
        <v>-1.1129257754747</v>
      </c>
      <c r="AE5076">
        <v>1.8806099999999899</v>
      </c>
      <c r="AF5076">
        <v>-1.88037122383036</v>
      </c>
      <c r="AG5076">
        <v>-1.1129257754747</v>
      </c>
      <c r="AH5076">
        <v>11.2050671290663</v>
      </c>
      <c r="AI5076">
        <v>95.594488688058107</v>
      </c>
      <c r="AJ5076">
        <v>99.526291289993907</v>
      </c>
      <c r="AK5076">
        <v>11.4161258353265</v>
      </c>
      <c r="AL5076">
        <v>81.972868868521203</v>
      </c>
      <c r="AM5076">
        <v>98.631081645453094</v>
      </c>
      <c r="AN5076">
        <v>0.99999996723364903</v>
      </c>
    </row>
    <row r="5077" spans="1:40" x14ac:dyDescent="0.25">
      <c r="A5077" t="str">
        <f>"20190312164409697"</f>
        <v>20190312164409697</v>
      </c>
      <c r="B5077" t="str">
        <f>"1552380249690207"</f>
        <v>1552380249690207</v>
      </c>
      <c r="C5077" t="s">
        <v>40</v>
      </c>
      <c r="D5077">
        <v>5.2790699999999999</v>
      </c>
      <c r="E5077">
        <v>0.49691059999999998</v>
      </c>
      <c r="F5077" t="s">
        <v>50</v>
      </c>
      <c r="G5077">
        <v>-208.62690000000001</v>
      </c>
      <c r="H5077" s="1">
        <v>-9.1938310000000004E-7</v>
      </c>
      <c r="I5077">
        <v>-60.922409999999999</v>
      </c>
      <c r="J5077">
        <v>-219.98490000000001</v>
      </c>
      <c r="K5077">
        <v>1.113024</v>
      </c>
      <c r="L5077">
        <v>-62.835630000000002</v>
      </c>
      <c r="M5077">
        <v>0.99990199999999996</v>
      </c>
      <c r="N5077">
        <v>0</v>
      </c>
      <c r="O5077" s="1">
        <v>7.1754409999999898E-5</v>
      </c>
      <c r="P5077">
        <v>0.98067470000000001</v>
      </c>
      <c r="Q5077">
        <v>0.12701179999999901</v>
      </c>
      <c r="R5077">
        <v>0.14881220000000001</v>
      </c>
      <c r="S5077">
        <v>3.0209809999999999</v>
      </c>
      <c r="T5077">
        <v>-0.29116360000000002</v>
      </c>
      <c r="U5077">
        <v>0.50076290000000001</v>
      </c>
      <c r="V5077">
        <v>-0.14978159999999999</v>
      </c>
      <c r="W5077">
        <v>0.139626799999999</v>
      </c>
      <c r="X5077">
        <v>0.97881039999999997</v>
      </c>
      <c r="Y5077">
        <v>-0.16272590000000001</v>
      </c>
      <c r="Z5077">
        <v>7.7641630000000001E-3</v>
      </c>
      <c r="AA5077">
        <v>0.98664079999999998</v>
      </c>
      <c r="AB5077">
        <v>40</v>
      </c>
      <c r="AC5077">
        <v>11.358000000000001</v>
      </c>
      <c r="AD5077">
        <v>-1.1130249193831001</v>
      </c>
      <c r="AE5077">
        <v>1.9132199999999999</v>
      </c>
      <c r="AF5077">
        <v>-1.89471206914769</v>
      </c>
      <c r="AG5077">
        <v>-1.1130249193831001</v>
      </c>
      <c r="AH5077">
        <v>11.2530560025832</v>
      </c>
      <c r="AI5077">
        <v>95.570768758737103</v>
      </c>
      <c r="AJ5077">
        <v>99.557425481475093</v>
      </c>
      <c r="AK5077">
        <v>11.4656019333228</v>
      </c>
      <c r="AL5077">
        <v>81.973748524911102</v>
      </c>
      <c r="AM5077">
        <v>98.700146507264805</v>
      </c>
      <c r="AN5077">
        <v>0.999999985062479</v>
      </c>
    </row>
    <row r="5078" spans="1:40" x14ac:dyDescent="0.25">
      <c r="A5078" t="str">
        <f>"20190312164409708"</f>
        <v>20190312164409708</v>
      </c>
      <c r="B5078" t="str">
        <f>"1552380249699968"</f>
        <v>1552380249699968</v>
      </c>
      <c r="C5078" t="s">
        <v>40</v>
      </c>
      <c r="D5078">
        <v>5.1411280000000001</v>
      </c>
      <c r="E5078">
        <v>0.49701190000000001</v>
      </c>
      <c r="F5078" t="s">
        <v>50</v>
      </c>
      <c r="G5078">
        <v>-208.43100000000001</v>
      </c>
      <c r="H5078" s="1">
        <v>-1.039509E-6</v>
      </c>
      <c r="I5078">
        <v>-60.890740000000001</v>
      </c>
      <c r="J5078">
        <v>-219.79329999999999</v>
      </c>
      <c r="K5078">
        <v>1.1131169999999999</v>
      </c>
      <c r="L5078">
        <v>-62.834319999999998</v>
      </c>
      <c r="M5078">
        <v>0.99990000000000001</v>
      </c>
      <c r="N5078">
        <v>0</v>
      </c>
      <c r="O5078">
        <v>1.7515950000000001E-3</v>
      </c>
      <c r="P5078">
        <v>0.98020339999999995</v>
      </c>
      <c r="Q5078">
        <v>0.12710769999999999</v>
      </c>
      <c r="R5078">
        <v>0.151805299999999</v>
      </c>
      <c r="S5078">
        <v>3.0196529999999999</v>
      </c>
      <c r="T5078">
        <v>-0.29089120000000002</v>
      </c>
      <c r="U5078">
        <v>0.5083008</v>
      </c>
      <c r="V5078">
        <v>-0.15115960000000001</v>
      </c>
      <c r="W5078">
        <v>0.13969719999999999</v>
      </c>
      <c r="X5078">
        <v>0.97858849999999997</v>
      </c>
      <c r="Y5078">
        <v>-0.1635395</v>
      </c>
      <c r="Z5078">
        <v>7.6371939999999999E-3</v>
      </c>
      <c r="AA5078">
        <v>0.98650720000000003</v>
      </c>
      <c r="AB5078">
        <v>40</v>
      </c>
      <c r="AC5078">
        <v>11.362299999999999</v>
      </c>
      <c r="AD5078">
        <v>-1.1131180395089999</v>
      </c>
      <c r="AE5078">
        <v>1.9435799999999901</v>
      </c>
      <c r="AF5078">
        <v>-1.9059013596476799</v>
      </c>
      <c r="AG5078">
        <v>-1.1131180395089999</v>
      </c>
      <c r="AH5078">
        <v>11.2606871472554</v>
      </c>
      <c r="AI5078">
        <v>95.566681464916996</v>
      </c>
      <c r="AJ5078">
        <v>99.606424005927494</v>
      </c>
      <c r="AK5078">
        <v>11.474953890580601</v>
      </c>
      <c r="AL5078">
        <v>81.969675036973598</v>
      </c>
      <c r="AM5078">
        <v>98.780906703950194</v>
      </c>
      <c r="AN5078">
        <v>0.99999999234612402</v>
      </c>
    </row>
    <row r="5079" spans="1:40" x14ac:dyDescent="0.25">
      <c r="A5079" t="str">
        <f>"20190312164409719"</f>
        <v>20190312164409719</v>
      </c>
      <c r="B5079" t="str">
        <f>"1552380249709727"</f>
        <v>1552380249709727</v>
      </c>
      <c r="C5079" t="s">
        <v>40</v>
      </c>
      <c r="D5079">
        <v>5.1361059999999998</v>
      </c>
      <c r="E5079">
        <v>0.49709560000000003</v>
      </c>
      <c r="F5079" t="s">
        <v>50</v>
      </c>
      <c r="G5079">
        <v>-208.22790000000001</v>
      </c>
      <c r="H5079" s="1">
        <v>-1.1635580000000001E-6</v>
      </c>
      <c r="I5079">
        <v>-60.854579999999999</v>
      </c>
      <c r="J5079">
        <v>-219.58930000000001</v>
      </c>
      <c r="K5079">
        <v>1.1132139999999999</v>
      </c>
      <c r="L5079">
        <v>-62.832669999999901</v>
      </c>
      <c r="M5079">
        <v>0.99989510000000004</v>
      </c>
      <c r="N5079">
        <v>0</v>
      </c>
      <c r="O5079">
        <v>3.5627430000000002E-3</v>
      </c>
      <c r="P5079">
        <v>0.97978279999999995</v>
      </c>
      <c r="Q5079">
        <v>0.1269661</v>
      </c>
      <c r="R5079">
        <v>0.15461420000000001</v>
      </c>
      <c r="S5079">
        <v>3.0182799999999999</v>
      </c>
      <c r="T5079">
        <v>-0.29049599999999998</v>
      </c>
      <c r="U5079">
        <v>0.51666259999999997</v>
      </c>
      <c r="V5079">
        <v>-0.15222559999999999</v>
      </c>
      <c r="W5079">
        <v>0.13953289999999999</v>
      </c>
      <c r="X5079">
        <v>0.9784467</v>
      </c>
      <c r="Y5079">
        <v>-0.1644882</v>
      </c>
      <c r="Z5079">
        <v>7.5010889999999998E-3</v>
      </c>
      <c r="AA5079">
        <v>0.98635050000000002</v>
      </c>
      <c r="AB5079">
        <v>40</v>
      </c>
      <c r="AC5079">
        <v>11.3614</v>
      </c>
      <c r="AD5079">
        <v>-1.1132151635580001</v>
      </c>
      <c r="AE5079">
        <v>1.9780899999999799</v>
      </c>
      <c r="AF5079">
        <v>-1.91970775919618</v>
      </c>
      <c r="AG5079">
        <v>-1.1132151635580001</v>
      </c>
      <c r="AH5079">
        <v>11.2634227851931</v>
      </c>
      <c r="AI5079">
        <v>95.564738922010406</v>
      </c>
      <c r="AJ5079">
        <v>99.672397168563705</v>
      </c>
      <c r="AK5079">
        <v>11.479948550368199</v>
      </c>
      <c r="AL5079">
        <v>81.979181939645201</v>
      </c>
      <c r="AM5079">
        <v>98.843116988775904</v>
      </c>
      <c r="AN5079">
        <v>1.00000000410933</v>
      </c>
    </row>
    <row r="5080" spans="1:40" x14ac:dyDescent="0.25">
      <c r="A5080" t="str">
        <f>"20190312164409729"</f>
        <v>20190312164409729</v>
      </c>
      <c r="B5080" t="str">
        <f>"1552380249720463"</f>
        <v>1552380249720463</v>
      </c>
      <c r="C5080" t="s">
        <v>40</v>
      </c>
      <c r="D5080">
        <v>5.1256199999999996</v>
      </c>
      <c r="E5080">
        <v>0.49719439999999998</v>
      </c>
      <c r="F5080" t="s">
        <v>50</v>
      </c>
      <c r="G5080">
        <v>-208.03149999999999</v>
      </c>
      <c r="H5080" s="1">
        <v>-1.2839610000000001E-6</v>
      </c>
      <c r="I5080">
        <v>-60.82273</v>
      </c>
      <c r="J5080">
        <v>-219.41470000000001</v>
      </c>
      <c r="K5080">
        <v>1.1132979999999999</v>
      </c>
      <c r="L5080">
        <v>-62.830779999999997</v>
      </c>
      <c r="M5080">
        <v>0.99988779999999999</v>
      </c>
      <c r="N5080">
        <v>0</v>
      </c>
      <c r="O5080">
        <v>5.1573840000000001E-3</v>
      </c>
      <c r="P5080">
        <v>0.97939569999999998</v>
      </c>
      <c r="Q5080">
        <v>0.12668270000000001</v>
      </c>
      <c r="R5080">
        <v>0.15727539999999901</v>
      </c>
      <c r="S5080">
        <v>3.016769</v>
      </c>
      <c r="T5080">
        <v>-0.29056700000000002</v>
      </c>
      <c r="U5080">
        <v>0.52462769999999903</v>
      </c>
      <c r="V5080">
        <v>-0.15334819999999999</v>
      </c>
      <c r="W5080">
        <v>0.1392274</v>
      </c>
      <c r="X5080">
        <v>0.97831489999999999</v>
      </c>
      <c r="Y5080">
        <v>-0.16552819999999999</v>
      </c>
      <c r="Z5080">
        <v>7.4024479999999998E-3</v>
      </c>
      <c r="AA5080">
        <v>0.98617730000000003</v>
      </c>
      <c r="AB5080">
        <v>40</v>
      </c>
      <c r="AC5080">
        <v>11.3832</v>
      </c>
      <c r="AD5080">
        <v>-1.1132992839610001</v>
      </c>
      <c r="AE5080">
        <v>2.0080499999999901</v>
      </c>
      <c r="AF5080">
        <v>-1.93139328192995</v>
      </c>
      <c r="AG5080">
        <v>-1.1132992839610001</v>
      </c>
      <c r="AH5080">
        <v>11.2886858291871</v>
      </c>
      <c r="AI5080">
        <v>95.552181878786001</v>
      </c>
      <c r="AJ5080">
        <v>99.708791874371201</v>
      </c>
      <c r="AK5080">
        <v>11.506699920274301</v>
      </c>
      <c r="AL5080">
        <v>81.996858238644194</v>
      </c>
      <c r="AM5080">
        <v>98.908470080678995</v>
      </c>
      <c r="AN5080">
        <v>0.999999991458005</v>
      </c>
    </row>
    <row r="5081" spans="1:40" x14ac:dyDescent="0.25">
      <c r="A5081" t="str">
        <f>"20190312164409740"</f>
        <v>20190312164409740</v>
      </c>
      <c r="B5081" t="str">
        <f>"1552380249730223"</f>
        <v>1552380249730223</v>
      </c>
      <c r="C5081" t="s">
        <v>40</v>
      </c>
      <c r="D5081">
        <v>5.1155920000000004</v>
      </c>
      <c r="E5081">
        <v>0.49725819999999998</v>
      </c>
      <c r="F5081" t="s">
        <v>50</v>
      </c>
      <c r="G5081">
        <v>-207.8869</v>
      </c>
      <c r="H5081" s="1">
        <v>-1.372269E-6</v>
      </c>
      <c r="I5081">
        <v>-60.7971199999999</v>
      </c>
      <c r="J5081">
        <v>-219.21019999999999</v>
      </c>
      <c r="K5081">
        <v>1.1133850000000001</v>
      </c>
      <c r="L5081">
        <v>-62.82846</v>
      </c>
      <c r="M5081">
        <v>0.99987610000000005</v>
      </c>
      <c r="N5081">
        <v>0</v>
      </c>
      <c r="O5081">
        <v>7.0327590000000004E-3</v>
      </c>
      <c r="P5081">
        <v>0.97891240000000002</v>
      </c>
      <c r="Q5081">
        <v>0.1265665</v>
      </c>
      <c r="R5081">
        <v>0.16034860000000001</v>
      </c>
      <c r="S5081">
        <v>3.0153500000000002</v>
      </c>
      <c r="T5081">
        <v>-0.29120949999999901</v>
      </c>
      <c r="U5081">
        <v>0.53195190000000003</v>
      </c>
      <c r="V5081">
        <v>-0.1546149</v>
      </c>
      <c r="W5081">
        <v>0.13908579999999901</v>
      </c>
      <c r="X5081">
        <v>0.97813559999999999</v>
      </c>
      <c r="Y5081">
        <v>-0.1660836</v>
      </c>
      <c r="Z5081">
        <v>7.2678999999999999E-3</v>
      </c>
      <c r="AA5081">
        <v>0.98608490000000004</v>
      </c>
      <c r="AB5081">
        <v>40</v>
      </c>
      <c r="AC5081">
        <v>11.3232999999999</v>
      </c>
      <c r="AD5081">
        <v>-1.1133863722690001</v>
      </c>
      <c r="AE5081">
        <v>2.0313400000000001</v>
      </c>
      <c r="AF5081">
        <v>-1.93353684504873</v>
      </c>
      <c r="AG5081">
        <v>-1.1133863722690001</v>
      </c>
      <c r="AH5081">
        <v>11.232098906393899</v>
      </c>
      <c r="AI5081">
        <v>95.579438080825099</v>
      </c>
      <c r="AJ5081">
        <v>99.767386722325796</v>
      </c>
      <c r="AK5081">
        <v>11.4515605830879</v>
      </c>
      <c r="AL5081">
        <v>82.005050615908701</v>
      </c>
      <c r="AM5081">
        <v>98.982481403363195</v>
      </c>
      <c r="AN5081">
        <v>0.99999993952550303</v>
      </c>
    </row>
    <row r="5082" spans="1:40" x14ac:dyDescent="0.25">
      <c r="A5082" t="str">
        <f>"20190312164409751"</f>
        <v>20190312164409751</v>
      </c>
      <c r="B5082" t="str">
        <f>"1552380249739983"</f>
        <v>1552380249739983</v>
      </c>
      <c r="C5082" t="s">
        <v>40</v>
      </c>
      <c r="D5082">
        <v>5.1295520000000003</v>
      </c>
      <c r="E5082">
        <v>0.49734830000000002</v>
      </c>
      <c r="F5082" t="s">
        <v>50</v>
      </c>
      <c r="G5082">
        <v>-207.7242</v>
      </c>
      <c r="H5082" s="1">
        <v>-1.4712420000000001E-6</v>
      </c>
      <c r="I5082">
        <v>-60.765000000000001</v>
      </c>
      <c r="J5082">
        <v>-219.0264</v>
      </c>
      <c r="K5082">
        <v>1.113459</v>
      </c>
      <c r="L5082">
        <v>-62.825740000000003</v>
      </c>
      <c r="M5082">
        <v>0.99986209999999998</v>
      </c>
      <c r="N5082">
        <v>0</v>
      </c>
      <c r="O5082">
        <v>8.7664100000000005E-3</v>
      </c>
      <c r="P5082">
        <v>0.97843899999999995</v>
      </c>
      <c r="Q5082">
        <v>0.12634819999999999</v>
      </c>
      <c r="R5082">
        <v>0.16338059999999999</v>
      </c>
      <c r="S5082">
        <v>3.0137019999999999</v>
      </c>
      <c r="T5082">
        <v>-0.29213119999999998</v>
      </c>
      <c r="U5082">
        <v>0.54141240000000002</v>
      </c>
      <c r="V5082">
        <v>-0.1559741</v>
      </c>
      <c r="W5082">
        <v>0.1388421</v>
      </c>
      <c r="X5082">
        <v>0.9779544</v>
      </c>
      <c r="Y5082">
        <v>-0.16746329999999901</v>
      </c>
      <c r="Z5082">
        <v>7.1926289999999999E-3</v>
      </c>
      <c r="AA5082">
        <v>0.98585210000000001</v>
      </c>
      <c r="AB5082">
        <v>40</v>
      </c>
      <c r="AC5082">
        <v>11.302199999999999</v>
      </c>
      <c r="AD5082">
        <v>-1.113460471242</v>
      </c>
      <c r="AE5082">
        <v>2.06074</v>
      </c>
      <c r="AF5082">
        <v>-1.9433169666367101</v>
      </c>
      <c r="AG5082">
        <v>-1.113460471242</v>
      </c>
      <c r="AH5082">
        <v>11.2144910666382</v>
      </c>
      <c r="AI5082">
        <v>95.587448657589206</v>
      </c>
      <c r="AJ5082">
        <v>99.830944278899494</v>
      </c>
      <c r="AK5082">
        <v>11.435955794665601</v>
      </c>
      <c r="AL5082">
        <v>82.019150314056304</v>
      </c>
      <c r="AM5082">
        <v>99.061791916980994</v>
      </c>
      <c r="AN5082">
        <v>0.99999992854128705</v>
      </c>
    </row>
    <row r="5083" spans="1:40" x14ac:dyDescent="0.25">
      <c r="A5083" t="str">
        <f>"20190312164409765"</f>
        <v>20190312164409765</v>
      </c>
      <c r="B5083" t="str">
        <f>"1552380249760480"</f>
        <v>1552380249760480</v>
      </c>
      <c r="C5083" t="s">
        <v>40</v>
      </c>
      <c r="D5083">
        <v>5.1069849999999999</v>
      </c>
      <c r="E5083">
        <v>0.49752629999999998</v>
      </c>
      <c r="F5083" t="s">
        <v>50</v>
      </c>
      <c r="G5083">
        <v>-207.6052</v>
      </c>
      <c r="H5083" s="1">
        <v>-1.5431760000000001E-6</v>
      </c>
      <c r="I5083">
        <v>-60.73836</v>
      </c>
      <c r="J5083">
        <v>-218.78149999999999</v>
      </c>
      <c r="K5083">
        <v>1.113553</v>
      </c>
      <c r="L5083">
        <v>-62.821869999999997</v>
      </c>
      <c r="M5083">
        <v>0.99983880000000003</v>
      </c>
      <c r="N5083">
        <v>0</v>
      </c>
      <c r="O5083">
        <v>1.1093769999999999E-2</v>
      </c>
      <c r="P5083">
        <v>0.97787480000000004</v>
      </c>
      <c r="Q5083">
        <v>0.12599379999999999</v>
      </c>
      <c r="R5083">
        <v>0.1669921</v>
      </c>
      <c r="S5083">
        <v>3.0121150000000001</v>
      </c>
      <c r="T5083">
        <v>-0.29365360000000001</v>
      </c>
      <c r="U5083">
        <v>0.55050659999999996</v>
      </c>
      <c r="V5083">
        <v>-0.15733910000000001</v>
      </c>
      <c r="W5083">
        <v>0.1384572</v>
      </c>
      <c r="X5083">
        <v>0.97779039999999995</v>
      </c>
      <c r="Y5083">
        <v>-0.16814079999999901</v>
      </c>
      <c r="Z5083">
        <v>7.0400080000000004E-3</v>
      </c>
      <c r="AA5083">
        <v>0.98573789999999994</v>
      </c>
      <c r="AB5083">
        <v>40</v>
      </c>
      <c r="AC5083">
        <v>11.1762999999999</v>
      </c>
      <c r="AD5083">
        <v>-1.1135545431759999</v>
      </c>
      <c r="AE5083">
        <v>2.0835099999999902</v>
      </c>
      <c r="AF5083">
        <v>-1.9407628345152099</v>
      </c>
      <c r="AG5083">
        <v>-1.1135545431759999</v>
      </c>
      <c r="AH5083">
        <v>11.092311106114201</v>
      </c>
      <c r="AI5083">
        <v>95.647479915545006</v>
      </c>
      <c r="AJ5083">
        <v>99.924282800670298</v>
      </c>
      <c r="AK5083">
        <v>11.3157381454012</v>
      </c>
      <c r="AL5083">
        <v>82.041419331618798</v>
      </c>
      <c r="AM5083">
        <v>99.141270005804699</v>
      </c>
      <c r="AN5083">
        <v>1.0000000274764</v>
      </c>
    </row>
    <row r="5084" spans="1:40" x14ac:dyDescent="0.25">
      <c r="A5084" t="str">
        <f>"20190312164409776"</f>
        <v>20190312164409776</v>
      </c>
      <c r="B5084" t="str">
        <f>"1552380249770240"</f>
        <v>1552380249770240</v>
      </c>
      <c r="C5084" t="s">
        <v>40</v>
      </c>
      <c r="D5084">
        <v>5.1264609999999999</v>
      </c>
      <c r="E5084">
        <v>0.49752629999999998</v>
      </c>
      <c r="F5084" t="s">
        <v>50</v>
      </c>
      <c r="G5084">
        <v>-207.47669999999999</v>
      </c>
      <c r="H5084" s="1">
        <v>-1.6218929999999999E-6</v>
      </c>
      <c r="I5084">
        <v>-60.717199999999998</v>
      </c>
      <c r="J5084">
        <v>-218.59280000000001</v>
      </c>
      <c r="K5084">
        <v>1.113623</v>
      </c>
      <c r="L5084">
        <v>-62.818390000000001</v>
      </c>
      <c r="M5084">
        <v>0.9998167</v>
      </c>
      <c r="N5084">
        <v>0</v>
      </c>
      <c r="O5084">
        <v>1.291899E-2</v>
      </c>
      <c r="P5084">
        <v>0.97736579999999995</v>
      </c>
      <c r="Q5084">
        <v>0.12581220000000001</v>
      </c>
      <c r="R5084">
        <v>0.1700815</v>
      </c>
      <c r="S5084">
        <v>3.0103610000000001</v>
      </c>
      <c r="T5084">
        <v>-0.296529299999999</v>
      </c>
      <c r="U5084">
        <v>0.56045529999999999</v>
      </c>
      <c r="V5084">
        <v>-0.1586687</v>
      </c>
      <c r="W5084">
        <v>0.13824890000000001</v>
      </c>
      <c r="X5084">
        <v>0.97760499999999995</v>
      </c>
      <c r="Y5084">
        <v>-0.1695808</v>
      </c>
      <c r="Z5084">
        <v>7.0029910000000001E-3</v>
      </c>
      <c r="AA5084">
        <v>0.98549140000000002</v>
      </c>
      <c r="AB5084">
        <v>40</v>
      </c>
      <c r="AC5084">
        <v>11.116099999999999</v>
      </c>
      <c r="AD5084">
        <v>-1.1136246218929999</v>
      </c>
      <c r="AE5084">
        <v>2.1011899999999999</v>
      </c>
      <c r="AF5084">
        <v>-1.9386062786445499</v>
      </c>
      <c r="AG5084">
        <v>-1.1136246218929999</v>
      </c>
      <c r="AH5084">
        <v>11.0353865441894</v>
      </c>
      <c r="AI5084">
        <v>95.676098552674404</v>
      </c>
      <c r="AJ5084">
        <v>99.963589083809794</v>
      </c>
      <c r="AK5084">
        <v>11.259578601429199</v>
      </c>
      <c r="AL5084">
        <v>82.053469916275205</v>
      </c>
      <c r="AM5084">
        <v>99.218916182270107</v>
      </c>
      <c r="AN5084">
        <v>1.00000002536794</v>
      </c>
    </row>
    <row r="5085" spans="1:40" x14ac:dyDescent="0.25">
      <c r="A5085" t="str">
        <f>"20190312164409787"</f>
        <v>20190312164409787</v>
      </c>
      <c r="B5085" t="str">
        <f>"1552380249779999"</f>
        <v>1552380249779999</v>
      </c>
      <c r="C5085" t="s">
        <v>40</v>
      </c>
      <c r="D5085">
        <v>5.1324189999999996</v>
      </c>
      <c r="E5085">
        <v>0.50386940000000002</v>
      </c>
      <c r="F5085" t="s">
        <v>50</v>
      </c>
      <c r="G5085">
        <v>-207.31469999999999</v>
      </c>
      <c r="H5085" s="1">
        <v>-1.7199470000000001E-6</v>
      </c>
      <c r="I5085">
        <v>-60.681609999999999</v>
      </c>
      <c r="J5085">
        <v>-218.38800000000001</v>
      </c>
      <c r="K5085">
        <v>1.1136980000000001</v>
      </c>
      <c r="L5085">
        <v>-62.814239999999998</v>
      </c>
      <c r="M5085">
        <v>0.99978849999999997</v>
      </c>
      <c r="N5085">
        <v>0</v>
      </c>
      <c r="O5085">
        <v>1.492458E-2</v>
      </c>
      <c r="P5085">
        <v>0.97678259999999995</v>
      </c>
      <c r="Q5085">
        <v>0.12571019999999999</v>
      </c>
      <c r="R5085">
        <v>0.1734733</v>
      </c>
      <c r="S5085">
        <v>3.0085449999999998</v>
      </c>
      <c r="T5085">
        <v>-0.29706969999999999</v>
      </c>
      <c r="U5085">
        <v>0.57000729999999999</v>
      </c>
      <c r="V5085">
        <v>-0.16012680000000001</v>
      </c>
      <c r="W5085">
        <v>0.1381172</v>
      </c>
      <c r="X5085">
        <v>0.97738579999999997</v>
      </c>
      <c r="Y5085">
        <v>-0.17073429999999901</v>
      </c>
      <c r="Z5085">
        <v>6.8784299999999996E-3</v>
      </c>
      <c r="AA5085">
        <v>0.98529310000000003</v>
      </c>
      <c r="AB5085">
        <v>40</v>
      </c>
      <c r="AC5085">
        <v>11.0733</v>
      </c>
      <c r="AD5085">
        <v>-1.11369971994699</v>
      </c>
      <c r="AE5085">
        <v>2.1326299999999998</v>
      </c>
      <c r="AF5085">
        <v>-1.9481104374962199</v>
      </c>
      <c r="AG5085">
        <v>-1.11369971994699</v>
      </c>
      <c r="AH5085">
        <v>10.9966413901602</v>
      </c>
      <c r="AI5085">
        <v>95.694911966552397</v>
      </c>
      <c r="AJ5085">
        <v>100.046007117394</v>
      </c>
      <c r="AK5085">
        <v>11.2232608098839</v>
      </c>
      <c r="AL5085">
        <v>82.061088478771694</v>
      </c>
      <c r="AM5085">
        <v>99.304209642632699</v>
      </c>
      <c r="AN5085">
        <v>0.99999997752785896</v>
      </c>
    </row>
    <row r="5086" spans="1:40" x14ac:dyDescent="0.25">
      <c r="A5086" t="str">
        <f>"20190312164409801"</f>
        <v>20190312164409801</v>
      </c>
      <c r="B5086" t="str">
        <f>"1552380249790267"</f>
        <v>1552380249790267</v>
      </c>
      <c r="C5086" t="s">
        <v>40</v>
      </c>
      <c r="D5086">
        <v>5.1367760000000002</v>
      </c>
      <c r="E5086">
        <v>0.50394119999999998</v>
      </c>
      <c r="F5086" t="s">
        <v>50</v>
      </c>
      <c r="G5086">
        <v>-209.22669999999999</v>
      </c>
      <c r="H5086" s="1">
        <v>-5.7587439999999995E-7</v>
      </c>
      <c r="I5086">
        <v>-61.193800000000003</v>
      </c>
      <c r="J5086">
        <v>-218.1609</v>
      </c>
      <c r="K5086">
        <v>1.1137790000000001</v>
      </c>
      <c r="L5086">
        <v>-62.809229999999999</v>
      </c>
      <c r="M5086">
        <v>0.99975230000000004</v>
      </c>
      <c r="N5086">
        <v>0</v>
      </c>
      <c r="O5086">
        <v>1.7170870000000001E-2</v>
      </c>
      <c r="P5086">
        <v>0.97617730000000003</v>
      </c>
      <c r="Q5086">
        <v>0.12554879999999999</v>
      </c>
      <c r="R5086">
        <v>0.17696210000000001</v>
      </c>
      <c r="S5086">
        <v>3.0236360000000002</v>
      </c>
      <c r="T5086">
        <v>-0.36757190000000001</v>
      </c>
      <c r="U5086">
        <v>0.53482059999999998</v>
      </c>
      <c r="V5086">
        <v>-0.16145000000000001</v>
      </c>
      <c r="W5086">
        <v>0.1379254</v>
      </c>
      <c r="X5086">
        <v>0.97719520000000004</v>
      </c>
      <c r="Y5086">
        <v>-0.15624830000000001</v>
      </c>
      <c r="Z5086">
        <v>7.3270779999999999E-3</v>
      </c>
      <c r="AA5086">
        <v>0.98769059999999997</v>
      </c>
      <c r="AB5086">
        <v>40</v>
      </c>
      <c r="AC5086">
        <v>8.9342000000000006</v>
      </c>
      <c r="AD5086">
        <v>-1.11377957587439</v>
      </c>
      <c r="AE5086">
        <v>1.6154299999999999</v>
      </c>
      <c r="AF5086">
        <v>-1.4400960185023399</v>
      </c>
      <c r="AG5086">
        <v>-1.11377957587439</v>
      </c>
      <c r="AH5086">
        <v>8.8277721063732297</v>
      </c>
      <c r="AI5086">
        <v>97.098029960630896</v>
      </c>
      <c r="AJ5086">
        <v>99.265186698925504</v>
      </c>
      <c r="AK5086">
        <v>9.0135421365966</v>
      </c>
      <c r="AL5086">
        <v>82.072184090923301</v>
      </c>
      <c r="AM5086">
        <v>99.381530608460594</v>
      </c>
      <c r="AN5086">
        <v>0.99999998868409901</v>
      </c>
    </row>
    <row r="5087" spans="1:40" x14ac:dyDescent="0.25">
      <c r="A5087" t="str">
        <f>"20190312164409813"</f>
        <v>20190312164409813</v>
      </c>
      <c r="B5087" t="str">
        <f>"1552380249800027"</f>
        <v>1552380249800027</v>
      </c>
      <c r="C5087" t="s">
        <v>40</v>
      </c>
      <c r="D5087">
        <v>5.1272510000000002</v>
      </c>
      <c r="E5087">
        <v>0.50447949999999997</v>
      </c>
      <c r="F5087" t="s">
        <v>50</v>
      </c>
      <c r="G5087">
        <v>-208.7921</v>
      </c>
      <c r="H5087" s="1">
        <v>-8.4186999999999995E-7</v>
      </c>
      <c r="I5087">
        <v>-61.120190000000001</v>
      </c>
      <c r="J5087">
        <v>-217.93039999999999</v>
      </c>
      <c r="K5087">
        <v>1.1138570000000001</v>
      </c>
      <c r="L5087">
        <v>-62.80341</v>
      </c>
      <c r="M5087">
        <v>0.99970930000000002</v>
      </c>
      <c r="N5087">
        <v>0</v>
      </c>
      <c r="O5087">
        <v>1.9501669999999999E-2</v>
      </c>
      <c r="P5087">
        <v>0.97554629999999998</v>
      </c>
      <c r="Q5087">
        <v>0.12547549999999999</v>
      </c>
      <c r="R5087">
        <v>0.18045910000000001</v>
      </c>
      <c r="S5087">
        <v>3.0206759999999999</v>
      </c>
      <c r="T5087">
        <v>-0.35910690000000001</v>
      </c>
      <c r="U5087">
        <v>0.54458619999999902</v>
      </c>
      <c r="V5087">
        <v>-0.16270100000000001</v>
      </c>
      <c r="W5087">
        <v>0.1378211</v>
      </c>
      <c r="X5087">
        <v>0.97700240000000005</v>
      </c>
      <c r="Y5087">
        <v>-0.15725910000000001</v>
      </c>
      <c r="Z5087">
        <v>6.9500769999999998E-3</v>
      </c>
      <c r="AA5087">
        <v>0.98753290000000005</v>
      </c>
      <c r="AB5087">
        <v>40</v>
      </c>
      <c r="AC5087">
        <v>9.1382999999999797</v>
      </c>
      <c r="AD5087">
        <v>-1.11385784186999</v>
      </c>
      <c r="AE5087">
        <v>1.6832199999999899</v>
      </c>
      <c r="AF5087">
        <v>-1.4833548835346799</v>
      </c>
      <c r="AG5087">
        <v>-1.11385784186999</v>
      </c>
      <c r="AH5087">
        <v>9.0394984933148592</v>
      </c>
      <c r="AI5087">
        <v>96.932841869420599</v>
      </c>
      <c r="AJ5087">
        <v>99.319012798710901</v>
      </c>
      <c r="AK5087">
        <v>9.2278683352680702</v>
      </c>
      <c r="AL5087">
        <v>82.0782175953251</v>
      </c>
      <c r="AM5087">
        <v>99.454748346770899</v>
      </c>
      <c r="AN5087">
        <v>0.99999998030598403</v>
      </c>
    </row>
    <row r="5088" spans="1:40" x14ac:dyDescent="0.25">
      <c r="A5088" t="str">
        <f>"20190312164409827"</f>
        <v>20190312164409827</v>
      </c>
      <c r="B5088" t="str">
        <f>"1552380249820522"</f>
        <v>1552380249820522</v>
      </c>
      <c r="C5088" t="s">
        <v>40</v>
      </c>
      <c r="D5088">
        <v>5.1155720000000002</v>
      </c>
      <c r="E5088">
        <v>0.50488279999999996</v>
      </c>
      <c r="F5088" t="s">
        <v>50</v>
      </c>
      <c r="G5088">
        <v>-208.5163</v>
      </c>
      <c r="H5088" s="1">
        <v>-1.012298E-6</v>
      </c>
      <c r="I5088">
        <v>-61.084789999999998</v>
      </c>
      <c r="J5088">
        <v>-217.691</v>
      </c>
      <c r="K5088">
        <v>1.1139380000000001</v>
      </c>
      <c r="L5088">
        <v>-62.796880000000002</v>
      </c>
      <c r="M5088">
        <v>0.99965820000000005</v>
      </c>
      <c r="N5088">
        <v>0</v>
      </c>
      <c r="O5088">
        <v>2.1954959999999999E-2</v>
      </c>
      <c r="P5088">
        <v>0.9748713</v>
      </c>
      <c r="Q5088">
        <v>0.12516459999999999</v>
      </c>
      <c r="R5088">
        <v>0.18428220000000001</v>
      </c>
      <c r="S5088">
        <v>3.0192109999999999</v>
      </c>
      <c r="T5088">
        <v>-0.35722520000000002</v>
      </c>
      <c r="U5088">
        <v>0.55117799999999995</v>
      </c>
      <c r="V5088">
        <v>-0.16415950000000001</v>
      </c>
      <c r="W5088">
        <v>0.13747490000000001</v>
      </c>
      <c r="X5088">
        <v>0.97680719999999999</v>
      </c>
      <c r="Y5088">
        <v>-0.15703439999999999</v>
      </c>
      <c r="Z5088">
        <v>6.6161070000000004E-3</v>
      </c>
      <c r="AA5088">
        <v>0.98757090000000003</v>
      </c>
      <c r="AB5088">
        <v>40</v>
      </c>
      <c r="AC5088">
        <v>9.1746999999999694</v>
      </c>
      <c r="AD5088">
        <v>-1.113939012298</v>
      </c>
      <c r="AE5088">
        <v>1.7120899999999899</v>
      </c>
      <c r="AF5088">
        <v>-1.4890152387804101</v>
      </c>
      <c r="AG5088">
        <v>-1.113939012298</v>
      </c>
      <c r="AH5088">
        <v>9.0807227392699605</v>
      </c>
      <c r="AI5088">
        <v>96.9023036200512</v>
      </c>
      <c r="AJ5088">
        <v>99.312226929786206</v>
      </c>
      <c r="AK5088">
        <v>9.26917212980395</v>
      </c>
      <c r="AL5088">
        <v>82.098244160926797</v>
      </c>
      <c r="AM5088">
        <v>99.539824058619601</v>
      </c>
      <c r="AN5088">
        <v>0.99999999777104998</v>
      </c>
    </row>
    <row r="5089" spans="1:40" x14ac:dyDescent="0.25">
      <c r="A5089" t="str">
        <f>"20190312164409841"</f>
        <v>20190312164409841</v>
      </c>
      <c r="B5089" t="str">
        <f>"1552380249830282"</f>
        <v>1552380249830282</v>
      </c>
      <c r="C5089" t="s">
        <v>40</v>
      </c>
      <c r="D5089">
        <v>5.1244290000000001</v>
      </c>
      <c r="E5089">
        <v>0.50522250000000002</v>
      </c>
      <c r="F5089" t="s">
        <v>50</v>
      </c>
      <c r="G5089">
        <v>-208.33969999999999</v>
      </c>
      <c r="H5089" s="1">
        <v>-1.121102E-6</v>
      </c>
      <c r="I5089">
        <v>-61.060220000000001</v>
      </c>
      <c r="J5089">
        <v>-217.43049999999999</v>
      </c>
      <c r="K5089">
        <v>1.1140330000000001</v>
      </c>
      <c r="L5089">
        <v>-62.789119999999997</v>
      </c>
      <c r="M5089">
        <v>0.99959469999999995</v>
      </c>
      <c r="N5089">
        <v>0</v>
      </c>
      <c r="O5089">
        <v>2.466983E-2</v>
      </c>
      <c r="P5089">
        <v>0.97392400000000001</v>
      </c>
      <c r="Q5089">
        <v>0.12442110000000001</v>
      </c>
      <c r="R5089">
        <v>0.18971450000000001</v>
      </c>
      <c r="S5089">
        <v>3.0175480000000001</v>
      </c>
      <c r="T5089">
        <v>-0.35945310000000003</v>
      </c>
      <c r="U5089">
        <v>0.56039430000000001</v>
      </c>
      <c r="V5089">
        <v>-0.16697819999999999</v>
      </c>
      <c r="W5089">
        <v>0.13667660000000001</v>
      </c>
      <c r="X5089">
        <v>0.97644140000000001</v>
      </c>
      <c r="Y5089">
        <v>-0.1573707</v>
      </c>
      <c r="Z5089">
        <v>6.3594960000000001E-3</v>
      </c>
      <c r="AA5089">
        <v>0.98751909999999998</v>
      </c>
      <c r="AB5089">
        <v>40</v>
      </c>
      <c r="AC5089">
        <v>9.0907999999999998</v>
      </c>
      <c r="AD5089">
        <v>-1.114034121102</v>
      </c>
      <c r="AE5089">
        <v>1.7289000000000001</v>
      </c>
      <c r="AF5089">
        <v>-1.48259513681458</v>
      </c>
      <c r="AG5089">
        <v>-1.114034121102</v>
      </c>
      <c r="AH5089">
        <v>9.0002469042516893</v>
      </c>
      <c r="AI5089">
        <v>96.963175333967001</v>
      </c>
      <c r="AJ5089">
        <v>99.354228299848501</v>
      </c>
      <c r="AK5089">
        <v>9.1893201435241103</v>
      </c>
      <c r="AL5089">
        <v>82.144419346002394</v>
      </c>
      <c r="AM5089">
        <v>99.704105688973996</v>
      </c>
      <c r="AN5089">
        <v>1.0000000099483799</v>
      </c>
    </row>
    <row r="5090" spans="1:40" x14ac:dyDescent="0.25">
      <c r="A5090" t="str">
        <f>"20190312164409855"</f>
        <v>20190312164409855</v>
      </c>
      <c r="B5090" t="str">
        <f>"1552380249849803"</f>
        <v>1552380249849803</v>
      </c>
      <c r="C5090" t="s">
        <v>40</v>
      </c>
      <c r="D5090">
        <v>5.3277340000000004</v>
      </c>
      <c r="E5090">
        <v>0.50476409999999905</v>
      </c>
      <c r="F5090" t="s">
        <v>50</v>
      </c>
      <c r="G5090">
        <v>-208.2278</v>
      </c>
      <c r="H5090" s="1">
        <v>-1.188596E-6</v>
      </c>
      <c r="I5090">
        <v>-61.033969999999997</v>
      </c>
      <c r="J5090">
        <v>-217.18799999999999</v>
      </c>
      <c r="K5090">
        <v>1.1141239999999999</v>
      </c>
      <c r="L5090">
        <v>-62.781039999999997</v>
      </c>
      <c r="M5090">
        <v>0.99952700000000005</v>
      </c>
      <c r="N5090">
        <v>0</v>
      </c>
      <c r="O5090">
        <v>2.726611E-2</v>
      </c>
      <c r="P5090">
        <v>0.9731533</v>
      </c>
      <c r="Q5090">
        <v>0.1243696</v>
      </c>
      <c r="R5090">
        <v>0.19366159999999999</v>
      </c>
      <c r="S5090">
        <v>3.0149379999999999</v>
      </c>
      <c r="T5090">
        <v>-0.36497380000000001</v>
      </c>
      <c r="U5090">
        <v>0.57501219999999997</v>
      </c>
      <c r="V5090">
        <v>-0.16843239999999901</v>
      </c>
      <c r="W5090">
        <v>0.1365845</v>
      </c>
      <c r="X5090">
        <v>0.97620450000000003</v>
      </c>
      <c r="Y5090">
        <v>-0.1595577</v>
      </c>
      <c r="Z5090">
        <v>6.2799070000000004E-3</v>
      </c>
      <c r="AA5090">
        <v>0.98716859999999995</v>
      </c>
      <c r="AB5090">
        <v>40</v>
      </c>
      <c r="AC5090">
        <v>8.9601999999999808</v>
      </c>
      <c r="AD5090">
        <v>-1.114125188596</v>
      </c>
      <c r="AE5090">
        <v>1.7470699999999999</v>
      </c>
      <c r="AF5090">
        <v>-1.4800412360533299</v>
      </c>
      <c r="AG5090">
        <v>-1.114125188596</v>
      </c>
      <c r="AH5090">
        <v>8.8723587109391495</v>
      </c>
      <c r="AI5090">
        <v>97.060755762331993</v>
      </c>
      <c r="AJ5090">
        <v>99.470583127031901</v>
      </c>
      <c r="AK5090">
        <v>9.0636938436743399</v>
      </c>
      <c r="AL5090">
        <v>82.149746261973704</v>
      </c>
      <c r="AM5090">
        <v>99.789319571109502</v>
      </c>
      <c r="AN5090">
        <v>1.00000001241513</v>
      </c>
    </row>
    <row r="5091" spans="1:40" x14ac:dyDescent="0.25">
      <c r="A5091" t="str">
        <f>"20190312164409875"</f>
        <v>20190312164409875</v>
      </c>
      <c r="B5091" t="str">
        <f>"1552380249870302"</f>
        <v>1552380249870302</v>
      </c>
      <c r="C5091" t="s">
        <v>40</v>
      </c>
      <c r="D5091">
        <v>5.1283029999999998</v>
      </c>
      <c r="E5091">
        <v>0.50562499999999999</v>
      </c>
      <c r="F5091" t="s">
        <v>50</v>
      </c>
      <c r="G5091">
        <v>-208.09110000000001</v>
      </c>
      <c r="H5091" s="1">
        <v>-1.270232E-6</v>
      </c>
      <c r="I5091">
        <v>-60.996540000000003</v>
      </c>
      <c r="J5091">
        <v>-216.8434</v>
      </c>
      <c r="K5091">
        <v>1.1142620000000001</v>
      </c>
      <c r="L5091">
        <v>-62.768520000000002</v>
      </c>
      <c r="M5091">
        <v>0.99941690000000005</v>
      </c>
      <c r="N5091">
        <v>0</v>
      </c>
      <c r="O5091">
        <v>3.1035400000000001E-2</v>
      </c>
      <c r="P5091">
        <v>0.97180409999999995</v>
      </c>
      <c r="Q5091">
        <v>0.1245164</v>
      </c>
      <c r="R5091">
        <v>0.20023160000000001</v>
      </c>
      <c r="S5091">
        <v>3.0123139999999999</v>
      </c>
      <c r="T5091">
        <v>-0.36892720000000001</v>
      </c>
      <c r="U5091">
        <v>0.59091190000000005</v>
      </c>
      <c r="V5091">
        <v>-0.17139589999999999</v>
      </c>
      <c r="W5091">
        <v>0.13665769999999999</v>
      </c>
      <c r="X5091">
        <v>0.9756783</v>
      </c>
      <c r="Y5091">
        <v>-0.16101199999999999</v>
      </c>
      <c r="Z5091">
        <v>5.98279E-3</v>
      </c>
      <c r="AA5091">
        <v>0.98693430000000004</v>
      </c>
      <c r="AB5091">
        <v>40</v>
      </c>
      <c r="AC5091">
        <v>8.7522999999999893</v>
      </c>
      <c r="AD5091">
        <v>-1.1142632702319999</v>
      </c>
      <c r="AE5091">
        <v>1.7719799999999899</v>
      </c>
      <c r="AF5091">
        <v>-1.47647899906447</v>
      </c>
      <c r="AG5091">
        <v>-1.1142632702319999</v>
      </c>
      <c r="AH5091">
        <v>8.6681212375936205</v>
      </c>
      <c r="AI5091">
        <v>97.222144728269697</v>
      </c>
      <c r="AJ5091">
        <v>99.666664348342593</v>
      </c>
      <c r="AK5091">
        <v>8.8632893814705191</v>
      </c>
      <c r="AL5091">
        <v>82.145512519676601</v>
      </c>
      <c r="AM5091">
        <v>99.963402887264905</v>
      </c>
      <c r="AN5091">
        <v>1.0000000132984901</v>
      </c>
    </row>
    <row r="5092" spans="1:40" x14ac:dyDescent="0.25">
      <c r="A5092" t="str">
        <f>"20190312164409888"</f>
        <v>20190312164409888</v>
      </c>
      <c r="B5092" t="str">
        <f>"1552380249880058"</f>
        <v>1552380249880058</v>
      </c>
      <c r="C5092" t="s">
        <v>40</v>
      </c>
      <c r="D5092">
        <v>5.1372299999999997</v>
      </c>
      <c r="E5092">
        <v>0.50596070000000004</v>
      </c>
      <c r="F5092" t="s">
        <v>50</v>
      </c>
      <c r="G5092">
        <v>-207.70089999999999</v>
      </c>
      <c r="H5092" s="1">
        <v>-1.50946499999999E-6</v>
      </c>
      <c r="I5092">
        <v>-60.933410000000002</v>
      </c>
      <c r="J5092">
        <v>-216.62039999999999</v>
      </c>
      <c r="K5092">
        <v>1.1143510000000001</v>
      </c>
      <c r="L5092">
        <v>-62.7596699999999</v>
      </c>
      <c r="M5092">
        <v>0.99933559999999999</v>
      </c>
      <c r="N5092">
        <v>0</v>
      </c>
      <c r="O5092">
        <v>3.3543980000000001E-2</v>
      </c>
      <c r="P5092">
        <v>0.97095290000000001</v>
      </c>
      <c r="Q5092">
        <v>0.12497170000000001</v>
      </c>
      <c r="R5092">
        <v>0.20404</v>
      </c>
      <c r="S5092">
        <v>3.0095830000000001</v>
      </c>
      <c r="T5092">
        <v>-0.36679970000000001</v>
      </c>
      <c r="U5092">
        <v>0.60409550000000001</v>
      </c>
      <c r="V5092">
        <v>-0.1728104</v>
      </c>
      <c r="W5092">
        <v>0.13706769999999999</v>
      </c>
      <c r="X5092">
        <v>0.97537119999999999</v>
      </c>
      <c r="Y5092">
        <v>-0.16287789999999999</v>
      </c>
      <c r="Z5092">
        <v>5.7624869999999898E-3</v>
      </c>
      <c r="AA5092">
        <v>0.98662939999999999</v>
      </c>
      <c r="AB5092">
        <v>40</v>
      </c>
      <c r="AC5092">
        <v>8.9194999999999993</v>
      </c>
      <c r="AD5092">
        <v>-1.114352509465</v>
      </c>
      <c r="AE5092">
        <v>1.82625999999999</v>
      </c>
      <c r="AF5092">
        <v>-1.50348306174876</v>
      </c>
      <c r="AG5092">
        <v>-1.114352509465</v>
      </c>
      <c r="AH5092">
        <v>8.8432683514605408</v>
      </c>
      <c r="AI5092">
        <v>97.081503634760296</v>
      </c>
      <c r="AJ5092">
        <v>99.648847821948394</v>
      </c>
      <c r="AK5092">
        <v>9.0391171011476494</v>
      </c>
      <c r="AL5092">
        <v>82.121797859999603</v>
      </c>
      <c r="AM5092">
        <v>100.04705945817599</v>
      </c>
      <c r="AN5092">
        <v>0.99999998326044404</v>
      </c>
    </row>
    <row r="5093" spans="1:40" x14ac:dyDescent="0.25">
      <c r="A5093" t="str">
        <f>"20190312164409898"</f>
        <v>20190312164409898</v>
      </c>
      <c r="B5093" t="str">
        <f>"1552380249890326"</f>
        <v>1552380249890326</v>
      </c>
      <c r="C5093" t="s">
        <v>40</v>
      </c>
      <c r="D5093">
        <v>5.1518769999999998</v>
      </c>
      <c r="E5093">
        <v>0.50619159999999996</v>
      </c>
      <c r="F5093" t="s">
        <v>50</v>
      </c>
      <c r="G5093">
        <v>-207.43299999999999</v>
      </c>
      <c r="H5093" s="1">
        <v>-1.6733299999999999E-6</v>
      </c>
      <c r="I5093">
        <v>-60.886890000000001</v>
      </c>
      <c r="J5093">
        <v>-216.4348</v>
      </c>
      <c r="K5093">
        <v>1.1144270000000001</v>
      </c>
      <c r="L5093">
        <v>-62.751919999999998</v>
      </c>
      <c r="M5093">
        <v>0.99926190000000004</v>
      </c>
      <c r="N5093">
        <v>0</v>
      </c>
      <c r="O5093">
        <v>3.5669310000000003E-2</v>
      </c>
      <c r="P5093">
        <v>0.97018409999999999</v>
      </c>
      <c r="Q5093">
        <v>0.12552639999999901</v>
      </c>
      <c r="R5093">
        <v>0.2073303</v>
      </c>
      <c r="S5093">
        <v>3.0078580000000001</v>
      </c>
      <c r="T5093">
        <v>-0.3648266</v>
      </c>
      <c r="U5093">
        <v>0.61312869999999997</v>
      </c>
      <c r="V5093">
        <v>-0.1740796</v>
      </c>
      <c r="W5093">
        <v>0.1375807</v>
      </c>
      <c r="X5093">
        <v>0.97507330000000003</v>
      </c>
      <c r="Y5093">
        <v>-0.16375379999999901</v>
      </c>
      <c r="Z5093">
        <v>5.5319490000000004E-3</v>
      </c>
      <c r="AA5093">
        <v>0.98648570000000002</v>
      </c>
      <c r="AB5093">
        <v>40</v>
      </c>
      <c r="AC5093">
        <v>9.0017999999999994</v>
      </c>
      <c r="AD5093">
        <v>-1.11442867333</v>
      </c>
      <c r="AE5093">
        <v>1.86502999999999</v>
      </c>
      <c r="AF5093">
        <v>-1.52037913739437</v>
      </c>
      <c r="AG5093">
        <v>-1.11442867333</v>
      </c>
      <c r="AH5093">
        <v>8.9313484817470599</v>
      </c>
      <c r="AI5093">
        <v>97.012592805028703</v>
      </c>
      <c r="AJ5093">
        <v>99.660825811122805</v>
      </c>
      <c r="AK5093">
        <v>9.1281153417214007</v>
      </c>
      <c r="AL5093">
        <v>82.092124516006706</v>
      </c>
      <c r="AM5093">
        <v>100.12235785566099</v>
      </c>
      <c r="AN5093">
        <v>1.0000000482607601</v>
      </c>
    </row>
    <row r="5094" spans="1:40" x14ac:dyDescent="0.25">
      <c r="A5094" t="str">
        <f>"20190312164409908"</f>
        <v>20190312164409908</v>
      </c>
      <c r="B5094" t="str">
        <f>"1552380249900086"</f>
        <v>1552380249900086</v>
      </c>
      <c r="C5094" t="s">
        <v>40</v>
      </c>
      <c r="D5094">
        <v>5.1214279999999999</v>
      </c>
      <c r="E5094">
        <v>0.50634889999999999</v>
      </c>
      <c r="F5094" t="s">
        <v>50</v>
      </c>
      <c r="G5094">
        <v>-207.1678</v>
      </c>
      <c r="H5094" s="1">
        <v>-1.8348899999999999E-6</v>
      </c>
      <c r="I5094">
        <v>-60.836660000000002</v>
      </c>
      <c r="J5094">
        <v>-216.2533</v>
      </c>
      <c r="K5094">
        <v>1.1145119999999999</v>
      </c>
      <c r="L5094">
        <v>-62.743769999999998</v>
      </c>
      <c r="M5094">
        <v>0.99918320000000005</v>
      </c>
      <c r="N5094">
        <v>0</v>
      </c>
      <c r="O5094">
        <v>3.7808710000000002E-2</v>
      </c>
      <c r="P5094">
        <v>0.96945669999999995</v>
      </c>
      <c r="Q5094">
        <v>0.12594549999999999</v>
      </c>
      <c r="R5094">
        <v>0.21045539999999999</v>
      </c>
      <c r="S5094">
        <v>3.0061800000000001</v>
      </c>
      <c r="T5094">
        <v>-0.36151749999999999</v>
      </c>
      <c r="U5094">
        <v>0.62130739999999995</v>
      </c>
      <c r="V5094">
        <v>-0.17516979999999999</v>
      </c>
      <c r="W5094">
        <v>0.137959</v>
      </c>
      <c r="X5094">
        <v>0.97482449999999998</v>
      </c>
      <c r="Y5094">
        <v>-0.16435159999999999</v>
      </c>
      <c r="Z5094">
        <v>5.2659969999999997E-3</v>
      </c>
      <c r="AA5094">
        <v>0.98638780000000004</v>
      </c>
      <c r="AB5094">
        <v>40</v>
      </c>
      <c r="AC5094">
        <v>9.0854999999999908</v>
      </c>
      <c r="AD5094">
        <v>-1.1145138348899899</v>
      </c>
      <c r="AE5094">
        <v>1.9071100000000001</v>
      </c>
      <c r="AF5094">
        <v>-1.5400044212361601</v>
      </c>
      <c r="AG5094">
        <v>-1.1145138348899899</v>
      </c>
      <c r="AH5094">
        <v>9.02109623343976</v>
      </c>
      <c r="AI5094">
        <v>96.943487867377399</v>
      </c>
      <c r="AJ5094">
        <v>99.687658788223303</v>
      </c>
      <c r="AK5094">
        <v>9.2192153656680098</v>
      </c>
      <c r="AL5094">
        <v>82.070240263335506</v>
      </c>
      <c r="AM5094">
        <v>100.18697267227</v>
      </c>
      <c r="AN5094">
        <v>0.99999997515664396</v>
      </c>
    </row>
    <row r="5095" spans="1:40" x14ac:dyDescent="0.25">
      <c r="A5095" t="str">
        <f>"20190312164409918"</f>
        <v>20190312164409918</v>
      </c>
      <c r="B5095" t="str">
        <f>"1552380249909846"</f>
        <v>1552380249909846</v>
      </c>
      <c r="C5095" t="s">
        <v>40</v>
      </c>
      <c r="D5095">
        <v>5.1335540000000002</v>
      </c>
      <c r="E5095">
        <v>0.50670669999999995</v>
      </c>
      <c r="F5095" t="s">
        <v>50</v>
      </c>
      <c r="G5095">
        <v>-206.9221</v>
      </c>
      <c r="H5095" s="1">
        <v>-1.9842610000000002E-6</v>
      </c>
      <c r="I5095">
        <v>-60.787849999999999</v>
      </c>
      <c r="J5095">
        <v>-216.0609</v>
      </c>
      <c r="K5095">
        <v>1.114603</v>
      </c>
      <c r="L5095">
        <v>-62.734859999999998</v>
      </c>
      <c r="M5095">
        <v>0.99909349999999997</v>
      </c>
      <c r="N5095">
        <v>0</v>
      </c>
      <c r="O5095">
        <v>4.0103819999999998E-2</v>
      </c>
      <c r="P5095">
        <v>0.96861229999999998</v>
      </c>
      <c r="Q5095">
        <v>0.12659989999999999</v>
      </c>
      <c r="R5095">
        <v>0.21392330000000001</v>
      </c>
      <c r="S5095">
        <v>3.0044400000000002</v>
      </c>
      <c r="T5095">
        <v>-0.35884700000000003</v>
      </c>
      <c r="U5095">
        <v>0.62976069999999995</v>
      </c>
      <c r="V5095">
        <v>-0.1764626</v>
      </c>
      <c r="W5095">
        <v>0.13856489999999999</v>
      </c>
      <c r="X5095">
        <v>0.97450539999999997</v>
      </c>
      <c r="Y5095">
        <v>-0.1648838</v>
      </c>
      <c r="Z5095">
        <v>4.9906550000000001E-3</v>
      </c>
      <c r="AA5095">
        <v>0.98630030000000002</v>
      </c>
      <c r="AB5095">
        <v>40</v>
      </c>
      <c r="AC5095">
        <v>9.1387999999999998</v>
      </c>
      <c r="AD5095">
        <v>-1.114604984261</v>
      </c>
      <c r="AE5095">
        <v>1.9470099999999899</v>
      </c>
      <c r="AF5095">
        <v>-1.55675358545988</v>
      </c>
      <c r="AG5095">
        <v>-1.114604984261</v>
      </c>
      <c r="AH5095">
        <v>9.0803297201679793</v>
      </c>
      <c r="AI5095">
        <v>96.898360164580495</v>
      </c>
      <c r="AJ5095">
        <v>99.728348649827694</v>
      </c>
      <c r="AK5095">
        <v>9.2799899689464898</v>
      </c>
      <c r="AL5095">
        <v>82.035188518366496</v>
      </c>
      <c r="AM5095">
        <v>100.26385218759</v>
      </c>
      <c r="AN5095">
        <v>1.0000000276699601</v>
      </c>
    </row>
    <row r="5096" spans="1:40" x14ac:dyDescent="0.25">
      <c r="A5096" t="str">
        <f>"20190312164409930"</f>
        <v>20190312164409930</v>
      </c>
      <c r="B5096" t="str">
        <f>"1552380249920582"</f>
        <v>1552380249920582</v>
      </c>
      <c r="C5096" t="s">
        <v>40</v>
      </c>
      <c r="D5096">
        <v>5.1381480000000002</v>
      </c>
      <c r="E5096">
        <v>0.50711309999999998</v>
      </c>
      <c r="F5096" t="s">
        <v>50</v>
      </c>
      <c r="G5096">
        <v>-206.67590000000001</v>
      </c>
      <c r="H5096" s="1">
        <v>-2.1343559999999999E-6</v>
      </c>
      <c r="I5096">
        <v>-60.741799999999998</v>
      </c>
      <c r="J5096">
        <v>-215.86920000000001</v>
      </c>
      <c r="K5096">
        <v>1.114708</v>
      </c>
      <c r="L5096">
        <v>-62.725250000000003</v>
      </c>
      <c r="M5096">
        <v>0.99899530000000003</v>
      </c>
      <c r="N5096">
        <v>0</v>
      </c>
      <c r="O5096">
        <v>4.2476720000000003E-2</v>
      </c>
      <c r="P5096">
        <v>0.96786799999999995</v>
      </c>
      <c r="Q5096">
        <v>0.12702579999999999</v>
      </c>
      <c r="R5096">
        <v>0.21701599999999999</v>
      </c>
      <c r="S5096">
        <v>3.0029750000000002</v>
      </c>
      <c r="T5096">
        <v>-0.35664390000000001</v>
      </c>
      <c r="U5096">
        <v>0.63772580000000001</v>
      </c>
      <c r="V5096">
        <v>-0.1773024</v>
      </c>
      <c r="W5096">
        <v>0.13894690000000001</v>
      </c>
      <c r="X5096">
        <v>0.97429849999999996</v>
      </c>
      <c r="Y5096">
        <v>-0.1651668</v>
      </c>
      <c r="Z5096">
        <v>4.7008579999999996E-3</v>
      </c>
      <c r="AA5096">
        <v>0.98625450000000003</v>
      </c>
      <c r="AB5096">
        <v>40</v>
      </c>
      <c r="AC5096">
        <v>9.19329999999999</v>
      </c>
      <c r="AD5096">
        <v>-1.114710134356</v>
      </c>
      <c r="AE5096">
        <v>1.9834499999999999</v>
      </c>
      <c r="AF5096">
        <v>-1.5690756422348899</v>
      </c>
      <c r="AG5096">
        <v>-1.114710134356</v>
      </c>
      <c r="AH5096">
        <v>9.1408471828581206</v>
      </c>
      <c r="AI5096">
        <v>96.853524409991493</v>
      </c>
      <c r="AJ5096">
        <v>99.740202529316605</v>
      </c>
      <c r="AK5096">
        <v>9.3412881485936499</v>
      </c>
      <c r="AL5096">
        <v>82.013087314936101</v>
      </c>
      <c r="AM5096">
        <v>100.313795919627</v>
      </c>
      <c r="AN5096">
        <v>0.99999997458380896</v>
      </c>
    </row>
    <row r="5097" spans="1:40" x14ac:dyDescent="0.25">
      <c r="A5097" t="str">
        <f>"20190312164409942"</f>
        <v>20190312164409942</v>
      </c>
      <c r="B5097" t="str">
        <f>"1552380249930343"</f>
        <v>1552380249930343</v>
      </c>
      <c r="C5097" t="s">
        <v>40</v>
      </c>
      <c r="D5097">
        <v>5.0967159999999998</v>
      </c>
      <c r="E5097">
        <v>0.50722719999999999</v>
      </c>
      <c r="F5097" t="s">
        <v>50</v>
      </c>
      <c r="G5097">
        <v>-206.4616</v>
      </c>
      <c r="H5097" s="1">
        <v>-2.2656989999999999E-6</v>
      </c>
      <c r="I5097">
        <v>-60.706969999999998</v>
      </c>
      <c r="J5097">
        <v>-215.67269999999999</v>
      </c>
      <c r="K5097">
        <v>1.1148119999999999</v>
      </c>
      <c r="L5097">
        <v>-62.715240000000001</v>
      </c>
      <c r="M5097">
        <v>0.998888</v>
      </c>
      <c r="N5097">
        <v>0</v>
      </c>
      <c r="O5097">
        <v>4.4929360000000002E-2</v>
      </c>
      <c r="P5097">
        <v>0.96704520000000005</v>
      </c>
      <c r="Q5097">
        <v>0.1276003</v>
      </c>
      <c r="R5097">
        <v>0.2203223</v>
      </c>
      <c r="S5097">
        <v>3.0018769999999999</v>
      </c>
      <c r="T5097">
        <v>-0.35569240000000002</v>
      </c>
      <c r="U5097">
        <v>0.64401249999999999</v>
      </c>
      <c r="V5097">
        <v>-0.17828550000000001</v>
      </c>
      <c r="W5097">
        <v>0.13947290000000001</v>
      </c>
      <c r="X5097">
        <v>0.97404389999999996</v>
      </c>
      <c r="Y5097">
        <v>-0.1648174</v>
      </c>
      <c r="Z5097">
        <v>4.3831790000000001E-3</v>
      </c>
      <c r="AA5097">
        <v>0.98631440000000004</v>
      </c>
      <c r="AB5097">
        <v>40</v>
      </c>
      <c r="AC5097">
        <v>9.2110999999999805</v>
      </c>
      <c r="AD5097">
        <v>-1.1148142656990001</v>
      </c>
      <c r="AE5097">
        <v>2.00827</v>
      </c>
      <c r="AF5097">
        <v>-1.5703910712367899</v>
      </c>
      <c r="AG5097">
        <v>-1.1148142656990001</v>
      </c>
      <c r="AH5097">
        <v>9.1638934222400099</v>
      </c>
      <c r="AI5097">
        <v>96.837409564192399</v>
      </c>
      <c r="AJ5097">
        <v>99.724164488844195</v>
      </c>
      <c r="AK5097">
        <v>9.36407398613445</v>
      </c>
      <c r="AL5097">
        <v>81.982653312017504</v>
      </c>
      <c r="AM5097">
        <v>100.372397786056</v>
      </c>
      <c r="AN5097">
        <v>0.99999996423593396</v>
      </c>
    </row>
    <row r="5098" spans="1:40" x14ac:dyDescent="0.25">
      <c r="A5098" t="str">
        <f>"20190312164409953"</f>
        <v>20190312164409953</v>
      </c>
      <c r="B5098" t="str">
        <f>"1552380249949862"</f>
        <v>1552380249949862</v>
      </c>
      <c r="C5098" t="s">
        <v>40</v>
      </c>
      <c r="D5098">
        <v>5.1173149999999996</v>
      </c>
      <c r="E5098">
        <v>0.50760490000000003</v>
      </c>
      <c r="F5098" t="s">
        <v>50</v>
      </c>
      <c r="G5098">
        <v>-206.17269999999999</v>
      </c>
      <c r="H5098" s="1">
        <v>-2.4409580000000001E-6</v>
      </c>
      <c r="I5098">
        <v>-60.646999999999998</v>
      </c>
      <c r="J5098">
        <v>-215.45660000000001</v>
      </c>
      <c r="K5098">
        <v>1.1149359999999999</v>
      </c>
      <c r="L5098">
        <v>-62.703220000000002</v>
      </c>
      <c r="M5098">
        <v>0.99875709999999995</v>
      </c>
      <c r="N5098">
        <v>0</v>
      </c>
      <c r="O5098">
        <v>4.7741869999999999E-2</v>
      </c>
      <c r="P5098">
        <v>0.96611880000000006</v>
      </c>
      <c r="Q5098">
        <v>0.1282326</v>
      </c>
      <c r="R5098">
        <v>0.22398870000000001</v>
      </c>
      <c r="S5098">
        <v>2.9998779999999998</v>
      </c>
      <c r="T5098">
        <v>-0.35203499999999999</v>
      </c>
      <c r="U5098">
        <v>0.65310669999999904</v>
      </c>
      <c r="V5098">
        <v>-0.17929200000000001</v>
      </c>
      <c r="W5098">
        <v>0.1400499</v>
      </c>
      <c r="X5098">
        <v>0.97377630000000004</v>
      </c>
      <c r="Y5098">
        <v>-0.16506460000000001</v>
      </c>
      <c r="Z5098">
        <v>4.0301169999999997E-3</v>
      </c>
      <c r="AA5098">
        <v>0.98627450000000005</v>
      </c>
      <c r="AB5098">
        <v>40</v>
      </c>
      <c r="AC5098">
        <v>9.2839000000000098</v>
      </c>
      <c r="AD5098">
        <v>-1.1149384409579901</v>
      </c>
      <c r="AE5098">
        <v>2.0562199999999899</v>
      </c>
      <c r="AF5098">
        <v>-1.5887562589067199</v>
      </c>
      <c r="AG5098">
        <v>-1.1149384409579901</v>
      </c>
      <c r="AH5098">
        <v>9.2443963761514905</v>
      </c>
      <c r="AI5098">
        <v>96.778618377957898</v>
      </c>
      <c r="AJ5098">
        <v>99.751676236367302</v>
      </c>
      <c r="AK5098">
        <v>9.4459567295612707</v>
      </c>
      <c r="AL5098">
        <v>81.949265751939294</v>
      </c>
      <c r="AM5098">
        <v>100.43247623133701</v>
      </c>
      <c r="AN5098">
        <v>0.99999993909784801</v>
      </c>
    </row>
    <row r="5099" spans="1:40" x14ac:dyDescent="0.25">
      <c r="A5099" t="str">
        <f>"20190312164409964"</f>
        <v>20190312164409964</v>
      </c>
      <c r="B5099" t="str">
        <f>"1552380249960599"</f>
        <v>1552380249960599</v>
      </c>
      <c r="C5099" t="s">
        <v>40</v>
      </c>
      <c r="D5099">
        <v>5.1155470000000003</v>
      </c>
      <c r="E5099">
        <v>0.50786469999999995</v>
      </c>
      <c r="F5099" t="s">
        <v>50</v>
      </c>
      <c r="G5099">
        <v>-205.89230000000001</v>
      </c>
      <c r="H5099" s="1">
        <v>-2.611725E-6</v>
      </c>
      <c r="I5099">
        <v>-60.593150000000001</v>
      </c>
      <c r="J5099">
        <v>-215.27969999999999</v>
      </c>
      <c r="K5099">
        <v>1.115038</v>
      </c>
      <c r="L5099">
        <v>-62.693080000000002</v>
      </c>
      <c r="M5099">
        <v>0.99864310000000001</v>
      </c>
      <c r="N5099">
        <v>0</v>
      </c>
      <c r="O5099">
        <v>5.0071200000000003E-2</v>
      </c>
      <c r="P5099">
        <v>0.96526749999999995</v>
      </c>
      <c r="Q5099">
        <v>0.128941</v>
      </c>
      <c r="R5099">
        <v>0.2272294</v>
      </c>
      <c r="S5099">
        <v>2.9982449999999998</v>
      </c>
      <c r="T5099">
        <v>-0.34951290000000002</v>
      </c>
      <c r="U5099">
        <v>0.66146850000000001</v>
      </c>
      <c r="V5099">
        <v>-0.1803363</v>
      </c>
      <c r="W5099">
        <v>0.14070849999999999</v>
      </c>
      <c r="X5099">
        <v>0.97348849999999998</v>
      </c>
      <c r="Y5099">
        <v>-0.16552349999999999</v>
      </c>
      <c r="Z5099">
        <v>3.762297E-3</v>
      </c>
      <c r="AA5099">
        <v>0.98619869999999998</v>
      </c>
      <c r="AB5099">
        <v>40</v>
      </c>
      <c r="AC5099">
        <v>9.38739999999998</v>
      </c>
      <c r="AD5099">
        <v>-1.115040611725</v>
      </c>
      <c r="AE5099">
        <v>2.0999300000000001</v>
      </c>
      <c r="AF5099">
        <v>-1.60563483916799</v>
      </c>
      <c r="AG5099">
        <v>-1.115040611725</v>
      </c>
      <c r="AH5099">
        <v>9.3550801516994806</v>
      </c>
      <c r="AI5099">
        <v>96.700013127708402</v>
      </c>
      <c r="AJ5099">
        <v>99.738923159970497</v>
      </c>
      <c r="AK5099">
        <v>9.5571388734949192</v>
      </c>
      <c r="AL5099">
        <v>81.911153533588504</v>
      </c>
      <c r="AM5099">
        <v>100.494928348079</v>
      </c>
      <c r="AN5099">
        <v>0.99999996135109404</v>
      </c>
    </row>
    <row r="5100" spans="1:40" x14ac:dyDescent="0.25">
      <c r="A5100" t="str">
        <f>"20190312164409977"</f>
        <v>20190312164409977</v>
      </c>
      <c r="B5100" t="str">
        <f>"1552380249970358"</f>
        <v>1552380249970358</v>
      </c>
      <c r="C5100" t="s">
        <v>40</v>
      </c>
      <c r="D5100">
        <v>5.149762</v>
      </c>
      <c r="E5100">
        <v>0.50814619999999999</v>
      </c>
      <c r="F5100" t="s">
        <v>50</v>
      </c>
      <c r="G5100">
        <v>-205.66239999999999</v>
      </c>
      <c r="H5100" s="1">
        <v>-2.7511810000000001E-6</v>
      </c>
      <c r="I5100">
        <v>-60.545450000000002</v>
      </c>
      <c r="J5100">
        <v>-215.0547</v>
      </c>
      <c r="K5100">
        <v>1.115164</v>
      </c>
      <c r="L5100">
        <v>-62.679409999999997</v>
      </c>
      <c r="M5100">
        <v>0.99848519999999996</v>
      </c>
      <c r="N5100">
        <v>0</v>
      </c>
      <c r="O5100">
        <v>5.3120180000000003E-2</v>
      </c>
      <c r="P5100">
        <v>0.96434039999999999</v>
      </c>
      <c r="Q5100">
        <v>0.1292037</v>
      </c>
      <c r="R5100">
        <v>0.23098479999999999</v>
      </c>
      <c r="S5100">
        <v>2.996826</v>
      </c>
      <c r="T5100">
        <v>-0.34745599999999999</v>
      </c>
      <c r="U5100">
        <v>0.66922000000000004</v>
      </c>
      <c r="V5100">
        <v>-0.18120269999999999</v>
      </c>
      <c r="W5100">
        <v>0.14091579999999901</v>
      </c>
      <c r="X5100">
        <v>0.97329770000000004</v>
      </c>
      <c r="Y5100">
        <v>-0.16507269999999999</v>
      </c>
      <c r="Z5100">
        <v>3.3685719999999998E-3</v>
      </c>
      <c r="AA5100">
        <v>0.98627569999999998</v>
      </c>
      <c r="AB5100">
        <v>39</v>
      </c>
      <c r="AC5100">
        <v>9.3923000000000005</v>
      </c>
      <c r="AD5100">
        <v>-1.1151667511809999</v>
      </c>
      <c r="AE5100">
        <v>2.1339599999999899</v>
      </c>
      <c r="AF5100">
        <v>-1.61038683756344</v>
      </c>
      <c r="AG5100">
        <v>-1.1151667511809999</v>
      </c>
      <c r="AH5100">
        <v>9.3668392865725707</v>
      </c>
      <c r="AI5100">
        <v>96.692105448130505</v>
      </c>
      <c r="AJ5100">
        <v>99.755165877790901</v>
      </c>
      <c r="AK5100">
        <v>9.5694629352966594</v>
      </c>
      <c r="AL5100">
        <v>81.899157282881404</v>
      </c>
      <c r="AM5100">
        <v>100.54624225731401</v>
      </c>
      <c r="AN5100">
        <v>1.0000000470010999</v>
      </c>
    </row>
    <row r="5101" spans="1:40" x14ac:dyDescent="0.25">
      <c r="A5101" t="str">
        <f>"20190312164409989"</f>
        <v>20190312164409989</v>
      </c>
      <c r="B5101" t="str">
        <f>"1552380249980118"</f>
        <v>1552380249980118</v>
      </c>
      <c r="C5101" t="s">
        <v>40</v>
      </c>
      <c r="D5101">
        <v>5.1563780000000001</v>
      </c>
      <c r="E5101">
        <v>0.50839069999999997</v>
      </c>
      <c r="F5101" t="s">
        <v>50</v>
      </c>
      <c r="G5101">
        <v>-205.4376</v>
      </c>
      <c r="H5101" s="1">
        <v>-2.8877380000000001E-6</v>
      </c>
      <c r="I5101">
        <v>-60.499969999999998</v>
      </c>
      <c r="J5101">
        <v>-214.8484</v>
      </c>
      <c r="K5101">
        <v>1.115275</v>
      </c>
      <c r="L5101">
        <v>-62.666229999999999</v>
      </c>
      <c r="M5101">
        <v>0.99832869999999996</v>
      </c>
      <c r="N5101">
        <v>0</v>
      </c>
      <c r="O5101">
        <v>5.5983909999999998E-2</v>
      </c>
      <c r="P5101">
        <v>0.96338579999999996</v>
      </c>
      <c r="Q5101">
        <v>0.12969700000000001</v>
      </c>
      <c r="R5101">
        <v>0.23466339999999999</v>
      </c>
      <c r="S5101">
        <v>2.994888</v>
      </c>
      <c r="T5101">
        <v>-0.34727999999999998</v>
      </c>
      <c r="U5101">
        <v>0.67871090000000001</v>
      </c>
      <c r="V5101">
        <v>-0.1821759</v>
      </c>
      <c r="W5101">
        <v>0.141354799999999</v>
      </c>
      <c r="X5101">
        <v>0.97305229999999998</v>
      </c>
      <c r="Y5101">
        <v>-0.16537160000000001</v>
      </c>
      <c r="Z5101">
        <v>3.059492E-3</v>
      </c>
      <c r="AA5101">
        <v>0.98622659999999995</v>
      </c>
      <c r="AB5101">
        <v>39</v>
      </c>
      <c r="AC5101">
        <v>9.4107999999999894</v>
      </c>
      <c r="AD5101">
        <v>-1.1152778877380001</v>
      </c>
      <c r="AE5101">
        <v>2.1662599999999999</v>
      </c>
      <c r="AF5101">
        <v>-1.61442121892665</v>
      </c>
      <c r="AG5101">
        <v>-1.1152778877380001</v>
      </c>
      <c r="AH5101">
        <v>9.3920548421285002</v>
      </c>
      <c r="AI5101">
        <v>96.6749954836379</v>
      </c>
      <c r="AJ5101">
        <v>99.753383628273596</v>
      </c>
      <c r="AK5101">
        <v>9.5948368822272005</v>
      </c>
      <c r="AL5101">
        <v>81.87374980221</v>
      </c>
      <c r="AM5101">
        <v>100.604216164212</v>
      </c>
      <c r="AN5101">
        <v>1.0000000082795699</v>
      </c>
    </row>
    <row r="5102" spans="1:40" x14ac:dyDescent="0.25">
      <c r="A5102" t="str">
        <f>"20190312164410000"</f>
        <v>20190312164410000</v>
      </c>
      <c r="B5102" t="str">
        <f>"1552380249990385"</f>
        <v>1552380249990385</v>
      </c>
      <c r="C5102" t="s">
        <v>40</v>
      </c>
      <c r="D5102">
        <v>5.13225</v>
      </c>
      <c r="E5102">
        <v>0.50861959999999995</v>
      </c>
      <c r="F5102" t="s">
        <v>50</v>
      </c>
      <c r="G5102">
        <v>-205.2133</v>
      </c>
      <c r="H5102" s="1">
        <v>-3.0235459999999999E-6</v>
      </c>
      <c r="I5102">
        <v>-60.451419999999999</v>
      </c>
      <c r="J5102">
        <v>-214.63730000000001</v>
      </c>
      <c r="K5102">
        <v>1.115389</v>
      </c>
      <c r="L5102">
        <v>-62.65231</v>
      </c>
      <c r="M5102">
        <v>0.99815759999999998</v>
      </c>
      <c r="N5102">
        <v>0</v>
      </c>
      <c r="O5102">
        <v>5.895425E-2</v>
      </c>
      <c r="P5102">
        <v>0.96247740000000004</v>
      </c>
      <c r="Q5102">
        <v>0.129410199999999</v>
      </c>
      <c r="R5102">
        <v>0.2385168</v>
      </c>
      <c r="S5102">
        <v>2.9930729999999999</v>
      </c>
      <c r="T5102">
        <v>-0.34645530000000002</v>
      </c>
      <c r="U5102">
        <v>0.68801880000000004</v>
      </c>
      <c r="V5102">
        <v>-0.1832097</v>
      </c>
      <c r="W5102">
        <v>0.141012</v>
      </c>
      <c r="X5102">
        <v>0.97290790000000005</v>
      </c>
      <c r="Y5102">
        <v>-0.16550239999999999</v>
      </c>
      <c r="Z5102">
        <v>2.7237910000000001E-3</v>
      </c>
      <c r="AA5102">
        <v>0.98620560000000002</v>
      </c>
      <c r="AB5102">
        <v>39</v>
      </c>
      <c r="AC5102">
        <v>9.4239999999999995</v>
      </c>
      <c r="AD5102">
        <v>-1.115392023546</v>
      </c>
      <c r="AE5102">
        <v>2.2008899999999998</v>
      </c>
      <c r="AF5102">
        <v>-1.6199007740582101</v>
      </c>
      <c r="AG5102">
        <v>-1.115392023546</v>
      </c>
      <c r="AH5102">
        <v>9.4123392791125902</v>
      </c>
      <c r="AI5102">
        <v>96.661181694912798</v>
      </c>
      <c r="AJ5102">
        <v>99.7651659589621</v>
      </c>
      <c r="AK5102">
        <v>9.6156283512368592</v>
      </c>
      <c r="AL5102">
        <v>81.893589290764993</v>
      </c>
      <c r="AM5102">
        <v>100.66456248065001</v>
      </c>
      <c r="AN5102">
        <v>0.99999998010024904</v>
      </c>
    </row>
    <row r="5103" spans="1:40" x14ac:dyDescent="0.25">
      <c r="A5103" t="str">
        <f>"20190312164410012"</f>
        <v>20190312164410012</v>
      </c>
      <c r="B5103" t="str">
        <f>"1552380250000145"</f>
        <v>1552380250000145</v>
      </c>
      <c r="C5103" t="s">
        <v>40</v>
      </c>
      <c r="D5103">
        <v>5.162998</v>
      </c>
      <c r="E5103">
        <v>0.50895199999999996</v>
      </c>
      <c r="F5103" t="s">
        <v>50</v>
      </c>
      <c r="G5103">
        <v>-205.042</v>
      </c>
      <c r="H5103" s="1">
        <v>-3.1272080000000001E-6</v>
      </c>
      <c r="I5103">
        <v>-60.413710000000002</v>
      </c>
      <c r="J5103">
        <v>-214.428</v>
      </c>
      <c r="K5103">
        <v>1.115499</v>
      </c>
      <c r="L5103">
        <v>-62.637450000000001</v>
      </c>
      <c r="M5103">
        <v>0.99797250000000004</v>
      </c>
      <c r="N5103">
        <v>0</v>
      </c>
      <c r="O5103">
        <v>6.2005150000000002E-2</v>
      </c>
      <c r="P5103">
        <v>0.96139969999999997</v>
      </c>
      <c r="Q5103">
        <v>0.12956389999999901</v>
      </c>
      <c r="R5103">
        <v>0.24274270000000001</v>
      </c>
      <c r="S5103">
        <v>2.9907840000000001</v>
      </c>
      <c r="T5103">
        <v>-0.3476593</v>
      </c>
      <c r="U5103">
        <v>0.69775390000000004</v>
      </c>
      <c r="V5103">
        <v>-0.18455340000000001</v>
      </c>
      <c r="W5103">
        <v>0.14110599999999901</v>
      </c>
      <c r="X5103">
        <v>0.97264030000000001</v>
      </c>
      <c r="Y5103">
        <v>-0.16571269999999999</v>
      </c>
      <c r="Z5103">
        <v>2.399249E-3</v>
      </c>
      <c r="AA5103">
        <v>0.98617120000000003</v>
      </c>
      <c r="AB5103">
        <v>39</v>
      </c>
      <c r="AC5103">
        <v>9.3859999999999904</v>
      </c>
      <c r="AD5103">
        <v>-1.1155021272079999</v>
      </c>
      <c r="AE5103">
        <v>2.2237399999999998</v>
      </c>
      <c r="AF5103">
        <v>-1.6158100352345</v>
      </c>
      <c r="AG5103">
        <v>-1.1155021272079999</v>
      </c>
      <c r="AH5103">
        <v>9.3803802456099508</v>
      </c>
      <c r="AI5103">
        <v>96.684158774562206</v>
      </c>
      <c r="AJ5103">
        <v>99.773527588375799</v>
      </c>
      <c r="AK5103">
        <v>9.5836694756235996</v>
      </c>
      <c r="AL5103">
        <v>81.8881493110229</v>
      </c>
      <c r="AM5103">
        <v>100.743851775127</v>
      </c>
      <c r="AN5103">
        <v>1.0000000069358199</v>
      </c>
    </row>
    <row r="5104" spans="1:40" x14ac:dyDescent="0.25">
      <c r="A5104" t="str">
        <f>"20190312164410026"</f>
        <v>20190312164410026</v>
      </c>
      <c r="B5104" t="str">
        <f>"1552380250020641"</f>
        <v>1552380250020641</v>
      </c>
      <c r="C5104" t="s">
        <v>40</v>
      </c>
      <c r="D5104">
        <v>5.2862470000000004</v>
      </c>
      <c r="E5104">
        <v>0.5088819</v>
      </c>
      <c r="F5104" t="s">
        <v>50</v>
      </c>
      <c r="G5104">
        <v>-204.84800000000001</v>
      </c>
      <c r="H5104" s="1">
        <v>-3.2359339999999999E-6</v>
      </c>
      <c r="I5104">
        <v>-60.368119999999998</v>
      </c>
      <c r="J5104">
        <v>-214.19309999999999</v>
      </c>
      <c r="K5104">
        <v>1.1156200000000001</v>
      </c>
      <c r="L5104">
        <v>-62.62021</v>
      </c>
      <c r="M5104">
        <v>0.99775060000000004</v>
      </c>
      <c r="N5104">
        <v>0</v>
      </c>
      <c r="O5104">
        <v>6.5474879999999999E-2</v>
      </c>
      <c r="P5104">
        <v>0.96027390000000001</v>
      </c>
      <c r="Q5104">
        <v>0.12944459999999999</v>
      </c>
      <c r="R5104">
        <v>0.2472212</v>
      </c>
      <c r="S5104">
        <v>2.9886020000000002</v>
      </c>
      <c r="T5104">
        <v>-0.34799609999999997</v>
      </c>
      <c r="U5104">
        <v>0.70794679999999999</v>
      </c>
      <c r="V5104">
        <v>-0.18574679999999999</v>
      </c>
      <c r="W5104">
        <v>0.1409243</v>
      </c>
      <c r="X5104">
        <v>0.97243950000000001</v>
      </c>
      <c r="Y5104">
        <v>-0.165651399999999</v>
      </c>
      <c r="Z5104">
        <v>2.0038360000000002E-3</v>
      </c>
      <c r="AA5104">
        <v>0.98618229999999996</v>
      </c>
      <c r="AB5104">
        <v>39</v>
      </c>
      <c r="AC5104">
        <v>9.3451000000000004</v>
      </c>
      <c r="AD5104">
        <v>-1.1156232359339999</v>
      </c>
      <c r="AE5104">
        <v>2.2520899999999999</v>
      </c>
      <c r="AF5104">
        <v>-1.6135897615505099</v>
      </c>
      <c r="AG5104">
        <v>-1.1156232359339999</v>
      </c>
      <c r="AH5104">
        <v>9.3466200120830294</v>
      </c>
      <c r="AI5104">
        <v>96.708375958536905</v>
      </c>
      <c r="AJ5104">
        <v>99.794929304219394</v>
      </c>
      <c r="AK5104">
        <v>9.5502666336290094</v>
      </c>
      <c r="AL5104">
        <v>81.898665438159199</v>
      </c>
      <c r="AM5104">
        <v>100.813873489722</v>
      </c>
      <c r="AN5104">
        <v>1.0000000566004801</v>
      </c>
    </row>
    <row r="5105" spans="1:40" x14ac:dyDescent="0.25">
      <c r="A5105" t="str">
        <f>"20190312164410039"</f>
        <v>20190312164410039</v>
      </c>
      <c r="B5105" t="str">
        <f>"1552380250030401"</f>
        <v>1552380250030401</v>
      </c>
      <c r="C5105" t="s">
        <v>40</v>
      </c>
      <c r="D5105">
        <v>5.144603</v>
      </c>
      <c r="E5105">
        <v>0.48083419999999999</v>
      </c>
      <c r="F5105" t="s">
        <v>50</v>
      </c>
      <c r="G5105">
        <v>-204.65530000000001</v>
      </c>
      <c r="H5105" s="1">
        <v>-3.3461539999999998E-6</v>
      </c>
      <c r="I5105">
        <v>-60.313940000000002</v>
      </c>
      <c r="J5105">
        <v>-213.96629999999999</v>
      </c>
      <c r="K5105">
        <v>1.115729</v>
      </c>
      <c r="L5105">
        <v>-62.602809999999998</v>
      </c>
      <c r="M5105">
        <v>0.99752019999999997</v>
      </c>
      <c r="N5105">
        <v>0</v>
      </c>
      <c r="O5105">
        <v>6.8893430000000005E-2</v>
      </c>
      <c r="P5105">
        <v>0.95911429999999998</v>
      </c>
      <c r="Q5105">
        <v>0.1294421</v>
      </c>
      <c r="R5105">
        <v>0.2516832</v>
      </c>
      <c r="S5105">
        <v>2.9853360000000002</v>
      </c>
      <c r="T5105">
        <v>-0.3491901</v>
      </c>
      <c r="U5105">
        <v>0.72186280000000003</v>
      </c>
      <c r="V5105">
        <v>-0.18697759999999999</v>
      </c>
      <c r="W5105">
        <v>0.14086009999999999</v>
      </c>
      <c r="X5105">
        <v>0.97221290000000005</v>
      </c>
      <c r="Y5105">
        <v>-0.1668714</v>
      </c>
      <c r="Z5105">
        <v>1.691405E-3</v>
      </c>
      <c r="AA5105">
        <v>0.9859772</v>
      </c>
      <c r="AB5105">
        <v>39</v>
      </c>
      <c r="AC5105">
        <v>9.3109999999999804</v>
      </c>
      <c r="AD5105">
        <v>-1.1157323461540001</v>
      </c>
      <c r="AE5105">
        <v>2.28886999999999</v>
      </c>
      <c r="AF5105">
        <v>-1.6199617578097101</v>
      </c>
      <c r="AG5105">
        <v>-1.1157323461540001</v>
      </c>
      <c r="AH5105">
        <v>9.3203715022416702</v>
      </c>
      <c r="AI5105">
        <v>96.726436037507</v>
      </c>
      <c r="AJ5105">
        <v>99.860004531352104</v>
      </c>
      <c r="AK5105">
        <v>9.5256737139595007</v>
      </c>
      <c r="AL5105">
        <v>81.902380890451099</v>
      </c>
      <c r="AM5105">
        <v>100.886298869589</v>
      </c>
      <c r="AN5105">
        <v>1.00000005680008</v>
      </c>
    </row>
    <row r="5106" spans="1:40" x14ac:dyDescent="0.25">
      <c r="A5106" t="str">
        <f>"20190312164410054"</f>
        <v>20190312164410054</v>
      </c>
      <c r="B5106" t="str">
        <f>"1552380250049921"</f>
        <v>1552380250049921</v>
      </c>
      <c r="C5106" t="s">
        <v>40</v>
      </c>
      <c r="D5106">
        <v>5.1819620000000004</v>
      </c>
      <c r="E5106">
        <v>0.46045390000000003</v>
      </c>
      <c r="F5106" t="s">
        <v>50</v>
      </c>
      <c r="G5106">
        <v>-205.33189999999999</v>
      </c>
      <c r="H5106" s="1">
        <v>-3.0965879999999998E-6</v>
      </c>
      <c r="I5106">
        <v>-59.790500000000002</v>
      </c>
      <c r="J5106">
        <v>-213.70699999999999</v>
      </c>
      <c r="K5106">
        <v>1.11585</v>
      </c>
      <c r="L5106">
        <v>-62.581629999999997</v>
      </c>
      <c r="M5106">
        <v>0.99723569999999995</v>
      </c>
      <c r="N5106">
        <v>0</v>
      </c>
      <c r="O5106">
        <v>7.2895500000000002E-2</v>
      </c>
      <c r="P5106">
        <v>0.95738440000000002</v>
      </c>
      <c r="Q5106">
        <v>0.12936539999999999</v>
      </c>
      <c r="R5106">
        <v>0.25822420000000001</v>
      </c>
      <c r="S5106">
        <v>2.9286349999999999</v>
      </c>
      <c r="T5106">
        <v>-0.37843640000000001</v>
      </c>
      <c r="U5106">
        <v>0.95388790000000001</v>
      </c>
      <c r="V5106">
        <v>-0.18975739999999999</v>
      </c>
      <c r="W5106">
        <v>0.1406924</v>
      </c>
      <c r="X5106">
        <v>0.97169839999999996</v>
      </c>
      <c r="Y5106">
        <v>-0.23831720000000001</v>
      </c>
      <c r="Z5106">
        <v>5.8364369999999999E-3</v>
      </c>
      <c r="AA5106">
        <v>0.97116979999999997</v>
      </c>
      <c r="AB5106">
        <v>39</v>
      </c>
      <c r="AC5106">
        <v>8.3750999999999998</v>
      </c>
      <c r="AD5106">
        <v>-1.115853096588</v>
      </c>
      <c r="AE5106">
        <v>2.7911299999999999</v>
      </c>
      <c r="AF5106">
        <v>-2.1389584659063701</v>
      </c>
      <c r="AG5106">
        <v>-1.115853096588</v>
      </c>
      <c r="AH5106">
        <v>8.4217421462271496</v>
      </c>
      <c r="AI5106">
        <v>97.317843682147895</v>
      </c>
      <c r="AJ5106">
        <v>104.250693008542</v>
      </c>
      <c r="AK5106">
        <v>8.7604801369317808</v>
      </c>
      <c r="AL5106">
        <v>81.912085590558206</v>
      </c>
      <c r="AM5106">
        <v>101.049898270928</v>
      </c>
      <c r="AN5106">
        <v>1.0000000014175301</v>
      </c>
    </row>
    <row r="5107" spans="1:40" x14ac:dyDescent="0.25">
      <c r="A5107" t="str">
        <f>"20190312164410065"</f>
        <v>20190312164410065</v>
      </c>
      <c r="B5107" t="str">
        <f>"1552380250059682"</f>
        <v>1552380250059682</v>
      </c>
      <c r="C5107" t="s">
        <v>40</v>
      </c>
      <c r="D5107">
        <v>5.1144749999999997</v>
      </c>
      <c r="E5107">
        <v>0.45584269999999999</v>
      </c>
      <c r="F5107" t="s">
        <v>50</v>
      </c>
      <c r="G5107">
        <v>-204.31899999999999</v>
      </c>
      <c r="H5107" s="1">
        <v>-3.8307679999999998E-6</v>
      </c>
      <c r="I5107">
        <v>-58.901169999999901</v>
      </c>
      <c r="J5107">
        <v>-213.51859999999999</v>
      </c>
      <c r="K5107">
        <v>1.1159410000000001</v>
      </c>
      <c r="L5107">
        <v>-62.565730000000002</v>
      </c>
      <c r="M5107">
        <v>0.99701609999999996</v>
      </c>
      <c r="N5107">
        <v>0</v>
      </c>
      <c r="O5107">
        <v>7.5836239999999999E-2</v>
      </c>
      <c r="P5107">
        <v>0.95621789999999995</v>
      </c>
      <c r="Q5107">
        <v>0.12961249999999999</v>
      </c>
      <c r="R5107">
        <v>0.26238879999999998</v>
      </c>
      <c r="S5107">
        <v>2.8756870000000001</v>
      </c>
      <c r="T5107">
        <v>-0.34180250000000001</v>
      </c>
      <c r="U5107">
        <v>1.1273799999999901</v>
      </c>
      <c r="V5107">
        <v>-0.1911591</v>
      </c>
      <c r="W5107">
        <v>0.1408837</v>
      </c>
      <c r="X5107">
        <v>0.97139589999999998</v>
      </c>
      <c r="Y5107">
        <v>-0.29201870000000002</v>
      </c>
      <c r="Z5107">
        <v>8.0535039999999995E-3</v>
      </c>
      <c r="AA5107">
        <v>0.95637870000000003</v>
      </c>
      <c r="AB5107">
        <v>39</v>
      </c>
      <c r="AC5107">
        <v>9.19959999999997</v>
      </c>
      <c r="AD5107">
        <v>-1.115944830768</v>
      </c>
      <c r="AE5107">
        <v>3.6645599999999998</v>
      </c>
      <c r="AF5107">
        <v>-2.9191970455862601</v>
      </c>
      <c r="AG5107">
        <v>-1.115944830768</v>
      </c>
      <c r="AH5107">
        <v>9.3325193542611906</v>
      </c>
      <c r="AI5107">
        <v>96.510607265189904</v>
      </c>
      <c r="AJ5107">
        <v>107.369598855337</v>
      </c>
      <c r="AK5107">
        <v>9.8418982800035604</v>
      </c>
      <c r="AL5107">
        <v>81.901014679927101</v>
      </c>
      <c r="AM5107">
        <v>101.13287033208201</v>
      </c>
      <c r="AN5107">
        <v>1.00000000648765</v>
      </c>
    </row>
    <row r="5108" spans="1:40" x14ac:dyDescent="0.25">
      <c r="A5108" t="str">
        <f>"20190312164410076"</f>
        <v>20190312164410076</v>
      </c>
      <c r="B5108" t="str">
        <f>"1552380250070417"</f>
        <v>1552380250070417</v>
      </c>
      <c r="C5108" t="s">
        <v>40</v>
      </c>
      <c r="D5108">
        <v>5.0935940000000004</v>
      </c>
      <c r="E5108">
        <v>0.45331369999999999</v>
      </c>
      <c r="F5108" t="s">
        <v>50</v>
      </c>
      <c r="G5108">
        <v>-203.5461</v>
      </c>
      <c r="H5108" s="1">
        <v>-4.3198009999999999E-6</v>
      </c>
      <c r="I5108">
        <v>-58.4717699999999</v>
      </c>
      <c r="J5108">
        <v>-213.3202</v>
      </c>
      <c r="K5108">
        <v>1.1160270000000001</v>
      </c>
      <c r="L5108">
        <v>-62.548279999999998</v>
      </c>
      <c r="M5108">
        <v>0.99677190000000004</v>
      </c>
      <c r="N5108">
        <v>0</v>
      </c>
      <c r="O5108">
        <v>7.8980519999999999E-2</v>
      </c>
      <c r="P5108">
        <v>0.95503720000000003</v>
      </c>
      <c r="Q5108">
        <v>0.12967290000000001</v>
      </c>
      <c r="R5108">
        <v>0.2666248</v>
      </c>
      <c r="S5108">
        <v>2.858673</v>
      </c>
      <c r="T5108">
        <v>-0.31989089999999998</v>
      </c>
      <c r="U5108">
        <v>1.1735530000000001</v>
      </c>
      <c r="V5108">
        <v>-0.19243489999999999</v>
      </c>
      <c r="W5108">
        <v>0.140890299999999</v>
      </c>
      <c r="X5108">
        <v>0.97114299999999998</v>
      </c>
      <c r="Y5108">
        <v>-0.30431540000000001</v>
      </c>
      <c r="Z5108">
        <v>7.8866179999999998E-3</v>
      </c>
      <c r="AA5108">
        <v>0.95253869999999896</v>
      </c>
      <c r="AB5108">
        <v>39</v>
      </c>
      <c r="AC5108">
        <v>9.7741000000000007</v>
      </c>
      <c r="AD5108">
        <v>-1.1160313198009999</v>
      </c>
      <c r="AE5108">
        <v>4.0765100000000096</v>
      </c>
      <c r="AF5108">
        <v>-3.2555734993560002</v>
      </c>
      <c r="AG5108">
        <v>-1.1160313198009999</v>
      </c>
      <c r="AH5108">
        <v>9.9550010333670098</v>
      </c>
      <c r="AI5108">
        <v>96.082169268013999</v>
      </c>
      <c r="AJ5108">
        <v>108.109243024813</v>
      </c>
      <c r="AK5108">
        <v>10.5331063932167</v>
      </c>
      <c r="AL5108">
        <v>81.900632639885899</v>
      </c>
      <c r="AM5108">
        <v>101.208141388549</v>
      </c>
      <c r="AN5108">
        <v>0.99999999691054997</v>
      </c>
    </row>
    <row r="5109" spans="1:40" x14ac:dyDescent="0.25">
      <c r="A5109" t="str">
        <f>"20190312164410087"</f>
        <v>20190312164410087</v>
      </c>
      <c r="B5109" t="str">
        <f>"1552380250080177"</f>
        <v>1552380250080177</v>
      </c>
      <c r="C5109" t="s">
        <v>40</v>
      </c>
      <c r="D5109">
        <v>5.0513879999999904</v>
      </c>
      <c r="E5109">
        <v>0.451401</v>
      </c>
      <c r="F5109" t="s">
        <v>50</v>
      </c>
      <c r="G5109">
        <v>-202.8742</v>
      </c>
      <c r="H5109" s="1">
        <v>-4.7382569999999999E-6</v>
      </c>
      <c r="I5109">
        <v>-58.128430000000002</v>
      </c>
      <c r="J5109">
        <v>-213.12880000000001</v>
      </c>
      <c r="K5109">
        <v>1.116106</v>
      </c>
      <c r="L5109">
        <v>-62.530790000000003</v>
      </c>
      <c r="M5109">
        <v>0.99652439999999998</v>
      </c>
      <c r="N5109">
        <v>0</v>
      </c>
      <c r="O5109">
        <v>8.2044019999999995E-2</v>
      </c>
      <c r="P5109">
        <v>0.95377449999999997</v>
      </c>
      <c r="Q5109">
        <v>0.12979189999999999</v>
      </c>
      <c r="R5109">
        <v>0.27105079999999998</v>
      </c>
      <c r="S5109">
        <v>2.846298</v>
      </c>
      <c r="T5109">
        <v>-0.3040947</v>
      </c>
      <c r="U5109">
        <v>1.204315</v>
      </c>
      <c r="V5109">
        <v>-0.19398560000000001</v>
      </c>
      <c r="W5109">
        <v>0.14095260000000001</v>
      </c>
      <c r="X5109">
        <v>0.97082539999999995</v>
      </c>
      <c r="Y5109">
        <v>-0.31169000000000002</v>
      </c>
      <c r="Z5109">
        <v>7.5821300000000003E-3</v>
      </c>
      <c r="AA5109">
        <v>0.95015360000000004</v>
      </c>
      <c r="AB5109">
        <v>39</v>
      </c>
      <c r="AC5109">
        <v>10.2546</v>
      </c>
      <c r="AD5109">
        <v>-1.1161107382569999</v>
      </c>
      <c r="AE5109">
        <v>4.4023599999999998</v>
      </c>
      <c r="AF5109">
        <v>-3.5109801575028898</v>
      </c>
      <c r="AG5109">
        <v>-1.1161107382569999</v>
      </c>
      <c r="AH5109">
        <v>10.476454325504699</v>
      </c>
      <c r="AI5109">
        <v>95.768083448862598</v>
      </c>
      <c r="AJ5109">
        <v>108.527575703899</v>
      </c>
      <c r="AK5109">
        <v>11.1053491651914</v>
      </c>
      <c r="AL5109">
        <v>81.897027181271596</v>
      </c>
      <c r="AM5109">
        <v>101.299747037191</v>
      </c>
      <c r="AN5109">
        <v>1.0000000028696401</v>
      </c>
    </row>
    <row r="5110" spans="1:40" x14ac:dyDescent="0.25">
      <c r="A5110" t="str">
        <f>"20190312164410097"</f>
        <v>20190312164410097</v>
      </c>
      <c r="B5110" t="str">
        <f>"1552380250089937"</f>
        <v>1552380250089937</v>
      </c>
      <c r="C5110" t="s">
        <v>40</v>
      </c>
      <c r="D5110">
        <v>5.1175579999999998</v>
      </c>
      <c r="E5110">
        <v>0.44970779999999999</v>
      </c>
      <c r="F5110" t="s">
        <v>50</v>
      </c>
      <c r="G5110">
        <v>-202.3777</v>
      </c>
      <c r="H5110" s="1">
        <v>-5.0503940000000002E-6</v>
      </c>
      <c r="I5110">
        <v>-57.861699999999999</v>
      </c>
      <c r="J5110">
        <v>-212.93620000000001</v>
      </c>
      <c r="K5110">
        <v>1.1161840000000001</v>
      </c>
      <c r="L5110">
        <v>-62.512729999999998</v>
      </c>
      <c r="M5110">
        <v>0.99626329999999996</v>
      </c>
      <c r="N5110">
        <v>0</v>
      </c>
      <c r="O5110">
        <v>8.515346E-2</v>
      </c>
      <c r="P5110">
        <v>0.9525074</v>
      </c>
      <c r="Q5110">
        <v>0.1300461</v>
      </c>
      <c r="R5110">
        <v>0.27535029999999999</v>
      </c>
      <c r="S5110">
        <v>2.83548</v>
      </c>
      <c r="T5110">
        <v>-0.29436030000000002</v>
      </c>
      <c r="U5110">
        <v>1.2314149999999999</v>
      </c>
      <c r="V5110">
        <v>-0.1953703</v>
      </c>
      <c r="W5110">
        <v>0.14115369999999999</v>
      </c>
      <c r="X5110">
        <v>0.97051849999999995</v>
      </c>
      <c r="Y5110">
        <v>-0.31774029999999998</v>
      </c>
      <c r="Z5110">
        <v>7.3489109999999996E-3</v>
      </c>
      <c r="AA5110">
        <v>0.94814929999999997</v>
      </c>
      <c r="AB5110">
        <v>39</v>
      </c>
      <c r="AC5110">
        <v>10.5585</v>
      </c>
      <c r="AD5110">
        <v>-1.116189050394</v>
      </c>
      <c r="AE5110">
        <v>4.6510300000000004</v>
      </c>
      <c r="AF5110">
        <v>-3.7003137343793902</v>
      </c>
      <c r="AG5110">
        <v>-1.116189050394</v>
      </c>
      <c r="AH5110">
        <v>10.815011576327</v>
      </c>
      <c r="AI5110">
        <v>95.577244090525795</v>
      </c>
      <c r="AJ5110">
        <v>108.88818056201001</v>
      </c>
      <c r="AK5110">
        <v>11.4848889905451</v>
      </c>
      <c r="AL5110">
        <v>81.885388941437796</v>
      </c>
      <c r="AM5110">
        <v>101.38181374487399</v>
      </c>
      <c r="AN5110">
        <v>1.0000000399940101</v>
      </c>
    </row>
    <row r="5111" spans="1:40" x14ac:dyDescent="0.25">
      <c r="A5111" t="str">
        <f>"20190312164410110"</f>
        <v>20190312164410110</v>
      </c>
      <c r="B5111" t="str">
        <f>"1552380250099698"</f>
        <v>1552380250099698</v>
      </c>
      <c r="C5111" t="s">
        <v>40</v>
      </c>
      <c r="D5111">
        <v>5.0878880000000004</v>
      </c>
      <c r="E5111">
        <v>0.44839489999999999</v>
      </c>
      <c r="F5111" t="s">
        <v>50</v>
      </c>
      <c r="G5111">
        <v>-201.71289999999999</v>
      </c>
      <c r="H5111" s="1">
        <v>-5.4646810000000001E-6</v>
      </c>
      <c r="I5111">
        <v>-57.520910000000001</v>
      </c>
      <c r="J5111">
        <v>-212.74039999999999</v>
      </c>
      <c r="K5111">
        <v>1.116252</v>
      </c>
      <c r="L5111">
        <v>-62.493499999999997</v>
      </c>
      <c r="M5111">
        <v>0.99598500000000001</v>
      </c>
      <c r="N5111">
        <v>0</v>
      </c>
      <c r="O5111">
        <v>8.8347640000000005E-2</v>
      </c>
      <c r="P5111">
        <v>0.95114240000000005</v>
      </c>
      <c r="Q5111">
        <v>0.13016440000000001</v>
      </c>
      <c r="R5111">
        <v>0.2799741</v>
      </c>
      <c r="S5111">
        <v>2.8247529999999998</v>
      </c>
      <c r="T5111">
        <v>-0.28093119999999999</v>
      </c>
      <c r="U5111">
        <v>1.256378</v>
      </c>
      <c r="V5111">
        <v>-0.19700239999999999</v>
      </c>
      <c r="W5111">
        <v>0.14121600000000001</v>
      </c>
      <c r="X5111">
        <v>0.97017940000000003</v>
      </c>
      <c r="Y5111">
        <v>-0.32311069999999997</v>
      </c>
      <c r="Z5111">
        <v>6.9836569999999999E-3</v>
      </c>
      <c r="AA5111">
        <v>0.94633540000000005</v>
      </c>
      <c r="AB5111">
        <v>39</v>
      </c>
      <c r="AC5111">
        <v>11.0275</v>
      </c>
      <c r="AD5111">
        <v>-1.116257464681</v>
      </c>
      <c r="AE5111">
        <v>4.9725899999999896</v>
      </c>
      <c r="AF5111">
        <v>-3.9451928150508699</v>
      </c>
      <c r="AG5111">
        <v>-1.116257464681</v>
      </c>
      <c r="AH5111">
        <v>11.327280004456901</v>
      </c>
      <c r="AI5111">
        <v>95.316796738588806</v>
      </c>
      <c r="AJ5111">
        <v>109.202781414833</v>
      </c>
      <c r="AK5111">
        <v>12.0464870138458</v>
      </c>
      <c r="AL5111">
        <v>81.881782858223204</v>
      </c>
      <c r="AM5111">
        <v>101.47828823272501</v>
      </c>
      <c r="AN5111">
        <v>0.99999998622305897</v>
      </c>
    </row>
    <row r="5112" spans="1:40" x14ac:dyDescent="0.25">
      <c r="A5112" t="str">
        <f>"20190312164410120"</f>
        <v>20190312164410120</v>
      </c>
      <c r="B5112" t="str">
        <f>"1552380250110433"</f>
        <v>1552380250110433</v>
      </c>
      <c r="C5112" t="s">
        <v>40</v>
      </c>
      <c r="D5112">
        <v>4.9956079999999998</v>
      </c>
      <c r="E5112">
        <v>0.44705840000000002</v>
      </c>
      <c r="F5112" t="s">
        <v>50</v>
      </c>
      <c r="G5112">
        <v>-201.2664</v>
      </c>
      <c r="H5112" s="1">
        <v>-5.7142189999999997E-6</v>
      </c>
      <c r="I5112">
        <v>-57.276829999999997</v>
      </c>
      <c r="J5112">
        <v>-212.55119999999999</v>
      </c>
      <c r="K5112">
        <v>1.116317</v>
      </c>
      <c r="L5112">
        <v>-62.474609999999998</v>
      </c>
      <c r="M5112">
        <v>0.99570539999999996</v>
      </c>
      <c r="N5112">
        <v>0</v>
      </c>
      <c r="O5112">
        <v>9.1445449999999998E-2</v>
      </c>
      <c r="P5112">
        <v>0.94975359999999998</v>
      </c>
      <c r="Q5112">
        <v>0.1302604</v>
      </c>
      <c r="R5112">
        <v>0.28460540000000001</v>
      </c>
      <c r="S5112">
        <v>2.8148650000000002</v>
      </c>
      <c r="T5112">
        <v>-0.27384720000000001</v>
      </c>
      <c r="U5112">
        <v>1.279785</v>
      </c>
      <c r="V5112">
        <v>-0.19873940000000001</v>
      </c>
      <c r="W5112">
        <v>0.14125560000000001</v>
      </c>
      <c r="X5112">
        <v>0.96981930000000005</v>
      </c>
      <c r="Y5112">
        <v>-0.32797789999999999</v>
      </c>
      <c r="Z5112">
        <v>6.7618859999999999E-3</v>
      </c>
      <c r="AA5112">
        <v>0.94466119999999998</v>
      </c>
      <c r="AB5112">
        <v>39</v>
      </c>
      <c r="AC5112">
        <v>11.284799999999899</v>
      </c>
      <c r="AD5112">
        <v>-1.116322714219</v>
      </c>
      <c r="AE5112">
        <v>5.1977799999999901</v>
      </c>
      <c r="AF5112">
        <v>-4.11075986656535</v>
      </c>
      <c r="AG5112">
        <v>-1.116322714219</v>
      </c>
      <c r="AH5112">
        <v>11.619070013513699</v>
      </c>
      <c r="AI5112">
        <v>95.175454023438704</v>
      </c>
      <c r="AJ5112">
        <v>109.483485283733</v>
      </c>
      <c r="AK5112">
        <v>12.3752701409617</v>
      </c>
      <c r="AL5112">
        <v>81.879490954448897</v>
      </c>
      <c r="AM5112">
        <v>101.580955791292</v>
      </c>
      <c r="AN5112">
        <v>0.99999998414810498</v>
      </c>
    </row>
    <row r="5113" spans="1:40" x14ac:dyDescent="0.25">
      <c r="A5113" t="str">
        <f>"20190312164410130"</f>
        <v>20190312164410130</v>
      </c>
      <c r="B5113" t="str">
        <f>"1552380250120193"</f>
        <v>1552380250120193</v>
      </c>
      <c r="C5113" t="s">
        <v>40</v>
      </c>
      <c r="D5113">
        <v>5.0066110000000004</v>
      </c>
      <c r="E5113">
        <v>0.44608039999999999</v>
      </c>
      <c r="F5113" t="s">
        <v>50</v>
      </c>
      <c r="G5113">
        <v>-201.04759999999999</v>
      </c>
      <c r="H5113" s="1">
        <v>-5.8200129999999999E-6</v>
      </c>
      <c r="I5113">
        <v>-57.129809999999999</v>
      </c>
      <c r="J5113">
        <v>-212.3665</v>
      </c>
      <c r="K5113">
        <v>1.116368</v>
      </c>
      <c r="L5113">
        <v>-62.455170000000003</v>
      </c>
      <c r="M5113">
        <v>0.99541999999999997</v>
      </c>
      <c r="N5113">
        <v>0</v>
      </c>
      <c r="O5113">
        <v>9.4500909999999994E-2</v>
      </c>
      <c r="P5113">
        <v>0.94826659999999996</v>
      </c>
      <c r="Q5113">
        <v>0.1303494</v>
      </c>
      <c r="R5113">
        <v>0.2894815</v>
      </c>
      <c r="S5113">
        <v>2.80545</v>
      </c>
      <c r="T5113">
        <v>-0.27224419999999999</v>
      </c>
      <c r="U5113">
        <v>1.3034669999999999</v>
      </c>
      <c r="V5113">
        <v>-0.20077059999999999</v>
      </c>
      <c r="W5113">
        <v>0.14128579999999999</v>
      </c>
      <c r="X5113">
        <v>0.96939649999999999</v>
      </c>
      <c r="Y5113">
        <v>-0.33285090000000001</v>
      </c>
      <c r="Z5113">
        <v>6.6791919999999996E-3</v>
      </c>
      <c r="AA5113">
        <v>0.94295580000000001</v>
      </c>
      <c r="AB5113">
        <v>39</v>
      </c>
      <c r="AC5113">
        <v>11.318899999999999</v>
      </c>
      <c r="AD5113">
        <v>-1.116373820013</v>
      </c>
      <c r="AE5113">
        <v>5.3253599999999901</v>
      </c>
      <c r="AF5113">
        <v>-4.1983265296586003</v>
      </c>
      <c r="AG5113">
        <v>-1.116373820013</v>
      </c>
      <c r="AH5113">
        <v>11.6785228308344</v>
      </c>
      <c r="AI5113">
        <v>95.1402594497537</v>
      </c>
      <c r="AJ5113">
        <v>109.77306621349901</v>
      </c>
      <c r="AK5113">
        <v>12.4603423574943</v>
      </c>
      <c r="AL5113">
        <v>81.877743571031104</v>
      </c>
      <c r="AM5113">
        <v>101.70103348971099</v>
      </c>
      <c r="AN5113">
        <v>1.00000004265912</v>
      </c>
    </row>
    <row r="5114" spans="1:40" x14ac:dyDescent="0.25">
      <c r="A5114" t="str">
        <f>"20190312164410142"</f>
        <v>20190312164410142</v>
      </c>
      <c r="B5114" t="str">
        <f>"1552380250139713"</f>
        <v>1552380250139713</v>
      </c>
      <c r="C5114" t="s">
        <v>40</v>
      </c>
      <c r="D5114">
        <v>5.0483699999999896</v>
      </c>
      <c r="E5114">
        <v>0.4447334</v>
      </c>
      <c r="F5114" t="s">
        <v>50</v>
      </c>
      <c r="G5114">
        <v>-200.8203</v>
      </c>
      <c r="H5114" s="1">
        <v>-5.928726E-6</v>
      </c>
      <c r="I5114">
        <v>-56.984369999999998</v>
      </c>
      <c r="J5114">
        <v>-212.17259999999999</v>
      </c>
      <c r="K5114">
        <v>1.1164229999999999</v>
      </c>
      <c r="L5114">
        <v>-62.434570000000001</v>
      </c>
      <c r="M5114">
        <v>0.99510989999999999</v>
      </c>
      <c r="N5114">
        <v>0</v>
      </c>
      <c r="O5114">
        <v>9.7711240000000005E-2</v>
      </c>
      <c r="P5114">
        <v>0.94672109999999998</v>
      </c>
      <c r="Q5114">
        <v>0.13043370000000001</v>
      </c>
      <c r="R5114">
        <v>0.29445929999999998</v>
      </c>
      <c r="S5114">
        <v>2.7963710000000002</v>
      </c>
      <c r="T5114">
        <v>-0.27037610000000001</v>
      </c>
      <c r="U5114">
        <v>1.3249820000000001</v>
      </c>
      <c r="V5114">
        <v>-0.20276169999999999</v>
      </c>
      <c r="W5114">
        <v>0.14131089999999999</v>
      </c>
      <c r="X5114">
        <v>0.96897829999999996</v>
      </c>
      <c r="Y5114">
        <v>-0.33692670000000002</v>
      </c>
      <c r="Z5114">
        <v>6.5402180000000004E-3</v>
      </c>
      <c r="AA5114">
        <v>0.94150820000000002</v>
      </c>
      <c r="AB5114">
        <v>39</v>
      </c>
      <c r="AC5114">
        <v>11.3522999999999</v>
      </c>
      <c r="AD5114">
        <v>-1.1164289287260001</v>
      </c>
      <c r="AE5114">
        <v>5.4501999999999899</v>
      </c>
      <c r="AF5114">
        <v>-4.2811022414040796</v>
      </c>
      <c r="AG5114">
        <v>-1.1164289287260001</v>
      </c>
      <c r="AH5114">
        <v>11.738305532203899</v>
      </c>
      <c r="AI5114">
        <v>95.105974930774707</v>
      </c>
      <c r="AJ5114">
        <v>110.037525368723</v>
      </c>
      <c r="AK5114">
        <v>12.544403800963201</v>
      </c>
      <c r="AL5114">
        <v>81.876290618641903</v>
      </c>
      <c r="AM5114">
        <v>101.818785523209</v>
      </c>
      <c r="AN5114">
        <v>1.0000000116582899</v>
      </c>
    </row>
    <row r="5115" spans="1:40" x14ac:dyDescent="0.25">
      <c r="A5115" t="str">
        <f>"20190312164410154"</f>
        <v>20190312164410154</v>
      </c>
      <c r="B5115" t="str">
        <f>"1552380250150450"</f>
        <v>1552380250150450</v>
      </c>
      <c r="C5115" t="s">
        <v>40</v>
      </c>
      <c r="D5115">
        <v>5.026942</v>
      </c>
      <c r="E5115">
        <v>0.44429400000000002</v>
      </c>
      <c r="F5115" t="s">
        <v>50</v>
      </c>
      <c r="G5115">
        <v>-200.7329</v>
      </c>
      <c r="H5115" s="1">
        <v>-5.97602899999999E-6</v>
      </c>
      <c r="I5115">
        <v>-56.893340000000002</v>
      </c>
      <c r="J5115">
        <v>-211.96459999999999</v>
      </c>
      <c r="K5115">
        <v>1.116473</v>
      </c>
      <c r="L5115">
        <v>-62.411409999999997</v>
      </c>
      <c r="M5115">
        <v>0.99476310000000001</v>
      </c>
      <c r="N5115">
        <v>0</v>
      </c>
      <c r="O5115">
        <v>0.1011802</v>
      </c>
      <c r="P5115">
        <v>0.94500360000000005</v>
      </c>
      <c r="Q5115">
        <v>0.13069169999999999</v>
      </c>
      <c r="R5115">
        <v>0.29981340000000001</v>
      </c>
      <c r="S5115">
        <v>2.7864840000000002</v>
      </c>
      <c r="T5115">
        <v>-0.2719395</v>
      </c>
      <c r="U5115">
        <v>1.349731</v>
      </c>
      <c r="V5115">
        <v>-0.20489689999999999</v>
      </c>
      <c r="W5115">
        <v>0.14150869999999999</v>
      </c>
      <c r="X5115">
        <v>0.96850009999999997</v>
      </c>
      <c r="Y5115">
        <v>-0.34171299999999999</v>
      </c>
      <c r="Z5115">
        <v>6.4933999999999999E-3</v>
      </c>
      <c r="AA5115">
        <v>0.93978189999999995</v>
      </c>
      <c r="AB5115">
        <v>39</v>
      </c>
      <c r="AC5115">
        <v>11.231699999999901</v>
      </c>
      <c r="AD5115">
        <v>-1.1164789760289999</v>
      </c>
      <c r="AE5115">
        <v>5.51806999999999</v>
      </c>
      <c r="AF5115">
        <v>-4.3188240691891</v>
      </c>
      <c r="AG5115">
        <v>-1.1164789760289999</v>
      </c>
      <c r="AH5115">
        <v>11.6397741985511</v>
      </c>
      <c r="AI5115">
        <v>95.138704731017995</v>
      </c>
      <c r="AJ5115">
        <v>110.356878058023</v>
      </c>
      <c r="AK5115">
        <v>12.465276171741101</v>
      </c>
      <c r="AL5115">
        <v>81.864841949401097</v>
      </c>
      <c r="AM5115">
        <v>101.94541608095101</v>
      </c>
      <c r="AN5115">
        <v>0.999999947752653</v>
      </c>
    </row>
    <row r="5116" spans="1:40" x14ac:dyDescent="0.25">
      <c r="A5116" t="str">
        <f>"20190312164410165"</f>
        <v>20190312164410165</v>
      </c>
      <c r="B5116" t="str">
        <f>"1552380250160209"</f>
        <v>1552380250160209</v>
      </c>
      <c r="C5116" t="s">
        <v>40</v>
      </c>
      <c r="D5116">
        <v>5.0094180000000001</v>
      </c>
      <c r="E5116">
        <v>0.44383420000000001</v>
      </c>
      <c r="F5116" t="s">
        <v>50</v>
      </c>
      <c r="G5116">
        <v>-200.54570000000001</v>
      </c>
      <c r="H5116" s="1">
        <v>-6.0638840000000001E-6</v>
      </c>
      <c r="I5116">
        <v>-56.78443</v>
      </c>
      <c r="J5116">
        <v>-211.7782</v>
      </c>
      <c r="K5116">
        <v>1.11652</v>
      </c>
      <c r="L5116">
        <v>-62.390230000000003</v>
      </c>
      <c r="M5116">
        <v>0.99444129999999997</v>
      </c>
      <c r="N5116">
        <v>0</v>
      </c>
      <c r="O5116">
        <v>0.1042952</v>
      </c>
      <c r="P5116">
        <v>0.94328670000000003</v>
      </c>
      <c r="Q5116">
        <v>0.13133359999999999</v>
      </c>
      <c r="R5116">
        <v>0.3048961</v>
      </c>
      <c r="S5116">
        <v>2.777863</v>
      </c>
      <c r="T5116">
        <v>-0.27160430000000002</v>
      </c>
      <c r="U5116">
        <v>1.3688659999999999</v>
      </c>
      <c r="V5116">
        <v>-0.2071151</v>
      </c>
      <c r="W5116">
        <v>0.14208970000000001</v>
      </c>
      <c r="X5116">
        <v>0.96794309999999995</v>
      </c>
      <c r="Y5116">
        <v>-0.34513460000000001</v>
      </c>
      <c r="Z5116">
        <v>6.3699480000000003E-3</v>
      </c>
      <c r="AA5116">
        <v>0.93853160000000002</v>
      </c>
      <c r="AB5116">
        <v>39</v>
      </c>
      <c r="AC5116">
        <v>11.2324999999999</v>
      </c>
      <c r="AD5116">
        <v>-1.116526063884</v>
      </c>
      <c r="AE5116">
        <v>5.6057999999999897</v>
      </c>
      <c r="AF5116">
        <v>-4.3690426003937102</v>
      </c>
      <c r="AG5116">
        <v>-1.116526063884</v>
      </c>
      <c r="AH5116">
        <v>11.6636842709357</v>
      </c>
      <c r="AI5116">
        <v>95.122526435264405</v>
      </c>
      <c r="AJ5116">
        <v>110.535202281254</v>
      </c>
      <c r="AK5116">
        <v>12.505066751819401</v>
      </c>
      <c r="AL5116">
        <v>81.831213694740796</v>
      </c>
      <c r="AM5116">
        <v>102.07770524911599</v>
      </c>
      <c r="AN5116">
        <v>0.999999996165854</v>
      </c>
    </row>
    <row r="5117" spans="1:40" x14ac:dyDescent="0.25">
      <c r="A5117" t="str">
        <f>"20190312164410176"</f>
        <v>20190312164410176</v>
      </c>
      <c r="B5117" t="str">
        <f>"1552380250169969"</f>
        <v>1552380250169969</v>
      </c>
      <c r="C5117" t="s">
        <v>40</v>
      </c>
      <c r="D5117">
        <v>5.184609</v>
      </c>
      <c r="E5117">
        <v>0.44357869999999999</v>
      </c>
      <c r="F5117" t="s">
        <v>50</v>
      </c>
      <c r="G5117">
        <v>-200.34389999999999</v>
      </c>
      <c r="H5117" s="1">
        <v>-6.1592750000000004E-6</v>
      </c>
      <c r="I5117">
        <v>-56.662750000000003</v>
      </c>
      <c r="J5117">
        <v>-211.57589999999999</v>
      </c>
      <c r="K5117">
        <v>1.1165639999999999</v>
      </c>
      <c r="L5117">
        <v>-62.366419999999998</v>
      </c>
      <c r="M5117">
        <v>0.99407959999999995</v>
      </c>
      <c r="N5117">
        <v>0</v>
      </c>
      <c r="O5117">
        <v>0.1076869</v>
      </c>
      <c r="P5117">
        <v>0.9415251</v>
      </c>
      <c r="Q5117">
        <v>0.13176289999999999</v>
      </c>
      <c r="R5117">
        <v>0.31011159999999999</v>
      </c>
      <c r="S5117">
        <v>2.7696079999999998</v>
      </c>
      <c r="T5117">
        <v>-0.27044309999999899</v>
      </c>
      <c r="U5117">
        <v>1.3872990000000001</v>
      </c>
      <c r="V5117">
        <v>-0.209201</v>
      </c>
      <c r="W5117">
        <v>0.14246210000000001</v>
      </c>
      <c r="X5117">
        <v>0.96743970000000001</v>
      </c>
      <c r="Y5117">
        <v>-0.34805589999999997</v>
      </c>
      <c r="Z5117">
        <v>6.1791600000000004E-3</v>
      </c>
      <c r="AA5117">
        <v>0.93745339999999999</v>
      </c>
      <c r="AB5117">
        <v>39</v>
      </c>
      <c r="AC5117">
        <v>11.231999999999999</v>
      </c>
      <c r="AD5117">
        <v>-1.1165701592749999</v>
      </c>
      <c r="AE5117">
        <v>5.70366999999999</v>
      </c>
      <c r="AF5117">
        <v>-4.4260566842011402</v>
      </c>
      <c r="AG5117">
        <v>-1.1165701592749999</v>
      </c>
      <c r="AH5117">
        <v>11.6891111480481</v>
      </c>
      <c r="AI5117">
        <v>95.104834593464602</v>
      </c>
      <c r="AJ5117">
        <v>110.73906308326499</v>
      </c>
      <c r="AK5117">
        <v>12.5487858426131</v>
      </c>
      <c r="AL5117">
        <v>81.809657823021894</v>
      </c>
      <c r="AM5117">
        <v>102.201874633936</v>
      </c>
      <c r="AN5117">
        <v>1.00000004073674</v>
      </c>
    </row>
    <row r="5118" spans="1:40" x14ac:dyDescent="0.25">
      <c r="A5118" t="str">
        <f>"20190312164410187"</f>
        <v>20190312164410187</v>
      </c>
      <c r="B5118" t="str">
        <f>"1552380250179730"</f>
        <v>1552380250179730</v>
      </c>
      <c r="C5118" t="s">
        <v>40</v>
      </c>
      <c r="D5118">
        <v>5.018713</v>
      </c>
      <c r="E5118">
        <v>0.44337650000000001</v>
      </c>
      <c r="F5118" t="s">
        <v>50</v>
      </c>
      <c r="G5118">
        <v>-200.12049999999999</v>
      </c>
      <c r="H5118" s="1">
        <v>-6.2631339999999999E-6</v>
      </c>
      <c r="I5118">
        <v>-56.539149999999999</v>
      </c>
      <c r="J5118">
        <v>-211.38849999999999</v>
      </c>
      <c r="K5118">
        <v>1.116517</v>
      </c>
      <c r="L5118">
        <v>-62.343870000000003</v>
      </c>
      <c r="M5118">
        <v>0.99369320000000005</v>
      </c>
      <c r="N5118">
        <v>0</v>
      </c>
      <c r="O5118">
        <v>0.1112176</v>
      </c>
      <c r="P5118">
        <v>0.93958750000000002</v>
      </c>
      <c r="Q5118">
        <v>0.1324816</v>
      </c>
      <c r="R5118">
        <v>0.31563259999999899</v>
      </c>
      <c r="S5118">
        <v>2.7613370000000002</v>
      </c>
      <c r="T5118">
        <v>-0.26914890000000002</v>
      </c>
      <c r="U5118">
        <v>1.404663</v>
      </c>
      <c r="V5118">
        <v>-0.21146499999999999</v>
      </c>
      <c r="W5118">
        <v>0.1429723</v>
      </c>
      <c r="X5118">
        <v>0.96687199999999995</v>
      </c>
      <c r="Y5118">
        <v>-0.35055589999999998</v>
      </c>
      <c r="Z5118">
        <v>5.9552750000000003E-3</v>
      </c>
      <c r="AA5118">
        <v>0.93652290000000005</v>
      </c>
      <c r="AB5118">
        <v>39</v>
      </c>
      <c r="AC5118">
        <v>11.267999999999899</v>
      </c>
      <c r="AD5118">
        <v>-1.1165232631340001</v>
      </c>
      <c r="AE5118">
        <v>5.8047199999999899</v>
      </c>
      <c r="AF5118">
        <v>-4.4806063009973203</v>
      </c>
      <c r="AG5118">
        <v>-1.1165232631340001</v>
      </c>
      <c r="AH5118">
        <v>11.752541784694801</v>
      </c>
      <c r="AI5118">
        <v>95.072860561157</v>
      </c>
      <c r="AJ5118">
        <v>110.86913388690699</v>
      </c>
      <c r="AK5118">
        <v>12.6271412213</v>
      </c>
      <c r="AL5118">
        <v>81.780122804137406</v>
      </c>
      <c r="AM5118">
        <v>102.336924117001</v>
      </c>
      <c r="AN5118">
        <v>0.99999999458814404</v>
      </c>
    </row>
    <row r="5119" spans="1:40" x14ac:dyDescent="0.25">
      <c r="A5119" t="str">
        <f>"20190312164410199"</f>
        <v>20190312164410199</v>
      </c>
      <c r="B5119" t="str">
        <f>"1552380250190465"</f>
        <v>1552380250190465</v>
      </c>
      <c r="C5119" t="s">
        <v>40</v>
      </c>
      <c r="D5119">
        <v>5.0444599999999999</v>
      </c>
      <c r="E5119">
        <v>0.44319009999999998</v>
      </c>
      <c r="F5119" t="s">
        <v>50</v>
      </c>
      <c r="G5119">
        <v>-199.96899999999999</v>
      </c>
      <c r="H5119" s="1">
        <v>-6.3358929999999998E-6</v>
      </c>
      <c r="I5119">
        <v>-56.440249999999999</v>
      </c>
      <c r="J5119">
        <v>-211.19470000000001</v>
      </c>
      <c r="K5119">
        <v>1.1164080000000001</v>
      </c>
      <c r="L5119">
        <v>-62.320129999999999</v>
      </c>
      <c r="M5119">
        <v>0.99325430000000003</v>
      </c>
      <c r="N5119">
        <v>0</v>
      </c>
      <c r="O5119">
        <v>0.115107399999999</v>
      </c>
      <c r="P5119">
        <v>0.93747219999999998</v>
      </c>
      <c r="Q5119">
        <v>0.13349539999999999</v>
      </c>
      <c r="R5119">
        <v>0.3214419</v>
      </c>
      <c r="S5119">
        <v>2.752777</v>
      </c>
      <c r="T5119">
        <v>-0.26914880000000002</v>
      </c>
      <c r="U5119">
        <v>1.4231259999999999</v>
      </c>
      <c r="V5119">
        <v>-0.21368470000000001</v>
      </c>
      <c r="W5119">
        <v>0.14368300000000001</v>
      </c>
      <c r="X5119">
        <v>0.96627839999999998</v>
      </c>
      <c r="Y5119">
        <v>-0.35303990000000002</v>
      </c>
      <c r="Z5119">
        <v>5.7275650000000004E-3</v>
      </c>
      <c r="AA5119">
        <v>0.9355907</v>
      </c>
      <c r="AB5119">
        <v>39</v>
      </c>
      <c r="AC5119">
        <v>11.2256999999999</v>
      </c>
      <c r="AD5119">
        <v>-1.1164143358930001</v>
      </c>
      <c r="AE5119">
        <v>5.87988</v>
      </c>
      <c r="AF5119">
        <v>-4.5134707694090102</v>
      </c>
      <c r="AG5119">
        <v>-1.1164143358930001</v>
      </c>
      <c r="AH5119">
        <v>11.736859551699901</v>
      </c>
      <c r="AI5119">
        <v>95.073529348366193</v>
      </c>
      <c r="AJ5119">
        <v>111.034508701024</v>
      </c>
      <c r="AK5119">
        <v>12.6242493437046</v>
      </c>
      <c r="AL5119">
        <v>81.738977519821603</v>
      </c>
      <c r="AM5119">
        <v>102.469812489421</v>
      </c>
      <c r="AN5119">
        <v>0.99999995090482297</v>
      </c>
    </row>
    <row r="5120" spans="1:40" x14ac:dyDescent="0.25">
      <c r="A5120" t="str">
        <f>"20190312164410210"</f>
        <v>20190312164410210</v>
      </c>
      <c r="B5120" t="str">
        <f>"1552380250200225"</f>
        <v>1552380250200225</v>
      </c>
      <c r="C5120" t="s">
        <v>40</v>
      </c>
      <c r="D5120">
        <v>5.0389599999999897</v>
      </c>
      <c r="E5120">
        <v>0.44309009999999999</v>
      </c>
      <c r="F5120" t="s">
        <v>50</v>
      </c>
      <c r="G5120">
        <v>-199.67189999999999</v>
      </c>
      <c r="H5120" s="1">
        <v>-8.7003830000000008E-6</v>
      </c>
      <c r="I5120">
        <v>-56.265140000000002</v>
      </c>
      <c r="J5120">
        <v>-210.99950000000001</v>
      </c>
      <c r="K5120">
        <v>1.1164540000000001</v>
      </c>
      <c r="L5120">
        <v>-62.295290000000001</v>
      </c>
      <c r="M5120">
        <v>0.99285670000000004</v>
      </c>
      <c r="N5120">
        <v>0</v>
      </c>
      <c r="O5120">
        <v>0.11847530000000001</v>
      </c>
      <c r="P5120">
        <v>0.93557809999999997</v>
      </c>
      <c r="Q5120">
        <v>0.13375899999999999</v>
      </c>
      <c r="R5120">
        <v>0.32680599999999999</v>
      </c>
      <c r="S5120">
        <v>2.7436219999999998</v>
      </c>
      <c r="T5120">
        <v>-0.26582250000000002</v>
      </c>
      <c r="U5120">
        <v>1.441711</v>
      </c>
      <c r="V5120">
        <v>-0.2159683</v>
      </c>
      <c r="W5120">
        <v>0.14398079999999999</v>
      </c>
      <c r="X5120">
        <v>0.96572630000000004</v>
      </c>
      <c r="Y5120">
        <v>-0.35613990000000001</v>
      </c>
      <c r="Z5120">
        <v>5.5072510000000003E-3</v>
      </c>
      <c r="AA5120">
        <v>0.93441640000000004</v>
      </c>
      <c r="AB5120">
        <v>39</v>
      </c>
      <c r="AC5120">
        <v>11.3276</v>
      </c>
      <c r="AD5120">
        <v>-1.1164627003829899</v>
      </c>
      <c r="AE5120">
        <v>6.0301499999999901</v>
      </c>
      <c r="AF5120">
        <v>-4.6105977509601397</v>
      </c>
      <c r="AG5120">
        <v>-1.1164627003829899</v>
      </c>
      <c r="AH5120">
        <v>11.8724329159426</v>
      </c>
      <c r="AI5120">
        <v>95.009752407907499</v>
      </c>
      <c r="AJ5120">
        <v>111.223422468576</v>
      </c>
      <c r="AK5120">
        <v>12.7850992927729</v>
      </c>
      <c r="AL5120">
        <v>81.7217362316985</v>
      </c>
      <c r="AM5120">
        <v>102.605814144292</v>
      </c>
      <c r="AN5120">
        <v>1.0000000319425999</v>
      </c>
    </row>
    <row r="5121" spans="1:40" x14ac:dyDescent="0.25">
      <c r="A5121" t="str">
        <f>"20190312164410222"</f>
        <v>20190312164410222</v>
      </c>
      <c r="B5121" t="str">
        <f>"1552380250219745"</f>
        <v>1552380250219745</v>
      </c>
      <c r="C5121" t="s">
        <v>40</v>
      </c>
      <c r="D5121">
        <v>5.0623379999999996</v>
      </c>
      <c r="E5121">
        <v>0.44365870000000002</v>
      </c>
      <c r="F5121" t="s">
        <v>50</v>
      </c>
      <c r="G5121">
        <v>-199.46129999999999</v>
      </c>
      <c r="H5121" s="1">
        <v>-8.7196439999999905E-6</v>
      </c>
      <c r="I5121">
        <v>-56.142780000000002</v>
      </c>
      <c r="J5121">
        <v>-210.79429999999999</v>
      </c>
      <c r="K5121">
        <v>1.1165389999999999</v>
      </c>
      <c r="L5121">
        <v>-62.268859999999997</v>
      </c>
      <c r="M5121">
        <v>0.99244560000000004</v>
      </c>
      <c r="N5121">
        <v>0</v>
      </c>
      <c r="O5121">
        <v>0.1218486</v>
      </c>
      <c r="P5121">
        <v>0.93364950000000002</v>
      </c>
      <c r="Q5121">
        <v>0.13379240000000001</v>
      </c>
      <c r="R5121">
        <v>0.33226250000000002</v>
      </c>
      <c r="S5121">
        <v>2.735001</v>
      </c>
      <c r="T5121">
        <v>-0.26464320000000002</v>
      </c>
      <c r="U5121">
        <v>1.4583740000000001</v>
      </c>
      <c r="V5121">
        <v>-0.21835260000000001</v>
      </c>
      <c r="W5121">
        <v>0.14413699999999999</v>
      </c>
      <c r="X5121">
        <v>0.96516670000000004</v>
      </c>
      <c r="Y5121">
        <v>-0.35862919999999998</v>
      </c>
      <c r="Z5121">
        <v>5.305181E-3</v>
      </c>
      <c r="AA5121">
        <v>0.93346510000000005</v>
      </c>
      <c r="AB5121">
        <v>39</v>
      </c>
      <c r="AC5121">
        <v>11.332999999999901</v>
      </c>
      <c r="AD5121">
        <v>-1.1165477196439999</v>
      </c>
      <c r="AE5121">
        <v>6.1260799999999902</v>
      </c>
      <c r="AF5121">
        <v>-4.6643349307260502</v>
      </c>
      <c r="AG5121">
        <v>-1.1165477196439999</v>
      </c>
      <c r="AH5121">
        <v>11.905636578409901</v>
      </c>
      <c r="AI5121">
        <v>94.990460025203404</v>
      </c>
      <c r="AJ5121">
        <v>111.394021491752</v>
      </c>
      <c r="AK5121">
        <v>12.8353761726489</v>
      </c>
      <c r="AL5121">
        <v>81.712692410123097</v>
      </c>
      <c r="AM5121">
        <v>102.74760967021</v>
      </c>
      <c r="AN5121">
        <v>1.0000000457423199</v>
      </c>
    </row>
    <row r="5122" spans="1:40" x14ac:dyDescent="0.25">
      <c r="A5122" t="str">
        <f>"20190312164410235"</f>
        <v>20190312164410235</v>
      </c>
      <c r="B5122" t="str">
        <f>"1552380250230481"</f>
        <v>1552380250230481</v>
      </c>
      <c r="C5122" t="s">
        <v>40</v>
      </c>
      <c r="D5122">
        <v>4.9595079999999996</v>
      </c>
      <c r="E5122">
        <v>0.44331039999999999</v>
      </c>
      <c r="F5122" t="s">
        <v>50</v>
      </c>
      <c r="G5122">
        <v>-199.26759999999999</v>
      </c>
      <c r="H5122" s="1">
        <v>-8.7276079999999995E-6</v>
      </c>
      <c r="I5122">
        <v>-56.058030000000002</v>
      </c>
      <c r="J5122">
        <v>-210.56450000000001</v>
      </c>
      <c r="K5122">
        <v>1.116703</v>
      </c>
      <c r="L5122">
        <v>-62.238069999999901</v>
      </c>
      <c r="M5122">
        <v>0.99201950000000005</v>
      </c>
      <c r="N5122">
        <v>0</v>
      </c>
      <c r="O5122">
        <v>0.12522800000000001</v>
      </c>
      <c r="P5122">
        <v>0.93166269999999995</v>
      </c>
      <c r="Q5122">
        <v>0.1336328</v>
      </c>
      <c r="R5122">
        <v>0.33785609999999999</v>
      </c>
      <c r="S5122">
        <v>2.7279659999999999</v>
      </c>
      <c r="T5122">
        <v>-0.2642466</v>
      </c>
      <c r="U5122">
        <v>1.4698789999999999</v>
      </c>
      <c r="V5122">
        <v>-0.22089909999999999</v>
      </c>
      <c r="W5122">
        <v>0.14420910000000001</v>
      </c>
      <c r="X5122">
        <v>0.96457619999999999</v>
      </c>
      <c r="Y5122">
        <v>-0.35951539999999998</v>
      </c>
      <c r="Z5122">
        <v>5.045608E-3</v>
      </c>
      <c r="AA5122">
        <v>0.93312550000000005</v>
      </c>
      <c r="AB5122">
        <v>39</v>
      </c>
      <c r="AC5122">
        <v>11.296900000000001</v>
      </c>
      <c r="AD5122">
        <v>-1.1167117276080001</v>
      </c>
      <c r="AE5122">
        <v>6.1800399999999902</v>
      </c>
      <c r="AF5122">
        <v>-4.6813323055695903</v>
      </c>
      <c r="AG5122">
        <v>-1.1167117276080001</v>
      </c>
      <c r="AH5122">
        <v>11.892507662512299</v>
      </c>
      <c r="AI5122">
        <v>94.993523518205706</v>
      </c>
      <c r="AJ5122">
        <v>111.486439730358</v>
      </c>
      <c r="AK5122">
        <v>12.8294058997547</v>
      </c>
      <c r="AL5122">
        <v>81.708517064564106</v>
      </c>
      <c r="AM5122">
        <v>102.898964843497</v>
      </c>
      <c r="AN5122">
        <v>0.99999996125502899</v>
      </c>
    </row>
    <row r="5123" spans="1:40" x14ac:dyDescent="0.25">
      <c r="A5123" t="str">
        <f>"20190312164410248"</f>
        <v>20190312164410248</v>
      </c>
      <c r="B5123" t="str">
        <f>"1552380250240241"</f>
        <v>1552380250240241</v>
      </c>
      <c r="C5123" t="s">
        <v>40</v>
      </c>
      <c r="D5123">
        <v>5.0708510000000002</v>
      </c>
      <c r="E5123">
        <v>0.44331039999999999</v>
      </c>
      <c r="F5123" t="s">
        <v>50</v>
      </c>
      <c r="G5123">
        <v>-199.11940000000001</v>
      </c>
      <c r="H5123" s="1">
        <v>-8.742048E-6</v>
      </c>
      <c r="I5123">
        <v>-55.969380000000001</v>
      </c>
      <c r="J5123">
        <v>-210.34970000000001</v>
      </c>
      <c r="K5123">
        <v>1.1168279999999999</v>
      </c>
      <c r="L5123">
        <v>-62.208469999999998</v>
      </c>
      <c r="M5123">
        <v>0.99161239999999995</v>
      </c>
      <c r="N5123">
        <v>0</v>
      </c>
      <c r="O5123">
        <v>0.12838759999999999</v>
      </c>
      <c r="P5123">
        <v>0.92966970000000004</v>
      </c>
      <c r="Q5123">
        <v>0.13320409999999999</v>
      </c>
      <c r="R5123">
        <v>0.34346939999999998</v>
      </c>
      <c r="S5123">
        <v>2.7182010000000001</v>
      </c>
      <c r="T5123">
        <v>-0.26521679999999997</v>
      </c>
      <c r="U5123">
        <v>1.4887999999999999</v>
      </c>
      <c r="V5123">
        <v>-0.22368089999999999</v>
      </c>
      <c r="W5123">
        <v>0.14385899999999999</v>
      </c>
      <c r="X5123">
        <v>0.96398720000000004</v>
      </c>
      <c r="Y5123">
        <v>-0.3629423</v>
      </c>
      <c r="Z5123">
        <v>4.9480540000000003E-3</v>
      </c>
      <c r="AA5123">
        <v>0.93179849999999997</v>
      </c>
      <c r="AB5123">
        <v>39</v>
      </c>
      <c r="AC5123">
        <v>11.2303</v>
      </c>
      <c r="AD5123">
        <v>-1.1168367420479901</v>
      </c>
      <c r="AE5123">
        <v>6.2390899999999903</v>
      </c>
      <c r="AF5123">
        <v>-4.7098587928274496</v>
      </c>
      <c r="AG5123">
        <v>-1.1168367420479901</v>
      </c>
      <c r="AH5123">
        <v>11.8489012609793</v>
      </c>
      <c r="AI5123">
        <v>95.005792206617201</v>
      </c>
      <c r="AJ5123">
        <v>111.67748905392</v>
      </c>
      <c r="AK5123">
        <v>12.7994748036472</v>
      </c>
      <c r="AL5123">
        <v>81.728787502486895</v>
      </c>
      <c r="AM5123">
        <v>103.063574131648</v>
      </c>
      <c r="AN5123">
        <v>0.99999993933482301</v>
      </c>
    </row>
    <row r="5124" spans="1:40" x14ac:dyDescent="0.25">
      <c r="A5124" t="str">
        <f>"20190312164410259"</f>
        <v>20190312164410259</v>
      </c>
      <c r="B5124" t="str">
        <f>"1552380250250002"</f>
        <v>1552380250250002</v>
      </c>
      <c r="C5124" t="s">
        <v>40</v>
      </c>
      <c r="D5124">
        <v>5.0785239999999998</v>
      </c>
      <c r="E5124">
        <v>0.4181086</v>
      </c>
      <c r="F5124" t="s">
        <v>50</v>
      </c>
      <c r="G5124">
        <v>-198.99209999999999</v>
      </c>
      <c r="H5124" s="1">
        <v>-8.752951E-6</v>
      </c>
      <c r="I5124">
        <v>-55.897539999999999</v>
      </c>
      <c r="J5124">
        <v>-210.14349999999999</v>
      </c>
      <c r="K5124">
        <v>1.1169279999999999</v>
      </c>
      <c r="L5124">
        <v>-62.17953</v>
      </c>
      <c r="M5124">
        <v>0.99121309999999996</v>
      </c>
      <c r="N5124">
        <v>0</v>
      </c>
      <c r="O5124">
        <v>0.1314225</v>
      </c>
      <c r="P5124">
        <v>0.92754190000000003</v>
      </c>
      <c r="Q5124">
        <v>0.13299710000000001</v>
      </c>
      <c r="R5124">
        <v>0.34925319999999999</v>
      </c>
      <c r="S5124">
        <v>2.7089690000000002</v>
      </c>
      <c r="T5124">
        <v>-0.26638210000000001</v>
      </c>
      <c r="U5124">
        <v>1.5052490000000001</v>
      </c>
      <c r="V5124">
        <v>-0.22678019999999999</v>
      </c>
      <c r="W5124">
        <v>0.143625</v>
      </c>
      <c r="X5124">
        <v>0.96329779999999998</v>
      </c>
      <c r="Y5124">
        <v>-0.36575180000000002</v>
      </c>
      <c r="Z5124">
        <v>4.8359459999999998E-3</v>
      </c>
      <c r="AA5124">
        <v>0.93069979999999997</v>
      </c>
      <c r="AB5124">
        <v>39</v>
      </c>
      <c r="AC5124">
        <v>11.151399999999899</v>
      </c>
      <c r="AD5124">
        <v>-1.1169367529509999</v>
      </c>
      <c r="AE5124">
        <v>6.2819900000000004</v>
      </c>
      <c r="AF5124">
        <v>-4.7257917501261799</v>
      </c>
      <c r="AG5124">
        <v>-1.1169367529509999</v>
      </c>
      <c r="AH5124">
        <v>11.790552684997699</v>
      </c>
      <c r="AI5124">
        <v>95.025170803791696</v>
      </c>
      <c r="AJ5124">
        <v>111.84149168027299</v>
      </c>
      <c r="AK5124">
        <v>12.7513837677861</v>
      </c>
      <c r="AL5124">
        <v>81.742336125505602</v>
      </c>
      <c r="AM5124">
        <v>103.24738950113</v>
      </c>
      <c r="AN5124">
        <v>1.00000002561093</v>
      </c>
    </row>
    <row r="5125" spans="1:40" x14ac:dyDescent="0.25">
      <c r="A5125" t="str">
        <f>"20190312164410270"</f>
        <v>20190312164410270</v>
      </c>
      <c r="B5125" t="str">
        <f>"1552380250259762"</f>
        <v>1552380250259762</v>
      </c>
      <c r="C5125" t="s">
        <v>40</v>
      </c>
      <c r="D5125">
        <v>4.982183</v>
      </c>
      <c r="E5125">
        <v>0.41499740000000002</v>
      </c>
      <c r="F5125" t="s">
        <v>50</v>
      </c>
      <c r="G5125">
        <v>-200.0001</v>
      </c>
      <c r="H5125" s="1">
        <v>-6.4584760000000003E-6</v>
      </c>
      <c r="I5125">
        <v>-55.580210000000001</v>
      </c>
      <c r="J5125">
        <v>-209.96270000000001</v>
      </c>
      <c r="K5125">
        <v>1.1169819999999999</v>
      </c>
      <c r="L5125">
        <v>-62.15305</v>
      </c>
      <c r="M5125">
        <v>0.99083980000000005</v>
      </c>
      <c r="N5125">
        <v>0</v>
      </c>
      <c r="O5125">
        <v>0.13420989999999999</v>
      </c>
      <c r="P5125">
        <v>0.92533140000000003</v>
      </c>
      <c r="Q5125">
        <v>0.13309509999999999</v>
      </c>
      <c r="R5125">
        <v>0.35503200000000001</v>
      </c>
      <c r="S5125">
        <v>2.6312869999999999</v>
      </c>
      <c r="T5125">
        <v>-0.28974119999999998</v>
      </c>
      <c r="U5125">
        <v>1.7119139999999999</v>
      </c>
      <c r="V5125">
        <v>-0.23012379999999999</v>
      </c>
      <c r="W5125">
        <v>0.14358009999999999</v>
      </c>
      <c r="X5125">
        <v>0.96251120000000001</v>
      </c>
      <c r="Y5125">
        <v>-0.42667769999999999</v>
      </c>
      <c r="Z5125">
        <v>8.0880699999999993E-3</v>
      </c>
      <c r="AA5125">
        <v>0.90436760000000005</v>
      </c>
      <c r="AB5125">
        <v>39</v>
      </c>
      <c r="AC5125">
        <v>9.9626000000000001</v>
      </c>
      <c r="AD5125">
        <v>-1.1169884584759999</v>
      </c>
      <c r="AE5125">
        <v>6.5728399999999896</v>
      </c>
      <c r="AF5125">
        <v>-5.1311918753134096</v>
      </c>
      <c r="AG5125">
        <v>-1.1169884584759999</v>
      </c>
      <c r="AH5125">
        <v>10.661311895460701</v>
      </c>
      <c r="AI5125">
        <v>95.393036787283904</v>
      </c>
      <c r="AJ5125">
        <v>115.701086336958</v>
      </c>
      <c r="AK5125">
        <v>11.884458953185201</v>
      </c>
      <c r="AL5125">
        <v>81.744935513128894</v>
      </c>
      <c r="AM5125">
        <v>103.446254518614</v>
      </c>
      <c r="AN5125">
        <v>1.0000000092839401</v>
      </c>
    </row>
    <row r="5126" spans="1:40" x14ac:dyDescent="0.25">
      <c r="A5126" t="str">
        <f>"20190312164410282"</f>
        <v>20190312164410282</v>
      </c>
      <c r="B5126" t="str">
        <f>"1552380250270498"</f>
        <v>1552380250270498</v>
      </c>
      <c r="C5126" t="s">
        <v>40</v>
      </c>
      <c r="D5126">
        <v>4.9131980000000004</v>
      </c>
      <c r="E5126">
        <v>0.41237950000000001</v>
      </c>
      <c r="F5126" t="s">
        <v>41</v>
      </c>
      <c r="G5126">
        <v>-209.1268</v>
      </c>
      <c r="H5126">
        <v>1.0046040000000001</v>
      </c>
      <c r="I5126">
        <v>-61.593069999999997</v>
      </c>
      <c r="J5126">
        <v>-209.7758</v>
      </c>
      <c r="K5126">
        <v>1.1170310000000001</v>
      </c>
      <c r="L5126">
        <v>-62.125459999999997</v>
      </c>
      <c r="M5126">
        <v>0.99044319999999997</v>
      </c>
      <c r="N5126">
        <v>0</v>
      </c>
      <c r="O5126">
        <v>0.1371095</v>
      </c>
      <c r="P5126">
        <v>0.9231201</v>
      </c>
      <c r="Q5126">
        <v>0.1335915</v>
      </c>
      <c r="R5126">
        <v>0.36055880000000001</v>
      </c>
      <c r="S5126">
        <v>2.6193080000000002</v>
      </c>
      <c r="T5126">
        <v>-0.35216500000000001</v>
      </c>
      <c r="U5126">
        <v>1.7551570000000001</v>
      </c>
      <c r="V5126">
        <v>-0.23312060000000001</v>
      </c>
      <c r="W5126">
        <v>0.14392929999999901</v>
      </c>
      <c r="X5126">
        <v>0.96173759999999997</v>
      </c>
      <c r="Y5126">
        <v>-0.43567129999999998</v>
      </c>
      <c r="Z5126">
        <v>1.00243E-2</v>
      </c>
      <c r="AA5126">
        <v>0.90005000000000002</v>
      </c>
      <c r="AB5126">
        <v>39</v>
      </c>
      <c r="AC5126">
        <v>0.64900000000000002</v>
      </c>
      <c r="AD5126">
        <v>-0.112426999999999</v>
      </c>
      <c r="AE5126">
        <v>0.53238999999999903</v>
      </c>
      <c r="AF5126">
        <v>-0.43064207073467298</v>
      </c>
      <c r="AG5126">
        <v>-0.112426999999999</v>
      </c>
      <c r="AH5126">
        <v>0.70325823600156501</v>
      </c>
      <c r="AI5126">
        <v>97.763571171610195</v>
      </c>
      <c r="AJ5126">
        <v>121.48133119231601</v>
      </c>
      <c r="AK5126">
        <v>0.83226472346224101</v>
      </c>
      <c r="AL5126">
        <v>81.724718042359498</v>
      </c>
      <c r="AM5126">
        <v>103.62542444941</v>
      </c>
      <c r="AN5126">
        <v>1.0000000343983</v>
      </c>
    </row>
    <row r="5127" spans="1:40" x14ac:dyDescent="0.25">
      <c r="A5127" t="str">
        <f>"20190312164410292"</f>
        <v>20190312164410292</v>
      </c>
      <c r="B5127" t="str">
        <f>"1552380250280257"</f>
        <v>1552380250280257</v>
      </c>
      <c r="C5127" t="s">
        <v>40</v>
      </c>
      <c r="D5127">
        <v>4.8927050000000003</v>
      </c>
      <c r="E5127">
        <v>0.41145890000000002</v>
      </c>
      <c r="F5127" t="s">
        <v>41</v>
      </c>
      <c r="G5127">
        <v>-208.81489999999999</v>
      </c>
      <c r="H5127">
        <v>0.98479559999999999</v>
      </c>
      <c r="I5127">
        <v>-61.46463</v>
      </c>
      <c r="J5127">
        <v>-209.58459999999999</v>
      </c>
      <c r="K5127">
        <v>1.1170519999999999</v>
      </c>
      <c r="L5127">
        <v>-62.0961</v>
      </c>
      <c r="M5127">
        <v>0.99000500000000002</v>
      </c>
      <c r="N5127">
        <v>0</v>
      </c>
      <c r="O5127">
        <v>0.14024120000000001</v>
      </c>
      <c r="P5127">
        <v>0.92077359999999997</v>
      </c>
      <c r="Q5127">
        <v>0.13407379999999999</v>
      </c>
      <c r="R5127">
        <v>0.36633349999999998</v>
      </c>
      <c r="S5127">
        <v>2.6025849999999999</v>
      </c>
      <c r="T5127">
        <v>-0.35814390000000002</v>
      </c>
      <c r="U5127">
        <v>1.789825</v>
      </c>
      <c r="V5127">
        <v>-0.23614489999999999</v>
      </c>
      <c r="W5127">
        <v>0.14429410000000001</v>
      </c>
      <c r="X5127">
        <v>0.96094469999999998</v>
      </c>
      <c r="Y5127">
        <v>-0.44357590000000002</v>
      </c>
      <c r="Z5127">
        <v>1.0329140000000001E-2</v>
      </c>
      <c r="AA5127">
        <v>0.89617719999999901</v>
      </c>
      <c r="AB5127">
        <v>39</v>
      </c>
      <c r="AC5127">
        <v>0.76970000000000005</v>
      </c>
      <c r="AD5127">
        <v>-0.132256399999999</v>
      </c>
      <c r="AE5127">
        <v>0.63146999999999298</v>
      </c>
      <c r="AF5127">
        <v>-0.50830225367505</v>
      </c>
      <c r="AG5127">
        <v>-0.132256399999999</v>
      </c>
      <c r="AH5127">
        <v>0.83590817744625201</v>
      </c>
      <c r="AI5127">
        <v>97.698970200592697</v>
      </c>
      <c r="AJ5127">
        <v>121.303108360956</v>
      </c>
      <c r="AK5127">
        <v>0.98722105809874705</v>
      </c>
      <c r="AL5127">
        <v>81.703595427411997</v>
      </c>
      <c r="AM5127">
        <v>103.806423941476</v>
      </c>
      <c r="AN5127">
        <v>0.99999995877445402</v>
      </c>
    </row>
    <row r="5128" spans="1:40" x14ac:dyDescent="0.25">
      <c r="A5128" t="str">
        <f>"20190312164410302"</f>
        <v>20190312164410302</v>
      </c>
      <c r="B5128" t="str">
        <f>"1552380250299778"</f>
        <v>1552380250299778</v>
      </c>
      <c r="C5128" t="s">
        <v>40</v>
      </c>
      <c r="D5128">
        <v>4.8525049999999998</v>
      </c>
      <c r="E5128">
        <v>0.41214469999999997</v>
      </c>
      <c r="F5128" t="s">
        <v>41</v>
      </c>
      <c r="G5128">
        <v>-208.7876</v>
      </c>
      <c r="H5128">
        <v>1.0044090000000001</v>
      </c>
      <c r="I5128">
        <v>-61.538269999999997</v>
      </c>
      <c r="J5128">
        <v>-209.4204</v>
      </c>
      <c r="K5128">
        <v>1.1170690000000001</v>
      </c>
      <c r="L5128">
        <v>-62.070680000000003</v>
      </c>
      <c r="M5128">
        <v>0.98961699999999997</v>
      </c>
      <c r="N5128">
        <v>0</v>
      </c>
      <c r="O5128">
        <v>0.1429551</v>
      </c>
      <c r="P5128">
        <v>0.91870989999999997</v>
      </c>
      <c r="Q5128">
        <v>0.1344204</v>
      </c>
      <c r="R5128">
        <v>0.37135360000000001</v>
      </c>
      <c r="S5128">
        <v>2.590195</v>
      </c>
      <c r="T5128">
        <v>-0.36604569999999997</v>
      </c>
      <c r="U5128">
        <v>1.812805</v>
      </c>
      <c r="V5128">
        <v>-0.2387869</v>
      </c>
      <c r="W5128">
        <v>0.1445437</v>
      </c>
      <c r="X5128">
        <v>0.9602541</v>
      </c>
      <c r="Y5128">
        <v>-0.44837149999999998</v>
      </c>
      <c r="Z5128">
        <v>1.054532E-2</v>
      </c>
      <c r="AA5128">
        <v>0.8937851</v>
      </c>
      <c r="AB5128">
        <v>39</v>
      </c>
      <c r="AC5128">
        <v>0.63280000000000303</v>
      </c>
      <c r="AD5128">
        <v>-0.112659999999999</v>
      </c>
      <c r="AE5128">
        <v>0.53241000000000505</v>
      </c>
      <c r="AF5128">
        <v>-0.42851573109796398</v>
      </c>
      <c r="AG5128">
        <v>-0.112659999999999</v>
      </c>
      <c r="AH5128">
        <v>0.68961984804401399</v>
      </c>
      <c r="AI5128">
        <v>97.899853589307597</v>
      </c>
      <c r="AJ5128">
        <v>121.855976217521</v>
      </c>
      <c r="AK5128">
        <v>0.81969112610462702</v>
      </c>
      <c r="AL5128">
        <v>81.689143239895898</v>
      </c>
      <c r="AM5128">
        <v>103.96452904353301</v>
      </c>
      <c r="AN5128">
        <v>1.0000000006940499</v>
      </c>
    </row>
    <row r="5129" spans="1:40" x14ac:dyDescent="0.25">
      <c r="A5129" t="str">
        <f>"20190312164410312"</f>
        <v>20190312164410312</v>
      </c>
      <c r="B5129" t="str">
        <f>"1552380250299778"</f>
        <v>1552380250299778</v>
      </c>
      <c r="C5129" t="s">
        <v>40</v>
      </c>
      <c r="D5129">
        <v>4.8525049999999998</v>
      </c>
      <c r="E5129">
        <v>0.41214469999999997</v>
      </c>
      <c r="F5129" t="s">
        <v>41</v>
      </c>
      <c r="G5129">
        <v>-208.4777</v>
      </c>
      <c r="H5129">
        <v>0.98836570000000001</v>
      </c>
      <c r="I5129">
        <v>-61.406129999999997</v>
      </c>
      <c r="J5129">
        <v>-209.24469999999999</v>
      </c>
      <c r="K5129">
        <v>1.117065</v>
      </c>
      <c r="L5129">
        <v>-62.042569999999998</v>
      </c>
      <c r="M5129">
        <v>0.98917069999999996</v>
      </c>
      <c r="N5129">
        <v>0</v>
      </c>
      <c r="O5129">
        <v>0.14601040000000001</v>
      </c>
      <c r="P5129">
        <v>0.91644939999999997</v>
      </c>
      <c r="Q5129">
        <v>0.13457369999999999</v>
      </c>
      <c r="R5129">
        <v>0.37684279999999998</v>
      </c>
      <c r="S5129">
        <v>2.5812379999999999</v>
      </c>
      <c r="T5129">
        <v>-0.35244120000000001</v>
      </c>
      <c r="U5129">
        <v>1.820343</v>
      </c>
      <c r="V5129">
        <v>-0.2415804</v>
      </c>
      <c r="W5129">
        <v>0.14463329999999999</v>
      </c>
      <c r="X5129">
        <v>0.95954159999999999</v>
      </c>
      <c r="Y5129">
        <v>-0.44896930000000002</v>
      </c>
      <c r="Z5129">
        <v>9.8522079999999995E-3</v>
      </c>
      <c r="AA5129">
        <v>0.89349290000000003</v>
      </c>
      <c r="AB5129">
        <v>39</v>
      </c>
      <c r="AC5129">
        <v>0.76699999999999502</v>
      </c>
      <c r="AD5129">
        <v>-0.12869929999999999</v>
      </c>
      <c r="AE5129">
        <v>0.63643999999999301</v>
      </c>
      <c r="AF5129">
        <v>-0.509125946186059</v>
      </c>
      <c r="AG5129">
        <v>-0.12869929999999999</v>
      </c>
      <c r="AH5129">
        <v>0.83774646755800497</v>
      </c>
      <c r="AI5129">
        <v>97.479182016044206</v>
      </c>
      <c r="AJ5129">
        <v>121.28841949100701</v>
      </c>
      <c r="AK5129">
        <v>0.98873246270477799</v>
      </c>
      <c r="AL5129">
        <v>81.683954859927297</v>
      </c>
      <c r="AM5129">
        <v>104.131461393577</v>
      </c>
      <c r="AN5129">
        <v>0.99999998163180404</v>
      </c>
    </row>
    <row r="5130" spans="1:40" x14ac:dyDescent="0.25">
      <c r="A5130" t="str">
        <f>"20190312164410323"</f>
        <v>20190312164410323</v>
      </c>
      <c r="B5130" t="str">
        <f>"1552380250320273"</f>
        <v>1552380250320273</v>
      </c>
      <c r="C5130" t="s">
        <v>40</v>
      </c>
      <c r="D5130">
        <v>4.7964330000000004</v>
      </c>
      <c r="E5130">
        <v>0.41307109999999903</v>
      </c>
      <c r="F5130" t="s">
        <v>41</v>
      </c>
      <c r="G5130">
        <v>-208.4512</v>
      </c>
      <c r="H5130">
        <v>1.00827</v>
      </c>
      <c r="I5130">
        <v>-61.476230000000001</v>
      </c>
      <c r="J5130">
        <v>-209.08459999999999</v>
      </c>
      <c r="K5130">
        <v>1.1170610000000001</v>
      </c>
      <c r="L5130">
        <v>-62.016820000000003</v>
      </c>
      <c r="M5130">
        <v>0.98875279999999999</v>
      </c>
      <c r="N5130">
        <v>0</v>
      </c>
      <c r="O5130">
        <v>0.14881429999999901</v>
      </c>
      <c r="P5130">
        <v>0.91432599999999997</v>
      </c>
      <c r="Q5130">
        <v>0.1346512</v>
      </c>
      <c r="R5130">
        <v>0.38193880000000002</v>
      </c>
      <c r="S5130">
        <v>2.570541</v>
      </c>
      <c r="T5130">
        <v>-0.35246179999999999</v>
      </c>
      <c r="U5130">
        <v>1.8354189999999999</v>
      </c>
      <c r="V5130">
        <v>-0.2442115</v>
      </c>
      <c r="W5130">
        <v>0.14465120000000001</v>
      </c>
      <c r="X5130">
        <v>0.95887259999999996</v>
      </c>
      <c r="Y5130">
        <v>-0.45166190000000001</v>
      </c>
      <c r="Z5130">
        <v>9.7050049999999992E-3</v>
      </c>
      <c r="AA5130">
        <v>0.89213639999999905</v>
      </c>
      <c r="AB5130">
        <v>39</v>
      </c>
      <c r="AC5130">
        <v>0.63339999999999397</v>
      </c>
      <c r="AD5130">
        <v>-0.108791</v>
      </c>
      <c r="AE5130">
        <v>0.54058999999998703</v>
      </c>
      <c r="AF5130">
        <v>-0.43291091763768902</v>
      </c>
      <c r="AG5130">
        <v>-0.108791</v>
      </c>
      <c r="AH5130">
        <v>0.69494086171450098</v>
      </c>
      <c r="AI5130">
        <v>97.568794713691005</v>
      </c>
      <c r="AJ5130">
        <v>121.920694358532</v>
      </c>
      <c r="AK5130">
        <v>0.82594802837188197</v>
      </c>
      <c r="AL5130">
        <v>81.682918056460593</v>
      </c>
      <c r="AM5130">
        <v>104.28866222948</v>
      </c>
      <c r="AN5130">
        <v>0.99999994471222298</v>
      </c>
    </row>
    <row r="5131" spans="1:40" x14ac:dyDescent="0.25">
      <c r="A5131" t="str">
        <f>"20190312164410331"</f>
        <v>20190312164410331</v>
      </c>
      <c r="B5131" t="str">
        <f>"1552380250320273"</f>
        <v>1552380250320273</v>
      </c>
      <c r="C5131" t="s">
        <v>40</v>
      </c>
      <c r="D5131">
        <v>4.7964330000000004</v>
      </c>
      <c r="E5131">
        <v>0.41307109999999903</v>
      </c>
      <c r="F5131" t="s">
        <v>41</v>
      </c>
      <c r="G5131">
        <v>-208.14349999999999</v>
      </c>
      <c r="H5131">
        <v>0.98928389999999999</v>
      </c>
      <c r="I5131">
        <v>-61.340519999999998</v>
      </c>
      <c r="J5131">
        <v>-208.9091</v>
      </c>
      <c r="K5131">
        <v>1.1170549999999999</v>
      </c>
      <c r="L5131">
        <v>-61.987609999999997</v>
      </c>
      <c r="M5131">
        <v>0.98826239999999999</v>
      </c>
      <c r="N5131">
        <v>0</v>
      </c>
      <c r="O5131">
        <v>0.15203620000000001</v>
      </c>
      <c r="P5131">
        <v>0.91212950000000004</v>
      </c>
      <c r="Q5131">
        <v>0.1342817</v>
      </c>
      <c r="R5131">
        <v>0.38728370000000001</v>
      </c>
      <c r="S5131">
        <v>2.5630039999999998</v>
      </c>
      <c r="T5131">
        <v>-0.34799459999999999</v>
      </c>
      <c r="U5131">
        <v>1.8417969999999999</v>
      </c>
      <c r="V5131">
        <v>-0.24668999999999999</v>
      </c>
      <c r="W5131">
        <v>0.14423039999999901</v>
      </c>
      <c r="X5131">
        <v>0.95830139999999997</v>
      </c>
      <c r="Y5131">
        <v>-0.45152379999999998</v>
      </c>
      <c r="Z5131">
        <v>9.2137920000000002E-3</v>
      </c>
      <c r="AA5131">
        <v>0.89221149999999905</v>
      </c>
      <c r="AB5131">
        <v>39</v>
      </c>
      <c r="AC5131">
        <v>0.76560000000000605</v>
      </c>
      <c r="AD5131">
        <v>-0.127771099999999</v>
      </c>
      <c r="AE5131">
        <v>0.64708999999999794</v>
      </c>
      <c r="AF5131">
        <v>-0.51479051696483702</v>
      </c>
      <c r="AG5131">
        <v>-0.127771099999999</v>
      </c>
      <c r="AH5131">
        <v>0.84141989419160501</v>
      </c>
      <c r="AI5131">
        <v>97.380539669638907</v>
      </c>
      <c r="AJ5131">
        <v>121.45878166828</v>
      </c>
      <c r="AK5131">
        <v>0.99464675573469097</v>
      </c>
      <c r="AL5131">
        <v>81.707283834293193</v>
      </c>
      <c r="AM5131">
        <v>104.435893700791</v>
      </c>
      <c r="AN5131">
        <v>0.99999996881305897</v>
      </c>
    </row>
    <row r="5132" spans="1:40" x14ac:dyDescent="0.25">
      <c r="A5132" t="str">
        <f>"20190312164410344"</f>
        <v>20190312164410344</v>
      </c>
      <c r="B5132" t="str">
        <f>"1552380250339794"</f>
        <v>1552380250339794</v>
      </c>
      <c r="C5132" t="s">
        <v>40</v>
      </c>
      <c r="D5132">
        <v>4.6411319999999998</v>
      </c>
      <c r="E5132">
        <v>0.41349069999999999</v>
      </c>
      <c r="F5132" t="s">
        <v>41</v>
      </c>
      <c r="G5132">
        <v>-208.1163</v>
      </c>
      <c r="H5132">
        <v>1.0084310000000001</v>
      </c>
      <c r="I5132">
        <v>-61.411029999999997</v>
      </c>
      <c r="J5132">
        <v>-208.7183</v>
      </c>
      <c r="K5132">
        <v>1.1170469999999999</v>
      </c>
      <c r="L5132">
        <v>-61.955539999999999</v>
      </c>
      <c r="M5132">
        <v>0.98771699999999996</v>
      </c>
      <c r="N5132">
        <v>0</v>
      </c>
      <c r="O5132">
        <v>0.1555416</v>
      </c>
      <c r="P5132">
        <v>0.90989339999999996</v>
      </c>
      <c r="Q5132">
        <v>0.1336273</v>
      </c>
      <c r="R5132">
        <v>0.3927312</v>
      </c>
      <c r="S5132">
        <v>2.5523829999999998</v>
      </c>
      <c r="T5132">
        <v>-0.34969289999999997</v>
      </c>
      <c r="U5132">
        <v>1.8561099999999999</v>
      </c>
      <c r="V5132">
        <v>-0.24899950000000001</v>
      </c>
      <c r="W5132">
        <v>0.14350929999999901</v>
      </c>
      <c r="X5132">
        <v>0.9578122</v>
      </c>
      <c r="Y5132">
        <v>-0.45338699999999998</v>
      </c>
      <c r="Z5132">
        <v>8.9779159999999903E-3</v>
      </c>
      <c r="AA5132">
        <v>0.89126859999999997</v>
      </c>
      <c r="AB5132">
        <v>39</v>
      </c>
      <c r="AC5132">
        <v>0.60200000000000298</v>
      </c>
      <c r="AD5132">
        <v>-0.108616</v>
      </c>
      <c r="AE5132">
        <v>0.54450999999999505</v>
      </c>
      <c r="AF5132">
        <v>-0.43642097640120098</v>
      </c>
      <c r="AG5132">
        <v>-0.108616</v>
      </c>
      <c r="AH5132">
        <v>0.66742482613666598</v>
      </c>
      <c r="AI5132">
        <v>97.756238979207694</v>
      </c>
      <c r="AJ5132">
        <v>123.18018468183</v>
      </c>
      <c r="AK5132">
        <v>0.80480842605090597</v>
      </c>
      <c r="AL5132">
        <v>81.749033931189302</v>
      </c>
      <c r="AM5132">
        <v>104.572441548139</v>
      </c>
      <c r="AN5132">
        <v>0.99999994032778805</v>
      </c>
    </row>
    <row r="5133" spans="1:40" x14ac:dyDescent="0.25">
      <c r="A5133" t="str">
        <f>"20190312164410355"</f>
        <v>20190312164410355</v>
      </c>
      <c r="B5133" t="str">
        <f>"1552380250350532"</f>
        <v>1552380250350532</v>
      </c>
      <c r="C5133" t="s">
        <v>40</v>
      </c>
      <c r="D5133">
        <v>4.6047929999999999</v>
      </c>
      <c r="E5133">
        <v>0.41363290000000003</v>
      </c>
      <c r="F5133" t="s">
        <v>41</v>
      </c>
      <c r="G5133">
        <v>-207.8049</v>
      </c>
      <c r="H5133">
        <v>0.99105080000000001</v>
      </c>
      <c r="I5133">
        <v>-61.284599999999998</v>
      </c>
      <c r="J5133">
        <v>-208.5138</v>
      </c>
      <c r="K5133">
        <v>1.1170359999999999</v>
      </c>
      <c r="L5133">
        <v>-61.920140000000004</v>
      </c>
      <c r="M5133">
        <v>0.98711789999999999</v>
      </c>
      <c r="N5133">
        <v>0</v>
      </c>
      <c r="O5133">
        <v>0.1593069</v>
      </c>
      <c r="P5133">
        <v>0.90761729999999996</v>
      </c>
      <c r="Q5133">
        <v>0.13274900000000001</v>
      </c>
      <c r="R5133">
        <v>0.39825709999999998</v>
      </c>
      <c r="S5133">
        <v>2.5424190000000002</v>
      </c>
      <c r="T5133">
        <v>-0.35071829999999998</v>
      </c>
      <c r="U5133">
        <v>1.867737</v>
      </c>
      <c r="V5133">
        <v>-0.2511446</v>
      </c>
      <c r="W5133">
        <v>0.1425022</v>
      </c>
      <c r="X5133">
        <v>0.95740250000000005</v>
      </c>
      <c r="Y5133">
        <v>-0.45430609999999999</v>
      </c>
      <c r="Z5133">
        <v>8.6336599999999996E-3</v>
      </c>
      <c r="AA5133">
        <v>0.89080380000000003</v>
      </c>
      <c r="AB5133">
        <v>39</v>
      </c>
      <c r="AC5133">
        <v>0.70889999999999898</v>
      </c>
      <c r="AD5133">
        <v>-0.12598519999999999</v>
      </c>
      <c r="AE5133">
        <v>0.63554000000000599</v>
      </c>
      <c r="AF5133">
        <v>-0.50562308985507998</v>
      </c>
      <c r="AG5133">
        <v>-0.12598519999999999</v>
      </c>
      <c r="AH5133">
        <v>0.78731555910613205</v>
      </c>
      <c r="AI5133">
        <v>97.668403539959101</v>
      </c>
      <c r="AJ5133">
        <v>122.709042465943</v>
      </c>
      <c r="AK5133">
        <v>0.94413599085314004</v>
      </c>
      <c r="AL5133">
        <v>81.807336384267003</v>
      </c>
      <c r="AM5133">
        <v>104.69858654517699</v>
      </c>
      <c r="AN5133">
        <v>1.00000001706012</v>
      </c>
    </row>
    <row r="5134" spans="1:40" x14ac:dyDescent="0.25">
      <c r="A5134" t="str">
        <f>"20190312164410378"</f>
        <v>20190312164410378</v>
      </c>
      <c r="B5134" t="str">
        <f>"1552380250370049"</f>
        <v>1552380250370049</v>
      </c>
      <c r="C5134" t="s">
        <v>40</v>
      </c>
      <c r="D5134">
        <v>4.5948769999999897</v>
      </c>
      <c r="E5134">
        <v>0.41382669999999999</v>
      </c>
      <c r="F5134" t="s">
        <v>41</v>
      </c>
      <c r="G5134">
        <v>-207.77109999999999</v>
      </c>
      <c r="H5134">
        <v>1.01302</v>
      </c>
      <c r="I5134">
        <v>-61.368040000000001</v>
      </c>
      <c r="J5134">
        <v>-208.13310000000001</v>
      </c>
      <c r="K5134">
        <v>1.1170089999999999</v>
      </c>
      <c r="L5134">
        <v>-61.852290000000004</v>
      </c>
      <c r="M5134">
        <v>0.98590049999999996</v>
      </c>
      <c r="N5134">
        <v>0</v>
      </c>
      <c r="O5134">
        <v>0.16667960000000001</v>
      </c>
      <c r="P5134">
        <v>0.90335430000000005</v>
      </c>
      <c r="Q5134">
        <v>0.13040739999999901</v>
      </c>
      <c r="R5134">
        <v>0.40858879999999997</v>
      </c>
      <c r="S5134">
        <v>2.5314030000000001</v>
      </c>
      <c r="T5134">
        <v>-0.35453709999999899</v>
      </c>
      <c r="U5134">
        <v>1.8819889999999999</v>
      </c>
      <c r="V5134">
        <v>-0.25482860000000002</v>
      </c>
      <c r="W5134">
        <v>0.1400206</v>
      </c>
      <c r="X5134">
        <v>0.95679499999999995</v>
      </c>
      <c r="Y5134">
        <v>-0.4527525</v>
      </c>
      <c r="Z5134">
        <v>7.7669729999999999E-3</v>
      </c>
      <c r="AA5134">
        <v>0.89160239999999902</v>
      </c>
      <c r="AB5134">
        <v>39</v>
      </c>
      <c r="AC5134">
        <v>0.36200000000002303</v>
      </c>
      <c r="AD5134">
        <v>-0.103988999999999</v>
      </c>
      <c r="AE5134">
        <v>0.48425000000000301</v>
      </c>
      <c r="AF5134">
        <v>-0.405144536305383</v>
      </c>
      <c r="AG5134">
        <v>-0.103988999999999</v>
      </c>
      <c r="AH5134">
        <v>0.42508321124593801</v>
      </c>
      <c r="AI5134">
        <v>100.04207484427999</v>
      </c>
      <c r="AJ5134">
        <v>133.624254163459</v>
      </c>
      <c r="AK5134">
        <v>0.59636527724395805</v>
      </c>
      <c r="AL5134">
        <v>81.950961944314301</v>
      </c>
      <c r="AM5134">
        <v>104.91370798548699</v>
      </c>
      <c r="AN5134">
        <v>1.0000000279136501</v>
      </c>
    </row>
    <row r="5135" spans="1:40" x14ac:dyDescent="0.25">
      <c r="A5135" t="str">
        <f>"20190312164410390"</f>
        <v>20190312164410390</v>
      </c>
      <c r="B5135" t="str">
        <f>"1552380250379810"</f>
        <v>1552380250379810</v>
      </c>
      <c r="C5135" t="s">
        <v>40</v>
      </c>
      <c r="D5135">
        <v>4.5720679999999998</v>
      </c>
      <c r="E5135">
        <v>0.41402749999999999</v>
      </c>
      <c r="F5135" t="s">
        <v>41</v>
      </c>
      <c r="G5135">
        <v>-207.38669999999999</v>
      </c>
      <c r="H5135">
        <v>1.0079320000000001</v>
      </c>
      <c r="I5135">
        <v>-61.284840000000003</v>
      </c>
      <c r="J5135">
        <v>-207.93960000000001</v>
      </c>
      <c r="K5135">
        <v>1.1170150000000001</v>
      </c>
      <c r="L5135">
        <v>-61.816409999999998</v>
      </c>
      <c r="M5135">
        <v>0.98521930000000002</v>
      </c>
      <c r="N5135">
        <v>0</v>
      </c>
      <c r="O5135">
        <v>0.1706599</v>
      </c>
      <c r="P5135">
        <v>0.90115659999999997</v>
      </c>
      <c r="Q5135">
        <v>0.12936539999999999</v>
      </c>
      <c r="R5135">
        <v>0.41374109999999997</v>
      </c>
      <c r="S5135">
        <v>2.5106350000000002</v>
      </c>
      <c r="T5135">
        <v>-0.36687910000000001</v>
      </c>
      <c r="U5135">
        <v>1.9086000000000001</v>
      </c>
      <c r="V5135">
        <v>-0.25639410000000001</v>
      </c>
      <c r="W5135">
        <v>0.13894409999999999</v>
      </c>
      <c r="X5135">
        <v>0.95653370000000004</v>
      </c>
      <c r="Y5135">
        <v>-0.4585418</v>
      </c>
      <c r="Z5135">
        <v>7.9499730000000008E-3</v>
      </c>
      <c r="AA5135">
        <v>0.88863719999999902</v>
      </c>
      <c r="AB5135">
        <v>39</v>
      </c>
      <c r="AC5135">
        <v>0.55290000000002204</v>
      </c>
      <c r="AD5135">
        <v>-0.109082999999999</v>
      </c>
      <c r="AE5135">
        <v>0.53156999999999499</v>
      </c>
      <c r="AF5135">
        <v>-0.42088849974321102</v>
      </c>
      <c r="AG5135">
        <v>-0.109082999999999</v>
      </c>
      <c r="AH5135">
        <v>0.62291477417114904</v>
      </c>
      <c r="AI5135">
        <v>98.256001211278402</v>
      </c>
      <c r="AJ5135">
        <v>124.045946122857</v>
      </c>
      <c r="AK5135">
        <v>0.75965060783611904</v>
      </c>
      <c r="AL5135">
        <v>82.013249987801601</v>
      </c>
      <c r="AM5135">
        <v>105.00512289129</v>
      </c>
      <c r="AN5135">
        <v>1.00000005833765</v>
      </c>
    </row>
    <row r="5136" spans="1:40" x14ac:dyDescent="0.25">
      <c r="A5136" t="str">
        <f>"20190312164410401"</f>
        <v>20190312164410401</v>
      </c>
      <c r="B5136" t="str">
        <f>"1552380250390546"</f>
        <v>1552380250390546</v>
      </c>
      <c r="C5136" t="s">
        <v>40</v>
      </c>
      <c r="D5136">
        <v>4.5841000000000003</v>
      </c>
      <c r="E5136">
        <v>0.41423209999999999</v>
      </c>
      <c r="F5136" t="s">
        <v>41</v>
      </c>
      <c r="G5136">
        <v>-207.1225</v>
      </c>
      <c r="H5136">
        <v>0.99624809999999997</v>
      </c>
      <c r="I5136">
        <v>-61.188749999999999</v>
      </c>
      <c r="J5136">
        <v>-207.751</v>
      </c>
      <c r="K5136">
        <v>1.117024</v>
      </c>
      <c r="L5136">
        <v>-61.78116</v>
      </c>
      <c r="M5136">
        <v>0.98453009999999996</v>
      </c>
      <c r="N5136">
        <v>0</v>
      </c>
      <c r="O5136">
        <v>0.1745902</v>
      </c>
      <c r="P5136">
        <v>0.89889909999999995</v>
      </c>
      <c r="Q5136">
        <v>0.12875410000000001</v>
      </c>
      <c r="R5136">
        <v>0.41881119999999999</v>
      </c>
      <c r="S5136">
        <v>2.5001829999999998</v>
      </c>
      <c r="T5136">
        <v>-0.36954959999999998</v>
      </c>
      <c r="U5136">
        <v>1.920868</v>
      </c>
      <c r="V5136">
        <v>-0.25794919999999999</v>
      </c>
      <c r="W5136">
        <v>0.13830229999999999</v>
      </c>
      <c r="X5136">
        <v>0.95620850000000002</v>
      </c>
      <c r="Y5136">
        <v>-0.45952209999999899</v>
      </c>
      <c r="Z5136">
        <v>7.5979569999999998E-3</v>
      </c>
      <c r="AA5136">
        <v>0.88813390000000003</v>
      </c>
      <c r="AB5136">
        <v>39</v>
      </c>
      <c r="AC5136">
        <v>0.62849999999997397</v>
      </c>
      <c r="AD5136">
        <v>-0.12077590000000001</v>
      </c>
      <c r="AE5136">
        <v>0.59241000000000099</v>
      </c>
      <c r="AF5136">
        <v>-0.46448462709176902</v>
      </c>
      <c r="AG5136">
        <v>-0.12077590000000001</v>
      </c>
      <c r="AH5136">
        <v>0.70843220138303697</v>
      </c>
      <c r="AI5136">
        <v>98.114056365268397</v>
      </c>
      <c r="AJ5136">
        <v>123.250911973344</v>
      </c>
      <c r="AK5136">
        <v>0.85569210045541899</v>
      </c>
      <c r="AL5136">
        <v>82.050380488332195</v>
      </c>
      <c r="AM5136">
        <v>105.096891470581</v>
      </c>
      <c r="AN5136">
        <v>1.0000000057190801</v>
      </c>
    </row>
    <row r="5137" spans="1:40" x14ac:dyDescent="0.25">
      <c r="A5137" t="str">
        <f>"20190312164410412"</f>
        <v>20190312164410412</v>
      </c>
      <c r="B5137" t="str">
        <f>"1552380250400306"</f>
        <v>1552380250400306</v>
      </c>
      <c r="C5137" t="s">
        <v>40</v>
      </c>
      <c r="D5137">
        <v>4.5881910000000001</v>
      </c>
      <c r="E5137">
        <v>0.41451389999999999</v>
      </c>
      <c r="F5137" t="s">
        <v>50</v>
      </c>
      <c r="G5137">
        <v>-200.27969999999999</v>
      </c>
      <c r="H5137" s="1">
        <v>-6.2901089999999997E-6</v>
      </c>
      <c r="I5137">
        <v>-55.980710000000002</v>
      </c>
      <c r="J5137">
        <v>-207.56809999999999</v>
      </c>
      <c r="K5137">
        <v>1.117092</v>
      </c>
      <c r="L5137">
        <v>-61.745640000000002</v>
      </c>
      <c r="M5137">
        <v>0.9838247</v>
      </c>
      <c r="N5137">
        <v>0</v>
      </c>
      <c r="O5137">
        <v>0.1785215</v>
      </c>
      <c r="P5137">
        <v>0.89666380000000001</v>
      </c>
      <c r="Q5137">
        <v>0.12844239999999901</v>
      </c>
      <c r="R5137">
        <v>0.4236704</v>
      </c>
      <c r="S5137">
        <v>2.4900509999999998</v>
      </c>
      <c r="T5137">
        <v>-0.37228260000000002</v>
      </c>
      <c r="U5137">
        <v>1.9331670000000001</v>
      </c>
      <c r="V5137">
        <v>-0.2593201</v>
      </c>
      <c r="W5137">
        <v>0.13792499999999999</v>
      </c>
      <c r="X5137">
        <v>0.95589210000000002</v>
      </c>
      <c r="Y5137">
        <v>-0.46045259999999999</v>
      </c>
      <c r="Z5137">
        <v>7.2361619999999896E-3</v>
      </c>
      <c r="AA5137">
        <v>0.88765479999999997</v>
      </c>
      <c r="AB5137">
        <v>39</v>
      </c>
      <c r="AC5137">
        <v>7.2883999999999904</v>
      </c>
      <c r="AD5137">
        <v>-1.1170982901090001</v>
      </c>
      <c r="AE5137">
        <v>5.7649299999999997</v>
      </c>
      <c r="AF5137">
        <v>-4.3087578087503404</v>
      </c>
      <c r="AG5137">
        <v>-1.1170982901090001</v>
      </c>
      <c r="AH5137">
        <v>8.0837526979170207</v>
      </c>
      <c r="AI5137">
        <v>96.952831195870601</v>
      </c>
      <c r="AJ5137">
        <v>118.05826495687199</v>
      </c>
      <c r="AK5137">
        <v>9.2282371082082708</v>
      </c>
      <c r="AL5137">
        <v>82.072207028377605</v>
      </c>
      <c r="AM5137">
        <v>105.17822630066701</v>
      </c>
      <c r="AN5137">
        <v>0.99999996336570895</v>
      </c>
    </row>
    <row r="5138" spans="1:40" x14ac:dyDescent="0.25">
      <c r="A5138" t="str">
        <f>"20190312164410425"</f>
        <v>20190312164410425</v>
      </c>
      <c r="B5138" t="str">
        <f>"1552380250419825"</f>
        <v>1552380250419825</v>
      </c>
      <c r="C5138" t="s">
        <v>40</v>
      </c>
      <c r="D5138">
        <v>4.5612309999999896</v>
      </c>
      <c r="E5138">
        <v>0.41478559999999998</v>
      </c>
      <c r="F5138" t="s">
        <v>41</v>
      </c>
      <c r="G5138">
        <v>-206.78489999999999</v>
      </c>
      <c r="H5138">
        <v>0.99937540000000002</v>
      </c>
      <c r="I5138">
        <v>-61.13176</v>
      </c>
      <c r="J5138">
        <v>-207.34620000000001</v>
      </c>
      <c r="K5138">
        <v>1.1171949999999999</v>
      </c>
      <c r="L5138">
        <v>-61.701970000000003</v>
      </c>
      <c r="M5138">
        <v>0.98294309999999996</v>
      </c>
      <c r="N5138">
        <v>0</v>
      </c>
      <c r="O5138">
        <v>0.183312</v>
      </c>
      <c r="P5138">
        <v>0.89403690000000002</v>
      </c>
      <c r="Q5138">
        <v>0.1279274</v>
      </c>
      <c r="R5138">
        <v>0.4293399</v>
      </c>
      <c r="S5138">
        <v>2.480515</v>
      </c>
      <c r="T5138">
        <v>-0.37279370000000001</v>
      </c>
      <c r="U5138">
        <v>1.9442140000000001</v>
      </c>
      <c r="V5138">
        <v>-0.26073410000000002</v>
      </c>
      <c r="W5138">
        <v>0.13732</v>
      </c>
      <c r="X5138">
        <v>0.95559459999999996</v>
      </c>
      <c r="Y5138">
        <v>-0.46026230000000001</v>
      </c>
      <c r="Z5138">
        <v>6.6441349999999998E-3</v>
      </c>
      <c r="AA5138">
        <v>0.88775809999999999</v>
      </c>
      <c r="AB5138">
        <v>39</v>
      </c>
      <c r="AC5138">
        <v>0.56130000000001701</v>
      </c>
      <c r="AD5138">
        <v>-0.1178196</v>
      </c>
      <c r="AE5138">
        <v>0.570209999999995</v>
      </c>
      <c r="AF5138">
        <v>-0.44792872195668099</v>
      </c>
      <c r="AG5138">
        <v>-0.1178196</v>
      </c>
      <c r="AH5138">
        <v>0.64239523716857105</v>
      </c>
      <c r="AI5138">
        <v>98.555682703376903</v>
      </c>
      <c r="AJ5138">
        <v>124.88725510219901</v>
      </c>
      <c r="AK5138">
        <v>0.79195532628726595</v>
      </c>
      <c r="AL5138">
        <v>82.107204641229103</v>
      </c>
      <c r="AM5138">
        <v>105.261669767697</v>
      </c>
      <c r="AN5138">
        <v>1.0000000464259799</v>
      </c>
    </row>
    <row r="5139" spans="1:40" x14ac:dyDescent="0.25">
      <c r="A5139" t="str">
        <f>"20190312164410438"</f>
        <v>20190312164410438</v>
      </c>
      <c r="B5139" t="str">
        <f>"1552380250430561"</f>
        <v>1552380250430561</v>
      </c>
      <c r="C5139" t="s">
        <v>40</v>
      </c>
      <c r="D5139">
        <v>4.5302319999999998</v>
      </c>
      <c r="E5139">
        <v>0.41502480000000003</v>
      </c>
      <c r="F5139" t="s">
        <v>41</v>
      </c>
      <c r="G5139">
        <v>-206.47409999999999</v>
      </c>
      <c r="H5139">
        <v>0.98593149999999996</v>
      </c>
      <c r="I5139">
        <v>-61.010800000000003</v>
      </c>
      <c r="J5139">
        <v>-207.11429999999999</v>
      </c>
      <c r="K5139">
        <v>1.1173470000000001</v>
      </c>
      <c r="L5139">
        <v>-61.655090000000001</v>
      </c>
      <c r="M5139">
        <v>0.98198750000000001</v>
      </c>
      <c r="N5139">
        <v>0</v>
      </c>
      <c r="O5139">
        <v>0.188364</v>
      </c>
      <c r="P5139">
        <v>0.89123889999999995</v>
      </c>
      <c r="Q5139">
        <v>0.1278762</v>
      </c>
      <c r="R5139">
        <v>0.4351333</v>
      </c>
      <c r="S5139">
        <v>2.468979</v>
      </c>
      <c r="T5139">
        <v>-0.37163170000000001</v>
      </c>
      <c r="U5139">
        <v>1.9569700000000001</v>
      </c>
      <c r="V5139">
        <v>-0.26207589999999997</v>
      </c>
      <c r="W5139">
        <v>0.1371405</v>
      </c>
      <c r="X5139">
        <v>0.95525320000000002</v>
      </c>
      <c r="Y5139">
        <v>-0.4605747</v>
      </c>
      <c r="Z5139">
        <v>6.025903E-3</v>
      </c>
      <c r="AA5139">
        <v>0.88760049999999902</v>
      </c>
      <c r="AB5139">
        <v>39</v>
      </c>
      <c r="AC5139">
        <v>0.640199999999992</v>
      </c>
      <c r="AD5139">
        <v>-0.13141549999999899</v>
      </c>
      <c r="AE5139">
        <v>0.64428999999999703</v>
      </c>
      <c r="AF5139">
        <v>-0.50164868196369805</v>
      </c>
      <c r="AG5139">
        <v>-0.13141549999999899</v>
      </c>
      <c r="AH5139">
        <v>0.73473075409199795</v>
      </c>
      <c r="AI5139">
        <v>98.402717900420498</v>
      </c>
      <c r="AJ5139">
        <v>124.323906305514</v>
      </c>
      <c r="AK5139">
        <v>0.89930568482844697</v>
      </c>
      <c r="AL5139">
        <v>82.117586976810401</v>
      </c>
      <c r="AM5139">
        <v>105.34174352694799</v>
      </c>
      <c r="AN5139">
        <v>0.99999998510564903</v>
      </c>
    </row>
    <row r="5140" spans="1:40" x14ac:dyDescent="0.25">
      <c r="A5140" t="str">
        <f>"20190312164410451"</f>
        <v>20190312164410451</v>
      </c>
      <c r="B5140" t="str">
        <f>"1552380250440321"</f>
        <v>1552380250440321</v>
      </c>
      <c r="C5140" t="s">
        <v>40</v>
      </c>
      <c r="D5140">
        <v>4.472982</v>
      </c>
      <c r="E5140">
        <v>0.41500500000000001</v>
      </c>
      <c r="F5140" t="s">
        <v>41</v>
      </c>
      <c r="G5140">
        <v>-206.3878</v>
      </c>
      <c r="H5140">
        <v>1.007169</v>
      </c>
      <c r="I5140">
        <v>-61.072479999999999</v>
      </c>
      <c r="J5140">
        <v>-206.9271</v>
      </c>
      <c r="K5140">
        <v>1.117491</v>
      </c>
      <c r="L5140">
        <v>-61.616</v>
      </c>
      <c r="M5140">
        <v>0.98118939999999999</v>
      </c>
      <c r="N5140">
        <v>0</v>
      </c>
      <c r="O5140">
        <v>0.1924786</v>
      </c>
      <c r="P5140">
        <v>0.88887059999999996</v>
      </c>
      <c r="Q5140">
        <v>0.127827</v>
      </c>
      <c r="R5140">
        <v>0.43996560000000001</v>
      </c>
      <c r="S5140">
        <v>2.4572910000000001</v>
      </c>
      <c r="T5140">
        <v>-0.37269720000000001</v>
      </c>
      <c r="U5140">
        <v>1.9709779999999999</v>
      </c>
      <c r="V5140">
        <v>-0.26330589999999998</v>
      </c>
      <c r="W5140">
        <v>0.13696949999999999</v>
      </c>
      <c r="X5140">
        <v>0.95493939999999999</v>
      </c>
      <c r="Y5140">
        <v>-0.4619994</v>
      </c>
      <c r="Z5140">
        <v>5.6339739999999999E-3</v>
      </c>
      <c r="AA5140">
        <v>0.88686229999999999</v>
      </c>
      <c r="AB5140">
        <v>39</v>
      </c>
      <c r="AC5140">
        <v>0.539299999999997</v>
      </c>
      <c r="AD5140">
        <v>-0.110322</v>
      </c>
      <c r="AE5140">
        <v>0.54352</v>
      </c>
      <c r="AF5140">
        <v>-0.42080343057519998</v>
      </c>
      <c r="AG5140">
        <v>-0.110322</v>
      </c>
      <c r="AH5140">
        <v>0.62094978433566606</v>
      </c>
      <c r="AI5140">
        <v>98.366840857173997</v>
      </c>
      <c r="AJ5140">
        <v>124.124593080209</v>
      </c>
      <c r="AK5140">
        <v>0.75817221363906995</v>
      </c>
      <c r="AL5140">
        <v>82.127477607729404</v>
      </c>
      <c r="AM5140">
        <v>105.41515481798299</v>
      </c>
      <c r="AN5140">
        <v>0.99999994928870795</v>
      </c>
    </row>
    <row r="5141" spans="1:40" x14ac:dyDescent="0.25">
      <c r="A5141" t="str">
        <f>"20190312164410463"</f>
        <v>20190312164410463</v>
      </c>
      <c r="B5141" t="str">
        <f>"1552380250459842"</f>
        <v>1552380250459842</v>
      </c>
      <c r="C5141" t="s">
        <v>40</v>
      </c>
      <c r="D5141">
        <v>4.5175650000000003</v>
      </c>
      <c r="E5141">
        <v>0.41497400000000001</v>
      </c>
      <c r="F5141" t="s">
        <v>41</v>
      </c>
      <c r="G5141">
        <v>-206.12950000000001</v>
      </c>
      <c r="H5141">
        <v>0.9971508</v>
      </c>
      <c r="I5141">
        <v>-60.969050000000003</v>
      </c>
      <c r="J5141">
        <v>-206.7089</v>
      </c>
      <c r="K5141">
        <v>1.1176630000000001</v>
      </c>
      <c r="L5141">
        <v>-61.569760000000002</v>
      </c>
      <c r="M5141">
        <v>0.98023190000000004</v>
      </c>
      <c r="N5141">
        <v>0</v>
      </c>
      <c r="O5141">
        <v>0.1972962</v>
      </c>
      <c r="P5141">
        <v>0.886105699999999</v>
      </c>
      <c r="Q5141">
        <v>0.12770989999999999</v>
      </c>
      <c r="R5141">
        <v>0.44554110000000002</v>
      </c>
      <c r="S5141">
        <v>2.4460600000000001</v>
      </c>
      <c r="T5141">
        <v>-0.36906559999999999</v>
      </c>
      <c r="U5141">
        <v>1.9841</v>
      </c>
      <c r="V5141">
        <v>-0.26466909999999999</v>
      </c>
      <c r="W5141">
        <v>0.13670539999999901</v>
      </c>
      <c r="X5141">
        <v>0.95460040000000002</v>
      </c>
      <c r="Y5141">
        <v>-0.46256720000000001</v>
      </c>
      <c r="Z5141">
        <v>5.0288829999999996E-3</v>
      </c>
      <c r="AA5141">
        <v>0.88656999999999997</v>
      </c>
      <c r="AB5141">
        <v>39</v>
      </c>
      <c r="AC5141">
        <v>0.57939999999999203</v>
      </c>
      <c r="AD5141">
        <v>-0.120512199999999</v>
      </c>
      <c r="AE5141">
        <v>0.60070999999999197</v>
      </c>
      <c r="AF5141">
        <v>-0.46488104861673102</v>
      </c>
      <c r="AG5141">
        <v>-0.120512199999999</v>
      </c>
      <c r="AH5141">
        <v>0.67251758808005002</v>
      </c>
      <c r="AI5141">
        <v>98.385346034995493</v>
      </c>
      <c r="AJ5141">
        <v>124.65435504197001</v>
      </c>
      <c r="AK5141">
        <v>0.82638821747943503</v>
      </c>
      <c r="AL5141">
        <v>82.142753602908101</v>
      </c>
      <c r="AM5141">
        <v>105.49637605798701</v>
      </c>
      <c r="AN5141">
        <v>1.00000001128206</v>
      </c>
    </row>
    <row r="5142" spans="1:40" x14ac:dyDescent="0.25">
      <c r="A5142" t="str">
        <f>"20190312164410478"</f>
        <v>20190312164410478</v>
      </c>
      <c r="B5142" t="str">
        <f>"1552380250470578"</f>
        <v>1552380250470578</v>
      </c>
      <c r="C5142" t="s">
        <v>40</v>
      </c>
      <c r="D5142">
        <v>4.4817609999999997</v>
      </c>
      <c r="E5142">
        <v>0.41505150000000002</v>
      </c>
      <c r="F5142" t="s">
        <v>41</v>
      </c>
      <c r="G5142">
        <v>-205.82230000000001</v>
      </c>
      <c r="H5142">
        <v>0.98465590000000003</v>
      </c>
      <c r="I5142">
        <v>-60.841430000000003</v>
      </c>
      <c r="J5142">
        <v>-206.45079999999999</v>
      </c>
      <c r="K5142">
        <v>1.1178729999999999</v>
      </c>
      <c r="L5142">
        <v>-61.513240000000003</v>
      </c>
      <c r="M5142">
        <v>0.97904899999999995</v>
      </c>
      <c r="N5142">
        <v>0</v>
      </c>
      <c r="O5142">
        <v>0.20308580000000001</v>
      </c>
      <c r="P5142">
        <v>0.88236759999999903</v>
      </c>
      <c r="Q5142">
        <v>0.1278695</v>
      </c>
      <c r="R5142">
        <v>0.45285419999999998</v>
      </c>
      <c r="S5142">
        <v>2.433014</v>
      </c>
      <c r="T5142">
        <v>-0.36503740000000001</v>
      </c>
      <c r="U5142">
        <v>1.9991460000000001</v>
      </c>
      <c r="V5142">
        <v>-0.26700359999999901</v>
      </c>
      <c r="W5142">
        <v>0.13666619999999999</v>
      </c>
      <c r="X5142">
        <v>0.95395569999999996</v>
      </c>
      <c r="Y5142">
        <v>-0.46300409999999997</v>
      </c>
      <c r="Z5142">
        <v>4.3020510000000003E-3</v>
      </c>
      <c r="AA5142">
        <v>0.88634570000000001</v>
      </c>
      <c r="AB5142">
        <v>39</v>
      </c>
      <c r="AC5142">
        <v>0.62849999999997397</v>
      </c>
      <c r="AD5142">
        <v>-0.13321709999999901</v>
      </c>
      <c r="AE5142">
        <v>0.67181000000000002</v>
      </c>
      <c r="AF5142">
        <v>-0.51926520098138895</v>
      </c>
      <c r="AG5142">
        <v>-0.13321709999999901</v>
      </c>
      <c r="AH5142">
        <v>0.73640814827252898</v>
      </c>
      <c r="AI5142">
        <v>98.409841524520402</v>
      </c>
      <c r="AJ5142">
        <v>125.188901377055</v>
      </c>
      <c r="AK5142">
        <v>0.91086777609312097</v>
      </c>
      <c r="AL5142">
        <v>82.145020986266502</v>
      </c>
      <c r="AM5142">
        <v>105.63645425822899</v>
      </c>
      <c r="AN5142">
        <v>1.00000002509894</v>
      </c>
    </row>
    <row r="5143" spans="1:40" x14ac:dyDescent="0.25">
      <c r="A5143" t="str">
        <f>"20190312164410489"</f>
        <v>20190312164410489</v>
      </c>
      <c r="B5143" t="str">
        <f>"1552380250480338"</f>
        <v>1552380250480338</v>
      </c>
      <c r="C5143" t="s">
        <v>40</v>
      </c>
      <c r="D5143">
        <v>4.527374</v>
      </c>
      <c r="E5143">
        <v>0.41510350000000001</v>
      </c>
      <c r="F5143" t="s">
        <v>41</v>
      </c>
      <c r="G5143">
        <v>-205.75020000000001</v>
      </c>
      <c r="H5143">
        <v>1.012651</v>
      </c>
      <c r="I5143">
        <v>-60.928379999999997</v>
      </c>
      <c r="J5143">
        <v>-206.2689</v>
      </c>
      <c r="K5143">
        <v>1.11802</v>
      </c>
      <c r="L5143">
        <v>-61.472169999999998</v>
      </c>
      <c r="M5143">
        <v>0.97817670000000001</v>
      </c>
      <c r="N5143">
        <v>0</v>
      </c>
      <c r="O5143">
        <v>0.20724699999999999</v>
      </c>
      <c r="P5143">
        <v>0.8797296</v>
      </c>
      <c r="Q5143">
        <v>0.1279247</v>
      </c>
      <c r="R5143">
        <v>0.45794220000000002</v>
      </c>
      <c r="S5143">
        <v>2.4168090000000002</v>
      </c>
      <c r="T5143">
        <v>-0.36300640000000001</v>
      </c>
      <c r="U5143">
        <v>2.018097</v>
      </c>
      <c r="V5143">
        <v>-0.26850760000000001</v>
      </c>
      <c r="W5143">
        <v>0.13658919999999999</v>
      </c>
      <c r="X5143">
        <v>0.95354439999999996</v>
      </c>
      <c r="Y5143">
        <v>-0.46627220000000003</v>
      </c>
      <c r="Z5143">
        <v>3.9959160000000004E-3</v>
      </c>
      <c r="AA5143">
        <v>0.88463230000000004</v>
      </c>
      <c r="AB5143">
        <v>39</v>
      </c>
      <c r="AC5143">
        <v>0.51869999999999505</v>
      </c>
      <c r="AD5143">
        <v>-0.105369</v>
      </c>
      <c r="AE5143">
        <v>0.543789999999994</v>
      </c>
      <c r="AF5143">
        <v>-0.41628635590553398</v>
      </c>
      <c r="AG5143">
        <v>-0.105369</v>
      </c>
      <c r="AH5143">
        <v>0.60819053201556705</v>
      </c>
      <c r="AI5143">
        <v>98.136291978182498</v>
      </c>
      <c r="AJ5143">
        <v>124.390353118677</v>
      </c>
      <c r="AK5143">
        <v>0.74450834750692196</v>
      </c>
      <c r="AL5143">
        <v>82.149473787258799</v>
      </c>
      <c r="AM5143">
        <v>105.72663493803</v>
      </c>
      <c r="AN5143">
        <v>0.99999993179287705</v>
      </c>
    </row>
    <row r="5144" spans="1:40" x14ac:dyDescent="0.25">
      <c r="A5144" t="str">
        <f>"20190312164410499"</f>
        <v>20190312164410499</v>
      </c>
      <c r="B5144" t="str">
        <f>"1552380250490097"</f>
        <v>1552380250490097</v>
      </c>
      <c r="C5144" t="s">
        <v>40</v>
      </c>
      <c r="D5144">
        <v>4.4859739999999997</v>
      </c>
      <c r="E5144">
        <v>0.41520190000000001</v>
      </c>
      <c r="F5144" t="s">
        <v>41</v>
      </c>
      <c r="G5144">
        <v>-205.47569999999999</v>
      </c>
      <c r="H5144">
        <v>0.99879209999999996</v>
      </c>
      <c r="I5144">
        <v>-60.802439999999997</v>
      </c>
      <c r="J5144">
        <v>-206.08670000000001</v>
      </c>
      <c r="K5144">
        <v>1.11817099999999</v>
      </c>
      <c r="L5144">
        <v>-61.430729999999997</v>
      </c>
      <c r="M5144">
        <v>0.97728009999999998</v>
      </c>
      <c r="N5144">
        <v>0</v>
      </c>
      <c r="O5144">
        <v>0.21143480000000001</v>
      </c>
      <c r="P5144">
        <v>0.87706509999999904</v>
      </c>
      <c r="Q5144">
        <v>0.12808519999999901</v>
      </c>
      <c r="R5144">
        <v>0.46298050000000002</v>
      </c>
      <c r="S5144">
        <v>2.4054720000000001</v>
      </c>
      <c r="T5144">
        <v>-0.36158449999999998</v>
      </c>
      <c r="U5144">
        <v>2.0310359999999998</v>
      </c>
      <c r="V5144">
        <v>-0.26994849999999998</v>
      </c>
      <c r="W5144">
        <v>0.13661899999999999</v>
      </c>
      <c r="X5144">
        <v>0.95313329999999996</v>
      </c>
      <c r="Y5144">
        <v>-0.46734759999999997</v>
      </c>
      <c r="Z5144">
        <v>3.548004E-3</v>
      </c>
      <c r="AA5144">
        <v>0.88406649999999998</v>
      </c>
      <c r="AB5144">
        <v>39</v>
      </c>
      <c r="AC5144">
        <v>0.61100000000001797</v>
      </c>
      <c r="AD5144">
        <v>-0.119378899999999</v>
      </c>
      <c r="AE5144">
        <v>0.62828999999999902</v>
      </c>
      <c r="AF5144">
        <v>-0.47604877385222999</v>
      </c>
      <c r="AG5144">
        <v>-0.119378899999999</v>
      </c>
      <c r="AH5144">
        <v>0.71674148304365703</v>
      </c>
      <c r="AI5144">
        <v>97.898973646286393</v>
      </c>
      <c r="AJ5144">
        <v>123.59150686494</v>
      </c>
      <c r="AK5144">
        <v>0.86867261403076501</v>
      </c>
      <c r="AL5144">
        <v>82.147750878615597</v>
      </c>
      <c r="AM5144">
        <v>105.813298922155</v>
      </c>
      <c r="AN5144">
        <v>1.00000001569106</v>
      </c>
    </row>
    <row r="5145" spans="1:40" x14ac:dyDescent="0.25">
      <c r="A5145" t="str">
        <f>"20190312164410511"</f>
        <v>20190312164410511</v>
      </c>
      <c r="B5145" t="str">
        <f>"1552380250499858"</f>
        <v>1552380250499858</v>
      </c>
      <c r="C5145" t="s">
        <v>40</v>
      </c>
      <c r="D5145">
        <v>4.5054650000000001</v>
      </c>
      <c r="E5145">
        <v>0.41531430000000003</v>
      </c>
      <c r="F5145" t="s">
        <v>41</v>
      </c>
      <c r="G5145">
        <v>-205.38290000000001</v>
      </c>
      <c r="H5145">
        <v>1.0125299999999999</v>
      </c>
      <c r="I5145">
        <v>-60.8298699999999</v>
      </c>
      <c r="J5145">
        <v>-205.90520000000001</v>
      </c>
      <c r="K5145">
        <v>1.118309</v>
      </c>
      <c r="L5145">
        <v>-61.38785</v>
      </c>
      <c r="M5145">
        <v>0.97634140000000003</v>
      </c>
      <c r="N5145">
        <v>0</v>
      </c>
      <c r="O5145">
        <v>0.21572820000000001</v>
      </c>
      <c r="P5145">
        <v>0.8742356</v>
      </c>
      <c r="Q5145">
        <v>0.1281852</v>
      </c>
      <c r="R5145">
        <v>0.46827410000000003</v>
      </c>
      <c r="S5145">
        <v>2.3940890000000001</v>
      </c>
      <c r="T5145">
        <v>-0.3593539</v>
      </c>
      <c r="U5145">
        <v>2.0438540000000001</v>
      </c>
      <c r="V5145">
        <v>-0.27157120000000001</v>
      </c>
      <c r="W5145">
        <v>0.13659209999999999</v>
      </c>
      <c r="X5145">
        <v>0.95267610000000003</v>
      </c>
      <c r="Y5145">
        <v>-0.46831499999999998</v>
      </c>
      <c r="Z5145">
        <v>3.0759889999999999E-3</v>
      </c>
      <c r="AA5145">
        <v>0.88355620000000001</v>
      </c>
      <c r="AB5145">
        <v>39</v>
      </c>
      <c r="AC5145">
        <v>0.52230000000000099</v>
      </c>
      <c r="AD5145">
        <v>-0.105779</v>
      </c>
      <c r="AE5145">
        <v>0.55798000000000703</v>
      </c>
      <c r="AF5145">
        <v>-0.42402912979867002</v>
      </c>
      <c r="AG5145">
        <v>-0.105779</v>
      </c>
      <c r="AH5145">
        <v>0.61853603312731498</v>
      </c>
      <c r="AI5145">
        <v>98.028761526737895</v>
      </c>
      <c r="AJ5145">
        <v>124.43206665274</v>
      </c>
      <c r="AK5145">
        <v>0.75734848255984</v>
      </c>
      <c r="AL5145">
        <v>82.149306872662507</v>
      </c>
      <c r="AM5145">
        <v>105.91080651451701</v>
      </c>
      <c r="AN5145">
        <v>1.0000000349815199</v>
      </c>
    </row>
    <row r="5146" spans="1:40" x14ac:dyDescent="0.25">
      <c r="A5146" t="str">
        <f>"20190312164410523"</f>
        <v>20190312164410523</v>
      </c>
      <c r="B5146" t="str">
        <f>"1552380250520353"</f>
        <v>1552380250520353</v>
      </c>
      <c r="C5146" t="s">
        <v>40</v>
      </c>
      <c r="D5146">
        <v>4.5015859999999996</v>
      </c>
      <c r="E5146">
        <v>0.41549799999999998</v>
      </c>
      <c r="F5146" t="s">
        <v>41</v>
      </c>
      <c r="G5146">
        <v>-205.14359999999999</v>
      </c>
      <c r="H5146">
        <v>1.003878</v>
      </c>
      <c r="I5146">
        <v>-60.730310000000003</v>
      </c>
      <c r="J5146">
        <v>-205.71250000000001</v>
      </c>
      <c r="K5146">
        <v>1.1184540000000001</v>
      </c>
      <c r="L5146">
        <v>-61.34198</v>
      </c>
      <c r="M5146">
        <v>0.97531670000000004</v>
      </c>
      <c r="N5146">
        <v>0</v>
      </c>
      <c r="O5146">
        <v>0.22031519999999999</v>
      </c>
      <c r="P5146">
        <v>0.87121789999999999</v>
      </c>
      <c r="Q5146">
        <v>0.12813669999999999</v>
      </c>
      <c r="R5146">
        <v>0.47387810000000002</v>
      </c>
      <c r="S5146">
        <v>2.3822169999999998</v>
      </c>
      <c r="T5146">
        <v>-0.35794369999999998</v>
      </c>
      <c r="U5146">
        <v>2.0570979999999999</v>
      </c>
      <c r="V5146">
        <v>-0.27325440000000001</v>
      </c>
      <c r="W5146">
        <v>0.13640969999999999</v>
      </c>
      <c r="X5146">
        <v>0.95222079999999998</v>
      </c>
      <c r="Y5146">
        <v>-0.4691882</v>
      </c>
      <c r="Z5146">
        <v>2.5733209999999999E-3</v>
      </c>
      <c r="AA5146">
        <v>0.8830945</v>
      </c>
      <c r="AB5146">
        <v>39</v>
      </c>
      <c r="AC5146">
        <v>0.56890000000001295</v>
      </c>
      <c r="AD5146">
        <v>-0.114576</v>
      </c>
      <c r="AE5146">
        <v>0.61167000000001004</v>
      </c>
      <c r="AF5146">
        <v>-0.46258344530239498</v>
      </c>
      <c r="AG5146">
        <v>-0.114576</v>
      </c>
      <c r="AH5146">
        <v>0.67695745788693995</v>
      </c>
      <c r="AI5146">
        <v>97.955106882673903</v>
      </c>
      <c r="AJ5146">
        <v>124.34585790683801</v>
      </c>
      <c r="AK5146">
        <v>0.82787831438719395</v>
      </c>
      <c r="AL5146">
        <v>82.159856190229505</v>
      </c>
      <c r="AM5146">
        <v>106.011646198698</v>
      </c>
      <c r="AN5146">
        <v>1.0000000126630399</v>
      </c>
    </row>
    <row r="5147" spans="1:40" x14ac:dyDescent="0.25">
      <c r="A5147" t="str">
        <f>"20190312164410534"</f>
        <v>20190312164410534</v>
      </c>
      <c r="B5147" t="str">
        <f>"1552380250530113"</f>
        <v>1552380250530113</v>
      </c>
      <c r="C5147" t="s">
        <v>40</v>
      </c>
      <c r="D5147">
        <v>4.4923019999999996</v>
      </c>
      <c r="E5147">
        <v>0.41563030000000001</v>
      </c>
      <c r="F5147" t="s">
        <v>41</v>
      </c>
      <c r="G5147">
        <v>-204.8459</v>
      </c>
      <c r="H5147">
        <v>0.98805149999999997</v>
      </c>
      <c r="I5147">
        <v>-60.584719999999997</v>
      </c>
      <c r="J5147">
        <v>-205.51990000000001</v>
      </c>
      <c r="K5147">
        <v>1.1185959999999999</v>
      </c>
      <c r="L5147">
        <v>-61.294710000000002</v>
      </c>
      <c r="M5147">
        <v>0.97424149999999998</v>
      </c>
      <c r="N5147">
        <v>0</v>
      </c>
      <c r="O5147">
        <v>0.2250219</v>
      </c>
      <c r="P5147">
        <v>0.86818459999999997</v>
      </c>
      <c r="Q5147">
        <v>0.12818950000000001</v>
      </c>
      <c r="R5147">
        <v>0.47939870000000001</v>
      </c>
      <c r="S5147">
        <v>2.369583</v>
      </c>
      <c r="T5147">
        <v>-0.35658240000000002</v>
      </c>
      <c r="U5147">
        <v>2.0707089999999999</v>
      </c>
      <c r="V5147">
        <v>-0.27474779999999999</v>
      </c>
      <c r="W5147">
        <v>0.1363412</v>
      </c>
      <c r="X5147">
        <v>0.9518008</v>
      </c>
      <c r="Y5147">
        <v>-0.47016599999999997</v>
      </c>
      <c r="Z5147">
        <v>2.0667179999999999E-3</v>
      </c>
      <c r="AA5147">
        <v>0.88257559999999902</v>
      </c>
      <c r="AB5147">
        <v>39</v>
      </c>
      <c r="AC5147">
        <v>0.67400000000000604</v>
      </c>
      <c r="AD5147">
        <v>-0.13054449999999901</v>
      </c>
      <c r="AE5147">
        <v>0.70998999999999701</v>
      </c>
      <c r="AF5147">
        <v>-0.53065966610757098</v>
      </c>
      <c r="AG5147">
        <v>-0.13054449999999901</v>
      </c>
      <c r="AH5147">
        <v>0.80222592203152798</v>
      </c>
      <c r="AI5147">
        <v>97.729044103125204</v>
      </c>
      <c r="AJ5147">
        <v>123.48400093542099</v>
      </c>
      <c r="AK5147">
        <v>0.970673981155869</v>
      </c>
      <c r="AL5147">
        <v>82.163818020155205</v>
      </c>
      <c r="AM5147">
        <v>106.10136781941399</v>
      </c>
      <c r="AN5147">
        <v>1.00000001965145</v>
      </c>
    </row>
    <row r="5148" spans="1:40" x14ac:dyDescent="0.25">
      <c r="A5148" t="str">
        <f>"20190312164410545"</f>
        <v>20190312164410545</v>
      </c>
      <c r="B5148" t="str">
        <f>"1552380250539874"</f>
        <v>1552380250539874</v>
      </c>
      <c r="C5148" t="s">
        <v>40</v>
      </c>
      <c r="D5148">
        <v>4.5187949999999999</v>
      </c>
      <c r="E5148">
        <v>0.41577750000000002</v>
      </c>
      <c r="F5148" t="s">
        <v>41</v>
      </c>
      <c r="G5148">
        <v>-204.80789999999999</v>
      </c>
      <c r="H5148">
        <v>1.010974</v>
      </c>
      <c r="I5148">
        <v>-60.665019999999998</v>
      </c>
      <c r="J5148">
        <v>-205.34190000000001</v>
      </c>
      <c r="K5148">
        <v>1.1187229999999999</v>
      </c>
      <c r="L5148">
        <v>-61.250340000000001</v>
      </c>
      <c r="M5148">
        <v>0.97321539999999995</v>
      </c>
      <c r="N5148">
        <v>0</v>
      </c>
      <c r="O5148">
        <v>0.22941880000000001</v>
      </c>
      <c r="P5148">
        <v>0.86479419999999996</v>
      </c>
      <c r="Q5148">
        <v>0.12867219999999999</v>
      </c>
      <c r="R5148">
        <v>0.48536030000000002</v>
      </c>
      <c r="S5148">
        <v>2.356995</v>
      </c>
      <c r="T5148">
        <v>-0.35628969999999999</v>
      </c>
      <c r="U5148">
        <v>2.084625</v>
      </c>
      <c r="V5148">
        <v>-0.27706740000000002</v>
      </c>
      <c r="W5148">
        <v>0.136688</v>
      </c>
      <c r="X5148">
        <v>0.95107839999999999</v>
      </c>
      <c r="Y5148">
        <v>-0.47146369999999999</v>
      </c>
      <c r="Z5148">
        <v>1.6256759999999999E-3</v>
      </c>
      <c r="AA5148">
        <v>0.881884</v>
      </c>
      <c r="AB5148">
        <v>39</v>
      </c>
      <c r="AC5148">
        <v>0.53400000000002001</v>
      </c>
      <c r="AD5148">
        <v>-0.107748999999999</v>
      </c>
      <c r="AE5148">
        <v>0.58532000000000295</v>
      </c>
      <c r="AF5148">
        <v>-0.43906162168357599</v>
      </c>
      <c r="AG5148">
        <v>-0.107748999999999</v>
      </c>
      <c r="AH5148">
        <v>0.64217545979125101</v>
      </c>
      <c r="AI5148">
        <v>97.885781641225407</v>
      </c>
      <c r="AJ5148">
        <v>124.360796785114</v>
      </c>
      <c r="AK5148">
        <v>0.785349779266867</v>
      </c>
      <c r="AL5148">
        <v>82.1437602094705</v>
      </c>
      <c r="AM5148">
        <v>106.241855514436</v>
      </c>
      <c r="AN5148">
        <v>1.0000000382166501</v>
      </c>
    </row>
    <row r="5149" spans="1:40" x14ac:dyDescent="0.25">
      <c r="A5149" t="str">
        <f>"20190312164410557"</f>
        <v>20190312164410557</v>
      </c>
      <c r="B5149" t="str">
        <f>"1552380250550611"</f>
        <v>1552380250550611</v>
      </c>
      <c r="C5149" t="s">
        <v>40</v>
      </c>
      <c r="D5149">
        <v>4.5387529999999998</v>
      </c>
      <c r="E5149">
        <v>0.41597519999999999</v>
      </c>
      <c r="F5149" t="s">
        <v>41</v>
      </c>
      <c r="G5149">
        <v>-204.5153</v>
      </c>
      <c r="H5149">
        <v>0.99341639999999998</v>
      </c>
      <c r="I5149">
        <v>-60.509819999999998</v>
      </c>
      <c r="J5149">
        <v>-205.1403</v>
      </c>
      <c r="K5149">
        <v>1.1188670000000001</v>
      </c>
      <c r="L5149">
        <v>-61.198909999999998</v>
      </c>
      <c r="M5149">
        <v>0.97200699999999995</v>
      </c>
      <c r="N5149">
        <v>0</v>
      </c>
      <c r="O5149">
        <v>0.23448559999999999</v>
      </c>
      <c r="P5149">
        <v>0.86137629999999998</v>
      </c>
      <c r="Q5149">
        <v>0.12905230000000001</v>
      </c>
      <c r="R5149">
        <v>0.49130059999999898</v>
      </c>
      <c r="S5149">
        <v>2.3435060000000001</v>
      </c>
      <c r="T5149">
        <v>-0.3552554</v>
      </c>
      <c r="U5149">
        <v>2.099548</v>
      </c>
      <c r="V5149">
        <v>-0.278725</v>
      </c>
      <c r="W5149">
        <v>0.13694400000000001</v>
      </c>
      <c r="X5149">
        <v>0.95055710000000004</v>
      </c>
      <c r="Y5149">
        <v>-0.4725394</v>
      </c>
      <c r="Z5149">
        <v>1.087485E-3</v>
      </c>
      <c r="AA5149">
        <v>0.88130889999999995</v>
      </c>
      <c r="AB5149">
        <v>38</v>
      </c>
      <c r="AC5149">
        <v>0.625</v>
      </c>
      <c r="AD5149">
        <v>-0.125450599999999</v>
      </c>
      <c r="AE5149">
        <v>0.68908999999999998</v>
      </c>
      <c r="AF5149">
        <v>-0.51395817892122597</v>
      </c>
      <c r="AG5149">
        <v>-0.125450599999999</v>
      </c>
      <c r="AH5149">
        <v>0.75543331865699803</v>
      </c>
      <c r="AI5149">
        <v>97.817874649893298</v>
      </c>
      <c r="AJ5149">
        <v>124.22936705375901</v>
      </c>
      <c r="AK5149">
        <v>0.92226371589557199</v>
      </c>
      <c r="AL5149">
        <v>82.128953287309699</v>
      </c>
      <c r="AM5149">
        <v>106.342339233649</v>
      </c>
      <c r="AN5149">
        <v>1.0000000425607001</v>
      </c>
    </row>
    <row r="5150" spans="1:40" x14ac:dyDescent="0.25">
      <c r="A5150" t="str">
        <f>"20190312164410568"</f>
        <v>20190312164410568</v>
      </c>
      <c r="B5150" t="str">
        <f>"1552380250560370"</f>
        <v>1552380250560370</v>
      </c>
      <c r="C5150" t="s">
        <v>40</v>
      </c>
      <c r="D5150">
        <v>4.7696430000000003</v>
      </c>
      <c r="E5150">
        <v>0.4162382</v>
      </c>
      <c r="F5150" t="s">
        <v>41</v>
      </c>
      <c r="G5150">
        <v>-204.4742</v>
      </c>
      <c r="H5150">
        <v>1.017547</v>
      </c>
      <c r="I5150">
        <v>-60.594679999999997</v>
      </c>
      <c r="J5150">
        <v>-204.96610000000001</v>
      </c>
      <c r="K5150">
        <v>1.1189960000000001</v>
      </c>
      <c r="L5150">
        <v>-61.153410000000001</v>
      </c>
      <c r="M5150">
        <v>0.97092100000000003</v>
      </c>
      <c r="N5150">
        <v>0</v>
      </c>
      <c r="O5150">
        <v>0.2389423</v>
      </c>
      <c r="P5150">
        <v>0.85810799999999998</v>
      </c>
      <c r="Q5150">
        <v>0.12950110000000001</v>
      </c>
      <c r="R5150">
        <v>0.4968706</v>
      </c>
      <c r="S5150">
        <v>2.330139</v>
      </c>
      <c r="T5150">
        <v>-0.35446490000000003</v>
      </c>
      <c r="U5150">
        <v>2.1140439999999998</v>
      </c>
      <c r="V5150">
        <v>-0.2805879</v>
      </c>
      <c r="W5150">
        <v>0.13727549999999999</v>
      </c>
      <c r="X5150">
        <v>0.9499609</v>
      </c>
      <c r="Y5150">
        <v>-0.47404200000000002</v>
      </c>
      <c r="Z5150">
        <v>6.5272490000000002E-4</v>
      </c>
      <c r="AA5150">
        <v>0.88050200000000001</v>
      </c>
      <c r="AB5150">
        <v>38</v>
      </c>
      <c r="AC5150">
        <v>0.49190000000001499</v>
      </c>
      <c r="AD5150">
        <v>-0.101448999999999</v>
      </c>
      <c r="AE5150">
        <v>0.55872999999999695</v>
      </c>
      <c r="AF5150">
        <v>-0.41724420812006002</v>
      </c>
      <c r="AG5150">
        <v>-0.101448999999999</v>
      </c>
      <c r="AH5150">
        <v>0.60002321455304697</v>
      </c>
      <c r="AI5150">
        <v>97.902860385422102</v>
      </c>
      <c r="AJ5150">
        <v>124.81398316281501</v>
      </c>
      <c r="AK5150">
        <v>0.73784313157561299</v>
      </c>
      <c r="AL5150">
        <v>82.109777692120105</v>
      </c>
      <c r="AM5150">
        <v>106.455445741294</v>
      </c>
      <c r="AN5150">
        <v>0.99999992202773202</v>
      </c>
    </row>
    <row r="5151" spans="1:40" x14ac:dyDescent="0.25">
      <c r="A5151" t="str">
        <f>"20190312164410578"</f>
        <v>20190312164410578</v>
      </c>
      <c r="B5151" t="str">
        <f>"1552380250570129"</f>
        <v>1552380250570129</v>
      </c>
      <c r="C5151" t="s">
        <v>40</v>
      </c>
      <c r="D5151">
        <v>4.5302410000000002</v>
      </c>
      <c r="E5151">
        <v>0.41640929999999998</v>
      </c>
      <c r="F5151" t="s">
        <v>41</v>
      </c>
      <c r="G5151">
        <v>-204.18389999999999</v>
      </c>
      <c r="H5151">
        <v>0.99955249999999995</v>
      </c>
      <c r="I5151">
        <v>-60.43553</v>
      </c>
      <c r="J5151">
        <v>-204.78909999999999</v>
      </c>
      <c r="K5151">
        <v>1.1191180000000001</v>
      </c>
      <c r="L5151">
        <v>-61.106659999999998</v>
      </c>
      <c r="M5151">
        <v>0.9697865</v>
      </c>
      <c r="N5151">
        <v>0</v>
      </c>
      <c r="O5151">
        <v>0.24350550000000001</v>
      </c>
      <c r="P5151">
        <v>0.85454010000000002</v>
      </c>
      <c r="Q5151">
        <v>0.1300058</v>
      </c>
      <c r="R5151">
        <v>0.50285159999999995</v>
      </c>
      <c r="S5151">
        <v>2.3177490000000001</v>
      </c>
      <c r="T5151">
        <v>-0.35394969999999998</v>
      </c>
      <c r="U5151">
        <v>2.1272280000000001</v>
      </c>
      <c r="V5151">
        <v>-0.2828254</v>
      </c>
      <c r="W5151">
        <v>0.13765150000000001</v>
      </c>
      <c r="X5151">
        <v>0.94924280000000005</v>
      </c>
      <c r="Y5151">
        <v>-0.47498940000000001</v>
      </c>
      <c r="Z5151">
        <v>1.700781E-4</v>
      </c>
      <c r="AA5151">
        <v>0.87999150000000004</v>
      </c>
      <c r="AB5151">
        <v>38</v>
      </c>
      <c r="AC5151">
        <v>0.60519999999999596</v>
      </c>
      <c r="AD5151">
        <v>-0.11956550000000001</v>
      </c>
      <c r="AE5151">
        <v>0.67112999999999001</v>
      </c>
      <c r="AF5151">
        <v>-0.494875751859091</v>
      </c>
      <c r="AG5151">
        <v>-0.11956550000000001</v>
      </c>
      <c r="AH5151">
        <v>0.73751087196452203</v>
      </c>
      <c r="AI5151">
        <v>97.667171432776897</v>
      </c>
      <c r="AJ5151">
        <v>123.86193036086701</v>
      </c>
      <c r="AK5151">
        <v>0.89616974108380898</v>
      </c>
      <c r="AL5151">
        <v>82.088028766706103</v>
      </c>
      <c r="AM5151">
        <v>106.59134268226499</v>
      </c>
      <c r="AN5151">
        <v>1.00000001784462</v>
      </c>
    </row>
    <row r="5152" spans="1:40" x14ac:dyDescent="0.25">
      <c r="A5152" t="str">
        <f>"20190312164410590"</f>
        <v>20190312164410590</v>
      </c>
      <c r="B5152" t="str">
        <f>"1552380250579890"</f>
        <v>1552380250579890</v>
      </c>
      <c r="C5152" t="s">
        <v>40</v>
      </c>
      <c r="D5152">
        <v>4.5798220000000001</v>
      </c>
      <c r="E5152">
        <v>0.4165526</v>
      </c>
      <c r="F5152" t="s">
        <v>41</v>
      </c>
      <c r="G5152">
        <v>-204.1437</v>
      </c>
      <c r="H5152">
        <v>1.0202819999999999</v>
      </c>
      <c r="I5152">
        <v>-60.506500000000003</v>
      </c>
      <c r="J5152">
        <v>-204.60650000000001</v>
      </c>
      <c r="K5152">
        <v>1.119248</v>
      </c>
      <c r="L5152">
        <v>-61.056919999999998</v>
      </c>
      <c r="M5152">
        <v>0.96856620000000004</v>
      </c>
      <c r="N5152">
        <v>0</v>
      </c>
      <c r="O5152">
        <v>0.2483137</v>
      </c>
      <c r="P5152">
        <v>0.85072169999999903</v>
      </c>
      <c r="Q5152">
        <v>0.13023499999999999</v>
      </c>
      <c r="R5152">
        <v>0.50922630000000002</v>
      </c>
      <c r="S5152">
        <v>2.3037570000000001</v>
      </c>
      <c r="T5152">
        <v>-0.3527923</v>
      </c>
      <c r="U5152">
        <v>2.1421809999999999</v>
      </c>
      <c r="V5152">
        <v>-0.28526899999999999</v>
      </c>
      <c r="W5152">
        <v>0.13774459999999999</v>
      </c>
      <c r="X5152">
        <v>0.94849779999999995</v>
      </c>
      <c r="Y5152">
        <v>-0.47638039999999998</v>
      </c>
      <c r="Z5152">
        <v>-3.1151809999999997E-4</v>
      </c>
      <c r="AA5152">
        <v>0.8792392</v>
      </c>
      <c r="AB5152">
        <v>38</v>
      </c>
      <c r="AC5152">
        <v>0.46280000000001498</v>
      </c>
      <c r="AD5152">
        <v>-9.8966000000000096E-2</v>
      </c>
      <c r="AE5152">
        <v>0.55041999999999502</v>
      </c>
      <c r="AF5152">
        <v>-0.41047066353824102</v>
      </c>
      <c r="AG5152">
        <v>-9.8966000000000096E-2</v>
      </c>
      <c r="AH5152">
        <v>0.57412025627934404</v>
      </c>
      <c r="AI5152">
        <v>97.982293572321893</v>
      </c>
      <c r="AJ5152">
        <v>125.56309590832301</v>
      </c>
      <c r="AK5152">
        <v>0.71266717579230798</v>
      </c>
      <c r="AL5152">
        <v>82.0826433005913</v>
      </c>
      <c r="AM5152">
        <v>106.739118841218</v>
      </c>
      <c r="AN5152">
        <v>1.00000002689749</v>
      </c>
    </row>
    <row r="5153" spans="1:40" x14ac:dyDescent="0.25">
      <c r="A5153" t="str">
        <f>"20190312164410601"</f>
        <v>20190312164410601</v>
      </c>
      <c r="B5153" t="str">
        <f>"1552380250590627"</f>
        <v>1552380250590627</v>
      </c>
      <c r="C5153" t="s">
        <v>40</v>
      </c>
      <c r="D5153">
        <v>4.5871550000000001</v>
      </c>
      <c r="E5153">
        <v>0.41675479999999998</v>
      </c>
      <c r="F5153" t="s">
        <v>41</v>
      </c>
      <c r="G5153">
        <v>-203.85730000000001</v>
      </c>
      <c r="H5153">
        <v>1.003868</v>
      </c>
      <c r="I5153">
        <v>-60.350859999999997</v>
      </c>
      <c r="J5153">
        <v>-204.422</v>
      </c>
      <c r="K5153">
        <v>1.11937999999999</v>
      </c>
      <c r="L5153">
        <v>-61.00629</v>
      </c>
      <c r="M5153">
        <v>0.96730249999999995</v>
      </c>
      <c r="N5153">
        <v>0</v>
      </c>
      <c r="O5153">
        <v>0.25319150000000001</v>
      </c>
      <c r="P5153">
        <v>0.8467152</v>
      </c>
      <c r="Q5153">
        <v>0.1302432</v>
      </c>
      <c r="R5153">
        <v>0.51585879999999995</v>
      </c>
      <c r="S5153">
        <v>2.2887420000000001</v>
      </c>
      <c r="T5153">
        <v>-0.35253980000000001</v>
      </c>
      <c r="U5153">
        <v>2.1578369999999998</v>
      </c>
      <c r="V5153">
        <v>-0.28794449999999999</v>
      </c>
      <c r="W5153">
        <v>0.13760849999999999</v>
      </c>
      <c r="X5153">
        <v>0.94770869999999996</v>
      </c>
      <c r="Y5153">
        <v>-0.4780314</v>
      </c>
      <c r="Z5153">
        <v>-7.8415679999999902E-4</v>
      </c>
      <c r="AA5153">
        <v>0.87834239999999997</v>
      </c>
      <c r="AB5153">
        <v>38</v>
      </c>
      <c r="AC5153">
        <v>0.56469999999998699</v>
      </c>
      <c r="AD5153">
        <v>-0.115511999999999</v>
      </c>
      <c r="AE5153">
        <v>0.65543000000000196</v>
      </c>
      <c r="AF5153">
        <v>-0.48247478751621897</v>
      </c>
      <c r="AG5153">
        <v>-0.115511999999999</v>
      </c>
      <c r="AH5153">
        <v>0.69978826422592899</v>
      </c>
      <c r="AI5153">
        <v>97.738962919460306</v>
      </c>
      <c r="AJ5153">
        <v>124.58464159800501</v>
      </c>
      <c r="AK5153">
        <v>0.85780449840342898</v>
      </c>
      <c r="AL5153">
        <v>82.090515673187696</v>
      </c>
      <c r="AM5153">
        <v>106.900474978434</v>
      </c>
      <c r="AN5153">
        <v>0.99999995720409396</v>
      </c>
    </row>
    <row r="5154" spans="1:40" x14ac:dyDescent="0.25">
      <c r="A5154" t="str">
        <f>"20190312164410613"</f>
        <v>20190312164410613</v>
      </c>
      <c r="B5154" t="str">
        <f>"1552380250600388"</f>
        <v>1552380250600388</v>
      </c>
      <c r="C5154" t="s">
        <v>40</v>
      </c>
      <c r="D5154">
        <v>4.5789419999999996</v>
      </c>
      <c r="E5154">
        <v>0.41700290000000001</v>
      </c>
      <c r="F5154" t="s">
        <v>41</v>
      </c>
      <c r="G5154">
        <v>-203.5694</v>
      </c>
      <c r="H5154">
        <v>0.98699630000000005</v>
      </c>
      <c r="I5154">
        <v>-60.190899999999999</v>
      </c>
      <c r="J5154">
        <v>-204.23750000000001</v>
      </c>
      <c r="K5154">
        <v>1.119513</v>
      </c>
      <c r="L5154">
        <v>-60.953830000000004</v>
      </c>
      <c r="M5154">
        <v>0.96598059999999997</v>
      </c>
      <c r="N5154">
        <v>0</v>
      </c>
      <c r="O5154">
        <v>0.25818790000000003</v>
      </c>
      <c r="P5154">
        <v>0.84273869999999895</v>
      </c>
      <c r="Q5154">
        <v>0.1299669</v>
      </c>
      <c r="R5154">
        <v>0.52239829999999998</v>
      </c>
      <c r="S5154">
        <v>2.2731020000000002</v>
      </c>
      <c r="T5154">
        <v>-0.35292220000000002</v>
      </c>
      <c r="U5154">
        <v>2.1736149999999999</v>
      </c>
      <c r="V5154">
        <v>-0.29040880000000002</v>
      </c>
      <c r="W5154">
        <v>0.13719389999999901</v>
      </c>
      <c r="X5154">
        <v>0.94701670000000004</v>
      </c>
      <c r="Y5154">
        <v>-0.47970849999999998</v>
      </c>
      <c r="Z5154">
        <v>-1.2718720000000001E-3</v>
      </c>
      <c r="AA5154">
        <v>0.87742699999999996</v>
      </c>
      <c r="AB5154">
        <v>38</v>
      </c>
      <c r="AC5154">
        <v>0.66810000000000902</v>
      </c>
      <c r="AD5154">
        <v>-0.13251669999999999</v>
      </c>
      <c r="AE5154">
        <v>0.76293000000000399</v>
      </c>
      <c r="AF5154">
        <v>-0.55506453716126003</v>
      </c>
      <c r="AG5154">
        <v>-0.13251669999999999</v>
      </c>
      <c r="AH5154">
        <v>0.82830025787060602</v>
      </c>
      <c r="AI5154">
        <v>97.570481232544395</v>
      </c>
      <c r="AJ5154">
        <v>123.82701970778901</v>
      </c>
      <c r="AK5154">
        <v>1.00585219261154</v>
      </c>
      <c r="AL5154">
        <v>82.114498572213407</v>
      </c>
      <c r="AM5154">
        <v>107.048497061495</v>
      </c>
      <c r="AN5154">
        <v>1.00000003369676</v>
      </c>
    </row>
    <row r="5155" spans="1:40" x14ac:dyDescent="0.25">
      <c r="A5155" t="str">
        <f>"20190312164410624"</f>
        <v>20190312164410624</v>
      </c>
      <c r="B5155" t="str">
        <f>"1552380250619906"</f>
        <v>1552380250619906</v>
      </c>
      <c r="C5155" t="s">
        <v>40</v>
      </c>
      <c r="D5155">
        <v>4.7782269999999896</v>
      </c>
      <c r="E5155">
        <v>0.41723209999999999</v>
      </c>
      <c r="F5155" t="s">
        <v>41</v>
      </c>
      <c r="G5155">
        <v>-203.52969999999999</v>
      </c>
      <c r="H5155">
        <v>1.0083610000000001</v>
      </c>
      <c r="I5155">
        <v>-60.267510000000001</v>
      </c>
      <c r="J5155">
        <v>-204.0532</v>
      </c>
      <c r="K5155">
        <v>1.11964</v>
      </c>
      <c r="L5155">
        <v>-60.900970000000001</v>
      </c>
      <c r="M5155">
        <v>0.96462639999999999</v>
      </c>
      <c r="N5155">
        <v>0</v>
      </c>
      <c r="O5155">
        <v>0.26320149999999998</v>
      </c>
      <c r="P5155">
        <v>0.83844200000000002</v>
      </c>
      <c r="Q5155">
        <v>0.1296147</v>
      </c>
      <c r="R5155">
        <v>0.52935350000000003</v>
      </c>
      <c r="S5155">
        <v>2.257584</v>
      </c>
      <c r="T5155">
        <v>-0.3545393</v>
      </c>
      <c r="U5155">
        <v>2.1889949999999998</v>
      </c>
      <c r="V5155">
        <v>-0.29334660000000001</v>
      </c>
      <c r="W5155">
        <v>0.1366889</v>
      </c>
      <c r="X5155">
        <v>0.94618389999999997</v>
      </c>
      <c r="Y5155">
        <v>-0.48125210000000002</v>
      </c>
      <c r="Z5155">
        <v>-1.7787009999999999E-3</v>
      </c>
      <c r="AA5155">
        <v>0.87658040000000004</v>
      </c>
      <c r="AB5155">
        <v>38</v>
      </c>
      <c r="AC5155">
        <v>0.52350000000001196</v>
      </c>
      <c r="AD5155">
        <v>-0.111278999999999</v>
      </c>
      <c r="AE5155">
        <v>0.63345999999999902</v>
      </c>
      <c r="AF5155">
        <v>-0.46479584193642798</v>
      </c>
      <c r="AG5155">
        <v>-0.111278999999999</v>
      </c>
      <c r="AH5155">
        <v>0.65968743742893099</v>
      </c>
      <c r="AI5155">
        <v>97.851286021795502</v>
      </c>
      <c r="AJ5155">
        <v>125.167367972698</v>
      </c>
      <c r="AK5155">
        <v>0.81461997619991</v>
      </c>
      <c r="AL5155">
        <v>82.143708072865806</v>
      </c>
      <c r="AM5155">
        <v>107.22507094623199</v>
      </c>
      <c r="AN5155">
        <v>1.0000000278669801</v>
      </c>
    </row>
    <row r="5156" spans="1:40" x14ac:dyDescent="0.25">
      <c r="A5156" t="str">
        <f>"20190312164410638"</f>
        <v>20190312164410638</v>
      </c>
      <c r="B5156" t="str">
        <f>"1552380250629666"</f>
        <v>1552380250629666</v>
      </c>
      <c r="C5156" t="s">
        <v>40</v>
      </c>
      <c r="D5156">
        <v>4.6630940000000001</v>
      </c>
      <c r="E5156">
        <v>0.43031849999999999</v>
      </c>
      <c r="F5156" t="s">
        <v>41</v>
      </c>
      <c r="G5156">
        <v>-203.2439</v>
      </c>
      <c r="H5156">
        <v>0.99078080000000002</v>
      </c>
      <c r="I5156">
        <v>-60.104399999999998</v>
      </c>
      <c r="J5156">
        <v>-203.82050000000001</v>
      </c>
      <c r="K5156">
        <v>1.119802</v>
      </c>
      <c r="L5156">
        <v>-60.83249</v>
      </c>
      <c r="M5156">
        <v>0.9628487</v>
      </c>
      <c r="N5156">
        <v>0</v>
      </c>
      <c r="O5156">
        <v>0.26963110000000001</v>
      </c>
      <c r="P5156">
        <v>0.83343099999999903</v>
      </c>
      <c r="Q5156">
        <v>0.12871160000000001</v>
      </c>
      <c r="R5156">
        <v>0.53742559999999995</v>
      </c>
      <c r="S5156">
        <v>2.240494</v>
      </c>
      <c r="T5156">
        <v>-0.35677969999999998</v>
      </c>
      <c r="U5156">
        <v>2.2059329999999999</v>
      </c>
      <c r="V5156">
        <v>-0.29616500000000001</v>
      </c>
      <c r="W5156">
        <v>0.13561889999999999</v>
      </c>
      <c r="X5156">
        <v>0.94545959999999996</v>
      </c>
      <c r="Y5156">
        <v>-0.48212660000000002</v>
      </c>
      <c r="Z5156">
        <v>-2.5111420000000001E-3</v>
      </c>
      <c r="AA5156">
        <v>0.87609789999999998</v>
      </c>
      <c r="AB5156">
        <v>38</v>
      </c>
      <c r="AC5156">
        <v>0.57660000000001299</v>
      </c>
      <c r="AD5156">
        <v>-0.129021199999999</v>
      </c>
      <c r="AE5156">
        <v>0.72809000000000101</v>
      </c>
      <c r="AF5156">
        <v>-0.53530117650297804</v>
      </c>
      <c r="AG5156">
        <v>-0.129021199999999</v>
      </c>
      <c r="AH5156">
        <v>0.73734785255858004</v>
      </c>
      <c r="AI5156">
        <v>98.059479957016705</v>
      </c>
      <c r="AJ5156">
        <v>125.97896958302201</v>
      </c>
      <c r="AK5156">
        <v>0.92025848286645096</v>
      </c>
      <c r="AL5156">
        <v>82.205590800862197</v>
      </c>
      <c r="AM5156">
        <v>107.393152866145</v>
      </c>
      <c r="AN5156">
        <v>1.00000002424718</v>
      </c>
    </row>
    <row r="5157" spans="1:40" x14ac:dyDescent="0.25">
      <c r="A5157" t="str">
        <f>"20190312164410651"</f>
        <v>20190312164410651</v>
      </c>
      <c r="B5157" t="str">
        <f>"1552380250640401"</f>
        <v>1552380250640401</v>
      </c>
      <c r="C5157" t="s">
        <v>40</v>
      </c>
      <c r="D5157">
        <v>4.6133189999999997</v>
      </c>
      <c r="E5157">
        <v>0.42960559999999998</v>
      </c>
      <c r="F5157" t="s">
        <v>41</v>
      </c>
      <c r="G5157">
        <v>-203.1301</v>
      </c>
      <c r="H5157">
        <v>1.001045</v>
      </c>
      <c r="I5157">
        <v>-60.184060000000002</v>
      </c>
      <c r="J5157">
        <v>-203.62379999999999</v>
      </c>
      <c r="K5157">
        <v>1.1199349999999999</v>
      </c>
      <c r="L5157">
        <v>-60.772950000000002</v>
      </c>
      <c r="M5157">
        <v>0.96128480000000005</v>
      </c>
      <c r="N5157">
        <v>0</v>
      </c>
      <c r="O5157">
        <v>0.27515420000000002</v>
      </c>
      <c r="P5157">
        <v>0.82889179999999996</v>
      </c>
      <c r="Q5157">
        <v>0.1279238</v>
      </c>
      <c r="R5157">
        <v>0.54458609999999996</v>
      </c>
      <c r="S5157">
        <v>2.2791899999999998</v>
      </c>
      <c r="T5157">
        <v>-0.39212429999999998</v>
      </c>
      <c r="U5157">
        <v>2.1415410000000001</v>
      </c>
      <c r="V5157">
        <v>-0.29887439999999998</v>
      </c>
      <c r="W5157">
        <v>0.13468060000000001</v>
      </c>
      <c r="X5157">
        <v>0.94474080000000005</v>
      </c>
      <c r="Y5157">
        <v>-0.45639249999999998</v>
      </c>
      <c r="Z5157">
        <v>-5.3712730000000002E-3</v>
      </c>
      <c r="AA5157">
        <v>0.88976230000000001</v>
      </c>
      <c r="AB5157">
        <v>38</v>
      </c>
      <c r="AC5157">
        <v>0.49369999999998898</v>
      </c>
      <c r="AD5157">
        <v>-0.11889</v>
      </c>
      <c r="AE5157">
        <v>0.58889000000000602</v>
      </c>
      <c r="AF5157">
        <v>-0.42023638593810803</v>
      </c>
      <c r="AG5157">
        <v>-0.11889</v>
      </c>
      <c r="AH5157">
        <v>0.62180895187867802</v>
      </c>
      <c r="AI5157">
        <v>99.001715334266393</v>
      </c>
      <c r="AJ5157">
        <v>124.051959627128</v>
      </c>
      <c r="AK5157">
        <v>0.75985513408990202</v>
      </c>
      <c r="AL5157">
        <v>82.259848859968599</v>
      </c>
      <c r="AM5157">
        <v>107.555078568764</v>
      </c>
      <c r="AN5157">
        <v>0.99999997508817895</v>
      </c>
    </row>
    <row r="5158" spans="1:40" x14ac:dyDescent="0.25">
      <c r="A5158" t="str">
        <f>"20190312164410663"</f>
        <v>20190312164410663</v>
      </c>
      <c r="B5158" t="str">
        <f>"1552380250659922"</f>
        <v>1552380250659922</v>
      </c>
      <c r="C5158" t="s">
        <v>40</v>
      </c>
      <c r="D5158">
        <v>4.6118100000000002</v>
      </c>
      <c r="E5158">
        <v>0.42938769999999998</v>
      </c>
      <c r="F5158" t="s">
        <v>41</v>
      </c>
      <c r="G5158">
        <v>-202.8903</v>
      </c>
      <c r="H5158">
        <v>0.99281439999999999</v>
      </c>
      <c r="I5158">
        <v>-60.069240000000001</v>
      </c>
      <c r="J5158">
        <v>-203.41210000000001</v>
      </c>
      <c r="K5158">
        <v>1.1200730000000001</v>
      </c>
      <c r="L5158">
        <v>-60.708010000000002</v>
      </c>
      <c r="M5158">
        <v>0.95954969999999995</v>
      </c>
      <c r="N5158">
        <v>0</v>
      </c>
      <c r="O5158">
        <v>0.28114460000000002</v>
      </c>
      <c r="P5158">
        <v>0.82377259999999997</v>
      </c>
      <c r="Q5158">
        <v>0.12703339999999999</v>
      </c>
      <c r="R5158">
        <v>0.55250469999999996</v>
      </c>
      <c r="S5158">
        <v>2.2571720000000002</v>
      </c>
      <c r="T5158">
        <v>-0.39113910000000002</v>
      </c>
      <c r="U5158">
        <v>2.1650999999999998</v>
      </c>
      <c r="V5158">
        <v>-0.30202319999999999</v>
      </c>
      <c r="W5158">
        <v>0.13361889999999901</v>
      </c>
      <c r="X5158">
        <v>0.9438898</v>
      </c>
      <c r="Y5158">
        <v>-0.46003430000000001</v>
      </c>
      <c r="Z5158">
        <v>-5.8966259999999899E-3</v>
      </c>
      <c r="AA5158">
        <v>0.88788159999999905</v>
      </c>
      <c r="AB5158">
        <v>38</v>
      </c>
      <c r="AC5158">
        <v>0.52180000000001303</v>
      </c>
      <c r="AD5158">
        <v>-0.127258599999999</v>
      </c>
      <c r="AE5158">
        <v>0.63876999999999295</v>
      </c>
      <c r="AF5158">
        <v>-0.45544023241543802</v>
      </c>
      <c r="AG5158">
        <v>-0.127258599999999</v>
      </c>
      <c r="AH5158">
        <v>0.66453589567823501</v>
      </c>
      <c r="AI5158">
        <v>98.976404475859795</v>
      </c>
      <c r="AJ5158">
        <v>124.424822840646</v>
      </c>
      <c r="AK5158">
        <v>0.81561541992624398</v>
      </c>
      <c r="AL5158">
        <v>82.321234764231306</v>
      </c>
      <c r="AM5158">
        <v>107.743485774249</v>
      </c>
      <c r="AN5158">
        <v>0.99999998915974497</v>
      </c>
    </row>
    <row r="5159" spans="1:40" x14ac:dyDescent="0.25">
      <c r="A5159" t="str">
        <f>"20190312164410677"</f>
        <v>20190312164410677</v>
      </c>
      <c r="B5159" t="str">
        <f>"1552380250669682"</f>
        <v>1552380250669682</v>
      </c>
      <c r="C5159" t="s">
        <v>40</v>
      </c>
      <c r="D5159">
        <v>4.6980089999999999</v>
      </c>
      <c r="E5159">
        <v>0.4281992</v>
      </c>
      <c r="F5159" t="s">
        <v>41</v>
      </c>
      <c r="G5159">
        <v>-202.6002</v>
      </c>
      <c r="H5159">
        <v>0.98073359999999998</v>
      </c>
      <c r="I5159">
        <v>-59.913519999999998</v>
      </c>
      <c r="J5159">
        <v>-203.18680000000001</v>
      </c>
      <c r="K5159">
        <v>1.1202129999999999</v>
      </c>
      <c r="L5159">
        <v>-60.636839999999999</v>
      </c>
      <c r="M5159">
        <v>0.95762570000000002</v>
      </c>
      <c r="N5159">
        <v>0</v>
      </c>
      <c r="O5159">
        <v>0.28762850000000001</v>
      </c>
      <c r="P5159">
        <v>0.81821820000000001</v>
      </c>
      <c r="Q5159">
        <v>0.12619349999999999</v>
      </c>
      <c r="R5159">
        <v>0.56088719999999903</v>
      </c>
      <c r="S5159">
        <v>2.2343139999999999</v>
      </c>
      <c r="T5159">
        <v>-0.38347890000000001</v>
      </c>
      <c r="U5159">
        <v>2.1866460000000001</v>
      </c>
      <c r="V5159">
        <v>-0.30526730000000002</v>
      </c>
      <c r="W5159">
        <v>0.13259899999999999</v>
      </c>
      <c r="X5159">
        <v>0.94298959999999998</v>
      </c>
      <c r="Y5159">
        <v>-0.46300940000000002</v>
      </c>
      <c r="Z5159">
        <v>-6.4263310000000004E-3</v>
      </c>
      <c r="AA5159">
        <v>0.88633009999999901</v>
      </c>
      <c r="AB5159">
        <v>38</v>
      </c>
      <c r="AC5159">
        <v>0.58660000000000401</v>
      </c>
      <c r="AD5159">
        <v>-0.139479399999999</v>
      </c>
      <c r="AE5159">
        <v>0.72332000000000096</v>
      </c>
      <c r="AF5159">
        <v>-0.51250907517028699</v>
      </c>
      <c r="AG5159">
        <v>-0.139479399999999</v>
      </c>
      <c r="AH5159">
        <v>0.75298599549393697</v>
      </c>
      <c r="AI5159">
        <v>98.706102185372302</v>
      </c>
      <c r="AJ5159">
        <v>124.240597141244</v>
      </c>
      <c r="AK5159">
        <v>0.92147054460045497</v>
      </c>
      <c r="AL5159">
        <v>82.380195501658704</v>
      </c>
      <c r="AM5159">
        <v>107.9379532726</v>
      </c>
      <c r="AN5159">
        <v>1.0000000024792199</v>
      </c>
    </row>
    <row r="5160" spans="1:40" x14ac:dyDescent="0.25">
      <c r="A5160" t="str">
        <f>"20190312164410691"</f>
        <v>20190312164410691</v>
      </c>
      <c r="B5160" t="str">
        <f>"1552380250680418"</f>
        <v>1552380250680418</v>
      </c>
      <c r="C5160" t="s">
        <v>40</v>
      </c>
      <c r="D5160">
        <v>4.6751209999999999</v>
      </c>
      <c r="E5160">
        <v>0.4281992</v>
      </c>
      <c r="F5160" t="s">
        <v>41</v>
      </c>
      <c r="G5160">
        <v>-202.55240000000001</v>
      </c>
      <c r="H5160">
        <v>1.011946</v>
      </c>
      <c r="I5160">
        <v>-59.999859999999998</v>
      </c>
      <c r="J5160">
        <v>-202.96530000000001</v>
      </c>
      <c r="K5160">
        <v>1.120355</v>
      </c>
      <c r="L5160">
        <v>-60.565119999999901</v>
      </c>
      <c r="M5160">
        <v>0.95566030000000002</v>
      </c>
      <c r="N5160">
        <v>0</v>
      </c>
      <c r="O5160">
        <v>0.29409200000000002</v>
      </c>
      <c r="P5160">
        <v>0.81086899999999995</v>
      </c>
      <c r="Q5160">
        <v>0.12515019999999999</v>
      </c>
      <c r="R5160">
        <v>0.57168980000000003</v>
      </c>
      <c r="S5160">
        <v>2.20607</v>
      </c>
      <c r="T5160">
        <v>-0.3764825</v>
      </c>
      <c r="U5160">
        <v>2.215179</v>
      </c>
      <c r="V5160">
        <v>-0.31137700000000001</v>
      </c>
      <c r="W5160">
        <v>0.1312902</v>
      </c>
      <c r="X5160">
        <v>0.94117340000000005</v>
      </c>
      <c r="Y5160">
        <v>-0.46844409999999997</v>
      </c>
      <c r="Z5160">
        <v>-6.7697089999999996E-3</v>
      </c>
      <c r="AA5160">
        <v>0.88346719999999901</v>
      </c>
      <c r="AB5160">
        <v>38</v>
      </c>
      <c r="AC5160">
        <v>0.41290000000000698</v>
      </c>
      <c r="AD5160">
        <v>-0.10840899999999901</v>
      </c>
      <c r="AE5160">
        <v>0.56525999999999499</v>
      </c>
      <c r="AF5160">
        <v>-0.40900299912080701</v>
      </c>
      <c r="AG5160">
        <v>-0.10840899999999901</v>
      </c>
      <c r="AH5160">
        <v>0.54775558412213099</v>
      </c>
      <c r="AI5160">
        <v>99.011132485307598</v>
      </c>
      <c r="AJ5160">
        <v>126.74828779832799</v>
      </c>
      <c r="AK5160">
        <v>0.69215037709141802</v>
      </c>
      <c r="AL5160">
        <v>82.455846068091404</v>
      </c>
      <c r="AM5160">
        <v>108.306236749402</v>
      </c>
      <c r="AN5160">
        <v>1.00000006080629</v>
      </c>
    </row>
    <row r="5161" spans="1:40" x14ac:dyDescent="0.25">
      <c r="A5161" t="str">
        <f>"20190312164410703"</f>
        <v>20190312164410703</v>
      </c>
      <c r="B5161" t="str">
        <f>"1552380250699938"</f>
        <v>1552380250699938</v>
      </c>
      <c r="C5161" t="s">
        <v>40</v>
      </c>
      <c r="D5161">
        <v>4.797841</v>
      </c>
      <c r="E5161">
        <v>0.40307100000000001</v>
      </c>
      <c r="F5161" t="s">
        <v>41</v>
      </c>
      <c r="G5161">
        <v>-202.26480000000001</v>
      </c>
      <c r="H5161">
        <v>0.9977087</v>
      </c>
      <c r="I5161">
        <v>-59.843800000000002</v>
      </c>
      <c r="J5161">
        <v>-202.77959999999999</v>
      </c>
      <c r="K5161">
        <v>1.1204780000000001</v>
      </c>
      <c r="L5161">
        <v>-60.504150000000003</v>
      </c>
      <c r="M5161">
        <v>0.95396349999999996</v>
      </c>
      <c r="N5161">
        <v>0</v>
      </c>
      <c r="O5161">
        <v>0.29954940000000002</v>
      </c>
      <c r="P5161">
        <v>0.80552669999999904</v>
      </c>
      <c r="Q5161">
        <v>0.12510439999999901</v>
      </c>
      <c r="R5161">
        <v>0.57920269999999996</v>
      </c>
      <c r="S5161">
        <v>2.1776580000000001</v>
      </c>
      <c r="T5161">
        <v>-0.38126890000000002</v>
      </c>
      <c r="U5161">
        <v>2.2423099999999998</v>
      </c>
      <c r="V5161">
        <v>-0.3147837</v>
      </c>
      <c r="W5161">
        <v>0.1310704</v>
      </c>
      <c r="X5161">
        <v>0.94007010000000002</v>
      </c>
      <c r="Y5161">
        <v>-0.47444530000000001</v>
      </c>
      <c r="Z5161">
        <v>-7.1517400000000002E-3</v>
      </c>
      <c r="AA5161">
        <v>0.88025599999999904</v>
      </c>
      <c r="AB5161">
        <v>38</v>
      </c>
      <c r="AC5161">
        <v>0.51479999999997905</v>
      </c>
      <c r="AD5161">
        <v>-0.1227693</v>
      </c>
      <c r="AE5161">
        <v>0.66035000000000099</v>
      </c>
      <c r="AF5161">
        <v>-0.46578133835824698</v>
      </c>
      <c r="AG5161">
        <v>-0.1227693</v>
      </c>
      <c r="AH5161">
        <v>0.67448444949917796</v>
      </c>
      <c r="AI5161">
        <v>98.518236573525797</v>
      </c>
      <c r="AJ5161">
        <v>124.62794481748401</v>
      </c>
      <c r="AK5161">
        <v>0.82882677852582598</v>
      </c>
      <c r="AL5161">
        <v>82.468549072520304</v>
      </c>
      <c r="AM5161">
        <v>108.513189189453</v>
      </c>
      <c r="AN5161">
        <v>1.0000000102279301</v>
      </c>
    </row>
    <row r="5162" spans="1:40" x14ac:dyDescent="0.25">
      <c r="A5162" t="str">
        <f>"20190312164410714"</f>
        <v>20190312164410714</v>
      </c>
      <c r="B5162" t="str">
        <f>"1552380250709699"</f>
        <v>1552380250709699</v>
      </c>
      <c r="C5162" t="s">
        <v>40</v>
      </c>
      <c r="D5162">
        <v>4.7793190000000001</v>
      </c>
      <c r="E5162">
        <v>0.40233360000000001</v>
      </c>
      <c r="F5162" t="s">
        <v>50</v>
      </c>
      <c r="G5162">
        <v>-197.52189999999999</v>
      </c>
      <c r="H5162" s="1">
        <v>-9.1618450000000007E-6</v>
      </c>
      <c r="I5162">
        <v>-54.261490000000002</v>
      </c>
      <c r="J5162">
        <v>-202.59180000000001</v>
      </c>
      <c r="K5162">
        <v>1.120598</v>
      </c>
      <c r="L5162">
        <v>-60.440669999999997</v>
      </c>
      <c r="M5162">
        <v>0.95218250000000004</v>
      </c>
      <c r="N5162">
        <v>0</v>
      </c>
      <c r="O5162">
        <v>0.30516209999999999</v>
      </c>
      <c r="P5162">
        <v>0.80013449999999997</v>
      </c>
      <c r="Q5162">
        <v>0.12495199999999999</v>
      </c>
      <c r="R5162">
        <v>0.58666160000000001</v>
      </c>
      <c r="S5162">
        <v>2.0455930000000002</v>
      </c>
      <c r="T5162">
        <v>-0.43593720000000002</v>
      </c>
      <c r="U5162">
        <v>2.4287719999999999</v>
      </c>
      <c r="V5162">
        <v>-0.31801000000000001</v>
      </c>
      <c r="W5162">
        <v>0.1307479</v>
      </c>
      <c r="X5162">
        <v>0.93902859999999999</v>
      </c>
      <c r="Y5162">
        <v>-0.52974750000000004</v>
      </c>
      <c r="Z5162">
        <v>-4.4058969999999998E-3</v>
      </c>
      <c r="AA5162">
        <v>0.84814389999999995</v>
      </c>
      <c r="AB5162">
        <v>38</v>
      </c>
      <c r="AC5162">
        <v>5.0699000000000103</v>
      </c>
      <c r="AD5162">
        <v>-1.120607161845</v>
      </c>
      <c r="AE5162">
        <v>6.1791799999999899</v>
      </c>
      <c r="AF5162">
        <v>-4.2534460805483798</v>
      </c>
      <c r="AG5162">
        <v>-1.120607161845</v>
      </c>
      <c r="AH5162">
        <v>6.5844501262609203</v>
      </c>
      <c r="AI5162">
        <v>98.135679269781306</v>
      </c>
      <c r="AJ5162">
        <v>122.861792673835</v>
      </c>
      <c r="AK5162">
        <v>7.9184940131648904</v>
      </c>
      <c r="AL5162">
        <v>82.487187599623198</v>
      </c>
      <c r="AM5162">
        <v>108.709106425062</v>
      </c>
      <c r="AN5162">
        <v>1.0000000425361799</v>
      </c>
    </row>
    <row r="5163" spans="1:40" x14ac:dyDescent="0.25">
      <c r="A5163" t="str">
        <f>"20190312164410726"</f>
        <v>20190312164410726</v>
      </c>
      <c r="B5163" t="str">
        <f>"1552380250720434"</f>
        <v>1552380250720434</v>
      </c>
      <c r="C5163" t="s">
        <v>40</v>
      </c>
      <c r="D5163">
        <v>4.7513649999999998</v>
      </c>
      <c r="E5163">
        <v>0.40185140000000003</v>
      </c>
      <c r="F5163" t="s">
        <v>41</v>
      </c>
      <c r="G5163">
        <v>-201.97470000000001</v>
      </c>
      <c r="H5163">
        <v>0.98990350000000005</v>
      </c>
      <c r="I5163">
        <v>-59.691719999999997</v>
      </c>
      <c r="J5163">
        <v>-202.41130000000001</v>
      </c>
      <c r="K5163">
        <v>1.1207149999999999</v>
      </c>
      <c r="L5163">
        <v>-60.378720000000001</v>
      </c>
      <c r="M5163">
        <v>0.95042280000000001</v>
      </c>
      <c r="N5163">
        <v>0</v>
      </c>
      <c r="O5163">
        <v>0.31059870000000001</v>
      </c>
      <c r="P5163">
        <v>0.79478909999999903</v>
      </c>
      <c r="Q5163">
        <v>0.12467110000000001</v>
      </c>
      <c r="R5163">
        <v>0.59394219999999998</v>
      </c>
      <c r="S5163">
        <v>2.0190429999999999</v>
      </c>
      <c r="T5163">
        <v>-0.42765809999999999</v>
      </c>
      <c r="U5163">
        <v>2.45105</v>
      </c>
      <c r="V5163">
        <v>-0.32123410000000002</v>
      </c>
      <c r="W5163">
        <v>0.13029879999999999</v>
      </c>
      <c r="X5163">
        <v>0.93799299999999997</v>
      </c>
      <c r="Y5163">
        <v>-0.53422860000000005</v>
      </c>
      <c r="Z5163">
        <v>-4.7542299999999999E-3</v>
      </c>
      <c r="AA5163">
        <v>0.84532669999999999</v>
      </c>
      <c r="AB5163">
        <v>38</v>
      </c>
      <c r="AC5163">
        <v>0.43659999999999799</v>
      </c>
      <c r="AD5163">
        <v>-0.130811499999999</v>
      </c>
      <c r="AE5163">
        <v>0.68699999999999695</v>
      </c>
      <c r="AF5163">
        <v>-0.50436579352942201</v>
      </c>
      <c r="AG5163">
        <v>-0.130811499999999</v>
      </c>
      <c r="AH5163">
        <v>0.61258626822309303</v>
      </c>
      <c r="AI5163">
        <v>99.361197804309697</v>
      </c>
      <c r="AJ5163">
        <v>129.465937620956</v>
      </c>
      <c r="AK5163">
        <v>0.80421293090220203</v>
      </c>
      <c r="AL5163">
        <v>82.513140810763403</v>
      </c>
      <c r="AM5163">
        <v>108.904773782679</v>
      </c>
      <c r="AN5163">
        <v>0.99999999616662405</v>
      </c>
    </row>
    <row r="5164" spans="1:40" x14ac:dyDescent="0.25">
      <c r="A5164" t="str">
        <f>"20190312164410738"</f>
        <v>20190312164410738</v>
      </c>
      <c r="B5164" t="str">
        <f>"1552380250730194"</f>
        <v>1552380250730194</v>
      </c>
      <c r="C5164" t="s">
        <v>40</v>
      </c>
      <c r="D5164">
        <v>4.7530279999999996</v>
      </c>
      <c r="E5164">
        <v>0.40221839999999998</v>
      </c>
      <c r="F5164" t="s">
        <v>50</v>
      </c>
      <c r="G5164">
        <v>-197.25819999999999</v>
      </c>
      <c r="H5164" s="1">
        <v>-9.2260019999999999E-6</v>
      </c>
      <c r="I5164">
        <v>-53.994219999999999</v>
      </c>
      <c r="J5164">
        <v>-202.2192</v>
      </c>
      <c r="K5164">
        <v>1.1208320000000001</v>
      </c>
      <c r="L5164">
        <v>-60.311579999999999</v>
      </c>
      <c r="M5164">
        <v>0.9484939</v>
      </c>
      <c r="N5164">
        <v>0</v>
      </c>
      <c r="O5164">
        <v>0.31643909999999997</v>
      </c>
      <c r="P5164">
        <v>0.78922530000000002</v>
      </c>
      <c r="Q5164">
        <v>0.1246539</v>
      </c>
      <c r="R5164">
        <v>0.60131919999999905</v>
      </c>
      <c r="S5164">
        <v>1.9952700000000001</v>
      </c>
      <c r="T5164">
        <v>-0.43394369999999999</v>
      </c>
      <c r="U5164">
        <v>2.4720759999999999</v>
      </c>
      <c r="V5164">
        <v>-0.32423980000000002</v>
      </c>
      <c r="W5164">
        <v>0.13011489999999901</v>
      </c>
      <c r="X5164">
        <v>0.93698380000000003</v>
      </c>
      <c r="Y5164">
        <v>-0.53742800000000002</v>
      </c>
      <c r="Z5164">
        <v>-5.4267419999999896E-3</v>
      </c>
      <c r="AA5164">
        <v>0.84329209999999999</v>
      </c>
      <c r="AB5164">
        <v>38</v>
      </c>
      <c r="AC5164">
        <v>4.9610000000000101</v>
      </c>
      <c r="AD5164">
        <v>-1.120841226002</v>
      </c>
      <c r="AE5164">
        <v>6.3173599999999999</v>
      </c>
      <c r="AF5164">
        <v>-4.3381534483610604</v>
      </c>
      <c r="AG5164">
        <v>-1.120841226002</v>
      </c>
      <c r="AH5164">
        <v>6.5772286542192999</v>
      </c>
      <c r="AI5164">
        <v>98.096333581516205</v>
      </c>
      <c r="AJ5164">
        <v>123.407711421098</v>
      </c>
      <c r="AK5164">
        <v>7.9583790538850403</v>
      </c>
      <c r="AL5164">
        <v>82.523767916038096</v>
      </c>
      <c r="AM5164">
        <v>109.087990460481</v>
      </c>
      <c r="AN5164">
        <v>0.99999998828424397</v>
      </c>
    </row>
    <row r="5165" spans="1:40" x14ac:dyDescent="0.25">
      <c r="A5165" t="str">
        <f>"20190312164410748"</f>
        <v>20190312164410748</v>
      </c>
      <c r="B5165" t="str">
        <f>"1552380250739954"</f>
        <v>1552380250739954</v>
      </c>
      <c r="C5165" t="s">
        <v>40</v>
      </c>
      <c r="D5165">
        <v>4.8048989999999998</v>
      </c>
      <c r="E5165">
        <v>0.40282839999999998</v>
      </c>
      <c r="F5165" t="s">
        <v>41</v>
      </c>
      <c r="G5165">
        <v>-201.65180000000001</v>
      </c>
      <c r="H5165">
        <v>0.99748950000000003</v>
      </c>
      <c r="I5165">
        <v>-59.596539999999997</v>
      </c>
      <c r="J5165">
        <v>-202.0532</v>
      </c>
      <c r="K5165">
        <v>1.120932</v>
      </c>
      <c r="L5165">
        <v>-60.2521699999999</v>
      </c>
      <c r="M5165">
        <v>0.94677140000000004</v>
      </c>
      <c r="N5165">
        <v>0</v>
      </c>
      <c r="O5165">
        <v>0.32155509999999998</v>
      </c>
      <c r="P5165">
        <v>0.78412740000000003</v>
      </c>
      <c r="Q5165">
        <v>0.12437819999999999</v>
      </c>
      <c r="R5165">
        <v>0.6080084</v>
      </c>
      <c r="S5165">
        <v>1.973724</v>
      </c>
      <c r="T5165">
        <v>-0.42908380000000002</v>
      </c>
      <c r="U5165">
        <v>2.4875180000000001</v>
      </c>
      <c r="V5165">
        <v>-0.32716190000000001</v>
      </c>
      <c r="W5165">
        <v>0.12968470000000001</v>
      </c>
      <c r="X5165">
        <v>0.93602719999999995</v>
      </c>
      <c r="Y5165">
        <v>-0.53996129999999998</v>
      </c>
      <c r="Z5165">
        <v>-5.9168409999999999E-3</v>
      </c>
      <c r="AA5165">
        <v>0.841669</v>
      </c>
      <c r="AB5165">
        <v>38</v>
      </c>
      <c r="AC5165">
        <v>0.40139999999999498</v>
      </c>
      <c r="AD5165">
        <v>-0.1234425</v>
      </c>
      <c r="AE5165">
        <v>0.65562999999998794</v>
      </c>
      <c r="AF5165">
        <v>-0.47935511398330499</v>
      </c>
      <c r="AG5165">
        <v>-0.1234425</v>
      </c>
      <c r="AH5165">
        <v>0.57606831047510698</v>
      </c>
      <c r="AI5165">
        <v>99.353574175484894</v>
      </c>
      <c r="AJ5165">
        <v>129.76435166518701</v>
      </c>
      <c r="AK5165">
        <v>0.75952226724556404</v>
      </c>
      <c r="AL5165">
        <v>82.548627088451298</v>
      </c>
      <c r="AM5165">
        <v>109.265633169664</v>
      </c>
      <c r="AN5165">
        <v>0.99999997468276902</v>
      </c>
    </row>
    <row r="5166" spans="1:40" x14ac:dyDescent="0.25">
      <c r="A5166" t="str">
        <f>"20190312164410758"</f>
        <v>20190312164410758</v>
      </c>
      <c r="B5166" t="str">
        <f>"1552380250749714"</f>
        <v>1552380250749714</v>
      </c>
      <c r="C5166" t="s">
        <v>40</v>
      </c>
      <c r="D5166">
        <v>4.7519689999999999</v>
      </c>
      <c r="E5166">
        <v>0.40329739999999997</v>
      </c>
      <c r="F5166" t="s">
        <v>50</v>
      </c>
      <c r="G5166">
        <v>-196.9555</v>
      </c>
      <c r="H5166" s="1">
        <v>-9.2829140000000005E-6</v>
      </c>
      <c r="I5166">
        <v>-53.735069999999901</v>
      </c>
      <c r="J5166">
        <v>-201.88460000000001</v>
      </c>
      <c r="K5166">
        <v>1.121035</v>
      </c>
      <c r="L5166">
        <v>-60.191220000000001</v>
      </c>
      <c r="M5166">
        <v>0.94498260000000001</v>
      </c>
      <c r="N5166">
        <v>0</v>
      </c>
      <c r="O5166">
        <v>0.32677390000000001</v>
      </c>
      <c r="P5166">
        <v>0.77902439999999995</v>
      </c>
      <c r="Q5166">
        <v>0.123838</v>
      </c>
      <c r="R5166">
        <v>0.61464219999999903</v>
      </c>
      <c r="S5166">
        <v>1.9555819999999999</v>
      </c>
      <c r="T5166">
        <v>-0.43001080000000003</v>
      </c>
      <c r="U5166">
        <v>2.5000610000000001</v>
      </c>
      <c r="V5166">
        <v>-0.32993460000000002</v>
      </c>
      <c r="W5166">
        <v>0.128992</v>
      </c>
      <c r="X5166">
        <v>0.93514929999999996</v>
      </c>
      <c r="Y5166">
        <v>-0.54117490000000001</v>
      </c>
      <c r="Z5166">
        <v>-6.6068019999999898E-3</v>
      </c>
      <c r="AA5166">
        <v>0.84088410000000002</v>
      </c>
      <c r="AB5166">
        <v>38</v>
      </c>
      <c r="AC5166">
        <v>4.9291</v>
      </c>
      <c r="AD5166">
        <v>-1.1210442829139999</v>
      </c>
      <c r="AE5166">
        <v>6.4561500000000001</v>
      </c>
      <c r="AF5166">
        <v>-4.4068166546875398</v>
      </c>
      <c r="AG5166">
        <v>-1.1210442829139999</v>
      </c>
      <c r="AH5166">
        <v>6.6418686661713098</v>
      </c>
      <c r="AI5166">
        <v>98.005740198385297</v>
      </c>
      <c r="AJ5166">
        <v>123.563895319447</v>
      </c>
      <c r="AK5166">
        <v>8.0492976520286508</v>
      </c>
      <c r="AL5166">
        <v>82.588652215838593</v>
      </c>
      <c r="AM5166">
        <v>109.433600523259</v>
      </c>
      <c r="AN5166">
        <v>0.99999999481582502</v>
      </c>
    </row>
    <row r="5167" spans="1:40" x14ac:dyDescent="0.25">
      <c r="A5167" t="str">
        <f>"20190312164410769"</f>
        <v>20190312164410769</v>
      </c>
      <c r="B5167" t="str">
        <f>"1552380250760451"</f>
        <v>1552380250760451</v>
      </c>
      <c r="C5167" t="s">
        <v>40</v>
      </c>
      <c r="D5167">
        <v>4.7379290000000003</v>
      </c>
      <c r="E5167">
        <v>0.40374850000000001</v>
      </c>
      <c r="F5167" t="s">
        <v>41</v>
      </c>
      <c r="G5167">
        <v>-201.3391</v>
      </c>
      <c r="H5167">
        <v>1.001606</v>
      </c>
      <c r="I5167">
        <v>-59.483260000000001</v>
      </c>
      <c r="J5167">
        <v>-201.72499999999999</v>
      </c>
      <c r="K5167">
        <v>1.12113</v>
      </c>
      <c r="L5167">
        <v>-60.131990000000002</v>
      </c>
      <c r="M5167">
        <v>0.94323210000000002</v>
      </c>
      <c r="N5167">
        <v>0</v>
      </c>
      <c r="O5167">
        <v>0.33179239999999999</v>
      </c>
      <c r="P5167">
        <v>0.77405849999999998</v>
      </c>
      <c r="Q5167">
        <v>0.12324400000000001</v>
      </c>
      <c r="R5167">
        <v>0.62100269999999902</v>
      </c>
      <c r="S5167">
        <v>1.935638</v>
      </c>
      <c r="T5167">
        <v>-0.42385149999999999</v>
      </c>
      <c r="U5167">
        <v>2.5129700000000001</v>
      </c>
      <c r="V5167">
        <v>-0.3326093</v>
      </c>
      <c r="W5167">
        <v>0.1282519</v>
      </c>
      <c r="X5167">
        <v>0.9343032</v>
      </c>
      <c r="Y5167">
        <v>-0.54305019999999904</v>
      </c>
      <c r="Z5167">
        <v>-7.1010630000000003E-3</v>
      </c>
      <c r="AA5167">
        <v>0.83967019999999903</v>
      </c>
      <c r="AB5167">
        <v>38</v>
      </c>
      <c r="AC5167">
        <v>0.38589999999999203</v>
      </c>
      <c r="AD5167">
        <v>-0.11952399999999901</v>
      </c>
      <c r="AE5167">
        <v>0.64873000000000702</v>
      </c>
      <c r="AF5167">
        <v>-0.47208254668922001</v>
      </c>
      <c r="AG5167">
        <v>-0.11952399999999901</v>
      </c>
      <c r="AH5167">
        <v>0.56513297261594697</v>
      </c>
      <c r="AI5167">
        <v>99.219596585456102</v>
      </c>
      <c r="AJ5167">
        <v>129.87361831134899</v>
      </c>
      <c r="AK5167">
        <v>0.74600482183583605</v>
      </c>
      <c r="AL5167">
        <v>82.631411910937402</v>
      </c>
      <c r="AM5167">
        <v>109.595585854693</v>
      </c>
      <c r="AN5167">
        <v>0.99999998291516901</v>
      </c>
    </row>
    <row r="5168" spans="1:40" x14ac:dyDescent="0.25">
      <c r="A5168" t="str">
        <f>"20190312164410780"</f>
        <v>20190312164410780</v>
      </c>
      <c r="B5168" t="str">
        <f>"1552380250770210"</f>
        <v>1552380250770210</v>
      </c>
      <c r="C5168" t="s">
        <v>40</v>
      </c>
      <c r="D5168">
        <v>4.7343570000000001</v>
      </c>
      <c r="E5168">
        <v>0.40399689999999999</v>
      </c>
      <c r="F5168" t="s">
        <v>50</v>
      </c>
      <c r="G5168">
        <v>-196.71209999999999</v>
      </c>
      <c r="H5168" s="1">
        <v>-9.3299190000000006E-6</v>
      </c>
      <c r="I5168">
        <v>-53.526820000000001</v>
      </c>
      <c r="J5168">
        <v>-201.54089999999999</v>
      </c>
      <c r="K5168">
        <v>1.12124</v>
      </c>
      <c r="L5168">
        <v>-60.063229999999997</v>
      </c>
      <c r="M5168">
        <v>0.94117130000000004</v>
      </c>
      <c r="N5168">
        <v>0</v>
      </c>
      <c r="O5168">
        <v>0.33759309999999998</v>
      </c>
      <c r="P5168">
        <v>0.76854869999999897</v>
      </c>
      <c r="Q5168">
        <v>0.1227748</v>
      </c>
      <c r="R5168">
        <v>0.62790089999999998</v>
      </c>
      <c r="S5168">
        <v>1.917252</v>
      </c>
      <c r="T5168">
        <v>-0.4287918</v>
      </c>
      <c r="U5168">
        <v>2.5262150000000001</v>
      </c>
      <c r="V5168">
        <v>-0.33521260000000003</v>
      </c>
      <c r="W5168">
        <v>0.1276272</v>
      </c>
      <c r="X5168">
        <v>0.93345800000000001</v>
      </c>
      <c r="Y5168">
        <v>-0.54387390000000002</v>
      </c>
      <c r="Z5168">
        <v>-7.9795830000000002E-3</v>
      </c>
      <c r="AA5168">
        <v>0.83912900000000001</v>
      </c>
      <c r="AB5168">
        <v>38</v>
      </c>
      <c r="AC5168">
        <v>4.8288000000000002</v>
      </c>
      <c r="AD5168">
        <v>-1.1212493299190001</v>
      </c>
      <c r="AE5168">
        <v>6.5364100000000098</v>
      </c>
      <c r="AF5168">
        <v>-4.4377476707820902</v>
      </c>
      <c r="AG5168">
        <v>-1.1212493299190001</v>
      </c>
      <c r="AH5168">
        <v>6.6260077179696797</v>
      </c>
      <c r="AI5168">
        <v>98.003261873424805</v>
      </c>
      <c r="AJ5168">
        <v>123.812072643935</v>
      </c>
      <c r="AK5168">
        <v>8.0532467196758297</v>
      </c>
      <c r="AL5168">
        <v>82.667501394344697</v>
      </c>
      <c r="AM5168">
        <v>109.75363912925999</v>
      </c>
      <c r="AN5168">
        <v>1.0000000135712901</v>
      </c>
    </row>
    <row r="5169" spans="1:40" x14ac:dyDescent="0.25">
      <c r="A5169" t="str">
        <f>"20190312164410792"</f>
        <v>20190312164410792</v>
      </c>
      <c r="B5169" t="str">
        <f>"1552380250779970"</f>
        <v>1552380250779970</v>
      </c>
      <c r="C5169" t="s">
        <v>40</v>
      </c>
      <c r="D5169">
        <v>4.7242769999999998</v>
      </c>
      <c r="E5169">
        <v>0.40447349999999999</v>
      </c>
      <c r="F5169" t="s">
        <v>50</v>
      </c>
      <c r="G5169">
        <v>-196.54060000000001</v>
      </c>
      <c r="H5169" s="1">
        <v>-9.3744880000000003E-6</v>
      </c>
      <c r="I5169">
        <v>-53.357129999999998</v>
      </c>
      <c r="J5169">
        <v>-201.36359999999999</v>
      </c>
      <c r="K5169">
        <v>1.121345</v>
      </c>
      <c r="L5169">
        <v>-59.994810000000001</v>
      </c>
      <c r="M5169">
        <v>0.93910959999999999</v>
      </c>
      <c r="N5169">
        <v>0</v>
      </c>
      <c r="O5169">
        <v>0.34328550000000002</v>
      </c>
      <c r="P5169">
        <v>0.76306960000000001</v>
      </c>
      <c r="Q5169">
        <v>0.1217955</v>
      </c>
      <c r="R5169">
        <v>0.63473669999999904</v>
      </c>
      <c r="S5169">
        <v>1.894989</v>
      </c>
      <c r="T5169">
        <v>-0.42492489999999999</v>
      </c>
      <c r="U5169">
        <v>2.5414430000000001</v>
      </c>
      <c r="V5169">
        <v>-0.3378485</v>
      </c>
      <c r="W5169">
        <v>0.12649489999999999</v>
      </c>
      <c r="X5169">
        <v>0.93266150000000003</v>
      </c>
      <c r="Y5169">
        <v>-0.54597910000000005</v>
      </c>
      <c r="Z5169">
        <v>-8.5810529999999999E-3</v>
      </c>
      <c r="AA5169">
        <v>0.83775480000000002</v>
      </c>
      <c r="AB5169">
        <v>38</v>
      </c>
      <c r="AC5169">
        <v>4.8229999999999702</v>
      </c>
      <c r="AD5169">
        <v>-1.1213543744879999</v>
      </c>
      <c r="AE5169">
        <v>6.6376799999999898</v>
      </c>
      <c r="AF5169">
        <v>-4.4944167787231599</v>
      </c>
      <c r="AG5169">
        <v>-1.1213543744879999</v>
      </c>
      <c r="AH5169">
        <v>6.6838774268232202</v>
      </c>
      <c r="AI5169">
        <v>97.9258806785747</v>
      </c>
      <c r="AJ5169">
        <v>123.917934697588</v>
      </c>
      <c r="AK5169">
        <v>8.1321236630322193</v>
      </c>
      <c r="AL5169">
        <v>82.732907586901604</v>
      </c>
      <c r="AM5169">
        <v>109.912477919623</v>
      </c>
      <c r="AN5169">
        <v>1.00000002113025</v>
      </c>
    </row>
    <row r="5170" spans="1:40" x14ac:dyDescent="0.25">
      <c r="A5170" t="str">
        <f>"20190312164410805"</f>
        <v>20190312164410805</v>
      </c>
      <c r="B5170" t="str">
        <f>"1552380250800467"</f>
        <v>1552380250800467</v>
      </c>
      <c r="C5170" t="s">
        <v>40</v>
      </c>
      <c r="D5170">
        <v>4.7737400000000001</v>
      </c>
      <c r="E5170">
        <v>0.4052887</v>
      </c>
      <c r="F5170" t="s">
        <v>41</v>
      </c>
      <c r="G5170">
        <v>-200.76339999999999</v>
      </c>
      <c r="H5170">
        <v>0.98503719999999995</v>
      </c>
      <c r="I5170">
        <v>-59.176900000000003</v>
      </c>
      <c r="J5170">
        <v>-201.1848</v>
      </c>
      <c r="K5170">
        <v>1.121443</v>
      </c>
      <c r="L5170">
        <v>-59.925289999999997</v>
      </c>
      <c r="M5170">
        <v>0.93698419999999905</v>
      </c>
      <c r="N5170">
        <v>0</v>
      </c>
      <c r="O5170">
        <v>0.34904420000000003</v>
      </c>
      <c r="P5170">
        <v>0.75758440000000005</v>
      </c>
      <c r="Q5170">
        <v>0.1211773</v>
      </c>
      <c r="R5170">
        <v>0.64139069999999898</v>
      </c>
      <c r="S5170">
        <v>1.874268</v>
      </c>
      <c r="T5170">
        <v>-0.4256954</v>
      </c>
      <c r="U5170">
        <v>2.55484</v>
      </c>
      <c r="V5170">
        <v>-0.34026859999999998</v>
      </c>
      <c r="W5170">
        <v>0.1257277</v>
      </c>
      <c r="X5170">
        <v>0.93188510000000002</v>
      </c>
      <c r="Y5170">
        <v>-0.54736949999999995</v>
      </c>
      <c r="Z5170">
        <v>-9.341963E-3</v>
      </c>
      <c r="AA5170">
        <v>0.83683879999999999</v>
      </c>
      <c r="AB5170">
        <v>38</v>
      </c>
      <c r="AC5170">
        <v>0.42140000000000499</v>
      </c>
      <c r="AD5170">
        <v>-0.13640579999999999</v>
      </c>
      <c r="AE5170">
        <v>0.74839</v>
      </c>
      <c r="AF5170">
        <v>-0.54057066205985005</v>
      </c>
      <c r="AG5170">
        <v>-0.13640579999999999</v>
      </c>
      <c r="AH5170">
        <v>0.63999835391454696</v>
      </c>
      <c r="AI5170">
        <v>99.248039329795603</v>
      </c>
      <c r="AJ5170">
        <v>130.18590196665801</v>
      </c>
      <c r="AK5170">
        <v>0.84877622255032303</v>
      </c>
      <c r="AL5170">
        <v>82.777218583048807</v>
      </c>
      <c r="AM5170">
        <v>110.059164263783</v>
      </c>
      <c r="AN5170">
        <v>1.0000000071476201</v>
      </c>
    </row>
    <row r="5171" spans="1:40" x14ac:dyDescent="0.25">
      <c r="A5171" t="str">
        <f>"20190312164410816"</f>
        <v>20190312164410816</v>
      </c>
      <c r="B5171" t="str">
        <f>"1552380250810225"</f>
        <v>1552380250810225</v>
      </c>
      <c r="C5171" t="s">
        <v>40</v>
      </c>
      <c r="D5171">
        <v>4.7367920000000003</v>
      </c>
      <c r="E5171">
        <v>0.40570460000000003</v>
      </c>
      <c r="F5171" t="s">
        <v>50</v>
      </c>
      <c r="G5171">
        <v>-196.2543</v>
      </c>
      <c r="H5171" s="1">
        <v>-9.4369639999999995E-6</v>
      </c>
      <c r="I5171">
        <v>-53.106630000000003</v>
      </c>
      <c r="J5171">
        <v>-200.9879</v>
      </c>
      <c r="K5171">
        <v>1.121556</v>
      </c>
      <c r="L5171">
        <v>-59.84686</v>
      </c>
      <c r="M5171">
        <v>0.93456669999999997</v>
      </c>
      <c r="N5171">
        <v>0</v>
      </c>
      <c r="O5171">
        <v>0.35546529999999998</v>
      </c>
      <c r="P5171">
        <v>0.75165190000000004</v>
      </c>
      <c r="Q5171">
        <v>0.12066780000000001</v>
      </c>
      <c r="R5171">
        <v>0.648428</v>
      </c>
      <c r="S5171">
        <v>1.8552550000000001</v>
      </c>
      <c r="T5171">
        <v>-0.42198180000000002</v>
      </c>
      <c r="U5171">
        <v>2.5657350000000001</v>
      </c>
      <c r="V5171">
        <v>-0.34255999999999998</v>
      </c>
      <c r="W5171">
        <v>0.1250677</v>
      </c>
      <c r="X5171">
        <v>0.93113409999999996</v>
      </c>
      <c r="Y5171">
        <v>-0.54745840000000001</v>
      </c>
      <c r="Z5171">
        <v>-1.020835E-2</v>
      </c>
      <c r="AA5171">
        <v>0.83677069999999998</v>
      </c>
      <c r="AB5171">
        <v>38</v>
      </c>
      <c r="AC5171">
        <v>4.7335999999999903</v>
      </c>
      <c r="AD5171">
        <v>-1.121565436964</v>
      </c>
      <c r="AE5171">
        <v>6.7402299999999897</v>
      </c>
      <c r="AF5171">
        <v>-4.5330380166119504</v>
      </c>
      <c r="AG5171">
        <v>-1.121565436964</v>
      </c>
      <c r="AH5171">
        <v>6.6963947608479399</v>
      </c>
      <c r="AI5171">
        <v>97.896401704562507</v>
      </c>
      <c r="AJ5171">
        <v>124.095528743203</v>
      </c>
      <c r="AK5171">
        <v>8.1638254196518201</v>
      </c>
      <c r="AL5171">
        <v>82.815334596816001</v>
      </c>
      <c r="AM5171">
        <v>110.198339255045</v>
      </c>
      <c r="AN5171">
        <v>0.99999999768305003</v>
      </c>
    </row>
    <row r="5172" spans="1:40" x14ac:dyDescent="0.25">
      <c r="A5172" t="str">
        <f>"20190312164410829"</f>
        <v>20190312164410829</v>
      </c>
      <c r="B5172" t="str">
        <f>"1552380250819987"</f>
        <v>1552380250819987</v>
      </c>
      <c r="C5172" t="s">
        <v>40</v>
      </c>
      <c r="D5172">
        <v>4.7842099999999999</v>
      </c>
      <c r="E5172">
        <v>0.4061997</v>
      </c>
      <c r="F5172" t="s">
        <v>41</v>
      </c>
      <c r="G5172">
        <v>-200.44139999999999</v>
      </c>
      <c r="H5172">
        <v>0.99594380000000005</v>
      </c>
      <c r="I5172">
        <v>-59.077500000000001</v>
      </c>
      <c r="J5172">
        <v>-200.79580000000001</v>
      </c>
      <c r="K5172">
        <v>1.1216649999999999</v>
      </c>
      <c r="L5172">
        <v>-59.768709999999999</v>
      </c>
      <c r="M5172">
        <v>0.93213179999999995</v>
      </c>
      <c r="N5172">
        <v>0</v>
      </c>
      <c r="O5172">
        <v>0.3618014</v>
      </c>
      <c r="P5172">
        <v>0.74585760000000001</v>
      </c>
      <c r="Q5172">
        <v>0.11987059999999999</v>
      </c>
      <c r="R5172">
        <v>0.65523100000000001</v>
      </c>
      <c r="S5172">
        <v>1.8330839999999999</v>
      </c>
      <c r="T5172">
        <v>-0.42125509999999999</v>
      </c>
      <c r="U5172">
        <v>2.5800779999999999</v>
      </c>
      <c r="V5172">
        <v>-0.344666799999999</v>
      </c>
      <c r="W5172">
        <v>0.12412860000000001</v>
      </c>
      <c r="X5172">
        <v>0.93048200000000003</v>
      </c>
      <c r="Y5172">
        <v>-0.54879019999999901</v>
      </c>
      <c r="Z5172">
        <v>-1.1023450000000001E-2</v>
      </c>
      <c r="AA5172">
        <v>0.83588739999999995</v>
      </c>
      <c r="AB5172">
        <v>38</v>
      </c>
      <c r="AC5172">
        <v>0.35440000000002603</v>
      </c>
      <c r="AD5172">
        <v>-0.12572119999999901</v>
      </c>
      <c r="AE5172">
        <v>0.69120999999999799</v>
      </c>
      <c r="AF5172">
        <v>-0.50296029447763901</v>
      </c>
      <c r="AG5172">
        <v>-0.12572119999999901</v>
      </c>
      <c r="AH5172">
        <v>0.56567663888236297</v>
      </c>
      <c r="AI5172">
        <v>99.430240186669494</v>
      </c>
      <c r="AJ5172">
        <v>131.64126826362801</v>
      </c>
      <c r="AK5172">
        <v>0.76731019654877497</v>
      </c>
      <c r="AL5172">
        <v>82.869563188742205</v>
      </c>
      <c r="AM5172">
        <v>110.325510509726</v>
      </c>
      <c r="AN5172">
        <v>0.99999993234209705</v>
      </c>
    </row>
    <row r="5173" spans="1:40" x14ac:dyDescent="0.25">
      <c r="A5173" t="str">
        <f>"20190312164410842"</f>
        <v>20190312164410842</v>
      </c>
      <c r="B5173" t="str">
        <f>"1552380250829746"</f>
        <v>1552380250829746</v>
      </c>
      <c r="C5173" t="s">
        <v>40</v>
      </c>
      <c r="D5173">
        <v>4.8049419999999996</v>
      </c>
      <c r="E5173">
        <v>0.40666859999999999</v>
      </c>
      <c r="F5173" t="s">
        <v>50</v>
      </c>
      <c r="G5173">
        <v>-195.95949999999999</v>
      </c>
      <c r="H5173" s="1">
        <v>-9.5021440000000004E-6</v>
      </c>
      <c r="I5173">
        <v>-52.84639</v>
      </c>
      <c r="J5173">
        <v>-200.5993</v>
      </c>
      <c r="K5173">
        <v>1.1217839999999999</v>
      </c>
      <c r="L5173">
        <v>-59.687769999999901</v>
      </c>
      <c r="M5173">
        <v>0.92957650000000003</v>
      </c>
      <c r="N5173">
        <v>0</v>
      </c>
      <c r="O5173">
        <v>0.36831599999999998</v>
      </c>
      <c r="P5173">
        <v>0.73991119999999899</v>
      </c>
      <c r="Q5173">
        <v>0.1195113</v>
      </c>
      <c r="R5173">
        <v>0.66200349999999997</v>
      </c>
      <c r="S5173">
        <v>1.811661</v>
      </c>
      <c r="T5173">
        <v>-0.42018080000000002</v>
      </c>
      <c r="U5173">
        <v>2.5931090000000001</v>
      </c>
      <c r="V5173">
        <v>-0.34664289999999998</v>
      </c>
      <c r="W5173">
        <v>0.123628</v>
      </c>
      <c r="X5173">
        <v>0.92981440000000004</v>
      </c>
      <c r="Y5173">
        <v>-0.54959769999999997</v>
      </c>
      <c r="Z5173">
        <v>-1.189897E-2</v>
      </c>
      <c r="AA5173">
        <v>0.83534470000000005</v>
      </c>
      <c r="AB5173">
        <v>38</v>
      </c>
      <c r="AC5173">
        <v>4.6398000000000001</v>
      </c>
      <c r="AD5173">
        <v>-1.121793502144</v>
      </c>
      <c r="AE5173">
        <v>6.8413799999999902</v>
      </c>
      <c r="AF5173">
        <v>-4.5671016983401502</v>
      </c>
      <c r="AG5173">
        <v>-1.121793502144</v>
      </c>
      <c r="AH5173">
        <v>6.7100538270631596</v>
      </c>
      <c r="AI5173">
        <v>97.868746965007404</v>
      </c>
      <c r="AJ5173">
        <v>124.240598207574</v>
      </c>
      <c r="AK5173">
        <v>8.1940015222428997</v>
      </c>
      <c r="AL5173">
        <v>82.8984685870427</v>
      </c>
      <c r="AM5173">
        <v>110.445892924367</v>
      </c>
      <c r="AN5173">
        <v>1.00000000047588</v>
      </c>
    </row>
    <row r="5174" spans="1:40" x14ac:dyDescent="0.25">
      <c r="A5174" t="str">
        <f>"20190312164410860"</f>
        <v>20190312164410860</v>
      </c>
      <c r="B5174" t="str">
        <f>"1552380250850241"</f>
        <v>1552380250850241</v>
      </c>
      <c r="C5174" t="s">
        <v>40</v>
      </c>
      <c r="D5174">
        <v>4.8895949999999999</v>
      </c>
      <c r="E5174">
        <v>0.40784860000000001</v>
      </c>
      <c r="F5174" t="s">
        <v>50</v>
      </c>
      <c r="G5174">
        <v>-195.79589999999999</v>
      </c>
      <c r="H5174" s="1">
        <v>-9.5414809999999997E-6</v>
      </c>
      <c r="I5174">
        <v>-52.693249999999999</v>
      </c>
      <c r="J5174">
        <v>-200.30850000000001</v>
      </c>
      <c r="K5174">
        <v>1.1219440000000001</v>
      </c>
      <c r="L5174">
        <v>-59.564300000000003</v>
      </c>
      <c r="M5174">
        <v>0.92563379999999995</v>
      </c>
      <c r="N5174">
        <v>0</v>
      </c>
      <c r="O5174">
        <v>0.3781139</v>
      </c>
      <c r="P5174">
        <v>0.73068459999999902</v>
      </c>
      <c r="Q5174">
        <v>0.1185249</v>
      </c>
      <c r="R5174">
        <v>0.67234799999999995</v>
      </c>
      <c r="S5174">
        <v>1.7899929999999999</v>
      </c>
      <c r="T5174">
        <v>-0.41804079999999899</v>
      </c>
      <c r="U5174">
        <v>2.6065369999999999</v>
      </c>
      <c r="V5174">
        <v>-0.34986709999999999</v>
      </c>
      <c r="W5174">
        <v>0.122422699999999</v>
      </c>
      <c r="X5174">
        <v>0.92876570000000003</v>
      </c>
      <c r="Y5174">
        <v>-0.54760059999999999</v>
      </c>
      <c r="Z5174">
        <v>-1.3446710000000001E-2</v>
      </c>
      <c r="AA5174">
        <v>0.83663180000000004</v>
      </c>
      <c r="AB5174">
        <v>38</v>
      </c>
      <c r="AC5174">
        <v>4.5126000000000097</v>
      </c>
      <c r="AD5174">
        <v>-1.121953541481</v>
      </c>
      <c r="AE5174">
        <v>6.8710500000000003</v>
      </c>
      <c r="AF5174">
        <v>-4.5692239973880904</v>
      </c>
      <c r="AG5174">
        <v>-1.121953541481</v>
      </c>
      <c r="AH5174">
        <v>6.65192884729022</v>
      </c>
      <c r="AI5174">
        <v>97.914901430792497</v>
      </c>
      <c r="AJ5174">
        <v>124.485254950353</v>
      </c>
      <c r="AK5174">
        <v>8.1476834178164292</v>
      </c>
      <c r="AL5174">
        <v>82.968055916760704</v>
      </c>
      <c r="AM5174">
        <v>110.641449022854</v>
      </c>
      <c r="AN5174">
        <v>1.00000001531709</v>
      </c>
    </row>
    <row r="5175" spans="1:40" x14ac:dyDescent="0.25">
      <c r="A5175" t="str">
        <f>"20190312164410882"</f>
        <v>20190312164410882</v>
      </c>
      <c r="B5175" t="str">
        <f>"1552380250880497"</f>
        <v>1552380250880497</v>
      </c>
      <c r="C5175" t="s">
        <v>40</v>
      </c>
      <c r="D5175">
        <v>4.983943</v>
      </c>
      <c r="E5175">
        <v>0.44259330000000002</v>
      </c>
      <c r="F5175" t="s">
        <v>41</v>
      </c>
      <c r="G5175">
        <v>-199.82169999999999</v>
      </c>
      <c r="H5175">
        <v>1.0032570000000001</v>
      </c>
      <c r="I5175">
        <v>-58.838070000000002</v>
      </c>
      <c r="J5175">
        <v>-199.98310000000001</v>
      </c>
      <c r="K5175">
        <v>1.122112</v>
      </c>
      <c r="L5175">
        <v>-59.421570000000003</v>
      </c>
      <c r="M5175">
        <v>0.9210045</v>
      </c>
      <c r="N5175">
        <v>0</v>
      </c>
      <c r="O5175">
        <v>0.3892525</v>
      </c>
      <c r="P5175">
        <v>0.72102480000000002</v>
      </c>
      <c r="Q5175">
        <v>0.1173126</v>
      </c>
      <c r="R5175">
        <v>0.68290640000000002</v>
      </c>
      <c r="S5175">
        <v>1.7598879999999999</v>
      </c>
      <c r="T5175">
        <v>-0.42902760000000001</v>
      </c>
      <c r="U5175">
        <v>2.6250309999999999</v>
      </c>
      <c r="V5175">
        <v>-0.35211769999999998</v>
      </c>
      <c r="W5175">
        <v>0.1210165</v>
      </c>
      <c r="X5175">
        <v>0.92809920000000001</v>
      </c>
      <c r="Y5175">
        <v>-0.54686199999999996</v>
      </c>
      <c r="Z5175">
        <v>-1.555427E-2</v>
      </c>
      <c r="AA5175">
        <v>0.83707830000000005</v>
      </c>
      <c r="AB5175">
        <v>38</v>
      </c>
      <c r="AC5175">
        <v>0.161400000000014</v>
      </c>
      <c r="AD5175">
        <v>-0.118854999999999</v>
      </c>
      <c r="AE5175">
        <v>0.58350000000000002</v>
      </c>
      <c r="AF5175">
        <v>-0.45702157794686199</v>
      </c>
      <c r="AG5175">
        <v>-0.118854999999999</v>
      </c>
      <c r="AH5175">
        <v>0.36187537153490201</v>
      </c>
      <c r="AI5175">
        <v>101.523962299049</v>
      </c>
      <c r="AJ5175">
        <v>141.62738059217401</v>
      </c>
      <c r="AK5175">
        <v>0.59493614636998104</v>
      </c>
      <c r="AL5175">
        <v>83.049228675027607</v>
      </c>
      <c r="AM5175">
        <v>110.776576034138</v>
      </c>
      <c r="AN5175">
        <v>0.99999999648308902</v>
      </c>
    </row>
    <row r="5176" spans="1:40" x14ac:dyDescent="0.25">
      <c r="A5176" t="str">
        <f>"20190312164410893"</f>
        <v>20190312164410893</v>
      </c>
      <c r="B5176" t="str">
        <f>"1552380250890258"</f>
        <v>1552380250890258</v>
      </c>
      <c r="C5176" t="s">
        <v>40</v>
      </c>
      <c r="D5176">
        <v>4.9327350000000001</v>
      </c>
      <c r="E5176">
        <v>0.44576450000000001</v>
      </c>
      <c r="F5176" t="s">
        <v>50</v>
      </c>
      <c r="G5176">
        <v>-195.3348</v>
      </c>
      <c r="H5176" s="1">
        <v>-9.2145169999999994E-6</v>
      </c>
      <c r="I5176">
        <v>-53.465809999999998</v>
      </c>
      <c r="J5176">
        <v>-199.803</v>
      </c>
      <c r="K5176">
        <v>1.122206</v>
      </c>
      <c r="L5176">
        <v>-59.340209999999999</v>
      </c>
      <c r="M5176">
        <v>0.91833379999999998</v>
      </c>
      <c r="N5176">
        <v>0</v>
      </c>
      <c r="O5176">
        <v>0.39551140000000001</v>
      </c>
      <c r="P5176">
        <v>0.71573509999999996</v>
      </c>
      <c r="Q5176">
        <v>0.1164723</v>
      </c>
      <c r="R5176">
        <v>0.68859090000000001</v>
      </c>
      <c r="S5176">
        <v>1.913635</v>
      </c>
      <c r="T5176">
        <v>-0.46196209999999999</v>
      </c>
      <c r="U5176">
        <v>2.4519039999999999</v>
      </c>
      <c r="V5176">
        <v>-0.35309800000000002</v>
      </c>
      <c r="W5176">
        <v>0.1200788</v>
      </c>
      <c r="X5176">
        <v>0.92784849999999996</v>
      </c>
      <c r="Y5176">
        <v>-0.47964030000000002</v>
      </c>
      <c r="Z5176">
        <v>-2.375942E-2</v>
      </c>
      <c r="AA5176">
        <v>0.87714340000000002</v>
      </c>
      <c r="AB5176">
        <v>38</v>
      </c>
      <c r="AC5176">
        <v>4.4681999999999897</v>
      </c>
      <c r="AD5176">
        <v>-1.1222152145169999</v>
      </c>
      <c r="AE5176">
        <v>5.8743999999999996</v>
      </c>
      <c r="AF5176">
        <v>-3.54588303484983</v>
      </c>
      <c r="AG5176">
        <v>-1.1222152145169999</v>
      </c>
      <c r="AH5176">
        <v>6.28220463473812</v>
      </c>
      <c r="AI5176">
        <v>98.842306745546395</v>
      </c>
      <c r="AJ5176">
        <v>119.44181272685699</v>
      </c>
      <c r="AK5176">
        <v>7.3005991916591597</v>
      </c>
      <c r="AL5176">
        <v>83.103349471987201</v>
      </c>
      <c r="AM5176">
        <v>110.834605764849</v>
      </c>
      <c r="AN5176">
        <v>0.99999997738284396</v>
      </c>
    </row>
    <row r="5177" spans="1:40" x14ac:dyDescent="0.25">
      <c r="A5177" t="str">
        <f>"20190312164410905"</f>
        <v>20190312164410905</v>
      </c>
      <c r="B5177" t="str">
        <f>"1552380250900018"</f>
        <v>1552380250900018</v>
      </c>
      <c r="C5177" t="s">
        <v>40</v>
      </c>
      <c r="D5177">
        <v>4.9013869999999997</v>
      </c>
      <c r="E5177">
        <v>0.44815719999999998</v>
      </c>
      <c r="F5177" t="s">
        <v>41</v>
      </c>
      <c r="G5177">
        <v>-199.2106</v>
      </c>
      <c r="H5177">
        <v>0.98282639999999999</v>
      </c>
      <c r="I5177">
        <v>-58.580979999999997</v>
      </c>
      <c r="J5177">
        <v>-199.619</v>
      </c>
      <c r="K5177">
        <v>1.1222989999999999</v>
      </c>
      <c r="L5177">
        <v>-59.255980000000001</v>
      </c>
      <c r="M5177">
        <v>0.91553929999999994</v>
      </c>
      <c r="N5177">
        <v>0</v>
      </c>
      <c r="O5177">
        <v>0.4019373</v>
      </c>
      <c r="P5177">
        <v>0.71024659999999995</v>
      </c>
      <c r="Q5177">
        <v>0.1157905</v>
      </c>
      <c r="R5177">
        <v>0.69436469999999995</v>
      </c>
      <c r="S5177">
        <v>1.9098660000000001</v>
      </c>
      <c r="T5177">
        <v>-0.44932709999999998</v>
      </c>
      <c r="U5177">
        <v>2.44754</v>
      </c>
      <c r="V5177">
        <v>-0.35407470000000002</v>
      </c>
      <c r="W5177">
        <v>0.11929819999999999</v>
      </c>
      <c r="X5177">
        <v>0.92757699999999998</v>
      </c>
      <c r="Y5177">
        <v>-0.47372300000000001</v>
      </c>
      <c r="Z5177">
        <v>-2.465767E-2</v>
      </c>
      <c r="AA5177">
        <v>0.88032869999999996</v>
      </c>
      <c r="AB5177">
        <v>38</v>
      </c>
      <c r="AC5177">
        <v>0.40840000000002802</v>
      </c>
      <c r="AD5177">
        <v>-0.139472599999999</v>
      </c>
      <c r="AE5177">
        <v>0.67500000000000404</v>
      </c>
      <c r="AF5177">
        <v>-0.44013526126913399</v>
      </c>
      <c r="AG5177">
        <v>-0.139472599999999</v>
      </c>
      <c r="AH5177">
        <v>0.625733200760204</v>
      </c>
      <c r="AI5177">
        <v>100.33220484417301</v>
      </c>
      <c r="AJ5177">
        <v>125.122218305858</v>
      </c>
      <c r="AK5177">
        <v>0.777633392349388</v>
      </c>
      <c r="AL5177">
        <v>83.148398703484105</v>
      </c>
      <c r="AM5177">
        <v>110.892856095909</v>
      </c>
      <c r="AN5177">
        <v>1.00000002231616</v>
      </c>
    </row>
    <row r="5178" spans="1:40" x14ac:dyDescent="0.25">
      <c r="A5178" t="str">
        <f>"20190312164410918"</f>
        <v>20190312164410918</v>
      </c>
      <c r="B5178" t="str">
        <f>"1552380250909779"</f>
        <v>1552380250909779</v>
      </c>
      <c r="C5178" t="s">
        <v>40</v>
      </c>
      <c r="D5178">
        <v>4.8913320000000002</v>
      </c>
      <c r="E5178">
        <v>0.44930389999999998</v>
      </c>
      <c r="F5178" t="s">
        <v>50</v>
      </c>
      <c r="G5178">
        <v>-194.72489999999999</v>
      </c>
      <c r="H5178" s="1">
        <v>-9.3389960000000006E-6</v>
      </c>
      <c r="I5178">
        <v>-52.955880000000001</v>
      </c>
      <c r="J5178">
        <v>-199.4289</v>
      </c>
      <c r="K5178">
        <v>1.1223920000000001</v>
      </c>
      <c r="L5178">
        <v>-59.16733</v>
      </c>
      <c r="M5178">
        <v>0.91257029999999995</v>
      </c>
      <c r="N5178">
        <v>0</v>
      </c>
      <c r="O5178">
        <v>0.40863240000000001</v>
      </c>
      <c r="P5178">
        <v>0.70455210000000001</v>
      </c>
      <c r="Q5178">
        <v>0.1148757</v>
      </c>
      <c r="R5178">
        <v>0.7002929</v>
      </c>
      <c r="S5178">
        <v>1.9017029999999999</v>
      </c>
      <c r="T5178">
        <v>-0.43608980000000003</v>
      </c>
      <c r="U5178">
        <v>2.4479980000000001</v>
      </c>
      <c r="V5178">
        <v>-0.35499619999999998</v>
      </c>
      <c r="W5178">
        <v>0.1182873</v>
      </c>
      <c r="X5178">
        <v>0.92735420000000002</v>
      </c>
      <c r="Y5178">
        <v>-0.46931390000000001</v>
      </c>
      <c r="Z5178">
        <v>-2.5354249999999998E-2</v>
      </c>
      <c r="AA5178">
        <v>0.88266739999999999</v>
      </c>
      <c r="AB5178">
        <v>38</v>
      </c>
      <c r="AC5178">
        <v>4.7039999999999997</v>
      </c>
      <c r="AD5178">
        <v>-1.1224013389959999</v>
      </c>
      <c r="AE5178">
        <v>6.2114499999999904</v>
      </c>
      <c r="AF5178">
        <v>-3.6704528521562501</v>
      </c>
      <c r="AG5178">
        <v>-1.1224013389959999</v>
      </c>
      <c r="AH5178">
        <v>6.6928501918173504</v>
      </c>
      <c r="AI5178">
        <v>98.364893793667406</v>
      </c>
      <c r="AJ5178">
        <v>118.740981042919</v>
      </c>
      <c r="AK5178">
        <v>7.7153258256402601</v>
      </c>
      <c r="AL5178">
        <v>83.206731909003594</v>
      </c>
      <c r="AM5178">
        <v>110.947116025084</v>
      </c>
      <c r="AN5178">
        <v>0.99999999980668497</v>
      </c>
    </row>
    <row r="5179" spans="1:40" x14ac:dyDescent="0.25">
      <c r="A5179" t="str">
        <f>"20190312164410931"</f>
        <v>20190312164410931</v>
      </c>
      <c r="B5179" t="str">
        <f>"1552380250920515"</f>
        <v>1552380250920515</v>
      </c>
      <c r="C5179" t="s">
        <v>40</v>
      </c>
      <c r="D5179">
        <v>4.9553500000000001</v>
      </c>
      <c r="E5179">
        <v>0.4509859</v>
      </c>
      <c r="F5179" t="s">
        <v>41</v>
      </c>
      <c r="G5179">
        <v>-198.87430000000001</v>
      </c>
      <c r="H5179">
        <v>0.99546659999999998</v>
      </c>
      <c r="I5179">
        <v>-58.445500000000003</v>
      </c>
      <c r="J5179">
        <v>-199.24199999999999</v>
      </c>
      <c r="K5179">
        <v>1.122484</v>
      </c>
      <c r="L5179">
        <v>-59.078029999999998</v>
      </c>
      <c r="M5179">
        <v>0.90955889999999995</v>
      </c>
      <c r="N5179">
        <v>0</v>
      </c>
      <c r="O5179">
        <v>0.41529129999999997</v>
      </c>
      <c r="P5179">
        <v>0.69880810000000004</v>
      </c>
      <c r="Q5179">
        <v>0.1140442</v>
      </c>
      <c r="R5179">
        <v>0.70615950000000005</v>
      </c>
      <c r="S5179">
        <v>1.886719</v>
      </c>
      <c r="T5179">
        <v>-0.43188769999999999</v>
      </c>
      <c r="U5179">
        <v>2.4565730000000001</v>
      </c>
      <c r="V5179">
        <v>-0.3559194</v>
      </c>
      <c r="W5179">
        <v>0.1173607</v>
      </c>
      <c r="X5179">
        <v>0.92711809999999995</v>
      </c>
      <c r="Y5179">
        <v>-0.467808</v>
      </c>
      <c r="Z5179">
        <v>-2.6272380000000001E-2</v>
      </c>
      <c r="AA5179">
        <v>0.88343950000000004</v>
      </c>
      <c r="AB5179">
        <v>38</v>
      </c>
      <c r="AC5179">
        <v>0.36770000000001302</v>
      </c>
      <c r="AD5179">
        <v>-0.1270174</v>
      </c>
      <c r="AE5179">
        <v>0.63253000000000204</v>
      </c>
      <c r="AF5179">
        <v>-0.41030427523628299</v>
      </c>
      <c r="AG5179">
        <v>-0.1270174</v>
      </c>
      <c r="AH5179">
        <v>0.57972692465124798</v>
      </c>
      <c r="AI5179">
        <v>100.13951149589199</v>
      </c>
      <c r="AJ5179">
        <v>125.289118921018</v>
      </c>
      <c r="AK5179">
        <v>0.72150282421174505</v>
      </c>
      <c r="AL5179">
        <v>83.260194997843499</v>
      </c>
      <c r="AM5179">
        <v>111.001729263283</v>
      </c>
      <c r="AN5179">
        <v>1.00000006227422</v>
      </c>
    </row>
    <row r="5180" spans="1:40" x14ac:dyDescent="0.25">
      <c r="A5180" t="str">
        <f>"20190312164410950"</f>
        <v>20190312164410950</v>
      </c>
      <c r="B5180" t="str">
        <f>"1552380250940046"</f>
        <v>1552380250940046</v>
      </c>
      <c r="C5180" t="s">
        <v>40</v>
      </c>
      <c r="D5180">
        <v>4.9013039999999997</v>
      </c>
      <c r="E5180">
        <v>0.45248860000000002</v>
      </c>
      <c r="F5180" t="s">
        <v>41</v>
      </c>
      <c r="G5180">
        <v>-198.63300000000001</v>
      </c>
      <c r="H5180">
        <v>0.98508819999999997</v>
      </c>
      <c r="I5180">
        <v>-58.278300000000002</v>
      </c>
      <c r="J5180">
        <v>-198.95670000000001</v>
      </c>
      <c r="K5180">
        <v>1.122627</v>
      </c>
      <c r="L5180">
        <v>-58.938839999999999</v>
      </c>
      <c r="M5180">
        <v>0.90480249999999995</v>
      </c>
      <c r="N5180">
        <v>0</v>
      </c>
      <c r="O5180">
        <v>0.42555340000000003</v>
      </c>
      <c r="P5180">
        <v>0.69044619999999901</v>
      </c>
      <c r="Q5180">
        <v>0.1125834</v>
      </c>
      <c r="R5180">
        <v>0.71456919999999902</v>
      </c>
      <c r="S5180">
        <v>1.874512</v>
      </c>
      <c r="T5180">
        <v>-0.42289199999999999</v>
      </c>
      <c r="U5180">
        <v>2.4616090000000002</v>
      </c>
      <c r="V5180">
        <v>-0.35655480000000001</v>
      </c>
      <c r="W5180">
        <v>0.1157822</v>
      </c>
      <c r="X5180">
        <v>0.92707229999999996</v>
      </c>
      <c r="Y5180">
        <v>-0.46159040000000001</v>
      </c>
      <c r="Z5180">
        <v>-2.7771319999999999E-2</v>
      </c>
      <c r="AA5180">
        <v>0.88665839999999996</v>
      </c>
      <c r="AB5180">
        <v>38</v>
      </c>
      <c r="AC5180">
        <v>0.32370000000003002</v>
      </c>
      <c r="AD5180">
        <v>-0.13753879999999999</v>
      </c>
      <c r="AE5180">
        <v>0.66053999999999702</v>
      </c>
      <c r="AF5180">
        <v>-0.44442379693863598</v>
      </c>
      <c r="AG5180">
        <v>-0.13753879999999999</v>
      </c>
      <c r="AH5180">
        <v>0.55465651995201803</v>
      </c>
      <c r="AI5180">
        <v>100.95216170402399</v>
      </c>
      <c r="AJ5180">
        <v>128.70378312678801</v>
      </c>
      <c r="AK5180">
        <v>0.72392906276518398</v>
      </c>
      <c r="AL5180">
        <v>83.351256449875805</v>
      </c>
      <c r="AM5180">
        <v>111.036893535187</v>
      </c>
      <c r="AN5180">
        <v>0.99999994633358302</v>
      </c>
    </row>
    <row r="5181" spans="1:40" x14ac:dyDescent="0.25">
      <c r="A5181" t="str">
        <f>"20190312164410962"</f>
        <v>20190312164410962</v>
      </c>
      <c r="B5181" t="str">
        <f>"1552380250960529"</f>
        <v>1552380250960529</v>
      </c>
      <c r="C5181" t="s">
        <v>40</v>
      </c>
      <c r="D5181">
        <v>5.2188540000000003</v>
      </c>
      <c r="E5181">
        <v>0.4540073</v>
      </c>
      <c r="F5181" t="s">
        <v>41</v>
      </c>
      <c r="G5181">
        <v>-198.34649999999999</v>
      </c>
      <c r="H5181">
        <v>0.98570000000000002</v>
      </c>
      <c r="I5181">
        <v>-58.122839999999997</v>
      </c>
      <c r="J5181">
        <v>-198.7731</v>
      </c>
      <c r="K5181">
        <v>1.122722</v>
      </c>
      <c r="L5181">
        <v>-58.847560000000001</v>
      </c>
      <c r="M5181">
        <v>0.90164069999999996</v>
      </c>
      <c r="N5181">
        <v>0</v>
      </c>
      <c r="O5181">
        <v>0.43221159999999997</v>
      </c>
      <c r="P5181">
        <v>0.684957699999999</v>
      </c>
      <c r="Q5181">
        <v>0.1120568</v>
      </c>
      <c r="R5181">
        <v>0.7199141</v>
      </c>
      <c r="S5181">
        <v>1.850876</v>
      </c>
      <c r="T5181">
        <v>-0.41536469999999998</v>
      </c>
      <c r="U5181">
        <v>2.475403</v>
      </c>
      <c r="V5181">
        <v>-0.35690090000000002</v>
      </c>
      <c r="W5181">
        <v>0.1151802</v>
      </c>
      <c r="X5181">
        <v>0.92701420000000001</v>
      </c>
      <c r="Y5181">
        <v>-0.46289609999999898</v>
      </c>
      <c r="Z5181">
        <v>-2.8208919999999998E-2</v>
      </c>
      <c r="AA5181">
        <v>0.88596359999999996</v>
      </c>
      <c r="AB5181">
        <v>38</v>
      </c>
      <c r="AC5181">
        <v>0.42660000000000697</v>
      </c>
      <c r="AD5181">
        <v>-0.13702199999999901</v>
      </c>
      <c r="AE5181">
        <v>0.72471999999999004</v>
      </c>
      <c r="AF5181">
        <v>-0.45697926063550398</v>
      </c>
      <c r="AG5181">
        <v>-0.13702199999999901</v>
      </c>
      <c r="AH5181">
        <v>0.67990487202555205</v>
      </c>
      <c r="AI5181">
        <v>99.495489537719706</v>
      </c>
      <c r="AJ5181">
        <v>123.90592979545001</v>
      </c>
      <c r="AK5181">
        <v>0.83058756801378497</v>
      </c>
      <c r="AL5181">
        <v>83.385981378114593</v>
      </c>
      <c r="AM5181">
        <v>111.056728898278</v>
      </c>
      <c r="AN5181">
        <v>1.0000000289472399</v>
      </c>
    </row>
    <row r="5182" spans="1:40" x14ac:dyDescent="0.25">
      <c r="A5182" t="str">
        <f>"20190312164410974"</f>
        <v>20190312164410974</v>
      </c>
      <c r="B5182" t="str">
        <f>"1552380250970290"</f>
        <v>1552380250970290</v>
      </c>
      <c r="C5182" t="s">
        <v>40</v>
      </c>
      <c r="D5182">
        <v>4.912452</v>
      </c>
      <c r="E5182">
        <v>0.45463500000000001</v>
      </c>
      <c r="F5182" t="s">
        <v>50</v>
      </c>
      <c r="G5182">
        <v>-193.6823</v>
      </c>
      <c r="H5182" s="1">
        <v>-9.5902020000000006E-6</v>
      </c>
      <c r="I5182">
        <v>-51.978520000000003</v>
      </c>
      <c r="J5182">
        <v>-198.59389999999999</v>
      </c>
      <c r="K5182">
        <v>1.1228149999999999</v>
      </c>
      <c r="L5182">
        <v>-58.755980000000001</v>
      </c>
      <c r="M5182">
        <v>0.89845010000000003</v>
      </c>
      <c r="N5182">
        <v>0</v>
      </c>
      <c r="O5182">
        <v>0.43880449999999999</v>
      </c>
      <c r="P5182">
        <v>0.67977540000000003</v>
      </c>
      <c r="Q5182">
        <v>0.1119677</v>
      </c>
      <c r="R5182">
        <v>0.7248232</v>
      </c>
      <c r="S5182">
        <v>1.8386690000000001</v>
      </c>
      <c r="T5182">
        <v>-0.40549770000000002</v>
      </c>
      <c r="U5182">
        <v>2.480896</v>
      </c>
      <c r="V5182">
        <v>-0.35679729999999998</v>
      </c>
      <c r="W5182">
        <v>0.11503480000000001</v>
      </c>
      <c r="X5182">
        <v>0.92707209999999995</v>
      </c>
      <c r="Y5182">
        <v>-0.46023370000000002</v>
      </c>
      <c r="Z5182">
        <v>-2.8720409999999998E-2</v>
      </c>
      <c r="AA5182">
        <v>0.88733309999999999</v>
      </c>
      <c r="AB5182">
        <v>38</v>
      </c>
      <c r="AC5182">
        <v>4.9115999999999902</v>
      </c>
      <c r="AD5182">
        <v>-1.122824590202</v>
      </c>
      <c r="AE5182">
        <v>6.7774599999999996</v>
      </c>
      <c r="AF5182">
        <v>-3.8648944392959201</v>
      </c>
      <c r="AG5182">
        <v>-1.122824590202</v>
      </c>
      <c r="AH5182">
        <v>7.25709070706431</v>
      </c>
      <c r="AI5182">
        <v>97.776319860850194</v>
      </c>
      <c r="AJ5182">
        <v>118.038337483174</v>
      </c>
      <c r="AK5182">
        <v>8.29840404040573</v>
      </c>
      <c r="AL5182">
        <v>83.394367727585305</v>
      </c>
      <c r="AM5182">
        <v>111.049952510338</v>
      </c>
      <c r="AN5182">
        <v>0.99999999854836996</v>
      </c>
    </row>
    <row r="5183" spans="1:40" x14ac:dyDescent="0.25">
      <c r="A5183" t="str">
        <f>"20190312164410995"</f>
        <v>20190312164410995</v>
      </c>
      <c r="B5183" t="str">
        <f>"1552380250989810"</f>
        <v>1552380250989810</v>
      </c>
      <c r="C5183" t="s">
        <v>40</v>
      </c>
      <c r="D5183">
        <v>4.9438440000000003</v>
      </c>
      <c r="E5183">
        <v>0.45572580000000001</v>
      </c>
      <c r="F5183" t="s">
        <v>41</v>
      </c>
      <c r="G5183">
        <v>-198.03739999999999</v>
      </c>
      <c r="H5183">
        <v>1.001215</v>
      </c>
      <c r="I5183">
        <v>-57.99579</v>
      </c>
      <c r="J5183">
        <v>-198.2979</v>
      </c>
      <c r="K5183">
        <v>1.12297</v>
      </c>
      <c r="L5183">
        <v>-58.601649999999999</v>
      </c>
      <c r="M5183">
        <v>0.89300009999999996</v>
      </c>
      <c r="N5183">
        <v>0</v>
      </c>
      <c r="O5183">
        <v>0.44979059999999998</v>
      </c>
      <c r="P5183">
        <v>0.67066740000000002</v>
      </c>
      <c r="Q5183">
        <v>0.1124492</v>
      </c>
      <c r="R5183">
        <v>0.73318509999999903</v>
      </c>
      <c r="S5183">
        <v>1.82338</v>
      </c>
      <c r="T5183">
        <v>-0.3983738</v>
      </c>
      <c r="U5183">
        <v>2.4904169999999999</v>
      </c>
      <c r="V5183">
        <v>-0.35700359999999998</v>
      </c>
      <c r="W5183">
        <v>0.115408</v>
      </c>
      <c r="X5183">
        <v>0.9269463</v>
      </c>
      <c r="Y5183">
        <v>-0.45461889999999999</v>
      </c>
      <c r="Z5183">
        <v>-3.0196850000000001E-2</v>
      </c>
      <c r="AA5183">
        <v>0.89017400000000002</v>
      </c>
      <c r="AB5183">
        <v>38</v>
      </c>
      <c r="AC5183">
        <v>0.260500000000007</v>
      </c>
      <c r="AD5183">
        <v>-0.121755</v>
      </c>
      <c r="AE5183">
        <v>0.60585999999999895</v>
      </c>
      <c r="AF5183">
        <v>-0.40994065479693698</v>
      </c>
      <c r="AG5183">
        <v>-0.121755</v>
      </c>
      <c r="AH5183">
        <v>0.488545245494029</v>
      </c>
      <c r="AI5183">
        <v>100.808431861336</v>
      </c>
      <c r="AJ5183">
        <v>130.00017339525999</v>
      </c>
      <c r="AK5183">
        <v>0.64927041929781604</v>
      </c>
      <c r="AL5183">
        <v>83.372841650893207</v>
      </c>
      <c r="AM5183">
        <v>111.063664378856</v>
      </c>
      <c r="AN5183">
        <v>1.0000000099803199</v>
      </c>
    </row>
    <row r="5184" spans="1:40" x14ac:dyDescent="0.25">
      <c r="A5184" t="str">
        <f>"20190312164411008"</f>
        <v>20190312164411008</v>
      </c>
      <c r="B5184" t="str">
        <f>"1552380251000547"</f>
        <v>1552380251000547</v>
      </c>
      <c r="C5184" t="s">
        <v>40</v>
      </c>
      <c r="D5184">
        <v>4.8806580000000004</v>
      </c>
      <c r="E5184">
        <v>0.45623010000000003</v>
      </c>
      <c r="F5184" t="s">
        <v>41</v>
      </c>
      <c r="G5184">
        <v>-197.7508</v>
      </c>
      <c r="H5184">
        <v>1.006173</v>
      </c>
      <c r="I5184">
        <v>-57.839120000000001</v>
      </c>
      <c r="J5184">
        <v>-198.1063</v>
      </c>
      <c r="K5184">
        <v>1.123068</v>
      </c>
      <c r="L5184">
        <v>-58.499180000000003</v>
      </c>
      <c r="M5184">
        <v>0.88933779999999996</v>
      </c>
      <c r="N5184">
        <v>0</v>
      </c>
      <c r="O5184">
        <v>0.45698840000000002</v>
      </c>
      <c r="P5184">
        <v>0.66468289999999997</v>
      </c>
      <c r="Q5184">
        <v>0.1124445</v>
      </c>
      <c r="R5184">
        <v>0.73861560000000004</v>
      </c>
      <c r="S5184">
        <v>1.797836</v>
      </c>
      <c r="T5184">
        <v>-0.38382860000000002</v>
      </c>
      <c r="U5184">
        <v>2.5060730000000002</v>
      </c>
      <c r="V5184">
        <v>-0.35708440000000002</v>
      </c>
      <c r="W5184">
        <v>0.1153351</v>
      </c>
      <c r="X5184">
        <v>0.92692419999999998</v>
      </c>
      <c r="Y5184">
        <v>-0.45609300000000003</v>
      </c>
      <c r="Z5184">
        <v>-3.0029429999999999E-2</v>
      </c>
      <c r="AA5184">
        <v>0.88942529999999997</v>
      </c>
      <c r="AB5184">
        <v>38</v>
      </c>
      <c r="AC5184">
        <v>0.35550000000000598</v>
      </c>
      <c r="AD5184">
        <v>-0.116894999999999</v>
      </c>
      <c r="AE5184">
        <v>0.66006000000000797</v>
      </c>
      <c r="AF5184">
        <v>-0.41453006456807301</v>
      </c>
      <c r="AG5184">
        <v>-0.116894999999999</v>
      </c>
      <c r="AH5184">
        <v>0.60320862904598904</v>
      </c>
      <c r="AI5184">
        <v>99.074171622411001</v>
      </c>
      <c r="AJ5184">
        <v>124.497178121095</v>
      </c>
      <c r="AK5184">
        <v>0.74118841438014404</v>
      </c>
      <c r="AL5184">
        <v>83.377046281385901</v>
      </c>
      <c r="AM5184">
        <v>111.068471715531</v>
      </c>
      <c r="AN5184">
        <v>0.999999963280504</v>
      </c>
    </row>
    <row r="5185" spans="1:40" x14ac:dyDescent="0.25">
      <c r="A5185" t="str">
        <f>"20190312164411020"</f>
        <v>20190312164411020</v>
      </c>
      <c r="B5185" t="str">
        <f>"1552380251010306"</f>
        <v>1552380251010306</v>
      </c>
      <c r="C5185" t="s">
        <v>40</v>
      </c>
      <c r="D5185">
        <v>5.0466030000000002</v>
      </c>
      <c r="E5185">
        <v>0.45653569999999999</v>
      </c>
      <c r="F5185" t="s">
        <v>41</v>
      </c>
      <c r="G5185">
        <v>-197.499</v>
      </c>
      <c r="H5185">
        <v>0.99375469999999999</v>
      </c>
      <c r="I5185">
        <v>-57.640349999999998</v>
      </c>
      <c r="J5185">
        <v>-197.92420000000001</v>
      </c>
      <c r="K5185">
        <v>1.1231640000000001</v>
      </c>
      <c r="L5185">
        <v>-58.400390000000002</v>
      </c>
      <c r="M5185">
        <v>0.88576779999999999</v>
      </c>
      <c r="N5185">
        <v>0</v>
      </c>
      <c r="O5185">
        <v>0.46386919999999998</v>
      </c>
      <c r="P5185">
        <v>0.65895930000000003</v>
      </c>
      <c r="Q5185">
        <v>0.11257010000000001</v>
      </c>
      <c r="R5185">
        <v>0.74370740000000002</v>
      </c>
      <c r="S5185">
        <v>1.7802279999999999</v>
      </c>
      <c r="T5185">
        <v>-0.37903369999999997</v>
      </c>
      <c r="U5185">
        <v>2.517334</v>
      </c>
      <c r="V5185">
        <v>-0.357072099999999</v>
      </c>
      <c r="W5185">
        <v>0.1153985</v>
      </c>
      <c r="X5185">
        <v>0.92692110000000005</v>
      </c>
      <c r="Y5185">
        <v>-0.45526359999999899</v>
      </c>
      <c r="Z5185">
        <v>-3.0667670000000001E-2</v>
      </c>
      <c r="AA5185">
        <v>0.88982839999999996</v>
      </c>
      <c r="AB5185">
        <v>38</v>
      </c>
      <c r="AC5185">
        <v>0.42519999999998898</v>
      </c>
      <c r="AD5185">
        <v>-0.1294093</v>
      </c>
      <c r="AE5185">
        <v>0.76004000000000305</v>
      </c>
      <c r="AF5185">
        <v>-0.46575517395398802</v>
      </c>
      <c r="AG5185">
        <v>-0.1294093</v>
      </c>
      <c r="AH5185">
        <v>0.713520816450395</v>
      </c>
      <c r="AI5185">
        <v>98.635782070254393</v>
      </c>
      <c r="AJ5185">
        <v>123.134744724825</v>
      </c>
      <c r="AK5185">
        <v>0.86185068573357804</v>
      </c>
      <c r="AL5185">
        <v>83.373389635467902</v>
      </c>
      <c r="AM5185">
        <v>111.06787394493</v>
      </c>
      <c r="AN5185">
        <v>1.00000001201293</v>
      </c>
    </row>
    <row r="5186" spans="1:40" x14ac:dyDescent="0.25">
      <c r="A5186" t="str">
        <f>"20190312164411040"</f>
        <v>20190312164411040</v>
      </c>
      <c r="B5186" t="str">
        <f>"1552380251029826"</f>
        <v>1552380251029826</v>
      </c>
      <c r="C5186" t="s">
        <v>40</v>
      </c>
      <c r="D5186">
        <v>5.0129609999999998</v>
      </c>
      <c r="E5186">
        <v>0.45731559999999999</v>
      </c>
      <c r="F5186" t="s">
        <v>50</v>
      </c>
      <c r="G5186">
        <v>-192.6694</v>
      </c>
      <c r="H5186" s="1">
        <v>-9.8964260000000001E-6</v>
      </c>
      <c r="I5186">
        <v>-50.858020000000003</v>
      </c>
      <c r="J5186">
        <v>-197.63419999999999</v>
      </c>
      <c r="K5186">
        <v>1.1233200000000001</v>
      </c>
      <c r="L5186">
        <v>-58.238460000000003</v>
      </c>
      <c r="M5186">
        <v>0.87985239999999998</v>
      </c>
      <c r="N5186">
        <v>0</v>
      </c>
      <c r="O5186">
        <v>0.47499249999999998</v>
      </c>
      <c r="P5186">
        <v>0.65010630000000003</v>
      </c>
      <c r="Q5186">
        <v>0.11295230000000001</v>
      </c>
      <c r="R5186">
        <v>0.75140109999999904</v>
      </c>
      <c r="S5186">
        <v>1.7622529999999901</v>
      </c>
      <c r="T5186">
        <v>-0.37666870000000002</v>
      </c>
      <c r="U5186">
        <v>2.5294189999999999</v>
      </c>
      <c r="V5186">
        <v>-0.35637669999999999</v>
      </c>
      <c r="W5186">
        <v>0.1157074</v>
      </c>
      <c r="X5186">
        <v>0.92715020000000004</v>
      </c>
      <c r="Y5186">
        <v>-0.4503818</v>
      </c>
      <c r="Z5186">
        <v>-3.2316829999999998E-2</v>
      </c>
      <c r="AA5186">
        <v>0.89225100000000002</v>
      </c>
      <c r="AB5186">
        <v>38</v>
      </c>
      <c r="AC5186">
        <v>4.9647999999999897</v>
      </c>
      <c r="AD5186">
        <v>-1.1233298964259999</v>
      </c>
      <c r="AE5186">
        <v>7.3804399999999903</v>
      </c>
      <c r="AF5186">
        <v>-4.0710273708674798</v>
      </c>
      <c r="AG5186">
        <v>-1.1233298964259999</v>
      </c>
      <c r="AH5186">
        <v>7.7512738805255204</v>
      </c>
      <c r="AI5186">
        <v>97.311256704227702</v>
      </c>
      <c r="AJ5186">
        <v>117.708793176206</v>
      </c>
      <c r="AK5186">
        <v>8.8270822292235298</v>
      </c>
      <c r="AL5186">
        <v>83.355571692377097</v>
      </c>
      <c r="AM5186">
        <v>111.02569184508199</v>
      </c>
      <c r="AN5186">
        <v>1.00000002403884</v>
      </c>
    </row>
    <row r="5187" spans="1:40" x14ac:dyDescent="0.25">
      <c r="A5187" t="str">
        <f>"20190312164411063"</f>
        <v>20190312164411063</v>
      </c>
      <c r="B5187" t="str">
        <f>"1552380251060082"</f>
        <v>1552380251060082</v>
      </c>
      <c r="C5187" t="s">
        <v>40</v>
      </c>
      <c r="D5187">
        <v>4.8991480000000003</v>
      </c>
      <c r="E5187">
        <v>0.45860669999999998</v>
      </c>
      <c r="F5187" t="s">
        <v>50</v>
      </c>
      <c r="G5187">
        <v>-192.4023</v>
      </c>
      <c r="H5187" s="1">
        <v>-9.9747699999999994E-6</v>
      </c>
      <c r="I5187">
        <v>-50.569130000000001</v>
      </c>
      <c r="J5187">
        <v>-197.33070000000001</v>
      </c>
      <c r="K5187">
        <v>1.123483</v>
      </c>
      <c r="L5187">
        <v>-58.063569999999999</v>
      </c>
      <c r="M5187">
        <v>0.87336689999999995</v>
      </c>
      <c r="N5187">
        <v>0</v>
      </c>
      <c r="O5187">
        <v>0.4868131</v>
      </c>
      <c r="P5187">
        <v>0.64066160000000005</v>
      </c>
      <c r="Q5187">
        <v>0.1136877</v>
      </c>
      <c r="R5187">
        <v>0.75936009999999998</v>
      </c>
      <c r="S5187">
        <v>1.73680099999999</v>
      </c>
      <c r="T5187">
        <v>-0.37289860000000002</v>
      </c>
      <c r="U5187">
        <v>2.5458980000000002</v>
      </c>
      <c r="V5187">
        <v>-0.35544140000000002</v>
      </c>
      <c r="W5187">
        <v>0.1163742</v>
      </c>
      <c r="X5187">
        <v>0.92742570000000002</v>
      </c>
      <c r="Y5187">
        <v>-0.44719599999999998</v>
      </c>
      <c r="Z5187">
        <v>-3.3811430000000003E-2</v>
      </c>
      <c r="AA5187">
        <v>0.893796699999999</v>
      </c>
      <c r="AB5187">
        <v>37</v>
      </c>
      <c r="AC5187">
        <v>4.9284000000000097</v>
      </c>
      <c r="AD5187">
        <v>-1.12349297477</v>
      </c>
      <c r="AE5187">
        <v>7.4944399999999902</v>
      </c>
      <c r="AF5187">
        <v>-4.0826397343872101</v>
      </c>
      <c r="AG5187">
        <v>-1.12349297477</v>
      </c>
      <c r="AH5187">
        <v>7.8308062577700897</v>
      </c>
      <c r="AI5187">
        <v>97.250171730796893</v>
      </c>
      <c r="AJ5187">
        <v>117.535565038448</v>
      </c>
      <c r="AK5187">
        <v>8.9023429675499397</v>
      </c>
      <c r="AL5187">
        <v>83.317106762221897</v>
      </c>
      <c r="AM5187">
        <v>110.96962667159799</v>
      </c>
      <c r="AN5187">
        <v>0.99999998614004404</v>
      </c>
    </row>
    <row r="5188" spans="1:40" x14ac:dyDescent="0.25">
      <c r="A5188" t="str">
        <f>"20190312164411084"</f>
        <v>20190312164411084</v>
      </c>
      <c r="B5188" t="str">
        <f>"1552380251080578"</f>
        <v>1552380251080578</v>
      </c>
      <c r="C5188" t="s">
        <v>40</v>
      </c>
      <c r="D5188">
        <v>4.8492540000000002</v>
      </c>
      <c r="E5188">
        <v>0.45920450000000002</v>
      </c>
      <c r="F5188" t="s">
        <v>41</v>
      </c>
      <c r="G5188">
        <v>-196.69210000000001</v>
      </c>
      <c r="H5188">
        <v>0.98870279999999999</v>
      </c>
      <c r="I5188">
        <v>-57.10895</v>
      </c>
      <c r="J5188">
        <v>-197.0231</v>
      </c>
      <c r="K5188">
        <v>1.1236539999999999</v>
      </c>
      <c r="L5188">
        <v>-57.880429999999997</v>
      </c>
      <c r="M5188">
        <v>0.86646780000000001</v>
      </c>
      <c r="N5188">
        <v>0</v>
      </c>
      <c r="O5188">
        <v>0.49898799999999999</v>
      </c>
      <c r="P5188">
        <v>0.63136879999999995</v>
      </c>
      <c r="Q5188">
        <v>0.1144573</v>
      </c>
      <c r="R5188">
        <v>0.76698959999999905</v>
      </c>
      <c r="S5188">
        <v>1.71225</v>
      </c>
      <c r="T5188">
        <v>-0.36142099999999999</v>
      </c>
      <c r="U5188">
        <v>2.560181</v>
      </c>
      <c r="V5188">
        <v>-0.35372799999999999</v>
      </c>
      <c r="W5188">
        <v>0.1171063</v>
      </c>
      <c r="X5188">
        <v>0.92798849999999999</v>
      </c>
      <c r="Y5188">
        <v>-0.44297690000000001</v>
      </c>
      <c r="Z5188">
        <v>-3.4662499999999999E-2</v>
      </c>
      <c r="AA5188">
        <v>0.89586270000000001</v>
      </c>
      <c r="AB5188">
        <v>37</v>
      </c>
      <c r="AC5188">
        <v>0.33099999999998803</v>
      </c>
      <c r="AD5188">
        <v>-0.13495119999999999</v>
      </c>
      <c r="AE5188">
        <v>0.77148000000000305</v>
      </c>
      <c r="AF5188">
        <v>-0.49067905653414701</v>
      </c>
      <c r="AG5188">
        <v>-0.13495119999999999</v>
      </c>
      <c r="AH5188">
        <v>0.65491797812710595</v>
      </c>
      <c r="AI5188">
        <v>99.364258353817206</v>
      </c>
      <c r="AJ5188">
        <v>126.84136383019199</v>
      </c>
      <c r="AK5188">
        <v>0.82939455084825497</v>
      </c>
      <c r="AL5188">
        <v>83.274871965153594</v>
      </c>
      <c r="AM5188">
        <v>110.865702783987</v>
      </c>
      <c r="AN5188">
        <v>1.0000000198079699</v>
      </c>
    </row>
    <row r="5189" spans="1:40" x14ac:dyDescent="0.25">
      <c r="A5189" t="str">
        <f>"20190312164411107"</f>
        <v>20190312164411107</v>
      </c>
      <c r="B5189" t="str">
        <f>"1552380251100098"</f>
        <v>1552380251100098</v>
      </c>
      <c r="C5189" t="s">
        <v>40</v>
      </c>
      <c r="D5189">
        <v>4.8638629999999896</v>
      </c>
      <c r="E5189">
        <v>0.45983819999999997</v>
      </c>
      <c r="F5189" t="s">
        <v>41</v>
      </c>
      <c r="G5189">
        <v>-196.41159999999999</v>
      </c>
      <c r="H5189">
        <v>0.99482329999999997</v>
      </c>
      <c r="I5189">
        <v>-56.944420000000001</v>
      </c>
      <c r="J5189">
        <v>-196.691</v>
      </c>
      <c r="K5189">
        <v>1.123821</v>
      </c>
      <c r="L5189">
        <v>-57.675960000000003</v>
      </c>
      <c r="M5189">
        <v>0.85864949999999995</v>
      </c>
      <c r="N5189">
        <v>0</v>
      </c>
      <c r="O5189">
        <v>0.51232290000000003</v>
      </c>
      <c r="P5189">
        <v>0.62062810000000002</v>
      </c>
      <c r="Q5189">
        <v>0.1144206</v>
      </c>
      <c r="R5189">
        <v>0.77571179999999995</v>
      </c>
      <c r="S5189">
        <v>1.684402</v>
      </c>
      <c r="T5189">
        <v>-0.35482900000000001</v>
      </c>
      <c r="U5189">
        <v>2.5777890000000001</v>
      </c>
      <c r="V5189">
        <v>-0.3523558</v>
      </c>
      <c r="W5189">
        <v>0.1170211</v>
      </c>
      <c r="X5189">
        <v>0.92852109999999999</v>
      </c>
      <c r="Y5189">
        <v>-0.43877480000000002</v>
      </c>
      <c r="Z5189">
        <v>-3.602379E-2</v>
      </c>
      <c r="AA5189">
        <v>0.89787469999999903</v>
      </c>
      <c r="AB5189">
        <v>37</v>
      </c>
      <c r="AC5189">
        <v>0.279399999999981</v>
      </c>
      <c r="AD5189">
        <v>-0.12899769999999999</v>
      </c>
      <c r="AE5189">
        <v>0.73154000000000197</v>
      </c>
      <c r="AF5189">
        <v>-0.47223835598956998</v>
      </c>
      <c r="AG5189">
        <v>-0.12899769999999999</v>
      </c>
      <c r="AH5189">
        <v>0.59852529398573195</v>
      </c>
      <c r="AI5189">
        <v>99.603561165637799</v>
      </c>
      <c r="AJ5189">
        <v>128.273551965509</v>
      </c>
      <c r="AK5189">
        <v>0.77322829682683603</v>
      </c>
      <c r="AL5189">
        <v>83.279787163139204</v>
      </c>
      <c r="AM5189">
        <v>110.78078514833901</v>
      </c>
      <c r="AN5189">
        <v>0.99999999039203002</v>
      </c>
    </row>
    <row r="5190" spans="1:40" x14ac:dyDescent="0.25">
      <c r="A5190" t="str">
        <f>"20190312164411129"</f>
        <v>20190312164411129</v>
      </c>
      <c r="B5190" t="str">
        <f>"1552380251120594"</f>
        <v>1552380251120594</v>
      </c>
      <c r="C5190" t="s">
        <v>40</v>
      </c>
      <c r="D5190">
        <v>4.8575339999999896</v>
      </c>
      <c r="E5190">
        <v>0.46037790000000001</v>
      </c>
      <c r="F5190" t="s">
        <v>41</v>
      </c>
      <c r="G5190">
        <v>-196.12479999999999</v>
      </c>
      <c r="H5190">
        <v>1.0028549999999901</v>
      </c>
      <c r="I5190">
        <v>-56.785499999999999</v>
      </c>
      <c r="J5190">
        <v>-196.38489999999999</v>
      </c>
      <c r="K5190">
        <v>1.123966</v>
      </c>
      <c r="L5190">
        <v>-57.481140000000003</v>
      </c>
      <c r="M5190">
        <v>0.85109080000000004</v>
      </c>
      <c r="N5190">
        <v>0</v>
      </c>
      <c r="O5190">
        <v>0.52478269999999905</v>
      </c>
      <c r="P5190">
        <v>0.61056440000000001</v>
      </c>
      <c r="Q5190">
        <v>0.11407390000000001</v>
      </c>
      <c r="R5190">
        <v>0.78370819999999997</v>
      </c>
      <c r="S5190">
        <v>1.651672</v>
      </c>
      <c r="T5190">
        <v>-0.35289189999999998</v>
      </c>
      <c r="U5190">
        <v>2.5979920000000001</v>
      </c>
      <c r="V5190">
        <v>-0.35088160000000002</v>
      </c>
      <c r="W5190">
        <v>0.1166446</v>
      </c>
      <c r="X5190">
        <v>0.92912660000000002</v>
      </c>
      <c r="Y5190">
        <v>-0.43695519999999999</v>
      </c>
      <c r="Z5190">
        <v>-3.7560879999999998E-2</v>
      </c>
      <c r="AA5190">
        <v>0.89869869999999996</v>
      </c>
      <c r="AB5190">
        <v>37</v>
      </c>
      <c r="AC5190">
        <v>0.260099999999994</v>
      </c>
      <c r="AD5190">
        <v>-0.121111</v>
      </c>
      <c r="AE5190">
        <v>0.69564000000000403</v>
      </c>
      <c r="AF5190">
        <v>-0.44381091888130803</v>
      </c>
      <c r="AG5190">
        <v>-0.121111</v>
      </c>
      <c r="AH5190">
        <v>0.57130830230894403</v>
      </c>
      <c r="AI5190">
        <v>99.503785802418605</v>
      </c>
      <c r="AJ5190">
        <v>127.84122596244499</v>
      </c>
      <c r="AK5190">
        <v>0.73350472549697898</v>
      </c>
      <c r="AL5190">
        <v>83.301508173009594</v>
      </c>
      <c r="AM5190">
        <v>110.68887851359599</v>
      </c>
      <c r="AN5190">
        <v>1.00000004937763</v>
      </c>
    </row>
    <row r="5191" spans="1:40" x14ac:dyDescent="0.25">
      <c r="A5191" t="str">
        <f>"20190312164411143"</f>
        <v>20190312164411143</v>
      </c>
      <c r="B5191" t="str">
        <f>"1552380251140114"</f>
        <v>1552380251140114</v>
      </c>
      <c r="C5191" t="s">
        <v>40</v>
      </c>
      <c r="D5191">
        <v>4.8827069999999999</v>
      </c>
      <c r="E5191">
        <v>0.46082400000000001</v>
      </c>
      <c r="F5191" t="s">
        <v>41</v>
      </c>
      <c r="G5191">
        <v>-195.84829999999999</v>
      </c>
      <c r="H5191">
        <v>1.0070059999999901</v>
      </c>
      <c r="I5191">
        <v>-56.614649999999997</v>
      </c>
      <c r="J5191">
        <v>-196.2056</v>
      </c>
      <c r="K5191">
        <v>1.1240479999999999</v>
      </c>
      <c r="L5191">
        <v>-57.36459</v>
      </c>
      <c r="M5191">
        <v>0.84651369999999904</v>
      </c>
      <c r="N5191">
        <v>0</v>
      </c>
      <c r="O5191">
        <v>0.53213350000000004</v>
      </c>
      <c r="P5191">
        <v>0.60440689999999997</v>
      </c>
      <c r="Q5191">
        <v>0.1135694</v>
      </c>
      <c r="R5191">
        <v>0.7885394</v>
      </c>
      <c r="S5191">
        <v>1.620682</v>
      </c>
      <c r="T5191">
        <v>-0.35322629999999999</v>
      </c>
      <c r="U5191">
        <v>2.6167600000000002</v>
      </c>
      <c r="V5191">
        <v>-0.35018199999999999</v>
      </c>
      <c r="W5191">
        <v>0.116117</v>
      </c>
      <c r="X5191">
        <v>0.92945650000000002</v>
      </c>
      <c r="Y5191">
        <v>-0.43975959999999997</v>
      </c>
      <c r="Z5191">
        <v>-3.84035E-2</v>
      </c>
      <c r="AA5191">
        <v>0.89729400000000004</v>
      </c>
      <c r="AB5191">
        <v>37</v>
      </c>
      <c r="AC5191">
        <v>0.357300000000009</v>
      </c>
      <c r="AD5191">
        <v>-0.11704199999999999</v>
      </c>
      <c r="AE5191">
        <v>0.74994000000000205</v>
      </c>
      <c r="AF5191">
        <v>-0.43610128454533198</v>
      </c>
      <c r="AG5191">
        <v>-0.11704199999999999</v>
      </c>
      <c r="AH5191">
        <v>0.68795788468674002</v>
      </c>
      <c r="AI5191">
        <v>98.1769437939178</v>
      </c>
      <c r="AJ5191">
        <v>122.37089439047</v>
      </c>
      <c r="AK5191">
        <v>0.82290291726833897</v>
      </c>
      <c r="AL5191">
        <v>83.331943837983104</v>
      </c>
      <c r="AM5191">
        <v>110.644400525957</v>
      </c>
      <c r="AN5191">
        <v>0.99999998810262403</v>
      </c>
    </row>
    <row r="5192" spans="1:40" x14ac:dyDescent="0.25">
      <c r="A5192" t="str">
        <f>"20190312164411163"</f>
        <v>20190312164411163</v>
      </c>
      <c r="B5192" t="str">
        <f>"1552380251159634"</f>
        <v>1552380251159634</v>
      </c>
      <c r="C5192" t="s">
        <v>40</v>
      </c>
      <c r="D5192">
        <v>4.9194319999999996</v>
      </c>
      <c r="E5192">
        <v>0.46123530000000001</v>
      </c>
      <c r="F5192" t="s">
        <v>41</v>
      </c>
      <c r="G5192">
        <v>-195.61619999999999</v>
      </c>
      <c r="H5192">
        <v>0.9937319</v>
      </c>
      <c r="I5192">
        <v>-56.398359999999997</v>
      </c>
      <c r="J5192">
        <v>-195.94069999999999</v>
      </c>
      <c r="K5192">
        <v>1.1241680000000001</v>
      </c>
      <c r="L5192">
        <v>-57.187559999999998</v>
      </c>
      <c r="M5192">
        <v>0.83950190000000002</v>
      </c>
      <c r="N5192">
        <v>0</v>
      </c>
      <c r="O5192">
        <v>0.54312709999999997</v>
      </c>
      <c r="P5192">
        <v>0.5953851</v>
      </c>
      <c r="Q5192">
        <v>0.112955</v>
      </c>
      <c r="R5192">
        <v>0.79546070000000002</v>
      </c>
      <c r="S5192">
        <v>1.602325</v>
      </c>
      <c r="T5192">
        <v>-0.35430850000000003</v>
      </c>
      <c r="U5192">
        <v>2.6273499999999999</v>
      </c>
      <c r="V5192">
        <v>-0.34873589999999999</v>
      </c>
      <c r="W5192">
        <v>0.11548949999999999</v>
      </c>
      <c r="X5192">
        <v>0.93007819999999997</v>
      </c>
      <c r="Y5192">
        <v>-0.43429129999999999</v>
      </c>
      <c r="Z5192">
        <v>-4.0280200000000002E-2</v>
      </c>
      <c r="AA5192">
        <v>0.89987139999999999</v>
      </c>
      <c r="AB5192">
        <v>37</v>
      </c>
      <c r="AC5192">
        <v>0.32450000000000001</v>
      </c>
      <c r="AD5192">
        <v>-0.1304361</v>
      </c>
      <c r="AE5192">
        <v>0.78920000000000101</v>
      </c>
      <c r="AF5192">
        <v>-0.47524627622913401</v>
      </c>
      <c r="AG5192">
        <v>-0.1304361</v>
      </c>
      <c r="AH5192">
        <v>0.68513299992288901</v>
      </c>
      <c r="AI5192">
        <v>98.890770352672604</v>
      </c>
      <c r="AJ5192">
        <v>124.747323972041</v>
      </c>
      <c r="AK5192">
        <v>0.84396672140328299</v>
      </c>
      <c r="AL5192">
        <v>83.368140580183706</v>
      </c>
      <c r="AM5192">
        <v>110.553699874377</v>
      </c>
      <c r="AN5192">
        <v>1.0000000053371401</v>
      </c>
    </row>
    <row r="5193" spans="1:40" x14ac:dyDescent="0.25">
      <c r="A5193" t="str">
        <f>"20190312164411185"</f>
        <v>20190312164411185</v>
      </c>
      <c r="B5193" t="str">
        <f>"1552380251180130"</f>
        <v>1552380251180130</v>
      </c>
      <c r="C5193" t="s">
        <v>40</v>
      </c>
      <c r="D5193">
        <v>5.0096850000000002</v>
      </c>
      <c r="E5193">
        <v>0.46146169999999997</v>
      </c>
      <c r="F5193" t="s">
        <v>41</v>
      </c>
      <c r="G5193">
        <v>-195.3578</v>
      </c>
      <c r="H5193">
        <v>0.99220779999999997</v>
      </c>
      <c r="I5193">
        <v>-56.208880000000001</v>
      </c>
      <c r="J5193">
        <v>-195.6412</v>
      </c>
      <c r="K5193">
        <v>1.1243050000000001</v>
      </c>
      <c r="L5193">
        <v>-56.980989999999998</v>
      </c>
      <c r="M5193">
        <v>0.83122609999999997</v>
      </c>
      <c r="N5193">
        <v>0</v>
      </c>
      <c r="O5193">
        <v>0.5557088</v>
      </c>
      <c r="P5193">
        <v>0.58437249999999996</v>
      </c>
      <c r="Q5193">
        <v>0.1130573</v>
      </c>
      <c r="R5193">
        <v>0.80357129999999999</v>
      </c>
      <c r="S5193">
        <v>1.5744020000000001</v>
      </c>
      <c r="T5193">
        <v>-0.35645830000000001</v>
      </c>
      <c r="U5193">
        <v>2.6436160000000002</v>
      </c>
      <c r="V5193">
        <v>-0.34756890000000001</v>
      </c>
      <c r="W5193">
        <v>0.115560999999999</v>
      </c>
      <c r="X5193">
        <v>0.9305061</v>
      </c>
      <c r="Y5193">
        <v>-0.4302474</v>
      </c>
      <c r="Z5193">
        <v>-4.2421939999999998E-2</v>
      </c>
      <c r="AA5193">
        <v>0.90171369999999895</v>
      </c>
      <c r="AB5193">
        <v>37</v>
      </c>
      <c r="AC5193">
        <v>0.28339999999999999</v>
      </c>
      <c r="AD5193">
        <v>-0.132097199999999</v>
      </c>
      <c r="AE5193">
        <v>0.77210999999999697</v>
      </c>
      <c r="AF5193">
        <v>-0.47219062230196002</v>
      </c>
      <c r="AG5193">
        <v>-0.132097199999999</v>
      </c>
      <c r="AH5193">
        <v>0.64800574881786199</v>
      </c>
      <c r="AI5193">
        <v>99.355541238868298</v>
      </c>
      <c r="AJ5193">
        <v>126.08017855112401</v>
      </c>
      <c r="AK5193">
        <v>0.81260390384168701</v>
      </c>
      <c r="AL5193">
        <v>83.3640165728916</v>
      </c>
      <c r="AM5193">
        <v>110.48200418072901</v>
      </c>
      <c r="AN5193">
        <v>1.0000000435526999</v>
      </c>
    </row>
    <row r="5194" spans="1:40" x14ac:dyDescent="0.25">
      <c r="A5194" t="str">
        <f>"20190312164411208"</f>
        <v>20190312164411208</v>
      </c>
      <c r="B5194" t="str">
        <f>"1552380251200626"</f>
        <v>1552380251200626</v>
      </c>
      <c r="C5194" t="s">
        <v>40</v>
      </c>
      <c r="D5194">
        <v>4.9270639999999997</v>
      </c>
      <c r="E5194">
        <v>0.47133940000000002</v>
      </c>
      <c r="F5194" t="s">
        <v>41</v>
      </c>
      <c r="G5194">
        <v>-195.09049999999999</v>
      </c>
      <c r="H5194">
        <v>0.99711799999999995</v>
      </c>
      <c r="I5194">
        <v>-56.027549999999998</v>
      </c>
      <c r="J5194">
        <v>-195.32490000000001</v>
      </c>
      <c r="K5194">
        <v>1.1244400000000001</v>
      </c>
      <c r="L5194">
        <v>-56.7553699999999</v>
      </c>
      <c r="M5194">
        <v>0.82207960000000002</v>
      </c>
      <c r="N5194">
        <v>0</v>
      </c>
      <c r="O5194">
        <v>0.56915099999999996</v>
      </c>
      <c r="P5194">
        <v>0.57217899999999999</v>
      </c>
      <c r="Q5194">
        <v>0.11339920000000001</v>
      </c>
      <c r="R5194">
        <v>0.81225119999999995</v>
      </c>
      <c r="S5194">
        <v>1.5387569999999999</v>
      </c>
      <c r="T5194">
        <v>-0.3553984</v>
      </c>
      <c r="U5194">
        <v>2.664307</v>
      </c>
      <c r="V5194">
        <v>-0.34649350000000001</v>
      </c>
      <c r="W5194">
        <v>0.1158708</v>
      </c>
      <c r="X5194">
        <v>0.93086860000000005</v>
      </c>
      <c r="Y5194">
        <v>-0.42771209999999998</v>
      </c>
      <c r="Z5194">
        <v>-4.4220059999999999E-2</v>
      </c>
      <c r="AA5194">
        <v>0.90283270000000004</v>
      </c>
      <c r="AB5194">
        <v>37</v>
      </c>
      <c r="AC5194">
        <v>0.23440000000002201</v>
      </c>
      <c r="AD5194">
        <v>-0.12732199999999899</v>
      </c>
      <c r="AE5194">
        <v>0.72781999999999403</v>
      </c>
      <c r="AF5194">
        <v>-0.45243117004467998</v>
      </c>
      <c r="AG5194">
        <v>-0.12732199999999899</v>
      </c>
      <c r="AH5194">
        <v>0.59063509484511401</v>
      </c>
      <c r="AI5194">
        <v>99.710988056802194</v>
      </c>
      <c r="AJ5194">
        <v>127.452401370838</v>
      </c>
      <c r="AK5194">
        <v>0.75482095266009597</v>
      </c>
      <c r="AL5194">
        <v>83.346146465960203</v>
      </c>
      <c r="AM5194">
        <v>110.416575205233</v>
      </c>
      <c r="AN5194">
        <v>1.0000000691504201</v>
      </c>
    </row>
    <row r="5195" spans="1:40" x14ac:dyDescent="0.25">
      <c r="A5195" t="str">
        <f>"20190312164411229"</f>
        <v>20190312164411229</v>
      </c>
      <c r="B5195" t="str">
        <f>"1552380251220149"</f>
        <v>1552380251220149</v>
      </c>
      <c r="C5195" t="s">
        <v>40</v>
      </c>
      <c r="D5195">
        <v>4.8837699999999904</v>
      </c>
      <c r="E5195">
        <v>0.47176469999999998</v>
      </c>
      <c r="F5195" t="s">
        <v>41</v>
      </c>
      <c r="G5195">
        <v>-194.7886</v>
      </c>
      <c r="H5195">
        <v>1.020265</v>
      </c>
      <c r="I5195">
        <v>-55.848869999999998</v>
      </c>
      <c r="J5195">
        <v>-195.0446</v>
      </c>
      <c r="K5195">
        <v>1.124552</v>
      </c>
      <c r="L5195">
        <v>-56.548920000000003</v>
      </c>
      <c r="M5195">
        <v>0.81361709999999998</v>
      </c>
      <c r="N5195">
        <v>0</v>
      </c>
      <c r="O5195">
        <v>0.58118300000000001</v>
      </c>
      <c r="P5195">
        <v>0.56123080000000003</v>
      </c>
      <c r="Q5195">
        <v>0.1132903</v>
      </c>
      <c r="R5195">
        <v>0.81986899999999996</v>
      </c>
      <c r="S5195">
        <v>1.5600590000000001</v>
      </c>
      <c r="T5195">
        <v>-0.30302289999999998</v>
      </c>
      <c r="U5195">
        <v>2.6367799999999999</v>
      </c>
      <c r="V5195">
        <v>-0.34532819999999997</v>
      </c>
      <c r="W5195">
        <v>0.11574710000000001</v>
      </c>
      <c r="X5195">
        <v>0.9313169</v>
      </c>
      <c r="Y5195">
        <v>-0.40478239999999999</v>
      </c>
      <c r="Z5195">
        <v>-4.0339460000000001E-2</v>
      </c>
      <c r="AA5195">
        <v>0.91352279999999997</v>
      </c>
      <c r="AB5195">
        <v>37</v>
      </c>
      <c r="AC5195">
        <v>0.25600000000000001</v>
      </c>
      <c r="AD5195">
        <v>-0.104287</v>
      </c>
      <c r="AE5195">
        <v>0.70004999999999695</v>
      </c>
      <c r="AF5195">
        <v>-0.41276346600927899</v>
      </c>
      <c r="AG5195">
        <v>-0.104287</v>
      </c>
      <c r="AH5195">
        <v>0.60340961566562801</v>
      </c>
      <c r="AI5195">
        <v>98.118359415926605</v>
      </c>
      <c r="AJ5195">
        <v>124.37415190127101</v>
      </c>
      <c r="AK5195">
        <v>0.73847993982147797</v>
      </c>
      <c r="AL5195">
        <v>83.353281920472995</v>
      </c>
      <c r="AM5195">
        <v>110.34455830692301</v>
      </c>
      <c r="AN5195">
        <v>1.0000000625496199</v>
      </c>
    </row>
    <row r="5196" spans="1:40" x14ac:dyDescent="0.25">
      <c r="A5196" t="str">
        <f>"20190312164411253"</f>
        <v>20190312164411253</v>
      </c>
      <c r="B5196" t="str">
        <f>"1552380251250402"</f>
        <v>1552380251250402</v>
      </c>
      <c r="C5196" t="s">
        <v>40</v>
      </c>
      <c r="D5196">
        <v>4.927219</v>
      </c>
      <c r="E5196">
        <v>0.47224250000000001</v>
      </c>
      <c r="F5196" t="s">
        <v>41</v>
      </c>
      <c r="G5196">
        <v>-194.50559999999999</v>
      </c>
      <c r="H5196">
        <v>1.019153</v>
      </c>
      <c r="I5196">
        <v>-55.611420000000003</v>
      </c>
      <c r="J5196">
        <v>-194.74350000000001</v>
      </c>
      <c r="K5196">
        <v>1.1246579999999999</v>
      </c>
      <c r="L5196">
        <v>-56.320010000000003</v>
      </c>
      <c r="M5196">
        <v>0.80414430000000003</v>
      </c>
      <c r="N5196">
        <v>0</v>
      </c>
      <c r="O5196">
        <v>0.59421990000000002</v>
      </c>
      <c r="P5196">
        <v>0.54903800000000003</v>
      </c>
      <c r="Q5196">
        <v>0.1126033</v>
      </c>
      <c r="R5196">
        <v>0.82817739999999995</v>
      </c>
      <c r="S5196">
        <v>1.5265500000000001</v>
      </c>
      <c r="T5196">
        <v>-0.29852400000000001</v>
      </c>
      <c r="U5196">
        <v>2.6553960000000001</v>
      </c>
      <c r="V5196">
        <v>-0.34418140000000003</v>
      </c>
      <c r="W5196">
        <v>0.1150466</v>
      </c>
      <c r="X5196">
        <v>0.93182799999999999</v>
      </c>
      <c r="Y5196">
        <v>-0.401507</v>
      </c>
      <c r="Z5196">
        <v>-4.136024E-2</v>
      </c>
      <c r="AA5196">
        <v>0.9149216</v>
      </c>
      <c r="AB5196">
        <v>37</v>
      </c>
      <c r="AC5196">
        <v>0.23790000000002401</v>
      </c>
      <c r="AD5196">
        <v>-0.105504999999999</v>
      </c>
      <c r="AE5196">
        <v>0.70859000000000005</v>
      </c>
      <c r="AF5196">
        <v>-0.42012775196244001</v>
      </c>
      <c r="AG5196">
        <v>-0.105504999999999</v>
      </c>
      <c r="AH5196">
        <v>0.60047843125703904</v>
      </c>
      <c r="AI5196">
        <v>98.192223409898403</v>
      </c>
      <c r="AJ5196">
        <v>124.97875254570801</v>
      </c>
      <c r="AK5196">
        <v>0.74041405942818805</v>
      </c>
      <c r="AL5196">
        <v>83.393687054853103</v>
      </c>
      <c r="AM5196">
        <v>110.272289519816</v>
      </c>
      <c r="AN5196">
        <v>0.99999998893076003</v>
      </c>
    </row>
    <row r="5197" spans="1:40" x14ac:dyDescent="0.25">
      <c r="A5197" t="str">
        <f>"20190312164411275"</f>
        <v>20190312164411275</v>
      </c>
      <c r="B5197" t="str">
        <f>"1552380251269922"</f>
        <v>1552380251269922</v>
      </c>
      <c r="C5197" t="s">
        <v>40</v>
      </c>
      <c r="D5197">
        <v>5.0618460000000001</v>
      </c>
      <c r="E5197">
        <v>0.47404689999999999</v>
      </c>
      <c r="F5197" t="s">
        <v>50</v>
      </c>
      <c r="G5197">
        <v>-189.1782</v>
      </c>
      <c r="H5197" s="1">
        <v>-5.43879199999999E-6</v>
      </c>
      <c r="I5197">
        <v>-46.32244</v>
      </c>
      <c r="J5197">
        <v>-194.4579</v>
      </c>
      <c r="K5197">
        <v>1.124744</v>
      </c>
      <c r="L5197">
        <v>-56.095730000000003</v>
      </c>
      <c r="M5197">
        <v>0.79478190000000004</v>
      </c>
      <c r="N5197">
        <v>0</v>
      </c>
      <c r="O5197">
        <v>0.60668440000000001</v>
      </c>
      <c r="P5197">
        <v>0.53703140000000005</v>
      </c>
      <c r="Q5197">
        <v>0.11186599999999999</v>
      </c>
      <c r="R5197">
        <v>0.83611209999999903</v>
      </c>
      <c r="S5197">
        <v>1.4895480000000001</v>
      </c>
      <c r="T5197">
        <v>-0.30101529999999999</v>
      </c>
      <c r="U5197">
        <v>2.6758419999999998</v>
      </c>
      <c r="V5197">
        <v>-0.34317799999999998</v>
      </c>
      <c r="W5197">
        <v>0.1143001</v>
      </c>
      <c r="X5197">
        <v>0.93228979999999995</v>
      </c>
      <c r="Y5197">
        <v>-0.3999046</v>
      </c>
      <c r="Z5197">
        <v>-4.3191569999999999E-2</v>
      </c>
      <c r="AA5197">
        <v>0.91553850000000003</v>
      </c>
      <c r="AB5197">
        <v>37</v>
      </c>
      <c r="AC5197">
        <v>5.2796999999999903</v>
      </c>
      <c r="AD5197">
        <v>-1.1247494387920001</v>
      </c>
      <c r="AE5197">
        <v>9.7732899999999994</v>
      </c>
      <c r="AF5197">
        <v>-4.5187781593308696</v>
      </c>
      <c r="AG5197">
        <v>-1.1247494387920001</v>
      </c>
      <c r="AH5197">
        <v>10.024037870533199</v>
      </c>
      <c r="AI5197">
        <v>95.840581427273605</v>
      </c>
      <c r="AJ5197">
        <v>114.26557561646101</v>
      </c>
      <c r="AK5197">
        <v>11.0528617372693</v>
      </c>
      <c r="AL5197">
        <v>83.436742202457594</v>
      </c>
      <c r="AM5197">
        <v>110.208776197646</v>
      </c>
      <c r="AN5197">
        <v>0.99999996186402396</v>
      </c>
    </row>
    <row r="5198" spans="1:40" x14ac:dyDescent="0.25">
      <c r="A5198" t="str">
        <f>"20190312164411297"</f>
        <v>20190312164411297</v>
      </c>
      <c r="B5198" t="str">
        <f>"1552380251290418"</f>
        <v>1552380251290418</v>
      </c>
      <c r="C5198" t="s">
        <v>40</v>
      </c>
      <c r="D5198">
        <v>4.906123</v>
      </c>
      <c r="E5198">
        <v>0.47336109999999998</v>
      </c>
      <c r="F5198" t="s">
        <v>50</v>
      </c>
      <c r="G5198">
        <v>-189.70869999999999</v>
      </c>
      <c r="H5198" s="1">
        <v>-5.01169E-6</v>
      </c>
      <c r="I5198">
        <v>-47.358840000000001</v>
      </c>
      <c r="J5198">
        <v>-194.18039999999999</v>
      </c>
      <c r="K5198">
        <v>1.1248199999999999</v>
      </c>
      <c r="L5198">
        <v>-55.870849999999997</v>
      </c>
      <c r="M5198">
        <v>0.78532650000000004</v>
      </c>
      <c r="N5198">
        <v>0</v>
      </c>
      <c r="O5198">
        <v>0.61887449999999999</v>
      </c>
      <c r="P5198">
        <v>0.52487969999999995</v>
      </c>
      <c r="Q5198">
        <v>0.11101370000000001</v>
      </c>
      <c r="R5198">
        <v>0.84390599999999905</v>
      </c>
      <c r="S5198">
        <v>1.46434</v>
      </c>
      <c r="T5198">
        <v>-0.346802</v>
      </c>
      <c r="U5198">
        <v>2.6939090000000001</v>
      </c>
      <c r="V5198">
        <v>-0.34236149999999999</v>
      </c>
      <c r="W5198">
        <v>0.11343789999999999</v>
      </c>
      <c r="X5198">
        <v>0.9326953</v>
      </c>
      <c r="Y5198">
        <v>-0.39517920000000001</v>
      </c>
      <c r="Z5198">
        <v>-5.1477460000000003E-2</v>
      </c>
      <c r="AA5198">
        <v>0.91716050000000005</v>
      </c>
      <c r="AB5198">
        <v>37</v>
      </c>
      <c r="AC5198">
        <v>4.4716999999999896</v>
      </c>
      <c r="AD5198">
        <v>-1.12482501169</v>
      </c>
      <c r="AE5198">
        <v>8.5120099999999894</v>
      </c>
      <c r="AF5198">
        <v>-3.8648956087886699</v>
      </c>
      <c r="AG5198">
        <v>-1.12482501169</v>
      </c>
      <c r="AH5198">
        <v>8.6621907472530104</v>
      </c>
      <c r="AI5198">
        <v>96.762899364479793</v>
      </c>
      <c r="AJ5198">
        <v>114.04546936310901</v>
      </c>
      <c r="AK5198">
        <v>9.5517641258331505</v>
      </c>
      <c r="AL5198">
        <v>83.486466541852295</v>
      </c>
      <c r="AM5198">
        <v>110.156510910908</v>
      </c>
      <c r="AN5198">
        <v>1.00000003824037</v>
      </c>
    </row>
    <row r="5199" spans="1:40" x14ac:dyDescent="0.25">
      <c r="A5199" t="str">
        <f>"20190312164411320"</f>
        <v>20190312164411320</v>
      </c>
      <c r="B5199" t="str">
        <f>"1552380251309938"</f>
        <v>1552380251309938</v>
      </c>
      <c r="C5199" t="s">
        <v>40</v>
      </c>
      <c r="D5199">
        <v>5.0497820000000004</v>
      </c>
      <c r="E5199">
        <v>0.44753890000000002</v>
      </c>
      <c r="F5199" t="s">
        <v>50</v>
      </c>
      <c r="G5199">
        <v>-189.3981</v>
      </c>
      <c r="H5199" s="1">
        <v>-5.2788339999999998E-6</v>
      </c>
      <c r="I5199">
        <v>-46.71808</v>
      </c>
      <c r="J5199">
        <v>-193.8965</v>
      </c>
      <c r="K5199">
        <v>1.1248860000000001</v>
      </c>
      <c r="L5199">
        <v>-55.633389999999999</v>
      </c>
      <c r="M5199">
        <v>0.77527650000000004</v>
      </c>
      <c r="N5199">
        <v>0</v>
      </c>
      <c r="O5199">
        <v>0.63141809999999998</v>
      </c>
      <c r="P5199">
        <v>0.51266679999999998</v>
      </c>
      <c r="Q5199">
        <v>0.110405</v>
      </c>
      <c r="R5199">
        <v>0.85145959999999998</v>
      </c>
      <c r="S5199">
        <v>1.419189</v>
      </c>
      <c r="T5199">
        <v>-0.33379710000000001</v>
      </c>
      <c r="U5199">
        <v>2.7161249999999999</v>
      </c>
      <c r="V5199">
        <v>-0.34086549999999999</v>
      </c>
      <c r="W5199">
        <v>0.1128528</v>
      </c>
      <c r="X5199">
        <v>0.93331399999999998</v>
      </c>
      <c r="Y5199">
        <v>-0.3954532</v>
      </c>
      <c r="Z5199">
        <v>-5.1159040000000003E-2</v>
      </c>
      <c r="AA5199">
        <v>0.91706030000000005</v>
      </c>
      <c r="AB5199">
        <v>37</v>
      </c>
      <c r="AC5199">
        <v>4.4984000000000002</v>
      </c>
      <c r="AD5199">
        <v>-1.124891278834</v>
      </c>
      <c r="AE5199">
        <v>8.9153099999999998</v>
      </c>
      <c r="AF5199">
        <v>-4.0209593796264</v>
      </c>
      <c r="AG5199">
        <v>-1.124891278834</v>
      </c>
      <c r="AH5199">
        <v>9.0037130589534495</v>
      </c>
      <c r="AI5199">
        <v>96.508015495025603</v>
      </c>
      <c r="AJ5199">
        <v>114.065014266128</v>
      </c>
      <c r="AK5199">
        <v>9.9247339294195296</v>
      </c>
      <c r="AL5199">
        <v>83.520206933991204</v>
      </c>
      <c r="AM5199">
        <v>110.063234925093</v>
      </c>
      <c r="AN5199">
        <v>1.00000003307704</v>
      </c>
    </row>
    <row r="5200" spans="1:40" x14ac:dyDescent="0.25">
      <c r="A5200" t="str">
        <f>"20190312164411342"</f>
        <v>20190312164411342</v>
      </c>
      <c r="B5200" t="str">
        <f>"1552380251330434"</f>
        <v>1552380251330434</v>
      </c>
      <c r="C5200" t="s">
        <v>40</v>
      </c>
      <c r="D5200">
        <v>5.191954</v>
      </c>
      <c r="E5200">
        <v>0.44686710000000002</v>
      </c>
      <c r="F5200" t="s">
        <v>41</v>
      </c>
      <c r="G5200">
        <v>-193.52510000000001</v>
      </c>
      <c r="H5200">
        <v>1.002767</v>
      </c>
      <c r="I5200">
        <v>-54.755000000000003</v>
      </c>
      <c r="J5200">
        <v>-193.63310000000001</v>
      </c>
      <c r="K5200">
        <v>1.124949</v>
      </c>
      <c r="L5200">
        <v>-55.405610000000003</v>
      </c>
      <c r="M5200">
        <v>0.765590199999999</v>
      </c>
      <c r="N5200">
        <v>0</v>
      </c>
      <c r="O5200">
        <v>0.64312780000000003</v>
      </c>
      <c r="P5200">
        <v>0.50110270000000001</v>
      </c>
      <c r="Q5200">
        <v>0.1108484</v>
      </c>
      <c r="R5200">
        <v>0.85825910000000005</v>
      </c>
      <c r="S5200">
        <v>1.2043459999999999</v>
      </c>
      <c r="T5200">
        <v>-0.3961189</v>
      </c>
      <c r="U5200">
        <v>2.8495789999999999</v>
      </c>
      <c r="V5200">
        <v>-0.33929419999999999</v>
      </c>
      <c r="W5200">
        <v>0.1133308</v>
      </c>
      <c r="X5200">
        <v>0.93382849999999995</v>
      </c>
      <c r="Y5200">
        <v>-0.45541860000000001</v>
      </c>
      <c r="Z5200">
        <v>-5.839391E-2</v>
      </c>
      <c r="AA5200">
        <v>0.88836029999999999</v>
      </c>
      <c r="AB5200">
        <v>37</v>
      </c>
      <c r="AC5200">
        <v>0.108000000000004</v>
      </c>
      <c r="AD5200">
        <v>-0.122182</v>
      </c>
      <c r="AE5200">
        <v>0.65060999999999303</v>
      </c>
      <c r="AF5200">
        <v>-0.41447282467252999</v>
      </c>
      <c r="AG5200">
        <v>-0.122182</v>
      </c>
      <c r="AH5200">
        <v>0.48454352673805701</v>
      </c>
      <c r="AI5200">
        <v>100.84749258352601</v>
      </c>
      <c r="AJ5200">
        <v>130.54328987055001</v>
      </c>
      <c r="AK5200">
        <v>0.64922922979467002</v>
      </c>
      <c r="AL5200">
        <v>83.492642798761196</v>
      </c>
      <c r="AM5200">
        <v>109.967942660519</v>
      </c>
      <c r="AN5200">
        <v>1.00000004589726</v>
      </c>
    </row>
    <row r="5201" spans="1:40" x14ac:dyDescent="0.25">
      <c r="A5201" t="str">
        <f>"20190312164411364"</f>
        <v>20190312164411364</v>
      </c>
      <c r="B5201" t="str">
        <f>"1552380251359714"</f>
        <v>1552380251359714</v>
      </c>
      <c r="C5201" t="s">
        <v>40</v>
      </c>
      <c r="D5201">
        <v>5.019228</v>
      </c>
      <c r="E5201">
        <v>0.44673220000000002</v>
      </c>
      <c r="F5201" t="s">
        <v>50</v>
      </c>
      <c r="G5201">
        <v>-190.42509999999999</v>
      </c>
      <c r="H5201" s="1">
        <v>-2.701605E-6</v>
      </c>
      <c r="I5201">
        <v>-47.470100000000002</v>
      </c>
      <c r="J5201">
        <v>-193.3639</v>
      </c>
      <c r="K5201">
        <v>1.125005</v>
      </c>
      <c r="L5201">
        <v>-55.165280000000003</v>
      </c>
      <c r="M5201">
        <v>0.75532819999999901</v>
      </c>
      <c r="N5201">
        <v>0</v>
      </c>
      <c r="O5201">
        <v>0.65514919999999899</v>
      </c>
      <c r="P5201">
        <v>0.4891083</v>
      </c>
      <c r="Q5201">
        <v>0.111679399999999</v>
      </c>
      <c r="R5201">
        <v>0.86504380000000003</v>
      </c>
      <c r="S5201">
        <v>1.1604159999999999</v>
      </c>
      <c r="T5201">
        <v>-0.40692499999999998</v>
      </c>
      <c r="U5201">
        <v>2.8704830000000001</v>
      </c>
      <c r="V5201">
        <v>-0.33749380000000001</v>
      </c>
      <c r="W5201">
        <v>0.11420909999999999</v>
      </c>
      <c r="X5201">
        <v>0.93437369999999997</v>
      </c>
      <c r="Y5201">
        <v>-0.4553722</v>
      </c>
      <c r="Z5201">
        <v>-6.18101E-2</v>
      </c>
      <c r="AA5201">
        <v>0.88815290000000002</v>
      </c>
      <c r="AB5201">
        <v>37</v>
      </c>
      <c r="AC5201">
        <v>2.9388000000000098</v>
      </c>
      <c r="AD5201">
        <v>-1.125007701605</v>
      </c>
      <c r="AE5201">
        <v>7.6951799999999997</v>
      </c>
      <c r="AF5201">
        <v>-3.8163511560844099</v>
      </c>
      <c r="AG5201">
        <v>-1.125007701605</v>
      </c>
      <c r="AH5201">
        <v>7.1292090923748397</v>
      </c>
      <c r="AI5201">
        <v>97.920328611479306</v>
      </c>
      <c r="AJ5201">
        <v>118.160677530808</v>
      </c>
      <c r="AK5201">
        <v>8.1643003838674097</v>
      </c>
      <c r="AL5201">
        <v>83.441990721089397</v>
      </c>
      <c r="AM5201">
        <v>109.85961225891</v>
      </c>
      <c r="AN5201">
        <v>0.99999999740646905</v>
      </c>
    </row>
    <row r="5202" spans="1:40" x14ac:dyDescent="0.25">
      <c r="A5202" t="str">
        <f>"20190312164411388"</f>
        <v>20190312164411388</v>
      </c>
      <c r="B5202" t="str">
        <f>"1552380251380211"</f>
        <v>1552380251380211</v>
      </c>
      <c r="C5202" t="s">
        <v>40</v>
      </c>
      <c r="D5202">
        <v>5.1035459999999997</v>
      </c>
      <c r="E5202">
        <v>0.44734269999999998</v>
      </c>
      <c r="F5202" t="s">
        <v>50</v>
      </c>
      <c r="G5202">
        <v>-190.18180000000001</v>
      </c>
      <c r="H5202" s="1">
        <v>-2.9524299999999999E-6</v>
      </c>
      <c r="I5202">
        <v>-46.954970000000003</v>
      </c>
      <c r="J5202">
        <v>-193.07550000000001</v>
      </c>
      <c r="K5202">
        <v>1.125054</v>
      </c>
      <c r="L5202">
        <v>-54.898960000000002</v>
      </c>
      <c r="M5202">
        <v>0.74390889999999998</v>
      </c>
      <c r="N5202">
        <v>0</v>
      </c>
      <c r="O5202">
        <v>0.66808690000000004</v>
      </c>
      <c r="P5202">
        <v>0.47766110000000001</v>
      </c>
      <c r="Q5202">
        <v>0.1123183</v>
      </c>
      <c r="R5202">
        <v>0.87133490000000002</v>
      </c>
      <c r="S5202">
        <v>1.118744</v>
      </c>
      <c r="T5202">
        <v>-0.39552389999999998</v>
      </c>
      <c r="U5202">
        <v>2.886536</v>
      </c>
      <c r="V5202">
        <v>-0.3336577</v>
      </c>
      <c r="W5202">
        <v>0.1149869</v>
      </c>
      <c r="X5202">
        <v>0.93565509999999996</v>
      </c>
      <c r="Y5202">
        <v>-0.45284940000000001</v>
      </c>
      <c r="Z5202">
        <v>-6.2235980000000003E-2</v>
      </c>
      <c r="AA5202">
        <v>0.88941219999999999</v>
      </c>
      <c r="AB5202">
        <v>37</v>
      </c>
      <c r="AC5202">
        <v>2.8936999999999902</v>
      </c>
      <c r="AD5202">
        <v>-1.12505695242999</v>
      </c>
      <c r="AE5202">
        <v>7.9439899999999897</v>
      </c>
      <c r="AF5202">
        <v>-3.9076817554246501</v>
      </c>
      <c r="AG5202">
        <v>-1.12505695242999</v>
      </c>
      <c r="AH5202">
        <v>7.3310764078858996</v>
      </c>
      <c r="AI5202">
        <v>97.7124488873595</v>
      </c>
      <c r="AJ5202">
        <v>118.058942730266</v>
      </c>
      <c r="AK5202">
        <v>8.3833412877057008</v>
      </c>
      <c r="AL5202">
        <v>83.397130253487902</v>
      </c>
      <c r="AM5202">
        <v>109.62640232454601</v>
      </c>
      <c r="AN5202">
        <v>0.99999995704845401</v>
      </c>
    </row>
    <row r="5203" spans="1:40" x14ac:dyDescent="0.25">
      <c r="A5203" t="str">
        <f>"20190312164411410"</f>
        <v>20190312164411410</v>
      </c>
      <c r="B5203" t="str">
        <f>"1552380251399731"</f>
        <v>1552380251399731</v>
      </c>
      <c r="C5203" t="s">
        <v>40</v>
      </c>
      <c r="D5203">
        <v>4.9691280000000004</v>
      </c>
      <c r="E5203">
        <v>0.44719350000000002</v>
      </c>
      <c r="F5203" t="s">
        <v>41</v>
      </c>
      <c r="G5203">
        <v>-192.7122</v>
      </c>
      <c r="H5203">
        <v>0.99408189999999996</v>
      </c>
      <c r="I5203">
        <v>-53.9274699999999</v>
      </c>
      <c r="J5203">
        <v>-192.82</v>
      </c>
      <c r="K5203">
        <v>1.1250819999999999</v>
      </c>
      <c r="L5203">
        <v>-54.655430000000003</v>
      </c>
      <c r="M5203">
        <v>0.73342589999999996</v>
      </c>
      <c r="N5203">
        <v>0</v>
      </c>
      <c r="O5203">
        <v>0.67957840000000003</v>
      </c>
      <c r="P5203">
        <v>0.46627109999999999</v>
      </c>
      <c r="Q5203">
        <v>0.1118817</v>
      </c>
      <c r="R5203">
        <v>0.87753840000000005</v>
      </c>
      <c r="S5203">
        <v>1.083847</v>
      </c>
      <c r="T5203">
        <v>-0.390851</v>
      </c>
      <c r="U5203">
        <v>2.8992</v>
      </c>
      <c r="V5203">
        <v>-0.33132220000000001</v>
      </c>
      <c r="W5203">
        <v>0.1146321</v>
      </c>
      <c r="X5203">
        <v>0.93652820000000003</v>
      </c>
      <c r="Y5203">
        <v>-0.44968669999999999</v>
      </c>
      <c r="Z5203">
        <v>-6.3446340000000004E-2</v>
      </c>
      <c r="AA5203">
        <v>0.89093009999999995</v>
      </c>
      <c r="AB5203">
        <v>37</v>
      </c>
      <c r="AC5203">
        <v>0.107799999999997</v>
      </c>
      <c r="AD5203">
        <v>-0.13100009999999901</v>
      </c>
      <c r="AE5203">
        <v>0.72796000000001004</v>
      </c>
      <c r="AF5203">
        <v>-0.44655513185310203</v>
      </c>
      <c r="AG5203">
        <v>-0.13100009999999901</v>
      </c>
      <c r="AH5203">
        <v>0.55621776785779997</v>
      </c>
      <c r="AI5203">
        <v>100.406681041892</v>
      </c>
      <c r="AJ5203">
        <v>128.75896927716599</v>
      </c>
      <c r="AK5203">
        <v>0.72522459780751003</v>
      </c>
      <c r="AL5203">
        <v>83.417594357949596</v>
      </c>
      <c r="AM5203">
        <v>109.482611592583</v>
      </c>
      <c r="AN5203">
        <v>0.99999999397924499</v>
      </c>
    </row>
    <row r="5204" spans="1:40" x14ac:dyDescent="0.25">
      <c r="A5204" t="str">
        <f>"20190312164411432"</f>
        <v>20190312164411432</v>
      </c>
      <c r="B5204" t="str">
        <f>"1552380251429988"</f>
        <v>1552380251429988</v>
      </c>
      <c r="C5204" t="s">
        <v>40</v>
      </c>
      <c r="D5204">
        <v>4.9744010000000003</v>
      </c>
      <c r="E5204">
        <v>0.4479419</v>
      </c>
      <c r="F5204" t="s">
        <v>41</v>
      </c>
      <c r="G5204">
        <v>-192.4811</v>
      </c>
      <c r="H5204">
        <v>0.99862550000000005</v>
      </c>
      <c r="I5204">
        <v>-53.709299999999999</v>
      </c>
      <c r="J5204">
        <v>-192.56909999999999</v>
      </c>
      <c r="K5204">
        <v>1.125108</v>
      </c>
      <c r="L5204">
        <v>-54.40869</v>
      </c>
      <c r="M5204">
        <v>0.72277080000000005</v>
      </c>
      <c r="N5204">
        <v>0</v>
      </c>
      <c r="O5204">
        <v>0.69089959999999995</v>
      </c>
      <c r="P5204">
        <v>0.45507199999999998</v>
      </c>
      <c r="Q5204">
        <v>0.111546699999999</v>
      </c>
      <c r="R5204">
        <v>0.88344029999999996</v>
      </c>
      <c r="S5204">
        <v>1.0436859999999999</v>
      </c>
      <c r="T5204">
        <v>-0.38944519999999999</v>
      </c>
      <c r="U5204">
        <v>2.9137569999999999</v>
      </c>
      <c r="V5204">
        <v>-0.32869559999999998</v>
      </c>
      <c r="W5204">
        <v>0.1143948</v>
      </c>
      <c r="X5204">
        <v>0.93748229999999999</v>
      </c>
      <c r="Y5204">
        <v>-0.44813910000000001</v>
      </c>
      <c r="Z5204">
        <v>-6.5034389999999997E-2</v>
      </c>
      <c r="AA5204">
        <v>0.89159509999999897</v>
      </c>
      <c r="AB5204">
        <v>37</v>
      </c>
      <c r="AC5204">
        <v>8.7999999999993805E-2</v>
      </c>
      <c r="AD5204">
        <v>-0.1264825</v>
      </c>
      <c r="AE5204">
        <v>0.69939000000000096</v>
      </c>
      <c r="AF5204">
        <v>-0.43088464219935102</v>
      </c>
      <c r="AG5204">
        <v>-0.1264825</v>
      </c>
      <c r="AH5204">
        <v>0.52982504840158995</v>
      </c>
      <c r="AI5204">
        <v>100.492800614386</v>
      </c>
      <c r="AJ5204">
        <v>129.120021403153</v>
      </c>
      <c r="AK5204">
        <v>0.69453148208217297</v>
      </c>
      <c r="AL5204">
        <v>83.431280819769597</v>
      </c>
      <c r="AM5204">
        <v>109.32144489567899</v>
      </c>
      <c r="AN5204">
        <v>1.0000000152698401</v>
      </c>
    </row>
    <row r="5205" spans="1:40" x14ac:dyDescent="0.25">
      <c r="A5205" t="str">
        <f>"20190312164411456"</f>
        <v>20190312164411456</v>
      </c>
      <c r="B5205" t="str">
        <f>"1552380251450483"</f>
        <v>1552380251450483</v>
      </c>
      <c r="C5205" t="s">
        <v>40</v>
      </c>
      <c r="D5205">
        <v>4.9759039999999999</v>
      </c>
      <c r="E5205">
        <v>0.44831310000000002</v>
      </c>
      <c r="F5205" t="s">
        <v>41</v>
      </c>
      <c r="G5205">
        <v>-192.25129999999999</v>
      </c>
      <c r="H5205">
        <v>1.003476</v>
      </c>
      <c r="I5205">
        <v>-53.489280000000001</v>
      </c>
      <c r="J5205">
        <v>-192.3013</v>
      </c>
      <c r="K5205">
        <v>1.1251409999999999</v>
      </c>
      <c r="L5205">
        <v>-54.136839999999999</v>
      </c>
      <c r="M5205">
        <v>0.71099619999999997</v>
      </c>
      <c r="N5205">
        <v>0</v>
      </c>
      <c r="O5205">
        <v>0.70301080000000005</v>
      </c>
      <c r="P5205">
        <v>0.4426119</v>
      </c>
      <c r="Q5205">
        <v>0.1112785</v>
      </c>
      <c r="R5205">
        <v>0.88978189999999902</v>
      </c>
      <c r="S5205">
        <v>1.010391</v>
      </c>
      <c r="T5205">
        <v>-0.38683899999999999</v>
      </c>
      <c r="U5205">
        <v>2.924194</v>
      </c>
      <c r="V5205">
        <v>-0.32605070000000003</v>
      </c>
      <c r="W5205">
        <v>0.1142276</v>
      </c>
      <c r="X5205">
        <v>0.93842579999999998</v>
      </c>
      <c r="Y5205">
        <v>-0.44313160000000001</v>
      </c>
      <c r="Z5205">
        <v>-6.6736809999999994E-2</v>
      </c>
      <c r="AA5205">
        <v>0.89396900000000001</v>
      </c>
      <c r="AB5205">
        <v>37</v>
      </c>
      <c r="AC5205">
        <v>5.0000000000011299E-2</v>
      </c>
      <c r="AD5205">
        <v>-0.121664999999999</v>
      </c>
      <c r="AE5205">
        <v>0.64755999999999103</v>
      </c>
      <c r="AF5205">
        <v>-0.41089884698714901</v>
      </c>
      <c r="AG5205">
        <v>-0.121664999999999</v>
      </c>
      <c r="AH5205">
        <v>0.47421490566504099</v>
      </c>
      <c r="AI5205">
        <v>100.97336683536</v>
      </c>
      <c r="AJ5205">
        <v>130.90835196654501</v>
      </c>
      <c r="AK5205">
        <v>0.63915570202828698</v>
      </c>
      <c r="AL5205">
        <v>83.440923736573595</v>
      </c>
      <c r="AM5205">
        <v>109.159492049042</v>
      </c>
      <c r="AN5205">
        <v>0.99999999283894403</v>
      </c>
    </row>
    <row r="5206" spans="1:40" x14ac:dyDescent="0.25">
      <c r="A5206" t="str">
        <f>"20190312164411478"</f>
        <v>20190312164411478</v>
      </c>
      <c r="B5206" t="str">
        <f>"1552380251470002"</f>
        <v>1552380251470002</v>
      </c>
      <c r="C5206" t="s">
        <v>40</v>
      </c>
      <c r="D5206">
        <v>5.0214420000000004</v>
      </c>
      <c r="E5206">
        <v>0.44864540000000003</v>
      </c>
      <c r="F5206" t="s">
        <v>41</v>
      </c>
      <c r="G5206">
        <v>-191.99629999999999</v>
      </c>
      <c r="H5206">
        <v>1.0024999999999999</v>
      </c>
      <c r="I5206">
        <v>-53.214100000000002</v>
      </c>
      <c r="J5206">
        <v>-192.0556</v>
      </c>
      <c r="K5206">
        <v>1.1251519999999999</v>
      </c>
      <c r="L5206">
        <v>-53.879150000000003</v>
      </c>
      <c r="M5206">
        <v>0.6998065</v>
      </c>
      <c r="N5206">
        <v>0</v>
      </c>
      <c r="O5206">
        <v>0.71414999999999995</v>
      </c>
      <c r="P5206">
        <v>0.43135400000000002</v>
      </c>
      <c r="Q5206">
        <v>0.111447</v>
      </c>
      <c r="R5206">
        <v>0.89527269999999903</v>
      </c>
      <c r="S5206">
        <v>0.97116089999999999</v>
      </c>
      <c r="T5206">
        <v>-0.39041199999999998</v>
      </c>
      <c r="U5206">
        <v>2.9373469999999999</v>
      </c>
      <c r="V5206">
        <v>-0.32306170000000001</v>
      </c>
      <c r="W5206">
        <v>0.1145161</v>
      </c>
      <c r="X5206">
        <v>0.93942389999999998</v>
      </c>
      <c r="Y5206">
        <v>-0.44098900000000002</v>
      </c>
      <c r="Z5206">
        <v>-6.9178799999999999E-2</v>
      </c>
      <c r="AA5206">
        <v>0.89484240000000004</v>
      </c>
      <c r="AB5206">
        <v>37</v>
      </c>
      <c r="AC5206">
        <v>5.9300000000007402E-2</v>
      </c>
      <c r="AD5206">
        <v>-0.122652</v>
      </c>
      <c r="AE5206">
        <v>0.66505000000000003</v>
      </c>
      <c r="AF5206">
        <v>-0.40930076208692501</v>
      </c>
      <c r="AG5206">
        <v>-0.122652</v>
      </c>
      <c r="AH5206">
        <v>0.49965089092058801</v>
      </c>
      <c r="AI5206">
        <v>100.75216874876401</v>
      </c>
      <c r="AJ5206">
        <v>129.323425096899</v>
      </c>
      <c r="AK5206">
        <v>0.65743565445347996</v>
      </c>
      <c r="AL5206">
        <v>83.424284974473693</v>
      </c>
      <c r="AM5206">
        <v>108.977756580242</v>
      </c>
      <c r="AN5206">
        <v>1.0000000315286499</v>
      </c>
    </row>
    <row r="5207" spans="1:40" x14ac:dyDescent="0.25">
      <c r="A5207" t="str">
        <f>"20190312164411501"</f>
        <v>20190312164411501</v>
      </c>
      <c r="B5207" t="str">
        <f>"1552380251490498"</f>
        <v>1552380251490498</v>
      </c>
      <c r="C5207" t="s">
        <v>40</v>
      </c>
      <c r="D5207">
        <v>5.1164350000000001</v>
      </c>
      <c r="E5207">
        <v>0.44937090000000002</v>
      </c>
      <c r="F5207" t="s">
        <v>50</v>
      </c>
      <c r="G5207">
        <v>-189.36490000000001</v>
      </c>
      <c r="H5207" s="1">
        <v>-5.9339710000000001E-6</v>
      </c>
      <c r="I5207">
        <v>-45.40446</v>
      </c>
      <c r="J5207">
        <v>-191.81030000000001</v>
      </c>
      <c r="K5207">
        <v>1.1251610000000001</v>
      </c>
      <c r="L5207">
        <v>-53.613590000000002</v>
      </c>
      <c r="M5207">
        <v>0.68824929999999995</v>
      </c>
      <c r="N5207">
        <v>0</v>
      </c>
      <c r="O5207">
        <v>0.72529440000000001</v>
      </c>
      <c r="P5207">
        <v>0.41990810000000001</v>
      </c>
      <c r="Q5207">
        <v>0.11106009999999999</v>
      </c>
      <c r="R5207">
        <v>0.90074569999999998</v>
      </c>
      <c r="S5207">
        <v>0.93618769999999996</v>
      </c>
      <c r="T5207">
        <v>-0.39147759999999998</v>
      </c>
      <c r="U5207">
        <v>2.9486080000000001</v>
      </c>
      <c r="V5207">
        <v>-0.31996869999999999</v>
      </c>
      <c r="W5207">
        <v>0.114257399999999</v>
      </c>
      <c r="X5207">
        <v>0.9405133</v>
      </c>
      <c r="Y5207">
        <v>-0.43725579999999997</v>
      </c>
      <c r="Z5207">
        <v>-7.1290549999999994E-2</v>
      </c>
      <c r="AA5207">
        <v>0.8965071</v>
      </c>
      <c r="AB5207">
        <v>36</v>
      </c>
      <c r="AC5207">
        <v>2.4453999999999998</v>
      </c>
      <c r="AD5207">
        <v>-1.125166933971</v>
      </c>
      <c r="AE5207">
        <v>8.20913</v>
      </c>
      <c r="AF5207">
        <v>-3.8110391490560902</v>
      </c>
      <c r="AG5207">
        <v>-1.125166933971</v>
      </c>
      <c r="AH5207">
        <v>7.5085174802387602</v>
      </c>
      <c r="AI5207">
        <v>97.611069839752702</v>
      </c>
      <c r="AJ5207">
        <v>116.91062431676301</v>
      </c>
      <c r="AK5207">
        <v>8.4951665537522505</v>
      </c>
      <c r="AL5207">
        <v>83.439205083986906</v>
      </c>
      <c r="AM5207">
        <v>108.788636054395</v>
      </c>
      <c r="AN5207">
        <v>0.99999999495567005</v>
      </c>
    </row>
    <row r="5208" spans="1:40" x14ac:dyDescent="0.25">
      <c r="A5208" t="str">
        <f>"20190312164411523"</f>
        <v>20190312164411523</v>
      </c>
      <c r="B5208" t="str">
        <f>"1552380251519778"</f>
        <v>1552380251519778</v>
      </c>
      <c r="C5208" t="s">
        <v>40</v>
      </c>
      <c r="D5208">
        <v>5.0849409999999997</v>
      </c>
      <c r="E5208">
        <v>0.45004129999999998</v>
      </c>
      <c r="F5208" t="s">
        <v>50</v>
      </c>
      <c r="G5208">
        <v>-189.23140000000001</v>
      </c>
      <c r="H5208" s="1">
        <v>-6.0220720000000004E-6</v>
      </c>
      <c r="I5208">
        <v>-45.165990000000001</v>
      </c>
      <c r="J5208">
        <v>-191.57560000000001</v>
      </c>
      <c r="K5208">
        <v>1.1251610000000001</v>
      </c>
      <c r="L5208">
        <v>-53.3506199999999</v>
      </c>
      <c r="M5208">
        <v>0.67679730000000005</v>
      </c>
      <c r="N5208">
        <v>0</v>
      </c>
      <c r="O5208">
        <v>0.73599209999999904</v>
      </c>
      <c r="P5208">
        <v>0.40898630000000002</v>
      </c>
      <c r="Q5208">
        <v>0.1090535</v>
      </c>
      <c r="R5208">
        <v>0.9060009</v>
      </c>
      <c r="S5208">
        <v>0.9030762</v>
      </c>
      <c r="T5208">
        <v>-0.39400839999999998</v>
      </c>
      <c r="U5208">
        <v>2.9581599999999999</v>
      </c>
      <c r="V5208">
        <v>-0.31668580000000002</v>
      </c>
      <c r="W5208">
        <v>0.1123917</v>
      </c>
      <c r="X5208">
        <v>0.94184829999999997</v>
      </c>
      <c r="Y5208">
        <v>-0.43319999999999997</v>
      </c>
      <c r="Z5208">
        <v>-7.3648130000000006E-2</v>
      </c>
      <c r="AA5208">
        <v>0.89828379999999997</v>
      </c>
      <c r="AB5208">
        <v>36</v>
      </c>
      <c r="AC5208">
        <v>2.3441999999999998</v>
      </c>
      <c r="AD5208">
        <v>-1.125167022072</v>
      </c>
      <c r="AE5208">
        <v>8.1846299999999896</v>
      </c>
      <c r="AF5208">
        <v>-3.7490397268748898</v>
      </c>
      <c r="AG5208">
        <v>-1.125167022072</v>
      </c>
      <c r="AH5208">
        <v>7.4807062310491697</v>
      </c>
      <c r="AI5208">
        <v>97.658485154838701</v>
      </c>
      <c r="AJ5208">
        <v>116.618252031935</v>
      </c>
      <c r="AK5208">
        <v>8.4428825300665196</v>
      </c>
      <c r="AL5208">
        <v>83.546794994189995</v>
      </c>
      <c r="AM5208">
        <v>108.584634112909</v>
      </c>
      <c r="AN5208">
        <v>1.00000000518171</v>
      </c>
    </row>
    <row r="5209" spans="1:40" x14ac:dyDescent="0.25">
      <c r="A5209" t="str">
        <f>"20190312164411545"</f>
        <v>20190312164411545</v>
      </c>
      <c r="B5209" t="str">
        <f>"1552380251540274"</f>
        <v>1552380251540274</v>
      </c>
      <c r="C5209" t="s">
        <v>40</v>
      </c>
      <c r="D5209">
        <v>4.9788709999999998</v>
      </c>
      <c r="E5209">
        <v>0.45060450000000002</v>
      </c>
      <c r="F5209" t="s">
        <v>50</v>
      </c>
      <c r="G5209">
        <v>-189.1497</v>
      </c>
      <c r="H5209" s="1">
        <v>-6.044881E-6</v>
      </c>
      <c r="I5209">
        <v>-45.085799999999999</v>
      </c>
      <c r="J5209">
        <v>-191.35400000000001</v>
      </c>
      <c r="K5209">
        <v>1.125162</v>
      </c>
      <c r="L5209">
        <v>-53.0944199999999</v>
      </c>
      <c r="M5209">
        <v>0.66562010000000005</v>
      </c>
      <c r="N5209">
        <v>0</v>
      </c>
      <c r="O5209">
        <v>0.74611569999999905</v>
      </c>
      <c r="P5209">
        <v>0.39841850000000001</v>
      </c>
      <c r="Q5209">
        <v>0.1067787</v>
      </c>
      <c r="R5209">
        <v>0.91096710000000003</v>
      </c>
      <c r="S5209">
        <v>0.87083440000000001</v>
      </c>
      <c r="T5209">
        <v>-0.40389370000000002</v>
      </c>
      <c r="U5209">
        <v>2.9667659999999998</v>
      </c>
      <c r="V5209">
        <v>-0.31352720000000001</v>
      </c>
      <c r="W5209">
        <v>0.11025649999999999</v>
      </c>
      <c r="X5209">
        <v>0.94315649999999995</v>
      </c>
      <c r="Y5209">
        <v>-0.4293747</v>
      </c>
      <c r="Z5209">
        <v>-7.7326710000000007E-2</v>
      </c>
      <c r="AA5209">
        <v>0.89981</v>
      </c>
      <c r="AB5209">
        <v>36</v>
      </c>
      <c r="AC5209">
        <v>2.2043000000000101</v>
      </c>
      <c r="AD5209">
        <v>-1.125168044881</v>
      </c>
      <c r="AE5209">
        <v>8.0086199999999899</v>
      </c>
      <c r="AF5209">
        <v>-3.6200932229807301</v>
      </c>
      <c r="AG5209">
        <v>-1.125168044881</v>
      </c>
      <c r="AH5209">
        <v>7.3094372845399702</v>
      </c>
      <c r="AI5209">
        <v>97.853974253768598</v>
      </c>
      <c r="AJ5209">
        <v>116.347508070638</v>
      </c>
      <c r="AK5209">
        <v>8.2340118708267198</v>
      </c>
      <c r="AL5209">
        <v>83.669898074246305</v>
      </c>
      <c r="AM5209">
        <v>108.38800926690401</v>
      </c>
      <c r="AN5209">
        <v>0.99999999221216995</v>
      </c>
    </row>
    <row r="5210" spans="1:40" x14ac:dyDescent="0.25">
      <c r="A5210" t="str">
        <f>"20190312164411567"</f>
        <v>20190312164411567</v>
      </c>
      <c r="B5210" t="str">
        <f>"1552380251559795"</f>
        <v>1552380251559795</v>
      </c>
      <c r="C5210" t="s">
        <v>40</v>
      </c>
      <c r="D5210">
        <v>5.0869879999999998</v>
      </c>
      <c r="E5210">
        <v>0.45111760000000001</v>
      </c>
      <c r="F5210" t="s">
        <v>50</v>
      </c>
      <c r="G5210">
        <v>-189.03489999999999</v>
      </c>
      <c r="H5210" s="1">
        <v>-6.1186600000000001E-6</v>
      </c>
      <c r="I5210">
        <v>-44.868450000000003</v>
      </c>
      <c r="J5210">
        <v>-191.12090000000001</v>
      </c>
      <c r="K5210">
        <v>1.125154</v>
      </c>
      <c r="L5210">
        <v>-52.816220000000001</v>
      </c>
      <c r="M5210">
        <v>0.65346910000000002</v>
      </c>
      <c r="N5210">
        <v>0</v>
      </c>
      <c r="O5210">
        <v>0.75678059999999903</v>
      </c>
      <c r="P5210">
        <v>0.38732080000000002</v>
      </c>
      <c r="Q5210">
        <v>0.1060754</v>
      </c>
      <c r="R5210">
        <v>0.91582229999999998</v>
      </c>
      <c r="S5210">
        <v>0.83847050000000001</v>
      </c>
      <c r="T5210">
        <v>-0.40681600000000001</v>
      </c>
      <c r="U5210">
        <v>2.9741819999999999</v>
      </c>
      <c r="V5210">
        <v>-0.30975639999999999</v>
      </c>
      <c r="W5210">
        <v>0.10972</v>
      </c>
      <c r="X5210">
        <v>0.94446410000000003</v>
      </c>
      <c r="Y5210">
        <v>-0.42447950000000001</v>
      </c>
      <c r="Z5210">
        <v>-7.9913579999999998E-2</v>
      </c>
      <c r="AA5210">
        <v>0.90190409999999999</v>
      </c>
      <c r="AB5210">
        <v>36</v>
      </c>
      <c r="AC5210">
        <v>2.0860000000000101</v>
      </c>
      <c r="AD5210">
        <v>-1.12516011866</v>
      </c>
      <c r="AE5210">
        <v>7.9477699999999896</v>
      </c>
      <c r="AF5210">
        <v>-3.54890731953456</v>
      </c>
      <c r="AG5210">
        <v>-1.12516011866</v>
      </c>
      <c r="AH5210">
        <v>7.2430106438764801</v>
      </c>
      <c r="AI5210">
        <v>97.941450321836996</v>
      </c>
      <c r="AJ5210">
        <v>116.10378300523401</v>
      </c>
      <c r="AK5210">
        <v>8.1438278249590308</v>
      </c>
      <c r="AL5210">
        <v>83.700824762715399</v>
      </c>
      <c r="AM5210">
        <v>108.15796642686</v>
      </c>
      <c r="AN5210">
        <v>0.99999997096488402</v>
      </c>
    </row>
    <row r="5211" spans="1:40" x14ac:dyDescent="0.25">
      <c r="A5211" t="str">
        <f>"20190312164411590"</f>
        <v>20190312164411590</v>
      </c>
      <c r="B5211" t="str">
        <f>"1552380251580290"</f>
        <v>1552380251580290</v>
      </c>
      <c r="C5211" t="s">
        <v>40</v>
      </c>
      <c r="D5211">
        <v>5.0040389999999997</v>
      </c>
      <c r="E5211">
        <v>0.45141290000000001</v>
      </c>
      <c r="F5211" t="s">
        <v>41</v>
      </c>
      <c r="G5211">
        <v>-190.8476</v>
      </c>
      <c r="H5211">
        <v>0.9870255</v>
      </c>
      <c r="I5211">
        <v>-51.803870000000003</v>
      </c>
      <c r="J5211">
        <v>-190.89670000000001</v>
      </c>
      <c r="K5211">
        <v>1.1251500000000001</v>
      </c>
      <c r="L5211">
        <v>-52.539920000000002</v>
      </c>
      <c r="M5211">
        <v>0.64138090000000003</v>
      </c>
      <c r="N5211">
        <v>0</v>
      </c>
      <c r="O5211">
        <v>0.76705230000000002</v>
      </c>
      <c r="P5211">
        <v>0.37649569999999999</v>
      </c>
      <c r="Q5211">
        <v>0.1061385</v>
      </c>
      <c r="R5211">
        <v>0.92031819999999998</v>
      </c>
      <c r="S5211">
        <v>0.80540469999999997</v>
      </c>
      <c r="T5211">
        <v>-0.40692469999999997</v>
      </c>
      <c r="U5211">
        <v>2.9822389999999999</v>
      </c>
      <c r="V5211">
        <v>-0.305898</v>
      </c>
      <c r="W5211">
        <v>0.1099546</v>
      </c>
      <c r="X5211">
        <v>0.94569360000000002</v>
      </c>
      <c r="Y5211">
        <v>-0.42008790000000001</v>
      </c>
      <c r="Z5211">
        <v>-8.1864220000000001E-2</v>
      </c>
      <c r="AA5211">
        <v>0.90378340000000001</v>
      </c>
      <c r="AB5211">
        <v>36</v>
      </c>
      <c r="AC5211">
        <v>4.91000000000099E-2</v>
      </c>
      <c r="AD5211">
        <v>-0.13812450000000001</v>
      </c>
      <c r="AE5211">
        <v>0.73604999999999099</v>
      </c>
      <c r="AF5211">
        <v>-0.41976635944996499</v>
      </c>
      <c r="AG5211">
        <v>-0.13812450000000001</v>
      </c>
      <c r="AH5211">
        <v>0.57596580481831905</v>
      </c>
      <c r="AI5211">
        <v>100.968218165693</v>
      </c>
      <c r="AJ5211">
        <v>126.084726836774</v>
      </c>
      <c r="AK5211">
        <v>0.72596059283279402</v>
      </c>
      <c r="AL5211">
        <v>83.687301488315896</v>
      </c>
      <c r="AM5211">
        <v>107.924536067285</v>
      </c>
      <c r="AN5211">
        <v>0.99999999277305995</v>
      </c>
    </row>
    <row r="5212" spans="1:40" x14ac:dyDescent="0.25">
      <c r="A5212" t="str">
        <f>"20190312164411612"</f>
        <v>20190312164411612</v>
      </c>
      <c r="B5212" t="str">
        <f>"1552380251600317"</f>
        <v>1552380251600317</v>
      </c>
      <c r="C5212" t="s">
        <v>40</v>
      </c>
      <c r="D5212">
        <v>4.9604739999999996</v>
      </c>
      <c r="E5212">
        <v>0.45179019999999998</v>
      </c>
      <c r="F5212" t="s">
        <v>41</v>
      </c>
      <c r="G5212">
        <v>-190.6412</v>
      </c>
      <c r="H5212">
        <v>0.99028939999999999</v>
      </c>
      <c r="I5212">
        <v>-51.549750000000003</v>
      </c>
      <c r="J5212">
        <v>-190.6771</v>
      </c>
      <c r="K5212">
        <v>1.1251420000000001</v>
      </c>
      <c r="L5212">
        <v>-52.260190000000001</v>
      </c>
      <c r="M5212">
        <v>0.62912669999999904</v>
      </c>
      <c r="N5212">
        <v>0</v>
      </c>
      <c r="O5212">
        <v>0.77713469999999996</v>
      </c>
      <c r="P5212">
        <v>0.36619950000000001</v>
      </c>
      <c r="Q5212">
        <v>0.1062915</v>
      </c>
      <c r="R5212">
        <v>0.92444579999999998</v>
      </c>
      <c r="S5212">
        <v>0.77166749999999995</v>
      </c>
      <c r="T5212">
        <v>-0.40735470000000001</v>
      </c>
      <c r="U5212">
        <v>2.991028</v>
      </c>
      <c r="V5212">
        <v>-0.30142940000000001</v>
      </c>
      <c r="W5212">
        <v>0.11030619999999999</v>
      </c>
      <c r="X5212">
        <v>0.94708650000000005</v>
      </c>
      <c r="Y5212">
        <v>-0.41592669999999998</v>
      </c>
      <c r="Z5212">
        <v>-8.3817929999999999E-2</v>
      </c>
      <c r="AA5212">
        <v>0.90552719999999998</v>
      </c>
      <c r="AB5212">
        <v>36</v>
      </c>
      <c r="AC5212">
        <v>3.5899999999998003E-2</v>
      </c>
      <c r="AD5212">
        <v>-0.13485259999999999</v>
      </c>
      <c r="AE5212">
        <v>0.71043999999999796</v>
      </c>
      <c r="AF5212">
        <v>-0.40457277191059798</v>
      </c>
      <c r="AG5212">
        <v>-0.13485259999999999</v>
      </c>
      <c r="AH5212">
        <v>0.55482876438970397</v>
      </c>
      <c r="AI5212">
        <v>101.110728498326</v>
      </c>
      <c r="AJ5212">
        <v>126.098967016348</v>
      </c>
      <c r="AK5212">
        <v>0.69978518796298494</v>
      </c>
      <c r="AL5212">
        <v>83.667032982295893</v>
      </c>
      <c r="AM5212">
        <v>107.654721933601</v>
      </c>
      <c r="AN5212">
        <v>0.99999998971252502</v>
      </c>
    </row>
    <row r="5213" spans="1:40" x14ac:dyDescent="0.25">
      <c r="A5213" t="str">
        <f>"20190312164411633"</f>
        <v>20190312164411633</v>
      </c>
      <c r="B5213" t="str">
        <f>"1552380251630573"</f>
        <v>1552380251630573</v>
      </c>
      <c r="C5213" t="s">
        <v>40</v>
      </c>
      <c r="D5213">
        <v>4.9524179999999998</v>
      </c>
      <c r="E5213">
        <v>0.45221050000000002</v>
      </c>
      <c r="F5213" t="s">
        <v>41</v>
      </c>
      <c r="G5213">
        <v>-190.42060000000001</v>
      </c>
      <c r="H5213">
        <v>0.98416320000000002</v>
      </c>
      <c r="I5213">
        <v>-51.219340000000003</v>
      </c>
      <c r="J5213">
        <v>-190.47120000000001</v>
      </c>
      <c r="K5213">
        <v>1.125124</v>
      </c>
      <c r="L5213">
        <v>-51.989409999999999</v>
      </c>
      <c r="M5213">
        <v>0.61724749999999995</v>
      </c>
      <c r="N5213">
        <v>0</v>
      </c>
      <c r="O5213">
        <v>0.78660299999999905</v>
      </c>
      <c r="P5213">
        <v>0.3561511</v>
      </c>
      <c r="Q5213">
        <v>0.1065649</v>
      </c>
      <c r="R5213">
        <v>0.92833200000000005</v>
      </c>
      <c r="S5213">
        <v>0.73939509999999997</v>
      </c>
      <c r="T5213">
        <v>-0.40620099999999998</v>
      </c>
      <c r="U5213">
        <v>2.9989620000000001</v>
      </c>
      <c r="V5213">
        <v>-0.2972939</v>
      </c>
      <c r="W5213">
        <v>0.110765</v>
      </c>
      <c r="X5213">
        <v>0.9483393</v>
      </c>
      <c r="Y5213">
        <v>-0.41188409999999898</v>
      </c>
      <c r="Z5213">
        <v>-8.5345229999999994E-2</v>
      </c>
      <c r="AA5213">
        <v>0.9072308</v>
      </c>
      <c r="AB5213">
        <v>36</v>
      </c>
      <c r="AC5213">
        <v>5.0600000000002802E-2</v>
      </c>
      <c r="AD5213">
        <v>-0.1409608</v>
      </c>
      <c r="AE5213">
        <v>0.77006999999999604</v>
      </c>
      <c r="AF5213">
        <v>-0.421515542794762</v>
      </c>
      <c r="AG5213">
        <v>-0.1409608</v>
      </c>
      <c r="AH5213">
        <v>0.61648743757036095</v>
      </c>
      <c r="AI5213">
        <v>100.688792550355</v>
      </c>
      <c r="AJ5213">
        <v>124.36187801741499</v>
      </c>
      <c r="AK5213">
        <v>0.76000135568055005</v>
      </c>
      <c r="AL5213">
        <v>83.640583590172398</v>
      </c>
      <c r="AM5213">
        <v>107.405632064458</v>
      </c>
      <c r="AN5213">
        <v>0.99999998806335</v>
      </c>
    </row>
    <row r="5214" spans="1:40" x14ac:dyDescent="0.25">
      <c r="A5214" t="str">
        <f>"20190312164411658"</f>
        <v>20190312164411658</v>
      </c>
      <c r="B5214" t="str">
        <f>"1552380251650093"</f>
        <v>1552380251650093</v>
      </c>
      <c r="C5214" t="s">
        <v>40</v>
      </c>
      <c r="D5214">
        <v>5.0588259999999998</v>
      </c>
      <c r="E5214">
        <v>0.45248359999999899</v>
      </c>
      <c r="F5214" t="s">
        <v>50</v>
      </c>
      <c r="G5214">
        <v>-188.50239999999999</v>
      </c>
      <c r="H5214" s="1">
        <v>-6.4736600000000001E-6</v>
      </c>
      <c r="I5214">
        <v>-43.629010000000001</v>
      </c>
      <c r="J5214">
        <v>-190.23490000000001</v>
      </c>
      <c r="K5214">
        <v>1.1251040000000001</v>
      </c>
      <c r="L5214">
        <v>-51.667969999999997</v>
      </c>
      <c r="M5214">
        <v>0.60312189999999999</v>
      </c>
      <c r="N5214">
        <v>0</v>
      </c>
      <c r="O5214">
        <v>0.79748520000000001</v>
      </c>
      <c r="P5214">
        <v>0.34344839999999999</v>
      </c>
      <c r="Q5214">
        <v>0.10654710000000001</v>
      </c>
      <c r="R5214">
        <v>0.93310820000000005</v>
      </c>
      <c r="S5214">
        <v>0.70799259999999997</v>
      </c>
      <c r="T5214">
        <v>-0.40460230000000003</v>
      </c>
      <c r="U5214">
        <v>3.0064389999999999</v>
      </c>
      <c r="V5214">
        <v>-0.29331380000000001</v>
      </c>
      <c r="W5214">
        <v>0.110928</v>
      </c>
      <c r="X5214">
        <v>0.94955889999999998</v>
      </c>
      <c r="Y5214">
        <v>-0.40514660000000002</v>
      </c>
      <c r="Z5214">
        <v>-8.7124149999999997E-2</v>
      </c>
      <c r="AA5214">
        <v>0.91009099999999998</v>
      </c>
      <c r="AB5214">
        <v>36</v>
      </c>
      <c r="AC5214">
        <v>1.7325000000000099</v>
      </c>
      <c r="AD5214">
        <v>-1.1251104736599999</v>
      </c>
      <c r="AE5214">
        <v>8.0389599999999994</v>
      </c>
      <c r="AF5214">
        <v>-3.4035726162659601</v>
      </c>
      <c r="AG5214">
        <v>-1.1251104736599999</v>
      </c>
      <c r="AH5214">
        <v>7.3198178298996197</v>
      </c>
      <c r="AI5214">
        <v>97.934599315126704</v>
      </c>
      <c r="AJ5214">
        <v>114.93750941072101</v>
      </c>
      <c r="AK5214">
        <v>8.15045478455351</v>
      </c>
      <c r="AL5214">
        <v>83.631186899935201</v>
      </c>
      <c r="AM5214">
        <v>107.16564633062799</v>
      </c>
      <c r="AN5214">
        <v>1.00000005551182</v>
      </c>
    </row>
    <row r="5215" spans="1:40" x14ac:dyDescent="0.25">
      <c r="A5215" t="str">
        <f>"20190312164411682"</f>
        <v>20190312164411682</v>
      </c>
      <c r="B5215" t="str">
        <f>"1552380251670589"</f>
        <v>1552380251670589</v>
      </c>
      <c r="C5215" t="s">
        <v>40</v>
      </c>
      <c r="D5215">
        <v>4.9591789999999998</v>
      </c>
      <c r="E5215">
        <v>0.4665996</v>
      </c>
      <c r="F5215" t="s">
        <v>50</v>
      </c>
      <c r="G5215">
        <v>-188.37479999999999</v>
      </c>
      <c r="H5215" s="1">
        <v>-6.5794369999999996E-6</v>
      </c>
      <c r="I5215">
        <v>-43.270130000000002</v>
      </c>
      <c r="J5215">
        <v>-190.0284</v>
      </c>
      <c r="K5215">
        <v>1.125081</v>
      </c>
      <c r="L5215">
        <v>-51.376860000000001</v>
      </c>
      <c r="M5215">
        <v>0.59031109999999998</v>
      </c>
      <c r="N5215">
        <v>0</v>
      </c>
      <c r="O5215">
        <v>0.80701389999999995</v>
      </c>
      <c r="P5215">
        <v>0.33256819999999998</v>
      </c>
      <c r="Q5215">
        <v>0.1068115</v>
      </c>
      <c r="R5215">
        <v>0.93701109999999999</v>
      </c>
      <c r="S5215">
        <v>0.6678925</v>
      </c>
      <c r="T5215">
        <v>-0.40398499999999998</v>
      </c>
      <c r="U5215">
        <v>3.0153500000000002</v>
      </c>
      <c r="V5215">
        <v>-0.28918059999999901</v>
      </c>
      <c r="W5215">
        <v>0.1113796</v>
      </c>
      <c r="X5215">
        <v>0.95077290000000003</v>
      </c>
      <c r="Y5215">
        <v>-0.40268009999999999</v>
      </c>
      <c r="Z5215">
        <v>-8.8691640000000002E-2</v>
      </c>
      <c r="AA5215">
        <v>0.9110338</v>
      </c>
      <c r="AB5215">
        <v>36</v>
      </c>
      <c r="AC5215">
        <v>1.65360000000001</v>
      </c>
      <c r="AD5215">
        <v>-1.1250875794370001</v>
      </c>
      <c r="AE5215">
        <v>8.10672999999999</v>
      </c>
      <c r="AF5215">
        <v>-3.3888008585556801</v>
      </c>
      <c r="AG5215">
        <v>-1.1250875794370001</v>
      </c>
      <c r="AH5215">
        <v>7.3828435125753202</v>
      </c>
      <c r="AI5215">
        <v>97.885235960459397</v>
      </c>
      <c r="AJ5215">
        <v>114.65560808487101</v>
      </c>
      <c r="AK5215">
        <v>8.2009860170303099</v>
      </c>
      <c r="AL5215">
        <v>83.605150244553599</v>
      </c>
      <c r="AM5215">
        <v>106.917305502392</v>
      </c>
      <c r="AN5215">
        <v>0.99999997104346405</v>
      </c>
    </row>
    <row r="5216" spans="1:40" x14ac:dyDescent="0.25">
      <c r="A5216" t="str">
        <f>"20190312164411705"</f>
        <v>20190312164411705</v>
      </c>
      <c r="B5216" t="str">
        <f>"1552380251700375"</f>
        <v>1552380251700375</v>
      </c>
      <c r="C5216" t="s">
        <v>40</v>
      </c>
      <c r="D5216">
        <v>4.9396550000000001</v>
      </c>
      <c r="E5216">
        <v>0.47061700000000001</v>
      </c>
      <c r="F5216" t="s">
        <v>50</v>
      </c>
      <c r="G5216">
        <v>-187.77670000000001</v>
      </c>
      <c r="H5216" s="1">
        <v>-6.839382E-6</v>
      </c>
      <c r="I5216">
        <v>-42.292610000000003</v>
      </c>
      <c r="J5216">
        <v>-189.82130000000001</v>
      </c>
      <c r="K5216">
        <v>1.1250639999999901</v>
      </c>
      <c r="L5216">
        <v>-51.073430000000002</v>
      </c>
      <c r="M5216">
        <v>0.57695369999999901</v>
      </c>
      <c r="N5216">
        <v>0</v>
      </c>
      <c r="O5216">
        <v>0.81661689999999998</v>
      </c>
      <c r="P5216">
        <v>0.32130180000000003</v>
      </c>
      <c r="Q5216">
        <v>0.1071878</v>
      </c>
      <c r="R5216">
        <v>0.94089100000000003</v>
      </c>
      <c r="S5216">
        <v>0.7390137</v>
      </c>
      <c r="T5216">
        <v>-0.3692569</v>
      </c>
      <c r="U5216">
        <v>2.9814759999999998</v>
      </c>
      <c r="V5216">
        <v>-0.2849218</v>
      </c>
      <c r="W5216">
        <v>0.1119487</v>
      </c>
      <c r="X5216">
        <v>0.95199109999999998</v>
      </c>
      <c r="Y5216">
        <v>-0.3644752</v>
      </c>
      <c r="Z5216">
        <v>-8.4562990000000005E-2</v>
      </c>
      <c r="AA5216">
        <v>0.92736560000000001</v>
      </c>
      <c r="AB5216">
        <v>36</v>
      </c>
      <c r="AC5216">
        <v>2.0446</v>
      </c>
      <c r="AD5216">
        <v>-1.1250708393819999</v>
      </c>
      <c r="AE5216">
        <v>8.7808200000000003</v>
      </c>
      <c r="AF5216">
        <v>-3.3448280395461398</v>
      </c>
      <c r="AG5216">
        <v>-1.1250708393819999</v>
      </c>
      <c r="AH5216">
        <v>8.2232399719916902</v>
      </c>
      <c r="AI5216">
        <v>97.222773382775202</v>
      </c>
      <c r="AJ5216">
        <v>112.13418423709599</v>
      </c>
      <c r="AK5216">
        <v>8.9484822536966409</v>
      </c>
      <c r="AL5216">
        <v>83.572338187903995</v>
      </c>
      <c r="AM5216">
        <v>106.661937034258</v>
      </c>
      <c r="AN5216">
        <v>0.99999999901307002</v>
      </c>
    </row>
    <row r="5217" spans="1:40" x14ac:dyDescent="0.25">
      <c r="A5217" t="str">
        <f>"20190312164411726"</f>
        <v>20190312164411726</v>
      </c>
      <c r="B5217" t="str">
        <f>"1552380251719896"</f>
        <v>1552380251719896</v>
      </c>
      <c r="C5217" t="s">
        <v>40</v>
      </c>
      <c r="D5217">
        <v>5.1225149999999999</v>
      </c>
      <c r="E5217">
        <v>0.47222209999999998</v>
      </c>
      <c r="F5217" t="s">
        <v>50</v>
      </c>
      <c r="G5217">
        <v>-187.4794</v>
      </c>
      <c r="H5217" s="1">
        <v>-7.0483199999999996E-6</v>
      </c>
      <c r="I5217">
        <v>-41.568550000000002</v>
      </c>
      <c r="J5217">
        <v>-189.63399999999999</v>
      </c>
      <c r="K5217">
        <v>1.125059</v>
      </c>
      <c r="L5217">
        <v>-50.789760000000001</v>
      </c>
      <c r="M5217">
        <v>0.564446</v>
      </c>
      <c r="N5217">
        <v>0</v>
      </c>
      <c r="O5217">
        <v>0.82531169999999998</v>
      </c>
      <c r="P5217">
        <v>0.31137890000000001</v>
      </c>
      <c r="Q5217">
        <v>0.1081873</v>
      </c>
      <c r="R5217">
        <v>0.94410740000000004</v>
      </c>
      <c r="S5217">
        <v>0.7337494</v>
      </c>
      <c r="T5217">
        <v>-0.35250959999999998</v>
      </c>
      <c r="U5217">
        <v>2.9780880000000001</v>
      </c>
      <c r="V5217">
        <v>-0.28040029999999999</v>
      </c>
      <c r="W5217">
        <v>0.1131508</v>
      </c>
      <c r="X5217">
        <v>0.95319069999999995</v>
      </c>
      <c r="Y5217">
        <v>-0.35151779999999999</v>
      </c>
      <c r="Z5217">
        <v>-8.2613389999999995E-2</v>
      </c>
      <c r="AA5217">
        <v>0.93252900000000005</v>
      </c>
      <c r="AB5217">
        <v>36</v>
      </c>
      <c r="AC5217">
        <v>2.1546000000000101</v>
      </c>
      <c r="AD5217">
        <v>-1.1250660483199999</v>
      </c>
      <c r="AE5217">
        <v>9.2212099999999992</v>
      </c>
      <c r="AF5217">
        <v>-3.3794045451294901</v>
      </c>
      <c r="AG5217">
        <v>-1.1250660483199999</v>
      </c>
      <c r="AH5217">
        <v>8.7048091453989596</v>
      </c>
      <c r="AI5217">
        <v>96.870190005990395</v>
      </c>
      <c r="AJ5217">
        <v>111.217342705264</v>
      </c>
      <c r="AK5217">
        <v>9.4053097211386802</v>
      </c>
      <c r="AL5217">
        <v>83.503022319690899</v>
      </c>
      <c r="AM5217">
        <v>106.392311685349</v>
      </c>
      <c r="AN5217">
        <v>0.99999997117360895</v>
      </c>
    </row>
    <row r="5218" spans="1:40" x14ac:dyDescent="0.25">
      <c r="A5218" t="str">
        <f>"20190312164411746"</f>
        <v>20190312164411746</v>
      </c>
      <c r="B5218" t="str">
        <f>"1552380251740391"</f>
        <v>1552380251740391</v>
      </c>
      <c r="C5218" t="s">
        <v>40</v>
      </c>
      <c r="D5218">
        <v>4.970396</v>
      </c>
      <c r="E5218">
        <v>0.47326489999999999</v>
      </c>
      <c r="F5218" t="s">
        <v>50</v>
      </c>
      <c r="G5218">
        <v>-187.23949999999999</v>
      </c>
      <c r="H5218" s="1">
        <v>-7.2845180000000004E-6</v>
      </c>
      <c r="I5218">
        <v>-40.782330000000002</v>
      </c>
      <c r="J5218">
        <v>-189.46360000000001</v>
      </c>
      <c r="K5218">
        <v>1.1250450000000001</v>
      </c>
      <c r="L5218">
        <v>-50.523249999999997</v>
      </c>
      <c r="M5218">
        <v>0.55267759999999999</v>
      </c>
      <c r="N5218">
        <v>0</v>
      </c>
      <c r="O5218">
        <v>0.83323840000000005</v>
      </c>
      <c r="P5218">
        <v>0.30223549999999999</v>
      </c>
      <c r="Q5218">
        <v>0.1086308</v>
      </c>
      <c r="R5218">
        <v>0.94702330000000001</v>
      </c>
      <c r="S5218">
        <v>0.71321109999999999</v>
      </c>
      <c r="T5218">
        <v>-0.33510770000000001</v>
      </c>
      <c r="U5218">
        <v>2.9807739999999998</v>
      </c>
      <c r="V5218">
        <v>-0.27606560000000002</v>
      </c>
      <c r="W5218">
        <v>0.1137884</v>
      </c>
      <c r="X5218">
        <v>0.95437939999999999</v>
      </c>
      <c r="Y5218">
        <v>-0.34443269999999998</v>
      </c>
      <c r="Z5218">
        <v>-7.996114E-2</v>
      </c>
      <c r="AA5218">
        <v>0.9353996</v>
      </c>
      <c r="AB5218">
        <v>36</v>
      </c>
      <c r="AC5218">
        <v>2.2241000000000199</v>
      </c>
      <c r="AD5218">
        <v>-1.125052284518</v>
      </c>
      <c r="AE5218">
        <v>9.7409199999999903</v>
      </c>
      <c r="AF5218">
        <v>-3.4866379236818399</v>
      </c>
      <c r="AG5218">
        <v>-1.125052284518</v>
      </c>
      <c r="AH5218">
        <v>9.2299163994132893</v>
      </c>
      <c r="AI5218">
        <v>96.5051913153345</v>
      </c>
      <c r="AJ5218">
        <v>110.694258964052</v>
      </c>
      <c r="AK5218">
        <v>9.9304452767191602</v>
      </c>
      <c r="AL5218">
        <v>83.466253421882399</v>
      </c>
      <c r="AM5218">
        <v>106.133142067451</v>
      </c>
      <c r="AN5218">
        <v>1.00000002731113</v>
      </c>
    </row>
    <row r="5219" spans="1:40" x14ac:dyDescent="0.25">
      <c r="A5219" t="str">
        <f>"20190312164411769"</f>
        <v>20190312164411769</v>
      </c>
      <c r="B5219" t="str">
        <f>"1552380251759911"</f>
        <v>1552380251759911</v>
      </c>
      <c r="C5219" t="s">
        <v>40</v>
      </c>
      <c r="D5219">
        <v>5.1145809999999896</v>
      </c>
      <c r="E5219">
        <v>0.47419090000000003</v>
      </c>
      <c r="F5219" t="s">
        <v>42</v>
      </c>
      <c r="G5219">
        <v>-187.0575</v>
      </c>
      <c r="H5219" s="1">
        <v>-8.5626640000000005E-7</v>
      </c>
      <c r="I5219">
        <v>-40.136389999999999</v>
      </c>
      <c r="J5219">
        <v>-189.26759999999999</v>
      </c>
      <c r="K5219">
        <v>1.1250209999999901</v>
      </c>
      <c r="L5219">
        <v>-50.205719999999999</v>
      </c>
      <c r="M5219">
        <v>0.53863919999999998</v>
      </c>
      <c r="N5219">
        <v>0</v>
      </c>
      <c r="O5219">
        <v>0.84238150000000001</v>
      </c>
      <c r="P5219">
        <v>0.29070629999999997</v>
      </c>
      <c r="Q5219">
        <v>0.1084846</v>
      </c>
      <c r="R5219">
        <v>0.9506424</v>
      </c>
      <c r="S5219">
        <v>0.69129940000000001</v>
      </c>
      <c r="T5219">
        <v>-0.32324049999999999</v>
      </c>
      <c r="U5219">
        <v>2.984283</v>
      </c>
      <c r="V5219">
        <v>-0.27165990000000001</v>
      </c>
      <c r="W5219">
        <v>0.1138425</v>
      </c>
      <c r="X5219">
        <v>0.95563629999999999</v>
      </c>
      <c r="Y5219">
        <v>-0.33541900000000002</v>
      </c>
      <c r="Z5219">
        <v>-7.8695829999999994E-2</v>
      </c>
      <c r="AA5219">
        <v>0.93877639999999996</v>
      </c>
      <c r="AB5219">
        <v>36</v>
      </c>
      <c r="AC5219">
        <v>2.2100999999999802</v>
      </c>
      <c r="AD5219">
        <v>-1.1250218562663901</v>
      </c>
      <c r="AE5219">
        <v>10.0693299999999</v>
      </c>
      <c r="AF5219">
        <v>-3.52052675008684</v>
      </c>
      <c r="AG5219">
        <v>-1.1250218562663901</v>
      </c>
      <c r="AH5219">
        <v>9.5600734383296597</v>
      </c>
      <c r="AI5219">
        <v>96.301611029216104</v>
      </c>
      <c r="AJ5219">
        <v>110.21638642618601</v>
      </c>
      <c r="AK5219">
        <v>10.2496237453581</v>
      </c>
      <c r="AL5219">
        <v>83.463133115942398</v>
      </c>
      <c r="AM5219">
        <v>105.86892551381899</v>
      </c>
      <c r="AN5219">
        <v>0.99999997697597398</v>
      </c>
    </row>
    <row r="5220" spans="1:40" x14ac:dyDescent="0.25">
      <c r="A5220" t="str">
        <f>"20190312164411793"</f>
        <v>20190312164411793</v>
      </c>
      <c r="B5220" t="str">
        <f>"1552380251780410"</f>
        <v>1552380251780410</v>
      </c>
      <c r="C5220" t="s">
        <v>40</v>
      </c>
      <c r="D5220">
        <v>5.0908150000000001</v>
      </c>
      <c r="E5220">
        <v>0.47460560000000002</v>
      </c>
      <c r="F5220" t="s">
        <v>42</v>
      </c>
      <c r="G5220">
        <v>-186.92949999999999</v>
      </c>
      <c r="H5220" s="1">
        <v>-1.0626650000000001E-6</v>
      </c>
      <c r="I5220">
        <v>-39.630000000000003</v>
      </c>
      <c r="J5220">
        <v>-189.08609999999999</v>
      </c>
      <c r="K5220">
        <v>1.124997</v>
      </c>
      <c r="L5220">
        <v>-49.900570000000002</v>
      </c>
      <c r="M5220">
        <v>0.5251266</v>
      </c>
      <c r="N5220">
        <v>0</v>
      </c>
      <c r="O5220">
        <v>0.85087069999999998</v>
      </c>
      <c r="P5220">
        <v>0.28017629999999999</v>
      </c>
      <c r="Q5220">
        <v>0.10771989999999899</v>
      </c>
      <c r="R5220">
        <v>0.9538856</v>
      </c>
      <c r="S5220">
        <v>0.66104130000000005</v>
      </c>
      <c r="T5220">
        <v>-0.31806240000000002</v>
      </c>
      <c r="U5220">
        <v>2.9899290000000001</v>
      </c>
      <c r="V5220">
        <v>-0.26697739999999998</v>
      </c>
      <c r="W5220">
        <v>0.1132886</v>
      </c>
      <c r="X5220">
        <v>0.9570208</v>
      </c>
      <c r="Y5220">
        <v>-0.32980359999999997</v>
      </c>
      <c r="Z5220">
        <v>-7.875907E-2</v>
      </c>
      <c r="AA5220">
        <v>0.94075850000000005</v>
      </c>
      <c r="AB5220">
        <v>36</v>
      </c>
      <c r="AC5220">
        <v>2.1565999999999899</v>
      </c>
      <c r="AD5220">
        <v>-1.124998062665</v>
      </c>
      <c r="AE5220">
        <v>10.270569999999999</v>
      </c>
      <c r="AF5220">
        <v>-3.5183948221635202</v>
      </c>
      <c r="AG5220">
        <v>-1.124998062665</v>
      </c>
      <c r="AH5220">
        <v>9.7605410098233492</v>
      </c>
      <c r="AI5220">
        <v>96.188416060084506</v>
      </c>
      <c r="AJ5220">
        <v>109.822777690351</v>
      </c>
      <c r="AK5220">
        <v>10.4361335546298</v>
      </c>
      <c r="AL5220">
        <v>83.495076218870395</v>
      </c>
      <c r="AM5220">
        <v>105.587358002627</v>
      </c>
      <c r="AN5220">
        <v>1.0000000253166701</v>
      </c>
    </row>
    <row r="5221" spans="1:40" x14ac:dyDescent="0.25">
      <c r="A5221" t="str">
        <f>"20190312164411815"</f>
        <v>20190312164411815</v>
      </c>
      <c r="B5221" t="str">
        <f>"1552380251810194"</f>
        <v>1552380251810194</v>
      </c>
      <c r="C5221" t="s">
        <v>40</v>
      </c>
      <c r="D5221">
        <v>5.1280359999999998</v>
      </c>
      <c r="E5221">
        <v>0.48278500000000002</v>
      </c>
      <c r="F5221" t="s">
        <v>42</v>
      </c>
      <c r="G5221">
        <v>-186.85470000000001</v>
      </c>
      <c r="H5221" s="1">
        <v>-1.2005410000000001E-6</v>
      </c>
      <c r="I5221">
        <v>-39.283340000000003</v>
      </c>
      <c r="J5221">
        <v>-188.91249999999999</v>
      </c>
      <c r="K5221">
        <v>1.1249670000000001</v>
      </c>
      <c r="L5221">
        <v>-49.59796</v>
      </c>
      <c r="M5221">
        <v>0.51170799999999905</v>
      </c>
      <c r="N5221">
        <v>0</v>
      </c>
      <c r="O5221">
        <v>0.85900750000000003</v>
      </c>
      <c r="P5221">
        <v>0.26965359999999899</v>
      </c>
      <c r="Q5221">
        <v>0.1076029</v>
      </c>
      <c r="R5221">
        <v>0.95692659999999996</v>
      </c>
      <c r="S5221">
        <v>0.62965389999999999</v>
      </c>
      <c r="T5221">
        <v>-0.31744539999999999</v>
      </c>
      <c r="U5221">
        <v>2.995911</v>
      </c>
      <c r="V5221">
        <v>-0.26248519999999997</v>
      </c>
      <c r="W5221">
        <v>0.113373</v>
      </c>
      <c r="X5221">
        <v>0.95825260000000001</v>
      </c>
      <c r="Y5221">
        <v>-0.3248124</v>
      </c>
      <c r="Z5221">
        <v>-7.9842759999999999E-2</v>
      </c>
      <c r="AA5221">
        <v>0.94240230000000003</v>
      </c>
      <c r="AB5221">
        <v>36</v>
      </c>
      <c r="AC5221">
        <v>2.0577999999999799</v>
      </c>
      <c r="AD5221">
        <v>-1.124968200541</v>
      </c>
      <c r="AE5221">
        <v>10.3146199999999</v>
      </c>
      <c r="AF5221">
        <v>-3.4711563966564198</v>
      </c>
      <c r="AG5221">
        <v>-1.124968200541</v>
      </c>
      <c r="AH5221">
        <v>9.8024830192044607</v>
      </c>
      <c r="AI5221">
        <v>96.174315787349599</v>
      </c>
      <c r="AJ5221">
        <v>109.499559064556</v>
      </c>
      <c r="AK5221">
        <v>10.4595962409678</v>
      </c>
      <c r="AL5221">
        <v>83.490208810581095</v>
      </c>
      <c r="AM5221">
        <v>105.318742584753</v>
      </c>
      <c r="AN5221">
        <v>0.99999998137739898</v>
      </c>
    </row>
    <row r="5222" spans="1:40" x14ac:dyDescent="0.25">
      <c r="A5222" t="str">
        <f>"20190312164411838"</f>
        <v>20190312164411838</v>
      </c>
      <c r="B5222" t="str">
        <f>"1552380251830689"</f>
        <v>1552380251830689</v>
      </c>
      <c r="C5222" t="s">
        <v>40</v>
      </c>
      <c r="D5222">
        <v>5.1966159999999997</v>
      </c>
      <c r="E5222">
        <v>0.4825894</v>
      </c>
      <c r="F5222" t="s">
        <v>42</v>
      </c>
      <c r="G5222">
        <v>-186.65170000000001</v>
      </c>
      <c r="H5222" s="1">
        <v>-1.2317019999999901E-6</v>
      </c>
      <c r="I5222">
        <v>-39.350479999999997</v>
      </c>
      <c r="J5222">
        <v>-188.7371</v>
      </c>
      <c r="K5222">
        <v>1.124932</v>
      </c>
      <c r="L5222">
        <v>-49.280700000000003</v>
      </c>
      <c r="M5222">
        <v>0.49761889999999998</v>
      </c>
      <c r="N5222">
        <v>0</v>
      </c>
      <c r="O5222">
        <v>0.86724539999999894</v>
      </c>
      <c r="P5222">
        <v>0.25789030000000002</v>
      </c>
      <c r="Q5222">
        <v>0.1073862</v>
      </c>
      <c r="R5222">
        <v>0.96018789999999998</v>
      </c>
      <c r="S5222">
        <v>0.65882869999999905</v>
      </c>
      <c r="T5222">
        <v>-0.32782899999999998</v>
      </c>
      <c r="U5222">
        <v>2.986237</v>
      </c>
      <c r="V5222">
        <v>-0.25859300000000002</v>
      </c>
      <c r="W5222">
        <v>0.11333360000000001</v>
      </c>
      <c r="X5222">
        <v>0.95931489999999997</v>
      </c>
      <c r="Y5222">
        <v>-0.29994470000000001</v>
      </c>
      <c r="Z5222">
        <v>-8.4356399999999998E-2</v>
      </c>
      <c r="AA5222">
        <v>0.95021949999999999</v>
      </c>
      <c r="AB5222">
        <v>36</v>
      </c>
      <c r="AC5222">
        <v>2.0853999999999902</v>
      </c>
      <c r="AD5222">
        <v>-1.124933231702</v>
      </c>
      <c r="AE5222">
        <v>9.9302200000000003</v>
      </c>
      <c r="AF5222">
        <v>-3.0952757650383398</v>
      </c>
      <c r="AG5222">
        <v>-1.124933231702</v>
      </c>
      <c r="AH5222">
        <v>9.5337500544672107</v>
      </c>
      <c r="AI5222">
        <v>96.403404982040598</v>
      </c>
      <c r="AJ5222">
        <v>107.986803871232</v>
      </c>
      <c r="AK5222">
        <v>10.086555256304001</v>
      </c>
      <c r="AL5222">
        <v>83.492480775083493</v>
      </c>
      <c r="AM5222">
        <v>105.08607953121999</v>
      </c>
      <c r="AN5222">
        <v>0.999999960949984</v>
      </c>
    </row>
    <row r="5223" spans="1:40" x14ac:dyDescent="0.25">
      <c r="A5223" t="str">
        <f>"20190312164411861"</f>
        <v>20190312164411861</v>
      </c>
      <c r="B5223" t="str">
        <f>"1552380251850210"</f>
        <v>1552380251850210</v>
      </c>
      <c r="C5223" t="s">
        <v>40</v>
      </c>
      <c r="D5223">
        <v>5.1166130000000001</v>
      </c>
      <c r="E5223">
        <v>0.48236659999999998</v>
      </c>
      <c r="F5223" t="s">
        <v>42</v>
      </c>
      <c r="G5223">
        <v>-186.5735</v>
      </c>
      <c r="H5223" s="1">
        <v>-1.4206340000000001E-6</v>
      </c>
      <c r="I5223">
        <v>-38.856380000000001</v>
      </c>
      <c r="J5223">
        <v>-188.56819999999999</v>
      </c>
      <c r="K5223">
        <v>1.124898</v>
      </c>
      <c r="L5223">
        <v>-48.963169999999998</v>
      </c>
      <c r="M5223">
        <v>0.48349809999999999</v>
      </c>
      <c r="N5223">
        <v>0</v>
      </c>
      <c r="O5223">
        <v>0.87519650000000004</v>
      </c>
      <c r="P5223">
        <v>0.24604770000000001</v>
      </c>
      <c r="Q5223">
        <v>0.105391</v>
      </c>
      <c r="R5223">
        <v>0.96351089999999995</v>
      </c>
      <c r="S5223">
        <v>0.62132259999999995</v>
      </c>
      <c r="T5223">
        <v>-0.32305780000000001</v>
      </c>
      <c r="U5223">
        <v>2.993652</v>
      </c>
      <c r="V5223">
        <v>-0.25487460000000001</v>
      </c>
      <c r="W5223">
        <v>0.1115099</v>
      </c>
      <c r="X5223">
        <v>0.96052300000000002</v>
      </c>
      <c r="Y5223">
        <v>-0.29635420000000001</v>
      </c>
      <c r="Z5223">
        <v>-8.4315909999999994E-2</v>
      </c>
      <c r="AA5223">
        <v>0.951349</v>
      </c>
      <c r="AB5223">
        <v>36</v>
      </c>
      <c r="AC5223">
        <v>1.9946999999999899</v>
      </c>
      <c r="AD5223">
        <v>-1.1248994206339999</v>
      </c>
      <c r="AE5223">
        <v>10.106789999999901</v>
      </c>
      <c r="AF5223">
        <v>-3.1042550233798201</v>
      </c>
      <c r="AG5223">
        <v>-1.1248994206339999</v>
      </c>
      <c r="AH5223">
        <v>9.6955345708717502</v>
      </c>
      <c r="AI5223">
        <v>96.305431725529999</v>
      </c>
      <c r="AJ5223">
        <v>107.7536981736</v>
      </c>
      <c r="AK5223">
        <v>10.2423233971443</v>
      </c>
      <c r="AL5223">
        <v>83.597637841760999</v>
      </c>
      <c r="AM5223">
        <v>104.860953181293</v>
      </c>
      <c r="AN5223">
        <v>0.99999997652608397</v>
      </c>
    </row>
    <row r="5224" spans="1:40" x14ac:dyDescent="0.25">
      <c r="A5224" t="str">
        <f>"20190312164411884"</f>
        <v>20190312164411884</v>
      </c>
      <c r="B5224" t="str">
        <f>"1552380251880465"</f>
        <v>1552380251880465</v>
      </c>
      <c r="C5224" t="s">
        <v>40</v>
      </c>
      <c r="D5224">
        <v>4.8829979999999997</v>
      </c>
      <c r="E5224">
        <v>0.48247990000000002</v>
      </c>
      <c r="F5224" t="s">
        <v>42</v>
      </c>
      <c r="G5224">
        <v>-186.55199999999999</v>
      </c>
      <c r="H5224" s="1">
        <v>-1.519101E-6</v>
      </c>
      <c r="I5224">
        <v>-38.583849999999998</v>
      </c>
      <c r="J5224">
        <v>-188.40940000000001</v>
      </c>
      <c r="K5224">
        <v>1.1248530000000001</v>
      </c>
      <c r="L5224">
        <v>-48.651699999999998</v>
      </c>
      <c r="M5224">
        <v>0.4696476</v>
      </c>
      <c r="N5224">
        <v>0</v>
      </c>
      <c r="O5224">
        <v>0.88270630000000005</v>
      </c>
      <c r="P5224">
        <v>0.2344618</v>
      </c>
      <c r="Q5224">
        <v>0.10340580000000001</v>
      </c>
      <c r="R5224">
        <v>0.96660999999999997</v>
      </c>
      <c r="S5224">
        <v>0.58280940000000003</v>
      </c>
      <c r="T5224">
        <v>-0.32517659999999998</v>
      </c>
      <c r="U5224">
        <v>3.0003660000000001</v>
      </c>
      <c r="V5224">
        <v>-0.25128410000000001</v>
      </c>
      <c r="W5224">
        <v>0.1096911</v>
      </c>
      <c r="X5224">
        <v>0.96167780000000003</v>
      </c>
      <c r="Y5224">
        <v>-0.29348849999999999</v>
      </c>
      <c r="Z5224">
        <v>-8.5981399999999999E-2</v>
      </c>
      <c r="AA5224">
        <v>0.95208809999999999</v>
      </c>
      <c r="AB5224">
        <v>36</v>
      </c>
      <c r="AC5224">
        <v>1.85739999999998</v>
      </c>
      <c r="AD5224">
        <v>-1.124854519101</v>
      </c>
      <c r="AE5224">
        <v>10.06785</v>
      </c>
      <c r="AF5224">
        <v>-3.0523572137741901</v>
      </c>
      <c r="AG5224">
        <v>-1.124854519101</v>
      </c>
      <c r="AH5224">
        <v>9.64412548142346</v>
      </c>
      <c r="AI5224">
        <v>96.3452005871371</v>
      </c>
      <c r="AJ5224">
        <v>107.56253346851101</v>
      </c>
      <c r="AK5224">
        <v>10.1779830296116</v>
      </c>
      <c r="AL5224">
        <v>83.702490936006498</v>
      </c>
      <c r="AM5224">
        <v>104.643833482977</v>
      </c>
      <c r="AN5224">
        <v>1.0000000136724301</v>
      </c>
    </row>
    <row r="5225" spans="1:40" x14ac:dyDescent="0.25">
      <c r="A5225" t="str">
        <f>"20190312164411907"</f>
        <v>20190312164411907</v>
      </c>
      <c r="B5225" t="str">
        <f>"1552380251900493"</f>
        <v>1552380251900493</v>
      </c>
      <c r="C5225" t="s">
        <v>40</v>
      </c>
      <c r="D5225">
        <v>5.2334909999999999</v>
      </c>
      <c r="E5225">
        <v>0.4838015</v>
      </c>
      <c r="F5225" t="s">
        <v>42</v>
      </c>
      <c r="G5225">
        <v>-186.53829999999999</v>
      </c>
      <c r="H5225" s="1">
        <v>-1.5964680000000001E-6</v>
      </c>
      <c r="I5225">
        <v>-38.36721</v>
      </c>
      <c r="J5225">
        <v>-188.25129999999999</v>
      </c>
      <c r="K5225">
        <v>1.124817</v>
      </c>
      <c r="L5225">
        <v>-48.328699999999998</v>
      </c>
      <c r="M5225">
        <v>0.45527489999999998</v>
      </c>
      <c r="N5225">
        <v>0</v>
      </c>
      <c r="O5225">
        <v>0.89020460000000001</v>
      </c>
      <c r="P5225">
        <v>0.2228907</v>
      </c>
      <c r="Q5225">
        <v>0.1016372</v>
      </c>
      <c r="R5225">
        <v>0.96953060000000002</v>
      </c>
      <c r="S5225">
        <v>0.54692079999999998</v>
      </c>
      <c r="T5225">
        <v>-0.32879259999999999</v>
      </c>
      <c r="U5225">
        <v>3.0061339999999999</v>
      </c>
      <c r="V5225">
        <v>-0.24719099999999999</v>
      </c>
      <c r="W5225">
        <v>0.10810980000000001</v>
      </c>
      <c r="X5225">
        <v>0.96291689999999996</v>
      </c>
      <c r="Y5225">
        <v>-0.28933680000000001</v>
      </c>
      <c r="Z5225">
        <v>-8.8093400000000002E-2</v>
      </c>
      <c r="AA5225">
        <v>0.95316509999999999</v>
      </c>
      <c r="AB5225">
        <v>36</v>
      </c>
      <c r="AC5225">
        <v>1.7129999999999901</v>
      </c>
      <c r="AD5225">
        <v>-1.124818596468</v>
      </c>
      <c r="AE5225">
        <v>9.9614899999999906</v>
      </c>
      <c r="AF5225">
        <v>-2.9738598985420599</v>
      </c>
      <c r="AG5225">
        <v>-1.124818596468</v>
      </c>
      <c r="AH5225">
        <v>9.5308770061328794</v>
      </c>
      <c r="AI5225">
        <v>96.427920740614894</v>
      </c>
      <c r="AJ5225">
        <v>107.329161361533</v>
      </c>
      <c r="AK5225">
        <v>10.047222306545599</v>
      </c>
      <c r="AL5225">
        <v>83.793634974900897</v>
      </c>
      <c r="AM5225">
        <v>104.397541638481</v>
      </c>
      <c r="AN5225">
        <v>1.0000000378213201</v>
      </c>
    </row>
    <row r="5226" spans="1:40" x14ac:dyDescent="0.25">
      <c r="A5226" t="str">
        <f>"20190312164411927"</f>
        <v>20190312164411927</v>
      </c>
      <c r="B5226" t="str">
        <f>"1552380251920012"</f>
        <v>1552380251920012</v>
      </c>
      <c r="C5226" t="s">
        <v>40</v>
      </c>
      <c r="D5226">
        <v>5.2635019999999999</v>
      </c>
      <c r="E5226">
        <v>0.48464740000000001</v>
      </c>
      <c r="F5226" t="s">
        <v>42</v>
      </c>
      <c r="G5226">
        <v>-186.49719999999999</v>
      </c>
      <c r="H5226" s="1">
        <v>-1.6677970000000001E-6</v>
      </c>
      <c r="I5226">
        <v>-38.189779999999999</v>
      </c>
      <c r="J5226">
        <v>-188.107</v>
      </c>
      <c r="K5226">
        <v>1.1247769999999999</v>
      </c>
      <c r="L5226">
        <v>-48.021909999999998</v>
      </c>
      <c r="M5226">
        <v>0.44161289999999997</v>
      </c>
      <c r="N5226">
        <v>0</v>
      </c>
      <c r="O5226">
        <v>0.89706059999999999</v>
      </c>
      <c r="P5226">
        <v>0.21240780000000001</v>
      </c>
      <c r="Q5226">
        <v>0.1001179</v>
      </c>
      <c r="R5226">
        <v>0.97203870000000003</v>
      </c>
      <c r="S5226">
        <v>0.52069089999999996</v>
      </c>
      <c r="T5226">
        <v>-0.33388499999999999</v>
      </c>
      <c r="U5226">
        <v>3.0095830000000001</v>
      </c>
      <c r="V5226">
        <v>-0.24286550000000001</v>
      </c>
      <c r="W5226">
        <v>0.1067847</v>
      </c>
      <c r="X5226">
        <v>0.96416460000000004</v>
      </c>
      <c r="Y5226">
        <v>-0.28297939999999999</v>
      </c>
      <c r="Z5226">
        <v>-9.0602420000000003E-2</v>
      </c>
      <c r="AA5226">
        <v>0.95483709999999999</v>
      </c>
      <c r="AB5226">
        <v>35</v>
      </c>
      <c r="AC5226">
        <v>1.6097999999999999</v>
      </c>
      <c r="AD5226">
        <v>-1.124778667797</v>
      </c>
      <c r="AE5226">
        <v>9.8321299999999994</v>
      </c>
      <c r="AF5226">
        <v>-2.8618099350727499</v>
      </c>
      <c r="AG5226">
        <v>-1.124778667797</v>
      </c>
      <c r="AH5226">
        <v>9.4122043273620708</v>
      </c>
      <c r="AI5226">
        <v>96.522530882652902</v>
      </c>
      <c r="AJ5226">
        <v>106.912056969958</v>
      </c>
      <c r="AK5226">
        <v>9.9017510297939495</v>
      </c>
      <c r="AL5226">
        <v>83.8699994715776</v>
      </c>
      <c r="AM5226">
        <v>104.138233306261</v>
      </c>
      <c r="AN5226">
        <v>0.99999999956874996</v>
      </c>
    </row>
    <row r="5227" spans="1:40" x14ac:dyDescent="0.25">
      <c r="A5227" t="str">
        <f>"20190312164411950"</f>
        <v>20190312164411950</v>
      </c>
      <c r="B5227" t="str">
        <f>"1552380251940508"</f>
        <v>1552380251940508</v>
      </c>
      <c r="C5227" t="s">
        <v>40</v>
      </c>
      <c r="D5227">
        <v>5.285304</v>
      </c>
      <c r="E5227">
        <v>0.485286</v>
      </c>
      <c r="F5227" t="s">
        <v>42</v>
      </c>
      <c r="G5227">
        <v>-186.4984</v>
      </c>
      <c r="H5227" s="1">
        <v>-1.663121E-6</v>
      </c>
      <c r="I5227">
        <v>-38.202590000000001</v>
      </c>
      <c r="J5227">
        <v>-187.9701</v>
      </c>
      <c r="K5227">
        <v>1.124735</v>
      </c>
      <c r="L5227">
        <v>-47.719059999999999</v>
      </c>
      <c r="M5227">
        <v>0.42812060000000002</v>
      </c>
      <c r="N5227">
        <v>0</v>
      </c>
      <c r="O5227">
        <v>0.90357770000000004</v>
      </c>
      <c r="P5227">
        <v>0.2010179</v>
      </c>
      <c r="Q5227">
        <v>9.9726690000000007E-2</v>
      </c>
      <c r="R5227">
        <v>0.97449799999999998</v>
      </c>
      <c r="S5227">
        <v>0.49375920000000001</v>
      </c>
      <c r="T5227">
        <v>-0.34524349999999998</v>
      </c>
      <c r="U5227">
        <v>3.0139770000000001</v>
      </c>
      <c r="V5227">
        <v>-0.2396886</v>
      </c>
      <c r="W5227">
        <v>0.1065387</v>
      </c>
      <c r="X5227">
        <v>0.96498640000000002</v>
      </c>
      <c r="Y5227">
        <v>-0.27719280000000002</v>
      </c>
      <c r="Z5227">
        <v>-9.4749810000000004E-2</v>
      </c>
      <c r="AA5227">
        <v>0.95613099999999995</v>
      </c>
      <c r="AB5227">
        <v>35</v>
      </c>
      <c r="AC5227">
        <v>1.47169999999999</v>
      </c>
      <c r="AD5227">
        <v>-1.1247366631209901</v>
      </c>
      <c r="AE5227">
        <v>9.5164699999999893</v>
      </c>
      <c r="AF5227">
        <v>-2.70781781571075</v>
      </c>
      <c r="AG5227">
        <v>-1.1247366631209901</v>
      </c>
      <c r="AH5227">
        <v>9.1059105744847901</v>
      </c>
      <c r="AI5227">
        <v>96.752012047469805</v>
      </c>
      <c r="AJ5227">
        <v>106.56085920197199</v>
      </c>
      <c r="AK5227">
        <v>9.5663429415301096</v>
      </c>
      <c r="AL5227">
        <v>83.884174709086295</v>
      </c>
      <c r="AM5227">
        <v>103.949146179371</v>
      </c>
      <c r="AN5227">
        <v>0.99999993587630298</v>
      </c>
    </row>
    <row r="5228" spans="1:40" x14ac:dyDescent="0.25">
      <c r="A5228" t="str">
        <f>"20190312164411971"</f>
        <v>20190312164411971</v>
      </c>
      <c r="B5228" t="str">
        <f>"1552380251960028"</f>
        <v>1552380251960028</v>
      </c>
      <c r="C5228" t="s">
        <v>40</v>
      </c>
      <c r="D5228">
        <v>5.1293240000000004</v>
      </c>
      <c r="E5228">
        <v>0.48506769999999999</v>
      </c>
      <c r="F5228" t="s">
        <v>42</v>
      </c>
      <c r="G5228">
        <v>-186.4734</v>
      </c>
      <c r="H5228" s="1">
        <v>-1.7525590000000001E-6</v>
      </c>
      <c r="I5228">
        <v>-37.95926</v>
      </c>
      <c r="J5228">
        <v>-187.8373</v>
      </c>
      <c r="K5228">
        <v>1.124706</v>
      </c>
      <c r="L5228">
        <v>-47.412990000000001</v>
      </c>
      <c r="M5228">
        <v>0.41447899999999999</v>
      </c>
      <c r="N5228">
        <v>0</v>
      </c>
      <c r="O5228">
        <v>0.90991619999999995</v>
      </c>
      <c r="P5228">
        <v>0.18976129999999999</v>
      </c>
      <c r="Q5228">
        <v>9.9740990000000002E-2</v>
      </c>
      <c r="R5228">
        <v>0.97675089999999998</v>
      </c>
      <c r="S5228">
        <v>0.46290589999999998</v>
      </c>
      <c r="T5228">
        <v>-0.34787079999999998</v>
      </c>
      <c r="U5228">
        <v>3.0186160000000002</v>
      </c>
      <c r="V5228">
        <v>-0.23629030000000001</v>
      </c>
      <c r="W5228">
        <v>0.1067056</v>
      </c>
      <c r="X5228">
        <v>0.96580580000000005</v>
      </c>
      <c r="Y5228">
        <v>-0.27252520000000002</v>
      </c>
      <c r="Z5228">
        <v>-9.6519250000000001E-2</v>
      </c>
      <c r="AA5228">
        <v>0.95729520000000001</v>
      </c>
      <c r="AB5228">
        <v>35</v>
      </c>
      <c r="AC5228">
        <v>1.3638999999999999</v>
      </c>
      <c r="AD5228">
        <v>-1.1247077525589999</v>
      </c>
      <c r="AE5228">
        <v>9.4537300000000002</v>
      </c>
      <c r="AF5228">
        <v>-2.6410665972684901</v>
      </c>
      <c r="AG5228">
        <v>-1.1247077525589999</v>
      </c>
      <c r="AH5228">
        <v>9.0432144313665699</v>
      </c>
      <c r="AI5228">
        <v>96.807934942687496</v>
      </c>
      <c r="AJ5228">
        <v>106.28041968789501</v>
      </c>
      <c r="AK5228">
        <v>9.4878831965591903</v>
      </c>
      <c r="AL5228">
        <v>83.874557719041803</v>
      </c>
      <c r="AM5228">
        <v>103.747712048064</v>
      </c>
      <c r="AN5228">
        <v>1.00000001712954</v>
      </c>
    </row>
    <row r="5229" spans="1:40" x14ac:dyDescent="0.25">
      <c r="A5229" t="str">
        <f>"20190312164411998"</f>
        <v>20190312164411998</v>
      </c>
      <c r="B5229" t="str">
        <f>"1552380251990284"</f>
        <v>1552380251990284</v>
      </c>
      <c r="C5229" t="s">
        <v>40</v>
      </c>
      <c r="D5229">
        <v>5.0926049999999998</v>
      </c>
      <c r="E5229">
        <v>0.45678400000000002</v>
      </c>
      <c r="F5229" t="s">
        <v>42</v>
      </c>
      <c r="G5229">
        <v>-186.4513</v>
      </c>
      <c r="H5229" s="1">
        <v>-1.894713E-6</v>
      </c>
      <c r="I5229">
        <v>-37.558860000000003</v>
      </c>
      <c r="J5229">
        <v>-187.67939999999999</v>
      </c>
      <c r="K5229">
        <v>1.1246689999999999</v>
      </c>
      <c r="L5229">
        <v>-47.032200000000003</v>
      </c>
      <c r="M5229">
        <v>0.39749089999999998</v>
      </c>
      <c r="N5229">
        <v>0</v>
      </c>
      <c r="O5229">
        <v>0.91746470000000002</v>
      </c>
      <c r="P5229">
        <v>0.17589270000000001</v>
      </c>
      <c r="Q5229">
        <v>9.9431839999999994E-2</v>
      </c>
      <c r="R5229">
        <v>0.97937479999999999</v>
      </c>
      <c r="S5229">
        <v>0.42533870000000001</v>
      </c>
      <c r="T5229">
        <v>-0.34514800000000001</v>
      </c>
      <c r="U5229">
        <v>3.0240170000000002</v>
      </c>
      <c r="V5229">
        <v>-0.23201169999999999</v>
      </c>
      <c r="W5229">
        <v>0.1065875</v>
      </c>
      <c r="X5229">
        <v>0.96685560000000004</v>
      </c>
      <c r="Y5229">
        <v>-0.26653209999999999</v>
      </c>
      <c r="Z5229">
        <v>-9.7027749999999996E-2</v>
      </c>
      <c r="AA5229">
        <v>0.95892980000000005</v>
      </c>
      <c r="AB5229">
        <v>35</v>
      </c>
      <c r="AC5229">
        <v>1.22809999999998</v>
      </c>
      <c r="AD5229">
        <v>-1.124670894713</v>
      </c>
      <c r="AE5229">
        <v>9.4733400000000092</v>
      </c>
      <c r="AF5229">
        <v>-2.6030881050776</v>
      </c>
      <c r="AG5229">
        <v>-1.124670894713</v>
      </c>
      <c r="AH5229">
        <v>9.0552861376863394</v>
      </c>
      <c r="AI5229">
        <v>96.806980262757307</v>
      </c>
      <c r="AJ5229">
        <v>106.038151090645</v>
      </c>
      <c r="AK5229">
        <v>9.4888966344662702</v>
      </c>
      <c r="AL5229">
        <v>83.881363288140605</v>
      </c>
      <c r="AM5229">
        <v>103.493848110331</v>
      </c>
      <c r="AN5229">
        <v>1.00000003767224</v>
      </c>
    </row>
    <row r="5230" spans="1:40" x14ac:dyDescent="0.25">
      <c r="A5230" t="str">
        <f>"20190312164412018"</f>
        <v>20190312164412018</v>
      </c>
      <c r="B5230" t="str">
        <f>"1552380252010312"</f>
        <v>1552380252010312</v>
      </c>
      <c r="C5230" t="s">
        <v>40</v>
      </c>
      <c r="D5230">
        <v>5.0872380000000001</v>
      </c>
      <c r="E5230">
        <v>0.45530009999999999</v>
      </c>
      <c r="F5230" t="s">
        <v>42</v>
      </c>
      <c r="G5230">
        <v>-187.03440000000001</v>
      </c>
      <c r="H5230" s="1">
        <v>-2.9451949999999998E-6</v>
      </c>
      <c r="I5230">
        <v>-34.728119999999997</v>
      </c>
      <c r="J5230">
        <v>-187.5685</v>
      </c>
      <c r="K5230">
        <v>1.124647</v>
      </c>
      <c r="L5230">
        <v>-46.751280000000001</v>
      </c>
      <c r="M5230">
        <v>0.38495600000000002</v>
      </c>
      <c r="N5230">
        <v>0</v>
      </c>
      <c r="O5230">
        <v>0.92279449999999996</v>
      </c>
      <c r="P5230">
        <v>0.16741020000000001</v>
      </c>
      <c r="Q5230">
        <v>9.9593730000000005E-2</v>
      </c>
      <c r="R5230">
        <v>0.98084400000000005</v>
      </c>
      <c r="S5230">
        <v>0.160553</v>
      </c>
      <c r="T5230">
        <v>-0.27995730000000002</v>
      </c>
      <c r="U5230">
        <v>3.0627749999999998</v>
      </c>
      <c r="V5230">
        <v>-0.22719130000000001</v>
      </c>
      <c r="W5230">
        <v>0.10695499999999999</v>
      </c>
      <c r="X5230">
        <v>0.96795900000000001</v>
      </c>
      <c r="Y5230">
        <v>-0.33628789999999997</v>
      </c>
      <c r="Z5230">
        <v>-7.7849870000000002E-2</v>
      </c>
      <c r="AA5230">
        <v>0.93853600000000004</v>
      </c>
      <c r="AB5230">
        <v>35</v>
      </c>
      <c r="AC5230">
        <v>0.53409999999999502</v>
      </c>
      <c r="AD5230">
        <v>-1.1246499451950001</v>
      </c>
      <c r="AE5230">
        <v>12.023159999999899</v>
      </c>
      <c r="AF5230">
        <v>-4.1002533974073199</v>
      </c>
      <c r="AG5230">
        <v>-1.1246499451950001</v>
      </c>
      <c r="AH5230">
        <v>11.2041349695308</v>
      </c>
      <c r="AI5230">
        <v>95.385027238887005</v>
      </c>
      <c r="AJ5230">
        <v>110.100551287793</v>
      </c>
      <c r="AK5230">
        <v>11.9837204505797</v>
      </c>
      <c r="AL5230">
        <v>83.860185444305102</v>
      </c>
      <c r="AM5230">
        <v>103.208896164393</v>
      </c>
      <c r="AN5230">
        <v>0.99999994225084299</v>
      </c>
    </row>
    <row r="5231" spans="1:40" x14ac:dyDescent="0.25">
      <c r="A5231" t="str">
        <f>"20190312164412039"</f>
        <v>20190312164412039</v>
      </c>
      <c r="B5231" t="str">
        <f>"1552380252029832"</f>
        <v>1552380252029832</v>
      </c>
      <c r="C5231" t="s">
        <v>40</v>
      </c>
      <c r="D5231">
        <v>5.0915990000000004</v>
      </c>
      <c r="E5231">
        <v>0.45520969999999999</v>
      </c>
      <c r="F5231" t="s">
        <v>42</v>
      </c>
      <c r="G5231">
        <v>-187.1035</v>
      </c>
      <c r="H5231" s="1">
        <v>-2.8590359999999998E-6</v>
      </c>
      <c r="I5231">
        <v>-34.900399999999998</v>
      </c>
      <c r="J5231">
        <v>-187.44630000000001</v>
      </c>
      <c r="K5231">
        <v>1.124617</v>
      </c>
      <c r="L5231">
        <v>-46.428710000000002</v>
      </c>
      <c r="M5231">
        <v>0.37054759999999998</v>
      </c>
      <c r="N5231">
        <v>0</v>
      </c>
      <c r="O5231">
        <v>0.928674</v>
      </c>
      <c r="P5231">
        <v>0.15670499999999901</v>
      </c>
      <c r="Q5231">
        <v>9.9626759999999995E-2</v>
      </c>
      <c r="R5231">
        <v>0.98260780000000003</v>
      </c>
      <c r="S5231">
        <v>0.1203613</v>
      </c>
      <c r="T5231">
        <v>-0.29111540000000002</v>
      </c>
      <c r="U5231">
        <v>3.067596</v>
      </c>
      <c r="V5231">
        <v>-0.2226641</v>
      </c>
      <c r="W5231">
        <v>0.1071825</v>
      </c>
      <c r="X5231">
        <v>0.96898530000000005</v>
      </c>
      <c r="Y5231">
        <v>-0.3339876</v>
      </c>
      <c r="Z5231">
        <v>-8.1682149999999995E-2</v>
      </c>
      <c r="AA5231">
        <v>0.93903159999999997</v>
      </c>
      <c r="AB5231">
        <v>35</v>
      </c>
      <c r="AC5231">
        <v>0.34280000000001098</v>
      </c>
      <c r="AD5231">
        <v>-1.1246198590359999</v>
      </c>
      <c r="AE5231">
        <v>11.5283099999999</v>
      </c>
      <c r="AF5231">
        <v>-3.91670968616268</v>
      </c>
      <c r="AG5231">
        <v>-1.1246198590359999</v>
      </c>
      <c r="AH5231">
        <v>10.732423481039101</v>
      </c>
      <c r="AI5231">
        <v>95.621908325980797</v>
      </c>
      <c r="AJ5231">
        <v>110.049138290364</v>
      </c>
      <c r="AK5231">
        <v>11.4799955735784</v>
      </c>
      <c r="AL5231">
        <v>83.847075343564597</v>
      </c>
      <c r="AM5231">
        <v>102.941390757173</v>
      </c>
      <c r="AN5231">
        <v>0.99999995067557301</v>
      </c>
    </row>
    <row r="5232" spans="1:40" x14ac:dyDescent="0.25">
      <c r="A5232" t="str">
        <f>"20190312164412063"</f>
        <v>20190312164412063</v>
      </c>
      <c r="B5232" t="str">
        <f>"1552380252060088"</f>
        <v>1552380252060088</v>
      </c>
      <c r="C5232" t="s">
        <v>40</v>
      </c>
      <c r="D5232">
        <v>5.0673560000000002</v>
      </c>
      <c r="E5232">
        <v>0.45551409999999998</v>
      </c>
      <c r="F5232" t="s">
        <v>42</v>
      </c>
      <c r="G5232">
        <v>-187.1266</v>
      </c>
      <c r="H5232" s="1">
        <v>-2.8418870000000001E-6</v>
      </c>
      <c r="I5232">
        <v>-34.930810000000001</v>
      </c>
      <c r="J5232">
        <v>-187.3263</v>
      </c>
      <c r="K5232">
        <v>1.1245799999999999</v>
      </c>
      <c r="L5232">
        <v>-46.095399999999998</v>
      </c>
      <c r="M5232">
        <v>0.35565069999999999</v>
      </c>
      <c r="N5232">
        <v>0</v>
      </c>
      <c r="O5232">
        <v>0.93448039999999999</v>
      </c>
      <c r="P5232">
        <v>0.14541560000000001</v>
      </c>
      <c r="Q5232">
        <v>9.9401500000000004E-2</v>
      </c>
      <c r="R5232">
        <v>0.98436460000000003</v>
      </c>
      <c r="S5232">
        <v>8.5357669999999997E-2</v>
      </c>
      <c r="T5232">
        <v>-0.30027409999999999</v>
      </c>
      <c r="U5232">
        <v>3.0699459999999998</v>
      </c>
      <c r="V5232">
        <v>-0.21827659999999999</v>
      </c>
      <c r="W5232">
        <v>0.1071455</v>
      </c>
      <c r="X5232">
        <v>0.96998720000000005</v>
      </c>
      <c r="Y5232">
        <v>-0.3296422</v>
      </c>
      <c r="Z5232">
        <v>-8.509179E-2</v>
      </c>
      <c r="AA5232">
        <v>0.94026350000000003</v>
      </c>
      <c r="AB5232">
        <v>35</v>
      </c>
      <c r="AC5232">
        <v>0.19970000000000701</v>
      </c>
      <c r="AD5232">
        <v>-1.1245828418870001</v>
      </c>
      <c r="AE5232">
        <v>11.164589999999899</v>
      </c>
      <c r="AF5232">
        <v>-3.74656783632771</v>
      </c>
      <c r="AG5232">
        <v>-1.1245828418870001</v>
      </c>
      <c r="AH5232">
        <v>10.399989173055999</v>
      </c>
      <c r="AI5232">
        <v>95.808888482564498</v>
      </c>
      <c r="AJ5232">
        <v>109.811418068186</v>
      </c>
      <c r="AK5232">
        <v>11.111310990164601</v>
      </c>
      <c r="AL5232">
        <v>83.849207872139004</v>
      </c>
      <c r="AM5232">
        <v>102.682040915542</v>
      </c>
      <c r="AN5232">
        <v>1.00000000022082</v>
      </c>
    </row>
    <row r="5233" spans="1:40" x14ac:dyDescent="0.25">
      <c r="A5233" t="str">
        <f>"20190312164412087"</f>
        <v>20190312164412087</v>
      </c>
      <c r="B5233" t="str">
        <f>"1552380252080584"</f>
        <v>1552380252080584</v>
      </c>
      <c r="C5233" t="s">
        <v>40</v>
      </c>
      <c r="D5233">
        <v>5.0764490000000002</v>
      </c>
      <c r="E5233">
        <v>0.45609309999999997</v>
      </c>
      <c r="F5233" t="s">
        <v>42</v>
      </c>
      <c r="G5233">
        <v>-187.1413</v>
      </c>
      <c r="H5233" s="1">
        <v>-2.775902E-6</v>
      </c>
      <c r="I5233">
        <v>-35.078539999999997</v>
      </c>
      <c r="J5233">
        <v>-187.20699999999999</v>
      </c>
      <c r="K5233">
        <v>1.124544</v>
      </c>
      <c r="L5233">
        <v>-45.74512</v>
      </c>
      <c r="M5233">
        <v>0.33998400000000001</v>
      </c>
      <c r="N5233">
        <v>0</v>
      </c>
      <c r="O5233">
        <v>0.94029370000000001</v>
      </c>
      <c r="P5233">
        <v>0.133511299999999</v>
      </c>
      <c r="Q5233">
        <v>9.9355470000000001E-2</v>
      </c>
      <c r="R5233">
        <v>0.9860544</v>
      </c>
      <c r="S5233">
        <v>5.1574710000000003E-2</v>
      </c>
      <c r="T5233">
        <v>-0.31355270000000002</v>
      </c>
      <c r="U5233">
        <v>3.0716860000000001</v>
      </c>
      <c r="V5233">
        <v>-0.2137696</v>
      </c>
      <c r="W5233">
        <v>0.1072911</v>
      </c>
      <c r="X5233">
        <v>0.97097429999999996</v>
      </c>
      <c r="Y5233">
        <v>-0.32421519999999998</v>
      </c>
      <c r="Z5233">
        <v>-8.9750090000000005E-2</v>
      </c>
      <c r="AA5233">
        <v>0.9417162</v>
      </c>
      <c r="AB5233">
        <v>35</v>
      </c>
      <c r="AC5233">
        <v>6.5699999999992501E-2</v>
      </c>
      <c r="AD5233">
        <v>-1.124546775902</v>
      </c>
      <c r="AE5233">
        <v>10.6665799999999</v>
      </c>
      <c r="AF5233">
        <v>-3.52596117137479</v>
      </c>
      <c r="AG5233">
        <v>-1.124546775902</v>
      </c>
      <c r="AH5233">
        <v>9.9428457796973309</v>
      </c>
      <c r="AI5233">
        <v>96.084573479561001</v>
      </c>
      <c r="AJ5233">
        <v>109.525673860206</v>
      </c>
      <c r="AK5233">
        <v>10.609297329798901</v>
      </c>
      <c r="AL5233">
        <v>83.840816969409602</v>
      </c>
      <c r="AM5233">
        <v>102.416156609249</v>
      </c>
      <c r="AN5233">
        <v>0.99999995664192898</v>
      </c>
    </row>
    <row r="5234" spans="1:40" x14ac:dyDescent="0.25">
      <c r="A5234" t="str">
        <f>"20190312164412108"</f>
        <v>20190312164412108</v>
      </c>
      <c r="B5234" t="str">
        <f>"1552380252100611"</f>
        <v>1552380252100611</v>
      </c>
      <c r="C5234" t="s">
        <v>40</v>
      </c>
      <c r="D5234">
        <v>5.1052160000000004</v>
      </c>
      <c r="E5234">
        <v>0.45664870000000002</v>
      </c>
      <c r="F5234" t="s">
        <v>42</v>
      </c>
      <c r="G5234">
        <v>-187.14500000000001</v>
      </c>
      <c r="H5234" s="1">
        <v>-2.9118639999999999E-6</v>
      </c>
      <c r="I5234">
        <v>-34.760089999999998</v>
      </c>
      <c r="J5234">
        <v>-187.1036</v>
      </c>
      <c r="K5234">
        <v>1.1245160000000001</v>
      </c>
      <c r="L5234">
        <v>-45.425229999999999</v>
      </c>
      <c r="M5234">
        <v>0.32566050000000002</v>
      </c>
      <c r="N5234">
        <v>0</v>
      </c>
      <c r="O5234">
        <v>0.94535009999999997</v>
      </c>
      <c r="P5234">
        <v>0.1230116</v>
      </c>
      <c r="Q5234">
        <v>9.9914290000000003E-2</v>
      </c>
      <c r="R5234">
        <v>0.98736279999999998</v>
      </c>
      <c r="S5234">
        <v>1.7333979999999999E-2</v>
      </c>
      <c r="T5234">
        <v>-0.31446039999999997</v>
      </c>
      <c r="U5234">
        <v>3.071777</v>
      </c>
      <c r="V5234">
        <v>-0.20933669999999999</v>
      </c>
      <c r="W5234">
        <v>0.1080358</v>
      </c>
      <c r="X5234">
        <v>0.97185719999999998</v>
      </c>
      <c r="Y5234">
        <v>-0.32034089999999998</v>
      </c>
      <c r="Z5234">
        <v>-9.084188E-2</v>
      </c>
      <c r="AA5234">
        <v>0.94293660000000001</v>
      </c>
      <c r="AB5234">
        <v>35</v>
      </c>
      <c r="AC5234">
        <v>-4.1400000000009998E-2</v>
      </c>
      <c r="AD5234">
        <v>-1.124518911864</v>
      </c>
      <c r="AE5234">
        <v>10.6651399999999</v>
      </c>
      <c r="AF5234">
        <v>-3.4741831997257</v>
      </c>
      <c r="AG5234">
        <v>-1.124518911864</v>
      </c>
      <c r="AH5234">
        <v>9.9593899667177102</v>
      </c>
      <c r="AI5234">
        <v>96.085324416351497</v>
      </c>
      <c r="AJ5234">
        <v>109.23055645066199</v>
      </c>
      <c r="AK5234">
        <v>10.6077302095006</v>
      </c>
      <c r="AL5234">
        <v>83.797899622645602</v>
      </c>
      <c r="AM5234">
        <v>102.15570854258</v>
      </c>
      <c r="AN5234">
        <v>1.0000000026201801</v>
      </c>
    </row>
    <row r="5235" spans="1:40" x14ac:dyDescent="0.25">
      <c r="A5235" t="str">
        <f>"20190312164412130"</f>
        <v>20190312164412130</v>
      </c>
      <c r="B5235" t="str">
        <f>"1552380252120130"</f>
        <v>1552380252120130</v>
      </c>
      <c r="C5235" t="s">
        <v>40</v>
      </c>
      <c r="D5235">
        <v>5.3280839999999996</v>
      </c>
      <c r="E5235">
        <v>0.45767479999999999</v>
      </c>
      <c r="F5235" t="s">
        <v>42</v>
      </c>
      <c r="G5235">
        <v>-187.1497</v>
      </c>
      <c r="H5235" s="1">
        <v>-3.0472330000000001E-6</v>
      </c>
      <c r="I5235">
        <v>-34.442599999999999</v>
      </c>
      <c r="J5235">
        <v>-187.0025</v>
      </c>
      <c r="K5235">
        <v>1.124485</v>
      </c>
      <c r="L5235">
        <v>-45.09525</v>
      </c>
      <c r="M5235">
        <v>0.3108687</v>
      </c>
      <c r="N5235">
        <v>0</v>
      </c>
      <c r="O5235">
        <v>0.95031699999999997</v>
      </c>
      <c r="P5235">
        <v>0.111568</v>
      </c>
      <c r="Q5235">
        <v>0.1003228</v>
      </c>
      <c r="R5235">
        <v>0.98867989999999994</v>
      </c>
      <c r="S5235">
        <v>-1.2893679999999999E-2</v>
      </c>
      <c r="T5235">
        <v>-0.31452760000000002</v>
      </c>
      <c r="U5235">
        <v>3.0718380000000001</v>
      </c>
      <c r="V5235">
        <v>-0.20541409999999999</v>
      </c>
      <c r="W5235">
        <v>0.10860889999999999</v>
      </c>
      <c r="X5235">
        <v>0.97262999999999999</v>
      </c>
      <c r="Y5235">
        <v>-0.31483460000000002</v>
      </c>
      <c r="Z5235">
        <v>-9.1706629999999997E-2</v>
      </c>
      <c r="AA5235">
        <v>0.94470580000000004</v>
      </c>
      <c r="AB5235">
        <v>35</v>
      </c>
      <c r="AC5235">
        <v>-0.147199999999998</v>
      </c>
      <c r="AD5235">
        <v>-1.1244880472330001</v>
      </c>
      <c r="AE5235">
        <v>10.65265</v>
      </c>
      <c r="AF5235">
        <v>-3.4138750098752499</v>
      </c>
      <c r="AG5235">
        <v>-1.1244880472330001</v>
      </c>
      <c r="AH5235">
        <v>9.9678870713130507</v>
      </c>
      <c r="AI5235">
        <v>96.091848711077006</v>
      </c>
      <c r="AJ5235">
        <v>108.905682214053</v>
      </c>
      <c r="AK5235">
        <v>10.5961213950138</v>
      </c>
      <c r="AL5235">
        <v>83.7648689196335</v>
      </c>
      <c r="AM5235">
        <v>101.925312073058</v>
      </c>
      <c r="AN5235">
        <v>0.99999998126900902</v>
      </c>
    </row>
    <row r="5236" spans="1:40" x14ac:dyDescent="0.25">
      <c r="A5236" t="str">
        <f>"20190312164412152"</f>
        <v>20190312164412152</v>
      </c>
      <c r="B5236" t="str">
        <f>"1552380252140628"</f>
        <v>1552380252140628</v>
      </c>
      <c r="C5236" t="s">
        <v>40</v>
      </c>
      <c r="D5236">
        <v>5.1273660000000003</v>
      </c>
      <c r="E5236">
        <v>0.45892810000000001</v>
      </c>
      <c r="F5236" t="s">
        <v>42</v>
      </c>
      <c r="G5236">
        <v>-187.1506</v>
      </c>
      <c r="H5236" s="1">
        <v>-3.198739E-6</v>
      </c>
      <c r="I5236">
        <v>-34.089060000000003</v>
      </c>
      <c r="J5236">
        <v>-186.91390000000001</v>
      </c>
      <c r="K5236">
        <v>1.1244559999999999</v>
      </c>
      <c r="L5236">
        <v>-44.789639999999999</v>
      </c>
      <c r="M5236">
        <v>0.29715439999999999</v>
      </c>
      <c r="N5236">
        <v>0</v>
      </c>
      <c r="O5236">
        <v>0.9546943</v>
      </c>
      <c r="P5236">
        <v>0.1016498</v>
      </c>
      <c r="Q5236">
        <v>9.9738229999999997E-2</v>
      </c>
      <c r="R5236">
        <v>0.98980780000000002</v>
      </c>
      <c r="S5236">
        <v>-4.1320799999999998E-2</v>
      </c>
      <c r="T5236">
        <v>-0.31374619999999998</v>
      </c>
      <c r="U5236">
        <v>3.070862</v>
      </c>
      <c r="V5236">
        <v>-0.2011435</v>
      </c>
      <c r="W5236">
        <v>0.1082032</v>
      </c>
      <c r="X5236">
        <v>0.97356730000000002</v>
      </c>
      <c r="Y5236">
        <v>-0.30991360000000001</v>
      </c>
      <c r="Z5236">
        <v>-9.2251390000000003E-2</v>
      </c>
      <c r="AA5236">
        <v>0.94627859999999997</v>
      </c>
      <c r="AB5236">
        <v>35</v>
      </c>
      <c r="AC5236">
        <v>-0.23669999999998401</v>
      </c>
      <c r="AD5236">
        <v>-1.12445919873899</v>
      </c>
      <c r="AE5236">
        <v>10.70058</v>
      </c>
      <c r="AF5236">
        <v>-3.3689561237085202</v>
      </c>
      <c r="AG5236">
        <v>-1.12445919873899</v>
      </c>
      <c r="AH5236">
        <v>10.0359860438534</v>
      </c>
      <c r="AI5236">
        <v>96.063098195174902</v>
      </c>
      <c r="AJ5236">
        <v>108.55626383107</v>
      </c>
      <c r="AK5236">
        <v>10.645904833574299</v>
      </c>
      <c r="AL5236">
        <v>83.788251510693001</v>
      </c>
      <c r="AM5236">
        <v>101.67332827954399</v>
      </c>
      <c r="AN5236">
        <v>0.99999996385588896</v>
      </c>
    </row>
    <row r="5237" spans="1:40" x14ac:dyDescent="0.25">
      <c r="A5237" t="str">
        <f>"20190312164412173"</f>
        <v>20190312164412173</v>
      </c>
      <c r="B5237" t="str">
        <f>"1552380252169906"</f>
        <v>1552380252169906</v>
      </c>
      <c r="C5237" t="s">
        <v>40</v>
      </c>
      <c r="D5237">
        <v>5.1021070000000002</v>
      </c>
      <c r="E5237">
        <v>0.46059410000000001</v>
      </c>
      <c r="F5237" t="s">
        <v>42</v>
      </c>
      <c r="G5237">
        <v>-187.13810000000001</v>
      </c>
      <c r="H5237" s="1">
        <v>-3.3283259999999998E-6</v>
      </c>
      <c r="I5237">
        <v>-33.792169999999999</v>
      </c>
      <c r="J5237">
        <v>-186.82689999999999</v>
      </c>
      <c r="K5237">
        <v>1.124422</v>
      </c>
      <c r="L5237">
        <v>-44.472110000000001</v>
      </c>
      <c r="M5237">
        <v>0.28289219999999998</v>
      </c>
      <c r="N5237">
        <v>0</v>
      </c>
      <c r="O5237">
        <v>0.95901729999999996</v>
      </c>
      <c r="P5237">
        <v>9.2018130000000004E-2</v>
      </c>
      <c r="Q5237">
        <v>9.7868839999999999E-2</v>
      </c>
      <c r="R5237">
        <v>0.99093609999999999</v>
      </c>
      <c r="S5237">
        <v>-6.2561039999999998E-2</v>
      </c>
      <c r="T5237">
        <v>-0.31379000000000001</v>
      </c>
      <c r="U5237">
        <v>3.0689389999999999</v>
      </c>
      <c r="V5237">
        <v>-0.19607089999999999</v>
      </c>
      <c r="W5237">
        <v>0.106543899999999</v>
      </c>
      <c r="X5237">
        <v>0.9747844</v>
      </c>
      <c r="Y5237">
        <v>-0.30229080000000003</v>
      </c>
      <c r="Z5237">
        <v>-9.30975E-2</v>
      </c>
      <c r="AA5237">
        <v>0.94865860000000002</v>
      </c>
      <c r="AB5237">
        <v>35</v>
      </c>
      <c r="AC5237">
        <v>-0.31120000000001302</v>
      </c>
      <c r="AD5237">
        <v>-1.124425328326</v>
      </c>
      <c r="AE5237">
        <v>10.67994</v>
      </c>
      <c r="AF5237">
        <v>-3.2837771587593201</v>
      </c>
      <c r="AG5237">
        <v>-1.124425328326</v>
      </c>
      <c r="AH5237">
        <v>10.0442771489005</v>
      </c>
      <c r="AI5237">
        <v>96.073689748609098</v>
      </c>
      <c r="AJ5237">
        <v>108.10412979823499</v>
      </c>
      <c r="AK5237">
        <v>10.6270893565123</v>
      </c>
      <c r="AL5237">
        <v>83.883875541901105</v>
      </c>
      <c r="AM5237">
        <v>101.37287991780499</v>
      </c>
      <c r="AN5237">
        <v>1.0000000134686899</v>
      </c>
    </row>
    <row r="5238" spans="1:40" x14ac:dyDescent="0.25">
      <c r="A5238" t="str">
        <f>"20190312164412196"</f>
        <v>20190312164412196</v>
      </c>
      <c r="B5238" t="str">
        <f>"1552380252190402"</f>
        <v>1552380252190402</v>
      </c>
      <c r="C5238" t="s">
        <v>40</v>
      </c>
      <c r="D5238">
        <v>5.1260669999999999</v>
      </c>
      <c r="E5238">
        <v>0.46930929999999998</v>
      </c>
      <c r="F5238" t="s">
        <v>42</v>
      </c>
      <c r="G5238">
        <v>-187.11099999999999</v>
      </c>
      <c r="H5238" s="1">
        <v>-3.3978880000000002E-6</v>
      </c>
      <c r="I5238">
        <v>-33.641199999999998</v>
      </c>
      <c r="J5238">
        <v>-186.73840000000001</v>
      </c>
      <c r="K5238">
        <v>1.1243879999999999</v>
      </c>
      <c r="L5238">
        <v>-44.128480000000003</v>
      </c>
      <c r="M5238">
        <v>0.26744259999999997</v>
      </c>
      <c r="N5238">
        <v>0</v>
      </c>
      <c r="O5238">
        <v>0.96344010000000002</v>
      </c>
      <c r="P5238">
        <v>8.1615030000000005E-2</v>
      </c>
      <c r="Q5238">
        <v>9.6472240000000001E-2</v>
      </c>
      <c r="R5238">
        <v>0.99198390000000003</v>
      </c>
      <c r="S5238">
        <v>-8.0444340000000003E-2</v>
      </c>
      <c r="T5238">
        <v>-0.31833660000000003</v>
      </c>
      <c r="U5238">
        <v>3.0663450000000001</v>
      </c>
      <c r="V5238">
        <v>-0.1906014</v>
      </c>
      <c r="W5238">
        <v>0.1053727</v>
      </c>
      <c r="X5238">
        <v>0.97599570000000002</v>
      </c>
      <c r="Y5238">
        <v>-0.29249940000000002</v>
      </c>
      <c r="Z5238">
        <v>-9.5345739999999998E-2</v>
      </c>
      <c r="AA5238">
        <v>0.95150049999999997</v>
      </c>
      <c r="AB5238">
        <v>35</v>
      </c>
      <c r="AC5238">
        <v>-0.37259999999997701</v>
      </c>
      <c r="AD5238">
        <v>-1.124391397888</v>
      </c>
      <c r="AE5238">
        <v>10.487279999999901</v>
      </c>
      <c r="AF5238">
        <v>-3.12821727305723</v>
      </c>
      <c r="AG5238">
        <v>-1.124391397888</v>
      </c>
      <c r="AH5238">
        <v>9.8919413193279997</v>
      </c>
      <c r="AI5238">
        <v>96.185418837361496</v>
      </c>
      <c r="AJ5238">
        <v>107.548983873038</v>
      </c>
      <c r="AK5238">
        <v>10.435540349599799</v>
      </c>
      <c r="AL5238">
        <v>83.951359895094498</v>
      </c>
      <c r="AM5238">
        <v>101.05016998374199</v>
      </c>
      <c r="AN5238">
        <v>0.99999995300286804</v>
      </c>
    </row>
    <row r="5239" spans="1:40" x14ac:dyDescent="0.25">
      <c r="A5239" t="str">
        <f>"20190312164412220"</f>
        <v>20190312164412220</v>
      </c>
      <c r="B5239" t="str">
        <f>"1552380252210429"</f>
        <v>1552380252210429</v>
      </c>
      <c r="C5239" t="s">
        <v>40</v>
      </c>
      <c r="D5239">
        <v>5.1707619999999999</v>
      </c>
      <c r="E5239">
        <v>0.47044399999999997</v>
      </c>
      <c r="F5239" t="s">
        <v>42</v>
      </c>
      <c r="G5239">
        <v>-186.88380000000001</v>
      </c>
      <c r="H5239" s="1">
        <v>-3.029838E-6</v>
      </c>
      <c r="I5239">
        <v>-34.593069999999997</v>
      </c>
      <c r="J5239">
        <v>-186.65270000000001</v>
      </c>
      <c r="K5239">
        <v>1.124352</v>
      </c>
      <c r="L5239">
        <v>-43.772129999999997</v>
      </c>
      <c r="M5239">
        <v>0.25141170000000002</v>
      </c>
      <c r="N5239">
        <v>0</v>
      </c>
      <c r="O5239">
        <v>0.96774720000000003</v>
      </c>
      <c r="P5239">
        <v>7.1074209999999999E-2</v>
      </c>
      <c r="Q5239">
        <v>9.5874180000000003E-2</v>
      </c>
      <c r="R5239">
        <v>0.99285270000000003</v>
      </c>
      <c r="S5239">
        <v>-4.6722409999999999E-2</v>
      </c>
      <c r="T5239">
        <v>-0.3612051</v>
      </c>
      <c r="U5239">
        <v>3.063202</v>
      </c>
      <c r="V5239">
        <v>-0.18473880000000001</v>
      </c>
      <c r="W5239">
        <v>0.1050138</v>
      </c>
      <c r="X5239">
        <v>0.97716099999999995</v>
      </c>
      <c r="Y5239">
        <v>-0.266049599999999</v>
      </c>
      <c r="Z5239">
        <v>-0.1093544</v>
      </c>
      <c r="AA5239">
        <v>0.95773649999999999</v>
      </c>
      <c r="AB5239">
        <v>35</v>
      </c>
      <c r="AC5239">
        <v>-0.231099999999997</v>
      </c>
      <c r="AD5239">
        <v>-1.1243550298379901</v>
      </c>
      <c r="AE5239">
        <v>9.1790599999999891</v>
      </c>
      <c r="AF5239">
        <v>-2.4942944665114601</v>
      </c>
      <c r="AG5239">
        <v>-1.1243550298379901</v>
      </c>
      <c r="AH5239">
        <v>8.6956568326985</v>
      </c>
      <c r="AI5239">
        <v>97.084881315414805</v>
      </c>
      <c r="AJ5239">
        <v>106.00520541140401</v>
      </c>
      <c r="AK5239">
        <v>9.1159270988116106</v>
      </c>
      <c r="AL5239">
        <v>83.972038188081498</v>
      </c>
      <c r="AM5239">
        <v>100.705792162565</v>
      </c>
      <c r="AN5239">
        <v>0.99999997116843897</v>
      </c>
    </row>
    <row r="5240" spans="1:40" x14ac:dyDescent="0.25">
      <c r="A5240" t="str">
        <f>"20190312164412240"</f>
        <v>20190312164412240</v>
      </c>
      <c r="B5240" t="str">
        <f>"1552380252229949"</f>
        <v>1552380252229949</v>
      </c>
      <c r="C5240" t="s">
        <v>40</v>
      </c>
      <c r="D5240">
        <v>5.4607839999999896</v>
      </c>
      <c r="E5240">
        <v>0.47101870000000001</v>
      </c>
      <c r="F5240" t="s">
        <v>42</v>
      </c>
      <c r="G5240">
        <v>-186.87370000000001</v>
      </c>
      <c r="H5240" s="1">
        <v>-3.239542E-6</v>
      </c>
      <c r="I5240">
        <v>-34.108429999999998</v>
      </c>
      <c r="J5240">
        <v>-186.5855</v>
      </c>
      <c r="K5240">
        <v>1.1243129999999999</v>
      </c>
      <c r="L5240">
        <v>-43.471559999999997</v>
      </c>
      <c r="M5240">
        <v>0.2378912</v>
      </c>
      <c r="N5240">
        <v>0</v>
      </c>
      <c r="O5240">
        <v>0.97115940000000001</v>
      </c>
      <c r="P5240">
        <v>6.3017219999999999E-2</v>
      </c>
      <c r="Q5240">
        <v>9.6277740000000001E-2</v>
      </c>
      <c r="R5240">
        <v>0.99335770000000001</v>
      </c>
      <c r="S5240">
        <v>-7.0022580000000001E-2</v>
      </c>
      <c r="T5240">
        <v>-0.35614279999999998</v>
      </c>
      <c r="U5240">
        <v>3.0610050000000002</v>
      </c>
      <c r="V5240">
        <v>-0.1790255</v>
      </c>
      <c r="W5240">
        <v>0.1056478</v>
      </c>
      <c r="X5240">
        <v>0.97815560000000001</v>
      </c>
      <c r="Y5240">
        <v>-0.25990550000000001</v>
      </c>
      <c r="Z5240">
        <v>-0.1085964</v>
      </c>
      <c r="AA5240">
        <v>0.95950820000000003</v>
      </c>
      <c r="AB5240">
        <v>35</v>
      </c>
      <c r="AC5240">
        <v>-0.288200000000017</v>
      </c>
      <c r="AD5240">
        <v>-1.1243162395420001</v>
      </c>
      <c r="AE5240">
        <v>9.3631299999999893</v>
      </c>
      <c r="AF5240">
        <v>-2.47200676228239</v>
      </c>
      <c r="AG5240">
        <v>-1.1243162395420001</v>
      </c>
      <c r="AH5240">
        <v>8.8975204029320896</v>
      </c>
      <c r="AI5240">
        <v>96.941666035569597</v>
      </c>
      <c r="AJ5240">
        <v>105.526940559896</v>
      </c>
      <c r="AK5240">
        <v>9.3027293715264392</v>
      </c>
      <c r="AL5240">
        <v>83.935509530906899</v>
      </c>
      <c r="AM5240">
        <v>100.37168418089399</v>
      </c>
      <c r="AN5240">
        <v>0.99999998255322398</v>
      </c>
    </row>
    <row r="5241" spans="1:40" x14ac:dyDescent="0.25">
      <c r="A5241" t="str">
        <f>"20190312164412264"</f>
        <v>20190312164412264</v>
      </c>
      <c r="B5241" t="str">
        <f>"1552380252260205"</f>
        <v>1552380252260205</v>
      </c>
      <c r="C5241" t="s">
        <v>40</v>
      </c>
      <c r="D5241">
        <v>5.3480220000000003</v>
      </c>
      <c r="E5241">
        <v>0.47647410000000001</v>
      </c>
      <c r="F5241" t="s">
        <v>42</v>
      </c>
      <c r="G5241">
        <v>-186.87180000000001</v>
      </c>
      <c r="H5241" s="1">
        <v>-3.3975099999999999E-6</v>
      </c>
      <c r="I5241">
        <v>-33.741</v>
      </c>
      <c r="J5241">
        <v>-186.5138</v>
      </c>
      <c r="K5241">
        <v>1.12426</v>
      </c>
      <c r="L5241">
        <v>-43.125459999999997</v>
      </c>
      <c r="M5241">
        <v>0.22233919999999999</v>
      </c>
      <c r="N5241">
        <v>0</v>
      </c>
      <c r="O5241">
        <v>0.97483770000000003</v>
      </c>
      <c r="P5241">
        <v>5.3350410000000001E-2</v>
      </c>
      <c r="Q5241">
        <v>9.6558089999999999E-2</v>
      </c>
      <c r="R5241">
        <v>0.99389649999999996</v>
      </c>
      <c r="S5241">
        <v>-9.0042109999999995E-2</v>
      </c>
      <c r="T5241">
        <v>-0.35357430000000001</v>
      </c>
      <c r="U5241">
        <v>3.0600589999999999</v>
      </c>
      <c r="V5241">
        <v>-0.17288789999999901</v>
      </c>
      <c r="W5241">
        <v>0.106168899999999</v>
      </c>
      <c r="X5241">
        <v>0.97920269999999998</v>
      </c>
      <c r="Y5241">
        <v>-0.2507451</v>
      </c>
      <c r="Z5241">
        <v>-0.1086174</v>
      </c>
      <c r="AA5241">
        <v>0.96194029999999997</v>
      </c>
      <c r="AB5241">
        <v>35</v>
      </c>
      <c r="AC5241">
        <v>-0.35800000000000398</v>
      </c>
      <c r="AD5241">
        <v>-1.12426339751</v>
      </c>
      <c r="AE5241">
        <v>9.38445999999999</v>
      </c>
      <c r="AF5241">
        <v>-2.4014223945972701</v>
      </c>
      <c r="AG5241">
        <v>-1.12426339751</v>
      </c>
      <c r="AH5241">
        <v>8.9417453807338596</v>
      </c>
      <c r="AI5241">
        <v>96.923479705756407</v>
      </c>
      <c r="AJ5241">
        <v>105.032810266187</v>
      </c>
      <c r="AK5241">
        <v>9.3266075374773596</v>
      </c>
      <c r="AL5241">
        <v>83.905483904677197</v>
      </c>
      <c r="AM5241">
        <v>100.012940619594</v>
      </c>
      <c r="AN5241">
        <v>0.99999999449045496</v>
      </c>
    </row>
    <row r="5242" spans="1:40" x14ac:dyDescent="0.25">
      <c r="A5242" t="str">
        <f>"20190312164412289"</f>
        <v>20190312164412289</v>
      </c>
      <c r="B5242" t="str">
        <f>"1552380252280701"</f>
        <v>1552380252280701</v>
      </c>
      <c r="C5242" t="s">
        <v>40</v>
      </c>
      <c r="D5242">
        <v>5.4999840000000004</v>
      </c>
      <c r="E5242">
        <v>0.47640709999999997</v>
      </c>
      <c r="F5242" t="s">
        <v>42</v>
      </c>
      <c r="G5242">
        <v>-186.78870000000001</v>
      </c>
      <c r="H5242" s="1">
        <v>-4.3409609999999996E-6</v>
      </c>
      <c r="I5242">
        <v>-31.576129999999999</v>
      </c>
      <c r="J5242">
        <v>-186.44030000000001</v>
      </c>
      <c r="K5242">
        <v>1.124187</v>
      </c>
      <c r="L5242">
        <v>-42.73724</v>
      </c>
      <c r="M5242">
        <v>0.2049359</v>
      </c>
      <c r="N5242">
        <v>0</v>
      </c>
      <c r="O5242">
        <v>0.97864479999999998</v>
      </c>
      <c r="P5242">
        <v>4.1793730000000001E-2</v>
      </c>
      <c r="Q5242">
        <v>9.5503199999999996E-2</v>
      </c>
      <c r="R5242">
        <v>0.99455139999999997</v>
      </c>
      <c r="S5242">
        <v>-7.2647089999999998E-2</v>
      </c>
      <c r="T5242">
        <v>-0.29701549999999999</v>
      </c>
      <c r="U5242">
        <v>3.0511780000000002</v>
      </c>
      <c r="V5242">
        <v>-0.16677879999999901</v>
      </c>
      <c r="W5242">
        <v>0.1053433</v>
      </c>
      <c r="X5242">
        <v>0.98035070000000002</v>
      </c>
      <c r="Y5242">
        <v>-0.22808439999999999</v>
      </c>
      <c r="Z5242">
        <v>-9.2513079999999998E-2</v>
      </c>
      <c r="AA5242">
        <v>0.96923630000000005</v>
      </c>
      <c r="AB5242">
        <v>35</v>
      </c>
      <c r="AC5242">
        <v>-0.34839999999999799</v>
      </c>
      <c r="AD5242">
        <v>-1.124191340961</v>
      </c>
      <c r="AE5242">
        <v>11.161110000000001</v>
      </c>
      <c r="AF5242">
        <v>-2.6022331860299999</v>
      </c>
      <c r="AG5242">
        <v>-1.124191340961</v>
      </c>
      <c r="AH5242">
        <v>10.7438561043716</v>
      </c>
      <c r="AI5242">
        <v>95.806749889595096</v>
      </c>
      <c r="AJ5242">
        <v>103.61521811002299</v>
      </c>
      <c r="AK5242">
        <v>11.1115195953124</v>
      </c>
      <c r="AL5242">
        <v>83.953053721660197</v>
      </c>
      <c r="AM5242">
        <v>99.654814967438995</v>
      </c>
      <c r="AN5242">
        <v>0.99999993698740797</v>
      </c>
    </row>
    <row r="5243" spans="1:40" x14ac:dyDescent="0.25">
      <c r="A5243" t="str">
        <f>"20190312164412330"</f>
        <v>20190312164412330</v>
      </c>
      <c r="B5243" t="str">
        <f>"1552380252320246"</f>
        <v>1552380252320246</v>
      </c>
      <c r="C5243" t="s">
        <v>40</v>
      </c>
      <c r="D5243">
        <v>5.2566050000000004</v>
      </c>
      <c r="E5243">
        <v>0.47790080000000001</v>
      </c>
      <c r="F5243" t="s">
        <v>42</v>
      </c>
      <c r="G5243">
        <v>-186.84819999999999</v>
      </c>
      <c r="H5243" s="1">
        <v>-4.3778120000000002E-6</v>
      </c>
      <c r="I5243">
        <v>-31.46566</v>
      </c>
      <c r="J5243">
        <v>-186.33879999999999</v>
      </c>
      <c r="K5243">
        <v>1.1240410000000001</v>
      </c>
      <c r="L5243">
        <v>-42.127749999999999</v>
      </c>
      <c r="M5243">
        <v>0.17773410000000001</v>
      </c>
      <c r="N5243">
        <v>0</v>
      </c>
      <c r="O5243">
        <v>0.98394999999999999</v>
      </c>
      <c r="P5243">
        <v>2.8119470000000001E-2</v>
      </c>
      <c r="Q5243">
        <v>9.4942639999999995E-2</v>
      </c>
      <c r="R5243">
        <v>0.99508549999999996</v>
      </c>
      <c r="S5243">
        <v>-0.1103821</v>
      </c>
      <c r="T5243">
        <v>-0.30422650000000001</v>
      </c>
      <c r="U5243">
        <v>3.0502929999999999</v>
      </c>
      <c r="V5243">
        <v>-0.153005</v>
      </c>
      <c r="W5243">
        <v>0.10527789999999999</v>
      </c>
      <c r="X5243">
        <v>0.98260159999999996</v>
      </c>
      <c r="Y5243">
        <v>-0.21304919999999999</v>
      </c>
      <c r="Z5243">
        <v>-9.5703949999999996E-2</v>
      </c>
      <c r="AA5243">
        <v>0.97234290000000001</v>
      </c>
      <c r="AB5243">
        <v>35</v>
      </c>
      <c r="AC5243">
        <v>-0.50939999999999896</v>
      </c>
      <c r="AD5243">
        <v>-1.1240453778120001</v>
      </c>
      <c r="AE5243">
        <v>10.662089999999999</v>
      </c>
      <c r="AF5243">
        <v>-2.3702604238256999</v>
      </c>
      <c r="AG5243">
        <v>-1.1240453778120001</v>
      </c>
      <c r="AH5243">
        <v>10.287661553187901</v>
      </c>
      <c r="AI5243">
        <v>96.0775050853713</v>
      </c>
      <c r="AJ5243">
        <v>102.974440617697</v>
      </c>
      <c r="AK5243">
        <v>10.6168541819635</v>
      </c>
      <c r="AL5243">
        <v>83.956821808533803</v>
      </c>
      <c r="AM5243">
        <v>98.850687996547407</v>
      </c>
      <c r="AN5243">
        <v>0.99999993528798203</v>
      </c>
    </row>
    <row r="5244" spans="1:40" x14ac:dyDescent="0.25">
      <c r="A5244" t="str">
        <f>"20190312164412353"</f>
        <v>20190312164412353</v>
      </c>
      <c r="B5244" t="str">
        <f>"1552380252350503"</f>
        <v>1552380252350503</v>
      </c>
      <c r="C5244" t="s">
        <v>40</v>
      </c>
      <c r="D5244">
        <v>5.2049089999999998</v>
      </c>
      <c r="E5244">
        <v>0.47884179999999998</v>
      </c>
      <c r="F5244" t="s">
        <v>42</v>
      </c>
      <c r="G5244">
        <v>-186.86779999999999</v>
      </c>
      <c r="H5244" s="1">
        <v>-4.6494360000000001E-6</v>
      </c>
      <c r="I5244">
        <v>-30.824400000000001</v>
      </c>
      <c r="J5244">
        <v>-186.28809999999999</v>
      </c>
      <c r="K5244">
        <v>1.123936</v>
      </c>
      <c r="L5244">
        <v>-41.776730000000001</v>
      </c>
      <c r="M5244">
        <v>0.16218199999999999</v>
      </c>
      <c r="N5244">
        <v>0</v>
      </c>
      <c r="O5244">
        <v>0.98663369999999995</v>
      </c>
      <c r="P5244">
        <v>1.9825800000000001E-2</v>
      </c>
      <c r="Q5244">
        <v>9.6061629999999995E-2</v>
      </c>
      <c r="R5244">
        <v>0.99517789999999995</v>
      </c>
      <c r="S5244">
        <v>-0.1426239</v>
      </c>
      <c r="T5244">
        <v>-0.30308010000000002</v>
      </c>
      <c r="U5244">
        <v>3.0477599999999998</v>
      </c>
      <c r="V5244">
        <v>-0.14566850000000001</v>
      </c>
      <c r="W5244">
        <v>0.10663590000000001</v>
      </c>
      <c r="X5244">
        <v>0.98356969999999999</v>
      </c>
      <c r="Y5244">
        <v>-0.20792430000000001</v>
      </c>
      <c r="Z5244">
        <v>-9.5856380000000005E-2</v>
      </c>
      <c r="AA5244">
        <v>0.97343670000000004</v>
      </c>
      <c r="AB5244">
        <v>35</v>
      </c>
      <c r="AC5244">
        <v>-0.57970000000000199</v>
      </c>
      <c r="AD5244">
        <v>-1.123940649436</v>
      </c>
      <c r="AE5244">
        <v>10.95233</v>
      </c>
      <c r="AF5244">
        <v>-2.3241099714368398</v>
      </c>
      <c r="AG5244">
        <v>-1.123940649436</v>
      </c>
      <c r="AH5244">
        <v>10.6019272140709</v>
      </c>
      <c r="AI5244">
        <v>95.912128055748099</v>
      </c>
      <c r="AJ5244">
        <v>102.36455449427601</v>
      </c>
      <c r="AK5244">
        <v>10.911718031329601</v>
      </c>
      <c r="AL5244">
        <v>83.878573682606799</v>
      </c>
      <c r="AM5244">
        <v>98.424373732168903</v>
      </c>
      <c r="AN5244">
        <v>0.999999940909573</v>
      </c>
    </row>
    <row r="5245" spans="1:40" x14ac:dyDescent="0.25">
      <c r="A5245" t="str">
        <f>"20190312164412379"</f>
        <v>20190312164412379</v>
      </c>
      <c r="B5245" t="str">
        <f>"1552380252370022"</f>
        <v>1552380252370022</v>
      </c>
      <c r="C5245" t="s">
        <v>40</v>
      </c>
      <c r="D5245">
        <v>5.3194879999999998</v>
      </c>
      <c r="E5245">
        <v>0.48560110000000001</v>
      </c>
      <c r="F5245" t="s">
        <v>42</v>
      </c>
      <c r="G5245">
        <v>-186.89070000000001</v>
      </c>
      <c r="H5245" s="1">
        <v>-8.321074E-7</v>
      </c>
      <c r="I5245">
        <v>-30.33784</v>
      </c>
      <c r="J5245">
        <v>-186.23859999999999</v>
      </c>
      <c r="K5245">
        <v>1.1238109999999999</v>
      </c>
      <c r="L5245">
        <v>-41.390659999999997</v>
      </c>
      <c r="M5245">
        <v>0.1452224</v>
      </c>
      <c r="N5245">
        <v>0</v>
      </c>
      <c r="O5245">
        <v>0.98927370000000003</v>
      </c>
      <c r="P5245">
        <v>1.034903E-2</v>
      </c>
      <c r="Q5245">
        <v>9.7287390000000001E-2</v>
      </c>
      <c r="R5245">
        <v>0.99520249999999999</v>
      </c>
      <c r="S5245">
        <v>-0.1604767</v>
      </c>
      <c r="T5245">
        <v>-0.29934880000000003</v>
      </c>
      <c r="U5245">
        <v>3.0466310000000001</v>
      </c>
      <c r="V5245">
        <v>-0.13812720000000001</v>
      </c>
      <c r="W5245">
        <v>0.1080908</v>
      </c>
      <c r="X5245">
        <v>0.98449850000000005</v>
      </c>
      <c r="Y5245">
        <v>-0.1968338</v>
      </c>
      <c r="Z5245">
        <v>-9.5207269999999997E-2</v>
      </c>
      <c r="AA5245">
        <v>0.97580330000000004</v>
      </c>
      <c r="AB5245">
        <v>35</v>
      </c>
      <c r="AC5245">
        <v>-0.652100000000018</v>
      </c>
      <c r="AD5245">
        <v>-1.1238118321074</v>
      </c>
      <c r="AE5245">
        <v>11.052819999999899</v>
      </c>
      <c r="AF5245">
        <v>-2.2275527109643298</v>
      </c>
      <c r="AG5245">
        <v>-1.1238118321074</v>
      </c>
      <c r="AH5245">
        <v>10.7303621380557</v>
      </c>
      <c r="AI5245">
        <v>95.854967871723005</v>
      </c>
      <c r="AJ5245">
        <v>101.72765319871201</v>
      </c>
      <c r="AK5245">
        <v>11.0166063616673</v>
      </c>
      <c r="AL5245">
        <v>83.7947299034591</v>
      </c>
      <c r="AM5245">
        <v>97.986585609454096</v>
      </c>
      <c r="AN5245">
        <v>1.0000000204633599</v>
      </c>
    </row>
    <row r="5246" spans="1:40" x14ac:dyDescent="0.25">
      <c r="A5246" t="str">
        <f>"20190312164412400"</f>
        <v>20190312164412400</v>
      </c>
      <c r="B5246" t="str">
        <f>"1552380252390519"</f>
        <v>1552380252390519</v>
      </c>
      <c r="C5246" t="s">
        <v>40</v>
      </c>
      <c r="D5246">
        <v>5.2443939999999998</v>
      </c>
      <c r="E5246">
        <v>0.48463810000000002</v>
      </c>
      <c r="F5246" t="s">
        <v>42</v>
      </c>
      <c r="G5246">
        <v>-186.71039999999999</v>
      </c>
      <c r="H5246" s="1">
        <v>-4.5526479999999999E-6</v>
      </c>
      <c r="I5246">
        <v>-31.115069999999999</v>
      </c>
      <c r="J5246">
        <v>-186.20240000000001</v>
      </c>
      <c r="K5246">
        <v>1.1236649999999999</v>
      </c>
      <c r="L5246">
        <v>-41.068080000000002</v>
      </c>
      <c r="M5246">
        <v>0.1312439</v>
      </c>
      <c r="N5246">
        <v>0</v>
      </c>
      <c r="O5246">
        <v>0.99122659999999996</v>
      </c>
      <c r="P5246">
        <v>5.297291E-3</v>
      </c>
      <c r="Q5246">
        <v>9.7307879999999999E-2</v>
      </c>
      <c r="R5246">
        <v>0.99524020000000002</v>
      </c>
      <c r="S5246">
        <v>-0.13996889999999901</v>
      </c>
      <c r="T5246">
        <v>-0.33340940000000002</v>
      </c>
      <c r="U5246">
        <v>3.0485229999999999</v>
      </c>
      <c r="V5246">
        <v>-0.12917210000000001</v>
      </c>
      <c r="W5246">
        <v>0.1083862</v>
      </c>
      <c r="X5246">
        <v>0.98568100000000003</v>
      </c>
      <c r="Y5246">
        <v>-0.1763216</v>
      </c>
      <c r="Z5246">
        <v>-0.1064017</v>
      </c>
      <c r="AA5246">
        <v>0.97856500000000002</v>
      </c>
      <c r="AB5246">
        <v>35</v>
      </c>
      <c r="AC5246">
        <v>-0.50799999999998102</v>
      </c>
      <c r="AD5246">
        <v>-1.1236695526479901</v>
      </c>
      <c r="AE5246">
        <v>9.9530100000000008</v>
      </c>
      <c r="AF5246">
        <v>-1.7873149509263599</v>
      </c>
      <c r="AG5246">
        <v>-1.1236695526479901</v>
      </c>
      <c r="AH5246">
        <v>9.6771928702500691</v>
      </c>
      <c r="AI5246">
        <v>96.514052553850505</v>
      </c>
      <c r="AJ5246">
        <v>100.464239085011</v>
      </c>
      <c r="AK5246">
        <v>9.9048064012060308</v>
      </c>
      <c r="AL5246">
        <v>83.777704683584304</v>
      </c>
      <c r="AM5246">
        <v>97.465985196611499</v>
      </c>
      <c r="AN5246">
        <v>1.0000000167649199</v>
      </c>
    </row>
    <row r="5247" spans="1:40" x14ac:dyDescent="0.25">
      <c r="A5247" t="str">
        <f>"20190312164412422"</f>
        <v>20190312164412422</v>
      </c>
      <c r="B5247" t="str">
        <f>"1552380252410546"</f>
        <v>1552380252410546</v>
      </c>
      <c r="C5247" t="s">
        <v>40</v>
      </c>
      <c r="D5247">
        <v>5.3204650000000004</v>
      </c>
      <c r="E5247">
        <v>0.48511300000000002</v>
      </c>
      <c r="F5247" t="s">
        <v>42</v>
      </c>
      <c r="G5247">
        <v>-186.78030000000001</v>
      </c>
      <c r="H5247" s="1">
        <v>-8.8823949999999995E-7</v>
      </c>
      <c r="I5247">
        <v>-30.2592</v>
      </c>
      <c r="J5247">
        <v>-186.1711</v>
      </c>
      <c r="K5247">
        <v>1.1234710000000001</v>
      </c>
      <c r="L5247">
        <v>-40.74924</v>
      </c>
      <c r="M5247">
        <v>0.1176653</v>
      </c>
      <c r="N5247">
        <v>0</v>
      </c>
      <c r="O5247">
        <v>0.99293189999999998</v>
      </c>
      <c r="P5247">
        <v>3.906898E-4</v>
      </c>
      <c r="Q5247">
        <v>9.7621970000000002E-2</v>
      </c>
      <c r="R5247">
        <v>0.99522350000000004</v>
      </c>
      <c r="S5247">
        <v>-0.1628571</v>
      </c>
      <c r="T5247">
        <v>-0.31667279999999998</v>
      </c>
      <c r="U5247">
        <v>3.046173</v>
      </c>
      <c r="V5247">
        <v>-0.12048109999999999</v>
      </c>
      <c r="W5247">
        <v>0.1089465</v>
      </c>
      <c r="X5247">
        <v>0.98671929999999997</v>
      </c>
      <c r="Y5247">
        <v>-0.17024510000000001</v>
      </c>
      <c r="Z5247">
        <v>-0.10149619999999999</v>
      </c>
      <c r="AA5247">
        <v>0.98016080000000005</v>
      </c>
      <c r="AB5247">
        <v>35</v>
      </c>
      <c r="AC5247">
        <v>-0.60920000000001495</v>
      </c>
      <c r="AD5247">
        <v>-1.1234718882394901</v>
      </c>
      <c r="AE5247">
        <v>10.490039999999899</v>
      </c>
      <c r="AF5247">
        <v>-1.8186395892229199</v>
      </c>
      <c r="AG5247">
        <v>-1.1234718882394901</v>
      </c>
      <c r="AH5247">
        <v>10.2285322430268</v>
      </c>
      <c r="AI5247">
        <v>96.172039190408299</v>
      </c>
      <c r="AJ5247">
        <v>100.081867815265</v>
      </c>
      <c r="AK5247">
        <v>10.4495220410214</v>
      </c>
      <c r="AL5247">
        <v>83.745410555378896</v>
      </c>
      <c r="AM5247">
        <v>96.961509852467401</v>
      </c>
      <c r="AN5247">
        <v>1.00000000615597</v>
      </c>
    </row>
    <row r="5248" spans="1:40" x14ac:dyDescent="0.25">
      <c r="A5248" t="str">
        <f>"20190312164412466"</f>
        <v>20190312164412466</v>
      </c>
      <c r="B5248" t="str">
        <f>"1552380252460322"</f>
        <v>1552380252460322</v>
      </c>
      <c r="C5248" t="s">
        <v>40</v>
      </c>
      <c r="D5248">
        <v>5.2443160000000004</v>
      </c>
      <c r="E5248">
        <v>0.48536550000000001</v>
      </c>
      <c r="F5248" t="s">
        <v>42</v>
      </c>
      <c r="G5248">
        <v>-186.79079999999999</v>
      </c>
      <c r="H5248" s="1">
        <v>-1.003546E-6</v>
      </c>
      <c r="I5248">
        <v>-29.912120000000002</v>
      </c>
      <c r="J5248">
        <v>-186.12090000000001</v>
      </c>
      <c r="K5248">
        <v>1.122987</v>
      </c>
      <c r="L5248">
        <v>-40.106259999999999</v>
      </c>
      <c r="M5248">
        <v>9.113868E-2</v>
      </c>
      <c r="N5248">
        <v>0</v>
      </c>
      <c r="O5248">
        <v>0.99572150000000004</v>
      </c>
      <c r="P5248">
        <v>-9.6205570000000001E-3</v>
      </c>
      <c r="Q5248">
        <v>9.8030309999999996E-2</v>
      </c>
      <c r="R5248">
        <v>0.99513689999999999</v>
      </c>
      <c r="S5248">
        <v>-0.17414859999999999</v>
      </c>
      <c r="T5248">
        <v>-0.31571759999999999</v>
      </c>
      <c r="U5248">
        <v>3.0454409999999998</v>
      </c>
      <c r="V5248">
        <v>-0.10392659999999999</v>
      </c>
      <c r="W5248">
        <v>0.1097764</v>
      </c>
      <c r="X5248">
        <v>0.98850819999999995</v>
      </c>
      <c r="Y5248">
        <v>-0.1475524</v>
      </c>
      <c r="Z5248">
        <v>-0.10182570000000001</v>
      </c>
      <c r="AA5248">
        <v>0.98379870000000003</v>
      </c>
      <c r="AB5248">
        <v>35</v>
      </c>
      <c r="AC5248">
        <v>-0.66989999999998395</v>
      </c>
      <c r="AD5248">
        <v>-1.122988003546</v>
      </c>
      <c r="AE5248">
        <v>10.1941399999999</v>
      </c>
      <c r="AF5248">
        <v>-1.57724188568381</v>
      </c>
      <c r="AG5248">
        <v>-1.122988003546</v>
      </c>
      <c r="AH5248">
        <v>9.9701729543122006</v>
      </c>
      <c r="AI5248">
        <v>96.348124337758094</v>
      </c>
      <c r="AJ5248">
        <v>98.989469346142201</v>
      </c>
      <c r="AK5248">
        <v>10.1564335650346</v>
      </c>
      <c r="AL5248">
        <v>83.6975740081498</v>
      </c>
      <c r="AM5248">
        <v>96.001731407970098</v>
      </c>
      <c r="AN5248">
        <v>1.0000000288258699</v>
      </c>
    </row>
    <row r="5249" spans="1:40" x14ac:dyDescent="0.25">
      <c r="A5249" t="str">
        <f>"20190312164412490"</f>
        <v>20190312164412490</v>
      </c>
      <c r="B5249" t="str">
        <f>"1552380252479842"</f>
        <v>1552380252479842</v>
      </c>
      <c r="C5249" t="s">
        <v>40</v>
      </c>
      <c r="D5249">
        <v>5.1821999999999999</v>
      </c>
      <c r="E5249">
        <v>0.48545680000000002</v>
      </c>
      <c r="F5249" t="s">
        <v>42</v>
      </c>
      <c r="G5249">
        <v>-186.85849999999999</v>
      </c>
      <c r="H5249" s="1">
        <v>-1.2519700000000001E-6</v>
      </c>
      <c r="I5249">
        <v>-29.12923</v>
      </c>
      <c r="J5249">
        <v>-186.09829999999999</v>
      </c>
      <c r="K5249">
        <v>1.1226640000000001</v>
      </c>
      <c r="L5249">
        <v>-39.710329999999999</v>
      </c>
      <c r="M5249">
        <v>7.5379340000000003E-2</v>
      </c>
      <c r="N5249">
        <v>0</v>
      </c>
      <c r="O5249">
        <v>0.99704099999999996</v>
      </c>
      <c r="P5249">
        <v>-1.920353E-2</v>
      </c>
      <c r="Q5249">
        <v>9.7869940000000002E-2</v>
      </c>
      <c r="R5249">
        <v>0.99501390000000001</v>
      </c>
      <c r="S5249">
        <v>-0.204483</v>
      </c>
      <c r="T5249">
        <v>-0.31134679999999998</v>
      </c>
      <c r="U5249">
        <v>3.0433650000000001</v>
      </c>
      <c r="V5249">
        <v>-9.7710270000000002E-2</v>
      </c>
      <c r="W5249">
        <v>0.10972850000000001</v>
      </c>
      <c r="X5249">
        <v>0.98914729999999995</v>
      </c>
      <c r="Y5249">
        <v>-0.1417224</v>
      </c>
      <c r="Z5249">
        <v>-0.1007116</v>
      </c>
      <c r="AA5249">
        <v>0.98477000000000003</v>
      </c>
      <c r="AB5249">
        <v>34</v>
      </c>
      <c r="AC5249">
        <v>-0.76019999999999699</v>
      </c>
      <c r="AD5249">
        <v>-1.12266525196999</v>
      </c>
      <c r="AE5249">
        <v>10.581099999999999</v>
      </c>
      <c r="AF5249">
        <v>-1.5384931161936199</v>
      </c>
      <c r="AG5249">
        <v>-1.12266525196999</v>
      </c>
      <c r="AH5249">
        <v>10.377455816700699</v>
      </c>
      <c r="AI5249">
        <v>96.108173430651107</v>
      </c>
      <c r="AJ5249">
        <v>98.432869947825196</v>
      </c>
      <c r="AK5249">
        <v>10.5507785288163</v>
      </c>
      <c r="AL5249">
        <v>83.7003350423483</v>
      </c>
      <c r="AM5249">
        <v>95.641507968789597</v>
      </c>
      <c r="AN5249">
        <v>1.0000000108364999</v>
      </c>
    </row>
    <row r="5250" spans="1:40" x14ac:dyDescent="0.25">
      <c r="A5250" t="str">
        <f>"20190312164412514"</f>
        <v>20190312164412514</v>
      </c>
      <c r="B5250" t="str">
        <f>"1552380252510604"</f>
        <v>1552380252510604</v>
      </c>
      <c r="C5250" t="s">
        <v>40</v>
      </c>
      <c r="D5250">
        <v>5.214677</v>
      </c>
      <c r="E5250">
        <v>0.48537200000000003</v>
      </c>
      <c r="F5250" t="s">
        <v>42</v>
      </c>
      <c r="G5250">
        <v>-186.93379999999999</v>
      </c>
      <c r="H5250" s="1">
        <v>-1.368142E-6</v>
      </c>
      <c r="I5250">
        <v>-28.728929999999998</v>
      </c>
      <c r="J5250">
        <v>-186.08279999999999</v>
      </c>
      <c r="K5250">
        <v>1.1223650000000001</v>
      </c>
      <c r="L5250">
        <v>-39.357790000000001</v>
      </c>
      <c r="M5250">
        <v>6.1730409999999999E-2</v>
      </c>
      <c r="N5250">
        <v>0</v>
      </c>
      <c r="O5250">
        <v>0.99798140000000002</v>
      </c>
      <c r="P5250">
        <v>-2.6677639999999999E-2</v>
      </c>
      <c r="Q5250">
        <v>9.7424830000000004E-2</v>
      </c>
      <c r="R5250">
        <v>0.99488529999999997</v>
      </c>
      <c r="S5250">
        <v>-0.23139950000000001</v>
      </c>
      <c r="T5250">
        <v>-0.31090590000000001</v>
      </c>
      <c r="U5250">
        <v>3.0411380000000001</v>
      </c>
      <c r="V5250">
        <v>-9.150469E-2</v>
      </c>
      <c r="W5250">
        <v>0.1093962</v>
      </c>
      <c r="X5250">
        <v>0.98977740000000003</v>
      </c>
      <c r="Y5250">
        <v>-0.1368965</v>
      </c>
      <c r="Z5250">
        <v>-0.10078910000000001</v>
      </c>
      <c r="AA5250">
        <v>0.98544449999999995</v>
      </c>
      <c r="AB5250">
        <v>34</v>
      </c>
      <c r="AC5250">
        <v>-0.85099999999999898</v>
      </c>
      <c r="AD5250">
        <v>-1.122366368142</v>
      </c>
      <c r="AE5250">
        <v>10.62886</v>
      </c>
      <c r="AF5250">
        <v>-1.48907531363932</v>
      </c>
      <c r="AG5250">
        <v>-1.122366368142</v>
      </c>
      <c r="AH5250">
        <v>10.4403720622711</v>
      </c>
      <c r="AI5250">
        <v>96.074865569158206</v>
      </c>
      <c r="AJ5250">
        <v>98.117159910580895</v>
      </c>
      <c r="AK5250">
        <v>10.6055843946799</v>
      </c>
      <c r="AL5250">
        <v>83.719489479996795</v>
      </c>
      <c r="AM5250">
        <v>95.281967356947106</v>
      </c>
      <c r="AN5250">
        <v>0.99999996920859702</v>
      </c>
    </row>
    <row r="5251" spans="1:40" x14ac:dyDescent="0.25">
      <c r="A5251" t="str">
        <f>"20190312164412535"</f>
        <v>20190312164412535</v>
      </c>
      <c r="B5251" t="str">
        <f>"1552380252530124"</f>
        <v>1552380252530124</v>
      </c>
      <c r="C5251" t="s">
        <v>40</v>
      </c>
      <c r="D5251">
        <v>5.1908799999999999</v>
      </c>
      <c r="E5251">
        <v>0.48540559999999999</v>
      </c>
      <c r="F5251" t="s">
        <v>42</v>
      </c>
      <c r="G5251">
        <v>-186.995</v>
      </c>
      <c r="H5251" s="1">
        <v>-1.446843E-6</v>
      </c>
      <c r="I5251">
        <v>-28.449839999999998</v>
      </c>
      <c r="J5251">
        <v>-186.07259999999999</v>
      </c>
      <c r="K5251">
        <v>1.1220429999999999</v>
      </c>
      <c r="L5251">
        <v>-39.033360000000002</v>
      </c>
      <c r="M5251">
        <v>4.9611229999999999E-2</v>
      </c>
      <c r="N5251">
        <v>0</v>
      </c>
      <c r="O5251">
        <v>0.99865970000000004</v>
      </c>
      <c r="P5251">
        <v>-3.2106139999999998E-2</v>
      </c>
      <c r="Q5251">
        <v>9.6061010000000002E-2</v>
      </c>
      <c r="R5251">
        <v>0.99485749999999995</v>
      </c>
      <c r="S5251">
        <v>-0.2541504</v>
      </c>
      <c r="T5251">
        <v>-0.31272129999999998</v>
      </c>
      <c r="U5251">
        <v>3.0392459999999999</v>
      </c>
      <c r="V5251">
        <v>-8.4758020000000003E-2</v>
      </c>
      <c r="W5251">
        <v>0.10815619999999999</v>
      </c>
      <c r="X5251">
        <v>0.99051420000000001</v>
      </c>
      <c r="Y5251">
        <v>-0.132241</v>
      </c>
      <c r="Z5251">
        <v>-0.1015397</v>
      </c>
      <c r="AA5251">
        <v>0.98600299999999996</v>
      </c>
      <c r="AB5251">
        <v>34</v>
      </c>
      <c r="AC5251">
        <v>-0.92240000000000999</v>
      </c>
      <c r="AD5251">
        <v>-1.122044446843</v>
      </c>
      <c r="AE5251">
        <v>10.583519999999901</v>
      </c>
      <c r="AF5251">
        <v>-1.4304259318800101</v>
      </c>
      <c r="AG5251">
        <v>-1.122044446843</v>
      </c>
      <c r="AH5251">
        <v>10.4086092135563</v>
      </c>
      <c r="AI5251">
        <v>96.095848306485806</v>
      </c>
      <c r="AJ5251">
        <v>97.8249822575971</v>
      </c>
      <c r="AK5251">
        <v>10.5661841668511</v>
      </c>
      <c r="AL5251">
        <v>83.790960740269696</v>
      </c>
      <c r="AM5251">
        <v>94.890869600386296</v>
      </c>
      <c r="AN5251">
        <v>1.0000000329771901</v>
      </c>
    </row>
    <row r="5252" spans="1:40" x14ac:dyDescent="0.25">
      <c r="A5252" t="str">
        <f>"20190312164412554"</f>
        <v>20190312164412554</v>
      </c>
      <c r="B5252" t="str">
        <f>"1552380252550621"</f>
        <v>1552380252550621</v>
      </c>
      <c r="C5252" t="s">
        <v>40</v>
      </c>
      <c r="D5252">
        <v>5.0997969999999997</v>
      </c>
      <c r="E5252">
        <v>0.48771039999999999</v>
      </c>
      <c r="F5252" t="s">
        <v>42</v>
      </c>
      <c r="G5252">
        <v>-187.0334</v>
      </c>
      <c r="H5252" s="1">
        <v>-1.488844E-6</v>
      </c>
      <c r="I5252">
        <v>-28.296379999999999</v>
      </c>
      <c r="J5252">
        <v>-186.06659999999999</v>
      </c>
      <c r="K5252">
        <v>1.1217060000000001</v>
      </c>
      <c r="L5252">
        <v>-38.741610000000001</v>
      </c>
      <c r="M5252">
        <v>3.914194E-2</v>
      </c>
      <c r="N5252">
        <v>0</v>
      </c>
      <c r="O5252">
        <v>0.99912699999999999</v>
      </c>
      <c r="P5252">
        <v>-3.4913470000000002E-2</v>
      </c>
      <c r="Q5252">
        <v>9.6399330000000005E-2</v>
      </c>
      <c r="R5252">
        <v>0.99473020000000001</v>
      </c>
      <c r="S5252">
        <v>-0.27178960000000002</v>
      </c>
      <c r="T5252">
        <v>-0.31741520000000001</v>
      </c>
      <c r="U5252">
        <v>3.0373839999999999</v>
      </c>
      <c r="V5252">
        <v>-7.7078209999999994E-2</v>
      </c>
      <c r="W5252">
        <v>0.10864500000000001</v>
      </c>
      <c r="X5252">
        <v>0.99108790000000002</v>
      </c>
      <c r="Y5252">
        <v>-0.1275704</v>
      </c>
      <c r="Z5252">
        <v>-0.1031885</v>
      </c>
      <c r="AA5252">
        <v>0.98644719999999997</v>
      </c>
      <c r="AB5252">
        <v>34</v>
      </c>
      <c r="AC5252">
        <v>-0.96680000000000599</v>
      </c>
      <c r="AD5252">
        <v>-1.121707488844</v>
      </c>
      <c r="AE5252">
        <v>10.445229999999899</v>
      </c>
      <c r="AF5252">
        <v>-1.3594049307799301</v>
      </c>
      <c r="AG5252">
        <v>-1.121707488844</v>
      </c>
      <c r="AH5252">
        <v>10.2818095592781</v>
      </c>
      <c r="AI5252">
        <v>96.172836029646007</v>
      </c>
      <c r="AJ5252">
        <v>97.531652860868306</v>
      </c>
      <c r="AK5252">
        <v>10.431769613522899</v>
      </c>
      <c r="AL5252">
        <v>83.762788384537899</v>
      </c>
      <c r="AM5252">
        <v>94.447016828888707</v>
      </c>
      <c r="AN5252">
        <v>1.0000000060041001</v>
      </c>
    </row>
    <row r="5253" spans="1:40" x14ac:dyDescent="0.25">
      <c r="A5253" t="str">
        <f>"20190312164412579"</f>
        <v>20190312164412579</v>
      </c>
      <c r="B5253" t="str">
        <f>"1552380252570141"</f>
        <v>1552380252570141</v>
      </c>
      <c r="C5253" t="s">
        <v>40</v>
      </c>
      <c r="D5253">
        <v>5.0778889999999999</v>
      </c>
      <c r="E5253">
        <v>0.48966969999999999</v>
      </c>
      <c r="F5253" t="s">
        <v>42</v>
      </c>
      <c r="G5253">
        <v>-186.9622</v>
      </c>
      <c r="H5253" s="1">
        <v>-1.4510510000000001E-6</v>
      </c>
      <c r="I5253">
        <v>-28.463139999999999</v>
      </c>
      <c r="J5253">
        <v>-186.06280000000001</v>
      </c>
      <c r="K5253">
        <v>1.1212409999999999</v>
      </c>
      <c r="L5253">
        <v>-38.371400000000001</v>
      </c>
      <c r="M5253">
        <v>2.643185E-2</v>
      </c>
      <c r="N5253">
        <v>0</v>
      </c>
      <c r="O5253">
        <v>0.99954679999999996</v>
      </c>
      <c r="P5253">
        <v>-4.022713E-2</v>
      </c>
      <c r="Q5253">
        <v>9.7321630000000006E-2</v>
      </c>
      <c r="R5253">
        <v>0.99443970000000004</v>
      </c>
      <c r="S5253">
        <v>-0.26475520000000002</v>
      </c>
      <c r="T5253">
        <v>-0.33162150000000001</v>
      </c>
      <c r="U5253">
        <v>3.0387270000000002</v>
      </c>
      <c r="V5253">
        <v>-6.9650920000000005E-2</v>
      </c>
      <c r="W5253">
        <v>0.1096792</v>
      </c>
      <c r="X5253">
        <v>0.99152370000000001</v>
      </c>
      <c r="Y5253">
        <v>-0.1125954</v>
      </c>
      <c r="Z5253">
        <v>-0.1078836</v>
      </c>
      <c r="AA5253">
        <v>0.9877669</v>
      </c>
      <c r="AB5253">
        <v>34</v>
      </c>
      <c r="AC5253">
        <v>-0.89939999999998499</v>
      </c>
      <c r="AD5253">
        <v>-1.121242451051</v>
      </c>
      <c r="AE5253">
        <v>9.9082600000000003</v>
      </c>
      <c r="AF5253">
        <v>-1.1464454352090001</v>
      </c>
      <c r="AG5253">
        <v>-1.121242451051</v>
      </c>
      <c r="AH5253">
        <v>9.7570966191965702</v>
      </c>
      <c r="AI5253">
        <v>96.511020065708493</v>
      </c>
      <c r="AJ5253">
        <v>96.701448126974995</v>
      </c>
      <c r="AK5253">
        <v>9.8879955605920298</v>
      </c>
      <c r="AL5253">
        <v>83.703176887903894</v>
      </c>
      <c r="AM5253">
        <v>94.018218639676903</v>
      </c>
      <c r="AN5253">
        <v>1.0000000126155799</v>
      </c>
    </row>
    <row r="5254" spans="1:40" x14ac:dyDescent="0.25">
      <c r="A5254" t="str">
        <f>"20190312164412600"</f>
        <v>20190312164412600</v>
      </c>
      <c r="B5254" t="str">
        <f>"1552380252590636"</f>
        <v>1552380252590636</v>
      </c>
      <c r="C5254" t="s">
        <v>40</v>
      </c>
      <c r="D5254">
        <v>5.2447679999999997</v>
      </c>
      <c r="E5254">
        <v>0.49150650000000001</v>
      </c>
      <c r="F5254" t="s">
        <v>42</v>
      </c>
      <c r="G5254">
        <v>-186.94280000000001</v>
      </c>
      <c r="H5254" s="1">
        <v>-1.4973799999999999E-6</v>
      </c>
      <c r="I5254">
        <v>-28.34215</v>
      </c>
      <c r="J5254">
        <v>-186.06299999999999</v>
      </c>
      <c r="K5254">
        <v>1.120816</v>
      </c>
      <c r="L5254">
        <v>-38.050750000000001</v>
      </c>
      <c r="M5254">
        <v>1.596332E-2</v>
      </c>
      <c r="N5254">
        <v>0</v>
      </c>
      <c r="O5254">
        <v>0.99977119999999997</v>
      </c>
      <c r="P5254">
        <v>-4.4476160000000001E-2</v>
      </c>
      <c r="Q5254">
        <v>9.8513420000000004E-2</v>
      </c>
      <c r="R5254">
        <v>0.99414130000000001</v>
      </c>
      <c r="S5254">
        <v>-0.26666260000000003</v>
      </c>
      <c r="T5254">
        <v>-0.33977940000000001</v>
      </c>
      <c r="U5254">
        <v>3.0392459999999999</v>
      </c>
      <c r="V5254">
        <v>-6.3405799999999998E-2</v>
      </c>
      <c r="W5254">
        <v>0.1109541</v>
      </c>
      <c r="X5254">
        <v>0.99180080000000004</v>
      </c>
      <c r="Y5254">
        <v>-0.1027603</v>
      </c>
      <c r="Z5254">
        <v>-0.11057980000000001</v>
      </c>
      <c r="AA5254">
        <v>0.98854050000000004</v>
      </c>
      <c r="AB5254">
        <v>34</v>
      </c>
      <c r="AC5254">
        <v>-0.87980000000001701</v>
      </c>
      <c r="AD5254">
        <v>-1.12081749737999</v>
      </c>
      <c r="AE5254">
        <v>9.7086000000000006</v>
      </c>
      <c r="AF5254">
        <v>-1.02118582702678</v>
      </c>
      <c r="AG5254">
        <v>-1.12081749737999</v>
      </c>
      <c r="AH5254">
        <v>9.5668507387972195</v>
      </c>
      <c r="AI5254">
        <v>96.644697776611693</v>
      </c>
      <c r="AJ5254">
        <v>96.092802035861695</v>
      </c>
      <c r="AK5254">
        <v>9.6862627165578399</v>
      </c>
      <c r="AL5254">
        <v>83.629681627523297</v>
      </c>
      <c r="AM5254">
        <v>93.657939767328102</v>
      </c>
      <c r="AN5254">
        <v>0.99999996733054397</v>
      </c>
    </row>
    <row r="5255" spans="1:40" x14ac:dyDescent="0.25">
      <c r="A5255" t="str">
        <f>"20190312164412621"</f>
        <v>20190312164412621</v>
      </c>
      <c r="B5255" t="str">
        <f>"1552380252610156"</f>
        <v>1552380252610156</v>
      </c>
      <c r="C5255" t="s">
        <v>40</v>
      </c>
      <c r="D5255">
        <v>4.9080130000000004</v>
      </c>
      <c r="E5255">
        <v>0.49307309999999999</v>
      </c>
      <c r="F5255" t="s">
        <v>42</v>
      </c>
      <c r="G5255">
        <v>-186.93029999999999</v>
      </c>
      <c r="H5255" s="1">
        <v>-1.5804590000000001E-6</v>
      </c>
      <c r="I5255">
        <v>-28.10782</v>
      </c>
      <c r="J5255">
        <v>-186.06639999999999</v>
      </c>
      <c r="K5255">
        <v>1.1203780000000001</v>
      </c>
      <c r="L5255">
        <v>-37.715850000000003</v>
      </c>
      <c r="M5255">
        <v>5.5445429999999999E-3</v>
      </c>
      <c r="N5255">
        <v>0</v>
      </c>
      <c r="O5255">
        <v>0.99988549999999998</v>
      </c>
      <c r="P5255">
        <v>-4.8633839999999998E-2</v>
      </c>
      <c r="Q5255">
        <v>0.10030310000000001</v>
      </c>
      <c r="R5255">
        <v>0.99376759999999997</v>
      </c>
      <c r="S5255">
        <v>-0.2651367</v>
      </c>
      <c r="T5255">
        <v>-0.34265759999999901</v>
      </c>
      <c r="U5255">
        <v>3.0397639999999999</v>
      </c>
      <c r="V5255">
        <v>-5.7129060000000002E-2</v>
      </c>
      <c r="W5255">
        <v>0.11281679999999999</v>
      </c>
      <c r="X5255">
        <v>0.99197210000000002</v>
      </c>
      <c r="Y5255">
        <v>-9.1873109999999994E-2</v>
      </c>
      <c r="Z5255">
        <v>-0.111566899999999</v>
      </c>
      <c r="AA5255">
        <v>0.98950090000000002</v>
      </c>
      <c r="AB5255">
        <v>34</v>
      </c>
      <c r="AC5255">
        <v>-0.863900000000001</v>
      </c>
      <c r="AD5255">
        <v>-1.120379580459</v>
      </c>
      <c r="AE5255">
        <v>9.6080299999999994</v>
      </c>
      <c r="AF5255">
        <v>-0.904957585529785</v>
      </c>
      <c r="AG5255">
        <v>-1.120379580459</v>
      </c>
      <c r="AH5255">
        <v>9.4752842036831009</v>
      </c>
      <c r="AI5255">
        <v>96.713207326845193</v>
      </c>
      <c r="AJ5255">
        <v>95.455609950161403</v>
      </c>
      <c r="AK5255">
        <v>9.5841123416038894</v>
      </c>
      <c r="AL5255">
        <v>83.5222826469182</v>
      </c>
      <c r="AM5255">
        <v>93.296103120599199</v>
      </c>
      <c r="AN5255">
        <v>1.0000000035185601</v>
      </c>
    </row>
    <row r="5256" spans="1:40" x14ac:dyDescent="0.25">
      <c r="A5256" t="str">
        <f>"20190312164412643"</f>
        <v>20190312164412643</v>
      </c>
      <c r="B5256" t="str">
        <f>"1552380252630652"</f>
        <v>1552380252630652</v>
      </c>
      <c r="C5256" t="s">
        <v>40</v>
      </c>
      <c r="D5256">
        <v>5.0068140000000003</v>
      </c>
      <c r="E5256">
        <v>0.49457590000000001</v>
      </c>
      <c r="F5256" t="s">
        <v>42</v>
      </c>
      <c r="G5256">
        <v>-186.9391</v>
      </c>
      <c r="H5256" s="1">
        <v>-1.72375E-6</v>
      </c>
      <c r="I5256">
        <v>-27.6798</v>
      </c>
      <c r="J5256">
        <v>-186.07300000000001</v>
      </c>
      <c r="K5256">
        <v>1.119969</v>
      </c>
      <c r="L5256">
        <v>-37.385440000000003</v>
      </c>
      <c r="M5256">
        <v>-4.2132929999999999E-3</v>
      </c>
      <c r="N5256">
        <v>0</v>
      </c>
      <c r="O5256">
        <v>0.99989410000000001</v>
      </c>
      <c r="P5256">
        <v>-5.1470269999999999E-2</v>
      </c>
      <c r="Q5256">
        <v>0.10117379999999999</v>
      </c>
      <c r="R5256">
        <v>0.99353650000000004</v>
      </c>
      <c r="S5256">
        <v>-0.26437379999999999</v>
      </c>
      <c r="T5256">
        <v>-0.33938669999999999</v>
      </c>
      <c r="U5256">
        <v>3.0401310000000001</v>
      </c>
      <c r="V5256">
        <v>-5.0171319999999998E-2</v>
      </c>
      <c r="W5256">
        <v>0.11377569999999999</v>
      </c>
      <c r="X5256">
        <v>0.99223890000000003</v>
      </c>
      <c r="Y5256">
        <v>-8.1904740000000004E-2</v>
      </c>
      <c r="Z5256">
        <v>-0.1105525</v>
      </c>
      <c r="AA5256">
        <v>0.99048970000000003</v>
      </c>
      <c r="AB5256">
        <v>34</v>
      </c>
      <c r="AC5256">
        <v>-0.86610000000001697</v>
      </c>
      <c r="AD5256">
        <v>-1.1199707237500001</v>
      </c>
      <c r="AE5256">
        <v>9.7056400000000007</v>
      </c>
      <c r="AF5256">
        <v>-0.814436498645839</v>
      </c>
      <c r="AG5256">
        <v>-1.1199707237500001</v>
      </c>
      <c r="AH5256">
        <v>9.5826119224891499</v>
      </c>
      <c r="AI5256">
        <v>96.642485904514402</v>
      </c>
      <c r="AJ5256">
        <v>94.857955281562198</v>
      </c>
      <c r="AK5256">
        <v>9.6821532981777807</v>
      </c>
      <c r="AL5256">
        <v>83.466986003086504</v>
      </c>
      <c r="AM5256">
        <v>92.894624281080297</v>
      </c>
      <c r="AN5256">
        <v>1.00000005296711</v>
      </c>
    </row>
    <row r="5257" spans="1:40" x14ac:dyDescent="0.25">
      <c r="A5257" t="str">
        <f>"20190312164412666"</f>
        <v>20190312164412666</v>
      </c>
      <c r="B5257" t="str">
        <f>"1552380252659932"</f>
        <v>1552380252659932</v>
      </c>
      <c r="C5257" t="s">
        <v>40</v>
      </c>
      <c r="D5257">
        <v>4.7689810000000001</v>
      </c>
      <c r="E5257">
        <v>0.49649549999999998</v>
      </c>
      <c r="F5257" t="s">
        <v>42</v>
      </c>
      <c r="G5257">
        <v>-186.93450000000001</v>
      </c>
      <c r="H5257" s="1">
        <v>-1.817065E-6</v>
      </c>
      <c r="I5257">
        <v>-27.409210000000002</v>
      </c>
      <c r="J5257">
        <v>-186.083</v>
      </c>
      <c r="K5257">
        <v>1.1195900000000001</v>
      </c>
      <c r="L5257">
        <v>-37.040990000000001</v>
      </c>
      <c r="M5257">
        <v>-1.3947350000000001E-2</v>
      </c>
      <c r="N5257">
        <v>0</v>
      </c>
      <c r="O5257">
        <v>0.99980769999999997</v>
      </c>
      <c r="P5257">
        <v>-5.4191759999999999E-2</v>
      </c>
      <c r="Q5257">
        <v>0.10205210000000001</v>
      </c>
      <c r="R5257">
        <v>0.99330189999999996</v>
      </c>
      <c r="S5257">
        <v>-0.2625885</v>
      </c>
      <c r="T5257">
        <v>-0.34135870000000001</v>
      </c>
      <c r="U5257">
        <v>3.04068</v>
      </c>
      <c r="V5257">
        <v>-4.3128859999999998E-2</v>
      </c>
      <c r="W5257">
        <v>0.1147321</v>
      </c>
      <c r="X5257">
        <v>0.9924598</v>
      </c>
      <c r="Y5257">
        <v>-7.1599399999999994E-2</v>
      </c>
      <c r="Z5257">
        <v>-0.1111996</v>
      </c>
      <c r="AA5257">
        <v>0.99121550000000003</v>
      </c>
      <c r="AB5257">
        <v>34</v>
      </c>
      <c r="AC5257">
        <v>-0.85150000000001502</v>
      </c>
      <c r="AD5257">
        <v>-1.1195918170650001</v>
      </c>
      <c r="AE5257">
        <v>9.6317799999999991</v>
      </c>
      <c r="AF5257">
        <v>-0.70758019693751695</v>
      </c>
      <c r="AG5257">
        <v>-1.1195918170650001</v>
      </c>
      <c r="AH5257">
        <v>9.5151524515275199</v>
      </c>
      <c r="AI5257">
        <v>96.692488985611504</v>
      </c>
      <c r="AJ5257">
        <v>94.252887781593998</v>
      </c>
      <c r="AK5257">
        <v>9.60688720386303</v>
      </c>
      <c r="AL5257">
        <v>83.411826792678895</v>
      </c>
      <c r="AM5257">
        <v>92.488310236382105</v>
      </c>
      <c r="AN5257">
        <v>1.00000000397567</v>
      </c>
    </row>
    <row r="5258" spans="1:40" x14ac:dyDescent="0.25">
      <c r="A5258" t="str">
        <f>"20190312164412712"</f>
        <v>20190312164412712</v>
      </c>
      <c r="B5258" t="str">
        <f>"1552380252699948"</f>
        <v>1552380252699948</v>
      </c>
      <c r="C5258" t="s">
        <v>40</v>
      </c>
      <c r="D5258">
        <v>4.6871489999999998</v>
      </c>
      <c r="E5258">
        <v>0.49871680000000002</v>
      </c>
      <c r="F5258" t="s">
        <v>41</v>
      </c>
      <c r="G5258">
        <v>-186.16300000000001</v>
      </c>
      <c r="H5258">
        <v>1.0132049999999999</v>
      </c>
      <c r="I5258">
        <v>-36.093780000000002</v>
      </c>
      <c r="J5258">
        <v>-186.113</v>
      </c>
      <c r="K5258">
        <v>1.1189</v>
      </c>
      <c r="L5258">
        <v>-36.337919999999997</v>
      </c>
      <c r="M5258">
        <v>-3.2594360000000003E-2</v>
      </c>
      <c r="N5258">
        <v>0</v>
      </c>
      <c r="O5258">
        <v>0.99937739999999997</v>
      </c>
      <c r="P5258">
        <v>-5.894638E-2</v>
      </c>
      <c r="Q5258">
        <v>0.1024254</v>
      </c>
      <c r="R5258">
        <v>0.9929926</v>
      </c>
      <c r="S5258">
        <v>-0.25723269999999998</v>
      </c>
      <c r="T5258">
        <v>-0.34180939999999999</v>
      </c>
      <c r="U5258">
        <v>3.0413209999999999</v>
      </c>
      <c r="V5258">
        <v>-2.9149959999999999E-2</v>
      </c>
      <c r="W5258">
        <v>0.1152238</v>
      </c>
      <c r="X5258">
        <v>0.99291180000000001</v>
      </c>
      <c r="Y5258">
        <v>-5.1228160000000002E-2</v>
      </c>
      <c r="Z5258">
        <v>-0.11132740000000001</v>
      </c>
      <c r="AA5258">
        <v>0.99246250000000003</v>
      </c>
      <c r="AB5258">
        <v>34</v>
      </c>
      <c r="AC5258">
        <v>-4.9999999999982898E-2</v>
      </c>
      <c r="AD5258">
        <v>-0.105695</v>
      </c>
      <c r="AE5258">
        <v>0.24414000000000799</v>
      </c>
      <c r="AF5258">
        <v>-3.56096005127629E-2</v>
      </c>
      <c r="AG5258">
        <v>-0.105695</v>
      </c>
      <c r="AH5258">
        <v>0.208190470441946</v>
      </c>
      <c r="AI5258">
        <v>116.584155129549</v>
      </c>
      <c r="AJ5258">
        <v>99.706137070402093</v>
      </c>
      <c r="AK5258">
        <v>0.23618371801738899</v>
      </c>
      <c r="AL5258">
        <v>83.383466634781399</v>
      </c>
      <c r="AM5258">
        <v>91.681609677470107</v>
      </c>
      <c r="AN5258">
        <v>1.0000000434168399</v>
      </c>
    </row>
    <row r="5259" spans="1:40" x14ac:dyDescent="0.25">
      <c r="A5259" t="str">
        <f>"20190312164412733"</f>
        <v>20190312164412733</v>
      </c>
      <c r="B5259" t="str">
        <f>"1552380252720444"</f>
        <v>1552380252720444</v>
      </c>
      <c r="C5259" t="s">
        <v>40</v>
      </c>
      <c r="D5259">
        <v>4.6744139999999996</v>
      </c>
      <c r="E5259">
        <v>0.49969479999999999</v>
      </c>
      <c r="F5259" t="s">
        <v>41</v>
      </c>
      <c r="G5259">
        <v>-186.18469999999999</v>
      </c>
      <c r="H5259">
        <v>1.0213129999999999</v>
      </c>
      <c r="I5259">
        <v>-35.482909999999997</v>
      </c>
      <c r="J5259">
        <v>-186.1302</v>
      </c>
      <c r="K5259">
        <v>1.1186</v>
      </c>
      <c r="L5259">
        <v>-36.025390000000002</v>
      </c>
      <c r="M5259">
        <v>-4.042515E-2</v>
      </c>
      <c r="N5259">
        <v>0</v>
      </c>
      <c r="O5259">
        <v>0.9990928</v>
      </c>
      <c r="P5259">
        <v>-5.9540099999999999E-2</v>
      </c>
      <c r="Q5259">
        <v>9.8925109999999997E-2</v>
      </c>
      <c r="R5259">
        <v>0.99331210000000003</v>
      </c>
      <c r="S5259">
        <v>-0.25559999999999999</v>
      </c>
      <c r="T5259">
        <v>-0.3473617</v>
      </c>
      <c r="U5259">
        <v>3.0418400000000001</v>
      </c>
      <c r="V5259">
        <v>-2.1776139999999999E-2</v>
      </c>
      <c r="W5259">
        <v>0.1117971</v>
      </c>
      <c r="X5259">
        <v>0.99349240000000005</v>
      </c>
      <c r="Y5259">
        <v>-4.284044E-2</v>
      </c>
      <c r="Z5259">
        <v>-0.1130703</v>
      </c>
      <c r="AA5259">
        <v>0.99266299999999996</v>
      </c>
      <c r="AB5259">
        <v>34</v>
      </c>
      <c r="AC5259">
        <v>-5.4499999999990202E-2</v>
      </c>
      <c r="AD5259">
        <v>-9.7287000000000096E-2</v>
      </c>
      <c r="AE5259">
        <v>0.54248000000000396</v>
      </c>
      <c r="AF5259">
        <v>-3.1520024140512498E-2</v>
      </c>
      <c r="AG5259">
        <v>-9.7287000000000096E-2</v>
      </c>
      <c r="AH5259">
        <v>0.52744568128755298</v>
      </c>
      <c r="AI5259">
        <v>100.432505796595</v>
      </c>
      <c r="AJ5259">
        <v>93.419914458067097</v>
      </c>
      <c r="AK5259">
        <v>0.53726829331322801</v>
      </c>
      <c r="AL5259">
        <v>83.581078914195601</v>
      </c>
      <c r="AM5259">
        <v>91.255652448568298</v>
      </c>
      <c r="AN5259">
        <v>0.99999997034973398</v>
      </c>
    </row>
    <row r="5260" spans="1:40" x14ac:dyDescent="0.25">
      <c r="A5260" t="str">
        <f>"20190312164412755"</f>
        <v>20190312164412755</v>
      </c>
      <c r="B5260" t="str">
        <f>"1552380252750700"</f>
        <v>1552380252750700</v>
      </c>
      <c r="C5260" t="s">
        <v>40</v>
      </c>
      <c r="D5260">
        <v>4.6684109999999999</v>
      </c>
      <c r="E5260">
        <v>0.50080530000000001</v>
      </c>
      <c r="F5260" t="s">
        <v>41</v>
      </c>
      <c r="G5260">
        <v>-186.19929999999999</v>
      </c>
      <c r="H5260">
        <v>1.018767</v>
      </c>
      <c r="I5260">
        <v>-35.181010000000001</v>
      </c>
      <c r="J5260">
        <v>-186.1523</v>
      </c>
      <c r="K5260">
        <v>1.118247</v>
      </c>
      <c r="L5260">
        <v>-35.674869999999999</v>
      </c>
      <c r="M5260">
        <v>-4.8900220000000001E-2</v>
      </c>
      <c r="N5260">
        <v>0</v>
      </c>
      <c r="O5260">
        <v>0.99871540000000003</v>
      </c>
      <c r="P5260">
        <v>-6.1508159999999999E-2</v>
      </c>
      <c r="Q5260">
        <v>9.4287759999999998E-2</v>
      </c>
      <c r="R5260">
        <v>0.9936431</v>
      </c>
      <c r="S5260">
        <v>-0.24861150000000001</v>
      </c>
      <c r="T5260">
        <v>-0.35958430000000002</v>
      </c>
      <c r="U5260">
        <v>3.0411069999999998</v>
      </c>
      <c r="V5260">
        <v>-1.5092349999999999E-2</v>
      </c>
      <c r="W5260">
        <v>0.1072053</v>
      </c>
      <c r="X5260">
        <v>0.99412230000000001</v>
      </c>
      <c r="Y5260">
        <v>-3.2078969999999998E-2</v>
      </c>
      <c r="Z5260">
        <v>-0.11699130000000001</v>
      </c>
      <c r="AA5260">
        <v>0.99261469999999896</v>
      </c>
      <c r="AB5260">
        <v>34</v>
      </c>
      <c r="AC5260">
        <v>-4.6999999999997003E-2</v>
      </c>
      <c r="AD5260">
        <v>-9.9479999999999999E-2</v>
      </c>
      <c r="AE5260">
        <v>0.49385999999999802</v>
      </c>
      <c r="AF5260">
        <v>-2.19107123101587E-2</v>
      </c>
      <c r="AG5260">
        <v>-9.9479999999999999E-2</v>
      </c>
      <c r="AH5260">
        <v>0.47641050273903002</v>
      </c>
      <c r="AI5260">
        <v>101.782438879438</v>
      </c>
      <c r="AJ5260">
        <v>92.633248686958495</v>
      </c>
      <c r="AK5260">
        <v>0.487178937182216</v>
      </c>
      <c r="AL5260">
        <v>83.845761433399403</v>
      </c>
      <c r="AM5260">
        <v>90.869773802299605</v>
      </c>
      <c r="AN5260">
        <v>0.99999995136694997</v>
      </c>
    </row>
    <row r="5261" spans="1:40" x14ac:dyDescent="0.25">
      <c r="A5261" t="str">
        <f>"20190312164412779"</f>
        <v>20190312164412779</v>
      </c>
      <c r="B5261" t="str">
        <f>"1552380252770221"</f>
        <v>1552380252770221</v>
      </c>
      <c r="C5261" t="s">
        <v>40</v>
      </c>
      <c r="D5261">
        <v>4.6307510000000001</v>
      </c>
      <c r="E5261">
        <v>0.50146089999999999</v>
      </c>
      <c r="F5261" t="s">
        <v>41</v>
      </c>
      <c r="G5261">
        <v>-186.2166</v>
      </c>
      <c r="H5261">
        <v>1.019347</v>
      </c>
      <c r="I5261">
        <v>-34.87603</v>
      </c>
      <c r="J5261">
        <v>-186.1771</v>
      </c>
      <c r="K5261">
        <v>1.117869</v>
      </c>
      <c r="L5261">
        <v>-35.324159999999999</v>
      </c>
      <c r="M5261">
        <v>-5.7008780000000002E-2</v>
      </c>
      <c r="N5261">
        <v>0</v>
      </c>
      <c r="O5261">
        <v>0.99828680000000003</v>
      </c>
      <c r="P5261">
        <v>-6.2683349999999999E-2</v>
      </c>
      <c r="Q5261">
        <v>9.0506290000000003E-2</v>
      </c>
      <c r="R5261">
        <v>0.99392119999999995</v>
      </c>
      <c r="S5261">
        <v>-0.24487300000000001</v>
      </c>
      <c r="T5261">
        <v>-0.3765018</v>
      </c>
      <c r="U5261">
        <v>3.0397639999999999</v>
      </c>
      <c r="V5261">
        <v>-7.9908429999999992E-3</v>
      </c>
      <c r="W5261">
        <v>0.10347199999999999</v>
      </c>
      <c r="X5261">
        <v>0.99460020000000005</v>
      </c>
      <c r="Y5261">
        <v>-2.2731439999999999E-2</v>
      </c>
      <c r="Z5261">
        <v>-0.12241059999999999</v>
      </c>
      <c r="AA5261">
        <v>0.99221919999999997</v>
      </c>
      <c r="AB5261">
        <v>34</v>
      </c>
      <c r="AC5261">
        <v>-3.9500000000003803E-2</v>
      </c>
      <c r="AD5261">
        <v>-9.8521999999999998E-2</v>
      </c>
      <c r="AE5261">
        <v>0.44812999999999897</v>
      </c>
      <c r="AF5261">
        <v>-1.3250660335228299E-2</v>
      </c>
      <c r="AG5261">
        <v>-9.8521999999999998E-2</v>
      </c>
      <c r="AH5261">
        <v>0.42907387232850702</v>
      </c>
      <c r="AI5261">
        <v>102.925882770847</v>
      </c>
      <c r="AJ5261">
        <v>91.768846225648602</v>
      </c>
      <c r="AK5261">
        <v>0.44043904504289699</v>
      </c>
      <c r="AL5261">
        <v>84.0608605227834</v>
      </c>
      <c r="AM5261">
        <v>90.460317349617497</v>
      </c>
      <c r="AN5261">
        <v>0.99999993309794299</v>
      </c>
    </row>
    <row r="5262" spans="1:40" x14ac:dyDescent="0.25">
      <c r="A5262" t="str">
        <f>"20190312164412800"</f>
        <v>20190312164412800</v>
      </c>
      <c r="B5262" t="str">
        <f>"1552380252790717"</f>
        <v>1552380252790717</v>
      </c>
      <c r="C5262" t="s">
        <v>40</v>
      </c>
      <c r="D5262">
        <v>4.6393430000000002</v>
      </c>
      <c r="E5262">
        <v>0.50211890000000003</v>
      </c>
      <c r="F5262" t="s">
        <v>41</v>
      </c>
      <c r="G5262">
        <v>-186.23750000000001</v>
      </c>
      <c r="H5262">
        <v>1.0211429999999999</v>
      </c>
      <c r="I5262">
        <v>-34.570419999999999</v>
      </c>
      <c r="J5262">
        <v>-186.20259999999999</v>
      </c>
      <c r="K5262">
        <v>1.1174770000000001</v>
      </c>
      <c r="L5262">
        <v>-34.995089999999998</v>
      </c>
      <c r="M5262">
        <v>-6.4232460000000005E-2</v>
      </c>
      <c r="N5262">
        <v>0</v>
      </c>
      <c r="O5262">
        <v>0.99784949999999994</v>
      </c>
      <c r="P5262">
        <v>-6.2643229999999994E-2</v>
      </c>
      <c r="Q5262">
        <v>8.656983E-2</v>
      </c>
      <c r="R5262">
        <v>0.9942744</v>
      </c>
      <c r="S5262">
        <v>-0.24372859999999999</v>
      </c>
      <c r="T5262">
        <v>-0.38986549999999998</v>
      </c>
      <c r="U5262">
        <v>3.0384829999999998</v>
      </c>
      <c r="V5262">
        <v>-5.454635E-4</v>
      </c>
      <c r="W5262">
        <v>9.9582160000000003E-2</v>
      </c>
      <c r="X5262">
        <v>0.99502919999999995</v>
      </c>
      <c r="Y5262">
        <v>-1.511436E-2</v>
      </c>
      <c r="Z5262">
        <v>-0.1266669</v>
      </c>
      <c r="AA5262">
        <v>0.9918302</v>
      </c>
      <c r="AB5262">
        <v>34</v>
      </c>
      <c r="AC5262">
        <v>-3.4900000000021601E-2</v>
      </c>
      <c r="AD5262">
        <v>-9.6333999999999906E-2</v>
      </c>
      <c r="AE5262">
        <v>0.42467000000000599</v>
      </c>
      <c r="AF5262">
        <v>-7.1809513752706102E-3</v>
      </c>
      <c r="AG5262">
        <v>-9.6333999999999906E-2</v>
      </c>
      <c r="AH5262">
        <v>0.40531772465732302</v>
      </c>
      <c r="AI5262">
        <v>103.367701662953</v>
      </c>
      <c r="AJ5262">
        <v>91.014994266118904</v>
      </c>
      <c r="AK5262">
        <v>0.41667044956421301</v>
      </c>
      <c r="AL5262">
        <v>84.284890129064905</v>
      </c>
      <c r="AM5262">
        <v>90.031408880561301</v>
      </c>
      <c r="AN5262">
        <v>1.0000000064866601</v>
      </c>
    </row>
    <row r="5263" spans="1:40" x14ac:dyDescent="0.25">
      <c r="A5263" t="str">
        <f>"20190312164412844"</f>
        <v>20190312164412844</v>
      </c>
      <c r="B5263" t="str">
        <f>"1552380252840493"</f>
        <v>1552380252840493</v>
      </c>
      <c r="C5263" t="s">
        <v>40</v>
      </c>
      <c r="D5263">
        <v>4.8756380000000004</v>
      </c>
      <c r="E5263">
        <v>0.50310120000000003</v>
      </c>
      <c r="F5263" t="s">
        <v>41</v>
      </c>
      <c r="G5263">
        <v>-186.26009999999999</v>
      </c>
      <c r="H5263">
        <v>1.0207059999999999</v>
      </c>
      <c r="I5263">
        <v>-34.265740000000001</v>
      </c>
      <c r="J5263">
        <v>-186.26050000000001</v>
      </c>
      <c r="K5263">
        <v>1.116574</v>
      </c>
      <c r="L5263">
        <v>-34.329279999999997</v>
      </c>
      <c r="M5263">
        <v>-7.748244E-2</v>
      </c>
      <c r="N5263">
        <v>0</v>
      </c>
      <c r="O5263">
        <v>0.99691079999999999</v>
      </c>
      <c r="P5263">
        <v>-6.196985E-2</v>
      </c>
      <c r="Q5263">
        <v>8.1687579999999996E-2</v>
      </c>
      <c r="R5263">
        <v>0.99472959999999999</v>
      </c>
      <c r="S5263">
        <v>-0.2394104</v>
      </c>
      <c r="T5263">
        <v>-0.4030861</v>
      </c>
      <c r="U5263">
        <v>3.0372919999999999</v>
      </c>
      <c r="V5263">
        <v>1.369896E-2</v>
      </c>
      <c r="W5263">
        <v>9.4737160000000001E-2</v>
      </c>
      <c r="X5263">
        <v>0.99540810000000002</v>
      </c>
      <c r="Y5263">
        <v>-4.175367E-4</v>
      </c>
      <c r="Z5263">
        <v>-0.1307702</v>
      </c>
      <c r="AA5263">
        <v>0.99141259999999998</v>
      </c>
      <c r="AB5263">
        <v>34</v>
      </c>
      <c r="AC5263">
        <v>4.0000000001327803E-4</v>
      </c>
      <c r="AD5263">
        <v>-9.5867999999999995E-2</v>
      </c>
      <c r="AE5263">
        <v>6.35399999999961E-2</v>
      </c>
      <c r="AF5263">
        <v>1.6245111019695399E-3</v>
      </c>
      <c r="AG5263">
        <v>-9.5867999999999995E-2</v>
      </c>
      <c r="AH5263">
        <v>1.93258630594926E-2</v>
      </c>
      <c r="AI5263">
        <v>168.563455686694</v>
      </c>
      <c r="AJ5263">
        <v>85.195074672937196</v>
      </c>
      <c r="AK5263">
        <v>9.7810027314763001E-2</v>
      </c>
      <c r="AL5263">
        <v>84.563808248530506</v>
      </c>
      <c r="AM5263">
        <v>89.211536408759798</v>
      </c>
      <c r="AN5263">
        <v>1.0000000382677701</v>
      </c>
    </row>
    <row r="5264" spans="1:40" x14ac:dyDescent="0.25">
      <c r="A5264" t="str">
        <f>"20190312164412866"</f>
        <v>20190312164412866</v>
      </c>
      <c r="B5264" t="str">
        <f>"1552380252860012"</f>
        <v>1552380252860012</v>
      </c>
      <c r="C5264" t="s">
        <v>40</v>
      </c>
      <c r="D5264">
        <v>4.643389</v>
      </c>
      <c r="E5264">
        <v>0.50348539999999997</v>
      </c>
      <c r="F5264" t="s">
        <v>41</v>
      </c>
      <c r="G5264">
        <v>-186.3339</v>
      </c>
      <c r="H5264">
        <v>0.98206130000000003</v>
      </c>
      <c r="I5264">
        <v>-33.368810000000003</v>
      </c>
      <c r="J5264">
        <v>-186.29409999999999</v>
      </c>
      <c r="K5264">
        <v>1.116117</v>
      </c>
      <c r="L5264">
        <v>-33.977020000000003</v>
      </c>
      <c r="M5264">
        <v>-8.3802740000000001E-2</v>
      </c>
      <c r="N5264">
        <v>0</v>
      </c>
      <c r="O5264">
        <v>0.99640070000000003</v>
      </c>
      <c r="P5264">
        <v>-6.1453800000000003E-2</v>
      </c>
      <c r="Q5264">
        <v>7.8826010000000002E-2</v>
      </c>
      <c r="R5264">
        <v>0.9949924</v>
      </c>
      <c r="S5264">
        <v>-0.23194890000000001</v>
      </c>
      <c r="T5264">
        <v>-0.42526199999999997</v>
      </c>
      <c r="U5264">
        <v>3.0363769999999999</v>
      </c>
      <c r="V5264">
        <v>2.0706329999999998E-2</v>
      </c>
      <c r="W5264">
        <v>9.1873919999999998E-2</v>
      </c>
      <c r="X5264">
        <v>0.99555530000000003</v>
      </c>
      <c r="Y5264">
        <v>8.3949479999999993E-3</v>
      </c>
      <c r="Z5264">
        <v>-0.13777600000000001</v>
      </c>
      <c r="AA5264">
        <v>0.99042790000000003</v>
      </c>
      <c r="AB5264">
        <v>35</v>
      </c>
      <c r="AC5264">
        <v>-3.9800000000013797E-2</v>
      </c>
      <c r="AD5264">
        <v>-0.134055699999999</v>
      </c>
      <c r="AE5264">
        <v>0.60821000000000602</v>
      </c>
      <c r="AF5264">
        <v>1.0791799922051801E-2</v>
      </c>
      <c r="AG5264">
        <v>-0.134055699999999</v>
      </c>
      <c r="AH5264">
        <v>0.58128691357691298</v>
      </c>
      <c r="AI5264">
        <v>102.9842725333</v>
      </c>
      <c r="AJ5264">
        <v>88.936405500801698</v>
      </c>
      <c r="AK5264">
        <v>0.59664216205680698</v>
      </c>
      <c r="AL5264">
        <v>84.728578273734001</v>
      </c>
      <c r="AM5264">
        <v>88.808489804457906</v>
      </c>
      <c r="AN5264">
        <v>0.99999996231816202</v>
      </c>
    </row>
    <row r="5265" spans="1:40" x14ac:dyDescent="0.25">
      <c r="A5265" t="str">
        <f>"20190312164412891"</f>
        <v>20190312164412891</v>
      </c>
      <c r="B5265" t="str">
        <f>"1552380252880508"</f>
        <v>1552380252880508</v>
      </c>
      <c r="C5265" t="s">
        <v>40</v>
      </c>
      <c r="D5265">
        <v>4.8308260000000001</v>
      </c>
      <c r="E5265">
        <v>0.50376860000000001</v>
      </c>
      <c r="F5265" t="s">
        <v>41</v>
      </c>
      <c r="G5265">
        <v>-186.36240000000001</v>
      </c>
      <c r="H5265">
        <v>0.98497970000000001</v>
      </c>
      <c r="I5265">
        <v>-33.062040000000003</v>
      </c>
      <c r="J5265">
        <v>-186.33019999999999</v>
      </c>
      <c r="K5265">
        <v>1.1157010000000001</v>
      </c>
      <c r="L5265">
        <v>-33.616700000000002</v>
      </c>
      <c r="M5265">
        <v>-8.9828889999999995E-2</v>
      </c>
      <c r="N5265">
        <v>0</v>
      </c>
      <c r="O5265">
        <v>0.9958766</v>
      </c>
      <c r="P5265">
        <v>-6.0992829999999998E-2</v>
      </c>
      <c r="Q5265">
        <v>7.6262430000000006E-2</v>
      </c>
      <c r="R5265">
        <v>0.99522049999999995</v>
      </c>
      <c r="S5265">
        <v>-0.22685240000000001</v>
      </c>
      <c r="T5265">
        <v>-0.43508079999999999</v>
      </c>
      <c r="U5265">
        <v>3.0355530000000002</v>
      </c>
      <c r="V5265">
        <v>2.7347099999999999E-2</v>
      </c>
      <c r="W5265">
        <v>8.9297699999999994E-2</v>
      </c>
      <c r="X5265">
        <v>0.99562949999999995</v>
      </c>
      <c r="Y5265">
        <v>1.610924E-2</v>
      </c>
      <c r="Z5265">
        <v>-0.14082259999999999</v>
      </c>
      <c r="AA5265">
        <v>0.9899038</v>
      </c>
      <c r="AB5265">
        <v>35</v>
      </c>
      <c r="AC5265">
        <v>-3.2200000000017298E-2</v>
      </c>
      <c r="AD5265">
        <v>-0.13072130000000001</v>
      </c>
      <c r="AE5265">
        <v>0.55465999999999804</v>
      </c>
      <c r="AF5265">
        <v>1.6827178009133099E-2</v>
      </c>
      <c r="AG5265">
        <v>-0.13072130000000001</v>
      </c>
      <c r="AH5265">
        <v>0.52618179073498905</v>
      </c>
      <c r="AI5265">
        <v>103.94489955401799</v>
      </c>
      <c r="AJ5265">
        <v>88.168317819323406</v>
      </c>
      <c r="AK5265">
        <v>0.54243754395738597</v>
      </c>
      <c r="AL5265">
        <v>84.876794529212702</v>
      </c>
      <c r="AM5265">
        <v>88.426644097280303</v>
      </c>
      <c r="AN5265">
        <v>1.00000002218697</v>
      </c>
    </row>
    <row r="5266" spans="1:40" x14ac:dyDescent="0.25">
      <c r="A5266" t="str">
        <f>"20190312164412913"</f>
        <v>20190312164412913</v>
      </c>
      <c r="B5266" t="str">
        <f>"1552380252909789"</f>
        <v>1552380252909789</v>
      </c>
      <c r="C5266" t="s">
        <v>40</v>
      </c>
      <c r="D5266">
        <v>4.6907629999999996</v>
      </c>
      <c r="E5266">
        <v>0.50399669999999996</v>
      </c>
      <c r="F5266" t="s">
        <v>41</v>
      </c>
      <c r="G5266">
        <v>-186.39340000000001</v>
      </c>
      <c r="H5266">
        <v>0.98966989999999999</v>
      </c>
      <c r="I5266">
        <v>-32.754350000000002</v>
      </c>
      <c r="J5266">
        <v>-186.36689999999999</v>
      </c>
      <c r="K5266">
        <v>1.1152740000000001</v>
      </c>
      <c r="L5266">
        <v>-33.267969999999998</v>
      </c>
      <c r="M5266">
        <v>-9.508867E-2</v>
      </c>
      <c r="N5266">
        <v>0</v>
      </c>
      <c r="O5266">
        <v>0.99538919999999997</v>
      </c>
      <c r="P5266">
        <v>-6.0060719999999998E-2</v>
      </c>
      <c r="Q5266">
        <v>7.5120690000000004E-2</v>
      </c>
      <c r="R5266">
        <v>0.99536409999999997</v>
      </c>
      <c r="S5266">
        <v>-0.2225037</v>
      </c>
      <c r="T5266">
        <v>-0.4435403</v>
      </c>
      <c r="U5266">
        <v>3.0347599999999999</v>
      </c>
      <c r="V5266">
        <v>3.3664079999999999E-2</v>
      </c>
      <c r="W5266">
        <v>8.812979E-2</v>
      </c>
      <c r="X5266">
        <v>0.99553999999999998</v>
      </c>
      <c r="Y5266">
        <v>2.2810339999999998E-2</v>
      </c>
      <c r="Z5266">
        <v>-0.1434338</v>
      </c>
      <c r="AA5266">
        <v>0.98939699999999997</v>
      </c>
      <c r="AB5266">
        <v>35</v>
      </c>
      <c r="AC5266">
        <v>-2.6500000000026998E-2</v>
      </c>
      <c r="AD5266">
        <v>-0.125604099999999</v>
      </c>
      <c r="AE5266">
        <v>0.51361999999999597</v>
      </c>
      <c r="AF5266">
        <v>2.1199008203699202E-2</v>
      </c>
      <c r="AG5266">
        <v>-0.125604099999999</v>
      </c>
      <c r="AH5266">
        <v>0.484891344823209</v>
      </c>
      <c r="AI5266">
        <v>104.50917078819801</v>
      </c>
      <c r="AJ5266">
        <v>87.496674780946904</v>
      </c>
      <c r="AK5266">
        <v>0.50134359891205404</v>
      </c>
      <c r="AL5266">
        <v>84.943975672735903</v>
      </c>
      <c r="AM5266">
        <v>88.063287215775603</v>
      </c>
      <c r="AN5266">
        <v>1.0000000108838401</v>
      </c>
    </row>
    <row r="5267" spans="1:40" x14ac:dyDescent="0.25">
      <c r="A5267" t="str">
        <f>"20190312164412934"</f>
        <v>20190312164412934</v>
      </c>
      <c r="B5267" t="str">
        <f>"1552380252930285"</f>
        <v>1552380252930285</v>
      </c>
      <c r="C5267" t="s">
        <v>40</v>
      </c>
      <c r="D5267">
        <v>4.6332240000000002</v>
      </c>
      <c r="E5267">
        <v>0.50373259999999997</v>
      </c>
      <c r="F5267" t="s">
        <v>41</v>
      </c>
      <c r="G5267">
        <v>-186.42570000000001</v>
      </c>
      <c r="H5267">
        <v>0.99406369999999999</v>
      </c>
      <c r="I5267">
        <v>-32.446649999999998</v>
      </c>
      <c r="J5267">
        <v>-186.40129999999999</v>
      </c>
      <c r="K5267">
        <v>1.1148389999999999</v>
      </c>
      <c r="L5267">
        <v>-32.951970000000003</v>
      </c>
      <c r="M5267">
        <v>-9.9318089999999998E-2</v>
      </c>
      <c r="N5267">
        <v>0</v>
      </c>
      <c r="O5267">
        <v>0.99497709999999995</v>
      </c>
      <c r="P5267">
        <v>-5.7965959999999997E-2</v>
      </c>
      <c r="Q5267">
        <v>7.5520680000000007E-2</v>
      </c>
      <c r="R5267">
        <v>0.99545790000000001</v>
      </c>
      <c r="S5267">
        <v>-0.21781919999999999</v>
      </c>
      <c r="T5267">
        <v>-0.44792660000000001</v>
      </c>
      <c r="U5267">
        <v>3.034637</v>
      </c>
      <c r="V5267">
        <v>4.0083729999999998E-2</v>
      </c>
      <c r="W5267">
        <v>8.8494089999999997E-2</v>
      </c>
      <c r="X5267">
        <v>0.99526979999999998</v>
      </c>
      <c r="Y5267">
        <v>2.858896E-2</v>
      </c>
      <c r="Z5267">
        <v>-0.14473520000000001</v>
      </c>
      <c r="AA5267">
        <v>0.98905730000000003</v>
      </c>
      <c r="AB5267">
        <v>35</v>
      </c>
      <c r="AC5267">
        <v>-2.4400000000014101E-2</v>
      </c>
      <c r="AD5267">
        <v>-0.1207753</v>
      </c>
      <c r="AE5267">
        <v>0.50532000000000399</v>
      </c>
      <c r="AF5267">
        <v>2.45148591990694E-2</v>
      </c>
      <c r="AG5267">
        <v>-0.1207753</v>
      </c>
      <c r="AH5267">
        <v>0.478002530356607</v>
      </c>
      <c r="AI5267">
        <v>104.16209104244101</v>
      </c>
      <c r="AJ5267">
        <v>87.064098340546707</v>
      </c>
      <c r="AK5267">
        <v>0.493633538608307</v>
      </c>
      <c r="AL5267">
        <v>84.923020597273805</v>
      </c>
      <c r="AM5267">
        <v>87.693702710603404</v>
      </c>
      <c r="AN5267">
        <v>0.99999994208383802</v>
      </c>
    </row>
    <row r="5268" spans="1:40" x14ac:dyDescent="0.25">
      <c r="A5268" t="str">
        <f>"20190312164412978"</f>
        <v>20190312164412978</v>
      </c>
      <c r="B5268" t="str">
        <f>"1552380252970300"</f>
        <v>1552380252970300</v>
      </c>
      <c r="C5268" t="s">
        <v>40</v>
      </c>
      <c r="D5268">
        <v>4.6862640000000004</v>
      </c>
      <c r="E5268">
        <v>0.48941570000000001</v>
      </c>
      <c r="F5268" t="s">
        <v>41</v>
      </c>
      <c r="G5268">
        <v>-186.45849999999999</v>
      </c>
      <c r="H5268">
        <v>0.99544639999999995</v>
      </c>
      <c r="I5268">
        <v>-32.140140000000002</v>
      </c>
      <c r="J5268">
        <v>-186.47720000000001</v>
      </c>
      <c r="K5268">
        <v>1.1137859999999999</v>
      </c>
      <c r="L5268">
        <v>-32.279449999999997</v>
      </c>
      <c r="M5268">
        <v>-0.1066295</v>
      </c>
      <c r="N5268">
        <v>0</v>
      </c>
      <c r="O5268">
        <v>0.99422200000000005</v>
      </c>
      <c r="P5268">
        <v>-5.4923739999999999E-2</v>
      </c>
      <c r="Q5268">
        <v>7.5106619999999999E-2</v>
      </c>
      <c r="R5268">
        <v>0.99566180000000004</v>
      </c>
      <c r="S5268">
        <v>-0.21418760000000001</v>
      </c>
      <c r="T5268">
        <v>-0.4464129</v>
      </c>
      <c r="U5268">
        <v>3.0350950000000001</v>
      </c>
      <c r="V5268">
        <v>5.0690770000000003E-2</v>
      </c>
      <c r="W5268">
        <v>8.7918419999999997E-2</v>
      </c>
      <c r="X5268">
        <v>0.99483699999999997</v>
      </c>
      <c r="Y5268">
        <v>3.7117379999999998E-2</v>
      </c>
      <c r="Z5268">
        <v>-0.14405679999999901</v>
      </c>
      <c r="AA5268">
        <v>0.98887309999999995</v>
      </c>
      <c r="AB5268">
        <v>35</v>
      </c>
      <c r="AC5268">
        <v>1.8700000000023899E-2</v>
      </c>
      <c r="AD5268">
        <v>-0.1183396</v>
      </c>
      <c r="AE5268">
        <v>0.13930999999999399</v>
      </c>
      <c r="AF5268">
        <v>1.95742881196901E-2</v>
      </c>
      <c r="AG5268">
        <v>-0.1183396</v>
      </c>
      <c r="AH5268">
        <v>7.9891975111029495E-2</v>
      </c>
      <c r="AI5268">
        <v>145.19777763462301</v>
      </c>
      <c r="AJ5268">
        <v>76.233189045730896</v>
      </c>
      <c r="AK5268">
        <v>0.144118497670125</v>
      </c>
      <c r="AL5268">
        <v>84.956133063158205</v>
      </c>
      <c r="AM5268">
        <v>87.083082395509805</v>
      </c>
      <c r="AN5268">
        <v>0.99999992965374196</v>
      </c>
    </row>
    <row r="5269" spans="1:40" x14ac:dyDescent="0.25">
      <c r="A5269" t="str">
        <f>"20190312164413002"</f>
        <v>20190312164413002</v>
      </c>
      <c r="B5269" t="str">
        <f>"1552380252990797"</f>
        <v>1552380252990797</v>
      </c>
      <c r="C5269" t="s">
        <v>40</v>
      </c>
      <c r="D5269">
        <v>4.7363439999999999</v>
      </c>
      <c r="E5269">
        <v>0.49083769999999999</v>
      </c>
      <c r="F5269" t="s">
        <v>41</v>
      </c>
      <c r="G5269">
        <v>-186.5547</v>
      </c>
      <c r="H5269">
        <v>1.0295920000000001</v>
      </c>
      <c r="I5269">
        <v>-31.513660000000002</v>
      </c>
      <c r="J5269">
        <v>-186.51910000000001</v>
      </c>
      <c r="K5269">
        <v>1.1132500000000001</v>
      </c>
      <c r="L5269">
        <v>-31.918579999999999</v>
      </c>
      <c r="M5269">
        <v>-0.10971499999999999</v>
      </c>
      <c r="N5269">
        <v>0</v>
      </c>
      <c r="O5269">
        <v>0.99388710000000002</v>
      </c>
      <c r="P5269">
        <v>-5.3502330000000001E-2</v>
      </c>
      <c r="Q5269">
        <v>7.5736289999999998E-2</v>
      </c>
      <c r="R5269">
        <v>0.99569149999999995</v>
      </c>
      <c r="S5269">
        <v>-0.30567929999999999</v>
      </c>
      <c r="T5269">
        <v>-0.33218629999999999</v>
      </c>
      <c r="U5269">
        <v>3.021271</v>
      </c>
      <c r="V5269">
        <v>5.531026E-2</v>
      </c>
      <c r="W5269">
        <v>8.8445640000000006E-2</v>
      </c>
      <c r="X5269">
        <v>0.99454419999999999</v>
      </c>
      <c r="Y5269">
        <v>9.7046170000000005E-3</v>
      </c>
      <c r="Z5269">
        <v>-0.1080313</v>
      </c>
      <c r="AA5269">
        <v>0.99410019999999999</v>
      </c>
      <c r="AB5269">
        <v>35</v>
      </c>
      <c r="AC5269">
        <v>-3.5599999999988002E-2</v>
      </c>
      <c r="AD5269">
        <v>-8.3657999999999996E-2</v>
      </c>
      <c r="AE5269">
        <v>0.40492</v>
      </c>
      <c r="AF5269">
        <v>8.6765800838693504E-3</v>
      </c>
      <c r="AG5269">
        <v>-8.3657999999999996E-2</v>
      </c>
      <c r="AH5269">
        <v>0.389867421597765</v>
      </c>
      <c r="AI5269">
        <v>102.108002475432</v>
      </c>
      <c r="AJ5269">
        <v>88.7250810382738</v>
      </c>
      <c r="AK5269">
        <v>0.39883649585919401</v>
      </c>
      <c r="AL5269">
        <v>84.925807856058697</v>
      </c>
      <c r="AM5269">
        <v>86.816850018178798</v>
      </c>
      <c r="AN5269">
        <v>1.0000000109249501</v>
      </c>
    </row>
    <row r="5270" spans="1:40" x14ac:dyDescent="0.25">
      <c r="A5270" t="str">
        <f>"20190312164413023"</f>
        <v>20190312164413023</v>
      </c>
      <c r="B5270" t="str">
        <f>"1552380253010317"</f>
        <v>1552380253010317</v>
      </c>
      <c r="C5270" t="s">
        <v>40</v>
      </c>
      <c r="D5270">
        <v>4.7209849999999998</v>
      </c>
      <c r="E5270">
        <v>0.49101660000000003</v>
      </c>
      <c r="F5270" t="s">
        <v>41</v>
      </c>
      <c r="G5270">
        <v>-186.61539999999999</v>
      </c>
      <c r="H5270">
        <v>1.0046580000000001</v>
      </c>
      <c r="I5270">
        <v>-30.912189999999999</v>
      </c>
      <c r="J5270">
        <v>-186.55709999999999</v>
      </c>
      <c r="K5270">
        <v>1.112816</v>
      </c>
      <c r="L5270">
        <v>-31.596340000000001</v>
      </c>
      <c r="M5270">
        <v>-0.1119463</v>
      </c>
      <c r="N5270">
        <v>0</v>
      </c>
      <c r="O5270">
        <v>0.99363889999999999</v>
      </c>
      <c r="P5270">
        <v>-5.1868020000000001E-2</v>
      </c>
      <c r="Q5270">
        <v>7.7792150000000004E-2</v>
      </c>
      <c r="R5270">
        <v>0.99561949999999999</v>
      </c>
      <c r="S5270">
        <v>-0.28936770000000001</v>
      </c>
      <c r="T5270">
        <v>-0.32611240000000002</v>
      </c>
      <c r="U5270">
        <v>3.0222470000000001</v>
      </c>
      <c r="V5270">
        <v>5.9242940000000001E-2</v>
      </c>
      <c r="W5270">
        <v>9.0408520000000006E-2</v>
      </c>
      <c r="X5270">
        <v>0.9941411</v>
      </c>
      <c r="Y5270">
        <v>1.7274850000000001E-2</v>
      </c>
      <c r="Z5270">
        <v>-0.1060272</v>
      </c>
      <c r="AA5270">
        <v>0.99421320000000002</v>
      </c>
      <c r="AB5270">
        <v>35</v>
      </c>
      <c r="AC5270">
        <v>-5.83000000000026E-2</v>
      </c>
      <c r="AD5270">
        <v>-0.108157999999999</v>
      </c>
      <c r="AE5270">
        <v>0.68414999999999804</v>
      </c>
      <c r="AF5270">
        <v>1.82085100870518E-2</v>
      </c>
      <c r="AG5270">
        <v>-0.108157999999999</v>
      </c>
      <c r="AH5270">
        <v>0.66975749395732398</v>
      </c>
      <c r="AI5270">
        <v>99.170071778681105</v>
      </c>
      <c r="AJ5270">
        <v>88.442699231866001</v>
      </c>
      <c r="AK5270">
        <v>0.67867871892051101</v>
      </c>
      <c r="AL5270">
        <v>84.812890503173506</v>
      </c>
      <c r="AM5270">
        <v>86.589658229003604</v>
      </c>
      <c r="AN5270">
        <v>0.999999976568821</v>
      </c>
    </row>
    <row r="5271" spans="1:40" x14ac:dyDescent="0.25">
      <c r="A5271" t="str">
        <f>"20190312164413048"</f>
        <v>20190312164413048</v>
      </c>
      <c r="B5271" t="str">
        <f>"1552380253040573"</f>
        <v>1552380253040573</v>
      </c>
      <c r="C5271" t="s">
        <v>40</v>
      </c>
      <c r="D5271">
        <v>4.7535790000000002</v>
      </c>
      <c r="E5271">
        <v>0.49120829999999999</v>
      </c>
      <c r="F5271" t="s">
        <v>41</v>
      </c>
      <c r="G5271">
        <v>-186.6497</v>
      </c>
      <c r="H5271">
        <v>1.0096879999999999</v>
      </c>
      <c r="I5271">
        <v>-30.602920000000001</v>
      </c>
      <c r="J5271">
        <v>-186.60220000000001</v>
      </c>
      <c r="K5271">
        <v>1.112371</v>
      </c>
      <c r="L5271">
        <v>-31.217590000000001</v>
      </c>
      <c r="M5271">
        <v>-0.11405659999999999</v>
      </c>
      <c r="N5271">
        <v>0</v>
      </c>
      <c r="O5271">
        <v>0.9933997</v>
      </c>
      <c r="P5271">
        <v>-5.0398390000000001E-2</v>
      </c>
      <c r="Q5271">
        <v>7.9627100000000006E-2</v>
      </c>
      <c r="R5271">
        <v>0.99554989999999999</v>
      </c>
      <c r="S5271">
        <v>-0.28227229999999998</v>
      </c>
      <c r="T5271">
        <v>-0.31382470000000001</v>
      </c>
      <c r="U5271">
        <v>3.0230100000000002</v>
      </c>
      <c r="V5271">
        <v>6.2898220000000005E-2</v>
      </c>
      <c r="W5271">
        <v>9.2135060000000005E-2</v>
      </c>
      <c r="X5271">
        <v>0.99375800000000003</v>
      </c>
      <c r="Y5271">
        <v>2.1695900000000001E-2</v>
      </c>
      <c r="Z5271">
        <v>-0.1020195</v>
      </c>
      <c r="AA5271">
        <v>0.99454580000000004</v>
      </c>
      <c r="AB5271">
        <v>35</v>
      </c>
      <c r="AC5271">
        <v>-4.74999999999852E-2</v>
      </c>
      <c r="AD5271">
        <v>-0.102683</v>
      </c>
      <c r="AE5271">
        <v>0.61467000000000005</v>
      </c>
      <c r="AF5271">
        <v>2.2303649472567098E-2</v>
      </c>
      <c r="AG5271">
        <v>-0.102683</v>
      </c>
      <c r="AH5271">
        <v>0.59944686009327097</v>
      </c>
      <c r="AI5271">
        <v>99.713620354045602</v>
      </c>
      <c r="AJ5271">
        <v>87.869175966361595</v>
      </c>
      <c r="AK5271">
        <v>0.60858671472886805</v>
      </c>
      <c r="AL5271">
        <v>84.713552569353098</v>
      </c>
      <c r="AM5271">
        <v>86.378392172435895</v>
      </c>
      <c r="AN5271">
        <v>1.0000000089621801</v>
      </c>
    </row>
    <row r="5272" spans="1:40" x14ac:dyDescent="0.25">
      <c r="A5272" t="str">
        <f>"20190312164413068"</f>
        <v>20190312164413068</v>
      </c>
      <c r="B5272" t="str">
        <f>"1552380253060093"</f>
        <v>1552380253060093</v>
      </c>
      <c r="C5272" t="s">
        <v>40</v>
      </c>
      <c r="D5272">
        <v>4.9274690000000003</v>
      </c>
      <c r="E5272">
        <v>0.49133460000000001</v>
      </c>
      <c r="F5272" t="s">
        <v>41</v>
      </c>
      <c r="G5272">
        <v>-186.6865</v>
      </c>
      <c r="H5272">
        <v>1.019682</v>
      </c>
      <c r="I5272">
        <v>-30.291250000000002</v>
      </c>
      <c r="J5272">
        <v>-186.6413</v>
      </c>
      <c r="K5272">
        <v>1.112026</v>
      </c>
      <c r="L5272">
        <v>-30.891539999999999</v>
      </c>
      <c r="M5272">
        <v>-0.1155258</v>
      </c>
      <c r="N5272">
        <v>0</v>
      </c>
      <c r="O5272">
        <v>0.99323050000000002</v>
      </c>
      <c r="P5272">
        <v>-4.8037290000000003E-2</v>
      </c>
      <c r="Q5272">
        <v>8.0367430000000004E-2</v>
      </c>
      <c r="R5272">
        <v>0.99560709999999997</v>
      </c>
      <c r="S5272">
        <v>-0.27554319999999999</v>
      </c>
      <c r="T5272">
        <v>-0.30254900000000001</v>
      </c>
      <c r="U5272">
        <v>3.0236510000000001</v>
      </c>
      <c r="V5272">
        <v>6.6796330000000001E-2</v>
      </c>
      <c r="W5272">
        <v>9.2791709999999999E-2</v>
      </c>
      <c r="X5272">
        <v>0.99344250000000001</v>
      </c>
      <c r="Y5272">
        <v>2.53549E-2</v>
      </c>
      <c r="Z5272">
        <v>-9.8350439999999997E-2</v>
      </c>
      <c r="AA5272">
        <v>0.99482879999999996</v>
      </c>
      <c r="AB5272">
        <v>35</v>
      </c>
      <c r="AC5272">
        <v>-4.5199999999994099E-2</v>
      </c>
      <c r="AD5272">
        <v>-9.2343999999999898E-2</v>
      </c>
      <c r="AE5272">
        <v>0.60029000000000099</v>
      </c>
      <c r="AF5272">
        <v>2.3894500324163299E-2</v>
      </c>
      <c r="AG5272">
        <v>-9.2343999999999898E-2</v>
      </c>
      <c r="AH5272">
        <v>0.58766399989634899</v>
      </c>
      <c r="AI5272">
        <v>98.9230314688416</v>
      </c>
      <c r="AJ5272">
        <v>87.671628160943101</v>
      </c>
      <c r="AK5272">
        <v>0.59535480031315602</v>
      </c>
      <c r="AL5272">
        <v>84.675767517896602</v>
      </c>
      <c r="AM5272">
        <v>86.153379713482593</v>
      </c>
      <c r="AN5272">
        <v>1.0000000259762201</v>
      </c>
    </row>
    <row r="5273" spans="1:40" x14ac:dyDescent="0.25">
      <c r="A5273" t="str">
        <f>"20190312164413114"</f>
        <v>20190312164413114</v>
      </c>
      <c r="B5273" t="str">
        <f>"1552380253109869"</f>
        <v>1552380253109869</v>
      </c>
      <c r="C5273" t="s">
        <v>40</v>
      </c>
      <c r="D5273">
        <v>5.2201510000000004</v>
      </c>
      <c r="E5273">
        <v>0.4912166</v>
      </c>
      <c r="F5273" t="s">
        <v>41</v>
      </c>
      <c r="G5273">
        <v>-186.72149999999999</v>
      </c>
      <c r="H5273">
        <v>1.021703</v>
      </c>
      <c r="I5273">
        <v>-29.983160000000002</v>
      </c>
      <c r="J5273">
        <v>-186.7236</v>
      </c>
      <c r="K5273">
        <v>1.1113740000000001</v>
      </c>
      <c r="L5273">
        <v>-30.211459999999999</v>
      </c>
      <c r="M5273">
        <v>-0.1177103</v>
      </c>
      <c r="N5273">
        <v>0</v>
      </c>
      <c r="O5273">
        <v>0.99297500000000005</v>
      </c>
      <c r="P5273">
        <v>-4.4607750000000002E-2</v>
      </c>
      <c r="Q5273">
        <v>7.7320760000000002E-2</v>
      </c>
      <c r="R5273">
        <v>0.99600789999999995</v>
      </c>
      <c r="S5273">
        <v>-0.26747130000000002</v>
      </c>
      <c r="T5273">
        <v>-0.30074240000000002</v>
      </c>
      <c r="U5273">
        <v>3.024597</v>
      </c>
      <c r="V5273">
        <v>7.2597040000000002E-2</v>
      </c>
      <c r="W5273">
        <v>8.9573169999999994E-2</v>
      </c>
      <c r="X5273">
        <v>0.99333090000000002</v>
      </c>
      <c r="Y5273">
        <v>3.0209739999999999E-2</v>
      </c>
      <c r="Z5273">
        <v>-9.7705680000000003E-2</v>
      </c>
      <c r="AA5273">
        <v>0.9947568</v>
      </c>
      <c r="AB5273">
        <v>35</v>
      </c>
      <c r="AC5273">
        <v>2.1000000000128598E-3</v>
      </c>
      <c r="AD5273">
        <v>-8.9671000000000001E-2</v>
      </c>
      <c r="AE5273">
        <v>0.2283</v>
      </c>
      <c r="AF5273">
        <v>2.5090177922270401E-2</v>
      </c>
      <c r="AG5273">
        <v>-8.9671000000000001E-2</v>
      </c>
      <c r="AH5273">
        <v>0.19619952546963401</v>
      </c>
      <c r="AI5273">
        <v>114.38706598200901</v>
      </c>
      <c r="AJ5273">
        <v>82.712515987159804</v>
      </c>
      <c r="AK5273">
        <v>0.21717425967107801</v>
      </c>
      <c r="AL5273">
        <v>84.860947539471297</v>
      </c>
      <c r="AM5273">
        <v>85.820001299801504</v>
      </c>
      <c r="AN5273">
        <v>0.99999997994770995</v>
      </c>
    </row>
    <row r="5274" spans="1:40" x14ac:dyDescent="0.25">
      <c r="A5274" t="str">
        <f>"20190312164413136"</f>
        <v>20190312164413136</v>
      </c>
      <c r="B5274" t="str">
        <f>"1552380253130365"</f>
        <v>1552380253130365</v>
      </c>
      <c r="C5274" t="s">
        <v>40</v>
      </c>
      <c r="D5274">
        <v>4.9404779999999997</v>
      </c>
      <c r="E5274">
        <v>0.49091610000000002</v>
      </c>
      <c r="F5274" t="s">
        <v>41</v>
      </c>
      <c r="G5274">
        <v>-186.7953</v>
      </c>
      <c r="H5274">
        <v>1.023482</v>
      </c>
      <c r="I5274">
        <v>-29.368030000000001</v>
      </c>
      <c r="J5274">
        <v>-186.76669999999999</v>
      </c>
      <c r="K5274">
        <v>1.111075</v>
      </c>
      <c r="L5274">
        <v>-29.856839999999998</v>
      </c>
      <c r="M5274">
        <v>-0.11848880000000001</v>
      </c>
      <c r="N5274">
        <v>0</v>
      </c>
      <c r="O5274">
        <v>0.99288290000000001</v>
      </c>
      <c r="P5274">
        <v>-4.2616029999999999E-2</v>
      </c>
      <c r="Q5274">
        <v>7.6450729999999995E-2</v>
      </c>
      <c r="R5274">
        <v>0.9961622</v>
      </c>
      <c r="S5274">
        <v>-0.2576447</v>
      </c>
      <c r="T5274">
        <v>-0.31521369999999999</v>
      </c>
      <c r="U5274">
        <v>3.0249630000000001</v>
      </c>
      <c r="V5274">
        <v>7.5441430000000004E-2</v>
      </c>
      <c r="W5274">
        <v>8.8619459999999997E-2</v>
      </c>
      <c r="X5274">
        <v>0.99320450000000005</v>
      </c>
      <c r="Y5274">
        <v>3.4250750000000003E-2</v>
      </c>
      <c r="Z5274">
        <v>-0.1023391</v>
      </c>
      <c r="AA5274">
        <v>0.99415980000000004</v>
      </c>
      <c r="AB5274">
        <v>35</v>
      </c>
      <c r="AC5274">
        <v>-2.8600000000011502E-2</v>
      </c>
      <c r="AD5274">
        <v>-8.7593000000000004E-2</v>
      </c>
      <c r="AE5274">
        <v>0.48881000000000402</v>
      </c>
      <c r="AF5274">
        <v>2.8608655944342799E-2</v>
      </c>
      <c r="AG5274">
        <v>-8.7593000000000004E-2</v>
      </c>
      <c r="AH5274">
        <v>0.47359902746188898</v>
      </c>
      <c r="AI5274">
        <v>100.459903969945</v>
      </c>
      <c r="AJ5274">
        <v>86.543139353336002</v>
      </c>
      <c r="AK5274">
        <v>0.48248008006215998</v>
      </c>
      <c r="AL5274">
        <v>84.915809379168707</v>
      </c>
      <c r="AM5274">
        <v>85.656291050305398</v>
      </c>
      <c r="AN5274">
        <v>0.99999999843569298</v>
      </c>
    </row>
    <row r="5275" spans="1:40" x14ac:dyDescent="0.25">
      <c r="A5275" t="str">
        <f>"20190312164413158"</f>
        <v>20190312164413158</v>
      </c>
      <c r="B5275" t="str">
        <f>"1552380253149884"</f>
        <v>1552380253149884</v>
      </c>
      <c r="C5275" t="s">
        <v>40</v>
      </c>
      <c r="D5275">
        <v>4.9425679999999996</v>
      </c>
      <c r="E5275">
        <v>0.49079089999999997</v>
      </c>
      <c r="F5275" t="s">
        <v>41</v>
      </c>
      <c r="G5275">
        <v>-186.8339</v>
      </c>
      <c r="H5275">
        <v>1.025965</v>
      </c>
      <c r="I5275">
        <v>-29.059660000000001</v>
      </c>
      <c r="J5275">
        <v>-186.80799999999999</v>
      </c>
      <c r="K5275">
        <v>1.110811</v>
      </c>
      <c r="L5275">
        <v>-29.517610000000001</v>
      </c>
      <c r="M5275">
        <v>-0.11902980000000001</v>
      </c>
      <c r="N5275">
        <v>0</v>
      </c>
      <c r="O5275">
        <v>0.99281850000000005</v>
      </c>
      <c r="P5275">
        <v>-4.0543049999999997E-2</v>
      </c>
      <c r="Q5275">
        <v>7.6374699999999907E-2</v>
      </c>
      <c r="R5275">
        <v>0.99625459999999999</v>
      </c>
      <c r="S5275">
        <v>-0.25491329999999901</v>
      </c>
      <c r="T5275">
        <v>-0.32300400000000001</v>
      </c>
      <c r="U5275">
        <v>3.025452</v>
      </c>
      <c r="V5275">
        <v>7.8110089999999993E-2</v>
      </c>
      <c r="W5275">
        <v>8.8467489999999996E-2</v>
      </c>
      <c r="X5275">
        <v>0.99301170000000005</v>
      </c>
      <c r="Y5275">
        <v>3.5721749999999997E-2</v>
      </c>
      <c r="Z5275">
        <v>-0.1048147</v>
      </c>
      <c r="AA5275">
        <v>0.99385000000000001</v>
      </c>
      <c r="AB5275">
        <v>35</v>
      </c>
      <c r="AC5275">
        <v>-2.5900000000007101E-2</v>
      </c>
      <c r="AD5275">
        <v>-8.4845999999999894E-2</v>
      </c>
      <c r="AE5275">
        <v>0.45795000000000002</v>
      </c>
      <c r="AF5275">
        <v>2.7844994405313E-2</v>
      </c>
      <c r="AG5275">
        <v>-8.4845999999999894E-2</v>
      </c>
      <c r="AH5275">
        <v>0.442631469404075</v>
      </c>
      <c r="AI5275">
        <v>100.830240304035</v>
      </c>
      <c r="AJ5275">
        <v>86.400389018415098</v>
      </c>
      <c r="AK5275">
        <v>0.451549338540367</v>
      </c>
      <c r="AL5275">
        <v>84.924550755555003</v>
      </c>
      <c r="AM5275">
        <v>85.502386983392995</v>
      </c>
      <c r="AN5275">
        <v>0.999999959641798</v>
      </c>
    </row>
    <row r="5276" spans="1:40" x14ac:dyDescent="0.25">
      <c r="A5276" t="str">
        <f>"20190312164413179"</f>
        <v>20190312164413179</v>
      </c>
      <c r="B5276" t="str">
        <f>"1552380253170381"</f>
        <v>1552380253170381</v>
      </c>
      <c r="C5276" t="s">
        <v>40</v>
      </c>
      <c r="D5276">
        <v>5.0333189999999997</v>
      </c>
      <c r="E5276">
        <v>0.49074190000000001</v>
      </c>
      <c r="F5276" t="s">
        <v>41</v>
      </c>
      <c r="G5276">
        <v>-186.87129999999999</v>
      </c>
      <c r="H5276">
        <v>1.028267</v>
      </c>
      <c r="I5276">
        <v>-28.75112</v>
      </c>
      <c r="J5276">
        <v>-186.84800000000001</v>
      </c>
      <c r="K5276">
        <v>1.1105849999999999</v>
      </c>
      <c r="L5276">
        <v>-29.189</v>
      </c>
      <c r="M5276">
        <v>-0.119366</v>
      </c>
      <c r="N5276">
        <v>0</v>
      </c>
      <c r="O5276">
        <v>0.99277850000000001</v>
      </c>
      <c r="P5276">
        <v>-3.814298E-2</v>
      </c>
      <c r="Q5276">
        <v>7.6717729999999998E-2</v>
      </c>
      <c r="R5276">
        <v>0.99632299999999996</v>
      </c>
      <c r="S5276">
        <v>-0.25056460000000003</v>
      </c>
      <c r="T5276">
        <v>-0.32586279999999901</v>
      </c>
      <c r="U5276">
        <v>3.026062</v>
      </c>
      <c r="V5276">
        <v>8.0888779999999993E-2</v>
      </c>
      <c r="W5276">
        <v>8.8740109999999997E-2</v>
      </c>
      <c r="X5276">
        <v>0.99276489999999995</v>
      </c>
      <c r="Y5276">
        <v>3.7503160000000001E-2</v>
      </c>
      <c r="Z5276">
        <v>-0.1057071</v>
      </c>
      <c r="AA5276">
        <v>0.99368979999999996</v>
      </c>
      <c r="AB5276">
        <v>35</v>
      </c>
      <c r="AC5276">
        <v>-2.3300000000006E-2</v>
      </c>
      <c r="AD5276">
        <v>-8.2317999999999794E-2</v>
      </c>
      <c r="AE5276">
        <v>0.43787999999999899</v>
      </c>
      <c r="AF5276">
        <v>2.8146407795362299E-2</v>
      </c>
      <c r="AG5276">
        <v>-8.2317999999999794E-2</v>
      </c>
      <c r="AH5276">
        <v>0.42263604762232598</v>
      </c>
      <c r="AI5276">
        <v>100.997900879935</v>
      </c>
      <c r="AJ5276">
        <v>86.189883615834404</v>
      </c>
      <c r="AK5276">
        <v>0.43149704766730801</v>
      </c>
      <c r="AL5276">
        <v>84.908869177348095</v>
      </c>
      <c r="AM5276">
        <v>85.3419279110649</v>
      </c>
      <c r="AN5276">
        <v>0.99999997426235399</v>
      </c>
    </row>
    <row r="5277" spans="1:40" x14ac:dyDescent="0.25">
      <c r="A5277" t="str">
        <f>"20190312164413201"</f>
        <v>20190312164413201</v>
      </c>
      <c r="B5277" t="str">
        <f>"1552380253189902"</f>
        <v>1552380253189902</v>
      </c>
      <c r="C5277" t="s">
        <v>40</v>
      </c>
      <c r="D5277">
        <v>5.2203970000000002</v>
      </c>
      <c r="E5277">
        <v>0.49103790000000003</v>
      </c>
      <c r="F5277" t="s">
        <v>41</v>
      </c>
      <c r="G5277">
        <v>-186.9083</v>
      </c>
      <c r="H5277">
        <v>1.0297339999999999</v>
      </c>
      <c r="I5277">
        <v>-28.442830000000001</v>
      </c>
      <c r="J5277">
        <v>-186.8878</v>
      </c>
      <c r="K5277">
        <v>1.110385</v>
      </c>
      <c r="L5277">
        <v>-28.86139</v>
      </c>
      <c r="M5277">
        <v>-0.1195553</v>
      </c>
      <c r="N5277">
        <v>0</v>
      </c>
      <c r="O5277">
        <v>0.99275599999999997</v>
      </c>
      <c r="P5277">
        <v>-3.5620260000000001E-2</v>
      </c>
      <c r="Q5277">
        <v>7.7674309999999996E-2</v>
      </c>
      <c r="R5277">
        <v>0.99634219999999896</v>
      </c>
      <c r="S5277">
        <v>-0.24447630000000001</v>
      </c>
      <c r="T5277">
        <v>-0.3279878</v>
      </c>
      <c r="U5277">
        <v>3.0269780000000002</v>
      </c>
      <c r="V5277">
        <v>8.3629159999999994E-2</v>
      </c>
      <c r="W5277">
        <v>8.963206E-2</v>
      </c>
      <c r="X5277">
        <v>0.9924577</v>
      </c>
      <c r="Y5277">
        <v>3.9709229999999998E-2</v>
      </c>
      <c r="Z5277">
        <v>-0.1063572</v>
      </c>
      <c r="AA5277">
        <v>0.99353469999999999</v>
      </c>
      <c r="AB5277">
        <v>35</v>
      </c>
      <c r="AC5277">
        <v>-2.0499999999998401E-2</v>
      </c>
      <c r="AD5277">
        <v>-8.0651E-2</v>
      </c>
      <c r="AE5277">
        <v>0.41856000000000598</v>
      </c>
      <c r="AF5277">
        <v>2.86311960383312E-2</v>
      </c>
      <c r="AG5277">
        <v>-8.0651E-2</v>
      </c>
      <c r="AH5277">
        <v>0.40307874525863302</v>
      </c>
      <c r="AI5277">
        <v>101.287044924105</v>
      </c>
      <c r="AJ5277">
        <v>85.937031881039999</v>
      </c>
      <c r="AK5277">
        <v>0.41206407762247299</v>
      </c>
      <c r="AL5277">
        <v>84.857559941774895</v>
      </c>
      <c r="AM5277">
        <v>85.183366500007395</v>
      </c>
      <c r="AN5277">
        <v>1.00000001443571</v>
      </c>
    </row>
    <row r="5278" spans="1:40" x14ac:dyDescent="0.25">
      <c r="A5278" t="str">
        <f>"20190312164413226"</f>
        <v>20190312164413226</v>
      </c>
      <c r="B5278" t="str">
        <f>"1552380253220157"</f>
        <v>1552380253220157</v>
      </c>
      <c r="C5278" t="s">
        <v>40</v>
      </c>
      <c r="D5278">
        <v>4.9909629999999998</v>
      </c>
      <c r="E5278">
        <v>0.49120550000000002</v>
      </c>
      <c r="F5278" t="s">
        <v>41</v>
      </c>
      <c r="G5278">
        <v>-186.9443</v>
      </c>
      <c r="H5278">
        <v>1.0315749999999999</v>
      </c>
      <c r="I5278">
        <v>-28.134150000000002</v>
      </c>
      <c r="J5278">
        <v>-186.93360000000001</v>
      </c>
      <c r="K5278">
        <v>1.110196</v>
      </c>
      <c r="L5278">
        <v>-28.48349</v>
      </c>
      <c r="M5278">
        <v>-0.119608199999999</v>
      </c>
      <c r="N5278">
        <v>0</v>
      </c>
      <c r="O5278">
        <v>0.99274989999999996</v>
      </c>
      <c r="P5278">
        <v>-3.309745E-2</v>
      </c>
      <c r="Q5278">
        <v>7.9194490000000006E-2</v>
      </c>
      <c r="R5278">
        <v>0.99630960000000002</v>
      </c>
      <c r="S5278">
        <v>-0.23574829999999999</v>
      </c>
      <c r="T5278">
        <v>-0.3281404</v>
      </c>
      <c r="U5278">
        <v>3.028168</v>
      </c>
      <c r="V5278">
        <v>8.6225709999999997E-2</v>
      </c>
      <c r="W5278">
        <v>9.1085200000000005E-2</v>
      </c>
      <c r="X5278">
        <v>0.99210310000000002</v>
      </c>
      <c r="Y5278">
        <v>4.2639349999999999E-2</v>
      </c>
      <c r="Z5278">
        <v>-0.1063692</v>
      </c>
      <c r="AA5278">
        <v>0.99341199999999996</v>
      </c>
      <c r="AB5278">
        <v>35</v>
      </c>
      <c r="AC5278">
        <v>-1.06999999999857E-2</v>
      </c>
      <c r="AD5278">
        <v>-7.8620999999999996E-2</v>
      </c>
      <c r="AE5278">
        <v>0.34934000000000098</v>
      </c>
      <c r="AF5278">
        <v>2.9662698660899101E-2</v>
      </c>
      <c r="AG5278">
        <v>-7.8620999999999996E-2</v>
      </c>
      <c r="AH5278">
        <v>0.33134476710202199</v>
      </c>
      <c r="AI5278">
        <v>103.29693002809501</v>
      </c>
      <c r="AJ5278">
        <v>84.8843949343226</v>
      </c>
      <c r="AK5278">
        <v>0.34183401237843603</v>
      </c>
      <c r="AL5278">
        <v>84.773958947441699</v>
      </c>
      <c r="AM5278">
        <v>85.0327884448742</v>
      </c>
      <c r="AN5278">
        <v>0.99999997387682604</v>
      </c>
    </row>
    <row r="5279" spans="1:40" x14ac:dyDescent="0.25">
      <c r="A5279" t="str">
        <f>"20190312164413246"</f>
        <v>20190312164413246</v>
      </c>
      <c r="B5279" t="str">
        <f>"1552380253240652"</f>
        <v>1552380253240652</v>
      </c>
      <c r="C5279" t="s">
        <v>40</v>
      </c>
      <c r="D5279">
        <v>5.0323229999999999</v>
      </c>
      <c r="E5279">
        <v>0.4912203</v>
      </c>
      <c r="F5279" t="s">
        <v>41</v>
      </c>
      <c r="G5279">
        <v>-187.00530000000001</v>
      </c>
      <c r="H5279">
        <v>1.0074289999999999</v>
      </c>
      <c r="I5279">
        <v>-27.52901</v>
      </c>
      <c r="J5279">
        <v>-186.97229999999999</v>
      </c>
      <c r="K5279">
        <v>1.11006</v>
      </c>
      <c r="L5279">
        <v>-28.163540000000001</v>
      </c>
      <c r="M5279">
        <v>-0.1195422</v>
      </c>
      <c r="N5279">
        <v>0</v>
      </c>
      <c r="O5279">
        <v>0.99275809999999998</v>
      </c>
      <c r="P5279">
        <v>-3.058485E-2</v>
      </c>
      <c r="Q5279">
        <v>8.104799E-2</v>
      </c>
      <c r="R5279">
        <v>0.99624089999999998</v>
      </c>
      <c r="S5279">
        <v>-0.22772220000000001</v>
      </c>
      <c r="T5279">
        <v>-0.32616879999999998</v>
      </c>
      <c r="U5279">
        <v>3.02948</v>
      </c>
      <c r="V5279">
        <v>8.8677649999999997E-2</v>
      </c>
      <c r="W5279">
        <v>9.2887129999999998E-2</v>
      </c>
      <c r="X5279">
        <v>0.99171980000000004</v>
      </c>
      <c r="Y5279">
        <v>4.5217279999999999E-2</v>
      </c>
      <c r="Z5279">
        <v>-0.1056979</v>
      </c>
      <c r="AA5279">
        <v>0.99336970000000002</v>
      </c>
      <c r="AB5279">
        <v>35</v>
      </c>
      <c r="AC5279">
        <v>-3.3000000000015399E-2</v>
      </c>
      <c r="AD5279">
        <v>-0.102630999999999</v>
      </c>
      <c r="AE5279">
        <v>0.63453000000000503</v>
      </c>
      <c r="AF5279">
        <v>4.1999356073675401E-2</v>
      </c>
      <c r="AG5279">
        <v>-0.102630999999999</v>
      </c>
      <c r="AH5279">
        <v>0.61780562960056695</v>
      </c>
      <c r="AI5279">
        <v>99.410615628436304</v>
      </c>
      <c r="AJ5279">
        <v>86.110930444413597</v>
      </c>
      <c r="AK5279">
        <v>0.62767894981252603</v>
      </c>
      <c r="AL5279">
        <v>84.670276250750803</v>
      </c>
      <c r="AM5279">
        <v>84.890312563319199</v>
      </c>
      <c r="AN5279">
        <v>0.99999995312059797</v>
      </c>
    </row>
    <row r="5280" spans="1:40" x14ac:dyDescent="0.25">
      <c r="A5280" t="str">
        <f>"20190312164413267"</f>
        <v>20190312164413267</v>
      </c>
      <c r="B5280" t="str">
        <f>"1552380253260172"</f>
        <v>1552380253260172</v>
      </c>
      <c r="C5280" t="s">
        <v>40</v>
      </c>
      <c r="D5280">
        <v>5.0512680000000003</v>
      </c>
      <c r="E5280">
        <v>0.49126940000000002</v>
      </c>
      <c r="F5280" t="s">
        <v>41</v>
      </c>
      <c r="G5280">
        <v>-187.0411</v>
      </c>
      <c r="H5280">
        <v>1.0101180000000001</v>
      </c>
      <c r="I5280">
        <v>-27.219580000000001</v>
      </c>
      <c r="J5280">
        <v>-187.01300000000001</v>
      </c>
      <c r="K5280">
        <v>1.109937</v>
      </c>
      <c r="L5280">
        <v>-27.825130000000001</v>
      </c>
      <c r="M5280">
        <v>-0.1193805</v>
      </c>
      <c r="N5280">
        <v>0</v>
      </c>
      <c r="O5280">
        <v>0.99277780000000004</v>
      </c>
      <c r="P5280">
        <v>-2.8467429999999998E-2</v>
      </c>
      <c r="Q5280">
        <v>8.2553940000000006E-2</v>
      </c>
      <c r="R5280">
        <v>0.99617990000000001</v>
      </c>
      <c r="S5280">
        <v>-0.2210693</v>
      </c>
      <c r="T5280">
        <v>-0.32086550000000003</v>
      </c>
      <c r="U5280">
        <v>3.03064</v>
      </c>
      <c r="V5280">
        <v>9.0640479999999995E-2</v>
      </c>
      <c r="W5280">
        <v>9.4344590000000006E-2</v>
      </c>
      <c r="X5280">
        <v>0.99140479999999997</v>
      </c>
      <c r="Y5280">
        <v>4.7238120000000001E-2</v>
      </c>
      <c r="Z5280">
        <v>-0.1039655</v>
      </c>
      <c r="AA5280">
        <v>0.99345839999999996</v>
      </c>
      <c r="AB5280">
        <v>35</v>
      </c>
      <c r="AC5280">
        <v>-2.80999999999949E-2</v>
      </c>
      <c r="AD5280">
        <v>-9.9819000000000102E-2</v>
      </c>
      <c r="AE5280">
        <v>0.60554999999999704</v>
      </c>
      <c r="AF5280">
        <v>4.3224928344930399E-2</v>
      </c>
      <c r="AG5280">
        <v>-9.9819000000000102E-2</v>
      </c>
      <c r="AH5280">
        <v>0.58861404129824701</v>
      </c>
      <c r="AI5280">
        <v>99.599462767919604</v>
      </c>
      <c r="AJ5280">
        <v>85.800017898728697</v>
      </c>
      <c r="AK5280">
        <v>0.59858058505507805</v>
      </c>
      <c r="AL5280">
        <v>84.586402047888797</v>
      </c>
      <c r="AM5280">
        <v>84.776181047832694</v>
      </c>
      <c r="AN5280">
        <v>1.0000000378699601</v>
      </c>
    </row>
    <row r="5281" spans="1:40" x14ac:dyDescent="0.25">
      <c r="A5281" t="str">
        <f>"20190312164413293"</f>
        <v>20190312164413293</v>
      </c>
      <c r="B5281" t="str">
        <f>"1552380253280668"</f>
        <v>1552380253280668</v>
      </c>
      <c r="C5281" t="s">
        <v>40</v>
      </c>
      <c r="D5281">
        <v>5.0502890000000003</v>
      </c>
      <c r="E5281">
        <v>0.49130230000000003</v>
      </c>
      <c r="F5281" t="s">
        <v>41</v>
      </c>
      <c r="G5281">
        <v>-187.0778</v>
      </c>
      <c r="H5281">
        <v>1.0140070000000001</v>
      </c>
      <c r="I5281">
        <v>-26.909569999999999</v>
      </c>
      <c r="J5281">
        <v>-187.0582</v>
      </c>
      <c r="K5281">
        <v>1.1098030000000001</v>
      </c>
      <c r="L5281">
        <v>-27.448730000000001</v>
      </c>
      <c r="M5281">
        <v>-0.1190935</v>
      </c>
      <c r="N5281">
        <v>0</v>
      </c>
      <c r="O5281">
        <v>0.99281249999999999</v>
      </c>
      <c r="P5281">
        <v>-2.704018E-2</v>
      </c>
      <c r="Q5281">
        <v>8.312543E-2</v>
      </c>
      <c r="R5281">
        <v>0.99617219999999995</v>
      </c>
      <c r="S5281">
        <v>-0.21473690000000001</v>
      </c>
      <c r="T5281">
        <v>-0.31764109999999901</v>
      </c>
      <c r="U5281">
        <v>3.0316770000000002</v>
      </c>
      <c r="V5281">
        <v>9.1801519999999998E-2</v>
      </c>
      <c r="W5281">
        <v>9.4865340000000006E-2</v>
      </c>
      <c r="X5281">
        <v>0.99124829999999997</v>
      </c>
      <c r="Y5281">
        <v>4.9030459999999998E-2</v>
      </c>
      <c r="Z5281">
        <v>-0.1029057</v>
      </c>
      <c r="AA5281">
        <v>0.99348199999999998</v>
      </c>
      <c r="AB5281">
        <v>35</v>
      </c>
      <c r="AC5281">
        <v>-1.9599999999996901E-2</v>
      </c>
      <c r="AD5281">
        <v>-9.57960000000002E-2</v>
      </c>
      <c r="AE5281">
        <v>0.53915999999999498</v>
      </c>
      <c r="AF5281">
        <v>4.3386601597598502E-2</v>
      </c>
      <c r="AG5281">
        <v>-9.57960000000002E-2</v>
      </c>
      <c r="AH5281">
        <v>0.52122392969105502</v>
      </c>
      <c r="AI5281">
        <v>100.379085477915</v>
      </c>
      <c r="AJ5281">
        <v>85.241677625340401</v>
      </c>
      <c r="AK5281">
        <v>0.53172704999536602</v>
      </c>
      <c r="AL5281">
        <v>84.556431033948698</v>
      </c>
      <c r="AM5281">
        <v>84.708814427143693</v>
      </c>
      <c r="AN5281">
        <v>1.00000007203025</v>
      </c>
    </row>
    <row r="5282" spans="1:40" x14ac:dyDescent="0.25">
      <c r="A5282" t="str">
        <f>"20190312164413316"</f>
        <v>20190312164413316</v>
      </c>
      <c r="B5282" t="str">
        <f>"1552380253309949"</f>
        <v>1552380253309949</v>
      </c>
      <c r="C5282" t="s">
        <v>40</v>
      </c>
      <c r="D5282">
        <v>5.0815599999999996</v>
      </c>
      <c r="E5282">
        <v>0.49135790000000001</v>
      </c>
      <c r="F5282" t="s">
        <v>41</v>
      </c>
      <c r="G5282">
        <v>-187.11689999999999</v>
      </c>
      <c r="H5282">
        <v>1.0206059999999999</v>
      </c>
      <c r="I5282">
        <v>-26.59834</v>
      </c>
      <c r="J5282">
        <v>-187.10220000000001</v>
      </c>
      <c r="K5282">
        <v>1.1096520000000001</v>
      </c>
      <c r="L5282">
        <v>-27.079409999999999</v>
      </c>
      <c r="M5282">
        <v>-0.1186902</v>
      </c>
      <c r="N5282">
        <v>0</v>
      </c>
      <c r="O5282">
        <v>0.99286099999999999</v>
      </c>
      <c r="P5282">
        <v>-2.6206549999999999E-2</v>
      </c>
      <c r="Q5282">
        <v>8.2143809999999998E-2</v>
      </c>
      <c r="R5282">
        <v>0.99627580000000004</v>
      </c>
      <c r="S5282">
        <v>-0.20913699999999999</v>
      </c>
      <c r="T5282">
        <v>-0.31807099999999999</v>
      </c>
      <c r="U5282">
        <v>3.0323790000000002</v>
      </c>
      <c r="V5282">
        <v>9.2270500000000005E-2</v>
      </c>
      <c r="W5282">
        <v>9.3831899999999996E-2</v>
      </c>
      <c r="X5282">
        <v>0.99130300000000005</v>
      </c>
      <c r="Y5282">
        <v>5.046751E-2</v>
      </c>
      <c r="Z5282">
        <v>-0.1030302</v>
      </c>
      <c r="AA5282">
        <v>0.99339710000000003</v>
      </c>
      <c r="AB5282">
        <v>35</v>
      </c>
      <c r="AC5282">
        <v>-1.46999999999764E-2</v>
      </c>
      <c r="AD5282">
        <v>-8.9046000000000097E-2</v>
      </c>
      <c r="AE5282">
        <v>0.481069999999995</v>
      </c>
      <c r="AF5282">
        <v>4.1099374573561297E-2</v>
      </c>
      <c r="AG5282">
        <v>-8.9046000000000097E-2</v>
      </c>
      <c r="AH5282">
        <v>0.46354666398290401</v>
      </c>
      <c r="AI5282">
        <v>100.832411601876</v>
      </c>
      <c r="AJ5282">
        <v>84.933241178102307</v>
      </c>
      <c r="AK5282">
        <v>0.47380782855079301</v>
      </c>
      <c r="AL5282">
        <v>84.615907460684397</v>
      </c>
      <c r="AM5282">
        <v>84.682230076525897</v>
      </c>
      <c r="AN5282">
        <v>0.99999995421842802</v>
      </c>
    </row>
    <row r="5283" spans="1:40" x14ac:dyDescent="0.25">
      <c r="A5283" t="str">
        <f>"20190312164413358"</f>
        <v>20190312164413358</v>
      </c>
      <c r="B5283" t="str">
        <f>"1552380253349965"</f>
        <v>1552380253349965</v>
      </c>
      <c r="C5283" t="s">
        <v>40</v>
      </c>
      <c r="D5283">
        <v>5.063123</v>
      </c>
      <c r="E5283">
        <v>0.49115039999999999</v>
      </c>
      <c r="F5283" t="s">
        <v>41</v>
      </c>
      <c r="G5283">
        <v>-187.15559999999999</v>
      </c>
      <c r="H5283">
        <v>1.02501</v>
      </c>
      <c r="I5283">
        <v>-26.288029999999999</v>
      </c>
      <c r="J5283">
        <v>-187.17850000000001</v>
      </c>
      <c r="K5283">
        <v>1.1093440000000001</v>
      </c>
      <c r="L5283">
        <v>-26.432770000000001</v>
      </c>
      <c r="M5283">
        <v>-0.1175664</v>
      </c>
      <c r="N5283">
        <v>0</v>
      </c>
      <c r="O5283">
        <v>0.99299519999999997</v>
      </c>
      <c r="P5283">
        <v>-2.5025370000000002E-2</v>
      </c>
      <c r="Q5283">
        <v>8.0424129999999996E-2</v>
      </c>
      <c r="R5283">
        <v>0.99644650000000001</v>
      </c>
      <c r="S5283">
        <v>-0.2046356</v>
      </c>
      <c r="T5283">
        <v>-0.3243415</v>
      </c>
      <c r="U5283">
        <v>3.032562</v>
      </c>
      <c r="V5283">
        <v>9.2405009999999996E-2</v>
      </c>
      <c r="W5283">
        <v>9.2005920000000005E-2</v>
      </c>
      <c r="X5283">
        <v>0.99146160000000005</v>
      </c>
      <c r="Y5283">
        <v>5.0823189999999997E-2</v>
      </c>
      <c r="Z5283">
        <v>-0.1050579</v>
      </c>
      <c r="AA5283">
        <v>0.99316660000000001</v>
      </c>
      <c r="AB5283">
        <v>35</v>
      </c>
      <c r="AC5283">
        <v>2.2900000000021199E-2</v>
      </c>
      <c r="AD5283">
        <v>-8.4334000000000103E-2</v>
      </c>
      <c r="AE5283">
        <v>0.14474000000000201</v>
      </c>
      <c r="AF5283">
        <v>2.98669584498426E-2</v>
      </c>
      <c r="AG5283">
        <v>-8.4334000000000103E-2</v>
      </c>
      <c r="AH5283">
        <v>0.10595221598490601</v>
      </c>
      <c r="AI5283">
        <v>127.455943625746</v>
      </c>
      <c r="AJ5283">
        <v>74.257342291261196</v>
      </c>
      <c r="AK5283">
        <v>0.13867274726909001</v>
      </c>
      <c r="AL5283">
        <v>84.720982941874595</v>
      </c>
      <c r="AM5283">
        <v>84.675369479551804</v>
      </c>
      <c r="AN5283">
        <v>0.99999993973135104</v>
      </c>
    </row>
    <row r="5284" spans="1:40" x14ac:dyDescent="0.25">
      <c r="A5284" t="str">
        <f>"20190312164413381"</f>
        <v>20190312164413381</v>
      </c>
      <c r="B5284" t="str">
        <f>"1552380253370463"</f>
        <v>1552380253370463</v>
      </c>
      <c r="C5284" t="s">
        <v>40</v>
      </c>
      <c r="D5284">
        <v>5.34321</v>
      </c>
      <c r="E5284">
        <v>0.49109750000000002</v>
      </c>
      <c r="F5284" t="s">
        <v>41</v>
      </c>
      <c r="G5284">
        <v>-187.22919999999999</v>
      </c>
      <c r="H5284">
        <v>1.025828</v>
      </c>
      <c r="I5284">
        <v>-25.67052</v>
      </c>
      <c r="J5284">
        <v>-187.21889999999999</v>
      </c>
      <c r="K5284">
        <v>1.1091709999999999</v>
      </c>
      <c r="L5284">
        <v>-26.085540000000002</v>
      </c>
      <c r="M5284">
        <v>-0.1167252</v>
      </c>
      <c r="N5284">
        <v>0</v>
      </c>
      <c r="O5284">
        <v>0.9930947</v>
      </c>
      <c r="P5284">
        <v>-2.476097E-2</v>
      </c>
      <c r="Q5284">
        <v>7.9000749999999995E-2</v>
      </c>
      <c r="R5284">
        <v>0.99656699999999998</v>
      </c>
      <c r="S5284">
        <v>-0.20239260000000001</v>
      </c>
      <c r="T5284">
        <v>-0.33216879999999999</v>
      </c>
      <c r="U5284">
        <v>3.0324399999999998</v>
      </c>
      <c r="V5284">
        <v>9.187642E-2</v>
      </c>
      <c r="W5284">
        <v>9.0527239999999995E-2</v>
      </c>
      <c r="X5284">
        <v>0.9916469</v>
      </c>
      <c r="Y5284">
        <v>5.0723900000000002E-2</v>
      </c>
      <c r="Z5284">
        <v>-0.1075871</v>
      </c>
      <c r="AA5284">
        <v>0.99290080000000003</v>
      </c>
      <c r="AB5284">
        <v>35</v>
      </c>
      <c r="AC5284">
        <v>-1.03000000000008E-2</v>
      </c>
      <c r="AD5284">
        <v>-8.3342999999999903E-2</v>
      </c>
      <c r="AE5284">
        <v>0.415019999999998</v>
      </c>
      <c r="AF5284">
        <v>3.6736482112813898E-2</v>
      </c>
      <c r="AG5284">
        <v>-8.3342999999999903E-2</v>
      </c>
      <c r="AH5284">
        <v>0.39736995415479598</v>
      </c>
      <c r="AI5284">
        <v>101.796435360545</v>
      </c>
      <c r="AJ5284">
        <v>84.7180723241283</v>
      </c>
      <c r="AK5284">
        <v>0.40767450893085</v>
      </c>
      <c r="AL5284">
        <v>84.806060545520694</v>
      </c>
      <c r="AM5284">
        <v>84.706638394855304</v>
      </c>
      <c r="AN5284">
        <v>1.0000000160068201</v>
      </c>
    </row>
    <row r="5285" spans="1:40" x14ac:dyDescent="0.25">
      <c r="A5285" t="str">
        <f>"20190312164413404"</f>
        <v>20190312164413404</v>
      </c>
      <c r="B5285" t="str">
        <f>"1552380253400718"</f>
        <v>1552380253400718</v>
      </c>
      <c r="C5285" t="s">
        <v>40</v>
      </c>
      <c r="D5285">
        <v>5.1430889999999998</v>
      </c>
      <c r="E5285">
        <v>0.49094169999999998</v>
      </c>
      <c r="F5285" t="s">
        <v>41</v>
      </c>
      <c r="G5285">
        <v>-187.2671</v>
      </c>
      <c r="H5285">
        <v>1.029175</v>
      </c>
      <c r="I5285">
        <v>-25.360209999999999</v>
      </c>
      <c r="J5285">
        <v>-187.25890000000001</v>
      </c>
      <c r="K5285">
        <v>1.108976</v>
      </c>
      <c r="L5285">
        <v>-25.735959999999999</v>
      </c>
      <c r="M5285">
        <v>-0.115637</v>
      </c>
      <c r="N5285">
        <v>0</v>
      </c>
      <c r="O5285">
        <v>0.99322220000000006</v>
      </c>
      <c r="P5285">
        <v>-2.4625020000000001E-2</v>
      </c>
      <c r="Q5285">
        <v>7.7475020000000006E-2</v>
      </c>
      <c r="R5285">
        <v>0.99669019999999997</v>
      </c>
      <c r="S5285">
        <v>-0.20182800000000001</v>
      </c>
      <c r="T5285">
        <v>-0.33434380000000002</v>
      </c>
      <c r="U5285">
        <v>3.0318299999999998</v>
      </c>
      <c r="V5285">
        <v>9.0975329999999993E-2</v>
      </c>
      <c r="W5285">
        <v>8.8946250000000004E-2</v>
      </c>
      <c r="X5285">
        <v>0.991873</v>
      </c>
      <c r="Y5285">
        <v>4.9805639999999998E-2</v>
      </c>
      <c r="Z5285">
        <v>-0.1083286</v>
      </c>
      <c r="AA5285">
        <v>0.99286669999999999</v>
      </c>
      <c r="AB5285">
        <v>35</v>
      </c>
      <c r="AC5285">
        <v>-8.1999999999879895E-3</v>
      </c>
      <c r="AD5285">
        <v>-7.9800999999999997E-2</v>
      </c>
      <c r="AE5285">
        <v>0.37574999999999997</v>
      </c>
      <c r="AF5285">
        <v>3.3785465609299299E-2</v>
      </c>
      <c r="AG5285">
        <v>-7.9800999999999997E-2</v>
      </c>
      <c r="AH5285">
        <v>0.35803593594395899</v>
      </c>
      <c r="AI5285">
        <v>102.51119648370501</v>
      </c>
      <c r="AJ5285">
        <v>84.609341507821597</v>
      </c>
      <c r="AK5285">
        <v>0.36837397942132699</v>
      </c>
      <c r="AL5285">
        <v>84.897011451503602</v>
      </c>
      <c r="AM5285">
        <v>84.759451335706103</v>
      </c>
      <c r="AN5285">
        <v>0.99999999709333498</v>
      </c>
    </row>
    <row r="5286" spans="1:40" x14ac:dyDescent="0.25">
      <c r="A5286" t="str">
        <f>"20190312164413426"</f>
        <v>20190312164413426</v>
      </c>
      <c r="B5286" t="str">
        <f>"1552380253420580"</f>
        <v>1552380253420580</v>
      </c>
      <c r="C5286" t="s">
        <v>40</v>
      </c>
      <c r="D5286">
        <v>5.0773489999999999</v>
      </c>
      <c r="E5286">
        <v>0.49087979999999998</v>
      </c>
      <c r="F5286" t="s">
        <v>41</v>
      </c>
      <c r="G5286">
        <v>-187.3244</v>
      </c>
      <c r="H5286">
        <v>0.99983610000000001</v>
      </c>
      <c r="I5286">
        <v>-24.75487</v>
      </c>
      <c r="J5286">
        <v>-187.29859999999999</v>
      </c>
      <c r="K5286">
        <v>1.1087689999999999</v>
      </c>
      <c r="L5286">
        <v>-25.384060000000002</v>
      </c>
      <c r="M5286">
        <v>-0.11429499999999999</v>
      </c>
      <c r="N5286">
        <v>0</v>
      </c>
      <c r="O5286">
        <v>0.99337770000000003</v>
      </c>
      <c r="P5286">
        <v>-2.4440079999999999E-2</v>
      </c>
      <c r="Q5286">
        <v>7.5786790000000007E-2</v>
      </c>
      <c r="R5286">
        <v>0.9968245</v>
      </c>
      <c r="S5286">
        <v>-0.20236209999999999</v>
      </c>
      <c r="T5286">
        <v>-0.33719500000000002</v>
      </c>
      <c r="U5286">
        <v>3.0311889999999999</v>
      </c>
      <c r="V5286">
        <v>8.9871320000000005E-2</v>
      </c>
      <c r="W5286">
        <v>8.7204489999999996E-2</v>
      </c>
      <c r="X5286">
        <v>0.99212829999999996</v>
      </c>
      <c r="Y5286">
        <v>4.8275159999999998E-2</v>
      </c>
      <c r="Z5286">
        <v>-0.10929319999999999</v>
      </c>
      <c r="AA5286">
        <v>0.99283659999999996</v>
      </c>
      <c r="AB5286">
        <v>35</v>
      </c>
      <c r="AC5286">
        <v>-2.5800000000003799E-2</v>
      </c>
      <c r="AD5286">
        <v>-0.1089329</v>
      </c>
      <c r="AE5286">
        <v>0.62919000000000103</v>
      </c>
      <c r="AF5286">
        <v>4.4942432794662597E-2</v>
      </c>
      <c r="AG5286">
        <v>-0.1089329</v>
      </c>
      <c r="AH5286">
        <v>0.60976834335600205</v>
      </c>
      <c r="AI5286">
        <v>100.101997876374</v>
      </c>
      <c r="AJ5286">
        <v>85.784687504119503</v>
      </c>
      <c r="AK5286">
        <v>0.62105042591325499</v>
      </c>
      <c r="AL5286">
        <v>84.997196415881007</v>
      </c>
      <c r="AM5286">
        <v>84.824024097383202</v>
      </c>
      <c r="AN5286">
        <v>1.0000000204477899</v>
      </c>
    </row>
    <row r="5287" spans="1:40" x14ac:dyDescent="0.25">
      <c r="A5287" t="str">
        <f>"20190312164413448"</f>
        <v>20190312164413448</v>
      </c>
      <c r="B5287" t="str">
        <f>"1552380253440101"</f>
        <v>1552380253440101</v>
      </c>
      <c r="C5287" t="s">
        <v>40</v>
      </c>
      <c r="D5287">
        <v>6.0136089999999998</v>
      </c>
      <c r="E5287">
        <v>0.49081920000000001</v>
      </c>
      <c r="F5287" t="s">
        <v>41</v>
      </c>
      <c r="G5287">
        <v>-187.36099999999999</v>
      </c>
      <c r="H5287">
        <v>1.0031429999999999</v>
      </c>
      <c r="I5287">
        <v>-24.44398</v>
      </c>
      <c r="J5287">
        <v>-187.3374</v>
      </c>
      <c r="K5287">
        <v>1.1085780000000001</v>
      </c>
      <c r="L5287">
        <v>-25.034089999999999</v>
      </c>
      <c r="M5287">
        <v>-0.11275540000000001</v>
      </c>
      <c r="N5287">
        <v>0</v>
      </c>
      <c r="O5287">
        <v>0.99355380000000004</v>
      </c>
      <c r="P5287">
        <v>-2.3918720000000001E-2</v>
      </c>
      <c r="Q5287">
        <v>7.4598739999999997E-2</v>
      </c>
      <c r="R5287">
        <v>0.99692670000000005</v>
      </c>
      <c r="S5287">
        <v>-0.20178219999999999</v>
      </c>
      <c r="T5287">
        <v>-0.34042919999999999</v>
      </c>
      <c r="U5287">
        <v>3.0304869999999999</v>
      </c>
      <c r="V5287">
        <v>8.8897909999999997E-2</v>
      </c>
      <c r="W5287">
        <v>8.5967940000000007E-2</v>
      </c>
      <c r="X5287">
        <v>0.99232390000000004</v>
      </c>
      <c r="Y5287">
        <v>4.6908980000000003E-2</v>
      </c>
      <c r="Z5287">
        <v>-0.1103874</v>
      </c>
      <c r="AA5287">
        <v>0.99278100000000002</v>
      </c>
      <c r="AB5287">
        <v>35</v>
      </c>
      <c r="AC5287">
        <v>-2.35999999999876E-2</v>
      </c>
      <c r="AD5287">
        <v>-0.105434999999999</v>
      </c>
      <c r="AE5287">
        <v>0.59010999999999902</v>
      </c>
      <c r="AF5287">
        <v>4.1762129373162302E-2</v>
      </c>
      <c r="AG5287">
        <v>-0.105434999999999</v>
      </c>
      <c r="AH5287">
        <v>0.57081441927407395</v>
      </c>
      <c r="AI5287">
        <v>100.43785596905001</v>
      </c>
      <c r="AJ5287">
        <v>85.815561050438305</v>
      </c>
      <c r="AK5287">
        <v>0.58197054558283101</v>
      </c>
      <c r="AL5287">
        <v>85.068312618557499</v>
      </c>
      <c r="AM5287">
        <v>84.880790165951893</v>
      </c>
      <c r="AN5287">
        <v>1.0000000238107101</v>
      </c>
    </row>
    <row r="5288" spans="1:40" x14ac:dyDescent="0.25">
      <c r="A5288" t="str">
        <f>"20190312164413492"</f>
        <v>20190312164413492</v>
      </c>
      <c r="B5288" t="str">
        <f>"1552380253480116"</f>
        <v>1552380253480116</v>
      </c>
      <c r="C5288" t="s">
        <v>40</v>
      </c>
      <c r="D5288">
        <v>5.5393470000000002</v>
      </c>
      <c r="E5288">
        <v>0.49069950000000001</v>
      </c>
      <c r="F5288" t="s">
        <v>41</v>
      </c>
      <c r="G5288">
        <v>-187.39699999999999</v>
      </c>
      <c r="H5288">
        <v>1.0068629999999901</v>
      </c>
      <c r="I5288">
        <v>-24.132629999999999</v>
      </c>
      <c r="J5288">
        <v>-187.40870000000001</v>
      </c>
      <c r="K5288">
        <v>1.108255</v>
      </c>
      <c r="L5288">
        <v>-24.37323</v>
      </c>
      <c r="M5288">
        <v>-0.1093369</v>
      </c>
      <c r="N5288">
        <v>0</v>
      </c>
      <c r="O5288">
        <v>0.99393609999999999</v>
      </c>
      <c r="P5288">
        <v>-2.296701E-2</v>
      </c>
      <c r="Q5288">
        <v>7.3622820000000005E-2</v>
      </c>
      <c r="R5288">
        <v>0.99702170000000001</v>
      </c>
      <c r="S5288">
        <v>-0.20059199999999999</v>
      </c>
      <c r="T5288">
        <v>-0.341833</v>
      </c>
      <c r="U5288">
        <v>3.0299990000000001</v>
      </c>
      <c r="V5288">
        <v>8.6499850000000003E-2</v>
      </c>
      <c r="W5288">
        <v>8.4914180000000006E-2</v>
      </c>
      <c r="X5288">
        <v>0.99262649999999997</v>
      </c>
      <c r="Y5288">
        <v>4.3853999999999997E-2</v>
      </c>
      <c r="Z5288">
        <v>-0.1109275</v>
      </c>
      <c r="AA5288">
        <v>0.99286050000000003</v>
      </c>
      <c r="AB5288">
        <v>35</v>
      </c>
      <c r="AC5288">
        <v>1.16999999999904E-2</v>
      </c>
      <c r="AD5288">
        <v>-0.101392</v>
      </c>
      <c r="AE5288">
        <v>0.24060000000000001</v>
      </c>
      <c r="AF5288">
        <v>3.2228222807427202E-2</v>
      </c>
      <c r="AG5288">
        <v>-0.101392</v>
      </c>
      <c r="AH5288">
        <v>0.20207616733796999</v>
      </c>
      <c r="AI5288">
        <v>116.35792893216799</v>
      </c>
      <c r="AJ5288">
        <v>80.938467078071895</v>
      </c>
      <c r="AK5288">
        <v>0.228372006636822</v>
      </c>
      <c r="AL5288">
        <v>85.128910121684598</v>
      </c>
      <c r="AM5288">
        <v>85.019689642828098</v>
      </c>
      <c r="AN5288">
        <v>1.0000000052586699</v>
      </c>
    </row>
    <row r="5289" spans="1:40" x14ac:dyDescent="0.25">
      <c r="A5289" t="str">
        <f>"20190312164413516"</f>
        <v>20190312164413516</v>
      </c>
      <c r="B5289" t="str">
        <f>"1552380253510372"</f>
        <v>1552380253510372</v>
      </c>
      <c r="C5289" t="s">
        <v>40</v>
      </c>
      <c r="D5289">
        <v>5.0864320000000003</v>
      </c>
      <c r="E5289">
        <v>0.49058740000000001</v>
      </c>
      <c r="F5289" t="s">
        <v>41</v>
      </c>
      <c r="G5289">
        <v>-187.4649</v>
      </c>
      <c r="H5289">
        <v>1.011153</v>
      </c>
      <c r="I5289">
        <v>-23.51061</v>
      </c>
      <c r="J5289">
        <v>-187.44759999999999</v>
      </c>
      <c r="K5289">
        <v>1.1080909999999999</v>
      </c>
      <c r="L5289">
        <v>-24.00085</v>
      </c>
      <c r="M5289">
        <v>-0.1071662</v>
      </c>
      <c r="N5289">
        <v>0</v>
      </c>
      <c r="O5289">
        <v>0.99417250000000001</v>
      </c>
      <c r="P5289">
        <v>-2.2413760000000001E-2</v>
      </c>
      <c r="Q5289">
        <v>7.2758929999999999E-2</v>
      </c>
      <c r="R5289">
        <v>0.99709769999999998</v>
      </c>
      <c r="S5289">
        <v>-0.19766239999999999</v>
      </c>
      <c r="T5289">
        <v>-0.34096900000000002</v>
      </c>
      <c r="U5289">
        <v>3.0296020000000001</v>
      </c>
      <c r="V5289">
        <v>8.4916599999999995E-2</v>
      </c>
      <c r="W5289">
        <v>8.401807E-2</v>
      </c>
      <c r="X5289">
        <v>0.99283949999999999</v>
      </c>
      <c r="Y5289">
        <v>4.2618080000000003E-2</v>
      </c>
      <c r="Z5289">
        <v>-0.1107108</v>
      </c>
      <c r="AA5289">
        <v>0.99293849999999995</v>
      </c>
      <c r="AB5289">
        <v>35</v>
      </c>
      <c r="AC5289">
        <v>-1.73000000000058E-2</v>
      </c>
      <c r="AD5289">
        <v>-9.6937999999999899E-2</v>
      </c>
      <c r="AE5289">
        <v>0.49023999999999901</v>
      </c>
      <c r="AF5289">
        <v>3.4012181255313502E-2</v>
      </c>
      <c r="AG5289">
        <v>-9.6937999999999899E-2</v>
      </c>
      <c r="AH5289">
        <v>0.4708821492977</v>
      </c>
      <c r="AI5289">
        <v>101.60325573934399</v>
      </c>
      <c r="AJ5289">
        <v>85.868656431790697</v>
      </c>
      <c r="AK5289">
        <v>0.48195829990256001</v>
      </c>
      <c r="AL5289">
        <v>85.180437892662894</v>
      </c>
      <c r="AM5289">
        <v>85.111444632899406</v>
      </c>
      <c r="AN5289">
        <v>1.0000000689011601</v>
      </c>
    </row>
    <row r="5290" spans="1:40" x14ac:dyDescent="0.25">
      <c r="A5290" t="str">
        <f>"20190312164413540"</f>
        <v>20190312164413540</v>
      </c>
      <c r="B5290" t="str">
        <f>"1552380253529892"</f>
        <v>1552380253529892</v>
      </c>
      <c r="C5290" t="s">
        <v>40</v>
      </c>
      <c r="D5290">
        <v>5.5903010000000002</v>
      </c>
      <c r="E5290">
        <v>0.49043880000000001</v>
      </c>
      <c r="F5290" t="s">
        <v>41</v>
      </c>
      <c r="G5290">
        <v>-187.49950000000001</v>
      </c>
      <c r="H5290">
        <v>1.0175689999999999</v>
      </c>
      <c r="I5290">
        <v>-23.19736</v>
      </c>
      <c r="J5290">
        <v>-187.4863</v>
      </c>
      <c r="K5290">
        <v>1.107947</v>
      </c>
      <c r="L5290">
        <v>-23.62201</v>
      </c>
      <c r="M5290">
        <v>-0.1048355</v>
      </c>
      <c r="N5290">
        <v>0</v>
      </c>
      <c r="O5290">
        <v>0.99442109999999995</v>
      </c>
      <c r="P5290">
        <v>-2.1506709999999998E-2</v>
      </c>
      <c r="Q5290">
        <v>7.1997950000000005E-2</v>
      </c>
      <c r="R5290">
        <v>0.99717290000000003</v>
      </c>
      <c r="S5290">
        <v>-0.19631960000000001</v>
      </c>
      <c r="T5290">
        <v>-0.34117829999999999</v>
      </c>
      <c r="U5290">
        <v>3.0292050000000001</v>
      </c>
      <c r="V5290">
        <v>8.3520529999999996E-2</v>
      </c>
      <c r="W5290">
        <v>8.3229769999999995E-2</v>
      </c>
      <c r="X5290">
        <v>0.99302420000000002</v>
      </c>
      <c r="Y5290">
        <v>4.0706760000000002E-2</v>
      </c>
      <c r="Z5290">
        <v>-0.1108397</v>
      </c>
      <c r="AA5290">
        <v>0.99300429999999995</v>
      </c>
      <c r="AB5290">
        <v>35</v>
      </c>
      <c r="AC5290">
        <v>-1.32000000000118E-2</v>
      </c>
      <c r="AD5290">
        <v>-9.0378E-2</v>
      </c>
      <c r="AE5290">
        <v>0.42464999999999897</v>
      </c>
      <c r="AF5290">
        <v>3.00350114013507E-2</v>
      </c>
      <c r="AG5290">
        <v>-9.0378E-2</v>
      </c>
      <c r="AH5290">
        <v>0.40535043133362703</v>
      </c>
      <c r="AI5290">
        <v>102.535952267947</v>
      </c>
      <c r="AJ5290">
        <v>85.762332481943403</v>
      </c>
      <c r="AK5290">
        <v>0.41638834875178299</v>
      </c>
      <c r="AL5290">
        <v>85.225762425324106</v>
      </c>
      <c r="AM5290">
        <v>85.1923250536626</v>
      </c>
      <c r="AN5290">
        <v>0.999999967665686</v>
      </c>
    </row>
    <row r="5291" spans="1:40" x14ac:dyDescent="0.25">
      <c r="A5291" t="str">
        <f>"20190312164413560"</f>
        <v>20190312164413560</v>
      </c>
      <c r="B5291" t="str">
        <f>"1552380253550388"</f>
        <v>1552380253550388</v>
      </c>
      <c r="C5291" t="s">
        <v>40</v>
      </c>
      <c r="D5291">
        <v>5.1131089999999997</v>
      </c>
      <c r="E5291">
        <v>0.49036760000000001</v>
      </c>
      <c r="F5291" t="s">
        <v>41</v>
      </c>
      <c r="G5291">
        <v>-187.53389999999999</v>
      </c>
      <c r="H5291">
        <v>1.0245709999999999</v>
      </c>
      <c r="I5291">
        <v>-22.883649999999999</v>
      </c>
      <c r="J5291">
        <v>-187.5179</v>
      </c>
      <c r="K5291">
        <v>1.1078589999999999</v>
      </c>
      <c r="L5291">
        <v>-23.303799999999999</v>
      </c>
      <c r="M5291">
        <v>-0.1028073</v>
      </c>
      <c r="N5291">
        <v>0</v>
      </c>
      <c r="O5291">
        <v>0.99463290000000004</v>
      </c>
      <c r="P5291">
        <v>-2.1124739999999999E-2</v>
      </c>
      <c r="Q5291">
        <v>7.1950429999999996E-2</v>
      </c>
      <c r="R5291">
        <v>0.99718450000000003</v>
      </c>
      <c r="S5291">
        <v>-0.19552610000000001</v>
      </c>
      <c r="T5291">
        <v>-0.34203979999999901</v>
      </c>
      <c r="U5291">
        <v>3.0289920000000001</v>
      </c>
      <c r="V5291">
        <v>8.189217E-2</v>
      </c>
      <c r="W5291">
        <v>8.3167519999999995E-2</v>
      </c>
      <c r="X5291">
        <v>0.99316510000000002</v>
      </c>
      <c r="Y5291">
        <v>3.892582E-2</v>
      </c>
      <c r="Z5291">
        <v>-0.1111642</v>
      </c>
      <c r="AA5291">
        <v>0.99303940000000002</v>
      </c>
      <c r="AB5291">
        <v>35</v>
      </c>
      <c r="AC5291">
        <v>-1.5999999999991101E-2</v>
      </c>
      <c r="AD5291">
        <v>-8.3288000000000001E-2</v>
      </c>
      <c r="AE5291">
        <v>0.42014999999999902</v>
      </c>
      <c r="AF5291">
        <v>2.62520899555456E-2</v>
      </c>
      <c r="AG5291">
        <v>-8.3288000000000001E-2</v>
      </c>
      <c r="AH5291">
        <v>0.40372633259799801</v>
      </c>
      <c r="AI5291">
        <v>101.63259257287601</v>
      </c>
      <c r="AJ5291">
        <v>86.279610019627199</v>
      </c>
      <c r="AK5291">
        <v>0.41306296711768198</v>
      </c>
      <c r="AL5291">
        <v>85.229341841697305</v>
      </c>
      <c r="AM5291">
        <v>85.286297156580602</v>
      </c>
      <c r="AN5291">
        <v>1.00000003987413</v>
      </c>
    </row>
    <row r="5292" spans="1:40" x14ac:dyDescent="0.25">
      <c r="A5292" t="str">
        <f>"20190312164413580"</f>
        <v>20190312164413580</v>
      </c>
      <c r="B5292" t="str">
        <f>"1552380253569909"</f>
        <v>1552380253569909</v>
      </c>
      <c r="C5292" t="s">
        <v>40</v>
      </c>
      <c r="D5292">
        <v>5.1770209999999999</v>
      </c>
      <c r="E5292">
        <v>0.49028840000000001</v>
      </c>
      <c r="F5292" t="s">
        <v>41</v>
      </c>
      <c r="G5292">
        <v>-187.56489999999999</v>
      </c>
      <c r="H5292">
        <v>1.0255449999999999</v>
      </c>
      <c r="I5292">
        <v>-22.572469999999999</v>
      </c>
      <c r="J5292">
        <v>-187.54849999999999</v>
      </c>
      <c r="K5292">
        <v>1.1077889999999999</v>
      </c>
      <c r="L5292">
        <v>-22.990300000000001</v>
      </c>
      <c r="M5292">
        <v>-0.1007753</v>
      </c>
      <c r="N5292">
        <v>0</v>
      </c>
      <c r="O5292">
        <v>0.99484090000000003</v>
      </c>
      <c r="P5292">
        <v>-2.060234E-2</v>
      </c>
      <c r="Q5292">
        <v>7.2002750000000004E-2</v>
      </c>
      <c r="R5292">
        <v>0.99719159999999996</v>
      </c>
      <c r="S5292">
        <v>-0.19479369999999999</v>
      </c>
      <c r="T5292">
        <v>-0.34088089999999999</v>
      </c>
      <c r="U5292">
        <v>3.028931</v>
      </c>
      <c r="V5292">
        <v>8.0395530000000007E-2</v>
      </c>
      <c r="W5292">
        <v>8.3210300000000001E-2</v>
      </c>
      <c r="X5292">
        <v>0.99328369999999999</v>
      </c>
      <c r="Y5292">
        <v>3.711996E-2</v>
      </c>
      <c r="Z5292">
        <v>-0.1108338</v>
      </c>
      <c r="AA5292">
        <v>0.99314550000000001</v>
      </c>
      <c r="AB5292">
        <v>35</v>
      </c>
      <c r="AC5292">
        <v>-1.6400000000004401E-2</v>
      </c>
      <c r="AD5292">
        <v>-8.2243999999999706E-2</v>
      </c>
      <c r="AE5292">
        <v>0.41782999999999798</v>
      </c>
      <c r="AF5292">
        <v>2.48326587485912E-2</v>
      </c>
      <c r="AG5292">
        <v>-8.2243999999999706E-2</v>
      </c>
      <c r="AH5292">
        <v>0.40181144701475602</v>
      </c>
      <c r="AI5292">
        <v>101.546262661228</v>
      </c>
      <c r="AJ5292">
        <v>86.463517302509501</v>
      </c>
      <c r="AK5292">
        <v>0.41089314356486401</v>
      </c>
      <c r="AL5292">
        <v>85.226881782223501</v>
      </c>
      <c r="AM5292">
        <v>85.372616085873702</v>
      </c>
      <c r="AN5292">
        <v>0.99999995197787905</v>
      </c>
    </row>
    <row r="5293" spans="1:40" x14ac:dyDescent="0.25">
      <c r="A5293" t="str">
        <f>"20190312164413604"</f>
        <v>20190312164413604</v>
      </c>
      <c r="B5293" t="str">
        <f>"1552380253600165"</f>
        <v>1552380253600165</v>
      </c>
      <c r="C5293" t="s">
        <v>40</v>
      </c>
      <c r="D5293">
        <v>5.4208379999999998</v>
      </c>
      <c r="E5293">
        <v>0.49025350000000001</v>
      </c>
      <c r="F5293" t="s">
        <v>41</v>
      </c>
      <c r="G5293">
        <v>-187.5951</v>
      </c>
      <c r="H5293">
        <v>1.0261690000000001</v>
      </c>
      <c r="I5293">
        <v>-22.261279999999999</v>
      </c>
      <c r="J5293">
        <v>-187.58160000000001</v>
      </c>
      <c r="K5293">
        <v>1.1077319999999999</v>
      </c>
      <c r="L5293">
        <v>-22.6416</v>
      </c>
      <c r="M5293">
        <v>-9.8505469999999998E-2</v>
      </c>
      <c r="N5293">
        <v>0</v>
      </c>
      <c r="O5293">
        <v>0.99506830000000002</v>
      </c>
      <c r="P5293">
        <v>-1.9521480000000001E-2</v>
      </c>
      <c r="Q5293">
        <v>7.1353009999999994E-2</v>
      </c>
      <c r="R5293">
        <v>0.99726009999999998</v>
      </c>
      <c r="S5293">
        <v>-0.19383239999999999</v>
      </c>
      <c r="T5293">
        <v>-0.33911729999999901</v>
      </c>
      <c r="U5293">
        <v>3.028931</v>
      </c>
      <c r="V5293">
        <v>7.9216480000000006E-2</v>
      </c>
      <c r="W5293">
        <v>8.2552619999999993E-2</v>
      </c>
      <c r="X5293">
        <v>0.99343340000000002</v>
      </c>
      <c r="Y5293">
        <v>3.515016E-2</v>
      </c>
      <c r="Z5293">
        <v>-0.110310199999999</v>
      </c>
      <c r="AA5293">
        <v>0.99327549999999998</v>
      </c>
      <c r="AB5293">
        <v>35</v>
      </c>
      <c r="AC5293">
        <v>-1.3499999999993399E-2</v>
      </c>
      <c r="AD5293">
        <v>-8.1562999999999802E-2</v>
      </c>
      <c r="AE5293">
        <v>0.38032000000000099</v>
      </c>
      <c r="AF5293">
        <v>2.29763949728338E-2</v>
      </c>
      <c r="AG5293">
        <v>-8.1562999999999802E-2</v>
      </c>
      <c r="AH5293">
        <v>0.36312015265714398</v>
      </c>
      <c r="AI5293">
        <v>102.635046329004</v>
      </c>
      <c r="AJ5293">
        <v>86.379441454746399</v>
      </c>
      <c r="AK5293">
        <v>0.37287623008271198</v>
      </c>
      <c r="AL5293">
        <v>85.264694649305696</v>
      </c>
      <c r="AM5293">
        <v>85.440875444286306</v>
      </c>
      <c r="AN5293">
        <v>1.0000000530040001</v>
      </c>
    </row>
    <row r="5294" spans="1:40" x14ac:dyDescent="0.25">
      <c r="A5294" t="str">
        <f>"20190312164413626"</f>
        <v>20190312164413626</v>
      </c>
      <c r="B5294" t="str">
        <f>"1552380253620700"</f>
        <v>1552380253620700</v>
      </c>
      <c r="C5294" t="s">
        <v>40</v>
      </c>
      <c r="D5294">
        <v>5.1009159999999998</v>
      </c>
      <c r="E5294">
        <v>0.50229099999999904</v>
      </c>
      <c r="F5294" t="s">
        <v>41</v>
      </c>
      <c r="G5294">
        <v>-187.64359999999999</v>
      </c>
      <c r="H5294">
        <v>0.99678869999999997</v>
      </c>
      <c r="I5294">
        <v>-21.652660000000001</v>
      </c>
      <c r="J5294">
        <v>-187.6148</v>
      </c>
      <c r="K5294">
        <v>1.1076969999999999</v>
      </c>
      <c r="L5294">
        <v>-22.283449999999998</v>
      </c>
      <c r="M5294">
        <v>-9.619026E-2</v>
      </c>
      <c r="N5294">
        <v>0</v>
      </c>
      <c r="O5294">
        <v>0.99529480000000004</v>
      </c>
      <c r="P5294">
        <v>-1.7703819999999999E-2</v>
      </c>
      <c r="Q5294">
        <v>7.0753629999999998E-2</v>
      </c>
      <c r="R5294">
        <v>0.99733669999999996</v>
      </c>
      <c r="S5294">
        <v>-0.19035340000000001</v>
      </c>
      <c r="T5294">
        <v>-0.33972780000000002</v>
      </c>
      <c r="U5294">
        <v>3.0288089999999999</v>
      </c>
      <c r="V5294">
        <v>7.8722E-2</v>
      </c>
      <c r="W5294">
        <v>8.1946240000000004E-2</v>
      </c>
      <c r="X5294">
        <v>0.99352289999999999</v>
      </c>
      <c r="Y5294">
        <v>3.3960520000000001E-2</v>
      </c>
      <c r="Z5294">
        <v>-0.1105546</v>
      </c>
      <c r="AA5294">
        <v>0.99328959999999999</v>
      </c>
      <c r="AB5294">
        <v>35</v>
      </c>
      <c r="AC5294">
        <v>-2.8799999999989698E-2</v>
      </c>
      <c r="AD5294">
        <v>-0.1109083</v>
      </c>
      <c r="AE5294">
        <v>0.63078999999999696</v>
      </c>
      <c r="AF5294">
        <v>3.1055476819413501E-2</v>
      </c>
      <c r="AG5294">
        <v>-0.1109083</v>
      </c>
      <c r="AH5294">
        <v>0.61176225463282496</v>
      </c>
      <c r="AI5294">
        <v>100.262790123217</v>
      </c>
      <c r="AJ5294">
        <v>87.093933713423496</v>
      </c>
      <c r="AK5294">
        <v>0.622509558033296</v>
      </c>
      <c r="AL5294">
        <v>85.299555747962302</v>
      </c>
      <c r="AM5294">
        <v>85.469621707452603</v>
      </c>
      <c r="AN5294">
        <v>1.00000004617927</v>
      </c>
    </row>
    <row r="5295" spans="1:40" x14ac:dyDescent="0.25">
      <c r="A5295" t="str">
        <f>"20190312164413648"</f>
        <v>20190312164413648</v>
      </c>
      <c r="B5295" t="str">
        <f>"1552380253640220"</f>
        <v>1552380253640220</v>
      </c>
      <c r="C5295" t="s">
        <v>40</v>
      </c>
      <c r="D5295">
        <v>5.0317699999999999</v>
      </c>
      <c r="E5295">
        <v>0.5036117</v>
      </c>
      <c r="F5295" t="s">
        <v>41</v>
      </c>
      <c r="G5295">
        <v>-187.64089999999999</v>
      </c>
      <c r="H5295">
        <v>1.0164070000000001</v>
      </c>
      <c r="I5295">
        <v>-21.329059999999998</v>
      </c>
      <c r="J5295">
        <v>-187.6456</v>
      </c>
      <c r="K5295">
        <v>1.1076870000000001</v>
      </c>
      <c r="L5295">
        <v>-21.943149999999999</v>
      </c>
      <c r="M5295">
        <v>-9.4017119999999996E-2</v>
      </c>
      <c r="N5295">
        <v>0</v>
      </c>
      <c r="O5295">
        <v>0.99550249999999996</v>
      </c>
      <c r="P5295">
        <v>-1.5087659999999999E-2</v>
      </c>
      <c r="Q5295">
        <v>7.1711960000000005E-2</v>
      </c>
      <c r="R5295">
        <v>0.99731130000000001</v>
      </c>
      <c r="S5295">
        <v>-8.2977289999999995E-2</v>
      </c>
      <c r="T5295">
        <v>-0.28950939999999997</v>
      </c>
      <c r="U5295">
        <v>3.027069</v>
      </c>
      <c r="V5295">
        <v>7.9159560000000004E-2</v>
      </c>
      <c r="W5295">
        <v>8.2895239999999995E-2</v>
      </c>
      <c r="X5295">
        <v>0.99340930000000005</v>
      </c>
      <c r="Y5295">
        <v>6.6830669999999995E-2</v>
      </c>
      <c r="Z5295">
        <v>-9.4450590000000001E-2</v>
      </c>
      <c r="AA5295">
        <v>0.99328380000000005</v>
      </c>
      <c r="AB5295">
        <v>35</v>
      </c>
      <c r="AC5295">
        <v>4.7000000000139101E-3</v>
      </c>
      <c r="AD5295">
        <v>-9.128E-2</v>
      </c>
      <c r="AE5295">
        <v>0.61408999999999703</v>
      </c>
      <c r="AF5295">
        <v>6.1068849522925302E-2</v>
      </c>
      <c r="AG5295">
        <v>-9.128E-2</v>
      </c>
      <c r="AH5295">
        <v>0.59772197109380898</v>
      </c>
      <c r="AI5295">
        <v>98.638449747955093</v>
      </c>
      <c r="AJ5295">
        <v>84.166371012434993</v>
      </c>
      <c r="AK5295">
        <v>0.60772773304360705</v>
      </c>
      <c r="AL5295">
        <v>85.244995949734303</v>
      </c>
      <c r="AM5295">
        <v>85.444027490537707</v>
      </c>
      <c r="AN5295">
        <v>0.99999994704026895</v>
      </c>
    </row>
    <row r="5296" spans="1:40" x14ac:dyDescent="0.25">
      <c r="A5296" t="str">
        <f>"20190312164413670"</f>
        <v>20190312164413670</v>
      </c>
      <c r="B5296" t="str">
        <f>"1552380253660716"</f>
        <v>1552380253660716</v>
      </c>
      <c r="C5296" t="s">
        <v>40</v>
      </c>
      <c r="D5296">
        <v>5.0947279999999999</v>
      </c>
      <c r="E5296">
        <v>0.50393909999999997</v>
      </c>
      <c r="F5296" t="s">
        <v>41</v>
      </c>
      <c r="G5296">
        <v>-187.66579999999999</v>
      </c>
      <c r="H5296">
        <v>1.0165439999999999</v>
      </c>
      <c r="I5296">
        <v>-21.01735</v>
      </c>
      <c r="J5296">
        <v>-187.67609999999999</v>
      </c>
      <c r="K5296">
        <v>1.1077049999999999</v>
      </c>
      <c r="L5296">
        <v>-21.598510000000001</v>
      </c>
      <c r="M5296">
        <v>-9.1867069999999995E-2</v>
      </c>
      <c r="N5296">
        <v>0</v>
      </c>
      <c r="O5296">
        <v>0.99570320000000001</v>
      </c>
      <c r="P5296">
        <v>-1.1937939999999999E-2</v>
      </c>
      <c r="Q5296">
        <v>7.3069490000000001E-2</v>
      </c>
      <c r="R5296">
        <v>0.99725540000000001</v>
      </c>
      <c r="S5296">
        <v>-6.6040039999999994E-2</v>
      </c>
      <c r="T5296">
        <v>-0.2981164</v>
      </c>
      <c r="U5296">
        <v>3.0285340000000001</v>
      </c>
      <c r="V5296">
        <v>8.0148430000000007E-2</v>
      </c>
      <c r="W5296">
        <v>8.4243299999999993E-2</v>
      </c>
      <c r="X5296">
        <v>0.99321660000000001</v>
      </c>
      <c r="Y5296">
        <v>7.0246050000000004E-2</v>
      </c>
      <c r="Z5296">
        <v>-9.7209950000000003E-2</v>
      </c>
      <c r="AA5296">
        <v>0.99278180000000005</v>
      </c>
      <c r="AB5296">
        <v>35</v>
      </c>
      <c r="AC5296">
        <v>1.03000000000008E-2</v>
      </c>
      <c r="AD5296">
        <v>-9.1160999999999798E-2</v>
      </c>
      <c r="AE5296">
        <v>0.58116000000000001</v>
      </c>
      <c r="AF5296">
        <v>6.2121493078512897E-2</v>
      </c>
      <c r="AG5296">
        <v>-9.1160999999999798E-2</v>
      </c>
      <c r="AH5296">
        <v>0.56388565091798204</v>
      </c>
      <c r="AI5296">
        <v>99.129018310346893</v>
      </c>
      <c r="AJ5296">
        <v>83.713257460978099</v>
      </c>
      <c r="AK5296">
        <v>0.57457500392420502</v>
      </c>
      <c r="AL5296">
        <v>85.167486721503707</v>
      </c>
      <c r="AM5296">
        <v>85.386466801745698</v>
      </c>
      <c r="AN5296">
        <v>0.99999995947095599</v>
      </c>
    </row>
    <row r="5297" spans="1:40" x14ac:dyDescent="0.25">
      <c r="A5297" t="str">
        <f>"20190312164413693"</f>
        <v>20190312164413693</v>
      </c>
      <c r="B5297" t="str">
        <f>"1552380253690972"</f>
        <v>1552380253690972</v>
      </c>
      <c r="C5297" t="s">
        <v>40</v>
      </c>
      <c r="D5297">
        <v>5.5873010000000001</v>
      </c>
      <c r="E5297">
        <v>0.50467459999999997</v>
      </c>
      <c r="F5297" t="s">
        <v>41</v>
      </c>
      <c r="G5297">
        <v>-187.6919</v>
      </c>
      <c r="H5297">
        <v>1.0212920000000001</v>
      </c>
      <c r="I5297">
        <v>-20.70346</v>
      </c>
      <c r="J5297">
        <v>-187.70830000000001</v>
      </c>
      <c r="K5297">
        <v>1.1077509999999999</v>
      </c>
      <c r="L5297">
        <v>-21.225460000000002</v>
      </c>
      <c r="M5297">
        <v>-8.9623690000000006E-2</v>
      </c>
      <c r="N5297">
        <v>0</v>
      </c>
      <c r="O5297">
        <v>0.99590769999999995</v>
      </c>
      <c r="P5297">
        <v>-9.139355E-3</v>
      </c>
      <c r="Q5297">
        <v>7.4561459999999996E-2</v>
      </c>
      <c r="R5297">
        <v>0.99717460000000002</v>
      </c>
      <c r="S5297">
        <v>-5.3894039999999997E-2</v>
      </c>
      <c r="T5297">
        <v>-0.29239140000000002</v>
      </c>
      <c r="U5297">
        <v>3.0290530000000002</v>
      </c>
      <c r="V5297">
        <v>8.0689399999999994E-2</v>
      </c>
      <c r="W5297">
        <v>8.5733729999999994E-2</v>
      </c>
      <c r="X5297">
        <v>0.99304530000000002</v>
      </c>
      <c r="Y5297">
        <v>7.1978500000000001E-2</v>
      </c>
      <c r="Z5297">
        <v>-9.5371449999999997E-2</v>
      </c>
      <c r="AA5297">
        <v>0.9928361</v>
      </c>
      <c r="AB5297">
        <v>35</v>
      </c>
      <c r="AC5297">
        <v>1.6400000000004401E-2</v>
      </c>
      <c r="AD5297">
        <v>-8.64589999999998E-2</v>
      </c>
      <c r="AE5297">
        <v>0.52200000000000202</v>
      </c>
      <c r="AF5297">
        <v>6.1436965385673899E-2</v>
      </c>
      <c r="AG5297">
        <v>-8.64589999999998E-2</v>
      </c>
      <c r="AH5297">
        <v>0.50459986949145197</v>
      </c>
      <c r="AI5297">
        <v>99.652815591113793</v>
      </c>
      <c r="AJ5297">
        <v>83.058186799680897</v>
      </c>
      <c r="AK5297">
        <v>0.515626500179724</v>
      </c>
      <c r="AL5297">
        <v>85.0817815210916</v>
      </c>
      <c r="AM5297">
        <v>85.354665395648993</v>
      </c>
      <c r="AN5297">
        <v>1.00000000979208</v>
      </c>
    </row>
    <row r="5298" spans="1:40" x14ac:dyDescent="0.25">
      <c r="A5298" t="str">
        <f>"20190312164413737"</f>
        <v>20190312164413737</v>
      </c>
      <c r="B5298" t="str">
        <f>"1552380253730013"</f>
        <v>1552380253730013</v>
      </c>
      <c r="C5298" t="s">
        <v>40</v>
      </c>
      <c r="D5298">
        <v>5.1177799999999998</v>
      </c>
      <c r="E5298">
        <v>0.50554840000000001</v>
      </c>
      <c r="F5298" t="s">
        <v>41</v>
      </c>
      <c r="G5298">
        <v>-187.71899999999999</v>
      </c>
      <c r="H5298">
        <v>1.0296510000000001</v>
      </c>
      <c r="I5298">
        <v>-20.387820000000001</v>
      </c>
      <c r="J5298">
        <v>-187.7646</v>
      </c>
      <c r="K5298">
        <v>1.1078749999999999</v>
      </c>
      <c r="L5298">
        <v>-20.552119999999999</v>
      </c>
      <c r="M5298">
        <v>-8.5860080000000005E-2</v>
      </c>
      <c r="N5298">
        <v>0</v>
      </c>
      <c r="O5298">
        <v>0.99623930000000005</v>
      </c>
      <c r="P5298">
        <v>-3.716787E-3</v>
      </c>
      <c r="Q5298">
        <v>7.7066560000000006E-2</v>
      </c>
      <c r="R5298">
        <v>0.99701899999999999</v>
      </c>
      <c r="S5298">
        <v>-3.8757319999999998E-2</v>
      </c>
      <c r="T5298">
        <v>-0.2824063</v>
      </c>
      <c r="U5298">
        <v>3.0292659999999998</v>
      </c>
      <c r="V5298">
        <v>8.2309480000000004E-2</v>
      </c>
      <c r="W5298">
        <v>8.8243310000000005E-2</v>
      </c>
      <c r="X5298">
        <v>0.99269240000000003</v>
      </c>
      <c r="Y5298">
        <v>7.3167060000000006E-2</v>
      </c>
      <c r="Z5298">
        <v>-9.2182059999999996E-2</v>
      </c>
      <c r="AA5298">
        <v>0.9930504</v>
      </c>
      <c r="AB5298">
        <v>35</v>
      </c>
      <c r="AC5298">
        <v>4.55999999999789E-2</v>
      </c>
      <c r="AD5298">
        <v>-7.8223999999999794E-2</v>
      </c>
      <c r="AE5298">
        <v>0.1643</v>
      </c>
      <c r="AF5298">
        <v>4.9187220005276401E-2</v>
      </c>
      <c r="AG5298">
        <v>-7.8223999999999794E-2</v>
      </c>
      <c r="AH5298">
        <v>0.13199709187026501</v>
      </c>
      <c r="AI5298">
        <v>119.044136027817</v>
      </c>
      <c r="AJ5298">
        <v>69.562661183477104</v>
      </c>
      <c r="AK5298">
        <v>0.16112606570649701</v>
      </c>
      <c r="AL5298">
        <v>84.937445791636094</v>
      </c>
      <c r="AM5298">
        <v>85.260140228520797</v>
      </c>
      <c r="AN5298">
        <v>0.99999996663769197</v>
      </c>
    </row>
    <row r="5299" spans="1:40" x14ac:dyDescent="0.25">
      <c r="A5299" t="str">
        <f>"20190312164413759"</f>
        <v>20190312164413759</v>
      </c>
      <c r="B5299" t="str">
        <f>"1552380253750509"</f>
        <v>1552380253750509</v>
      </c>
      <c r="C5299" t="s">
        <v>40</v>
      </c>
      <c r="D5299">
        <v>5.1110600000000002</v>
      </c>
      <c r="E5299">
        <v>0.5056157</v>
      </c>
      <c r="F5299" t="s">
        <v>41</v>
      </c>
      <c r="G5299">
        <v>-187.76830000000001</v>
      </c>
      <c r="H5299">
        <v>1.0401419999999999</v>
      </c>
      <c r="I5299">
        <v>-19.758980000000001</v>
      </c>
      <c r="J5299">
        <v>-187.79320000000001</v>
      </c>
      <c r="K5299">
        <v>1.107961</v>
      </c>
      <c r="L5299">
        <v>-20.201139999999999</v>
      </c>
      <c r="M5299">
        <v>-8.404209E-2</v>
      </c>
      <c r="N5299">
        <v>0</v>
      </c>
      <c r="O5299">
        <v>0.99639440000000001</v>
      </c>
      <c r="P5299">
        <v>-8.5587169999999896E-4</v>
      </c>
      <c r="Q5299">
        <v>7.8796770000000002E-2</v>
      </c>
      <c r="R5299">
        <v>0.99689030000000001</v>
      </c>
      <c r="S5299">
        <v>-1.4190670000000001E-2</v>
      </c>
      <c r="T5299">
        <v>-0.2586212</v>
      </c>
      <c r="U5299">
        <v>3.0289000000000001</v>
      </c>
      <c r="V5299">
        <v>8.3327940000000003E-2</v>
      </c>
      <c r="W5299">
        <v>8.9977790000000002E-2</v>
      </c>
      <c r="X5299">
        <v>0.99245170000000005</v>
      </c>
      <c r="Y5299">
        <v>7.9394709999999993E-2</v>
      </c>
      <c r="Z5299">
        <v>-8.4489320000000007E-2</v>
      </c>
      <c r="AA5299">
        <v>0.99325629999999998</v>
      </c>
      <c r="AB5299">
        <v>35</v>
      </c>
      <c r="AC5299">
        <v>2.4900000000002299E-2</v>
      </c>
      <c r="AD5299">
        <v>-6.7819000000000004E-2</v>
      </c>
      <c r="AE5299">
        <v>0.442160000000001</v>
      </c>
      <c r="AF5299">
        <v>6.0554373648622699E-2</v>
      </c>
      <c r="AG5299">
        <v>-6.7819000000000004E-2</v>
      </c>
      <c r="AH5299">
        <v>0.42845486172064501</v>
      </c>
      <c r="AI5299">
        <v>98.907492972344201</v>
      </c>
      <c r="AJ5299">
        <v>81.955553597622995</v>
      </c>
      <c r="AK5299">
        <v>0.43799522538611602</v>
      </c>
      <c r="AL5299">
        <v>84.837670438609194</v>
      </c>
      <c r="AM5299">
        <v>85.200605245685793</v>
      </c>
      <c r="AN5299">
        <v>0.99999996255540802</v>
      </c>
    </row>
    <row r="5300" spans="1:40" x14ac:dyDescent="0.25">
      <c r="A5300" t="str">
        <f>"20190312164413781"</f>
        <v>20190312164413781</v>
      </c>
      <c r="B5300" t="str">
        <f>"1552380253770029"</f>
        <v>1552380253770029</v>
      </c>
      <c r="C5300" t="s">
        <v>40</v>
      </c>
      <c r="D5300">
        <v>5.1233620000000002</v>
      </c>
      <c r="E5300">
        <v>0.50563519999999995</v>
      </c>
      <c r="F5300" t="s">
        <v>41</v>
      </c>
      <c r="G5300">
        <v>-187.79429999999999</v>
      </c>
      <c r="H5300">
        <v>1.0458259999999999</v>
      </c>
      <c r="I5300">
        <v>-19.443539999999999</v>
      </c>
      <c r="J5300">
        <v>-187.8202</v>
      </c>
      <c r="K5300">
        <v>1.1080369999999999</v>
      </c>
      <c r="L5300">
        <v>-19.861879999999999</v>
      </c>
      <c r="M5300">
        <v>-8.2367919999999997E-2</v>
      </c>
      <c r="N5300">
        <v>0</v>
      </c>
      <c r="O5300">
        <v>0.99653420000000004</v>
      </c>
      <c r="P5300">
        <v>1.8848669999999999E-3</v>
      </c>
      <c r="Q5300">
        <v>8.1238340000000006E-2</v>
      </c>
      <c r="R5300">
        <v>0.99669289999999999</v>
      </c>
      <c r="S5300">
        <v>-4.745483E-3</v>
      </c>
      <c r="T5300">
        <v>-0.24839430000000001</v>
      </c>
      <c r="U5300">
        <v>3.0289920000000001</v>
      </c>
      <c r="V5300">
        <v>8.4369710000000001E-2</v>
      </c>
      <c r="W5300">
        <v>9.2422320000000002E-2</v>
      </c>
      <c r="X5300">
        <v>0.99213899999999999</v>
      </c>
      <c r="Y5300">
        <v>8.0816750000000007E-2</v>
      </c>
      <c r="Z5300">
        <v>-8.1181340000000005E-2</v>
      </c>
      <c r="AA5300">
        <v>0.99341740000000001</v>
      </c>
      <c r="AB5300">
        <v>35</v>
      </c>
      <c r="AC5300">
        <v>2.5900000000007101E-2</v>
      </c>
      <c r="AD5300">
        <v>-6.2211000000000197E-2</v>
      </c>
      <c r="AE5300">
        <v>0.41833999999999999</v>
      </c>
      <c r="AF5300">
        <v>5.8972930879080399E-2</v>
      </c>
      <c r="AG5300">
        <v>-6.2211000000000197E-2</v>
      </c>
      <c r="AH5300">
        <v>0.40584407379425502</v>
      </c>
      <c r="AI5300">
        <v>98.625709908181804</v>
      </c>
      <c r="AJ5300">
        <v>81.732255130175304</v>
      </c>
      <c r="AK5300">
        <v>0.41479805608438602</v>
      </c>
      <c r="AL5300">
        <v>84.697023019131393</v>
      </c>
      <c r="AM5300">
        <v>85.139364359148203</v>
      </c>
      <c r="AN5300">
        <v>0.999999964260332</v>
      </c>
    </row>
    <row r="5301" spans="1:40" x14ac:dyDescent="0.25">
      <c r="A5301" t="str">
        <f>"20190312164413805"</f>
        <v>20190312164413805</v>
      </c>
      <c r="B5301" t="str">
        <f>"1552380253800284"</f>
        <v>1552380253800284</v>
      </c>
      <c r="C5301" t="s">
        <v>40</v>
      </c>
      <c r="D5301">
        <v>5.0811159999999997</v>
      </c>
      <c r="E5301">
        <v>0.5055347</v>
      </c>
      <c r="F5301" t="s">
        <v>41</v>
      </c>
      <c r="G5301">
        <v>-187.8186</v>
      </c>
      <c r="H5301">
        <v>1.0267269999999999</v>
      </c>
      <c r="I5301">
        <v>-18.82771</v>
      </c>
      <c r="J5301">
        <v>-187.84829999999999</v>
      </c>
      <c r="K5301">
        <v>1.1081049999999999</v>
      </c>
      <c r="L5301">
        <v>-19.500399999999999</v>
      </c>
      <c r="M5301">
        <v>-8.0658599999999997E-2</v>
      </c>
      <c r="N5301">
        <v>0</v>
      </c>
      <c r="O5301">
        <v>0.99667399999999995</v>
      </c>
      <c r="P5301">
        <v>4.4718550000000003E-3</v>
      </c>
      <c r="Q5301">
        <v>8.3770250000000004E-2</v>
      </c>
      <c r="R5301">
        <v>0.996475</v>
      </c>
      <c r="S5301">
        <v>4.272461E-3</v>
      </c>
      <c r="T5301">
        <v>-0.23813409999999999</v>
      </c>
      <c r="U5301">
        <v>3.0293580000000002</v>
      </c>
      <c r="V5301">
        <v>8.5224809999999998E-2</v>
      </c>
      <c r="W5301">
        <v>9.4956949999999998E-2</v>
      </c>
      <c r="X5301">
        <v>0.99182650000000006</v>
      </c>
      <c r="Y5301">
        <v>8.2065009999999994E-2</v>
      </c>
      <c r="Z5301">
        <v>-7.785214E-2</v>
      </c>
      <c r="AA5301">
        <v>0.99358159999999895</v>
      </c>
      <c r="AB5301">
        <v>35</v>
      </c>
      <c r="AC5301">
        <v>2.9699999999991102E-2</v>
      </c>
      <c r="AD5301">
        <v>-8.1377999999999895E-2</v>
      </c>
      <c r="AE5301">
        <v>0.67268999999999901</v>
      </c>
      <c r="AF5301">
        <v>8.2657798538128699E-2</v>
      </c>
      <c r="AG5301">
        <v>-8.1377999999999895E-2</v>
      </c>
      <c r="AH5301">
        <v>0.65848423735176598</v>
      </c>
      <c r="AI5301">
        <v>96.990796931835504</v>
      </c>
      <c r="AJ5301">
        <v>82.845234026355897</v>
      </c>
      <c r="AK5301">
        <v>0.66862260011452401</v>
      </c>
      <c r="AL5301">
        <v>84.551157689847997</v>
      </c>
      <c r="AM5301">
        <v>85.088801319924499</v>
      </c>
      <c r="AN5301">
        <v>0.99999994834754302</v>
      </c>
    </row>
    <row r="5302" spans="1:40" x14ac:dyDescent="0.25">
      <c r="A5302" t="str">
        <f>"20190312164413826"</f>
        <v>20190312164413826</v>
      </c>
      <c r="B5302" t="str">
        <f>"1552380253820780"</f>
        <v>1552380253820780</v>
      </c>
      <c r="C5302" t="s">
        <v>40</v>
      </c>
      <c r="D5302">
        <v>5.1375010000000003</v>
      </c>
      <c r="E5302">
        <v>0.50550609999999996</v>
      </c>
      <c r="F5302" t="s">
        <v>41</v>
      </c>
      <c r="G5302">
        <v>-187.84399999999999</v>
      </c>
      <c r="H5302">
        <v>1.033731</v>
      </c>
      <c r="I5302">
        <v>-18.512219999999999</v>
      </c>
      <c r="J5302">
        <v>-187.874</v>
      </c>
      <c r="K5302">
        <v>1.1081540000000001</v>
      </c>
      <c r="L5302">
        <v>-19.164370000000002</v>
      </c>
      <c r="M5302">
        <v>-7.9112210000000002E-2</v>
      </c>
      <c r="N5302">
        <v>0</v>
      </c>
      <c r="O5302">
        <v>0.99679799999999996</v>
      </c>
      <c r="P5302">
        <v>6.6929919999999896E-3</v>
      </c>
      <c r="Q5302">
        <v>8.5380990000000004E-2</v>
      </c>
      <c r="R5302">
        <v>0.99632589999999999</v>
      </c>
      <c r="S5302">
        <v>1.280212E-2</v>
      </c>
      <c r="T5302">
        <v>-0.2279921</v>
      </c>
      <c r="U5302">
        <v>3.0297239999999999</v>
      </c>
      <c r="V5302">
        <v>8.5884070000000007E-2</v>
      </c>
      <c r="W5302">
        <v>9.656932E-2</v>
      </c>
      <c r="X5302">
        <v>0.991614</v>
      </c>
      <c r="Y5302">
        <v>8.3316879999999996E-2</v>
      </c>
      <c r="Z5302">
        <v>-7.4556250000000004E-2</v>
      </c>
      <c r="AA5302">
        <v>0.99373020000000001</v>
      </c>
      <c r="AB5302">
        <v>35</v>
      </c>
      <c r="AC5302">
        <v>3.0000000000001099E-2</v>
      </c>
      <c r="AD5302">
        <v>-7.44230000000001E-2</v>
      </c>
      <c r="AE5302">
        <v>0.65214999999999801</v>
      </c>
      <c r="AF5302">
        <v>8.0456872330257001E-2</v>
      </c>
      <c r="AG5302">
        <v>-7.44230000000001E-2</v>
      </c>
      <c r="AH5302">
        <v>0.63942240209542001</v>
      </c>
      <c r="AI5302">
        <v>96.587360320481096</v>
      </c>
      <c r="AJ5302">
        <v>82.828309984957002</v>
      </c>
      <c r="AK5302">
        <v>0.64874733104317595</v>
      </c>
      <c r="AL5302">
        <v>84.458349520685502</v>
      </c>
      <c r="AM5302">
        <v>85.049943216948805</v>
      </c>
      <c r="AN5302">
        <v>1.00000001602051</v>
      </c>
    </row>
    <row r="5303" spans="1:40" x14ac:dyDescent="0.25">
      <c r="A5303" t="str">
        <f>"20190312164413848"</f>
        <v>20190312164413848</v>
      </c>
      <c r="B5303" t="str">
        <f>"1552380253840301"</f>
        <v>1552380253840301</v>
      </c>
      <c r="C5303" t="s">
        <v>40</v>
      </c>
      <c r="D5303">
        <v>5.2140019999999998</v>
      </c>
      <c r="E5303">
        <v>0.50107760000000001</v>
      </c>
      <c r="F5303" t="s">
        <v>41</v>
      </c>
      <c r="G5303">
        <v>-187.86750000000001</v>
      </c>
      <c r="H5303">
        <v>1.0372680000000001</v>
      </c>
      <c r="I5303">
        <v>-18.198149999999998</v>
      </c>
      <c r="J5303">
        <v>-187.89940000000001</v>
      </c>
      <c r="K5303">
        <v>1.108182</v>
      </c>
      <c r="L5303">
        <v>-18.824619999999999</v>
      </c>
      <c r="M5303">
        <v>-7.7568520000000002E-2</v>
      </c>
      <c r="N5303">
        <v>0</v>
      </c>
      <c r="O5303">
        <v>0.99691929999999995</v>
      </c>
      <c r="P5303">
        <v>9.6288620000000002E-3</v>
      </c>
      <c r="Q5303">
        <v>8.823193E-2</v>
      </c>
      <c r="R5303">
        <v>0.99605339999999998</v>
      </c>
      <c r="S5303">
        <v>1.9989010000000001E-2</v>
      </c>
      <c r="T5303">
        <v>-0.2222295</v>
      </c>
      <c r="U5303">
        <v>3.0299680000000002</v>
      </c>
      <c r="V5303">
        <v>8.7257760000000004E-2</v>
      </c>
      <c r="W5303">
        <v>9.9414680000000005E-2</v>
      </c>
      <c r="X5303">
        <v>0.9912128</v>
      </c>
      <c r="Y5303">
        <v>8.4131289999999997E-2</v>
      </c>
      <c r="Z5303">
        <v>-7.2686509999999996E-2</v>
      </c>
      <c r="AA5303">
        <v>0.99380009999999996</v>
      </c>
      <c r="AB5303">
        <v>35</v>
      </c>
      <c r="AC5303">
        <v>3.1900000000007298E-2</v>
      </c>
      <c r="AD5303">
        <v>-7.0913999999999894E-2</v>
      </c>
      <c r="AE5303">
        <v>0.62647000000000097</v>
      </c>
      <c r="AF5303">
        <v>7.9386921631173904E-2</v>
      </c>
      <c r="AG5303">
        <v>-7.0913999999999894E-2</v>
      </c>
      <c r="AH5303">
        <v>0.61425725109017604</v>
      </c>
      <c r="AI5303">
        <v>96.531609637851204</v>
      </c>
      <c r="AJ5303">
        <v>82.635884286375997</v>
      </c>
      <c r="AK5303">
        <v>0.62341242307074196</v>
      </c>
      <c r="AL5303">
        <v>84.294533873121694</v>
      </c>
      <c r="AM5303">
        <v>84.969146350676596</v>
      </c>
      <c r="AN5303">
        <v>1.0000000050817699</v>
      </c>
    </row>
    <row r="5304" spans="1:40" x14ac:dyDescent="0.25">
      <c r="A5304" t="str">
        <f>"20190312164413870"</f>
        <v>20190312164413870</v>
      </c>
      <c r="B5304" t="str">
        <f>"1552380253860796"</f>
        <v>1552380253860796</v>
      </c>
      <c r="C5304" t="s">
        <v>40</v>
      </c>
      <c r="D5304">
        <v>5.0979789999999996</v>
      </c>
      <c r="E5304">
        <v>0.5013879</v>
      </c>
      <c r="F5304" t="s">
        <v>41</v>
      </c>
      <c r="G5304">
        <v>-187.90280000000001</v>
      </c>
      <c r="H5304">
        <v>1.024859</v>
      </c>
      <c r="I5304">
        <v>-17.892789999999898</v>
      </c>
      <c r="J5304">
        <v>-187.92529999999999</v>
      </c>
      <c r="K5304">
        <v>1.108206</v>
      </c>
      <c r="L5304">
        <v>-18.470790000000001</v>
      </c>
      <c r="M5304">
        <v>-7.5951039999999997E-2</v>
      </c>
      <c r="N5304">
        <v>0</v>
      </c>
      <c r="O5304">
        <v>0.99704380000000004</v>
      </c>
      <c r="P5304">
        <v>1.217997E-2</v>
      </c>
      <c r="Q5304">
        <v>9.1058719999999996E-2</v>
      </c>
      <c r="R5304">
        <v>0.99577110000000002</v>
      </c>
      <c r="S5304">
        <v>-1.147461E-2</v>
      </c>
      <c r="T5304">
        <v>-0.2714589</v>
      </c>
      <c r="U5304">
        <v>3.036041</v>
      </c>
      <c r="V5304">
        <v>8.8178720000000002E-2</v>
      </c>
      <c r="W5304">
        <v>0.10223500000000001</v>
      </c>
      <c r="X5304">
        <v>0.99084439999999996</v>
      </c>
      <c r="Y5304">
        <v>7.2201600000000005E-2</v>
      </c>
      <c r="Z5304">
        <v>-8.8554960000000002E-2</v>
      </c>
      <c r="AA5304">
        <v>0.99345110000000003</v>
      </c>
      <c r="AB5304">
        <v>35</v>
      </c>
      <c r="AC5304">
        <v>2.2499999999979502E-2</v>
      </c>
      <c r="AD5304">
        <v>-8.3347000000000004E-2</v>
      </c>
      <c r="AE5304">
        <v>0.57800000000000296</v>
      </c>
      <c r="AF5304">
        <v>6.4988386846050405E-2</v>
      </c>
      <c r="AG5304">
        <v>-8.3347000000000004E-2</v>
      </c>
      <c r="AH5304">
        <v>0.56293367405744399</v>
      </c>
      <c r="AI5304">
        <v>98.367152643934304</v>
      </c>
      <c r="AJ5304">
        <v>83.414589932327601</v>
      </c>
      <c r="AK5304">
        <v>0.57276918057945903</v>
      </c>
      <c r="AL5304">
        <v>84.132114008242297</v>
      </c>
      <c r="AM5304">
        <v>84.914444896735702</v>
      </c>
      <c r="AN5304">
        <v>1.00000005344859</v>
      </c>
    </row>
    <row r="5305" spans="1:40" x14ac:dyDescent="0.25">
      <c r="A5305" t="str">
        <f>"20190312164413893"</f>
        <v>20190312164413893</v>
      </c>
      <c r="B5305" t="str">
        <f>"1552380253890077"</f>
        <v>1552380253890077</v>
      </c>
      <c r="C5305" t="s">
        <v>40</v>
      </c>
      <c r="D5305">
        <v>5.5975149999999996</v>
      </c>
      <c r="E5305">
        <v>0.50159100000000001</v>
      </c>
      <c r="F5305" t="s">
        <v>41</v>
      </c>
      <c r="G5305">
        <v>-187.9256</v>
      </c>
      <c r="H5305">
        <v>1.029094</v>
      </c>
      <c r="I5305">
        <v>-17.578139999999902</v>
      </c>
      <c r="J5305">
        <v>-187.95089999999999</v>
      </c>
      <c r="K5305">
        <v>1.1082069999999999</v>
      </c>
      <c r="L5305">
        <v>-18.11298</v>
      </c>
      <c r="M5305">
        <v>-7.4274670000000001E-2</v>
      </c>
      <c r="N5305">
        <v>0</v>
      </c>
      <c r="O5305">
        <v>0.99717020000000001</v>
      </c>
      <c r="P5305">
        <v>1.455877E-2</v>
      </c>
      <c r="Q5305">
        <v>9.3595460000000005E-2</v>
      </c>
      <c r="R5305">
        <v>0.99550380000000005</v>
      </c>
      <c r="S5305">
        <v>-1.5106200000000001E-3</v>
      </c>
      <c r="T5305">
        <v>-0.2691269</v>
      </c>
      <c r="U5305">
        <v>3.0373839999999999</v>
      </c>
      <c r="V5305">
        <v>8.8875679999999999E-2</v>
      </c>
      <c r="W5305">
        <v>0.10476340000000001</v>
      </c>
      <c r="X5305">
        <v>0.99051789999999995</v>
      </c>
      <c r="Y5305">
        <v>7.3785229999999993E-2</v>
      </c>
      <c r="Z5305">
        <v>-8.7773509999999999E-2</v>
      </c>
      <c r="AA5305">
        <v>0.99340399999999995</v>
      </c>
      <c r="AB5305">
        <v>35</v>
      </c>
      <c r="AC5305">
        <v>2.5299999999987201E-2</v>
      </c>
      <c r="AD5305">
        <v>-7.9112999999999906E-2</v>
      </c>
      <c r="AE5305">
        <v>0.53484000000000198</v>
      </c>
      <c r="AF5305">
        <v>6.3570041908776201E-2</v>
      </c>
      <c r="AG5305">
        <v>-7.9112999999999906E-2</v>
      </c>
      <c r="AH5305">
        <v>0.52012818859423204</v>
      </c>
      <c r="AI5305">
        <v>98.585639767648104</v>
      </c>
      <c r="AJ5305">
        <v>83.031871454690204</v>
      </c>
      <c r="AK5305">
        <v>0.52993711850331804</v>
      </c>
      <c r="AL5305">
        <v>83.986464701807805</v>
      </c>
      <c r="AM5305">
        <v>84.872781704170393</v>
      </c>
      <c r="AN5305">
        <v>0.999999983347716</v>
      </c>
    </row>
    <row r="5306" spans="1:40" x14ac:dyDescent="0.25">
      <c r="A5306" t="str">
        <f>"20190312164413984"</f>
        <v>20190312164413984</v>
      </c>
      <c r="B5306" t="str">
        <f>"1552380253980845"</f>
        <v>1552380253980845</v>
      </c>
      <c r="C5306" t="s">
        <v>40</v>
      </c>
      <c r="D5306">
        <v>5.1245820000000002</v>
      </c>
      <c r="E5306">
        <v>0.50195909999999999</v>
      </c>
      <c r="F5306" t="s">
        <v>41</v>
      </c>
      <c r="G5306">
        <v>-188.00919999999999</v>
      </c>
      <c r="H5306">
        <v>1.0402690000000001</v>
      </c>
      <c r="I5306">
        <v>-16.005939999999999</v>
      </c>
      <c r="J5306">
        <v>-188.04519999999999</v>
      </c>
      <c r="K5306">
        <v>1.1080810000000001</v>
      </c>
      <c r="L5306">
        <v>-16.69772</v>
      </c>
      <c r="M5306">
        <v>-6.6828890000000002E-2</v>
      </c>
      <c r="N5306">
        <v>0</v>
      </c>
      <c r="O5306">
        <v>0.99769680000000005</v>
      </c>
      <c r="P5306">
        <v>2.813096E-2</v>
      </c>
      <c r="Q5306">
        <v>0.1148102</v>
      </c>
      <c r="R5306">
        <v>0.99298909999999996</v>
      </c>
      <c r="S5306">
        <v>4.2816159999999999E-2</v>
      </c>
      <c r="T5306">
        <v>-0.20028960000000001</v>
      </c>
      <c r="U5306">
        <v>3.0390929999999998</v>
      </c>
      <c r="V5306">
        <v>9.4992599999999996E-2</v>
      </c>
      <c r="W5306">
        <v>0.12587670000000001</v>
      </c>
      <c r="X5306">
        <v>0.98748740000000002</v>
      </c>
      <c r="Y5306">
        <v>8.0851850000000003E-2</v>
      </c>
      <c r="Z5306">
        <v>-6.54304E-2</v>
      </c>
      <c r="AA5306">
        <v>0.99457620000000002</v>
      </c>
      <c r="AB5306">
        <v>35</v>
      </c>
      <c r="AC5306">
        <v>3.6000000000001302E-2</v>
      </c>
      <c r="AD5306">
        <v>-6.7811999999999706E-2</v>
      </c>
      <c r="AE5306">
        <v>0.69178000000000095</v>
      </c>
      <c r="AF5306">
        <v>8.1373713423132404E-2</v>
      </c>
      <c r="AG5306">
        <v>-6.7811999999999706E-2</v>
      </c>
      <c r="AH5306">
        <v>0.68129838173696999</v>
      </c>
      <c r="AI5306">
        <v>95.644271604310902</v>
      </c>
      <c r="AJ5306">
        <v>83.188905713047802</v>
      </c>
      <c r="AK5306">
        <v>0.68948359917962099</v>
      </c>
      <c r="AL5306">
        <v>82.768612739484198</v>
      </c>
      <c r="AM5306">
        <v>84.505267274347801</v>
      </c>
      <c r="AN5306">
        <v>0.99999995140820297</v>
      </c>
    </row>
    <row r="5307" spans="1:40" x14ac:dyDescent="0.25">
      <c r="A5307" t="str">
        <f>"20190312164414028"</f>
        <v>20190312164414028</v>
      </c>
      <c r="B5307" t="str">
        <f>"1552380254020865"</f>
        <v>1552380254020865</v>
      </c>
      <c r="C5307" t="s">
        <v>40</v>
      </c>
      <c r="D5307">
        <v>6.0287139999999999</v>
      </c>
      <c r="E5307">
        <v>0.52784119999999901</v>
      </c>
      <c r="F5307" t="s">
        <v>41</v>
      </c>
      <c r="G5307">
        <v>-188.02619999999999</v>
      </c>
      <c r="H5307">
        <v>1.0464880000000001</v>
      </c>
      <c r="I5307">
        <v>-15.688000000000001</v>
      </c>
      <c r="J5307">
        <v>-188.0873</v>
      </c>
      <c r="K5307">
        <v>1.1080239999999999</v>
      </c>
      <c r="L5307">
        <v>-15.996309999999999</v>
      </c>
      <c r="M5307">
        <v>-6.2614489999999995E-2</v>
      </c>
      <c r="N5307">
        <v>0</v>
      </c>
      <c r="O5307">
        <v>0.99797000000000002</v>
      </c>
      <c r="P5307">
        <v>3.7439920000000002E-2</v>
      </c>
      <c r="Q5307">
        <v>0.12906329999999999</v>
      </c>
      <c r="R5307">
        <v>0.99092930000000001</v>
      </c>
      <c r="S5307">
        <v>5.6655879999999999E-2</v>
      </c>
      <c r="T5307">
        <v>-0.1854198</v>
      </c>
      <c r="U5307">
        <v>3.0410159999999999</v>
      </c>
      <c r="V5307">
        <v>0.1000815</v>
      </c>
      <c r="W5307">
        <v>0.1400546</v>
      </c>
      <c r="X5307">
        <v>0.98507279999999997</v>
      </c>
      <c r="Y5307">
        <v>8.1164180000000002E-2</v>
      </c>
      <c r="Z5307">
        <v>-6.0575219999999999E-2</v>
      </c>
      <c r="AA5307">
        <v>0.99485829999999997</v>
      </c>
      <c r="AB5307">
        <v>35</v>
      </c>
      <c r="AC5307">
        <v>6.1100000000010299E-2</v>
      </c>
      <c r="AD5307">
        <v>-6.1536E-2</v>
      </c>
      <c r="AE5307">
        <v>0.30831000000000203</v>
      </c>
      <c r="AF5307">
        <v>7.73222138013442E-2</v>
      </c>
      <c r="AG5307">
        <v>-6.1536E-2</v>
      </c>
      <c r="AH5307">
        <v>0.292660882096412</v>
      </c>
      <c r="AI5307">
        <v>101.490980034487</v>
      </c>
      <c r="AJ5307">
        <v>75.200389176512701</v>
      </c>
      <c r="AK5307">
        <v>0.30889447381361601</v>
      </c>
      <c r="AL5307">
        <v>81.948994351504197</v>
      </c>
      <c r="AM5307">
        <v>84.198764903391705</v>
      </c>
      <c r="AN5307">
        <v>1.0000000094616199</v>
      </c>
    </row>
    <row r="5308" spans="1:40" x14ac:dyDescent="0.25">
      <c r="A5308" t="str">
        <f>"20190312164414049"</f>
        <v>20190312164414049</v>
      </c>
      <c r="B5308" t="str">
        <f>"1552380254040384"</f>
        <v>1552380254040384</v>
      </c>
      <c r="C5308" t="s">
        <v>40</v>
      </c>
      <c r="D5308">
        <v>5.1153339999999998</v>
      </c>
      <c r="E5308">
        <v>0.52880879999999997</v>
      </c>
      <c r="F5308" t="s">
        <v>42</v>
      </c>
      <c r="G5308">
        <v>-186.1482</v>
      </c>
      <c r="H5308" s="1">
        <v>-2.6453279999999998E-6</v>
      </c>
      <c r="I5308">
        <v>4.2064459999999997</v>
      </c>
      <c r="J5308">
        <v>-188.10570000000001</v>
      </c>
      <c r="K5308">
        <v>1.1079939999999999</v>
      </c>
      <c r="L5308">
        <v>-15.672549999999999</v>
      </c>
      <c r="M5308">
        <v>-6.0564479999999997E-2</v>
      </c>
      <c r="N5308">
        <v>0</v>
      </c>
      <c r="O5308">
        <v>0.99809650000000005</v>
      </c>
      <c r="P5308">
        <v>4.2316199999999998E-2</v>
      </c>
      <c r="Q5308">
        <v>0.1384562</v>
      </c>
      <c r="R5308">
        <v>0.98946409999999996</v>
      </c>
      <c r="S5308">
        <v>0.2916107</v>
      </c>
      <c r="T5308">
        <v>-0.1666281</v>
      </c>
      <c r="U5308">
        <v>3.0381469999999999</v>
      </c>
      <c r="V5308">
        <v>0.1028978</v>
      </c>
      <c r="W5308">
        <v>0.14940320000000001</v>
      </c>
      <c r="X5308">
        <v>0.9834077</v>
      </c>
      <c r="Y5308">
        <v>0.15551909999999999</v>
      </c>
      <c r="Z5308">
        <v>-5.4154790000000001E-2</v>
      </c>
      <c r="AA5308">
        <v>0.98634730000000004</v>
      </c>
      <c r="AB5308">
        <v>35</v>
      </c>
      <c r="AC5308">
        <v>1.95750000000001</v>
      </c>
      <c r="AD5308">
        <v>-1.1079966453279999</v>
      </c>
      <c r="AE5308">
        <v>19.878996000000001</v>
      </c>
      <c r="AF5308">
        <v>3.1482621035116201</v>
      </c>
      <c r="AG5308">
        <v>-1.1079966453279999</v>
      </c>
      <c r="AH5308">
        <v>19.663435768212299</v>
      </c>
      <c r="AI5308">
        <v>93.184621566750096</v>
      </c>
      <c r="AJ5308">
        <v>80.903721713278699</v>
      </c>
      <c r="AK5308">
        <v>19.944671394863299</v>
      </c>
      <c r="AL5308">
        <v>81.407657184721799</v>
      </c>
      <c r="AM5308">
        <v>84.026654102204901</v>
      </c>
      <c r="AN5308">
        <v>0.999999988917184</v>
      </c>
    </row>
    <row r="5309" spans="1:40" x14ac:dyDescent="0.25">
      <c r="A5309" t="str">
        <f>"20190312164414073"</f>
        <v>20190312164414073</v>
      </c>
      <c r="B5309" t="str">
        <f>"1552380254070641"</f>
        <v>1552380254070641</v>
      </c>
      <c r="C5309" t="s">
        <v>40</v>
      </c>
      <c r="D5309">
        <v>5.4269970000000001</v>
      </c>
      <c r="E5309">
        <v>0.52913699999999997</v>
      </c>
      <c r="F5309" t="s">
        <v>42</v>
      </c>
      <c r="G5309">
        <v>-185.41839999999999</v>
      </c>
      <c r="H5309" s="1">
        <v>-1.4156029999999999E-6</v>
      </c>
      <c r="I5309">
        <v>10.22564</v>
      </c>
      <c r="J5309">
        <v>-188.12629999999999</v>
      </c>
      <c r="K5309">
        <v>1.1079680000000001</v>
      </c>
      <c r="L5309">
        <v>-15.29279</v>
      </c>
      <c r="M5309">
        <v>-5.8101949999999999E-2</v>
      </c>
      <c r="N5309">
        <v>0</v>
      </c>
      <c r="O5309">
        <v>0.99824290000000004</v>
      </c>
      <c r="P5309">
        <v>4.773318E-2</v>
      </c>
      <c r="Q5309">
        <v>0.14716109999999999</v>
      </c>
      <c r="R5309">
        <v>0.98796010000000001</v>
      </c>
      <c r="S5309">
        <v>0.31509399999999999</v>
      </c>
      <c r="T5309">
        <v>-0.12991630000000001</v>
      </c>
      <c r="U5309">
        <v>3.0366520000000001</v>
      </c>
      <c r="V5309">
        <v>0.1058529</v>
      </c>
      <c r="W5309">
        <v>0.1580618</v>
      </c>
      <c r="X5309">
        <v>0.98173909999999998</v>
      </c>
      <c r="Y5309">
        <v>0.16073809999999999</v>
      </c>
      <c r="Z5309">
        <v>-4.22441E-2</v>
      </c>
      <c r="AA5309">
        <v>0.98609259999999999</v>
      </c>
      <c r="AB5309">
        <v>35</v>
      </c>
      <c r="AC5309">
        <v>2.7078999999999902</v>
      </c>
      <c r="AD5309">
        <v>-1.107969415603</v>
      </c>
      <c r="AE5309">
        <v>25.518429999999999</v>
      </c>
      <c r="AF5309">
        <v>4.1783065841601896</v>
      </c>
      <c r="AG5309">
        <v>-1.107969415603</v>
      </c>
      <c r="AH5309">
        <v>25.270860729644699</v>
      </c>
      <c r="AI5309">
        <v>92.476869488445402</v>
      </c>
      <c r="AJ5309">
        <v>80.611602084576802</v>
      </c>
      <c r="AK5309">
        <v>25.637906391791201</v>
      </c>
      <c r="AL5309">
        <v>80.905586105835098</v>
      </c>
      <c r="AM5309">
        <v>83.846038806236507</v>
      </c>
      <c r="AN5309">
        <v>1.00000001476323</v>
      </c>
    </row>
    <row r="5310" spans="1:40" x14ac:dyDescent="0.25">
      <c r="A5310" t="str">
        <f>"20190312164414096"</f>
        <v>20190312164414096</v>
      </c>
      <c r="B5310" t="str">
        <f>"1552380254090160"</f>
        <v>1552380254090160</v>
      </c>
      <c r="C5310" t="s">
        <v>40</v>
      </c>
      <c r="D5310">
        <v>5.3183280000000002</v>
      </c>
      <c r="E5310">
        <v>0.52869840000000001</v>
      </c>
      <c r="F5310" t="s">
        <v>42</v>
      </c>
      <c r="G5310">
        <v>-184.45859999999999</v>
      </c>
      <c r="H5310" s="1">
        <v>-4.5904790000000004E-6</v>
      </c>
      <c r="I5310">
        <v>18.042000000000002</v>
      </c>
      <c r="J5310">
        <v>-188.1446</v>
      </c>
      <c r="K5310">
        <v>1.1079490000000001</v>
      </c>
      <c r="L5310">
        <v>-14.94116</v>
      </c>
      <c r="M5310">
        <v>-5.5785260000000003E-2</v>
      </c>
      <c r="N5310">
        <v>0</v>
      </c>
      <c r="O5310">
        <v>0.99837500000000001</v>
      </c>
      <c r="P5310">
        <v>5.367893E-2</v>
      </c>
      <c r="Q5310">
        <v>0.15560959999999999</v>
      </c>
      <c r="R5310">
        <v>0.98635910000000004</v>
      </c>
      <c r="S5310">
        <v>0.33398440000000001</v>
      </c>
      <c r="T5310">
        <v>-0.1008918</v>
      </c>
      <c r="U5310">
        <v>3.0354610000000002</v>
      </c>
      <c r="V5310">
        <v>0.1094782</v>
      </c>
      <c r="W5310">
        <v>0.16646240000000001</v>
      </c>
      <c r="X5310">
        <v>0.97995140000000003</v>
      </c>
      <c r="Y5310">
        <v>0.1645924</v>
      </c>
      <c r="Z5310">
        <v>-3.2816240000000003E-2</v>
      </c>
      <c r="AA5310">
        <v>0.98581560000000001</v>
      </c>
      <c r="AB5310">
        <v>35</v>
      </c>
      <c r="AC5310">
        <v>3.6859999999999999</v>
      </c>
      <c r="AD5310">
        <v>-1.1079535904790001</v>
      </c>
      <c r="AE5310">
        <v>32.983159999999998</v>
      </c>
      <c r="AF5310">
        <v>5.5142126244610798</v>
      </c>
      <c r="AG5310">
        <v>-1.1079535904790001</v>
      </c>
      <c r="AH5310">
        <v>32.6897212369567</v>
      </c>
      <c r="AI5310">
        <v>91.914162984348295</v>
      </c>
      <c r="AJ5310">
        <v>80.425288555982206</v>
      </c>
      <c r="AK5310">
        <v>33.170046375854803</v>
      </c>
      <c r="AL5310">
        <v>80.417800974271998</v>
      </c>
      <c r="AM5310">
        <v>83.625463031528795</v>
      </c>
      <c r="AN5310">
        <v>0.99999997662547901</v>
      </c>
    </row>
    <row r="5311" spans="1:40" x14ac:dyDescent="0.25">
      <c r="A5311" t="str">
        <f>"20190312164414118"</f>
        <v>20190312164414118</v>
      </c>
      <c r="B5311" t="str">
        <f>"1552380254110187"</f>
        <v>1552380254110187</v>
      </c>
      <c r="C5311" t="s">
        <v>40</v>
      </c>
      <c r="D5311">
        <v>5.1140359999999996</v>
      </c>
      <c r="E5311">
        <v>0.52836300000000003</v>
      </c>
      <c r="F5311" t="s">
        <v>42</v>
      </c>
      <c r="G5311">
        <v>-183.21530000000001</v>
      </c>
      <c r="H5311" s="1">
        <v>-4.8162060000000003E-6</v>
      </c>
      <c r="I5311">
        <v>28.054079999999999</v>
      </c>
      <c r="J5311">
        <v>-188.16239999999999</v>
      </c>
      <c r="K5311">
        <v>1.1079479999999999</v>
      </c>
      <c r="L5311">
        <v>-14.58206</v>
      </c>
      <c r="M5311">
        <v>-5.3397790000000001E-2</v>
      </c>
      <c r="N5311">
        <v>0</v>
      </c>
      <c r="O5311">
        <v>0.99850550000000005</v>
      </c>
      <c r="P5311">
        <v>6.0247780000000001E-2</v>
      </c>
      <c r="Q5311">
        <v>0.16319910000000001</v>
      </c>
      <c r="R5311">
        <v>0.98475190000000001</v>
      </c>
      <c r="S5311">
        <v>0.34794619999999998</v>
      </c>
      <c r="T5311">
        <v>-7.8206540000000005E-2</v>
      </c>
      <c r="U5311">
        <v>3.0348820000000001</v>
      </c>
      <c r="V5311">
        <v>0.11365749999999999</v>
      </c>
      <c r="W5311">
        <v>0.1740015</v>
      </c>
      <c r="X5311">
        <v>0.97816429999999999</v>
      </c>
      <c r="Y5311">
        <v>0.16675719999999999</v>
      </c>
      <c r="Z5311">
        <v>-2.5441849999999998E-2</v>
      </c>
      <c r="AA5311">
        <v>0.98566969999999998</v>
      </c>
      <c r="AB5311">
        <v>35</v>
      </c>
      <c r="AC5311">
        <v>4.9470999999999696</v>
      </c>
      <c r="AD5311">
        <v>-1.1079528162059999</v>
      </c>
      <c r="AE5311">
        <v>42.636139999999997</v>
      </c>
      <c r="AF5311">
        <v>7.2120654623037801</v>
      </c>
      <c r="AG5311">
        <v>-1.1079528162059999</v>
      </c>
      <c r="AH5311">
        <v>42.2829478280836</v>
      </c>
      <c r="AI5311">
        <v>91.479635576912997</v>
      </c>
      <c r="AJ5311">
        <v>80.320396731533904</v>
      </c>
      <c r="AK5311">
        <v>42.907914476328699</v>
      </c>
      <c r="AL5311">
        <v>79.979442908598699</v>
      </c>
      <c r="AM5311">
        <v>83.372255401518402</v>
      </c>
      <c r="AN5311">
        <v>0.99999997355149395</v>
      </c>
    </row>
    <row r="5312" spans="1:40" x14ac:dyDescent="0.25">
      <c r="A5312" t="str">
        <f>"20190312164414161"</f>
        <v>20190312164414161</v>
      </c>
      <c r="B5312" t="str">
        <f>"1552380254150203"</f>
        <v>1552380254150203</v>
      </c>
      <c r="C5312" t="s">
        <v>40</v>
      </c>
      <c r="D5312">
        <v>5.2069700000000001</v>
      </c>
      <c r="E5312">
        <v>0.52054299999999998</v>
      </c>
      <c r="F5312" t="s">
        <v>42</v>
      </c>
      <c r="G5312">
        <v>-181.3518</v>
      </c>
      <c r="H5312" s="1">
        <v>-3.1564599999999902E-6</v>
      </c>
      <c r="I5312">
        <v>42.161679999999997</v>
      </c>
      <c r="J5312">
        <v>-188.1935</v>
      </c>
      <c r="K5312">
        <v>1.10797099999999</v>
      </c>
      <c r="L5312">
        <v>-13.9061</v>
      </c>
      <c r="M5312">
        <v>-4.8902279999999999E-2</v>
      </c>
      <c r="N5312">
        <v>0</v>
      </c>
      <c r="O5312">
        <v>0.99873579999999995</v>
      </c>
      <c r="P5312">
        <v>7.3518390000000003E-2</v>
      </c>
      <c r="Q5312">
        <v>0.178305399999999</v>
      </c>
      <c r="R5312">
        <v>0.98122480000000001</v>
      </c>
      <c r="S5312">
        <v>0.364151</v>
      </c>
      <c r="T5312">
        <v>-5.9240340000000002E-2</v>
      </c>
      <c r="U5312">
        <v>3.0339969999999998</v>
      </c>
      <c r="V5312">
        <v>0.1224182</v>
      </c>
      <c r="W5312">
        <v>0.1890124</v>
      </c>
      <c r="X5312">
        <v>0.97431420000000002</v>
      </c>
      <c r="Y5312">
        <v>0.1675605</v>
      </c>
      <c r="Z5312">
        <v>-1.9279549999999999E-2</v>
      </c>
      <c r="AA5312">
        <v>0.98567320000000003</v>
      </c>
      <c r="AB5312">
        <v>35</v>
      </c>
      <c r="AC5312">
        <v>6.8417000000000003</v>
      </c>
      <c r="AD5312">
        <v>-1.1079741564600001</v>
      </c>
      <c r="AE5312">
        <v>56.067779999999999</v>
      </c>
      <c r="AF5312">
        <v>9.5718580682834897</v>
      </c>
      <c r="AG5312">
        <v>-1.1079741564600001</v>
      </c>
      <c r="AH5312">
        <v>55.644681228562597</v>
      </c>
      <c r="AI5312">
        <v>91.124192560173498</v>
      </c>
      <c r="AJ5312">
        <v>80.2396457548885</v>
      </c>
      <c r="AK5312">
        <v>56.472813128434602</v>
      </c>
      <c r="AL5312">
        <v>79.1048457406133</v>
      </c>
      <c r="AM5312">
        <v>82.838570814217206</v>
      </c>
      <c r="AN5312">
        <v>1.00000003168331</v>
      </c>
    </row>
    <row r="5313" spans="1:40" x14ac:dyDescent="0.25">
      <c r="A5313" t="str">
        <f>"20190312164414184"</f>
        <v>20190312164414184</v>
      </c>
      <c r="B5313" t="str">
        <f>"1552380254180459"</f>
        <v>1552380254180459</v>
      </c>
      <c r="C5313" t="s">
        <v>40</v>
      </c>
      <c r="D5313">
        <v>5.2120160000000002</v>
      </c>
      <c r="E5313">
        <v>0.51923160000000002</v>
      </c>
      <c r="F5313" t="s">
        <v>42</v>
      </c>
      <c r="G5313">
        <v>-185.55119999999999</v>
      </c>
      <c r="H5313" s="1">
        <v>-1.4077159999999999E-6</v>
      </c>
      <c r="I5313">
        <v>10.306279999999999</v>
      </c>
      <c r="J5313">
        <v>-188.2089</v>
      </c>
      <c r="K5313">
        <v>1.1079920000000001</v>
      </c>
      <c r="L5313">
        <v>-13.5451</v>
      </c>
      <c r="M5313">
        <v>-4.6525370000000003E-2</v>
      </c>
      <c r="N5313">
        <v>0</v>
      </c>
      <c r="O5313">
        <v>0.99884930000000005</v>
      </c>
      <c r="P5313">
        <v>8.0902550000000004E-2</v>
      </c>
      <c r="Q5313">
        <v>0.18604290000000001</v>
      </c>
      <c r="R5313">
        <v>0.9792052</v>
      </c>
      <c r="S5313">
        <v>0.3337097</v>
      </c>
      <c r="T5313">
        <v>-0.1399281</v>
      </c>
      <c r="U5313">
        <v>3.0578310000000002</v>
      </c>
      <c r="V5313">
        <v>0.12741730000000001</v>
      </c>
      <c r="W5313">
        <v>0.19669970000000001</v>
      </c>
      <c r="X5313">
        <v>0.97214920000000005</v>
      </c>
      <c r="Y5313">
        <v>0.1545137</v>
      </c>
      <c r="Z5313">
        <v>-4.5229900000000003E-2</v>
      </c>
      <c r="AA5313">
        <v>0.98695480000000002</v>
      </c>
      <c r="AB5313">
        <v>35</v>
      </c>
      <c r="AC5313">
        <v>2.6577000000000002</v>
      </c>
      <c r="AD5313">
        <v>-1.1079934077159901</v>
      </c>
      <c r="AE5313">
        <v>23.851379999999999</v>
      </c>
      <c r="AF5313">
        <v>3.7565838465697299</v>
      </c>
      <c r="AG5313">
        <v>-1.1079934077159901</v>
      </c>
      <c r="AH5313">
        <v>23.651475730303499</v>
      </c>
      <c r="AI5313">
        <v>92.648999640689496</v>
      </c>
      <c r="AJ5313">
        <v>80.975050603777206</v>
      </c>
      <c r="AK5313">
        <v>23.973566188804401</v>
      </c>
      <c r="AL5313">
        <v>78.655967573839206</v>
      </c>
      <c r="AM5313">
        <v>82.532941529856501</v>
      </c>
      <c r="AN5313">
        <v>1.0000000036900001</v>
      </c>
    </row>
    <row r="5314" spans="1:40" x14ac:dyDescent="0.25">
      <c r="A5314" t="str">
        <f>"20190312164414207"</f>
        <v>20190312164414207</v>
      </c>
      <c r="B5314" t="str">
        <f>"1552380254199979"</f>
        <v>1552380254199979</v>
      </c>
      <c r="C5314" t="s">
        <v>40</v>
      </c>
      <c r="D5314">
        <v>5.1924049999999999</v>
      </c>
      <c r="E5314">
        <v>0.51809659999999902</v>
      </c>
      <c r="F5314" t="s">
        <v>42</v>
      </c>
      <c r="G5314">
        <v>-185.25649999999999</v>
      </c>
      <c r="H5314" s="1">
        <v>-2.2478080000000001E-6</v>
      </c>
      <c r="I5314">
        <v>12.544549999999999</v>
      </c>
      <c r="J5314">
        <v>-188.22319999999999</v>
      </c>
      <c r="K5314">
        <v>1.1080270000000001</v>
      </c>
      <c r="L5314">
        <v>-13.190950000000001</v>
      </c>
      <c r="M5314">
        <v>-4.4215820000000003E-2</v>
      </c>
      <c r="N5314">
        <v>0</v>
      </c>
      <c r="O5314">
        <v>0.99895420000000001</v>
      </c>
      <c r="P5314">
        <v>8.7602089999999994E-2</v>
      </c>
      <c r="Q5314">
        <v>0.1928955</v>
      </c>
      <c r="R5314">
        <v>0.97730099999999998</v>
      </c>
      <c r="S5314">
        <v>0.34625240000000002</v>
      </c>
      <c r="T5314">
        <v>-0.12994520000000001</v>
      </c>
      <c r="U5314">
        <v>3.0597840000000001</v>
      </c>
      <c r="V5314">
        <v>0.1318068</v>
      </c>
      <c r="W5314">
        <v>0.2035081</v>
      </c>
      <c r="X5314">
        <v>0.97016049999999998</v>
      </c>
      <c r="Y5314">
        <v>0.1561737</v>
      </c>
      <c r="Z5314">
        <v>-4.1974129999999998E-2</v>
      </c>
      <c r="AA5314">
        <v>0.98683730000000003</v>
      </c>
      <c r="AB5314">
        <v>35</v>
      </c>
      <c r="AC5314">
        <v>2.9666999999999999</v>
      </c>
      <c r="AD5314">
        <v>-1.1080292478080001</v>
      </c>
      <c r="AE5314">
        <v>25.735499999999998</v>
      </c>
      <c r="AF5314">
        <v>4.0943014649416698</v>
      </c>
      <c r="AG5314">
        <v>-1.1080292478080001</v>
      </c>
      <c r="AH5314">
        <v>25.532434834498801</v>
      </c>
      <c r="AI5314">
        <v>92.453594701188607</v>
      </c>
      <c r="AJ5314">
        <v>80.889787138714198</v>
      </c>
      <c r="AK5314">
        <v>25.882354256863</v>
      </c>
      <c r="AL5314">
        <v>78.257821283423297</v>
      </c>
      <c r="AM5314">
        <v>82.263119270726406</v>
      </c>
      <c r="AN5314">
        <v>0.99999998752604902</v>
      </c>
    </row>
    <row r="5315" spans="1:40" x14ac:dyDescent="0.25">
      <c r="A5315" t="str">
        <f>"20190312164414227"</f>
        <v>20190312164414227</v>
      </c>
      <c r="B5315" t="str">
        <f>"1552380254220005"</f>
        <v>1552380254220005</v>
      </c>
      <c r="C5315" t="s">
        <v>40</v>
      </c>
      <c r="D5315">
        <v>5.1819730000000002</v>
      </c>
      <c r="E5315">
        <v>0.517092</v>
      </c>
      <c r="F5315" t="s">
        <v>42</v>
      </c>
      <c r="G5315">
        <v>-184.88220000000001</v>
      </c>
      <c r="H5315" s="1">
        <v>-3.3895899999999998E-6</v>
      </c>
      <c r="I5315">
        <v>15.417870000000001</v>
      </c>
      <c r="J5315">
        <v>-188.23570000000001</v>
      </c>
      <c r="K5315">
        <v>1.1080680000000001</v>
      </c>
      <c r="L5315">
        <v>-12.863160000000001</v>
      </c>
      <c r="M5315">
        <v>-4.211753E-2</v>
      </c>
      <c r="N5315">
        <v>0</v>
      </c>
      <c r="O5315">
        <v>0.99904479999999996</v>
      </c>
      <c r="P5315">
        <v>9.3540349999999994E-2</v>
      </c>
      <c r="Q5315">
        <v>0.20006679999999999</v>
      </c>
      <c r="R5315">
        <v>0.97530689999999998</v>
      </c>
      <c r="S5315">
        <v>0.3574677</v>
      </c>
      <c r="T5315">
        <v>-0.1185551</v>
      </c>
      <c r="U5315">
        <v>3.061035</v>
      </c>
      <c r="V5315">
        <v>0.13564329999999999</v>
      </c>
      <c r="W5315">
        <v>0.21064140000000001</v>
      </c>
      <c r="X5315">
        <v>0.96810700000000005</v>
      </c>
      <c r="Y5315">
        <v>0.15763959999999999</v>
      </c>
      <c r="Z5315">
        <v>-3.8277970000000001E-2</v>
      </c>
      <c r="AA5315">
        <v>0.98675449999999998</v>
      </c>
      <c r="AB5315">
        <v>35</v>
      </c>
      <c r="AC5315">
        <v>3.3534999999999902</v>
      </c>
      <c r="AD5315">
        <v>-1.1080713895899901</v>
      </c>
      <c r="AE5315">
        <v>28.281029999999902</v>
      </c>
      <c r="AF5315">
        <v>4.5348667286134301</v>
      </c>
      <c r="AG5315">
        <v>-1.1080713895899901</v>
      </c>
      <c r="AH5315">
        <v>28.072184176069801</v>
      </c>
      <c r="AI5315">
        <v>92.231518372606004</v>
      </c>
      <c r="AJ5315">
        <v>80.823539498033497</v>
      </c>
      <c r="AK5315">
        <v>28.457694264748401</v>
      </c>
      <c r="AL5315">
        <v>77.840057855874207</v>
      </c>
      <c r="AM5315">
        <v>82.024102200872306</v>
      </c>
      <c r="AN5315">
        <v>1.0000000338389201</v>
      </c>
    </row>
    <row r="5316" spans="1:40" x14ac:dyDescent="0.25">
      <c r="A5316" t="str">
        <f>"20190312164414250"</f>
        <v>20190312164414250</v>
      </c>
      <c r="B5316" t="str">
        <f>"1552380254240501"</f>
        <v>1552380254240501</v>
      </c>
      <c r="C5316" t="s">
        <v>40</v>
      </c>
      <c r="D5316">
        <v>5.1779169999999999</v>
      </c>
      <c r="E5316">
        <v>0.51682600000000001</v>
      </c>
      <c r="F5316" t="s">
        <v>42</v>
      </c>
      <c r="G5316">
        <v>-184.3415</v>
      </c>
      <c r="H5316" s="1">
        <v>-5.2416189999999901E-6</v>
      </c>
      <c r="I5316">
        <v>19.511399999999998</v>
      </c>
      <c r="J5316">
        <v>-188.24860000000001</v>
      </c>
      <c r="K5316">
        <v>1.1081129999999999</v>
      </c>
      <c r="L5316">
        <v>-12.505520000000001</v>
      </c>
      <c r="M5316">
        <v>-3.9884169999999997E-2</v>
      </c>
      <c r="N5316">
        <v>0</v>
      </c>
      <c r="O5316">
        <v>0.99913649999999998</v>
      </c>
      <c r="P5316">
        <v>9.9551130000000002E-2</v>
      </c>
      <c r="Q5316">
        <v>0.20752950000000001</v>
      </c>
      <c r="R5316">
        <v>0.97315010000000002</v>
      </c>
      <c r="S5316">
        <v>0.36833189999999999</v>
      </c>
      <c r="T5316">
        <v>-0.1048067</v>
      </c>
      <c r="U5316">
        <v>3.0621339999999999</v>
      </c>
      <c r="V5316">
        <v>0.1394174</v>
      </c>
      <c r="W5316">
        <v>0.21806919999999999</v>
      </c>
      <c r="X5316">
        <v>0.96592370000000005</v>
      </c>
      <c r="Y5316">
        <v>0.158863</v>
      </c>
      <c r="Z5316">
        <v>-3.3826790000000002E-2</v>
      </c>
      <c r="AA5316">
        <v>0.98672099999999996</v>
      </c>
      <c r="AB5316">
        <v>35</v>
      </c>
      <c r="AC5316">
        <v>3.90710000000001</v>
      </c>
      <c r="AD5316">
        <v>-1.1081182416190001</v>
      </c>
      <c r="AE5316">
        <v>32.016919999999999</v>
      </c>
      <c r="AF5316">
        <v>5.1749375544058598</v>
      </c>
      <c r="AG5316">
        <v>-1.1081182416190001</v>
      </c>
      <c r="AH5316">
        <v>31.7980676625101</v>
      </c>
      <c r="AI5316">
        <v>91.969973609448999</v>
      </c>
      <c r="AJ5316">
        <v>80.756506363612104</v>
      </c>
      <c r="AK5316">
        <v>32.235462022421501</v>
      </c>
      <c r="AL5316">
        <v>77.404346793691403</v>
      </c>
      <c r="AM5316">
        <v>81.786886746016904</v>
      </c>
      <c r="AN5316">
        <v>0.999999990816545</v>
      </c>
    </row>
    <row r="5317" spans="1:40" x14ac:dyDescent="0.25">
      <c r="A5317" t="str">
        <f>"20190312164414272"</f>
        <v>20190312164414272</v>
      </c>
      <c r="B5317" t="str">
        <f>"1552380254260997"</f>
        <v>1552380254260997</v>
      </c>
      <c r="C5317" t="s">
        <v>40</v>
      </c>
      <c r="D5317">
        <v>5.1243220000000003</v>
      </c>
      <c r="E5317">
        <v>0.51620480000000002</v>
      </c>
      <c r="F5317" t="s">
        <v>42</v>
      </c>
      <c r="G5317">
        <v>-182.6251</v>
      </c>
      <c r="H5317" s="1">
        <v>-2.7855650000000002E-6</v>
      </c>
      <c r="I5317">
        <v>32.067300000000003</v>
      </c>
      <c r="J5317">
        <v>-188.26060000000001</v>
      </c>
      <c r="K5317">
        <v>1.108177</v>
      </c>
      <c r="L5317">
        <v>-12.15131</v>
      </c>
      <c r="M5317">
        <v>-3.7733660000000002E-2</v>
      </c>
      <c r="N5317">
        <v>0</v>
      </c>
      <c r="O5317">
        <v>0.99922010000000006</v>
      </c>
      <c r="P5317">
        <v>0.1054856</v>
      </c>
      <c r="Q5317">
        <v>0.2143429</v>
      </c>
      <c r="R5317">
        <v>0.97104579999999996</v>
      </c>
      <c r="S5317">
        <v>0.3860016</v>
      </c>
      <c r="T5317">
        <v>-7.6061840000000006E-2</v>
      </c>
      <c r="U5317">
        <v>3.0595089999999998</v>
      </c>
      <c r="V5317">
        <v>0.14319689999999999</v>
      </c>
      <c r="W5317">
        <v>0.22485250000000001</v>
      </c>
      <c r="X5317">
        <v>0.96381320000000004</v>
      </c>
      <c r="Y5317">
        <v>0.16248470000000001</v>
      </c>
      <c r="Z5317">
        <v>-2.4564099999999998E-2</v>
      </c>
      <c r="AA5317">
        <v>0.98640530000000004</v>
      </c>
      <c r="AB5317">
        <v>35</v>
      </c>
      <c r="AC5317">
        <v>5.6355000000000004</v>
      </c>
      <c r="AD5317">
        <v>-1.108179785565</v>
      </c>
      <c r="AE5317">
        <v>44.218609999999998</v>
      </c>
      <c r="AF5317">
        <v>7.2956200214546998</v>
      </c>
      <c r="AG5317">
        <v>-1.108179785565</v>
      </c>
      <c r="AH5317">
        <v>43.947291262275499</v>
      </c>
      <c r="AI5317">
        <v>91.424976978372101</v>
      </c>
      <c r="AJ5317">
        <v>80.574377604678702</v>
      </c>
      <c r="AK5317">
        <v>44.562523977282297</v>
      </c>
      <c r="AL5317">
        <v>77.005794442279594</v>
      </c>
      <c r="AM5317">
        <v>81.549196645474197</v>
      </c>
      <c r="AN5317">
        <v>0.99999994171004802</v>
      </c>
    </row>
    <row r="5318" spans="1:40" x14ac:dyDescent="0.25">
      <c r="A5318" t="str">
        <f>"20190312164414297"</f>
        <v>20190312164414297</v>
      </c>
      <c r="B5318" t="str">
        <f>"1552380254290277"</f>
        <v>1552380254290277</v>
      </c>
      <c r="C5318" t="s">
        <v>40</v>
      </c>
      <c r="D5318">
        <v>5.1583220000000001</v>
      </c>
      <c r="E5318">
        <v>0.51156800000000002</v>
      </c>
      <c r="F5318" t="s">
        <v>42</v>
      </c>
      <c r="G5318">
        <v>-179.93680000000001</v>
      </c>
      <c r="H5318">
        <v>7.0954809999999993E-2</v>
      </c>
      <c r="I5318">
        <v>51.486460000000001</v>
      </c>
      <c r="J5318">
        <v>-188.27279999999999</v>
      </c>
      <c r="K5318">
        <v>1.1082479999999999</v>
      </c>
      <c r="L5318">
        <v>-11.770630000000001</v>
      </c>
      <c r="M5318">
        <v>-3.5494379999999999E-2</v>
      </c>
      <c r="N5318">
        <v>0</v>
      </c>
      <c r="O5318">
        <v>0.99930209999999997</v>
      </c>
      <c r="P5318">
        <v>0.11072559999999999</v>
      </c>
      <c r="Q5318">
        <v>0.22061220000000001</v>
      </c>
      <c r="R5318">
        <v>0.96905629999999998</v>
      </c>
      <c r="S5318">
        <v>0.39985660000000001</v>
      </c>
      <c r="T5318">
        <v>-4.9825670000000002E-2</v>
      </c>
      <c r="U5318">
        <v>3.057007</v>
      </c>
      <c r="V5318">
        <v>0.14619960000000001</v>
      </c>
      <c r="W5318">
        <v>0.23110220000000001</v>
      </c>
      <c r="X5318">
        <v>0.96188220000000002</v>
      </c>
      <c r="Y5318">
        <v>0.16479369999999999</v>
      </c>
      <c r="Z5318">
        <v>-1.6101299999999999E-2</v>
      </c>
      <c r="AA5318">
        <v>0.98619659999999998</v>
      </c>
      <c r="AB5318">
        <v>35</v>
      </c>
      <c r="AC5318">
        <v>8.3359999999999808</v>
      </c>
      <c r="AD5318">
        <v>-1.03729319</v>
      </c>
      <c r="AE5318">
        <v>63.257089999999998</v>
      </c>
      <c r="AF5318">
        <v>10.5733752448186</v>
      </c>
      <c r="AG5318">
        <v>-1.03729319</v>
      </c>
      <c r="AH5318">
        <v>62.904697485468198</v>
      </c>
      <c r="AI5318">
        <v>90.931650148299994</v>
      </c>
      <c r="AJ5318">
        <v>80.458593152589501</v>
      </c>
      <c r="AK5318">
        <v>63.795557893696902</v>
      </c>
      <c r="AL5318">
        <v>76.638027886545601</v>
      </c>
      <c r="AM5318">
        <v>81.357575531969999</v>
      </c>
      <c r="AN5318">
        <v>0.99999995828091903</v>
      </c>
    </row>
    <row r="5319" spans="1:40" x14ac:dyDescent="0.25">
      <c r="A5319" t="str">
        <f>"20190312164414320"</f>
        <v>20190312164414320</v>
      </c>
      <c r="B5319" t="str">
        <f>"1552380254310304"</f>
        <v>1552380254310304</v>
      </c>
      <c r="C5319" t="s">
        <v>40</v>
      </c>
      <c r="D5319">
        <v>5.1122379999999996</v>
      </c>
      <c r="E5319">
        <v>0.51232279999999997</v>
      </c>
      <c r="F5319" t="s">
        <v>42</v>
      </c>
      <c r="G5319">
        <v>-183.5966</v>
      </c>
      <c r="H5319" s="1">
        <v>-4.0642150000000002E-6</v>
      </c>
      <c r="I5319">
        <v>26.458860000000001</v>
      </c>
      <c r="J5319">
        <v>-188.2835</v>
      </c>
      <c r="K5319">
        <v>1.10832</v>
      </c>
      <c r="L5319">
        <v>-11.413880000000001</v>
      </c>
      <c r="M5319">
        <v>-3.3466950000000002E-2</v>
      </c>
      <c r="N5319">
        <v>0</v>
      </c>
      <c r="O5319">
        <v>0.99937209999999999</v>
      </c>
      <c r="P5319">
        <v>0.114315</v>
      </c>
      <c r="Q5319">
        <v>0.2265827</v>
      </c>
      <c r="R5319">
        <v>0.96726020000000001</v>
      </c>
      <c r="S5319">
        <v>0.37590030000000002</v>
      </c>
      <c r="T5319">
        <v>-8.908808E-2</v>
      </c>
      <c r="U5319">
        <v>3.0731199999999999</v>
      </c>
      <c r="V5319">
        <v>0.14776909999999999</v>
      </c>
      <c r="W5319">
        <v>0.23706440000000001</v>
      </c>
      <c r="X5319">
        <v>0.96018990000000004</v>
      </c>
      <c r="Y5319">
        <v>0.1545174</v>
      </c>
      <c r="Z5319">
        <v>-2.8672139999999999E-2</v>
      </c>
      <c r="AA5319">
        <v>0.9875739</v>
      </c>
      <c r="AB5319">
        <v>35</v>
      </c>
      <c r="AC5319">
        <v>4.6868999999999996</v>
      </c>
      <c r="AD5319">
        <v>-1.1083240642150001</v>
      </c>
      <c r="AE5319">
        <v>37.87274</v>
      </c>
      <c r="AF5319">
        <v>5.9468289698256998</v>
      </c>
      <c r="AG5319">
        <v>-1.1083240642150001</v>
      </c>
      <c r="AH5319">
        <v>37.6628866703808</v>
      </c>
      <c r="AI5319">
        <v>91.664969031336298</v>
      </c>
      <c r="AJ5319">
        <v>81.027288202121696</v>
      </c>
      <c r="AK5319">
        <v>38.145592004497999</v>
      </c>
      <c r="AL5319">
        <v>76.286655771210903</v>
      </c>
      <c r="AM5319">
        <v>81.251064422335503</v>
      </c>
      <c r="AN5319">
        <v>0.99999994036208795</v>
      </c>
    </row>
    <row r="5320" spans="1:40" x14ac:dyDescent="0.25">
      <c r="A5320" t="str">
        <f>"20190312164414341"</f>
        <v>20190312164414341</v>
      </c>
      <c r="B5320" t="str">
        <f>"1552380254330800"</f>
        <v>1552380254330800</v>
      </c>
      <c r="C5320" t="s">
        <v>40</v>
      </c>
      <c r="D5320">
        <v>5.3034339999999904</v>
      </c>
      <c r="E5320">
        <v>0.51258440000000005</v>
      </c>
      <c r="F5320" t="s">
        <v>42</v>
      </c>
      <c r="G5320">
        <v>-182.577</v>
      </c>
      <c r="H5320" s="1">
        <v>-3.1550069999999998E-6</v>
      </c>
      <c r="I5320">
        <v>33.115380000000002</v>
      </c>
      <c r="J5320">
        <v>-188.29310000000001</v>
      </c>
      <c r="K5320">
        <v>1.1083909999999999</v>
      </c>
      <c r="L5320">
        <v>-11.0741</v>
      </c>
      <c r="M5320">
        <v>-3.1598849999999998E-2</v>
      </c>
      <c r="N5320">
        <v>0</v>
      </c>
      <c r="O5320">
        <v>0.99943289999999996</v>
      </c>
      <c r="P5320">
        <v>0.11762</v>
      </c>
      <c r="Q5320">
        <v>0.2311811</v>
      </c>
      <c r="R5320">
        <v>0.96577469999999999</v>
      </c>
      <c r="S5320">
        <v>0.3937988</v>
      </c>
      <c r="T5320">
        <v>-7.6483960000000004E-2</v>
      </c>
      <c r="U5320">
        <v>3.0729060000000001</v>
      </c>
      <c r="V5320">
        <v>0.14921809999999999</v>
      </c>
      <c r="W5320">
        <v>0.24165339999999999</v>
      </c>
      <c r="X5320">
        <v>0.95882089999999998</v>
      </c>
      <c r="Y5320">
        <v>0.158355</v>
      </c>
      <c r="Z5320">
        <v>-2.460588E-2</v>
      </c>
      <c r="AA5320">
        <v>0.98707560000000005</v>
      </c>
      <c r="AB5320">
        <v>35</v>
      </c>
      <c r="AC5320">
        <v>5.7161000000000097</v>
      </c>
      <c r="AD5320">
        <v>-1.108394155007</v>
      </c>
      <c r="AE5320">
        <v>44.189479999999897</v>
      </c>
      <c r="AF5320">
        <v>7.1052797766759701</v>
      </c>
      <c r="AG5320">
        <v>-1.108394155007</v>
      </c>
      <c r="AH5320">
        <v>43.959573982393103</v>
      </c>
      <c r="AI5320">
        <v>91.425849196597795</v>
      </c>
      <c r="AJ5320">
        <v>80.818566158796003</v>
      </c>
      <c r="AK5320">
        <v>44.543884911637299</v>
      </c>
      <c r="AL5320">
        <v>76.015853535409406</v>
      </c>
      <c r="AM5320">
        <v>81.154207411434101</v>
      </c>
      <c r="AN5320">
        <v>0.99999996268798896</v>
      </c>
    </row>
    <row r="5321" spans="1:40" x14ac:dyDescent="0.25">
      <c r="A5321" t="str">
        <f>"20190312164414364"</f>
        <v>20190312164414364</v>
      </c>
      <c r="B5321" t="str">
        <f>"1552380254360080"</f>
        <v>1552380254360080</v>
      </c>
      <c r="C5321" t="s">
        <v>40</v>
      </c>
      <c r="D5321">
        <v>5.0627139999999997</v>
      </c>
      <c r="E5321">
        <v>0.51146329999999995</v>
      </c>
      <c r="F5321" t="s">
        <v>42</v>
      </c>
      <c r="G5321">
        <v>-181.56540000000001</v>
      </c>
      <c r="H5321" s="1">
        <v>-2.307495E-6</v>
      </c>
      <c r="I5321">
        <v>39.833930000000002</v>
      </c>
      <c r="J5321">
        <v>-188.30279999999999</v>
      </c>
      <c r="K5321">
        <v>1.1084560000000001</v>
      </c>
      <c r="L5321">
        <v>-10.70599</v>
      </c>
      <c r="M5321">
        <v>-2.9640159999999999E-2</v>
      </c>
      <c r="N5321">
        <v>0</v>
      </c>
      <c r="O5321">
        <v>0.99949310000000002</v>
      </c>
      <c r="P5321">
        <v>0.120697</v>
      </c>
      <c r="Q5321">
        <v>0.23594000000000001</v>
      </c>
      <c r="R5321">
        <v>0.96424299999999996</v>
      </c>
      <c r="S5321">
        <v>0.4060974</v>
      </c>
      <c r="T5321">
        <v>-6.6904069999999996E-2</v>
      </c>
      <c r="U5321">
        <v>3.0728759999999999</v>
      </c>
      <c r="V5321">
        <v>0.1503563</v>
      </c>
      <c r="W5321">
        <v>0.24640010000000001</v>
      </c>
      <c r="X5321">
        <v>0.95743409999999995</v>
      </c>
      <c r="Y5321">
        <v>0.16031500000000001</v>
      </c>
      <c r="Z5321">
        <v>-2.151867E-2</v>
      </c>
      <c r="AA5321">
        <v>0.98683129999999997</v>
      </c>
      <c r="AB5321">
        <v>35</v>
      </c>
      <c r="AC5321">
        <v>6.7373999999999796</v>
      </c>
      <c r="AD5321">
        <v>-1.1084583074950001</v>
      </c>
      <c r="AE5321">
        <v>50.539920000000002</v>
      </c>
      <c r="AF5321">
        <v>8.2286627626727693</v>
      </c>
      <c r="AG5321">
        <v>-1.1084583074950001</v>
      </c>
      <c r="AH5321">
        <v>50.294229916503603</v>
      </c>
      <c r="AI5321">
        <v>91.246003084010795</v>
      </c>
      <c r="AJ5321">
        <v>80.708136126483495</v>
      </c>
      <c r="AK5321">
        <v>50.9749853710168</v>
      </c>
      <c r="AL5321">
        <v>75.735410209564407</v>
      </c>
      <c r="AM5321">
        <v>81.075111669377804</v>
      </c>
      <c r="AN5321">
        <v>1.00000004103625</v>
      </c>
    </row>
    <row r="5322" spans="1:40" x14ac:dyDescent="0.25">
      <c r="A5322" t="str">
        <f>"20190312164414388"</f>
        <v>20190312164414388</v>
      </c>
      <c r="B5322" t="str">
        <f>"1552380254380576"</f>
        <v>1552380254380576</v>
      </c>
      <c r="C5322" t="s">
        <v>40</v>
      </c>
      <c r="D5322">
        <v>5.0602049999999998</v>
      </c>
      <c r="E5322">
        <v>0.51064579999999904</v>
      </c>
      <c r="F5322" t="s">
        <v>42</v>
      </c>
      <c r="G5322">
        <v>-180.18010000000001</v>
      </c>
      <c r="H5322" s="1">
        <v>-2.9358139999999999E-6</v>
      </c>
      <c r="I5322">
        <v>50.597160000000002</v>
      </c>
      <c r="J5322">
        <v>-188.31190000000001</v>
      </c>
      <c r="K5322">
        <v>1.1085130000000001</v>
      </c>
      <c r="L5322">
        <v>-10.33258</v>
      </c>
      <c r="M5322">
        <v>-2.7698839999999999E-2</v>
      </c>
      <c r="N5322">
        <v>0</v>
      </c>
      <c r="O5322">
        <v>0.99954880000000002</v>
      </c>
      <c r="P5322">
        <v>0.12359580000000001</v>
      </c>
      <c r="Q5322">
        <v>0.24086669999999999</v>
      </c>
      <c r="R5322">
        <v>0.96265639999999997</v>
      </c>
      <c r="S5322">
        <v>0.40728760000000003</v>
      </c>
      <c r="T5322">
        <v>-5.558014E-2</v>
      </c>
      <c r="U5322">
        <v>3.0738530000000002</v>
      </c>
      <c r="V5322">
        <v>0.15134149999999999</v>
      </c>
      <c r="W5322">
        <v>0.25131320000000001</v>
      </c>
      <c r="X5322">
        <v>0.95600070000000004</v>
      </c>
      <c r="Y5322">
        <v>0.15874199999999999</v>
      </c>
      <c r="Z5322">
        <v>-1.7875510000000001E-2</v>
      </c>
      <c r="AA5322">
        <v>0.98715830000000004</v>
      </c>
      <c r="AB5322">
        <v>35</v>
      </c>
      <c r="AC5322">
        <v>8.1317999999999895</v>
      </c>
      <c r="AD5322">
        <v>-1.10851593581399</v>
      </c>
      <c r="AE5322">
        <v>60.929740000000002</v>
      </c>
      <c r="AF5322">
        <v>9.8132852094932908</v>
      </c>
      <c r="AG5322">
        <v>-1.10851593581399</v>
      </c>
      <c r="AH5322">
        <v>60.661374895970397</v>
      </c>
      <c r="AI5322">
        <v>91.033464484933404</v>
      </c>
      <c r="AJ5322">
        <v>80.810781261460207</v>
      </c>
      <c r="AK5322">
        <v>61.460001451775703</v>
      </c>
      <c r="AL5322">
        <v>75.444765146184096</v>
      </c>
      <c r="AM5322">
        <v>81.004334485664401</v>
      </c>
      <c r="AN5322">
        <v>0.99999995625848903</v>
      </c>
    </row>
    <row r="5323" spans="1:40" x14ac:dyDescent="0.25">
      <c r="A5323" t="str">
        <f>"20190312164414409"</f>
        <v>20190312164414409</v>
      </c>
      <c r="B5323" t="str">
        <f>"1552380254400096"</f>
        <v>1552380254400096</v>
      </c>
      <c r="C5323" t="s">
        <v>40</v>
      </c>
      <c r="D5323">
        <v>5.0687689999999996</v>
      </c>
      <c r="E5323">
        <v>0.51125549999999997</v>
      </c>
      <c r="F5323" t="s">
        <v>42</v>
      </c>
      <c r="G5323">
        <v>-179.4195</v>
      </c>
      <c r="H5323">
        <v>7.9985849999999997E-2</v>
      </c>
      <c r="I5323">
        <v>56.207549999999998</v>
      </c>
      <c r="J5323">
        <v>-188.3193</v>
      </c>
      <c r="K5323">
        <v>1.1085640000000001</v>
      </c>
      <c r="L5323">
        <v>-10.008419999999999</v>
      </c>
      <c r="M5323">
        <v>-2.6039449999999999E-2</v>
      </c>
      <c r="N5323">
        <v>0</v>
      </c>
      <c r="O5323">
        <v>0.99959350000000002</v>
      </c>
      <c r="P5323">
        <v>0.12594030000000001</v>
      </c>
      <c r="Q5323">
        <v>0.24577940000000001</v>
      </c>
      <c r="R5323">
        <v>0.96110949999999995</v>
      </c>
      <c r="S5323">
        <v>0.41101070000000001</v>
      </c>
      <c r="T5323">
        <v>-4.7538759999999999E-2</v>
      </c>
      <c r="U5323">
        <v>3.0754999999999999</v>
      </c>
      <c r="V5323">
        <v>0.15205679999999999</v>
      </c>
      <c r="W5323">
        <v>0.25620910000000002</v>
      </c>
      <c r="X5323">
        <v>0.95458659999999995</v>
      </c>
      <c r="Y5323">
        <v>0.15821399999999999</v>
      </c>
      <c r="Z5323">
        <v>-1.5282280000000001E-2</v>
      </c>
      <c r="AA5323">
        <v>0.98728660000000001</v>
      </c>
      <c r="AB5323">
        <v>35</v>
      </c>
      <c r="AC5323">
        <v>8.8997999999999902</v>
      </c>
      <c r="AD5323">
        <v>-1.02857815</v>
      </c>
      <c r="AE5323">
        <v>66.215969999999999</v>
      </c>
      <c r="AF5323">
        <v>10.6186087057892</v>
      </c>
      <c r="AG5323">
        <v>-1.02857815</v>
      </c>
      <c r="AH5323">
        <v>65.946122541343399</v>
      </c>
      <c r="AI5323">
        <v>90.882222341485004</v>
      </c>
      <c r="AJ5323">
        <v>80.852779673392703</v>
      </c>
      <c r="AK5323">
        <v>66.803472230829499</v>
      </c>
      <c r="AL5323">
        <v>75.154757806179404</v>
      </c>
      <c r="AM5323">
        <v>80.949351052846794</v>
      </c>
      <c r="AN5323">
        <v>0.99999997512430405</v>
      </c>
    </row>
    <row r="5324" spans="1:40" x14ac:dyDescent="0.25">
      <c r="A5324" t="str">
        <f>"20190312164414430"</f>
        <v>20190312164414430</v>
      </c>
      <c r="B5324" t="str">
        <f>"1552380254420123"</f>
        <v>1552380254420123</v>
      </c>
      <c r="C5324" t="s">
        <v>40</v>
      </c>
      <c r="D5324">
        <v>5.0570789999999999</v>
      </c>
      <c r="E5324">
        <v>0.51149849999999997</v>
      </c>
      <c r="F5324" t="s">
        <v>42</v>
      </c>
      <c r="G5324">
        <v>-177.37280000000001</v>
      </c>
      <c r="H5324">
        <v>7.9986870000000002E-2</v>
      </c>
      <c r="I5324">
        <v>69.394999999999996</v>
      </c>
      <c r="J5324">
        <v>-188.32660000000001</v>
      </c>
      <c r="K5324">
        <v>1.108598</v>
      </c>
      <c r="L5324">
        <v>-9.6653749999999992</v>
      </c>
      <c r="M5324">
        <v>-2.4301079999999999E-2</v>
      </c>
      <c r="N5324">
        <v>0</v>
      </c>
      <c r="O5324">
        <v>0.99963740000000001</v>
      </c>
      <c r="P5324">
        <v>0.12775159999999999</v>
      </c>
      <c r="Q5324">
        <v>0.24925120000000001</v>
      </c>
      <c r="R5324">
        <v>0.95997569999999999</v>
      </c>
      <c r="S5324">
        <v>0.42405700000000002</v>
      </c>
      <c r="T5324">
        <v>-3.9846180000000002E-2</v>
      </c>
      <c r="U5324">
        <v>3.0760190000000001</v>
      </c>
      <c r="V5324">
        <v>0.15217510000000001</v>
      </c>
      <c r="W5324">
        <v>0.2596658</v>
      </c>
      <c r="X5324">
        <v>0.95363330000000002</v>
      </c>
      <c r="Y5324">
        <v>0.16059089999999901</v>
      </c>
      <c r="Z5324">
        <v>-1.28024E-2</v>
      </c>
      <c r="AA5324">
        <v>0.98693799999999998</v>
      </c>
      <c r="AB5324">
        <v>35</v>
      </c>
      <c r="AC5324">
        <v>10.953799999999999</v>
      </c>
      <c r="AD5324">
        <v>-1.02861113</v>
      </c>
      <c r="AE5324">
        <v>79.060374999999993</v>
      </c>
      <c r="AF5324">
        <v>12.869809019608001</v>
      </c>
      <c r="AG5324">
        <v>-1.02861113</v>
      </c>
      <c r="AH5324">
        <v>78.757736703889407</v>
      </c>
      <c r="AI5324">
        <v>90.738472266076499</v>
      </c>
      <c r="AJ5324">
        <v>80.719318158864297</v>
      </c>
      <c r="AK5324">
        <v>79.808966387099005</v>
      </c>
      <c r="AL5324">
        <v>74.949767629699096</v>
      </c>
      <c r="AM5324">
        <v>80.933522254275005</v>
      </c>
      <c r="AN5324">
        <v>1.0000000298092599</v>
      </c>
    </row>
    <row r="5325" spans="1:40" x14ac:dyDescent="0.25">
      <c r="A5325" t="str">
        <f>"20190312164414452"</f>
        <v>20190312164414452</v>
      </c>
      <c r="B5325" t="str">
        <f>"1552380254440620"</f>
        <v>1552380254440620</v>
      </c>
      <c r="C5325" t="s">
        <v>40</v>
      </c>
      <c r="D5325">
        <v>5.0483969999999996</v>
      </c>
      <c r="E5325">
        <v>0.51163970000000003</v>
      </c>
      <c r="F5325" t="s">
        <v>42</v>
      </c>
      <c r="G5325">
        <v>-176.00659999999999</v>
      </c>
      <c r="H5325">
        <v>7.9986509999999997E-2</v>
      </c>
      <c r="I5325">
        <v>77.979369999999903</v>
      </c>
      <c r="J5325">
        <v>-188.33320000000001</v>
      </c>
      <c r="K5325">
        <v>1.1086180000000001</v>
      </c>
      <c r="L5325">
        <v>-9.3215640000000004</v>
      </c>
      <c r="M5325">
        <v>-2.2568560000000001E-2</v>
      </c>
      <c r="N5325">
        <v>0</v>
      </c>
      <c r="O5325">
        <v>0.99967830000000002</v>
      </c>
      <c r="P5325">
        <v>0.12935539999999901</v>
      </c>
      <c r="Q5325">
        <v>0.25207659999999998</v>
      </c>
      <c r="R5325">
        <v>0.95902270000000001</v>
      </c>
      <c r="S5325">
        <v>0.43251040000000002</v>
      </c>
      <c r="T5325">
        <v>-3.6110999999999997E-2</v>
      </c>
      <c r="U5325">
        <v>3.0769039999999999</v>
      </c>
      <c r="V5325">
        <v>0.15209990000000001</v>
      </c>
      <c r="W5325">
        <v>0.26247320000000002</v>
      </c>
      <c r="X5325">
        <v>0.95287639999999996</v>
      </c>
      <c r="Y5325">
        <v>0.161503799999999</v>
      </c>
      <c r="Z5325">
        <v>-1.1596820000000001E-2</v>
      </c>
      <c r="AA5325">
        <v>0.98680389999999996</v>
      </c>
      <c r="AB5325">
        <v>35</v>
      </c>
      <c r="AC5325">
        <v>12.326599999999999</v>
      </c>
      <c r="AD5325">
        <v>-1.02863149</v>
      </c>
      <c r="AE5325">
        <v>87.300933999999899</v>
      </c>
      <c r="AF5325">
        <v>14.2919029549968</v>
      </c>
      <c r="AG5325">
        <v>-1.02863149</v>
      </c>
      <c r="AH5325">
        <v>86.988642484292001</v>
      </c>
      <c r="AI5325">
        <v>90.6685230610057</v>
      </c>
      <c r="AJ5325">
        <v>80.669875647626498</v>
      </c>
      <c r="AK5325">
        <v>88.1608784783662</v>
      </c>
      <c r="AL5325">
        <v>74.783136120993902</v>
      </c>
      <c r="AM5325">
        <v>80.930849544477994</v>
      </c>
      <c r="AN5325">
        <v>0.999999996987605</v>
      </c>
    </row>
    <row r="5326" spans="1:40" x14ac:dyDescent="0.25">
      <c r="A5326" t="str">
        <f>"20190312164414473"</f>
        <v>20190312164414473</v>
      </c>
      <c r="B5326" t="str">
        <f>"1552380254469898"</f>
        <v>1552380254469898</v>
      </c>
      <c r="C5326" t="s">
        <v>40</v>
      </c>
      <c r="D5326">
        <v>5.0261879999999897</v>
      </c>
      <c r="E5326">
        <v>0.51175079999999995</v>
      </c>
      <c r="F5326" t="s">
        <v>42</v>
      </c>
      <c r="G5326">
        <v>-175.6035</v>
      </c>
      <c r="H5326">
        <v>7.9985630000000002E-2</v>
      </c>
      <c r="I5326">
        <v>79.950999999999993</v>
      </c>
      <c r="J5326">
        <v>-188.33920000000001</v>
      </c>
      <c r="K5326">
        <v>1.108641</v>
      </c>
      <c r="L5326">
        <v>-8.984985</v>
      </c>
      <c r="M5326">
        <v>-2.0876120000000001E-2</v>
      </c>
      <c r="N5326">
        <v>0</v>
      </c>
      <c r="O5326">
        <v>0.99971529999999997</v>
      </c>
      <c r="P5326">
        <v>0.13020689999999999</v>
      </c>
      <c r="Q5326">
        <v>0.25430370000000002</v>
      </c>
      <c r="R5326">
        <v>0.95831920000000004</v>
      </c>
      <c r="S5326">
        <v>0.4389496</v>
      </c>
      <c r="T5326">
        <v>-3.546941E-2</v>
      </c>
      <c r="U5326">
        <v>3.0783079999999998</v>
      </c>
      <c r="V5326">
        <v>0.15131910000000001</v>
      </c>
      <c r="W5326">
        <v>0.26468150000000001</v>
      </c>
      <c r="X5326">
        <v>0.95238979999999995</v>
      </c>
      <c r="Y5326">
        <v>0.16179499999999999</v>
      </c>
      <c r="Z5326">
        <v>-1.138437E-2</v>
      </c>
      <c r="AA5326">
        <v>0.98675869999999999</v>
      </c>
      <c r="AB5326">
        <v>35</v>
      </c>
      <c r="AC5326">
        <v>12.7357</v>
      </c>
      <c r="AD5326">
        <v>-1.0286553700000001</v>
      </c>
      <c r="AE5326">
        <v>88.935985000000002</v>
      </c>
      <c r="AF5326">
        <v>14.5877740744912</v>
      </c>
      <c r="AG5326">
        <v>-1.0286553700000001</v>
      </c>
      <c r="AH5326">
        <v>88.639091163434301</v>
      </c>
      <c r="AI5326">
        <v>90.656062295564496</v>
      </c>
      <c r="AJ5326">
        <v>80.654324589279994</v>
      </c>
      <c r="AK5326">
        <v>89.8373517341103</v>
      </c>
      <c r="AL5326">
        <v>74.651972427035901</v>
      </c>
      <c r="AM5326">
        <v>80.972103471787406</v>
      </c>
      <c r="AN5326">
        <v>1.0000000488055401</v>
      </c>
    </row>
    <row r="5327" spans="1:40" x14ac:dyDescent="0.25">
      <c r="A5327" t="str">
        <f>"20190312164414496"</f>
        <v>20190312164414496</v>
      </c>
      <c r="B5327" t="str">
        <f>"1552380254490396"</f>
        <v>1552380254490396</v>
      </c>
      <c r="C5327" t="s">
        <v>40</v>
      </c>
      <c r="D5327">
        <v>5.007485</v>
      </c>
      <c r="E5327">
        <v>0.511779599999999</v>
      </c>
      <c r="F5327" t="s">
        <v>42</v>
      </c>
      <c r="G5327">
        <v>-176.8211</v>
      </c>
      <c r="H5327">
        <v>7.9985970000000003E-2</v>
      </c>
      <c r="I5327">
        <v>71.236090000000004</v>
      </c>
      <c r="J5327">
        <v>-188.345</v>
      </c>
      <c r="K5327">
        <v>1.1086510000000001</v>
      </c>
      <c r="L5327">
        <v>-8.6203919999999901</v>
      </c>
      <c r="M5327">
        <v>-1.9042880000000002E-2</v>
      </c>
      <c r="N5327">
        <v>0</v>
      </c>
      <c r="O5327">
        <v>0.99975230000000004</v>
      </c>
      <c r="P5327">
        <v>0.13043920000000001</v>
      </c>
      <c r="Q5327">
        <v>0.25600709999999999</v>
      </c>
      <c r="R5327">
        <v>0.95783399999999996</v>
      </c>
      <c r="S5327">
        <v>0.44235229999999998</v>
      </c>
      <c r="T5327">
        <v>-3.9505239999999997E-2</v>
      </c>
      <c r="U5327">
        <v>3.0808719999999998</v>
      </c>
      <c r="V5327">
        <v>0.1497897</v>
      </c>
      <c r="W5327">
        <v>0.26636270000000001</v>
      </c>
      <c r="X5327">
        <v>0.95216279999999998</v>
      </c>
      <c r="Y5327">
        <v>0.16093640000000001</v>
      </c>
      <c r="Z5327">
        <v>-1.2669679999999999E-2</v>
      </c>
      <c r="AA5327">
        <v>0.98688350000000002</v>
      </c>
      <c r="AB5327">
        <v>35</v>
      </c>
      <c r="AC5327">
        <v>11.5238999999999</v>
      </c>
      <c r="AD5327">
        <v>-1.02866503</v>
      </c>
      <c r="AE5327">
        <v>79.856482</v>
      </c>
      <c r="AF5327">
        <v>13.0404887077213</v>
      </c>
      <c r="AG5327">
        <v>-1.02866503</v>
      </c>
      <c r="AH5327">
        <v>79.6095965024669</v>
      </c>
      <c r="AI5327">
        <v>90.730563383682096</v>
      </c>
      <c r="AJ5327">
        <v>80.697254314832193</v>
      </c>
      <c r="AK5327">
        <v>80.677136493344506</v>
      </c>
      <c r="AL5327">
        <v>74.552059930272705</v>
      </c>
      <c r="AM5327">
        <v>81.059772502679394</v>
      </c>
      <c r="AN5327">
        <v>1.0000000199406001</v>
      </c>
    </row>
    <row r="5328" spans="1:40" x14ac:dyDescent="0.25">
      <c r="A5328" t="str">
        <f>"20190312164414520"</f>
        <v>20190312164414520</v>
      </c>
      <c r="B5328" t="str">
        <f>"1552380254510425"</f>
        <v>1552380254510425</v>
      </c>
      <c r="C5328" t="s">
        <v>40</v>
      </c>
      <c r="D5328">
        <v>4.9909239999999997</v>
      </c>
      <c r="E5328">
        <v>0.51186860000000001</v>
      </c>
      <c r="F5328" t="s">
        <v>42</v>
      </c>
      <c r="G5328">
        <v>-177.0496</v>
      </c>
      <c r="H5328">
        <v>7.9985529999999999E-2</v>
      </c>
      <c r="I5328">
        <v>69.802390000000003</v>
      </c>
      <c r="J5328">
        <v>-188.35040000000001</v>
      </c>
      <c r="K5328">
        <v>1.108646</v>
      </c>
      <c r="L5328">
        <v>-8.2476500000000001</v>
      </c>
      <c r="M5328">
        <v>-1.716639E-2</v>
      </c>
      <c r="N5328">
        <v>0</v>
      </c>
      <c r="O5328">
        <v>0.99978670000000003</v>
      </c>
      <c r="P5328">
        <v>0.12999520000000001</v>
      </c>
      <c r="Q5328">
        <v>0.25596970000000002</v>
      </c>
      <c r="R5328">
        <v>0.95790439999999999</v>
      </c>
      <c r="S5328">
        <v>0.44396970000000002</v>
      </c>
      <c r="T5328">
        <v>-4.0431979999999999E-2</v>
      </c>
      <c r="U5328">
        <v>3.0824280000000002</v>
      </c>
      <c r="V5328">
        <v>0.1475475</v>
      </c>
      <c r="W5328">
        <v>0.26630389999999998</v>
      </c>
      <c r="X5328">
        <v>0.95252930000000002</v>
      </c>
      <c r="Y5328">
        <v>0.15952049999999901</v>
      </c>
      <c r="Z5328">
        <v>-1.2962049999999999E-2</v>
      </c>
      <c r="AA5328">
        <v>0.98710949999999997</v>
      </c>
      <c r="AB5328">
        <v>35</v>
      </c>
      <c r="AC5328">
        <v>11.300800000000001</v>
      </c>
      <c r="AD5328">
        <v>-1.0286604699999999</v>
      </c>
      <c r="AE5328">
        <v>78.050039999999996</v>
      </c>
      <c r="AF5328">
        <v>12.6369103966342</v>
      </c>
      <c r="AG5328">
        <v>-1.0286604699999999</v>
      </c>
      <c r="AH5328">
        <v>77.831289180476006</v>
      </c>
      <c r="AI5328">
        <v>90.747421532513499</v>
      </c>
      <c r="AJ5328">
        <v>80.777769539345499</v>
      </c>
      <c r="AK5328">
        <v>78.857207801379801</v>
      </c>
      <c r="AL5328">
        <v>74.555555636542607</v>
      </c>
      <c r="AM5328">
        <v>81.194820462418704</v>
      </c>
      <c r="AN5328">
        <v>1.0000000496349699</v>
      </c>
    </row>
    <row r="5329" spans="1:40" x14ac:dyDescent="0.25">
      <c r="A5329" t="str">
        <f>"20190312164414543"</f>
        <v>20190312164414543</v>
      </c>
      <c r="B5329" t="str">
        <f>"1552380254529945"</f>
        <v>1552380254529945</v>
      </c>
      <c r="C5329" t="s">
        <v>40</v>
      </c>
      <c r="D5329">
        <v>5.0282390000000001</v>
      </c>
      <c r="E5329">
        <v>0.51195190000000002</v>
      </c>
      <c r="F5329" t="s">
        <v>42</v>
      </c>
      <c r="G5329">
        <v>-178.63050000000001</v>
      </c>
      <c r="H5329">
        <v>7.9986799999999997E-2</v>
      </c>
      <c r="I5329">
        <v>59.330590000000001</v>
      </c>
      <c r="J5329">
        <v>-188.35480000000001</v>
      </c>
      <c r="K5329">
        <v>1.1086400000000001</v>
      </c>
      <c r="L5329">
        <v>-7.8860469999999996</v>
      </c>
      <c r="M5329">
        <v>-1.5343849999999999E-2</v>
      </c>
      <c r="N5329">
        <v>0</v>
      </c>
      <c r="O5329">
        <v>0.99981690000000001</v>
      </c>
      <c r="P5329">
        <v>0.1290954</v>
      </c>
      <c r="Q5329">
        <v>0.25619960000000003</v>
      </c>
      <c r="R5329">
        <v>0.95796460000000005</v>
      </c>
      <c r="S5329">
        <v>0.44360349999999998</v>
      </c>
      <c r="T5329">
        <v>-4.6946880000000003E-2</v>
      </c>
      <c r="U5329">
        <v>3.0841980000000002</v>
      </c>
      <c r="V5329">
        <v>0.14490310000000001</v>
      </c>
      <c r="W5329">
        <v>0.26650659999999998</v>
      </c>
      <c r="X5329">
        <v>0.95287849999999996</v>
      </c>
      <c r="Y5329">
        <v>0.15752169999999999</v>
      </c>
      <c r="Z5329">
        <v>-1.5044899999999899E-2</v>
      </c>
      <c r="AA5329">
        <v>0.98740090000000003</v>
      </c>
      <c r="AB5329">
        <v>35</v>
      </c>
      <c r="AC5329">
        <v>9.7242999999999995</v>
      </c>
      <c r="AD5329">
        <v>-1.0286531999999999</v>
      </c>
      <c r="AE5329">
        <v>67.216637000000006</v>
      </c>
      <c r="AF5329">
        <v>10.7521179791256</v>
      </c>
      <c r="AG5329">
        <v>-1.0286531999999999</v>
      </c>
      <c r="AH5329">
        <v>67.044125262422995</v>
      </c>
      <c r="AI5329">
        <v>90.867927217067304</v>
      </c>
      <c r="AJ5329">
        <v>80.888844359395094</v>
      </c>
      <c r="AK5329">
        <v>67.908621695970098</v>
      </c>
      <c r="AL5329">
        <v>74.543506435043</v>
      </c>
      <c r="AM5329">
        <v>81.353343942579102</v>
      </c>
      <c r="AN5329">
        <v>1.0000000559977</v>
      </c>
    </row>
    <row r="5330" spans="1:40" x14ac:dyDescent="0.25">
      <c r="A5330" t="str">
        <f>"20190312164414565"</f>
        <v>20190312164414565</v>
      </c>
      <c r="B5330" t="str">
        <f>"1552380254560201"</f>
        <v>1552380254560201</v>
      </c>
      <c r="C5330" t="s">
        <v>40</v>
      </c>
      <c r="D5330">
        <v>5.0307279999999999</v>
      </c>
      <c r="E5330">
        <v>0.51210619999999996</v>
      </c>
      <c r="F5330" t="s">
        <v>42</v>
      </c>
      <c r="G5330">
        <v>-179.62209999999999</v>
      </c>
      <c r="H5330">
        <v>7.9986390000000004E-2</v>
      </c>
      <c r="I5330">
        <v>53.142090000000003</v>
      </c>
      <c r="J5330">
        <v>-188.35849999999999</v>
      </c>
      <c r="K5330">
        <v>1.1086320000000001</v>
      </c>
      <c r="L5330">
        <v>-7.5422359999999999</v>
      </c>
      <c r="M5330">
        <v>-1.360927E-2</v>
      </c>
      <c r="N5330">
        <v>0</v>
      </c>
      <c r="O5330">
        <v>0.99984260000000003</v>
      </c>
      <c r="P5330">
        <v>0.1276726</v>
      </c>
      <c r="Q5330">
        <v>0.25692549999999997</v>
      </c>
      <c r="R5330">
        <v>0.95796079999999995</v>
      </c>
      <c r="S5330">
        <v>0.44158940000000002</v>
      </c>
      <c r="T5330">
        <v>-5.2016260000000002E-2</v>
      </c>
      <c r="U5330">
        <v>3.0860289999999999</v>
      </c>
      <c r="V5330">
        <v>0.14182169999999999</v>
      </c>
      <c r="W5330">
        <v>0.267202299999999</v>
      </c>
      <c r="X5330">
        <v>0.95314719999999997</v>
      </c>
      <c r="Y5330">
        <v>0.15509029999999999</v>
      </c>
      <c r="Z5330">
        <v>-1.6663859999999999E-2</v>
      </c>
      <c r="AA5330">
        <v>0.98775979999999997</v>
      </c>
      <c r="AB5330">
        <v>35</v>
      </c>
      <c r="AC5330">
        <v>8.7363999999999997</v>
      </c>
      <c r="AD5330">
        <v>-1.0286456100000001</v>
      </c>
      <c r="AE5330">
        <v>60.684325999999999</v>
      </c>
      <c r="AF5330">
        <v>9.5588229443866908</v>
      </c>
      <c r="AG5330">
        <v>-1.0286456100000001</v>
      </c>
      <c r="AH5330">
        <v>60.542759109507003</v>
      </c>
      <c r="AI5330">
        <v>90.961476756339195</v>
      </c>
      <c r="AJ5330">
        <v>81.027890528617604</v>
      </c>
      <c r="AK5330">
        <v>61.301344915628903</v>
      </c>
      <c r="AL5330">
        <v>74.502145395244796</v>
      </c>
      <c r="AM5330">
        <v>81.536876533518907</v>
      </c>
      <c r="AN5330">
        <v>1.000000024292</v>
      </c>
    </row>
    <row r="5331" spans="1:40" x14ac:dyDescent="0.25">
      <c r="A5331" t="str">
        <f>"20190312164414587"</f>
        <v>20190312164414587</v>
      </c>
      <c r="B5331" t="str">
        <f>"1552380254580697"</f>
        <v>1552380254580697</v>
      </c>
      <c r="C5331" t="s">
        <v>40</v>
      </c>
      <c r="D5331">
        <v>5.3924409999999998</v>
      </c>
      <c r="E5331">
        <v>0.5062082</v>
      </c>
      <c r="F5331" t="s">
        <v>42</v>
      </c>
      <c r="G5331">
        <v>-179.95779999999999</v>
      </c>
      <c r="H5331">
        <v>4.1903879999999998E-2</v>
      </c>
      <c r="I5331">
        <v>51.633670000000002</v>
      </c>
      <c r="J5331">
        <v>-188.36160000000001</v>
      </c>
      <c r="K5331">
        <v>1.108622</v>
      </c>
      <c r="L5331">
        <v>-7.1871029999999996</v>
      </c>
      <c r="M5331">
        <v>-1.181725E-2</v>
      </c>
      <c r="N5331">
        <v>0</v>
      </c>
      <c r="O5331">
        <v>0.99986589999999997</v>
      </c>
      <c r="P5331">
        <v>0.12539700000000001</v>
      </c>
      <c r="Q5331">
        <v>0.25687189999999999</v>
      </c>
      <c r="R5331">
        <v>0.95827569999999995</v>
      </c>
      <c r="S5331">
        <v>0.43840030000000002</v>
      </c>
      <c r="T5331">
        <v>-5.5668469999999998E-2</v>
      </c>
      <c r="U5331">
        <v>3.088165</v>
      </c>
      <c r="V5331">
        <v>0.1378337</v>
      </c>
      <c r="W5331">
        <v>0.26712269999999999</v>
      </c>
      <c r="X5331">
        <v>0.95375430000000005</v>
      </c>
      <c r="Y5331">
        <v>0.15222069999999999</v>
      </c>
      <c r="Z5331">
        <v>-1.782721E-2</v>
      </c>
      <c r="AA5331">
        <v>0.9881858</v>
      </c>
      <c r="AB5331">
        <v>35</v>
      </c>
      <c r="AC5331">
        <v>8.4038000000000093</v>
      </c>
      <c r="AD5331">
        <v>-1.06671812</v>
      </c>
      <c r="AE5331">
        <v>58.820772999999903</v>
      </c>
      <c r="AF5331">
        <v>9.09542610698856</v>
      </c>
      <c r="AG5331">
        <v>-1.06671812</v>
      </c>
      <c r="AH5331">
        <v>58.698430467522101</v>
      </c>
      <c r="AI5331">
        <v>91.028838065908701</v>
      </c>
      <c r="AJ5331">
        <v>81.191965186013405</v>
      </c>
      <c r="AK5331">
        <v>59.408504466665001</v>
      </c>
      <c r="AL5331">
        <v>74.506877230543196</v>
      </c>
      <c r="AM5331">
        <v>81.776719226882406</v>
      </c>
      <c r="AN5331">
        <v>0.999999965239734</v>
      </c>
    </row>
    <row r="5332" spans="1:40" x14ac:dyDescent="0.25">
      <c r="A5332" t="str">
        <f>"20190312164414608"</f>
        <v>20190312164414608</v>
      </c>
      <c r="B5332" t="str">
        <f>"1552380254600217"</f>
        <v>1552380254600217</v>
      </c>
      <c r="C5332" t="s">
        <v>40</v>
      </c>
      <c r="D5332">
        <v>5.0265149999999998</v>
      </c>
      <c r="E5332">
        <v>0.46820319999999999</v>
      </c>
      <c r="F5332" t="s">
        <v>42</v>
      </c>
      <c r="G5332">
        <v>-184.94970000000001</v>
      </c>
      <c r="H5332" s="1">
        <v>-1.662317E-6</v>
      </c>
      <c r="I5332">
        <v>20.584129999999998</v>
      </c>
      <c r="J5332">
        <v>-188.364</v>
      </c>
      <c r="K5332">
        <v>1.1086180000000001</v>
      </c>
      <c r="L5332">
        <v>-6.8513179999999902</v>
      </c>
      <c r="M5332">
        <v>-1.01241E-2</v>
      </c>
      <c r="N5332">
        <v>0</v>
      </c>
      <c r="O5332">
        <v>0.99988520000000003</v>
      </c>
      <c r="P5332">
        <v>0.1224634</v>
      </c>
      <c r="Q5332">
        <v>0.2570848</v>
      </c>
      <c r="R5332">
        <v>0.95859799999999995</v>
      </c>
      <c r="S5332">
        <v>0.38256839999999998</v>
      </c>
      <c r="T5332">
        <v>-0.1243061</v>
      </c>
      <c r="U5332">
        <v>3.1138919999999999</v>
      </c>
      <c r="V5332">
        <v>0.13328299999999901</v>
      </c>
      <c r="W5332">
        <v>0.26730710000000002</v>
      </c>
      <c r="X5332">
        <v>0.95434929999999996</v>
      </c>
      <c r="Y5332">
        <v>0.13188920000000001</v>
      </c>
      <c r="Z5332">
        <v>-3.956229E-2</v>
      </c>
      <c r="AA5332">
        <v>0.99047459999999998</v>
      </c>
      <c r="AB5332">
        <v>35</v>
      </c>
      <c r="AC5332">
        <v>3.4142999999999901</v>
      </c>
      <c r="AD5332">
        <v>-1.1086196623169999</v>
      </c>
      <c r="AE5332">
        <v>27.435448000000001</v>
      </c>
      <c r="AF5332">
        <v>3.6859750846582999</v>
      </c>
      <c r="AG5332">
        <v>-1.1086196623169999</v>
      </c>
      <c r="AH5332">
        <v>27.355487199828701</v>
      </c>
      <c r="AI5332">
        <v>92.299959950895499</v>
      </c>
      <c r="AJ5332">
        <v>82.325983993677795</v>
      </c>
      <c r="AK5332">
        <v>27.6249548383412</v>
      </c>
      <c r="AL5332">
        <v>74.495913995606699</v>
      </c>
      <c r="AM5332">
        <v>82.049580394224094</v>
      </c>
      <c r="AN5332">
        <v>1.00000001510494</v>
      </c>
    </row>
    <row r="5333" spans="1:40" x14ac:dyDescent="0.25">
      <c r="A5333" t="str">
        <f>"20190312164414629"</f>
        <v>20190312164414629</v>
      </c>
      <c r="B5333" t="str">
        <f>"1552380254620246"</f>
        <v>1552380254620246</v>
      </c>
      <c r="C5333" t="s">
        <v>40</v>
      </c>
      <c r="D5333">
        <v>5.0236239999999999</v>
      </c>
      <c r="E5333">
        <v>0.46396880000000001</v>
      </c>
      <c r="F5333" t="s">
        <v>42</v>
      </c>
      <c r="G5333">
        <v>-183.27430000000001</v>
      </c>
      <c r="H5333" s="1">
        <v>-3.3390959999999998E-6</v>
      </c>
      <c r="I5333">
        <v>194.20150000000001</v>
      </c>
      <c r="J5333">
        <v>-188.36590000000001</v>
      </c>
      <c r="K5333">
        <v>1.1086069999999999</v>
      </c>
      <c r="L5333">
        <v>-6.5109560000000002</v>
      </c>
      <c r="M5333">
        <v>-8.4124919999999902E-3</v>
      </c>
      <c r="N5333">
        <v>0</v>
      </c>
      <c r="O5333">
        <v>0.99990179999999995</v>
      </c>
      <c r="P5333">
        <v>0.1188274</v>
      </c>
      <c r="Q5333">
        <v>0.25747589999999998</v>
      </c>
      <c r="R5333">
        <v>0.95895059999999999</v>
      </c>
      <c r="S5333">
        <v>7.9086299999999998E-2</v>
      </c>
      <c r="T5333">
        <v>-1.7226459999999999E-2</v>
      </c>
      <c r="U5333">
        <v>3.1240839999999999</v>
      </c>
      <c r="V5333">
        <v>0.12801100000000001</v>
      </c>
      <c r="W5333">
        <v>0.26766220000000002</v>
      </c>
      <c r="X5333">
        <v>0.95497129999999997</v>
      </c>
      <c r="Y5333">
        <v>3.3715969999999998E-2</v>
      </c>
      <c r="Z5333">
        <v>-5.5112549999999996E-3</v>
      </c>
      <c r="AA5333">
        <v>0.99941619999999998</v>
      </c>
      <c r="AB5333">
        <v>35</v>
      </c>
      <c r="AC5333">
        <v>5.0915999999999997</v>
      </c>
      <c r="AD5333">
        <v>-1.10861033909599</v>
      </c>
      <c r="AE5333">
        <v>200.712456</v>
      </c>
      <c r="AF5333">
        <v>6.77981109941111</v>
      </c>
      <c r="AG5333">
        <v>-1.10861033909599</v>
      </c>
      <c r="AH5333">
        <v>200.65639941005301</v>
      </c>
      <c r="AI5333">
        <v>90.316370780288395</v>
      </c>
      <c r="AJ5333">
        <v>88.0648170747249</v>
      </c>
      <c r="AK5333">
        <v>200.77396614012099</v>
      </c>
      <c r="AL5333">
        <v>74.474799057654096</v>
      </c>
      <c r="AM5333">
        <v>82.365186774065606</v>
      </c>
      <c r="AN5333">
        <v>1.0000000266267599</v>
      </c>
    </row>
    <row r="5334" spans="1:40" x14ac:dyDescent="0.25">
      <c r="A5334" t="str">
        <f>"20190312164414653"</f>
        <v>20190312164414653</v>
      </c>
      <c r="B5334" t="str">
        <f>"1552380254640742"</f>
        <v>1552380254640742</v>
      </c>
      <c r="C5334" t="s">
        <v>40</v>
      </c>
      <c r="D5334">
        <v>5.0981560000000004</v>
      </c>
      <c r="E5334">
        <v>0.46276489999999998</v>
      </c>
      <c r="F5334" t="s">
        <v>42</v>
      </c>
      <c r="G5334">
        <v>-186.96039999999999</v>
      </c>
      <c r="H5334" s="1">
        <v>-3.5708850000000002E-6</v>
      </c>
      <c r="I5334">
        <v>116.6998</v>
      </c>
      <c r="J5334">
        <v>-188.3673</v>
      </c>
      <c r="K5334">
        <v>1.1085879999999999</v>
      </c>
      <c r="L5334">
        <v>-6.1451419999999999</v>
      </c>
      <c r="M5334">
        <v>-6.5834409999999998E-3</v>
      </c>
      <c r="N5334">
        <v>0</v>
      </c>
      <c r="O5334">
        <v>0.99991660000000004</v>
      </c>
      <c r="P5334">
        <v>0.11534369999999999</v>
      </c>
      <c r="Q5334">
        <v>0.25775749999999997</v>
      </c>
      <c r="R5334">
        <v>0.95930020000000005</v>
      </c>
      <c r="S5334">
        <v>3.5720830000000002E-2</v>
      </c>
      <c r="T5334">
        <v>-2.8176779999999998E-2</v>
      </c>
      <c r="U5334">
        <v>3.131561</v>
      </c>
      <c r="V5334">
        <v>0.1227743</v>
      </c>
      <c r="W5334">
        <v>0.26788820000000002</v>
      </c>
      <c r="X5334">
        <v>0.95559530000000004</v>
      </c>
      <c r="Y5334">
        <v>1.798868E-2</v>
      </c>
      <c r="Z5334">
        <v>-8.9960019999999995E-3</v>
      </c>
      <c r="AA5334">
        <v>0.99979770000000001</v>
      </c>
      <c r="AB5334">
        <v>35</v>
      </c>
      <c r="AC5334">
        <v>1.4069</v>
      </c>
      <c r="AD5334">
        <v>-1.1085915708849901</v>
      </c>
      <c r="AE5334">
        <v>122.84494199999899</v>
      </c>
      <c r="AF5334">
        <v>2.2154814584552098</v>
      </c>
      <c r="AG5334">
        <v>-1.1085915708849901</v>
      </c>
      <c r="AH5334">
        <v>122.82301549035201</v>
      </c>
      <c r="AI5334">
        <v>90.517049375417002</v>
      </c>
      <c r="AJ5334">
        <v>88.966610841460394</v>
      </c>
      <c r="AK5334">
        <v>122.847997409429</v>
      </c>
      <c r="AL5334">
        <v>74.461358941719794</v>
      </c>
      <c r="AM5334">
        <v>82.678781139202897</v>
      </c>
      <c r="AN5334">
        <v>0.99999999691091002</v>
      </c>
    </row>
    <row r="5335" spans="1:40" x14ac:dyDescent="0.25">
      <c r="A5335" t="str">
        <f>"20190312164414675"</f>
        <v>20190312164414675</v>
      </c>
      <c r="B5335" t="str">
        <f>"1552380254670022"</f>
        <v>1552380254670022</v>
      </c>
      <c r="C5335" t="s">
        <v>40</v>
      </c>
      <c r="D5335">
        <v>4.9535859999999996</v>
      </c>
      <c r="E5335">
        <v>0.46255000000000002</v>
      </c>
      <c r="F5335" t="s">
        <v>42</v>
      </c>
      <c r="G5335">
        <v>-187.79740000000001</v>
      </c>
      <c r="H5335" s="1">
        <v>-3.311472E-6</v>
      </c>
      <c r="I5335">
        <v>96.441159999999996</v>
      </c>
      <c r="J5335">
        <v>-188.36799999999999</v>
      </c>
      <c r="K5335">
        <v>1.1085739999999999</v>
      </c>
      <c r="L5335">
        <v>-5.7813109999999996</v>
      </c>
      <c r="M5335">
        <v>-4.7791860000000004E-3</v>
      </c>
      <c r="N5335">
        <v>0</v>
      </c>
      <c r="O5335">
        <v>0.99992789999999998</v>
      </c>
      <c r="P5335">
        <v>0.11127670000000001</v>
      </c>
      <c r="Q5335">
        <v>0.25804359999999998</v>
      </c>
      <c r="R5335">
        <v>0.95970359999999999</v>
      </c>
      <c r="S5335">
        <v>1.741028E-2</v>
      </c>
      <c r="T5335">
        <v>-3.3870339999999999E-2</v>
      </c>
      <c r="U5335">
        <v>3.134277</v>
      </c>
      <c r="V5335">
        <v>0.1169738</v>
      </c>
      <c r="W5335">
        <v>0.26810970000000001</v>
      </c>
      <c r="X5335">
        <v>0.95626060000000002</v>
      </c>
      <c r="Y5335">
        <v>1.0333729999999999E-2</v>
      </c>
      <c r="Z5335">
        <v>-1.0805240000000001E-2</v>
      </c>
      <c r="AA5335">
        <v>0.9998882</v>
      </c>
      <c r="AB5335">
        <v>36</v>
      </c>
      <c r="AC5335">
        <v>0.57059999999998401</v>
      </c>
      <c r="AD5335">
        <v>-1.1085773114719999</v>
      </c>
      <c r="AE5335">
        <v>102.222471</v>
      </c>
      <c r="AF5335">
        <v>1.05903878270009</v>
      </c>
      <c r="AG5335">
        <v>-1.1085773114719999</v>
      </c>
      <c r="AH5335">
        <v>102.206556270981</v>
      </c>
      <c r="AI5335">
        <v>90.621397528640003</v>
      </c>
      <c r="AJ5335">
        <v>89.406336703388504</v>
      </c>
      <c r="AK5335">
        <v>102.21805443057499</v>
      </c>
      <c r="AL5335">
        <v>74.448186230354807</v>
      </c>
      <c r="AM5335">
        <v>83.025987191907106</v>
      </c>
      <c r="AN5335">
        <v>1.00000000811644</v>
      </c>
    </row>
    <row r="5336" spans="1:40" x14ac:dyDescent="0.25">
      <c r="A5336" t="str">
        <f>"20190312164414697"</f>
        <v>20190312164414697</v>
      </c>
      <c r="B5336" t="str">
        <f>"1552380254690518"</f>
        <v>1552380254690518</v>
      </c>
      <c r="C5336" t="s">
        <v>40</v>
      </c>
      <c r="D5336">
        <v>4.9130580000000004</v>
      </c>
      <c r="E5336">
        <v>0.46271020000000002</v>
      </c>
      <c r="F5336" t="s">
        <v>42</v>
      </c>
      <c r="G5336">
        <v>-188.23920000000001</v>
      </c>
      <c r="H5336" s="1">
        <v>-2.4207369999999999E-6</v>
      </c>
      <c r="I5336">
        <v>84.547499999999999</v>
      </c>
      <c r="J5336">
        <v>-188.3681</v>
      </c>
      <c r="K5336">
        <v>1.108563</v>
      </c>
      <c r="L5336">
        <v>-5.424957</v>
      </c>
      <c r="M5336">
        <v>-3.0254219999999998E-3</v>
      </c>
      <c r="N5336">
        <v>0</v>
      </c>
      <c r="O5336">
        <v>0.99993600000000005</v>
      </c>
      <c r="P5336">
        <v>0.1071288</v>
      </c>
      <c r="Q5336">
        <v>0.2563221</v>
      </c>
      <c r="R5336">
        <v>0.96063639999999995</v>
      </c>
      <c r="S5336">
        <v>4.4708250000000003E-3</v>
      </c>
      <c r="T5336">
        <v>-3.8484690000000002E-2</v>
      </c>
      <c r="U5336">
        <v>3.1358030000000001</v>
      </c>
      <c r="V5336">
        <v>0.11113140000000001</v>
      </c>
      <c r="W5336">
        <v>0.26631759999999999</v>
      </c>
      <c r="X5336">
        <v>0.95745740000000001</v>
      </c>
      <c r="Y5336">
        <v>4.4512190000000002E-3</v>
      </c>
      <c r="Z5336">
        <v>-1.2271600000000001E-2</v>
      </c>
      <c r="AA5336">
        <v>0.99991479999999999</v>
      </c>
      <c r="AB5336">
        <v>36</v>
      </c>
      <c r="AC5336">
        <v>0.128899999999987</v>
      </c>
      <c r="AD5336">
        <v>-1.1085654207369999</v>
      </c>
      <c r="AE5336">
        <v>89.972456999999906</v>
      </c>
      <c r="AF5336">
        <v>0.401059351889402</v>
      </c>
      <c r="AG5336">
        <v>-1.1085654207369999</v>
      </c>
      <c r="AH5336">
        <v>89.957998589421706</v>
      </c>
      <c r="AI5336">
        <v>90.706021419960905</v>
      </c>
      <c r="AJ5336">
        <v>89.744560169045599</v>
      </c>
      <c r="AK5336">
        <v>89.965722784348202</v>
      </c>
      <c r="AL5336">
        <v>74.554739895781395</v>
      </c>
      <c r="AM5336">
        <v>83.379344856767105</v>
      </c>
      <c r="AN5336">
        <v>0.99999996247523903</v>
      </c>
    </row>
    <row r="5337" spans="1:40" x14ac:dyDescent="0.25">
      <c r="A5337" t="str">
        <f>"20190312164414720"</f>
        <v>20190312164414720</v>
      </c>
      <c r="B5337" t="str">
        <f>"1552380254710545"</f>
        <v>1552380254710545</v>
      </c>
      <c r="C5337" t="s">
        <v>40</v>
      </c>
      <c r="D5337">
        <v>4.8867229999999999</v>
      </c>
      <c r="E5337">
        <v>0.4630128</v>
      </c>
      <c r="F5337" t="s">
        <v>42</v>
      </c>
      <c r="G5337">
        <v>-188.54929999999999</v>
      </c>
      <c r="H5337" s="1">
        <v>-3.798954E-6</v>
      </c>
      <c r="I5337">
        <v>67.888369999999995</v>
      </c>
      <c r="J5337">
        <v>-188.36760000000001</v>
      </c>
      <c r="K5337">
        <v>1.108544</v>
      </c>
      <c r="L5337">
        <v>-5.0690920000000004</v>
      </c>
      <c r="M5337">
        <v>-1.284969E-3</v>
      </c>
      <c r="N5337">
        <v>0</v>
      </c>
      <c r="O5337">
        <v>0.99994119999999997</v>
      </c>
      <c r="P5337">
        <v>0.1024518</v>
      </c>
      <c r="Q5337">
        <v>0.25358940000000002</v>
      </c>
      <c r="R5337">
        <v>0.96187109999999998</v>
      </c>
      <c r="S5337">
        <v>-7.7514649999999999E-3</v>
      </c>
      <c r="T5337">
        <v>-4.7425990000000001E-2</v>
      </c>
      <c r="U5337">
        <v>3.136444</v>
      </c>
      <c r="V5337">
        <v>0.1047662</v>
      </c>
      <c r="W5337">
        <v>0.26350089999999998</v>
      </c>
      <c r="X5337">
        <v>0.95895330000000001</v>
      </c>
      <c r="Y5337">
        <v>-1.1860869999999999E-3</v>
      </c>
      <c r="Z5337">
        <v>-1.5119169999999999E-2</v>
      </c>
      <c r="AA5337">
        <v>0.99988500000000002</v>
      </c>
      <c r="AB5337">
        <v>36</v>
      </c>
      <c r="AC5337">
        <v>-0.18169999999997799</v>
      </c>
      <c r="AD5337">
        <v>-1.108547798954</v>
      </c>
      <c r="AE5337">
        <v>72.957461999999893</v>
      </c>
      <c r="AF5337">
        <v>-8.7926038237816403E-2</v>
      </c>
      <c r="AG5337">
        <v>-1.108547798954</v>
      </c>
      <c r="AH5337">
        <v>72.940795442660104</v>
      </c>
      <c r="AI5337">
        <v>90.870708555590298</v>
      </c>
      <c r="AJ5337">
        <v>90.069066815485499</v>
      </c>
      <c r="AK5337">
        <v>72.949271751119994</v>
      </c>
      <c r="AL5337">
        <v>74.7221058350503</v>
      </c>
      <c r="AM5337">
        <v>83.765130465000894</v>
      </c>
      <c r="AN5337">
        <v>1.0000000562720599</v>
      </c>
    </row>
    <row r="5338" spans="1:40" x14ac:dyDescent="0.25">
      <c r="A5338" t="str">
        <f>"20190312164414743"</f>
        <v>20190312164414743</v>
      </c>
      <c r="B5338" t="str">
        <f>"1552380254740800"</f>
        <v>1552380254740800</v>
      </c>
      <c r="C5338" t="s">
        <v>40</v>
      </c>
      <c r="D5338">
        <v>4.8542639999999997</v>
      </c>
      <c r="E5338">
        <v>0.46401189999999998</v>
      </c>
      <c r="F5338" t="s">
        <v>42</v>
      </c>
      <c r="G5338">
        <v>-188.70699999999999</v>
      </c>
      <c r="H5338" s="1">
        <v>-1.3220100000000001E-6</v>
      </c>
      <c r="I5338">
        <v>52.179789999999997</v>
      </c>
      <c r="J5338">
        <v>-188.3664</v>
      </c>
      <c r="K5338">
        <v>1.1085229999999999</v>
      </c>
      <c r="L5338">
        <v>-4.6993410000000004</v>
      </c>
      <c r="M5338">
        <v>5.1273279999999996E-4</v>
      </c>
      <c r="N5338">
        <v>0</v>
      </c>
      <c r="O5338">
        <v>0.99994360000000004</v>
      </c>
      <c r="P5338">
        <v>9.8306640000000001E-2</v>
      </c>
      <c r="Q5338">
        <v>0.25174770000000002</v>
      </c>
      <c r="R5338">
        <v>0.96278699999999995</v>
      </c>
      <c r="S5338">
        <v>-1.8600459999999999E-2</v>
      </c>
      <c r="T5338">
        <v>-6.0742379999999999E-2</v>
      </c>
      <c r="U5338">
        <v>3.1369319999999998</v>
      </c>
      <c r="V5338">
        <v>9.8879149999999999E-2</v>
      </c>
      <c r="W5338">
        <v>0.26154500000000003</v>
      </c>
      <c r="X5338">
        <v>0.96011310000000005</v>
      </c>
      <c r="Y5338">
        <v>-6.4410439999999999E-3</v>
      </c>
      <c r="Z5338">
        <v>-1.9359620000000001E-2</v>
      </c>
      <c r="AA5338">
        <v>0.99979189999999996</v>
      </c>
      <c r="AB5338">
        <v>36</v>
      </c>
      <c r="AC5338">
        <v>-0.34059999999999402</v>
      </c>
      <c r="AD5338">
        <v>-1.1085243220099901</v>
      </c>
      <c r="AE5338">
        <v>56.879131000000001</v>
      </c>
      <c r="AF5338">
        <v>-0.36962500431302198</v>
      </c>
      <c r="AG5338">
        <v>-1.1085243220099901</v>
      </c>
      <c r="AH5338">
        <v>56.857353756109298</v>
      </c>
      <c r="AI5338">
        <v>91.116907025599005</v>
      </c>
      <c r="AJ5338">
        <v>90.372469927243003</v>
      </c>
      <c r="AK5338">
        <v>56.869360159612</v>
      </c>
      <c r="AL5338">
        <v>74.838243552884606</v>
      </c>
      <c r="AM5338">
        <v>84.120010493820203</v>
      </c>
      <c r="AN5338">
        <v>1.0000000190606599</v>
      </c>
    </row>
    <row r="5339" spans="1:40" x14ac:dyDescent="0.25">
      <c r="A5339" t="str">
        <f>"20190312164414767"</f>
        <v>20190312164414767</v>
      </c>
      <c r="B5339" t="str">
        <f>"1552380254760321"</f>
        <v>1552380254760321</v>
      </c>
      <c r="C5339" t="s">
        <v>40</v>
      </c>
      <c r="D5339">
        <v>5.0147089999999999</v>
      </c>
      <c r="E5339">
        <v>0.46559539999999999</v>
      </c>
      <c r="F5339" t="s">
        <v>42</v>
      </c>
      <c r="G5339">
        <v>-188.51230000000001</v>
      </c>
      <c r="H5339" s="1">
        <v>-1.4327099999999999E-6</v>
      </c>
      <c r="I5339">
        <v>12.3573</v>
      </c>
      <c r="J5339">
        <v>-188.36449999999999</v>
      </c>
      <c r="K5339">
        <v>1.1084889999999901</v>
      </c>
      <c r="L5339">
        <v>-4.3145449999999999</v>
      </c>
      <c r="M5339">
        <v>2.374878E-3</v>
      </c>
      <c r="N5339">
        <v>0</v>
      </c>
      <c r="O5339">
        <v>0.99994280000000002</v>
      </c>
      <c r="P5339">
        <v>9.4677070000000002E-2</v>
      </c>
      <c r="Q5339">
        <v>0.25092629999999999</v>
      </c>
      <c r="R5339">
        <v>0.96336509999999997</v>
      </c>
      <c r="S5339">
        <v>-2.7130129999999999E-2</v>
      </c>
      <c r="T5339">
        <v>-0.20619209999999999</v>
      </c>
      <c r="U5339">
        <v>3.1726380000000001</v>
      </c>
      <c r="V5339">
        <v>9.3449030000000002E-2</v>
      </c>
      <c r="W5339">
        <v>0.26058340000000002</v>
      </c>
      <c r="X5339">
        <v>0.9609181</v>
      </c>
      <c r="Y5339">
        <v>-1.090787E-2</v>
      </c>
      <c r="Z5339">
        <v>-6.4850550000000007E-2</v>
      </c>
      <c r="AA5339">
        <v>0.99783540000000004</v>
      </c>
      <c r="AB5339">
        <v>36</v>
      </c>
      <c r="AC5339">
        <v>-0.147800000000017</v>
      </c>
      <c r="AD5339">
        <v>-1.10849043270999</v>
      </c>
      <c r="AE5339">
        <v>16.671845000000001</v>
      </c>
      <c r="AF5339">
        <v>-0.18657061587367299</v>
      </c>
      <c r="AG5339">
        <v>-1.10849043270999</v>
      </c>
      <c r="AH5339">
        <v>16.598076668849401</v>
      </c>
      <c r="AI5339">
        <v>93.820542500199906</v>
      </c>
      <c r="AJ5339">
        <v>90.644005863308607</v>
      </c>
      <c r="AK5339">
        <v>16.636096559563502</v>
      </c>
      <c r="AL5339">
        <v>74.895318345831299</v>
      </c>
      <c r="AM5339">
        <v>84.445467399957707</v>
      </c>
      <c r="AN5339">
        <v>1.0000000122355499</v>
      </c>
    </row>
    <row r="5340" spans="1:40" x14ac:dyDescent="0.25">
      <c r="A5340" t="str">
        <f>"20190312164414788"</f>
        <v>20190312164414788</v>
      </c>
      <c r="B5340" t="str">
        <f>"1552380254780818"</f>
        <v>1552380254780818</v>
      </c>
      <c r="C5340" t="s">
        <v>40</v>
      </c>
      <c r="D5340">
        <v>4.9066260000000002</v>
      </c>
      <c r="E5340">
        <v>0.4662808</v>
      </c>
      <c r="F5340" t="s">
        <v>42</v>
      </c>
      <c r="G5340">
        <v>-188.51759999999999</v>
      </c>
      <c r="H5340" s="1">
        <v>-3.246784E-6</v>
      </c>
      <c r="I5340">
        <v>16.588159999999998</v>
      </c>
      <c r="J5340">
        <v>-188.3622</v>
      </c>
      <c r="K5340">
        <v>1.1084540000000001</v>
      </c>
      <c r="L5340">
        <v>-3.9659119999999999</v>
      </c>
      <c r="M5340">
        <v>4.057204E-3</v>
      </c>
      <c r="N5340">
        <v>0</v>
      </c>
      <c r="O5340">
        <v>0.99993909999999997</v>
      </c>
      <c r="P5340">
        <v>9.0173790000000004E-2</v>
      </c>
      <c r="Q5340">
        <v>0.2495039</v>
      </c>
      <c r="R5340">
        <v>0.96416619999999997</v>
      </c>
      <c r="S5340">
        <v>-2.3147580000000001E-2</v>
      </c>
      <c r="T5340">
        <v>-0.16757820000000001</v>
      </c>
      <c r="U5340">
        <v>3.1600039999999998</v>
      </c>
      <c r="V5340">
        <v>8.7314749999999997E-2</v>
      </c>
      <c r="W5340">
        <v>0.2590404</v>
      </c>
      <c r="X5340">
        <v>0.96191170000000004</v>
      </c>
      <c r="Y5340">
        <v>-1.137195E-2</v>
      </c>
      <c r="Z5340">
        <v>-5.295354E-2</v>
      </c>
      <c r="AA5340">
        <v>0.99853219999999998</v>
      </c>
      <c r="AB5340">
        <v>36</v>
      </c>
      <c r="AC5340">
        <v>-0.15539999999998599</v>
      </c>
      <c r="AD5340">
        <v>-1.1084572467839999</v>
      </c>
      <c r="AE5340">
        <v>20.554072000000001</v>
      </c>
      <c r="AF5340">
        <v>-0.23810273709409899</v>
      </c>
      <c r="AG5340">
        <v>-1.1084572467839999</v>
      </c>
      <c r="AH5340">
        <v>20.493673541484601</v>
      </c>
      <c r="AI5340">
        <v>93.095776085473602</v>
      </c>
      <c r="AJ5340">
        <v>90.665652651706594</v>
      </c>
      <c r="AK5340">
        <v>20.525009758982002</v>
      </c>
      <c r="AL5340">
        <v>74.986868829610302</v>
      </c>
      <c r="AM5340">
        <v>84.813355559225101</v>
      </c>
      <c r="AN5340">
        <v>0.99999995649830498</v>
      </c>
    </row>
    <row r="5341" spans="1:40" x14ac:dyDescent="0.25">
      <c r="A5341" t="str">
        <f>"20190312164414808"</f>
        <v>20190312164414808</v>
      </c>
      <c r="B5341" t="str">
        <f>"1552380254800337"</f>
        <v>1552380254800337</v>
      </c>
      <c r="C5341" t="s">
        <v>40</v>
      </c>
      <c r="D5341">
        <v>4.8849600000000004</v>
      </c>
      <c r="E5341">
        <v>0.46639530000000001</v>
      </c>
      <c r="F5341" t="s">
        <v>42</v>
      </c>
      <c r="G5341">
        <v>-188.5701</v>
      </c>
      <c r="H5341" s="1">
        <v>-4.0557050000000003E-6</v>
      </c>
      <c r="I5341">
        <v>18.4955</v>
      </c>
      <c r="J5341">
        <v>-188.3595</v>
      </c>
      <c r="K5341">
        <v>1.108412</v>
      </c>
      <c r="L5341">
        <v>-3.6414179999999998</v>
      </c>
      <c r="M5341">
        <v>5.6207260000000004E-3</v>
      </c>
      <c r="N5341">
        <v>0</v>
      </c>
      <c r="O5341">
        <v>0.99993310000000002</v>
      </c>
      <c r="P5341">
        <v>8.4977849999999994E-2</v>
      </c>
      <c r="Q5341">
        <v>0.24699670000000001</v>
      </c>
      <c r="R5341">
        <v>0.965283</v>
      </c>
      <c r="S5341">
        <v>-2.920532E-2</v>
      </c>
      <c r="T5341">
        <v>-0.15567339999999999</v>
      </c>
      <c r="U5341">
        <v>3.1545100000000001</v>
      </c>
      <c r="V5341">
        <v>8.0594269999999996E-2</v>
      </c>
      <c r="W5341">
        <v>0.2564225</v>
      </c>
      <c r="X5341">
        <v>0.96319889999999997</v>
      </c>
      <c r="Y5341">
        <v>-1.486725E-2</v>
      </c>
      <c r="Z5341">
        <v>-4.928453E-2</v>
      </c>
      <c r="AA5341">
        <v>0.99867410000000001</v>
      </c>
      <c r="AB5341">
        <v>36</v>
      </c>
      <c r="AC5341">
        <v>-0.21059999999999901</v>
      </c>
      <c r="AD5341">
        <v>-1.108416055705</v>
      </c>
      <c r="AE5341">
        <v>22.136917999999898</v>
      </c>
      <c r="AF5341">
        <v>-0.33419080904598603</v>
      </c>
      <c r="AG5341">
        <v>-1.108416055705</v>
      </c>
      <c r="AH5341">
        <v>22.0800326999485</v>
      </c>
      <c r="AI5341">
        <v>92.873503024311404</v>
      </c>
      <c r="AJ5341">
        <v>90.867130100905996</v>
      </c>
      <c r="AK5341">
        <v>22.110362133628499</v>
      </c>
      <c r="AL5341">
        <v>75.142109108197602</v>
      </c>
      <c r="AM5341">
        <v>85.217000388190996</v>
      </c>
      <c r="AN5341">
        <v>1.0000000279121399</v>
      </c>
    </row>
    <row r="5342" spans="1:40" x14ac:dyDescent="0.25">
      <c r="A5342" t="str">
        <f>"20190312164414831"</f>
        <v>20190312164414831</v>
      </c>
      <c r="B5342" t="str">
        <f>"1552380254820363"</f>
        <v>1552380254820363</v>
      </c>
      <c r="C5342" t="s">
        <v>40</v>
      </c>
      <c r="D5342">
        <v>5.0399690000000001</v>
      </c>
      <c r="E5342">
        <v>0.46697709999999998</v>
      </c>
      <c r="F5342" t="s">
        <v>42</v>
      </c>
      <c r="G5342">
        <v>-188.6403</v>
      </c>
      <c r="H5342" s="1">
        <v>-3.6607689999999999E-6</v>
      </c>
      <c r="I5342">
        <v>17.60388</v>
      </c>
      <c r="J5342">
        <v>-188.35589999999999</v>
      </c>
      <c r="K5342">
        <v>1.108371</v>
      </c>
      <c r="L5342">
        <v>-3.2781370000000001</v>
      </c>
      <c r="M5342">
        <v>7.36603E-3</v>
      </c>
      <c r="N5342">
        <v>0</v>
      </c>
      <c r="O5342">
        <v>0.99992360000000002</v>
      </c>
      <c r="P5342">
        <v>7.9163289999999997E-2</v>
      </c>
      <c r="Q5342">
        <v>0.24372679999999999</v>
      </c>
      <c r="R5342">
        <v>0.96660769999999996</v>
      </c>
      <c r="S5342">
        <v>-4.167175E-2</v>
      </c>
      <c r="T5342">
        <v>-0.1645335</v>
      </c>
      <c r="U5342">
        <v>3.1536559999999998</v>
      </c>
      <c r="V5342">
        <v>7.3070700000000002E-2</v>
      </c>
      <c r="W5342">
        <v>0.25301859999999998</v>
      </c>
      <c r="X5342">
        <v>0.96469800000000006</v>
      </c>
      <c r="Y5342">
        <v>-2.056009E-2</v>
      </c>
      <c r="Z5342">
        <v>-5.209155E-2</v>
      </c>
      <c r="AA5342">
        <v>0.9984307</v>
      </c>
      <c r="AB5342">
        <v>36</v>
      </c>
      <c r="AC5342">
        <v>-0.28440000000000498</v>
      </c>
      <c r="AD5342">
        <v>-1.1083746607689999</v>
      </c>
      <c r="AE5342">
        <v>20.882017000000001</v>
      </c>
      <c r="AF5342">
        <v>-0.43698654584600999</v>
      </c>
      <c r="AG5342">
        <v>-1.1083746607689999</v>
      </c>
      <c r="AH5342">
        <v>20.820708766754301</v>
      </c>
      <c r="AI5342">
        <v>93.046551441847598</v>
      </c>
      <c r="AJ5342">
        <v>91.202351452209797</v>
      </c>
      <c r="AK5342">
        <v>20.854768403889899</v>
      </c>
      <c r="AL5342">
        <v>75.343790219395004</v>
      </c>
      <c r="AM5342">
        <v>85.668423112969407</v>
      </c>
      <c r="AN5342">
        <v>0.99999998517422495</v>
      </c>
    </row>
    <row r="5343" spans="1:40" x14ac:dyDescent="0.25">
      <c r="A5343" t="str">
        <f>"20190312164414854"</f>
        <v>20190312164414854</v>
      </c>
      <c r="B5343" t="str">
        <f>"1552380254850619"</f>
        <v>1552380254850619</v>
      </c>
      <c r="C5343" t="s">
        <v>40</v>
      </c>
      <c r="D5343">
        <v>5.0701640000000001</v>
      </c>
      <c r="E5343">
        <v>0.46878449999999999</v>
      </c>
      <c r="F5343" t="s">
        <v>42</v>
      </c>
      <c r="G5343">
        <v>-188.69370000000001</v>
      </c>
      <c r="H5343" s="1">
        <v>-3.4527739999999999E-6</v>
      </c>
      <c r="I5343">
        <v>17.14114</v>
      </c>
      <c r="J5343">
        <v>-188.3518</v>
      </c>
      <c r="K5343">
        <v>1.1083430000000001</v>
      </c>
      <c r="L5343">
        <v>-2.9140320000000002</v>
      </c>
      <c r="M5343">
        <v>9.1007020000000004E-3</v>
      </c>
      <c r="N5343">
        <v>0</v>
      </c>
      <c r="O5343">
        <v>0.9999112</v>
      </c>
      <c r="P5343">
        <v>7.2967829999999997E-2</v>
      </c>
      <c r="Q5343">
        <v>0.2399915</v>
      </c>
      <c r="R5343">
        <v>0.96802880000000002</v>
      </c>
      <c r="S5343">
        <v>-5.212402E-2</v>
      </c>
      <c r="T5343">
        <v>-0.17104040000000001</v>
      </c>
      <c r="U5343">
        <v>3.1510310000000001</v>
      </c>
      <c r="V5343">
        <v>6.516632E-2</v>
      </c>
      <c r="W5343">
        <v>0.24914749999999999</v>
      </c>
      <c r="X5343">
        <v>0.96627059999999998</v>
      </c>
      <c r="Y5343">
        <v>-2.561453E-2</v>
      </c>
      <c r="Z5343">
        <v>-5.4185030000000002E-2</v>
      </c>
      <c r="AA5343">
        <v>0.99820229999999999</v>
      </c>
      <c r="AB5343">
        <v>36</v>
      </c>
      <c r="AC5343">
        <v>-0.34190000000000897</v>
      </c>
      <c r="AD5343">
        <v>-1.1083464527739999</v>
      </c>
      <c r="AE5343">
        <v>20.055171999999999</v>
      </c>
      <c r="AF5343">
        <v>-0.52281431428615399</v>
      </c>
      <c r="AG5343">
        <v>-1.1083464527739999</v>
      </c>
      <c r="AH5343">
        <v>19.9901932901846</v>
      </c>
      <c r="AI5343">
        <v>93.172404589508702</v>
      </c>
      <c r="AJ5343">
        <v>91.498145926654303</v>
      </c>
      <c r="AK5343">
        <v>20.0277206502772</v>
      </c>
      <c r="AL5343">
        <v>75.5729286160242</v>
      </c>
      <c r="AM5343">
        <v>86.1417539171116</v>
      </c>
      <c r="AN5343">
        <v>0.99999999922147598</v>
      </c>
    </row>
    <row r="5344" spans="1:40" x14ac:dyDescent="0.25">
      <c r="A5344" t="str">
        <f>"20190312164414875"</f>
        <v>20190312164414875</v>
      </c>
      <c r="B5344" t="str">
        <f>"1552380254870140"</f>
        <v>1552380254870140</v>
      </c>
      <c r="C5344" t="s">
        <v>40</v>
      </c>
      <c r="D5344">
        <v>4.8033979999999996</v>
      </c>
      <c r="E5344">
        <v>0.46774349999999998</v>
      </c>
      <c r="F5344" t="s">
        <v>42</v>
      </c>
      <c r="G5344">
        <v>-188.71100000000001</v>
      </c>
      <c r="H5344" s="1">
        <v>-3.6461830000000001E-6</v>
      </c>
      <c r="I5344">
        <v>17.599129999999999</v>
      </c>
      <c r="J5344">
        <v>-188.34719999999999</v>
      </c>
      <c r="K5344">
        <v>1.108311</v>
      </c>
      <c r="L5344">
        <v>-2.5675349999999999</v>
      </c>
      <c r="M5344">
        <v>1.0723E-2</v>
      </c>
      <c r="N5344">
        <v>0</v>
      </c>
      <c r="O5344">
        <v>0.99989680000000003</v>
      </c>
      <c r="P5344">
        <v>6.7138180000000006E-2</v>
      </c>
      <c r="Q5344">
        <v>0.23591509999999999</v>
      </c>
      <c r="R5344">
        <v>0.96945170000000003</v>
      </c>
      <c r="S5344">
        <v>-5.5084229999999998E-2</v>
      </c>
      <c r="T5344">
        <v>-0.16994670000000001</v>
      </c>
      <c r="U5344">
        <v>3.1453549999999999</v>
      </c>
      <c r="V5344">
        <v>5.7724999999999999E-2</v>
      </c>
      <c r="W5344">
        <v>0.2449442</v>
      </c>
      <c r="X5344">
        <v>0.96781719999999904</v>
      </c>
      <c r="Y5344">
        <v>-2.8205549999999999E-2</v>
      </c>
      <c r="Z5344">
        <v>-5.3932790000000001E-2</v>
      </c>
      <c r="AA5344">
        <v>0.99814610000000004</v>
      </c>
      <c r="AB5344">
        <v>36</v>
      </c>
      <c r="AC5344">
        <v>-0.36379999999999701</v>
      </c>
      <c r="AD5344">
        <v>-1.108314646183</v>
      </c>
      <c r="AE5344">
        <v>20.166664999999998</v>
      </c>
      <c r="AF5344">
        <v>-0.57829004187398703</v>
      </c>
      <c r="AG5344">
        <v>-1.108314646183</v>
      </c>
      <c r="AH5344">
        <v>20.1009121085354</v>
      </c>
      <c r="AI5344">
        <v>93.154649564559605</v>
      </c>
      <c r="AJ5344">
        <v>91.647907408994499</v>
      </c>
      <c r="AK5344">
        <v>20.139747970680801</v>
      </c>
      <c r="AL5344">
        <v>75.821463631014097</v>
      </c>
      <c r="AM5344">
        <v>86.586664059947694</v>
      </c>
      <c r="AN5344">
        <v>0.99999998467723905</v>
      </c>
    </row>
    <row r="5345" spans="1:40" x14ac:dyDescent="0.25">
      <c r="A5345" t="str">
        <f>"20190312164414898"</f>
        <v>20190312164414898</v>
      </c>
      <c r="B5345" t="str">
        <f>"1552380254890636"</f>
        <v>1552380254890636</v>
      </c>
      <c r="C5345" t="s">
        <v>40</v>
      </c>
      <c r="D5345">
        <v>4.8950950000000004</v>
      </c>
      <c r="E5345">
        <v>0.4667868</v>
      </c>
      <c r="F5345" t="s">
        <v>42</v>
      </c>
      <c r="G5345">
        <v>-188.83340000000001</v>
      </c>
      <c r="H5345" s="1">
        <v>-3.0295470000000002E-6</v>
      </c>
      <c r="I5345">
        <v>16.21236</v>
      </c>
      <c r="J5345">
        <v>-188.34180000000001</v>
      </c>
      <c r="K5345">
        <v>1.108301</v>
      </c>
      <c r="L5345">
        <v>-2.2004090000000001</v>
      </c>
      <c r="M5345">
        <v>1.239117E-2</v>
      </c>
      <c r="N5345">
        <v>0</v>
      </c>
      <c r="O5345">
        <v>0.99987939999999997</v>
      </c>
      <c r="P5345">
        <v>6.1220730000000001E-2</v>
      </c>
      <c r="Q5345">
        <v>0.2313759</v>
      </c>
      <c r="R5345">
        <v>0.97093620000000003</v>
      </c>
      <c r="S5345">
        <v>-8.1436159999999994E-2</v>
      </c>
      <c r="T5345">
        <v>-0.18562609999999999</v>
      </c>
      <c r="U5345">
        <v>3.1453549999999999</v>
      </c>
      <c r="V5345">
        <v>5.0134999999999999E-2</v>
      </c>
      <c r="W5345">
        <v>0.2402716</v>
      </c>
      <c r="X5345">
        <v>0.9694102</v>
      </c>
      <c r="Y5345">
        <v>-3.8222920000000001E-2</v>
      </c>
      <c r="Z5345">
        <v>-5.8875299999999998E-2</v>
      </c>
      <c r="AA5345">
        <v>0.99753329999999996</v>
      </c>
      <c r="AB5345">
        <v>36</v>
      </c>
      <c r="AC5345">
        <v>-0.49160000000000498</v>
      </c>
      <c r="AD5345">
        <v>-1.1083040295469999</v>
      </c>
      <c r="AE5345">
        <v>18.412769000000001</v>
      </c>
      <c r="AF5345">
        <v>-0.71713162006128695</v>
      </c>
      <c r="AG5345">
        <v>-1.1083040295469999</v>
      </c>
      <c r="AH5345">
        <v>18.338867384022201</v>
      </c>
      <c r="AI5345">
        <v>93.455812275370306</v>
      </c>
      <c r="AJ5345">
        <v>92.239379883208898</v>
      </c>
      <c r="AK5345">
        <v>18.386317535361801</v>
      </c>
      <c r="AL5345">
        <v>76.097429716795602</v>
      </c>
      <c r="AM5345">
        <v>87.039471000241406</v>
      </c>
      <c r="AN5345">
        <v>1.00000004792779</v>
      </c>
    </row>
    <row r="5346" spans="1:40" x14ac:dyDescent="0.25">
      <c r="A5346" t="str">
        <f>"20190312164414920"</f>
        <v>20190312164414920</v>
      </c>
      <c r="B5346" t="str">
        <f>"1552380254910661"</f>
        <v>1552380254910661</v>
      </c>
      <c r="C5346" t="s">
        <v>40</v>
      </c>
      <c r="D5346">
        <v>4.6940400000000002</v>
      </c>
      <c r="E5346">
        <v>0.46631909999999999</v>
      </c>
      <c r="F5346" t="s">
        <v>42</v>
      </c>
      <c r="G5346">
        <v>-188.94759999999999</v>
      </c>
      <c r="H5346" s="1">
        <v>-2.767747E-6</v>
      </c>
      <c r="I5346">
        <v>15.649319999999999</v>
      </c>
      <c r="J5346">
        <v>-188.33590000000001</v>
      </c>
      <c r="K5346">
        <v>1.108311</v>
      </c>
      <c r="L5346">
        <v>-1.833496</v>
      </c>
      <c r="M5346">
        <v>1.3983249999999999E-2</v>
      </c>
      <c r="N5346">
        <v>0</v>
      </c>
      <c r="O5346">
        <v>0.99985999999999997</v>
      </c>
      <c r="P5346">
        <v>5.5092299999999997E-2</v>
      </c>
      <c r="Q5346">
        <v>0.2269051</v>
      </c>
      <c r="R5346">
        <v>0.97235740000000004</v>
      </c>
      <c r="S5346">
        <v>-0.1066742</v>
      </c>
      <c r="T5346">
        <v>-0.19515360000000001</v>
      </c>
      <c r="U5346">
        <v>3.1430359999999999</v>
      </c>
      <c r="V5346">
        <v>4.2394969999999997E-2</v>
      </c>
      <c r="W5346">
        <v>0.2356712</v>
      </c>
      <c r="X5346">
        <v>0.97090770000000004</v>
      </c>
      <c r="Y5346">
        <v>-4.7827719999999997E-2</v>
      </c>
      <c r="Z5346">
        <v>-6.1909140000000001E-2</v>
      </c>
      <c r="AA5346">
        <v>0.99693520000000002</v>
      </c>
      <c r="AB5346">
        <v>36</v>
      </c>
      <c r="AC5346">
        <v>-0.61169999999998403</v>
      </c>
      <c r="AD5346">
        <v>-1.1083137677470001</v>
      </c>
      <c r="AE5346">
        <v>17.482816</v>
      </c>
      <c r="AF5346">
        <v>-0.85269443080676699</v>
      </c>
      <c r="AG5346">
        <v>-1.1083137677470001</v>
      </c>
      <c r="AH5346">
        <v>17.402699172885399</v>
      </c>
      <c r="AI5346">
        <v>93.639680991408795</v>
      </c>
      <c r="AJ5346">
        <v>92.805125250233303</v>
      </c>
      <c r="AK5346">
        <v>17.458791072180599</v>
      </c>
      <c r="AL5346">
        <v>76.368809060106202</v>
      </c>
      <c r="AM5346">
        <v>87.4997511850557</v>
      </c>
      <c r="AN5346">
        <v>1.00000000495501</v>
      </c>
    </row>
    <row r="5347" spans="1:40" x14ac:dyDescent="0.25">
      <c r="A5347" t="str">
        <f>"20190312164414944"</f>
        <v>20190312164414944</v>
      </c>
      <c r="B5347" t="str">
        <f>"1552380254939940"</f>
        <v>1552380254939940</v>
      </c>
      <c r="C5347" t="s">
        <v>40</v>
      </c>
      <c r="D5347">
        <v>4.6851159999999998</v>
      </c>
      <c r="E5347">
        <v>0.465673</v>
      </c>
      <c r="F5347" t="s">
        <v>42</v>
      </c>
      <c r="G5347">
        <v>-189.04320000000001</v>
      </c>
      <c r="H5347" s="1">
        <v>-2.6377909999999999E-6</v>
      </c>
      <c r="I5347">
        <v>15.385910000000001</v>
      </c>
      <c r="J5347">
        <v>-188.32900000000001</v>
      </c>
      <c r="K5347">
        <v>1.1083400000000001</v>
      </c>
      <c r="L5347">
        <v>-1.442169</v>
      </c>
      <c r="M5347">
        <v>1.5562670000000001E-2</v>
      </c>
      <c r="N5347">
        <v>0</v>
      </c>
      <c r="O5347">
        <v>0.99983840000000002</v>
      </c>
      <c r="P5347">
        <v>5.0044360000000003E-2</v>
      </c>
      <c r="Q5347">
        <v>0.22170970000000001</v>
      </c>
      <c r="R5347">
        <v>0.97382769999999996</v>
      </c>
      <c r="S5347">
        <v>-0.12896730000000001</v>
      </c>
      <c r="T5347">
        <v>-0.20208699999999999</v>
      </c>
      <c r="U5347">
        <v>3.1397400000000002</v>
      </c>
      <c r="V5347">
        <v>3.5727259999999997E-2</v>
      </c>
      <c r="W5347">
        <v>0.23034499999999999</v>
      </c>
      <c r="X5347">
        <v>0.97245289999999995</v>
      </c>
      <c r="Y5347">
        <v>-5.6501849999999999E-2</v>
      </c>
      <c r="Z5347">
        <v>-6.4141429999999999E-2</v>
      </c>
      <c r="AA5347">
        <v>0.99634</v>
      </c>
      <c r="AB5347">
        <v>36</v>
      </c>
      <c r="AC5347">
        <v>-0.71420000000000505</v>
      </c>
      <c r="AD5347">
        <v>-1.108342637791</v>
      </c>
      <c r="AE5347">
        <v>16.828078999999999</v>
      </c>
      <c r="AF5347">
        <v>-0.97180593162582696</v>
      </c>
      <c r="AG5347">
        <v>-1.108342637791</v>
      </c>
      <c r="AH5347">
        <v>16.742429239275499</v>
      </c>
      <c r="AI5347">
        <v>93.781087553381298</v>
      </c>
      <c r="AJ5347">
        <v>93.321977449633593</v>
      </c>
      <c r="AK5347">
        <v>16.807193906290099</v>
      </c>
      <c r="AL5347">
        <v>76.682615130753504</v>
      </c>
      <c r="AM5347">
        <v>87.895938251778503</v>
      </c>
      <c r="AN5347">
        <v>0.99999994942525705</v>
      </c>
    </row>
    <row r="5348" spans="1:40" x14ac:dyDescent="0.25">
      <c r="A5348" t="str">
        <f>"20190312164414969"</f>
        <v>20190312164414969</v>
      </c>
      <c r="B5348" t="str">
        <f>"1552380254960436"</f>
        <v>1552380254960436</v>
      </c>
      <c r="C5348" t="s">
        <v>40</v>
      </c>
      <c r="D5348">
        <v>4.8446280000000002</v>
      </c>
      <c r="E5348">
        <v>0.46576040000000002</v>
      </c>
      <c r="F5348" t="s">
        <v>42</v>
      </c>
      <c r="G5348">
        <v>-189.0984</v>
      </c>
      <c r="H5348" s="1">
        <v>-2.2717519999999999E-6</v>
      </c>
      <c r="I5348">
        <v>14.555490000000001</v>
      </c>
      <c r="J5348">
        <v>-188.32169999999999</v>
      </c>
      <c r="K5348">
        <v>1.1083860000000001</v>
      </c>
      <c r="L5348">
        <v>-1.0527949999999999</v>
      </c>
      <c r="M5348">
        <v>1.700583E-2</v>
      </c>
      <c r="N5348">
        <v>0</v>
      </c>
      <c r="O5348">
        <v>0.99981640000000005</v>
      </c>
      <c r="P5348">
        <v>4.4735160000000003E-2</v>
      </c>
      <c r="Q5348">
        <v>0.21655940000000001</v>
      </c>
      <c r="R5348">
        <v>0.975244</v>
      </c>
      <c r="S5348">
        <v>-0.1509094</v>
      </c>
      <c r="T5348">
        <v>-0.21739700000000001</v>
      </c>
      <c r="U5348">
        <v>3.1378780000000002</v>
      </c>
      <c r="V5348">
        <v>2.8922420000000001E-2</v>
      </c>
      <c r="W5348">
        <v>0.22507550000000001</v>
      </c>
      <c r="X5348">
        <v>0.97391190000000005</v>
      </c>
      <c r="Y5348">
        <v>-6.4902710000000002E-2</v>
      </c>
      <c r="Z5348">
        <v>-6.8988289999999994E-2</v>
      </c>
      <c r="AA5348">
        <v>0.99550400000000006</v>
      </c>
      <c r="AB5348">
        <v>36</v>
      </c>
      <c r="AC5348">
        <v>-0.77670000000000505</v>
      </c>
      <c r="AD5348">
        <v>-1.1083882717519999</v>
      </c>
      <c r="AE5348">
        <v>15.608285</v>
      </c>
      <c r="AF5348">
        <v>-1.0368143095664599</v>
      </c>
      <c r="AG5348">
        <v>-1.1083882717519999</v>
      </c>
      <c r="AH5348">
        <v>15.5147738204737</v>
      </c>
      <c r="AI5348">
        <v>94.077251976744705</v>
      </c>
      <c r="AJ5348">
        <v>93.823251834663395</v>
      </c>
      <c r="AK5348">
        <v>15.5888330279702</v>
      </c>
      <c r="AL5348">
        <v>76.992681307047604</v>
      </c>
      <c r="AM5348">
        <v>88.298977861016994</v>
      </c>
      <c r="AN5348">
        <v>0.999999938020256</v>
      </c>
    </row>
    <row r="5349" spans="1:40" x14ac:dyDescent="0.25">
      <c r="A5349" t="str">
        <f>"20190312164415010"</f>
        <v>20190312164415010</v>
      </c>
      <c r="B5349" t="str">
        <f>"1552380255000452"</f>
        <v>1552380255000452</v>
      </c>
      <c r="C5349" t="s">
        <v>40</v>
      </c>
      <c r="D5349">
        <v>4.7183000000000002</v>
      </c>
      <c r="E5349">
        <v>0.46609240000000002</v>
      </c>
      <c r="F5349" t="s">
        <v>42</v>
      </c>
      <c r="G5349">
        <v>-189.12549999999999</v>
      </c>
      <c r="H5349" s="1">
        <v>-2.0264569999999999E-6</v>
      </c>
      <c r="I5349">
        <v>13.994899999999999</v>
      </c>
      <c r="J5349">
        <v>-188.3075</v>
      </c>
      <c r="K5349">
        <v>1.108473</v>
      </c>
      <c r="L5349">
        <v>-0.35528559999999998</v>
      </c>
      <c r="M5349">
        <v>1.9282839999999999E-2</v>
      </c>
      <c r="N5349">
        <v>0</v>
      </c>
      <c r="O5349">
        <v>0.99977729999999998</v>
      </c>
      <c r="P5349">
        <v>3.4233949999999999E-2</v>
      </c>
      <c r="Q5349">
        <v>0.2052969</v>
      </c>
      <c r="R5349">
        <v>0.97810079999999999</v>
      </c>
      <c r="S5349">
        <v>-0.16746520000000001</v>
      </c>
      <c r="T5349">
        <v>-0.2309263</v>
      </c>
      <c r="U5349">
        <v>3.1351010000000001</v>
      </c>
      <c r="V5349">
        <v>1.602404E-2</v>
      </c>
      <c r="W5349">
        <v>0.2136353</v>
      </c>
      <c r="X5349">
        <v>0.97678209999999999</v>
      </c>
      <c r="Y5349">
        <v>-7.2442790000000007E-2</v>
      </c>
      <c r="Z5349">
        <v>-7.3290330000000001E-2</v>
      </c>
      <c r="AA5349">
        <v>0.99467609999999995</v>
      </c>
      <c r="AB5349">
        <v>36</v>
      </c>
      <c r="AC5349">
        <v>-0.81799999999998296</v>
      </c>
      <c r="AD5349">
        <v>-1.108475026457</v>
      </c>
      <c r="AE5349">
        <v>14.3501856</v>
      </c>
      <c r="AF5349">
        <v>-1.08809903114735</v>
      </c>
      <c r="AG5349">
        <v>-1.108475026457</v>
      </c>
      <c r="AH5349">
        <v>14.2470104924389</v>
      </c>
      <c r="AI5349">
        <v>94.436013766182498</v>
      </c>
      <c r="AJ5349">
        <v>94.367420723035593</v>
      </c>
      <c r="AK5349">
        <v>14.331433436943</v>
      </c>
      <c r="AL5349">
        <v>77.664524845746797</v>
      </c>
      <c r="AM5349">
        <v>89.060151168862205</v>
      </c>
      <c r="AN5349">
        <v>1.0000000410722001</v>
      </c>
    </row>
    <row r="5350" spans="1:40" x14ac:dyDescent="0.25">
      <c r="A5350" t="str">
        <f>"20190312164415033"</f>
        <v>20190312164415033</v>
      </c>
      <c r="B5350" t="str">
        <f>"1552380255020480"</f>
        <v>1552380255020480</v>
      </c>
      <c r="C5350" t="s">
        <v>40</v>
      </c>
      <c r="D5350">
        <v>4.5655839999999897</v>
      </c>
      <c r="E5350">
        <v>0.46642990000000001</v>
      </c>
      <c r="F5350" t="s">
        <v>42</v>
      </c>
      <c r="G5350">
        <v>-189.1454</v>
      </c>
      <c r="H5350" s="1">
        <v>-1.592905E-6</v>
      </c>
      <c r="I5350">
        <v>12.9925</v>
      </c>
      <c r="J5350">
        <v>-188.2998</v>
      </c>
      <c r="K5350">
        <v>1.1085229999999999</v>
      </c>
      <c r="L5350">
        <v>1.4648440000000001E-3</v>
      </c>
      <c r="M5350">
        <v>2.028108E-2</v>
      </c>
      <c r="N5350">
        <v>0</v>
      </c>
      <c r="O5350">
        <v>0.99975849999999999</v>
      </c>
      <c r="P5350">
        <v>3.0302229999999999E-2</v>
      </c>
      <c r="Q5350">
        <v>0.19973930000000001</v>
      </c>
      <c r="R5350">
        <v>0.97938040000000004</v>
      </c>
      <c r="S5350">
        <v>-0.19638059999999999</v>
      </c>
      <c r="T5350">
        <v>-0.25981399999999999</v>
      </c>
      <c r="U5350">
        <v>3.128571</v>
      </c>
      <c r="V5350">
        <v>1.103001E-2</v>
      </c>
      <c r="W5350">
        <v>0.20799709999999999</v>
      </c>
      <c r="X5350">
        <v>0.97806720000000003</v>
      </c>
      <c r="Y5350">
        <v>-8.2662079999999999E-2</v>
      </c>
      <c r="Z5350">
        <v>-8.2512870000000002E-2</v>
      </c>
      <c r="AA5350">
        <v>0.99315589999999998</v>
      </c>
      <c r="AB5350">
        <v>37</v>
      </c>
      <c r="AC5350">
        <v>-0.84559999999999003</v>
      </c>
      <c r="AD5350">
        <v>-1.1085245929049901</v>
      </c>
      <c r="AE5350">
        <v>12.991035155999899</v>
      </c>
      <c r="AF5350">
        <v>-1.10092547872418</v>
      </c>
      <c r="AG5350">
        <v>-1.1085245929049901</v>
      </c>
      <c r="AH5350">
        <v>12.8778420560842</v>
      </c>
      <c r="AI5350">
        <v>94.902099304488402</v>
      </c>
      <c r="AJ5350">
        <v>94.886329838883697</v>
      </c>
      <c r="AK5350">
        <v>12.9722657891454</v>
      </c>
      <c r="AL5350">
        <v>77.994996447979602</v>
      </c>
      <c r="AM5350">
        <v>89.353882604528906</v>
      </c>
      <c r="AN5350">
        <v>0.99999995122242302</v>
      </c>
    </row>
    <row r="5351" spans="1:40" x14ac:dyDescent="0.25">
      <c r="A5351" t="str">
        <f>"20190312164415055"</f>
        <v>20190312164415055</v>
      </c>
      <c r="B5351" t="str">
        <f>"1552380255050736"</f>
        <v>1552380255050736</v>
      </c>
      <c r="C5351" t="s">
        <v>40</v>
      </c>
      <c r="D5351">
        <v>4.5110739999999998</v>
      </c>
      <c r="E5351">
        <v>0.4666824</v>
      </c>
      <c r="F5351" t="s">
        <v>42</v>
      </c>
      <c r="G5351">
        <v>-189.13820000000001</v>
      </c>
      <c r="H5351" s="1">
        <v>-1.490117E-6</v>
      </c>
      <c r="I5351">
        <v>12.749919999999999</v>
      </c>
      <c r="J5351">
        <v>-188.29140000000001</v>
      </c>
      <c r="K5351">
        <v>1.1085849999999999</v>
      </c>
      <c r="L5351">
        <v>0.37753300000000001</v>
      </c>
      <c r="M5351">
        <v>2.1206220000000001E-2</v>
      </c>
      <c r="N5351">
        <v>0</v>
      </c>
      <c r="O5351">
        <v>0.99974010000000002</v>
      </c>
      <c r="P5351">
        <v>2.6160050000000001E-2</v>
      </c>
      <c r="Q5351">
        <v>0.1933047</v>
      </c>
      <c r="R5351">
        <v>0.98079000000000005</v>
      </c>
      <c r="S5351">
        <v>-0.2055054</v>
      </c>
      <c r="T5351">
        <v>-0.27172469999999999</v>
      </c>
      <c r="U5351">
        <v>3.1249389999999999</v>
      </c>
      <c r="V5351">
        <v>5.8862039999999999E-3</v>
      </c>
      <c r="W5351">
        <v>0.20148849999999999</v>
      </c>
      <c r="X5351">
        <v>0.97947320000000004</v>
      </c>
      <c r="Y5351">
        <v>-8.6522500000000002E-2</v>
      </c>
      <c r="Z5351">
        <v>-8.6342450000000001E-2</v>
      </c>
      <c r="AA5351">
        <v>0.99250130000000003</v>
      </c>
      <c r="AB5351">
        <v>37</v>
      </c>
      <c r="AC5351">
        <v>-0.846800000000001</v>
      </c>
      <c r="AD5351">
        <v>-1.1085864901169999</v>
      </c>
      <c r="AE5351">
        <v>12.372387</v>
      </c>
      <c r="AF5351">
        <v>-1.10019859370594</v>
      </c>
      <c r="AG5351">
        <v>-1.1085864901169999</v>
      </c>
      <c r="AH5351">
        <v>12.253726641481601</v>
      </c>
      <c r="AI5351">
        <v>95.148838687888201</v>
      </c>
      <c r="AJ5351">
        <v>95.130534260423005</v>
      </c>
      <c r="AK5351">
        <v>12.3528627271502</v>
      </c>
      <c r="AL5351">
        <v>78.375984105530193</v>
      </c>
      <c r="AM5351">
        <v>89.655681659613606</v>
      </c>
      <c r="AN5351">
        <v>1.000000006274</v>
      </c>
    </row>
    <row r="5352" spans="1:40" x14ac:dyDescent="0.25">
      <c r="A5352" t="str">
        <f>"20190312164415077"</f>
        <v>20190312164415077</v>
      </c>
      <c r="B5352" t="str">
        <f>"1552380255070256"</f>
        <v>1552380255070256</v>
      </c>
      <c r="C5352" t="s">
        <v>40</v>
      </c>
      <c r="D5352">
        <v>4.5550420000000003</v>
      </c>
      <c r="E5352">
        <v>0.46695959999999997</v>
      </c>
      <c r="F5352" t="s">
        <v>42</v>
      </c>
      <c r="G5352">
        <v>-189.12260000000001</v>
      </c>
      <c r="H5352" s="1">
        <v>-1.328703E-6</v>
      </c>
      <c r="I5352">
        <v>12.3672</v>
      </c>
      <c r="J5352">
        <v>-188.28319999999999</v>
      </c>
      <c r="K5352">
        <v>1.1086670000000001</v>
      </c>
      <c r="L5352">
        <v>0.735321</v>
      </c>
      <c r="M5352">
        <v>2.194641E-2</v>
      </c>
      <c r="N5352">
        <v>0</v>
      </c>
      <c r="O5352">
        <v>0.99972490000000003</v>
      </c>
      <c r="P5352">
        <v>2.2325919999999999E-2</v>
      </c>
      <c r="Q5352">
        <v>0.18644559999999999</v>
      </c>
      <c r="R5352">
        <v>0.98221159999999996</v>
      </c>
      <c r="S5352">
        <v>-0.21638489999999999</v>
      </c>
      <c r="T5352">
        <v>-0.28861019999999998</v>
      </c>
      <c r="U5352">
        <v>3.1213989999999998</v>
      </c>
      <c r="V5352">
        <v>1.2267000000000001E-3</v>
      </c>
      <c r="W5352">
        <v>0.1945692</v>
      </c>
      <c r="X5352">
        <v>0.98088799999999998</v>
      </c>
      <c r="Y5352">
        <v>-9.0743149999999995E-2</v>
      </c>
      <c r="Z5352">
        <v>-9.1736650000000003E-2</v>
      </c>
      <c r="AA5352">
        <v>0.99164010000000002</v>
      </c>
      <c r="AB5352">
        <v>37</v>
      </c>
      <c r="AC5352">
        <v>-0.83940000000001103</v>
      </c>
      <c r="AD5352">
        <v>-1.1086683287029999</v>
      </c>
      <c r="AE5352">
        <v>11.631879</v>
      </c>
      <c r="AF5352">
        <v>-1.0846817431993501</v>
      </c>
      <c r="AG5352">
        <v>-1.1086683287029999</v>
      </c>
      <c r="AH5352">
        <v>11.5066634653577</v>
      </c>
      <c r="AI5352">
        <v>95.479324649253897</v>
      </c>
      <c r="AJ5352">
        <v>95.385104048657794</v>
      </c>
      <c r="AK5352">
        <v>11.6107271112578</v>
      </c>
      <c r="AL5352">
        <v>78.780441138005202</v>
      </c>
      <c r="AM5352">
        <v>89.928345849794397</v>
      </c>
      <c r="AN5352">
        <v>0.99999997346276404</v>
      </c>
    </row>
    <row r="5353" spans="1:40" x14ac:dyDescent="0.25">
      <c r="A5353" t="str">
        <f>"20190312164415099"</f>
        <v>20190312164415099</v>
      </c>
      <c r="B5353" t="str">
        <f>"1552380255090752"</f>
        <v>1552380255090752</v>
      </c>
      <c r="C5353" t="s">
        <v>40</v>
      </c>
      <c r="D5353">
        <v>4.5450499999999998</v>
      </c>
      <c r="E5353">
        <v>0.46728760000000003</v>
      </c>
      <c r="F5353" t="s">
        <v>42</v>
      </c>
      <c r="G5353">
        <v>-189.10130000000001</v>
      </c>
      <c r="H5353" s="1">
        <v>-1.1979E-6</v>
      </c>
      <c r="I5353">
        <v>12.0535</v>
      </c>
      <c r="J5353">
        <v>-188.27449999999999</v>
      </c>
      <c r="K5353">
        <v>1.108768</v>
      </c>
      <c r="L5353">
        <v>1.1074219999999999</v>
      </c>
      <c r="M5353">
        <v>2.257315E-2</v>
      </c>
      <c r="N5353">
        <v>0</v>
      </c>
      <c r="O5353">
        <v>0.99971160000000003</v>
      </c>
      <c r="P5353">
        <v>1.8628809999999999E-2</v>
      </c>
      <c r="Q5353">
        <v>0.1814122</v>
      </c>
      <c r="R5353">
        <v>0.98323070000000001</v>
      </c>
      <c r="S5353">
        <v>-0.22534179999999901</v>
      </c>
      <c r="T5353">
        <v>-0.3053669</v>
      </c>
      <c r="U5353">
        <v>3.117432</v>
      </c>
      <c r="V5353">
        <v>-3.177493E-3</v>
      </c>
      <c r="W5353">
        <v>0.18947539999999999</v>
      </c>
      <c r="X5353">
        <v>0.98188030000000004</v>
      </c>
      <c r="Y5353">
        <v>-9.4252050000000004E-2</v>
      </c>
      <c r="Z5353">
        <v>-9.7108189999999997E-2</v>
      </c>
      <c r="AA5353">
        <v>0.99080100000000004</v>
      </c>
      <c r="AB5353">
        <v>37</v>
      </c>
      <c r="AC5353">
        <v>-0.82680000000001996</v>
      </c>
      <c r="AD5353">
        <v>-1.1087691979000001</v>
      </c>
      <c r="AE5353">
        <v>10.946078</v>
      </c>
      <c r="AF5353">
        <v>-1.0628417321152399</v>
      </c>
      <c r="AG5353">
        <v>-1.1087691979000001</v>
      </c>
      <c r="AH5353">
        <v>10.814294821281299</v>
      </c>
      <c r="AI5353">
        <v>95.826097169205795</v>
      </c>
      <c r="AJ5353">
        <v>95.613070964137293</v>
      </c>
      <c r="AK5353">
        <v>10.922818965968901</v>
      </c>
      <c r="AL5353">
        <v>79.077828974767996</v>
      </c>
      <c r="AM5353">
        <v>90.185415984823507</v>
      </c>
      <c r="AN5353">
        <v>0.99999997359750703</v>
      </c>
    </row>
    <row r="5354" spans="1:40" x14ac:dyDescent="0.25">
      <c r="A5354" t="str">
        <f>"20190312164415122"</f>
        <v>20190312164415122</v>
      </c>
      <c r="B5354" t="str">
        <f>"1552380255110780"</f>
        <v>1552380255110780</v>
      </c>
      <c r="C5354" t="s">
        <v>40</v>
      </c>
      <c r="D5354">
        <v>4.5138910000000001</v>
      </c>
      <c r="E5354">
        <v>0.47706530000000003</v>
      </c>
      <c r="F5354" t="s">
        <v>42</v>
      </c>
      <c r="G5354">
        <v>-189.08750000000001</v>
      </c>
      <c r="H5354" s="1">
        <v>-1.175684E-6</v>
      </c>
      <c r="I5354">
        <v>11.995990000000001</v>
      </c>
      <c r="J5354">
        <v>-188.26560000000001</v>
      </c>
      <c r="K5354">
        <v>1.1088750000000001</v>
      </c>
      <c r="L5354">
        <v>1.479034</v>
      </c>
      <c r="M5354">
        <v>2.3050520000000001E-2</v>
      </c>
      <c r="N5354">
        <v>0</v>
      </c>
      <c r="O5354">
        <v>0.99970119999999896</v>
      </c>
      <c r="P5354">
        <v>1.563082E-2</v>
      </c>
      <c r="Q5354">
        <v>0.17725450000000001</v>
      </c>
      <c r="R5354">
        <v>0.9840409</v>
      </c>
      <c r="S5354">
        <v>-0.23251340000000001</v>
      </c>
      <c r="T5354">
        <v>-0.3171021</v>
      </c>
      <c r="U5354">
        <v>3.1140750000000001</v>
      </c>
      <c r="V5354">
        <v>-6.7309650000000002E-3</v>
      </c>
      <c r="W5354">
        <v>0.1852637</v>
      </c>
      <c r="X5354">
        <v>0.98266580000000003</v>
      </c>
      <c r="Y5354">
        <v>-9.7045320000000004E-2</v>
      </c>
      <c r="Z5354">
        <v>-0.1008862</v>
      </c>
      <c r="AA5354">
        <v>0.99015359999999997</v>
      </c>
      <c r="AB5354">
        <v>37</v>
      </c>
      <c r="AC5354">
        <v>-0.82189999999999896</v>
      </c>
      <c r="AD5354">
        <v>-1.108876175684</v>
      </c>
      <c r="AE5354">
        <v>10.516956</v>
      </c>
      <c r="AF5354">
        <v>-1.0524815665302301</v>
      </c>
      <c r="AG5354">
        <v>-1.108876175684</v>
      </c>
      <c r="AH5354">
        <v>10.380516370907101</v>
      </c>
      <c r="AI5354">
        <v>96.066506797544605</v>
      </c>
      <c r="AJ5354">
        <v>95.789440371907403</v>
      </c>
      <c r="AK5354">
        <v>10.492494648440699</v>
      </c>
      <c r="AL5354">
        <v>79.323493036089701</v>
      </c>
      <c r="AM5354">
        <v>90.392452709019295</v>
      </c>
      <c r="AN5354">
        <v>1.0000000094585799</v>
      </c>
    </row>
    <row r="5355" spans="1:40" x14ac:dyDescent="0.25">
      <c r="A5355" t="str">
        <f>"20190312164415146"</f>
        <v>20190312164415146</v>
      </c>
      <c r="B5355" t="str">
        <f>"1552380255140060"</f>
        <v>1552380255140060</v>
      </c>
      <c r="C5355" t="s">
        <v>40</v>
      </c>
      <c r="D5355">
        <v>4.5184939999999996</v>
      </c>
      <c r="E5355">
        <v>0.47948289999999999</v>
      </c>
      <c r="F5355" t="s">
        <v>42</v>
      </c>
      <c r="G5355">
        <v>-189.001</v>
      </c>
      <c r="H5355" s="1">
        <v>-2.766873E-6</v>
      </c>
      <c r="I5355">
        <v>15.66933</v>
      </c>
      <c r="J5355">
        <v>-188.2559</v>
      </c>
      <c r="K5355">
        <v>1.1089899999999999</v>
      </c>
      <c r="L5355">
        <v>1.887451</v>
      </c>
      <c r="M5355">
        <v>2.3407069999999999E-2</v>
      </c>
      <c r="N5355">
        <v>0</v>
      </c>
      <c r="O5355">
        <v>0.99969350000000001</v>
      </c>
      <c r="P5355">
        <v>1.2737989999999999E-2</v>
      </c>
      <c r="Q5355">
        <v>0.17173099999999999</v>
      </c>
      <c r="R5355">
        <v>0.98506150000000003</v>
      </c>
      <c r="S5355">
        <v>-0.16036989999999901</v>
      </c>
      <c r="T5355">
        <v>-0.24183479999999999</v>
      </c>
      <c r="U5355">
        <v>3.094757</v>
      </c>
      <c r="V5355">
        <v>-1.00693E-2</v>
      </c>
      <c r="W5355">
        <v>0.179689299999999</v>
      </c>
      <c r="X5355">
        <v>0.98367190000000004</v>
      </c>
      <c r="Y5355">
        <v>-7.495607E-2</v>
      </c>
      <c r="Z5355">
        <v>-7.7712420000000004E-2</v>
      </c>
      <c r="AA5355">
        <v>0.99415410000000004</v>
      </c>
      <c r="AB5355">
        <v>37</v>
      </c>
      <c r="AC5355">
        <v>-0.745099999999979</v>
      </c>
      <c r="AD5355">
        <v>-1.108992766873</v>
      </c>
      <c r="AE5355">
        <v>13.781878999999901</v>
      </c>
      <c r="AF5355">
        <v>-1.06065201655078</v>
      </c>
      <c r="AG5355">
        <v>-1.108992766873</v>
      </c>
      <c r="AH5355">
        <v>13.6723906944693</v>
      </c>
      <c r="AI5355">
        <v>94.623383716760898</v>
      </c>
      <c r="AJ5355">
        <v>94.435904152931002</v>
      </c>
      <c r="AK5355">
        <v>13.7582380761274</v>
      </c>
      <c r="AL5355">
        <v>79.648337283036099</v>
      </c>
      <c r="AM5355">
        <v>90.586484419064107</v>
      </c>
      <c r="AN5355">
        <v>1.00000002109329</v>
      </c>
    </row>
    <row r="5356" spans="1:40" x14ac:dyDescent="0.25">
      <c r="A5356" t="str">
        <f>"20190312164415189"</f>
        <v>20190312164415189</v>
      </c>
      <c r="B5356" t="str">
        <f>"1552380255180078"</f>
        <v>1552380255180078</v>
      </c>
      <c r="C5356" t="s">
        <v>40</v>
      </c>
      <c r="D5356">
        <v>4.4673850000000002</v>
      </c>
      <c r="E5356">
        <v>0.48031970000000002</v>
      </c>
      <c r="F5356" t="s">
        <v>42</v>
      </c>
      <c r="G5356">
        <v>-188.94640000000001</v>
      </c>
      <c r="H5356" s="1">
        <v>-3.0227580000000002E-6</v>
      </c>
      <c r="I5356">
        <v>16.24325</v>
      </c>
      <c r="J5356">
        <v>-188.23859999999999</v>
      </c>
      <c r="K5356">
        <v>1.109132</v>
      </c>
      <c r="L5356">
        <v>2.6097109999999999</v>
      </c>
      <c r="M5356">
        <v>2.3743199999999999E-2</v>
      </c>
      <c r="N5356">
        <v>0</v>
      </c>
      <c r="O5356">
        <v>0.99968619999999997</v>
      </c>
      <c r="P5356">
        <v>6.2278250000000002E-3</v>
      </c>
      <c r="Q5356">
        <v>0.15860550000000001</v>
      </c>
      <c r="R5356">
        <v>0.98732240000000004</v>
      </c>
      <c r="S5356">
        <v>-0.1485901</v>
      </c>
      <c r="T5356">
        <v>-0.23862839999999999</v>
      </c>
      <c r="U5356">
        <v>3.0890200000000001</v>
      </c>
      <c r="V5356">
        <v>-1.7064220000000001E-2</v>
      </c>
      <c r="W5356">
        <v>0.16649620000000001</v>
      </c>
      <c r="X5356">
        <v>0.98589439999999995</v>
      </c>
      <c r="Y5356">
        <v>-7.1607909999999997E-2</v>
      </c>
      <c r="Z5356">
        <v>-7.6845410000000003E-2</v>
      </c>
      <c r="AA5356">
        <v>0.99446829999999997</v>
      </c>
      <c r="AB5356">
        <v>37</v>
      </c>
      <c r="AC5356">
        <v>-0.70780000000001997</v>
      </c>
      <c r="AD5356">
        <v>-1.1091350227579999</v>
      </c>
      <c r="AE5356">
        <v>13.633539000000001</v>
      </c>
      <c r="AF5356">
        <v>-1.0245519694627501</v>
      </c>
      <c r="AG5356">
        <v>-1.1091350227579999</v>
      </c>
      <c r="AH5356">
        <v>13.5236254711802</v>
      </c>
      <c r="AI5356">
        <v>94.675259775489906</v>
      </c>
      <c r="AJ5356">
        <v>94.332460951599202</v>
      </c>
      <c r="AK5356">
        <v>13.607657150354401</v>
      </c>
      <c r="AL5356">
        <v>80.415836905810195</v>
      </c>
      <c r="AM5356">
        <v>90.991597244586799</v>
      </c>
      <c r="AN5356">
        <v>0.99999997008500296</v>
      </c>
    </row>
    <row r="5357" spans="1:40" x14ac:dyDescent="0.25">
      <c r="A5357" t="str">
        <f>"20190312164415210"</f>
        <v>20190312164415210</v>
      </c>
      <c r="B5357" t="str">
        <f>"1552380255200572"</f>
        <v>1552380255200572</v>
      </c>
      <c r="C5357" t="s">
        <v>40</v>
      </c>
      <c r="D5357">
        <v>4.473624</v>
      </c>
      <c r="E5357">
        <v>0.48014960000000001</v>
      </c>
      <c r="F5357" t="s">
        <v>42</v>
      </c>
      <c r="G5357">
        <v>-188.9264</v>
      </c>
      <c r="H5357" s="1">
        <v>-2.8662350000000001E-6</v>
      </c>
      <c r="I5357">
        <v>15.87013</v>
      </c>
      <c r="J5357">
        <v>-188.2302</v>
      </c>
      <c r="K5357">
        <v>1.109175</v>
      </c>
      <c r="L5357">
        <v>2.9575809999999998</v>
      </c>
      <c r="M5357">
        <v>2.380848E-2</v>
      </c>
      <c r="N5357">
        <v>0</v>
      </c>
      <c r="O5357">
        <v>0.99968489999999999</v>
      </c>
      <c r="P5357">
        <v>2.8468170000000002E-3</v>
      </c>
      <c r="Q5357">
        <v>0.1530184</v>
      </c>
      <c r="R5357">
        <v>0.98821930000000002</v>
      </c>
      <c r="S5357">
        <v>-0.15982060000000001</v>
      </c>
      <c r="T5357">
        <v>-0.25769699999999901</v>
      </c>
      <c r="U5357">
        <v>3.0809329999999999</v>
      </c>
      <c r="V5357">
        <v>-2.056374E-2</v>
      </c>
      <c r="W5357">
        <v>0.16088239999999901</v>
      </c>
      <c r="X5357">
        <v>0.98675930000000001</v>
      </c>
      <c r="Y5357">
        <v>-7.5387480000000007E-2</v>
      </c>
      <c r="Z5357">
        <v>-8.3141880000000001E-2</v>
      </c>
      <c r="AA5357">
        <v>0.99368210000000001</v>
      </c>
      <c r="AB5357">
        <v>37</v>
      </c>
      <c r="AC5357">
        <v>-0.69620000000000404</v>
      </c>
      <c r="AD5357">
        <v>-1.109177866235</v>
      </c>
      <c r="AE5357">
        <v>12.912549</v>
      </c>
      <c r="AF5357">
        <v>-0.99611184794041696</v>
      </c>
      <c r="AG5357">
        <v>-1.109177866235</v>
      </c>
      <c r="AH5357">
        <v>12.798152864821899</v>
      </c>
      <c r="AI5357">
        <v>94.938416577302604</v>
      </c>
      <c r="AJ5357">
        <v>94.450499623560603</v>
      </c>
      <c r="AK5357">
        <v>12.884689794632299</v>
      </c>
      <c r="AL5357">
        <v>80.741882102794094</v>
      </c>
      <c r="AM5357">
        <v>91.193852436227303</v>
      </c>
      <c r="AN5357">
        <v>0.99999996508451805</v>
      </c>
    </row>
    <row r="5358" spans="1:40" x14ac:dyDescent="0.25">
      <c r="A5358" t="str">
        <f>"20190312164415235"</f>
        <v>20190312164415235</v>
      </c>
      <c r="B5358" t="str">
        <f>"1552380255230321"</f>
        <v>1552380255230321</v>
      </c>
      <c r="C5358" t="s">
        <v>40</v>
      </c>
      <c r="D5358">
        <v>4.7964510000000002</v>
      </c>
      <c r="E5358">
        <v>0.48010140000000001</v>
      </c>
      <c r="F5358" t="s">
        <v>42</v>
      </c>
      <c r="G5358">
        <v>-188.9272</v>
      </c>
      <c r="H5358" s="1">
        <v>-2.7326509999999998E-6</v>
      </c>
      <c r="I5358">
        <v>15.55907</v>
      </c>
      <c r="J5358">
        <v>-188.22059999999999</v>
      </c>
      <c r="K5358">
        <v>1.109229</v>
      </c>
      <c r="L5358">
        <v>3.358673</v>
      </c>
      <c r="M5358">
        <v>2.3828749999999999E-2</v>
      </c>
      <c r="N5358">
        <v>0</v>
      </c>
      <c r="O5358">
        <v>0.99968469999999998</v>
      </c>
      <c r="P5358">
        <v>7.7134130000000003E-4</v>
      </c>
      <c r="Q5358">
        <v>0.1500185</v>
      </c>
      <c r="R5358">
        <v>0.98868290000000003</v>
      </c>
      <c r="S5358">
        <v>-0.17025760000000001</v>
      </c>
      <c r="T5358">
        <v>-0.2709433</v>
      </c>
      <c r="U5358">
        <v>3.078217</v>
      </c>
      <c r="V5358">
        <v>-2.2698880000000001E-2</v>
      </c>
      <c r="W5358">
        <v>0.15785179999999999</v>
      </c>
      <c r="X5358">
        <v>0.98720189999999997</v>
      </c>
      <c r="Y5358">
        <v>-7.8791769999999997E-2</v>
      </c>
      <c r="Z5358">
        <v>-8.7440539999999997E-2</v>
      </c>
      <c r="AA5358">
        <v>0.99304879999999995</v>
      </c>
      <c r="AB5358">
        <v>37</v>
      </c>
      <c r="AC5358">
        <v>-0.706600000000008</v>
      </c>
      <c r="AD5358">
        <v>-1.1092317326509999</v>
      </c>
      <c r="AE5358">
        <v>12.200397000000001</v>
      </c>
      <c r="AF5358">
        <v>-0.98898106363373905</v>
      </c>
      <c r="AG5358">
        <v>-1.1092317326509999</v>
      </c>
      <c r="AH5358">
        <v>12.080570172596399</v>
      </c>
      <c r="AI5358">
        <v>95.228764082247395</v>
      </c>
      <c r="AJ5358">
        <v>94.6801069298252</v>
      </c>
      <c r="AK5358">
        <v>12.1716331803079</v>
      </c>
      <c r="AL5358">
        <v>80.917771152878899</v>
      </c>
      <c r="AM5358">
        <v>91.317178282007703</v>
      </c>
      <c r="AN5358">
        <v>1.00000001064005</v>
      </c>
    </row>
    <row r="5359" spans="1:40" x14ac:dyDescent="0.25">
      <c r="A5359" t="str">
        <f>"20190312164415255"</f>
        <v>20190312164415255</v>
      </c>
      <c r="B5359" t="str">
        <f>"1552380255250818"</f>
        <v>1552380255250818</v>
      </c>
      <c r="C5359" t="s">
        <v>40</v>
      </c>
      <c r="D5359">
        <v>4.4080979999999998</v>
      </c>
      <c r="E5359">
        <v>0.48651349999999999</v>
      </c>
      <c r="F5359" t="s">
        <v>42</v>
      </c>
      <c r="G5359">
        <v>-188.93440000000001</v>
      </c>
      <c r="H5359" s="1">
        <v>-2.8466899999999999E-6</v>
      </c>
      <c r="I5359">
        <v>15.82785</v>
      </c>
      <c r="J5359">
        <v>-188.21209999999999</v>
      </c>
      <c r="K5359">
        <v>1.1092709999999999</v>
      </c>
      <c r="L5359">
        <v>3.714874</v>
      </c>
      <c r="M5359">
        <v>2.37986E-2</v>
      </c>
      <c r="N5359">
        <v>0</v>
      </c>
      <c r="O5359">
        <v>0.99968559999999995</v>
      </c>
      <c r="P5359">
        <v>-1.0150809999999999E-3</v>
      </c>
      <c r="Q5359">
        <v>0.14613129999999999</v>
      </c>
      <c r="R5359">
        <v>0.9892647</v>
      </c>
      <c r="S5359">
        <v>-0.17607120000000001</v>
      </c>
      <c r="T5359">
        <v>-0.27363369999999998</v>
      </c>
      <c r="U5359">
        <v>3.0759889999999999</v>
      </c>
      <c r="V5359">
        <v>-2.4493040000000001E-2</v>
      </c>
      <c r="W5359">
        <v>0.15394249999999901</v>
      </c>
      <c r="X5359">
        <v>0.98777619999999999</v>
      </c>
      <c r="Y5359">
        <v>-8.0667530000000001E-2</v>
      </c>
      <c r="Z5359">
        <v>-8.8354230000000006E-2</v>
      </c>
      <c r="AA5359">
        <v>0.99281730000000001</v>
      </c>
      <c r="AB5359">
        <v>37</v>
      </c>
      <c r="AC5359">
        <v>-0.72230000000001804</v>
      </c>
      <c r="AD5359">
        <v>-1.1092738466899901</v>
      </c>
      <c r="AE5359">
        <v>12.112976</v>
      </c>
      <c r="AF5359">
        <v>-1.0020028395684499</v>
      </c>
      <c r="AG5359">
        <v>-1.1092738466899901</v>
      </c>
      <c r="AH5359">
        <v>11.9921401972311</v>
      </c>
      <c r="AI5359">
        <v>95.266576840188407</v>
      </c>
      <c r="AJ5359">
        <v>94.776252371423496</v>
      </c>
      <c r="AK5359">
        <v>12.0849462004388</v>
      </c>
      <c r="AL5359">
        <v>81.144530225334705</v>
      </c>
      <c r="AM5359">
        <v>91.420423280060106</v>
      </c>
      <c r="AN5359">
        <v>1.0000000118005601</v>
      </c>
    </row>
    <row r="5360" spans="1:40" x14ac:dyDescent="0.25">
      <c r="A5360" t="str">
        <f>"20190312164415278"</f>
        <v>20190312164415278</v>
      </c>
      <c r="B5360" t="str">
        <f>"1552380255270337"</f>
        <v>1552380255270337</v>
      </c>
      <c r="C5360" t="s">
        <v>40</v>
      </c>
      <c r="D5360">
        <v>4.3987869999999996</v>
      </c>
      <c r="E5360">
        <v>0.48697390000000002</v>
      </c>
      <c r="F5360" t="s">
        <v>42</v>
      </c>
      <c r="G5360">
        <v>-188.9196</v>
      </c>
      <c r="H5360" s="1">
        <v>-6.1914959999999996E-7</v>
      </c>
      <c r="I5360">
        <v>20.622769999999999</v>
      </c>
      <c r="J5360">
        <v>-188.20330000000001</v>
      </c>
      <c r="K5360">
        <v>1.109307</v>
      </c>
      <c r="L5360">
        <v>4.08432</v>
      </c>
      <c r="M5360">
        <v>2.3723020000000001E-2</v>
      </c>
      <c r="N5360">
        <v>0</v>
      </c>
      <c r="O5360">
        <v>0.99968760000000001</v>
      </c>
      <c r="P5360">
        <v>-3.0402490000000001E-3</v>
      </c>
      <c r="Q5360">
        <v>0.14125509999999999</v>
      </c>
      <c r="R5360">
        <v>0.98996850000000003</v>
      </c>
      <c r="S5360">
        <v>-0.12814329999999999</v>
      </c>
      <c r="T5360">
        <v>-0.20089460000000001</v>
      </c>
      <c r="U5360">
        <v>3.062103</v>
      </c>
      <c r="V5360">
        <v>-2.6484259999999999E-2</v>
      </c>
      <c r="W5360">
        <v>0.14904809999999999</v>
      </c>
      <c r="X5360">
        <v>0.9884752</v>
      </c>
      <c r="Y5360">
        <v>-6.5413360000000004E-2</v>
      </c>
      <c r="Z5360">
        <v>-6.5339770000000005E-2</v>
      </c>
      <c r="AA5360">
        <v>0.99571679999999996</v>
      </c>
      <c r="AB5360">
        <v>38</v>
      </c>
      <c r="AC5360">
        <v>-0.71629999999998895</v>
      </c>
      <c r="AD5360">
        <v>-1.1093076191496001</v>
      </c>
      <c r="AE5360">
        <v>16.538450000000001</v>
      </c>
      <c r="AF5360">
        <v>-1.1034972065869799</v>
      </c>
      <c r="AG5360">
        <v>-1.1093076191496001</v>
      </c>
      <c r="AH5360">
        <v>16.442963852999402</v>
      </c>
      <c r="AI5360">
        <v>93.850916348867798</v>
      </c>
      <c r="AJ5360">
        <v>93.839397173508402</v>
      </c>
      <c r="AK5360">
        <v>16.517243406509898</v>
      </c>
      <c r="AL5360">
        <v>81.428233283518296</v>
      </c>
      <c r="AM5360">
        <v>91.534761187641905</v>
      </c>
      <c r="AN5360">
        <v>0.999999986578198</v>
      </c>
    </row>
    <row r="5361" spans="1:40" x14ac:dyDescent="0.25">
      <c r="A5361" t="str">
        <f>"20190312164415300"</f>
        <v>20190312164415300</v>
      </c>
      <c r="B5361" t="str">
        <f>"1552380255290833"</f>
        <v>1552380255290833</v>
      </c>
      <c r="C5361" t="s">
        <v>40</v>
      </c>
      <c r="D5361">
        <v>4.3832909999999998</v>
      </c>
      <c r="E5361">
        <v>0.48687570000000002</v>
      </c>
      <c r="F5361" t="s">
        <v>42</v>
      </c>
      <c r="G5361">
        <v>-188.8981</v>
      </c>
      <c r="H5361" s="1">
        <v>-5.3705739999999996E-7</v>
      </c>
      <c r="I5361">
        <v>20.364699999999999</v>
      </c>
      <c r="J5361">
        <v>-188.1942</v>
      </c>
      <c r="K5361">
        <v>1.1093550000000001</v>
      </c>
      <c r="L5361">
        <v>4.4675900000000004</v>
      </c>
      <c r="M5361">
        <v>2.3600349999999999E-2</v>
      </c>
      <c r="N5361">
        <v>0</v>
      </c>
      <c r="O5361">
        <v>0.99969059999999998</v>
      </c>
      <c r="P5361">
        <v>-5.5441819999999999E-3</v>
      </c>
      <c r="Q5361">
        <v>0.13678109999999999</v>
      </c>
      <c r="R5361">
        <v>0.99058579999999996</v>
      </c>
      <c r="S5361">
        <v>-0.1305847</v>
      </c>
      <c r="T5361">
        <v>-0.20848459999999999</v>
      </c>
      <c r="U5361">
        <v>3.0597530000000002</v>
      </c>
      <c r="V5361">
        <v>-2.89056E-2</v>
      </c>
      <c r="W5361">
        <v>0.1445573</v>
      </c>
      <c r="X5361">
        <v>0.98907409999999996</v>
      </c>
      <c r="Y5361">
        <v>-6.6108769999999997E-2</v>
      </c>
      <c r="Z5361">
        <v>-6.7846589999999998E-2</v>
      </c>
      <c r="AA5361">
        <v>0.99550309999999997</v>
      </c>
      <c r="AB5361">
        <v>38</v>
      </c>
      <c r="AC5361">
        <v>-0.70390000000000397</v>
      </c>
      <c r="AD5361">
        <v>-1.1093555370574</v>
      </c>
      <c r="AE5361">
        <v>15.8971099999999</v>
      </c>
      <c r="AF5361">
        <v>-1.0736745949036</v>
      </c>
      <c r="AG5361">
        <v>-1.1093555370574</v>
      </c>
      <c r="AH5361">
        <v>15.799281418792299</v>
      </c>
      <c r="AI5361">
        <v>94.007251505119896</v>
      </c>
      <c r="AJ5361">
        <v>93.887682225038205</v>
      </c>
      <c r="AK5361">
        <v>15.8745311802755</v>
      </c>
      <c r="AL5361">
        <v>81.688355414269395</v>
      </c>
      <c r="AM5361">
        <v>91.673987436434203</v>
      </c>
      <c r="AN5361">
        <v>0.99999996099272903</v>
      </c>
    </row>
    <row r="5362" spans="1:40" x14ac:dyDescent="0.25">
      <c r="A5362" t="str">
        <f>"20190312164415323"</f>
        <v>20190312164415323</v>
      </c>
      <c r="B5362" t="str">
        <f>"1552380255320618"</f>
        <v>1552380255320618</v>
      </c>
      <c r="C5362" t="s">
        <v>40</v>
      </c>
      <c r="D5362">
        <v>4.4381490000000001</v>
      </c>
      <c r="E5362">
        <v>0.48654059999999999</v>
      </c>
      <c r="F5362" t="s">
        <v>42</v>
      </c>
      <c r="G5362">
        <v>-188.89160000000001</v>
      </c>
      <c r="H5362" s="1">
        <v>-3.4761789999999999E-7</v>
      </c>
      <c r="I5362">
        <v>19.80292</v>
      </c>
      <c r="J5362">
        <v>-188.18539999999999</v>
      </c>
      <c r="K5362">
        <v>1.1093949999999999</v>
      </c>
      <c r="L5362">
        <v>4.8467409999999997</v>
      </c>
      <c r="M5362">
        <v>2.3431319999999999E-2</v>
      </c>
      <c r="N5362">
        <v>0</v>
      </c>
      <c r="O5362">
        <v>0.99969470000000005</v>
      </c>
      <c r="P5362">
        <v>-6.7302580000000002E-3</v>
      </c>
      <c r="Q5362">
        <v>0.13388539999999999</v>
      </c>
      <c r="R5362">
        <v>0.99097389999999996</v>
      </c>
      <c r="S5362">
        <v>-0.13906859999999999</v>
      </c>
      <c r="T5362">
        <v>-0.22123619999999999</v>
      </c>
      <c r="U5362">
        <v>3.0582889999999998</v>
      </c>
      <c r="V5362">
        <v>-2.9955430000000002E-2</v>
      </c>
      <c r="W5362">
        <v>0.14164599999999999</v>
      </c>
      <c r="X5362">
        <v>0.98946400000000001</v>
      </c>
      <c r="Y5362">
        <v>-6.8703109999999998E-2</v>
      </c>
      <c r="Z5362">
        <v>-7.1999339999999995E-2</v>
      </c>
      <c r="AA5362">
        <v>0.99503560000000002</v>
      </c>
      <c r="AB5362">
        <v>38</v>
      </c>
      <c r="AC5362">
        <v>-0.70620000000002303</v>
      </c>
      <c r="AD5362">
        <v>-1.1093953476178999</v>
      </c>
      <c r="AE5362">
        <v>14.956179000000001</v>
      </c>
      <c r="AF5362">
        <v>-1.0506917004252201</v>
      </c>
      <c r="AG5362">
        <v>-1.1093953476178999</v>
      </c>
      <c r="AH5362">
        <v>14.853978000390899</v>
      </c>
      <c r="AI5362">
        <v>94.2606990877334</v>
      </c>
      <c r="AJ5362">
        <v>94.046060825322002</v>
      </c>
      <c r="AK5362">
        <v>14.932359944856501</v>
      </c>
      <c r="AL5362">
        <v>81.856895310762297</v>
      </c>
      <c r="AM5362">
        <v>91.734065759316906</v>
      </c>
      <c r="AN5362">
        <v>0.99999996219924103</v>
      </c>
    </row>
    <row r="5363" spans="1:40" x14ac:dyDescent="0.25">
      <c r="A5363" t="str">
        <f>"20190312164415345"</f>
        <v>20190312164415345</v>
      </c>
      <c r="B5363" t="str">
        <f>"1552380255340137"</f>
        <v>1552380255340137</v>
      </c>
      <c r="C5363" t="s">
        <v>40</v>
      </c>
      <c r="D5363">
        <v>4.3937239999999997</v>
      </c>
      <c r="E5363">
        <v>0.48636000000000001</v>
      </c>
      <c r="F5363" t="s">
        <v>42</v>
      </c>
      <c r="G5363">
        <v>-188.87639999999999</v>
      </c>
      <c r="H5363" s="1">
        <v>-4.3850539999999997E-6</v>
      </c>
      <c r="I5363">
        <v>19.389849999999999</v>
      </c>
      <c r="J5363">
        <v>-188.1764</v>
      </c>
      <c r="K5363">
        <v>1.109448</v>
      </c>
      <c r="L5363">
        <v>5.2398680000000004</v>
      </c>
      <c r="M5363">
        <v>2.3206839999999999E-2</v>
      </c>
      <c r="N5363">
        <v>0</v>
      </c>
      <c r="O5363">
        <v>0.99970000000000003</v>
      </c>
      <c r="P5363">
        <v>-7.34527599999999E-3</v>
      </c>
      <c r="Q5363">
        <v>0.1313202</v>
      </c>
      <c r="R5363">
        <v>0.99131279999999999</v>
      </c>
      <c r="S5363">
        <v>-0.14529420000000001</v>
      </c>
      <c r="T5363">
        <v>-0.23326430000000001</v>
      </c>
      <c r="U5363">
        <v>3.0578609999999999</v>
      </c>
      <c r="V5363">
        <v>-3.0377120000000001E-2</v>
      </c>
      <c r="W5363">
        <v>0.13906779999999999</v>
      </c>
      <c r="X5363">
        <v>0.98981680000000005</v>
      </c>
      <c r="Y5363">
        <v>-7.0493040000000007E-2</v>
      </c>
      <c r="Z5363">
        <v>-7.589456E-2</v>
      </c>
      <c r="AA5363">
        <v>0.99462090000000003</v>
      </c>
      <c r="AB5363">
        <v>38</v>
      </c>
      <c r="AC5363">
        <v>-0.69999999999998797</v>
      </c>
      <c r="AD5363">
        <v>-1.1094523850539999</v>
      </c>
      <c r="AE5363">
        <v>14.1499819999999</v>
      </c>
      <c r="AF5363">
        <v>-1.02193082602805</v>
      </c>
      <c r="AG5363">
        <v>-1.1094523850539999</v>
      </c>
      <c r="AH5363">
        <v>14.0438007880805</v>
      </c>
      <c r="AI5363">
        <v>94.505090932513994</v>
      </c>
      <c r="AJ5363">
        <v>94.161929137486098</v>
      </c>
      <c r="AK5363">
        <v>14.124573189416299</v>
      </c>
      <c r="AL5363">
        <v>82.006092225842593</v>
      </c>
      <c r="AM5363">
        <v>91.757835037889905</v>
      </c>
      <c r="AN5363">
        <v>0.99999995998928604</v>
      </c>
    </row>
    <row r="5364" spans="1:40" x14ac:dyDescent="0.25">
      <c r="A5364" t="str">
        <f>"20190312164415371"</f>
        <v>20190312164415371</v>
      </c>
      <c r="B5364" t="str">
        <f>"1552380255360634"</f>
        <v>1552380255360634</v>
      </c>
      <c r="C5364" t="s">
        <v>40</v>
      </c>
      <c r="D5364">
        <v>4.4042669999999999</v>
      </c>
      <c r="E5364">
        <v>0.4862457</v>
      </c>
      <c r="F5364" t="s">
        <v>42</v>
      </c>
      <c r="G5364">
        <v>-188.87970000000001</v>
      </c>
      <c r="H5364" s="1">
        <v>-3.1211120000000002E-7</v>
      </c>
      <c r="I5364">
        <v>19.689309999999999</v>
      </c>
      <c r="J5364">
        <v>-188.16669999999999</v>
      </c>
      <c r="K5364">
        <v>1.1094889999999999</v>
      </c>
      <c r="L5364">
        <v>5.6655879999999996</v>
      </c>
      <c r="M5364">
        <v>2.291586E-2</v>
      </c>
      <c r="N5364">
        <v>0</v>
      </c>
      <c r="O5364">
        <v>0.99970689999999995</v>
      </c>
      <c r="P5364">
        <v>-8.5462059999999902E-3</v>
      </c>
      <c r="Q5364">
        <v>0.12817310000000001</v>
      </c>
      <c r="R5364">
        <v>0.99171500000000001</v>
      </c>
      <c r="S5364">
        <v>-0.14877319999999999</v>
      </c>
      <c r="T5364">
        <v>-0.23466500000000001</v>
      </c>
      <c r="U5364">
        <v>3.0562740000000002</v>
      </c>
      <c r="V5364">
        <v>-3.1317480000000002E-2</v>
      </c>
      <c r="W5364">
        <v>0.1359071</v>
      </c>
      <c r="X5364">
        <v>0.99022639999999995</v>
      </c>
      <c r="Y5364">
        <v>-7.1354909999999994E-2</v>
      </c>
      <c r="Z5364">
        <v>-7.6383350000000003E-2</v>
      </c>
      <c r="AA5364">
        <v>0.99452200000000002</v>
      </c>
      <c r="AB5364">
        <v>38</v>
      </c>
      <c r="AC5364">
        <v>-0.71300000000002195</v>
      </c>
      <c r="AD5364">
        <v>-1.1094893121111999</v>
      </c>
      <c r="AE5364">
        <v>14.023721999999999</v>
      </c>
      <c r="AF5364">
        <v>-1.0277717463214</v>
      </c>
      <c r="AG5364">
        <v>-1.1094893121111999</v>
      </c>
      <c r="AH5364">
        <v>13.9168158902299</v>
      </c>
      <c r="AI5364">
        <v>94.545819362443893</v>
      </c>
      <c r="AJ5364">
        <v>94.223687131220998</v>
      </c>
      <c r="AK5364">
        <v>13.9987515807225</v>
      </c>
      <c r="AL5364">
        <v>82.188923054570594</v>
      </c>
      <c r="AM5364">
        <v>91.811466068635596</v>
      </c>
      <c r="AN5364">
        <v>0.99999992382045699</v>
      </c>
    </row>
    <row r="5365" spans="1:40" x14ac:dyDescent="0.25">
      <c r="A5365" t="str">
        <f>"20190312164415393"</f>
        <v>20190312164415393</v>
      </c>
      <c r="B5365" t="str">
        <f>"1552380255389914"</f>
        <v>1552380255389914</v>
      </c>
      <c r="C5365" t="s">
        <v>40</v>
      </c>
      <c r="D5365">
        <v>4.4252060000000002</v>
      </c>
      <c r="E5365">
        <v>0.49129830000000002</v>
      </c>
      <c r="F5365" t="s">
        <v>42</v>
      </c>
      <c r="G5365">
        <v>-188.87809999999999</v>
      </c>
      <c r="H5365" s="1">
        <v>-3.8958410000000002E-7</v>
      </c>
      <c r="I5365">
        <v>19.915659999999999</v>
      </c>
      <c r="J5365">
        <v>-188.15819999999999</v>
      </c>
      <c r="K5365">
        <v>1.109518</v>
      </c>
      <c r="L5365">
        <v>6.0469670000000004</v>
      </c>
      <c r="M5365">
        <v>2.261444E-2</v>
      </c>
      <c r="N5365">
        <v>0</v>
      </c>
      <c r="O5365">
        <v>0.99971379999999999</v>
      </c>
      <c r="P5365">
        <v>-9.7312509999999998E-3</v>
      </c>
      <c r="Q5365">
        <v>0.1246213</v>
      </c>
      <c r="R5365">
        <v>0.9921567</v>
      </c>
      <c r="S5365">
        <v>-0.15248110000000001</v>
      </c>
      <c r="T5365">
        <v>-0.23781669999999999</v>
      </c>
      <c r="U5365">
        <v>3.0544739999999999</v>
      </c>
      <c r="V5365">
        <v>-3.2226970000000001E-2</v>
      </c>
      <c r="W5365">
        <v>0.13234279999999901</v>
      </c>
      <c r="X5365">
        <v>0.99068000000000001</v>
      </c>
      <c r="Y5365">
        <v>-7.2282879999999994E-2</v>
      </c>
      <c r="Z5365">
        <v>-7.7444289999999999E-2</v>
      </c>
      <c r="AA5365">
        <v>0.99437299999999995</v>
      </c>
      <c r="AB5365">
        <v>38</v>
      </c>
      <c r="AC5365">
        <v>-0.71989999999999499</v>
      </c>
      <c r="AD5365">
        <v>-1.1095183895841001</v>
      </c>
      <c r="AE5365">
        <v>13.868692999999899</v>
      </c>
      <c r="AF5365">
        <v>-1.0268040017678099</v>
      </c>
      <c r="AG5365">
        <v>-1.1095183895841001</v>
      </c>
      <c r="AH5365">
        <v>13.761027838996</v>
      </c>
      <c r="AI5365">
        <v>94.596924247358402</v>
      </c>
      <c r="AJ5365">
        <v>94.267320351908694</v>
      </c>
      <c r="AK5365">
        <v>13.843816117692899</v>
      </c>
      <c r="AL5365">
        <v>82.395005397740306</v>
      </c>
      <c r="AM5365">
        <v>91.8631833314749</v>
      </c>
      <c r="AN5365">
        <v>1.0000000283536099</v>
      </c>
    </row>
    <row r="5366" spans="1:40" x14ac:dyDescent="0.25">
      <c r="A5366" t="str">
        <f>"20190312164415436"</f>
        <v>20190312164415436</v>
      </c>
      <c r="B5366" t="str">
        <f>"1552380255430907"</f>
        <v>1552380255430907</v>
      </c>
      <c r="C5366" t="s">
        <v>40</v>
      </c>
      <c r="D5366">
        <v>4.2921610000000001</v>
      </c>
      <c r="E5366">
        <v>0.49459809999999998</v>
      </c>
      <c r="F5366" t="s">
        <v>42</v>
      </c>
      <c r="G5366">
        <v>-188.8005</v>
      </c>
      <c r="H5366" s="1">
        <v>-1.7535489999999999E-6</v>
      </c>
      <c r="I5366">
        <v>23.22437</v>
      </c>
      <c r="J5366">
        <v>-188.1421</v>
      </c>
      <c r="K5366">
        <v>1.1095600000000001</v>
      </c>
      <c r="L5366">
        <v>6.7841490000000002</v>
      </c>
      <c r="M5366">
        <v>2.191881E-2</v>
      </c>
      <c r="N5366">
        <v>0</v>
      </c>
      <c r="O5366">
        <v>0.99972950000000005</v>
      </c>
      <c r="P5366">
        <v>-1.014455E-2</v>
      </c>
      <c r="Q5366">
        <v>0.118044</v>
      </c>
      <c r="R5366">
        <v>0.99295659999999997</v>
      </c>
      <c r="S5366">
        <v>-0.1139526</v>
      </c>
      <c r="T5366">
        <v>-0.1968328</v>
      </c>
      <c r="U5366">
        <v>3.0473330000000001</v>
      </c>
      <c r="V5366">
        <v>-3.1990129999999999E-2</v>
      </c>
      <c r="W5366">
        <v>0.12574370000000001</v>
      </c>
      <c r="X5366">
        <v>0.99154690000000001</v>
      </c>
      <c r="Y5366">
        <v>-5.918578E-2</v>
      </c>
      <c r="Z5366">
        <v>-6.4355369999999995E-2</v>
      </c>
      <c r="AA5366">
        <v>0.99617040000000001</v>
      </c>
      <c r="AB5366">
        <v>38</v>
      </c>
      <c r="AC5366">
        <v>-0.65839999999999999</v>
      </c>
      <c r="AD5366">
        <v>-1.1095617535490001</v>
      </c>
      <c r="AE5366">
        <v>16.440220999999902</v>
      </c>
      <c r="AF5366">
        <v>-1.0139914651875499</v>
      </c>
      <c r="AG5366">
        <v>-1.1095617535490001</v>
      </c>
      <c r="AH5366">
        <v>16.3474958003974</v>
      </c>
      <c r="AI5366">
        <v>93.875484447394697</v>
      </c>
      <c r="AJ5366">
        <v>93.549356784643393</v>
      </c>
      <c r="AK5366">
        <v>16.416452872664799</v>
      </c>
      <c r="AL5366">
        <v>82.776294833298493</v>
      </c>
      <c r="AM5366">
        <v>91.847884232305006</v>
      </c>
      <c r="AN5366">
        <v>1.00000005070335</v>
      </c>
    </row>
    <row r="5367" spans="1:40" x14ac:dyDescent="0.25">
      <c r="A5367" t="str">
        <f>"20190312164415456"</f>
        <v>20190312164415456</v>
      </c>
      <c r="B5367" t="str">
        <f>"1552380255450426"</f>
        <v>1552380255450426</v>
      </c>
      <c r="C5367" t="s">
        <v>40</v>
      </c>
      <c r="D5367">
        <v>4.4163519999999998</v>
      </c>
      <c r="E5367">
        <v>0.49606420000000001</v>
      </c>
      <c r="F5367" t="s">
        <v>42</v>
      </c>
      <c r="G5367">
        <v>-188.60300000000001</v>
      </c>
      <c r="H5367" s="1">
        <v>-1.4060669999999999E-6</v>
      </c>
      <c r="I5367">
        <v>22.332689999999999</v>
      </c>
      <c r="J5367">
        <v>-188.13499999999999</v>
      </c>
      <c r="K5367">
        <v>1.1095930000000001</v>
      </c>
      <c r="L5367">
        <v>7.122528</v>
      </c>
      <c r="M5367">
        <v>2.1553139999999998E-2</v>
      </c>
      <c r="N5367">
        <v>0</v>
      </c>
      <c r="O5367">
        <v>0.99973749999999995</v>
      </c>
      <c r="P5367">
        <v>-9.335823E-3</v>
      </c>
      <c r="Q5367">
        <v>0.1158701</v>
      </c>
      <c r="R5367">
        <v>0.99322049999999995</v>
      </c>
      <c r="S5367">
        <v>-9.0286249999999998E-2</v>
      </c>
      <c r="T5367">
        <v>-0.2173804</v>
      </c>
      <c r="U5367">
        <v>3.0462039999999999</v>
      </c>
      <c r="V5367">
        <v>-3.0834090000000001E-2</v>
      </c>
      <c r="W5367">
        <v>0.1235627</v>
      </c>
      <c r="X5367">
        <v>0.99185760000000001</v>
      </c>
      <c r="Y5367">
        <v>-5.1088370000000001E-2</v>
      </c>
      <c r="Z5367">
        <v>-7.109327E-2</v>
      </c>
      <c r="AA5367">
        <v>0.9961605</v>
      </c>
      <c r="AB5367">
        <v>38</v>
      </c>
      <c r="AC5367">
        <v>-0.46799999999998898</v>
      </c>
      <c r="AD5367">
        <v>-1.109594406067</v>
      </c>
      <c r="AE5367">
        <v>15.210162</v>
      </c>
      <c r="AF5367">
        <v>-0.79151958270407696</v>
      </c>
      <c r="AG5367">
        <v>-1.109594406067</v>
      </c>
      <c r="AH5367">
        <v>15.1161717751636</v>
      </c>
      <c r="AI5367">
        <v>94.192513038257005</v>
      </c>
      <c r="AJ5367">
        <v>92.997409152138601</v>
      </c>
      <c r="AK5367">
        <v>15.177494922813599</v>
      </c>
      <c r="AL5367">
        <v>82.902238837090806</v>
      </c>
      <c r="AM5367">
        <v>91.780592740334001</v>
      </c>
      <c r="AN5367">
        <v>0.99999999030758902</v>
      </c>
    </row>
    <row r="5368" spans="1:40" x14ac:dyDescent="0.25">
      <c r="A5368" t="str">
        <f>"20190312164415478"</f>
        <v>20190312164415478</v>
      </c>
      <c r="B5368" t="str">
        <f>"1552380255470922"</f>
        <v>1552380255470922</v>
      </c>
      <c r="C5368" t="s">
        <v>40</v>
      </c>
      <c r="D5368">
        <v>4.2766799999999998</v>
      </c>
      <c r="E5368">
        <v>0.49743300000000001</v>
      </c>
      <c r="F5368" t="s">
        <v>42</v>
      </c>
      <c r="G5368">
        <v>-188.53190000000001</v>
      </c>
      <c r="H5368" s="1">
        <v>-1.7028569999999999E-6</v>
      </c>
      <c r="I5368">
        <v>22.99512</v>
      </c>
      <c r="J5368">
        <v>-188.12710000000001</v>
      </c>
      <c r="K5368">
        <v>1.1096189999999999</v>
      </c>
      <c r="L5368">
        <v>7.5032039999999904</v>
      </c>
      <c r="M5368">
        <v>2.110414E-2</v>
      </c>
      <c r="N5368">
        <v>0</v>
      </c>
      <c r="O5368">
        <v>0.9997471</v>
      </c>
      <c r="P5368">
        <v>-8.2230089999999999E-3</v>
      </c>
      <c r="Q5368">
        <v>0.11376989999999899</v>
      </c>
      <c r="R5368">
        <v>0.9934731</v>
      </c>
      <c r="S5368">
        <v>-7.6126100000000002E-2</v>
      </c>
      <c r="T5368">
        <v>-0.21283589999999999</v>
      </c>
      <c r="U5368">
        <v>3.0445859999999998</v>
      </c>
      <c r="V5368">
        <v>-2.9291859999999999E-2</v>
      </c>
      <c r="W5368">
        <v>0.1214553</v>
      </c>
      <c r="X5368">
        <v>0.99216459999999995</v>
      </c>
      <c r="Y5368">
        <v>-4.6027800000000001E-2</v>
      </c>
      <c r="Z5368">
        <v>-6.9665069999999996E-2</v>
      </c>
      <c r="AA5368">
        <v>0.99650799999999995</v>
      </c>
      <c r="AB5368">
        <v>38</v>
      </c>
      <c r="AC5368">
        <v>-0.404799999999994</v>
      </c>
      <c r="AD5368">
        <v>-1.109620702857</v>
      </c>
      <c r="AE5368">
        <v>15.491916</v>
      </c>
      <c r="AF5368">
        <v>-0.72793134457842601</v>
      </c>
      <c r="AG5368">
        <v>-1.109620702857</v>
      </c>
      <c r="AH5368">
        <v>15.400965313466299</v>
      </c>
      <c r="AI5368">
        <v>94.116390312497998</v>
      </c>
      <c r="AJ5368">
        <v>92.706088631587207</v>
      </c>
      <c r="AK5368">
        <v>15.458035927414</v>
      </c>
      <c r="AL5368">
        <v>83.023900470972805</v>
      </c>
      <c r="AM5368">
        <v>91.691062747554298</v>
      </c>
      <c r="AN5368">
        <v>0.99999999822675401</v>
      </c>
    </row>
    <row r="5369" spans="1:40" x14ac:dyDescent="0.25">
      <c r="A5369" t="str">
        <f>"20190312164415501"</f>
        <v>20190312164415501</v>
      </c>
      <c r="B5369" t="str">
        <f>"1552380255490443"</f>
        <v>1552380255490443</v>
      </c>
      <c r="C5369" t="s">
        <v>40</v>
      </c>
      <c r="D5369">
        <v>4.2747089999999996</v>
      </c>
      <c r="E5369">
        <v>0.49808259999999999</v>
      </c>
      <c r="F5369" t="s">
        <v>42</v>
      </c>
      <c r="G5369">
        <v>-188.4648</v>
      </c>
      <c r="H5369" s="1">
        <v>-2.1301600000000001E-6</v>
      </c>
      <c r="I5369">
        <v>23.963439999999999</v>
      </c>
      <c r="J5369">
        <v>-188.11920000000001</v>
      </c>
      <c r="K5369">
        <v>1.1096509999999999</v>
      </c>
      <c r="L5369">
        <v>7.8931579999999997</v>
      </c>
      <c r="M5369">
        <v>2.0594060000000001E-2</v>
      </c>
      <c r="N5369">
        <v>0</v>
      </c>
      <c r="O5369">
        <v>0.99975780000000003</v>
      </c>
      <c r="P5369">
        <v>-7.748324E-3</v>
      </c>
      <c r="Q5369">
        <v>0.1104776</v>
      </c>
      <c r="R5369">
        <v>0.99384839999999997</v>
      </c>
      <c r="S5369">
        <v>-6.242371E-2</v>
      </c>
      <c r="T5369">
        <v>-0.20511470000000001</v>
      </c>
      <c r="U5369">
        <v>3.042694</v>
      </c>
      <c r="V5369">
        <v>-2.8330520000000001E-2</v>
      </c>
      <c r="W5369">
        <v>0.1181538</v>
      </c>
      <c r="X5369">
        <v>0.99259109999999995</v>
      </c>
      <c r="Y5369">
        <v>-4.1051209999999998E-2</v>
      </c>
      <c r="Z5369">
        <v>-6.7202769999999995E-2</v>
      </c>
      <c r="AA5369">
        <v>0.99689450000000002</v>
      </c>
      <c r="AB5369">
        <v>38</v>
      </c>
      <c r="AC5369">
        <v>-0.34559999999999003</v>
      </c>
      <c r="AD5369">
        <v>-1.1096531301599999</v>
      </c>
      <c r="AE5369">
        <v>16.070281999999999</v>
      </c>
      <c r="AF5369">
        <v>-0.67328036674104996</v>
      </c>
      <c r="AG5369">
        <v>-1.1096531301599999</v>
      </c>
      <c r="AH5369">
        <v>15.9835831269554</v>
      </c>
      <c r="AI5369">
        <v>93.967854369142799</v>
      </c>
      <c r="AJ5369">
        <v>92.412058129990001</v>
      </c>
      <c r="AK5369">
        <v>16.036195499488201</v>
      </c>
      <c r="AL5369">
        <v>83.214435019643105</v>
      </c>
      <c r="AM5369">
        <v>91.634891407264604</v>
      </c>
      <c r="AN5369">
        <v>1.00000001530856</v>
      </c>
    </row>
    <row r="5370" spans="1:40" x14ac:dyDescent="0.25">
      <c r="A5370" t="str">
        <f>"20190312164415525"</f>
        <v>20190312164415525</v>
      </c>
      <c r="B5370" t="str">
        <f>"1552380255520698"</f>
        <v>1552380255520698</v>
      </c>
      <c r="C5370" t="s">
        <v>40</v>
      </c>
      <c r="D5370">
        <v>4.426272</v>
      </c>
      <c r="E5370">
        <v>0.49868119999999999</v>
      </c>
      <c r="F5370" t="s">
        <v>42</v>
      </c>
      <c r="G5370">
        <v>-188.42320000000001</v>
      </c>
      <c r="H5370" s="1">
        <v>-2.302571E-6</v>
      </c>
      <c r="I5370">
        <v>24.348130000000001</v>
      </c>
      <c r="J5370">
        <v>-188.11109999999999</v>
      </c>
      <c r="K5370">
        <v>1.109688</v>
      </c>
      <c r="L5370">
        <v>8.3120729999999998</v>
      </c>
      <c r="M5370">
        <v>1.9979529999999999E-2</v>
      </c>
      <c r="N5370">
        <v>0</v>
      </c>
      <c r="O5370">
        <v>0.99977039999999995</v>
      </c>
      <c r="P5370">
        <v>-6.6816209999999996E-3</v>
      </c>
      <c r="Q5370">
        <v>0.1078166</v>
      </c>
      <c r="R5370">
        <v>0.99414840000000004</v>
      </c>
      <c r="S5370">
        <v>-5.6167599999999901E-2</v>
      </c>
      <c r="T5370">
        <v>-0.2050669</v>
      </c>
      <c r="U5370">
        <v>3.040924</v>
      </c>
      <c r="V5370">
        <v>-2.6673369999999998E-2</v>
      </c>
      <c r="W5370">
        <v>0.115481399999999</v>
      </c>
      <c r="X5370">
        <v>0.99295149999999999</v>
      </c>
      <c r="Y5370">
        <v>-3.8398649999999999E-2</v>
      </c>
      <c r="Z5370">
        <v>-6.7232239999999999E-2</v>
      </c>
      <c r="AA5370">
        <v>0.99699819999999995</v>
      </c>
      <c r="AB5370">
        <v>38</v>
      </c>
      <c r="AC5370">
        <v>-0.31210000000001498</v>
      </c>
      <c r="AD5370">
        <v>-1.1096903025710001</v>
      </c>
      <c r="AE5370">
        <v>16.036057</v>
      </c>
      <c r="AF5370">
        <v>-0.62942725341776196</v>
      </c>
      <c r="AG5370">
        <v>-1.1096903025710001</v>
      </c>
      <c r="AH5370">
        <v>15.9502695289131</v>
      </c>
      <c r="AI5370">
        <v>93.976677414990604</v>
      </c>
      <c r="AJ5370">
        <v>92.259825309218101</v>
      </c>
      <c r="AK5370">
        <v>16.001208994321001</v>
      </c>
      <c r="AL5370">
        <v>83.368608112144102</v>
      </c>
      <c r="AM5370">
        <v>91.538749961634394</v>
      </c>
      <c r="AN5370">
        <v>1.0000000518826799</v>
      </c>
    </row>
    <row r="5371" spans="1:40" x14ac:dyDescent="0.25">
      <c r="A5371" t="str">
        <f>"20190312164415548"</f>
        <v>20190312164415548</v>
      </c>
      <c r="B5371" t="str">
        <f>"1552380255540219"</f>
        <v>1552380255540219</v>
      </c>
      <c r="C5371" t="s">
        <v>40</v>
      </c>
      <c r="D5371">
        <v>4.1868119999999998</v>
      </c>
      <c r="E5371">
        <v>0.50157370000000001</v>
      </c>
      <c r="F5371" t="s">
        <v>42</v>
      </c>
      <c r="G5371">
        <v>-188.3794</v>
      </c>
      <c r="H5371" s="1">
        <v>-2.5925600000000001E-6</v>
      </c>
      <c r="I5371">
        <v>25.006</v>
      </c>
      <c r="J5371">
        <v>-188.10390000000001</v>
      </c>
      <c r="K5371">
        <v>1.1097330000000001</v>
      </c>
      <c r="L5371">
        <v>8.6943970000000004</v>
      </c>
      <c r="M5371">
        <v>1.9369810000000001E-2</v>
      </c>
      <c r="N5371">
        <v>0</v>
      </c>
      <c r="O5371">
        <v>0.99978239999999996</v>
      </c>
      <c r="P5371">
        <v>-5.6706609999999996E-3</v>
      </c>
      <c r="Q5371">
        <v>0.1064589</v>
      </c>
      <c r="R5371">
        <v>0.99430099999999999</v>
      </c>
      <c r="S5371">
        <v>-4.8843379999999999E-2</v>
      </c>
      <c r="T5371">
        <v>-0.20202700000000001</v>
      </c>
      <c r="U5371">
        <v>3.0392459999999999</v>
      </c>
      <c r="V5371">
        <v>-2.5072710000000002E-2</v>
      </c>
      <c r="W5371">
        <v>0.1141139</v>
      </c>
      <c r="X5371">
        <v>0.99315120000000001</v>
      </c>
      <c r="Y5371">
        <v>-3.5398329999999999E-2</v>
      </c>
      <c r="Z5371">
        <v>-6.6282659999999993E-2</v>
      </c>
      <c r="AA5371">
        <v>0.99717279999999997</v>
      </c>
      <c r="AB5371">
        <v>39</v>
      </c>
      <c r="AC5371">
        <v>-0.27549999999999297</v>
      </c>
      <c r="AD5371">
        <v>-1.1097355925599901</v>
      </c>
      <c r="AE5371">
        <v>16.311602999999899</v>
      </c>
      <c r="AF5371">
        <v>-0.58868644128172698</v>
      </c>
      <c r="AG5371">
        <v>-1.1097355925599901</v>
      </c>
      <c r="AH5371">
        <v>16.228114660361602</v>
      </c>
      <c r="AI5371">
        <v>93.909433295876696</v>
      </c>
      <c r="AJ5371">
        <v>92.077534318519696</v>
      </c>
      <c r="AK5371">
        <v>16.276663363275301</v>
      </c>
      <c r="AL5371">
        <v>83.447480958283705</v>
      </c>
      <c r="AM5371">
        <v>91.446159847242598</v>
      </c>
      <c r="AN5371">
        <v>0.99999996451069595</v>
      </c>
    </row>
    <row r="5372" spans="1:40" x14ac:dyDescent="0.25">
      <c r="A5372" t="str">
        <f>"20190312164415570"</f>
        <v>20190312164415570</v>
      </c>
      <c r="B5372" t="str">
        <f>"1552380255560715"</f>
        <v>1552380255560715</v>
      </c>
      <c r="C5372" t="s">
        <v>40</v>
      </c>
      <c r="D5372">
        <v>4.1974530000000003</v>
      </c>
      <c r="E5372">
        <v>0.50029469999999998</v>
      </c>
      <c r="F5372" t="s">
        <v>42</v>
      </c>
      <c r="G5372">
        <v>-188.2672</v>
      </c>
      <c r="H5372" s="1">
        <v>-1.5760020000000001E-6</v>
      </c>
      <c r="I5372">
        <v>32.590000000000003</v>
      </c>
      <c r="J5372">
        <v>-188.09690000000001</v>
      </c>
      <c r="K5372">
        <v>1.1097699999999999</v>
      </c>
      <c r="L5372">
        <v>9.0825499999999995</v>
      </c>
      <c r="M5372">
        <v>1.8710890000000001E-2</v>
      </c>
      <c r="N5372">
        <v>0</v>
      </c>
      <c r="O5372">
        <v>0.99979510000000005</v>
      </c>
      <c r="P5372">
        <v>-4.0267609999999898E-3</v>
      </c>
      <c r="Q5372">
        <v>0.1056546</v>
      </c>
      <c r="R5372">
        <v>0.99439469999999996</v>
      </c>
      <c r="S5372">
        <v>-2.0721440000000001E-2</v>
      </c>
      <c r="T5372">
        <v>-0.14081669999999999</v>
      </c>
      <c r="U5372">
        <v>3.0321660000000001</v>
      </c>
      <c r="V5372">
        <v>-2.2788369999999999E-2</v>
      </c>
      <c r="W5372">
        <v>0.113302399999999</v>
      </c>
      <c r="X5372">
        <v>0.99329920000000005</v>
      </c>
      <c r="Y5372">
        <v>-2.5536179999999999E-2</v>
      </c>
      <c r="Z5372">
        <v>-4.6370689999999999E-2</v>
      </c>
      <c r="AA5372">
        <v>0.99859790000000004</v>
      </c>
      <c r="AB5372">
        <v>39</v>
      </c>
      <c r="AC5372">
        <v>-0.17029999999999701</v>
      </c>
      <c r="AD5372">
        <v>-1.1097715760019999</v>
      </c>
      <c r="AE5372">
        <v>23.507449999999999</v>
      </c>
      <c r="AF5372">
        <v>-0.60877190433481598</v>
      </c>
      <c r="AG5372">
        <v>-1.1097715760019999</v>
      </c>
      <c r="AH5372">
        <v>23.447891765934202</v>
      </c>
      <c r="AI5372">
        <v>92.708833785307803</v>
      </c>
      <c r="AJ5372">
        <v>91.487222270608399</v>
      </c>
      <c r="AK5372">
        <v>23.482031948904599</v>
      </c>
      <c r="AL5372">
        <v>83.494280392758697</v>
      </c>
      <c r="AM5372">
        <v>91.314254978318004</v>
      </c>
      <c r="AN5372">
        <v>1.0000000221868199</v>
      </c>
    </row>
    <row r="5373" spans="1:40" x14ac:dyDescent="0.25">
      <c r="A5373" t="str">
        <f>"20190312164415591"</f>
        <v>20190312164415591</v>
      </c>
      <c r="B5373" t="str">
        <f>"1552380255580235"</f>
        <v>1552380255580235</v>
      </c>
      <c r="C5373" t="s">
        <v>40</v>
      </c>
      <c r="D5373">
        <v>4.1801919999999999</v>
      </c>
      <c r="E5373">
        <v>0.49912010000000001</v>
      </c>
      <c r="F5373" t="s">
        <v>42</v>
      </c>
      <c r="G5373">
        <v>-188.2886</v>
      </c>
      <c r="H5373" s="1">
        <v>-9.3846910000000003E-7</v>
      </c>
      <c r="I5373">
        <v>31.067710000000002</v>
      </c>
      <c r="J5373">
        <v>-188.09030000000001</v>
      </c>
      <c r="K5373">
        <v>1.109793</v>
      </c>
      <c r="L5373">
        <v>9.4655459999999998</v>
      </c>
      <c r="M5373">
        <v>1.8028740000000001E-2</v>
      </c>
      <c r="N5373">
        <v>0</v>
      </c>
      <c r="O5373">
        <v>0.99980769999999997</v>
      </c>
      <c r="P5373">
        <v>-2.5315939999999999E-3</v>
      </c>
      <c r="Q5373">
        <v>0.104515</v>
      </c>
      <c r="R5373">
        <v>0.99452010000000002</v>
      </c>
      <c r="S5373">
        <v>-2.6443479999999998E-2</v>
      </c>
      <c r="T5373">
        <v>-0.153104399999999</v>
      </c>
      <c r="U5373">
        <v>3.0330810000000001</v>
      </c>
      <c r="V5373">
        <v>-2.0626479999999999E-2</v>
      </c>
      <c r="W5373">
        <v>0.1121558</v>
      </c>
      <c r="X5373">
        <v>0.99347649999999998</v>
      </c>
      <c r="Y5373">
        <v>-2.673412E-2</v>
      </c>
      <c r="Z5373">
        <v>-5.0391739999999997E-2</v>
      </c>
      <c r="AA5373">
        <v>0.99837169999999997</v>
      </c>
      <c r="AB5373">
        <v>39</v>
      </c>
      <c r="AC5373">
        <v>-0.19829999999998901</v>
      </c>
      <c r="AD5373">
        <v>-1.1097939384691</v>
      </c>
      <c r="AE5373">
        <v>21.602163999999998</v>
      </c>
      <c r="AF5373">
        <v>-0.58619214706377698</v>
      </c>
      <c r="AG5373">
        <v>-1.1097939384691</v>
      </c>
      <c r="AH5373">
        <v>21.538236302012201</v>
      </c>
      <c r="AI5373">
        <v>92.948563128064606</v>
      </c>
      <c r="AJ5373">
        <v>91.5589970518119</v>
      </c>
      <c r="AK5373">
        <v>21.574774316790901</v>
      </c>
      <c r="AL5373">
        <v>83.5603968142306</v>
      </c>
      <c r="AM5373">
        <v>91.189399532640294</v>
      </c>
      <c r="AN5373">
        <v>0.99999996560153903</v>
      </c>
    </row>
    <row r="5374" spans="1:40" x14ac:dyDescent="0.25">
      <c r="A5374" t="str">
        <f>"20190312164415615"</f>
        <v>20190312164415615</v>
      </c>
      <c r="B5374" t="str">
        <f>"1552380255610491"</f>
        <v>1552380255610491</v>
      </c>
      <c r="C5374" t="s">
        <v>40</v>
      </c>
      <c r="D5374">
        <v>4.200418</v>
      </c>
      <c r="E5374">
        <v>0.49884499999999998</v>
      </c>
      <c r="F5374" t="s">
        <v>42</v>
      </c>
      <c r="G5374">
        <v>-188.30779999999999</v>
      </c>
      <c r="H5374" s="1">
        <v>-6.4758219999999997E-7</v>
      </c>
      <c r="I5374">
        <v>30.227900000000002</v>
      </c>
      <c r="J5374">
        <v>-188.08369999999999</v>
      </c>
      <c r="K5374">
        <v>1.1098220000000001</v>
      </c>
      <c r="L5374">
        <v>9.8646239999999992</v>
      </c>
      <c r="M5374">
        <v>1.7293139999999999E-2</v>
      </c>
      <c r="N5374">
        <v>0</v>
      </c>
      <c r="O5374">
        <v>0.99982079999999995</v>
      </c>
      <c r="P5374">
        <v>-1.0175259999999999E-3</v>
      </c>
      <c r="Q5374">
        <v>0.10369349999999999</v>
      </c>
      <c r="R5374">
        <v>0.99460879999999996</v>
      </c>
      <c r="S5374">
        <v>-3.17688E-2</v>
      </c>
      <c r="T5374">
        <v>-0.16214609999999999</v>
      </c>
      <c r="U5374">
        <v>3.0334780000000001</v>
      </c>
      <c r="V5374">
        <v>-1.8390739999999999E-2</v>
      </c>
      <c r="W5374">
        <v>0.1113251</v>
      </c>
      <c r="X5374">
        <v>0.99361379999999999</v>
      </c>
      <c r="Y5374">
        <v>-2.774838E-2</v>
      </c>
      <c r="Z5374">
        <v>-5.335231E-2</v>
      </c>
      <c r="AA5374">
        <v>0.99819020000000003</v>
      </c>
      <c r="AB5374">
        <v>39</v>
      </c>
      <c r="AC5374">
        <v>-0.224099999999992</v>
      </c>
      <c r="AD5374">
        <v>-1.1098226475822</v>
      </c>
      <c r="AE5374">
        <v>20.363275999999999</v>
      </c>
      <c r="AF5374">
        <v>-0.57451559120840001</v>
      </c>
      <c r="AG5374">
        <v>-1.1098226475822</v>
      </c>
      <c r="AH5374">
        <v>20.296075501319599</v>
      </c>
      <c r="AI5374">
        <v>93.128659269383206</v>
      </c>
      <c r="AJ5374">
        <v>91.621423361568702</v>
      </c>
      <c r="AK5374">
        <v>20.334513892121699</v>
      </c>
      <c r="AL5374">
        <v>83.608292208949294</v>
      </c>
      <c r="AM5374">
        <v>91.060363172958105</v>
      </c>
      <c r="AN5374">
        <v>0.99999994037909701</v>
      </c>
    </row>
    <row r="5375" spans="1:40" x14ac:dyDescent="0.25">
      <c r="A5375" t="str">
        <f>"20190312164415635"</f>
        <v>20190312164415635</v>
      </c>
      <c r="B5375" t="str">
        <f>"1552380255630010"</f>
        <v>1552380255630010</v>
      </c>
      <c r="C5375" t="s">
        <v>40</v>
      </c>
      <c r="D5375">
        <v>4.1509819999999999</v>
      </c>
      <c r="E5375">
        <v>0.49659500000000001</v>
      </c>
      <c r="F5375" t="s">
        <v>42</v>
      </c>
      <c r="G5375">
        <v>-188.2878</v>
      </c>
      <c r="H5375" s="1">
        <v>-8.8688569999999898E-7</v>
      </c>
      <c r="I5375">
        <v>30.915479999999999</v>
      </c>
      <c r="J5375">
        <v>-188.0779</v>
      </c>
      <c r="K5375">
        <v>1.1098479999999999</v>
      </c>
      <c r="L5375">
        <v>10.23035</v>
      </c>
      <c r="M5375">
        <v>1.6604049999999999E-2</v>
      </c>
      <c r="N5375">
        <v>0</v>
      </c>
      <c r="O5375">
        <v>0.99983250000000001</v>
      </c>
      <c r="P5375">
        <v>2.2736680000000001E-4</v>
      </c>
      <c r="Q5375">
        <v>0.10378510000000001</v>
      </c>
      <c r="R5375">
        <v>0.99459969999999998</v>
      </c>
      <c r="S5375">
        <v>-2.940369E-2</v>
      </c>
      <c r="T5375">
        <v>-0.1598976</v>
      </c>
      <c r="U5375">
        <v>3.0328979999999999</v>
      </c>
      <c r="V5375">
        <v>-1.646744E-2</v>
      </c>
      <c r="W5375">
        <v>0.1114071</v>
      </c>
      <c r="X5375">
        <v>0.99363840000000003</v>
      </c>
      <c r="Y5375">
        <v>-2.628345E-2</v>
      </c>
      <c r="Z5375">
        <v>-5.2626729999999997E-2</v>
      </c>
      <c r="AA5375">
        <v>0.9982683</v>
      </c>
      <c r="AB5375">
        <v>39</v>
      </c>
      <c r="AC5375">
        <v>-0.209900000000004</v>
      </c>
      <c r="AD5375">
        <v>-1.1098488868856999</v>
      </c>
      <c r="AE5375">
        <v>20.685129999999901</v>
      </c>
      <c r="AF5375">
        <v>-0.55174996186304404</v>
      </c>
      <c r="AG5375">
        <v>-1.1098488868856999</v>
      </c>
      <c r="AH5375">
        <v>20.6194398622672</v>
      </c>
      <c r="AI5375">
        <v>93.079892855765905</v>
      </c>
      <c r="AJ5375">
        <v>91.532796348773104</v>
      </c>
      <c r="AK5375">
        <v>20.656657348317299</v>
      </c>
      <c r="AL5375">
        <v>83.603564891981094</v>
      </c>
      <c r="AM5375">
        <v>90.949468583023204</v>
      </c>
      <c r="AN5375">
        <v>0.99999999423256103</v>
      </c>
    </row>
    <row r="5376" spans="1:40" x14ac:dyDescent="0.25">
      <c r="A5376" t="str">
        <f>"20190312164415657"</f>
        <v>20190312164415657</v>
      </c>
      <c r="B5376" t="str">
        <f>"1552380255650507"</f>
        <v>1552380255650507</v>
      </c>
      <c r="C5376" t="s">
        <v>40</v>
      </c>
      <c r="D5376">
        <v>4.2457500000000001</v>
      </c>
      <c r="E5376">
        <v>0.49570540000000002</v>
      </c>
      <c r="F5376" t="s">
        <v>42</v>
      </c>
      <c r="G5376">
        <v>-188.29990000000001</v>
      </c>
      <c r="H5376" s="1">
        <v>-2.5404389999999999E-6</v>
      </c>
      <c r="I5376">
        <v>24.85163</v>
      </c>
      <c r="J5376">
        <v>-188.07220000000001</v>
      </c>
      <c r="K5376">
        <v>1.109869</v>
      </c>
      <c r="L5376">
        <v>10.60736</v>
      </c>
      <c r="M5376">
        <v>1.5885639999999999E-2</v>
      </c>
      <c r="N5376">
        <v>0</v>
      </c>
      <c r="O5376">
        <v>0.99984430000000002</v>
      </c>
      <c r="P5376">
        <v>1.913723E-3</v>
      </c>
      <c r="Q5376">
        <v>0.1044514</v>
      </c>
      <c r="R5376">
        <v>0.99452819999999997</v>
      </c>
      <c r="S5376">
        <v>-4.6173100000000002E-2</v>
      </c>
      <c r="T5376">
        <v>-0.23078409999999999</v>
      </c>
      <c r="U5376">
        <v>3.040375</v>
      </c>
      <c r="V5376">
        <v>-1.407221E-2</v>
      </c>
      <c r="W5376">
        <v>0.11206579999999999</v>
      </c>
      <c r="X5376">
        <v>0.99360110000000001</v>
      </c>
      <c r="Y5376">
        <v>-3.1023729999999999E-2</v>
      </c>
      <c r="Z5376">
        <v>-7.5651830000000003E-2</v>
      </c>
      <c r="AA5376">
        <v>0.99665150000000002</v>
      </c>
      <c r="AB5376">
        <v>39</v>
      </c>
      <c r="AC5376">
        <v>-0.22769999999999799</v>
      </c>
      <c r="AD5376">
        <v>-1.109871540439</v>
      </c>
      <c r="AE5376">
        <v>14.24427</v>
      </c>
      <c r="AF5376">
        <v>-0.451218610706284</v>
      </c>
      <c r="AG5376">
        <v>-1.109871540439</v>
      </c>
      <c r="AH5376">
        <v>14.1529536361748</v>
      </c>
      <c r="AI5376">
        <v>94.481678179878202</v>
      </c>
      <c r="AJ5376">
        <v>91.826061807128198</v>
      </c>
      <c r="AK5376">
        <v>14.203573835434501</v>
      </c>
      <c r="AL5376">
        <v>83.565586102275006</v>
      </c>
      <c r="AM5376">
        <v>90.811416511665797</v>
      </c>
      <c r="AN5376">
        <v>0.99999995827256605</v>
      </c>
    </row>
    <row r="5377" spans="1:40" x14ac:dyDescent="0.25">
      <c r="A5377" t="str">
        <f>"20190312164415679"</f>
        <v>20190312164415679</v>
      </c>
      <c r="B5377" t="str">
        <f>"1552380255670027"</f>
        <v>1552380255670027</v>
      </c>
      <c r="C5377" t="s">
        <v>40</v>
      </c>
      <c r="D5377">
        <v>4.5476479999999997</v>
      </c>
      <c r="E5377">
        <v>0.49712889999999998</v>
      </c>
      <c r="F5377" t="s">
        <v>42</v>
      </c>
      <c r="G5377">
        <v>-188.34270000000001</v>
      </c>
      <c r="H5377" s="1">
        <v>-3.8081049999999999E-6</v>
      </c>
      <c r="I5377">
        <v>27.824300000000001</v>
      </c>
      <c r="J5377">
        <v>-188.06649999999999</v>
      </c>
      <c r="K5377">
        <v>1.1098889999999999</v>
      </c>
      <c r="L5377">
        <v>10.999510000000001</v>
      </c>
      <c r="M5377">
        <v>1.5134750000000001E-2</v>
      </c>
      <c r="N5377">
        <v>0</v>
      </c>
      <c r="O5377">
        <v>0.99985599999999997</v>
      </c>
      <c r="P5377">
        <v>3.1674870000000001E-3</v>
      </c>
      <c r="Q5377">
        <v>0.1053815</v>
      </c>
      <c r="R5377">
        <v>0.99442680000000006</v>
      </c>
      <c r="S5377">
        <v>-4.7729489999999999E-2</v>
      </c>
      <c r="T5377">
        <v>-0.19578799999999999</v>
      </c>
      <c r="U5377">
        <v>3.0371700000000001</v>
      </c>
      <c r="V5377">
        <v>-1.2076750000000001E-2</v>
      </c>
      <c r="W5377">
        <v>0.1129897</v>
      </c>
      <c r="X5377">
        <v>0.99352280000000004</v>
      </c>
      <c r="Y5377">
        <v>-3.0812180000000002E-2</v>
      </c>
      <c r="Z5377">
        <v>-6.4300140000000006E-2</v>
      </c>
      <c r="AA5377">
        <v>0.99745479999999997</v>
      </c>
      <c r="AB5377">
        <v>39</v>
      </c>
      <c r="AC5377">
        <v>-0.27620000000001699</v>
      </c>
      <c r="AD5377">
        <v>-1.1098928081049999</v>
      </c>
      <c r="AE5377">
        <v>16.82479</v>
      </c>
      <c r="AF5377">
        <v>-0.52851551377421502</v>
      </c>
      <c r="AG5377">
        <v>-1.1098928081049999</v>
      </c>
      <c r="AH5377">
        <v>16.745828656006299</v>
      </c>
      <c r="AI5377">
        <v>93.790065697667004</v>
      </c>
      <c r="AJ5377">
        <v>91.8077134583137</v>
      </c>
      <c r="AK5377">
        <v>16.790889436539899</v>
      </c>
      <c r="AL5377">
        <v>83.512312676314494</v>
      </c>
      <c r="AM5377">
        <v>90.6964236035071</v>
      </c>
      <c r="AN5377">
        <v>1.00000003715824</v>
      </c>
    </row>
    <row r="5378" spans="1:40" x14ac:dyDescent="0.25">
      <c r="A5378" t="str">
        <f>"20190312164415703"</f>
        <v>20190312164415703</v>
      </c>
      <c r="B5378" t="str">
        <f>"1552380255690522"</f>
        <v>1552380255690522</v>
      </c>
      <c r="C5378" t="s">
        <v>40</v>
      </c>
      <c r="D5378">
        <v>4.5376110000000001</v>
      </c>
      <c r="E5378">
        <v>0.49762430000000002</v>
      </c>
      <c r="F5378" t="s">
        <v>42</v>
      </c>
      <c r="G5378">
        <v>-188.27369999999999</v>
      </c>
      <c r="H5378" s="1">
        <v>-6.8210480000000005E-7</v>
      </c>
      <c r="I5378">
        <v>30.302679999999999</v>
      </c>
      <c r="J5378">
        <v>-188.06110000000001</v>
      </c>
      <c r="K5378">
        <v>1.109907</v>
      </c>
      <c r="L5378">
        <v>11.39096</v>
      </c>
      <c r="M5378">
        <v>1.4385459999999999E-2</v>
      </c>
      <c r="N5378">
        <v>0</v>
      </c>
      <c r="O5378">
        <v>0.99986710000000001</v>
      </c>
      <c r="P5378">
        <v>4.3206759999999999E-3</v>
      </c>
      <c r="Q5378">
        <v>0.10588740000000001</v>
      </c>
      <c r="R5378">
        <v>0.99436869999999999</v>
      </c>
      <c r="S5378">
        <v>-3.2577509999999997E-2</v>
      </c>
      <c r="T5378">
        <v>-0.17452879999999901</v>
      </c>
      <c r="U5378">
        <v>3.0354000000000001</v>
      </c>
      <c r="V5378">
        <v>-1.018257E-2</v>
      </c>
      <c r="W5378">
        <v>0.11349049999999999</v>
      </c>
      <c r="X5378">
        <v>0.99348689999999995</v>
      </c>
      <c r="Y5378">
        <v>-2.509817E-2</v>
      </c>
      <c r="Z5378">
        <v>-5.7383400000000001E-2</v>
      </c>
      <c r="AA5378">
        <v>0.9980367</v>
      </c>
      <c r="AB5378">
        <v>39</v>
      </c>
      <c r="AC5378">
        <v>-0.21259999999998</v>
      </c>
      <c r="AD5378">
        <v>-1.1099076821048</v>
      </c>
      <c r="AE5378">
        <v>18.911719999999999</v>
      </c>
      <c r="AF5378">
        <v>-0.48297644907369602</v>
      </c>
      <c r="AG5378">
        <v>-1.1099076821048</v>
      </c>
      <c r="AH5378">
        <v>18.841814278386401</v>
      </c>
      <c r="AI5378">
        <v>93.370100783249597</v>
      </c>
      <c r="AJ5378">
        <v>91.468354016334899</v>
      </c>
      <c r="AK5378">
        <v>18.880654824829598</v>
      </c>
      <c r="AL5378">
        <v>83.483432940646694</v>
      </c>
      <c r="AM5378">
        <v>90.587222496623696</v>
      </c>
      <c r="AN5378">
        <v>0.99999999939683204</v>
      </c>
    </row>
    <row r="5379" spans="1:40" x14ac:dyDescent="0.25">
      <c r="A5379" t="str">
        <f>"20190312164415725"</f>
        <v>20190312164415725</v>
      </c>
      <c r="B5379" t="str">
        <f>"1552380255720779"</f>
        <v>1552380255720779</v>
      </c>
      <c r="C5379" t="s">
        <v>40</v>
      </c>
      <c r="D5379">
        <v>4.5162680000000002</v>
      </c>
      <c r="E5379">
        <v>0.49744890000000003</v>
      </c>
      <c r="F5379" t="s">
        <v>42</v>
      </c>
      <c r="G5379">
        <v>-188.2285</v>
      </c>
      <c r="H5379" s="1">
        <v>-1.2228190000000001E-6</v>
      </c>
      <c r="I5379">
        <v>31.750710000000002</v>
      </c>
      <c r="J5379">
        <v>-188.05590000000001</v>
      </c>
      <c r="K5379">
        <v>1.109917</v>
      </c>
      <c r="L5379">
        <v>11.799899999999999</v>
      </c>
      <c r="M5379">
        <v>1.3609380000000001E-2</v>
      </c>
      <c r="N5379">
        <v>0</v>
      </c>
      <c r="O5379">
        <v>0.99987800000000004</v>
      </c>
      <c r="P5379">
        <v>4.9560560000000003E-3</v>
      </c>
      <c r="Q5379">
        <v>0.106008199999999</v>
      </c>
      <c r="R5379">
        <v>0.99435289999999998</v>
      </c>
      <c r="S5379">
        <v>-2.4948120000000001E-2</v>
      </c>
      <c r="T5379">
        <v>-0.16543769999999999</v>
      </c>
      <c r="U5379">
        <v>3.034729</v>
      </c>
      <c r="V5379">
        <v>-8.77924699999999E-3</v>
      </c>
      <c r="W5379">
        <v>0.1136075</v>
      </c>
      <c r="X5379">
        <v>0.99348689999999995</v>
      </c>
      <c r="Y5379">
        <v>-2.1816970000000002E-2</v>
      </c>
      <c r="Z5379">
        <v>-5.4419040000000002E-2</v>
      </c>
      <c r="AA5379">
        <v>0.99827980000000005</v>
      </c>
      <c r="AB5379">
        <v>39</v>
      </c>
      <c r="AC5379">
        <v>-0.17259999999998801</v>
      </c>
      <c r="AD5379">
        <v>-1.1099182228190001</v>
      </c>
      <c r="AE5379">
        <v>19.950810000000001</v>
      </c>
      <c r="AF5379">
        <v>-0.44273996931516901</v>
      </c>
      <c r="AG5379">
        <v>-1.1099182228190001</v>
      </c>
      <c r="AH5379">
        <v>19.885073429909699</v>
      </c>
      <c r="AI5379">
        <v>93.193953668041303</v>
      </c>
      <c r="AJ5379">
        <v>91.275476365249006</v>
      </c>
      <c r="AK5379">
        <v>19.9209458222916</v>
      </c>
      <c r="AL5379">
        <v>83.476685567892702</v>
      </c>
      <c r="AM5379">
        <v>90.506298279044401</v>
      </c>
      <c r="AN5379">
        <v>0.99999997985287303</v>
      </c>
    </row>
    <row r="5380" spans="1:40" x14ac:dyDescent="0.25">
      <c r="A5380" t="str">
        <f>"20190312164415746"</f>
        <v>20190312164415746</v>
      </c>
      <c r="B5380" t="str">
        <f>"1552380255740299"</f>
        <v>1552380255740299</v>
      </c>
      <c r="C5380" t="s">
        <v>40</v>
      </c>
      <c r="D5380">
        <v>4.3263639999999999</v>
      </c>
      <c r="E5380">
        <v>0.4974903</v>
      </c>
      <c r="F5380" t="s">
        <v>42</v>
      </c>
      <c r="G5380">
        <v>-188.2243</v>
      </c>
      <c r="H5380" s="1">
        <v>-1.651852E-6</v>
      </c>
      <c r="I5380">
        <v>32.74906</v>
      </c>
      <c r="J5380">
        <v>-188.0515</v>
      </c>
      <c r="K5380">
        <v>1.1099220000000001</v>
      </c>
      <c r="L5380">
        <v>12.162599999999999</v>
      </c>
      <c r="M5380">
        <v>1.292827E-2</v>
      </c>
      <c r="N5380">
        <v>0</v>
      </c>
      <c r="O5380">
        <v>0.99988710000000003</v>
      </c>
      <c r="P5380">
        <v>5.5232780000000004E-3</v>
      </c>
      <c r="Q5380">
        <v>0.1065908</v>
      </c>
      <c r="R5380">
        <v>0.99428760000000005</v>
      </c>
      <c r="S5380">
        <v>-2.4398799999999998E-2</v>
      </c>
      <c r="T5380">
        <v>-0.16076199999999999</v>
      </c>
      <c r="U5380">
        <v>3.0343019999999998</v>
      </c>
      <c r="V5380">
        <v>-7.5366119999999998E-3</v>
      </c>
      <c r="W5380">
        <v>0.11418830000000001</v>
      </c>
      <c r="X5380">
        <v>0.99343060000000005</v>
      </c>
      <c r="Y5380">
        <v>-2.095704E-2</v>
      </c>
      <c r="Z5380">
        <v>-5.2894030000000002E-2</v>
      </c>
      <c r="AA5380">
        <v>0.99838020000000005</v>
      </c>
      <c r="AB5380">
        <v>39</v>
      </c>
      <c r="AC5380">
        <v>-0.17279999999999501</v>
      </c>
      <c r="AD5380">
        <v>-1.1099236518519999</v>
      </c>
      <c r="AE5380">
        <v>20.586459999999999</v>
      </c>
      <c r="AF5380">
        <v>-0.437668527743858</v>
      </c>
      <c r="AG5380">
        <v>-1.1099236518519999</v>
      </c>
      <c r="AH5380">
        <v>20.522852659529601</v>
      </c>
      <c r="AI5380">
        <v>93.094970983266293</v>
      </c>
      <c r="AJ5380">
        <v>91.221699505334499</v>
      </c>
      <c r="AK5380">
        <v>20.557503874203199</v>
      </c>
      <c r="AL5380">
        <v>83.443190751150397</v>
      </c>
      <c r="AM5380">
        <v>90.434663252202398</v>
      </c>
      <c r="AN5380">
        <v>1.0000000626968399</v>
      </c>
    </row>
    <row r="5381" spans="1:40" x14ac:dyDescent="0.25">
      <c r="A5381" t="str">
        <f>"20190312164415771"</f>
        <v>20190312164415771</v>
      </c>
      <c r="B5381" t="str">
        <f>"1552380255760794"</f>
        <v>1552380255760794</v>
      </c>
      <c r="C5381" t="s">
        <v>40</v>
      </c>
      <c r="D5381">
        <v>4.351553</v>
      </c>
      <c r="E5381">
        <v>0.49744100000000002</v>
      </c>
      <c r="F5381" t="s">
        <v>42</v>
      </c>
      <c r="G5381">
        <v>-188.21459999999999</v>
      </c>
      <c r="H5381" s="1">
        <v>-2.183235E-6</v>
      </c>
      <c r="I5381">
        <v>33.983730000000001</v>
      </c>
      <c r="J5381">
        <v>-188.0463</v>
      </c>
      <c r="K5381">
        <v>1.1099190000000001</v>
      </c>
      <c r="L5381">
        <v>12.612920000000001</v>
      </c>
      <c r="M5381">
        <v>1.2100130000000001E-2</v>
      </c>
      <c r="N5381">
        <v>0</v>
      </c>
      <c r="O5381">
        <v>0.99989749999999999</v>
      </c>
      <c r="P5381">
        <v>5.964741E-3</v>
      </c>
      <c r="Q5381">
        <v>0.1071424</v>
      </c>
      <c r="R5381">
        <v>0.99422580000000005</v>
      </c>
      <c r="S5381">
        <v>-2.2689819999999999E-2</v>
      </c>
      <c r="T5381">
        <v>-0.1543186</v>
      </c>
      <c r="U5381">
        <v>3.0339049999999999</v>
      </c>
      <c r="V5381">
        <v>-6.272835E-3</v>
      </c>
      <c r="W5381">
        <v>0.1147378</v>
      </c>
      <c r="X5381">
        <v>0.99337600000000004</v>
      </c>
      <c r="Y5381">
        <v>-1.9568490000000001E-2</v>
      </c>
      <c r="Z5381">
        <v>-5.0787850000000002E-2</v>
      </c>
      <c r="AA5381">
        <v>0.99851780000000001</v>
      </c>
      <c r="AB5381">
        <v>39</v>
      </c>
      <c r="AC5381">
        <v>-0.16829999999998699</v>
      </c>
      <c r="AD5381">
        <v>-1.109921183235</v>
      </c>
      <c r="AE5381">
        <v>21.370809999999999</v>
      </c>
      <c r="AF5381">
        <v>-0.425736528855925</v>
      </c>
      <c r="AG5381">
        <v>-1.109921183235</v>
      </c>
      <c r="AH5381">
        <v>21.3097319517518</v>
      </c>
      <c r="AI5381">
        <v>92.980972848382095</v>
      </c>
      <c r="AJ5381">
        <v>91.144531602783005</v>
      </c>
      <c r="AK5381">
        <v>21.342864205174202</v>
      </c>
      <c r="AL5381">
        <v>83.411497971587394</v>
      </c>
      <c r="AM5381">
        <v>90.361798748995099</v>
      </c>
      <c r="AN5381">
        <v>0.99999999429188802</v>
      </c>
    </row>
    <row r="5382" spans="1:40" x14ac:dyDescent="0.25">
      <c r="A5382" t="str">
        <f>"20190312164415815"</f>
        <v>20190312164415815</v>
      </c>
      <c r="B5382" t="str">
        <f>"1552380255800814"</f>
        <v>1552380255800814</v>
      </c>
      <c r="C5382" t="s">
        <v>40</v>
      </c>
      <c r="D5382">
        <v>4.6280210000000004</v>
      </c>
      <c r="E5382">
        <v>0.4967801</v>
      </c>
      <c r="F5382" t="s">
        <v>42</v>
      </c>
      <c r="G5382">
        <v>-188.21100000000001</v>
      </c>
      <c r="H5382" s="1">
        <v>-2.6758720000000002E-6</v>
      </c>
      <c r="I5382">
        <v>35.130560000000003</v>
      </c>
      <c r="J5382">
        <v>-188.03829999999999</v>
      </c>
      <c r="K5382">
        <v>1.1098840000000001</v>
      </c>
      <c r="L5382">
        <v>13.378360000000001</v>
      </c>
      <c r="M5382">
        <v>1.076477E-2</v>
      </c>
      <c r="N5382">
        <v>0</v>
      </c>
      <c r="O5382">
        <v>0.99991289999999999</v>
      </c>
      <c r="P5382">
        <v>6.6369829999999999E-3</v>
      </c>
      <c r="Q5382">
        <v>0.1074493</v>
      </c>
      <c r="R5382">
        <v>0.99418839999999997</v>
      </c>
      <c r="S5382">
        <v>-2.2186279999999999E-2</v>
      </c>
      <c r="T5382">
        <v>-0.14953279999999999</v>
      </c>
      <c r="U5382">
        <v>3.0336609999999999</v>
      </c>
      <c r="V5382">
        <v>-4.2671200000000001E-3</v>
      </c>
      <c r="W5382">
        <v>0.1150376</v>
      </c>
      <c r="X5382">
        <v>0.99335200000000001</v>
      </c>
      <c r="Y5382">
        <v>-1.8068669999999998E-2</v>
      </c>
      <c r="Z5382">
        <v>-4.9222469999999997E-2</v>
      </c>
      <c r="AA5382">
        <v>0.99862439999999997</v>
      </c>
      <c r="AB5382">
        <v>40</v>
      </c>
      <c r="AC5382">
        <v>-0.172699999999991</v>
      </c>
      <c r="AD5382">
        <v>-1.1098866758720001</v>
      </c>
      <c r="AE5382">
        <v>21.752199999999899</v>
      </c>
      <c r="AF5382">
        <v>-0.405797838440831</v>
      </c>
      <c r="AG5382">
        <v>-1.1098866758720001</v>
      </c>
      <c r="AH5382">
        <v>21.6926081578526</v>
      </c>
      <c r="AI5382">
        <v>92.928431849168106</v>
      </c>
      <c r="AJ5382">
        <v>91.071691876332196</v>
      </c>
      <c r="AK5382">
        <v>21.724773163582</v>
      </c>
      <c r="AL5382">
        <v>83.394206414808295</v>
      </c>
      <c r="AM5382">
        <v>90.246122686479197</v>
      </c>
      <c r="AN5382">
        <v>1.0000000268154201</v>
      </c>
    </row>
    <row r="5383" spans="1:40" x14ac:dyDescent="0.25">
      <c r="A5383" t="str">
        <f>"20190312164415835"</f>
        <v>20190312164415835</v>
      </c>
      <c r="B5383" t="str">
        <f>"1552380255830091"</f>
        <v>1552380255830091</v>
      </c>
      <c r="C5383" t="s">
        <v>40</v>
      </c>
      <c r="D5383">
        <v>4.4253609999999997</v>
      </c>
      <c r="E5383">
        <v>0.49643300000000001</v>
      </c>
      <c r="F5383" t="s">
        <v>42</v>
      </c>
      <c r="G5383">
        <v>-188.2336</v>
      </c>
      <c r="H5383" s="1">
        <v>-3.0309719999999999E-6</v>
      </c>
      <c r="I5383">
        <v>35.967659999999903</v>
      </c>
      <c r="J5383">
        <v>-188.03460000000001</v>
      </c>
      <c r="K5383">
        <v>1.1098619999999999</v>
      </c>
      <c r="L5383">
        <v>13.76196</v>
      </c>
      <c r="M5383">
        <v>1.0138950000000001E-2</v>
      </c>
      <c r="N5383">
        <v>0</v>
      </c>
      <c r="O5383">
        <v>0.99991940000000001</v>
      </c>
      <c r="P5383">
        <v>6.674625E-3</v>
      </c>
      <c r="Q5383">
        <v>0.1076656</v>
      </c>
      <c r="R5383">
        <v>0.99416479999999996</v>
      </c>
      <c r="S5383">
        <v>-2.6229860000000001E-2</v>
      </c>
      <c r="T5383">
        <v>-0.14906129999999901</v>
      </c>
      <c r="U5383">
        <v>3.0338129999999999</v>
      </c>
      <c r="V5383">
        <v>-3.602002E-3</v>
      </c>
      <c r="W5383">
        <v>0.1152484</v>
      </c>
      <c r="X5383">
        <v>0.99333020000000005</v>
      </c>
      <c r="Y5383">
        <v>-1.877353E-2</v>
      </c>
      <c r="Z5383">
        <v>-4.90651E-2</v>
      </c>
      <c r="AA5383">
        <v>0.99861909999999998</v>
      </c>
      <c r="AB5383">
        <v>40</v>
      </c>
      <c r="AC5383">
        <v>-0.198999999999983</v>
      </c>
      <c r="AD5383">
        <v>-1.109865030972</v>
      </c>
      <c r="AE5383">
        <v>22.2057</v>
      </c>
      <c r="AF5383">
        <v>-0.42308200649892203</v>
      </c>
      <c r="AG5383">
        <v>-1.109865030972</v>
      </c>
      <c r="AH5383">
        <v>22.147219113422</v>
      </c>
      <c r="AI5383">
        <v>92.868344729925298</v>
      </c>
      <c r="AJ5383">
        <v>91.094397682191897</v>
      </c>
      <c r="AK5383">
        <v>22.179046715968699</v>
      </c>
      <c r="AL5383">
        <v>83.382047597990194</v>
      </c>
      <c r="AM5383">
        <v>90.207764354518702</v>
      </c>
      <c r="AN5383">
        <v>1.0000000271764999</v>
      </c>
    </row>
    <row r="5384" spans="1:40" x14ac:dyDescent="0.25">
      <c r="A5384" t="str">
        <f>"20190312164415859"</f>
        <v>20190312164415859</v>
      </c>
      <c r="B5384" t="str">
        <f>"1552380255850587"</f>
        <v>1552380255850587</v>
      </c>
      <c r="C5384" t="s">
        <v>40</v>
      </c>
      <c r="D5384">
        <v>4.5987330000000002</v>
      </c>
      <c r="E5384">
        <v>0.4960852</v>
      </c>
      <c r="F5384" t="s">
        <v>42</v>
      </c>
      <c r="G5384">
        <v>-188.2517</v>
      </c>
      <c r="H5384" s="1">
        <v>-3.2225149999999998E-6</v>
      </c>
      <c r="I5384">
        <v>36.42165</v>
      </c>
      <c r="J5384">
        <v>-188.03100000000001</v>
      </c>
      <c r="K5384">
        <v>1.1098300000000001</v>
      </c>
      <c r="L5384">
        <v>14.16888</v>
      </c>
      <c r="M5384">
        <v>9.5108160000000001E-3</v>
      </c>
      <c r="N5384">
        <v>0</v>
      </c>
      <c r="O5384">
        <v>0.99992570000000003</v>
      </c>
      <c r="P5384">
        <v>7.0676109999999997E-3</v>
      </c>
      <c r="Q5384">
        <v>0.1077698</v>
      </c>
      <c r="R5384">
        <v>0.9941508</v>
      </c>
      <c r="S5384">
        <v>-2.9067989999999998E-2</v>
      </c>
      <c r="T5384">
        <v>-0.14859990000000001</v>
      </c>
      <c r="U5384">
        <v>3.0339049999999999</v>
      </c>
      <c r="V5384">
        <v>-2.5779240000000001E-3</v>
      </c>
      <c r="W5384">
        <v>0.1153483</v>
      </c>
      <c r="X5384">
        <v>0.99332180000000003</v>
      </c>
      <c r="Y5384">
        <v>-1.907936E-2</v>
      </c>
      <c r="Z5384">
        <v>-4.8912200000000003E-2</v>
      </c>
      <c r="AA5384">
        <v>0.99862079999999998</v>
      </c>
      <c r="AB5384">
        <v>40</v>
      </c>
      <c r="AC5384">
        <v>-0.22070000000002199</v>
      </c>
      <c r="AD5384">
        <v>-1.1098332225149901</v>
      </c>
      <c r="AE5384">
        <v>22.252770000000002</v>
      </c>
      <c r="AF5384">
        <v>-0.43126554246932403</v>
      </c>
      <c r="AG5384">
        <v>-1.1098332225149901</v>
      </c>
      <c r="AH5384">
        <v>22.194463088634301</v>
      </c>
      <c r="AI5384">
        <v>92.862149277378506</v>
      </c>
      <c r="AJ5384">
        <v>91.113186930405305</v>
      </c>
      <c r="AK5384">
        <v>22.226378732098201</v>
      </c>
      <c r="AL5384">
        <v>83.376285387165296</v>
      </c>
      <c r="AM5384">
        <v>90.148696860869904</v>
      </c>
      <c r="AN5384">
        <v>1.0000000371801301</v>
      </c>
    </row>
    <row r="5385" spans="1:40" x14ac:dyDescent="0.25">
      <c r="A5385" t="str">
        <f>"20190312164415880"</f>
        <v>20190312164415880</v>
      </c>
      <c r="B5385" t="str">
        <f>"1552380255870107"</f>
        <v>1552380255870107</v>
      </c>
      <c r="C5385" t="s">
        <v>40</v>
      </c>
      <c r="D5385">
        <v>4.4783609999999996</v>
      </c>
      <c r="E5385">
        <v>0.4957472</v>
      </c>
      <c r="F5385" t="s">
        <v>42</v>
      </c>
      <c r="G5385">
        <v>-188.2576</v>
      </c>
      <c r="H5385" s="1">
        <v>-3.1872039999999999E-6</v>
      </c>
      <c r="I5385">
        <v>36.341740000000001</v>
      </c>
      <c r="J5385">
        <v>-188.02770000000001</v>
      </c>
      <c r="K5385">
        <v>1.1098059999999901</v>
      </c>
      <c r="L5385">
        <v>14.558529999999999</v>
      </c>
      <c r="M5385">
        <v>8.9467139999999997E-3</v>
      </c>
      <c r="N5385">
        <v>0</v>
      </c>
      <c r="O5385">
        <v>0.99993089999999996</v>
      </c>
      <c r="P5385">
        <v>7.482168E-3</v>
      </c>
      <c r="Q5385">
        <v>0.1084649</v>
      </c>
      <c r="R5385">
        <v>0.99407210000000001</v>
      </c>
      <c r="S5385">
        <v>-3.100586E-2</v>
      </c>
      <c r="T5385">
        <v>-0.1518795</v>
      </c>
      <c r="U5385">
        <v>3.034332</v>
      </c>
      <c r="V5385">
        <v>-1.59543799999999E-3</v>
      </c>
      <c r="W5385">
        <v>0.1160398</v>
      </c>
      <c r="X5385">
        <v>0.99324330000000005</v>
      </c>
      <c r="Y5385">
        <v>-1.9151140000000001E-2</v>
      </c>
      <c r="Z5385">
        <v>-4.9982230000000002E-2</v>
      </c>
      <c r="AA5385">
        <v>0.99856639999999997</v>
      </c>
      <c r="AB5385">
        <v>40</v>
      </c>
      <c r="AC5385">
        <v>-0.229899999999986</v>
      </c>
      <c r="AD5385">
        <v>-1.1098091872039999</v>
      </c>
      <c r="AE5385">
        <v>21.78321</v>
      </c>
      <c r="AF5385">
        <v>-0.42368498238414498</v>
      </c>
      <c r="AG5385">
        <v>-1.1098091872039999</v>
      </c>
      <c r="AH5385">
        <v>21.723898984524201</v>
      </c>
      <c r="AI5385">
        <v>92.923972896378501</v>
      </c>
      <c r="AJ5385">
        <v>91.117307908191293</v>
      </c>
      <c r="AK5385">
        <v>21.7563547609914</v>
      </c>
      <c r="AL5385">
        <v>83.336397368643105</v>
      </c>
      <c r="AM5385">
        <v>90.092033628875697</v>
      </c>
      <c r="AN5385">
        <v>1.00000001680067</v>
      </c>
    </row>
    <row r="5386" spans="1:40" x14ac:dyDescent="0.25">
      <c r="A5386" t="str">
        <f>"20190312164415903"</f>
        <v>20190312164415903</v>
      </c>
      <c r="B5386" t="str">
        <f>"1552380255900363"</f>
        <v>1552380255900363</v>
      </c>
      <c r="C5386" t="s">
        <v>40</v>
      </c>
      <c r="D5386">
        <v>4.509328</v>
      </c>
      <c r="E5386">
        <v>0.49502370000000001</v>
      </c>
      <c r="F5386" t="s">
        <v>42</v>
      </c>
      <c r="G5386">
        <v>-188.27029999999999</v>
      </c>
      <c r="H5386" s="1">
        <v>-3.3738869999999999E-6</v>
      </c>
      <c r="I5386">
        <v>36.782170000000001</v>
      </c>
      <c r="J5386">
        <v>-188.02459999999999</v>
      </c>
      <c r="K5386">
        <v>1.10978</v>
      </c>
      <c r="L5386">
        <v>14.95782</v>
      </c>
      <c r="M5386">
        <v>8.4040499999999997E-3</v>
      </c>
      <c r="N5386">
        <v>0</v>
      </c>
      <c r="O5386">
        <v>0.99993560000000004</v>
      </c>
      <c r="P5386">
        <v>8.0656269999999902E-3</v>
      </c>
      <c r="Q5386">
        <v>0.1094424</v>
      </c>
      <c r="R5386">
        <v>0.99396039999999997</v>
      </c>
      <c r="S5386">
        <v>-3.3126830000000003E-2</v>
      </c>
      <c r="T5386">
        <v>-0.15154599999999999</v>
      </c>
      <c r="U5386">
        <v>3.0346679999999999</v>
      </c>
      <c r="V5386">
        <v>-4.6533719999999998E-4</v>
      </c>
      <c r="W5386">
        <v>0.11701499999999999</v>
      </c>
      <c r="X5386">
        <v>0.99312999999999996</v>
      </c>
      <c r="Y5386">
        <v>-1.9305309999999999E-2</v>
      </c>
      <c r="Z5386">
        <v>-4.9867330000000001E-2</v>
      </c>
      <c r="AA5386">
        <v>0.99856929999999999</v>
      </c>
      <c r="AB5386">
        <v>40</v>
      </c>
      <c r="AC5386">
        <v>-0.245699999999999</v>
      </c>
      <c r="AD5386">
        <v>-1.109783373887</v>
      </c>
      <c r="AE5386">
        <v>21.824349999999999</v>
      </c>
      <c r="AF5386">
        <v>-0.42800299889851701</v>
      </c>
      <c r="AG5386">
        <v>-1.109783373887</v>
      </c>
      <c r="AH5386">
        <v>21.765241020315099</v>
      </c>
      <c r="AI5386">
        <v>92.918351595187701</v>
      </c>
      <c r="AJ5386">
        <v>91.126548758927797</v>
      </c>
      <c r="AK5386">
        <v>21.797718283720201</v>
      </c>
      <c r="AL5386">
        <v>83.280138892371397</v>
      </c>
      <c r="AM5386">
        <v>90.026846289669294</v>
      </c>
      <c r="AN5386">
        <v>0.99999996183185402</v>
      </c>
    </row>
    <row r="5387" spans="1:40" x14ac:dyDescent="0.25">
      <c r="A5387" t="str">
        <f>"20190312164415936"</f>
        <v>20190312164415936</v>
      </c>
      <c r="B5387" t="str">
        <f>"1552380255930619"</f>
        <v>1552380255930619</v>
      </c>
      <c r="C5387" t="s">
        <v>40</v>
      </c>
      <c r="D5387">
        <v>4.5447699999999998</v>
      </c>
      <c r="E5387">
        <v>0.49474689999999999</v>
      </c>
      <c r="F5387" t="s">
        <v>42</v>
      </c>
      <c r="G5387">
        <v>-188.2971</v>
      </c>
      <c r="H5387" s="1">
        <v>-3.4283400000000001E-6</v>
      </c>
      <c r="I5387">
        <v>36.920200000000001</v>
      </c>
      <c r="J5387">
        <v>-188.02019999999999</v>
      </c>
      <c r="K5387">
        <v>1.1097490000000001</v>
      </c>
      <c r="L5387">
        <v>15.54791</v>
      </c>
      <c r="M5387">
        <v>7.6492599999999997E-3</v>
      </c>
      <c r="N5387">
        <v>0</v>
      </c>
      <c r="O5387">
        <v>0.99994170000000004</v>
      </c>
      <c r="P5387">
        <v>9.0786319999999997E-3</v>
      </c>
      <c r="Q5387">
        <v>0.11176129999999999</v>
      </c>
      <c r="R5387">
        <v>0.99369359999999995</v>
      </c>
      <c r="S5387">
        <v>-3.7673949999999998E-2</v>
      </c>
      <c r="T5387">
        <v>-0.15338370000000001</v>
      </c>
      <c r="U5387">
        <v>3.035431</v>
      </c>
      <c r="V5387">
        <v>1.3055439999999901E-3</v>
      </c>
      <c r="W5387">
        <v>0.1193308</v>
      </c>
      <c r="X5387">
        <v>0.99285369999999995</v>
      </c>
      <c r="Y5387">
        <v>-2.0043169999999999E-2</v>
      </c>
      <c r="Z5387">
        <v>-5.0457519999999999E-2</v>
      </c>
      <c r="AA5387">
        <v>0.99852510000000005</v>
      </c>
      <c r="AB5387">
        <v>40</v>
      </c>
      <c r="AC5387">
        <v>-0.27690000000001103</v>
      </c>
      <c r="AD5387">
        <v>-1.10975242833999</v>
      </c>
      <c r="AE5387">
        <v>21.37229</v>
      </c>
      <c r="AF5387">
        <v>-0.43919489666281802</v>
      </c>
      <c r="AG5387">
        <v>-1.10975242833999</v>
      </c>
      <c r="AH5387">
        <v>21.312094794153701</v>
      </c>
      <c r="AI5387">
        <v>92.980152609013899</v>
      </c>
      <c r="AJ5387">
        <v>91.180571543581607</v>
      </c>
      <c r="AK5387">
        <v>21.345487277746901</v>
      </c>
      <c r="AL5387">
        <v>83.146517316306202</v>
      </c>
      <c r="AM5387">
        <v>89.924659475957</v>
      </c>
      <c r="AN5387">
        <v>1.00000000693873</v>
      </c>
    </row>
    <row r="5388" spans="1:40" x14ac:dyDescent="0.25">
      <c r="A5388" t="str">
        <f>"20190312164415958"</f>
        <v>20190312164415958</v>
      </c>
      <c r="B5388" t="str">
        <f>"1552380255950139"</f>
        <v>1552380255950139</v>
      </c>
      <c r="C5388" t="s">
        <v>40</v>
      </c>
      <c r="D5388">
        <v>4.5942420000000004</v>
      </c>
      <c r="E5388">
        <v>0.49462</v>
      </c>
      <c r="F5388" t="s">
        <v>42</v>
      </c>
      <c r="G5388">
        <v>-188.29689999999999</v>
      </c>
      <c r="H5388" s="1">
        <v>-3.8599549999999997E-6</v>
      </c>
      <c r="I5388">
        <v>37.926220000000001</v>
      </c>
      <c r="J5388">
        <v>-188.01750000000001</v>
      </c>
      <c r="K5388">
        <v>1.1097360000000001</v>
      </c>
      <c r="L5388">
        <v>15.962160000000001</v>
      </c>
      <c r="M5388">
        <v>7.1406239999999999E-3</v>
      </c>
      <c r="N5388">
        <v>0</v>
      </c>
      <c r="O5388">
        <v>0.99994550000000004</v>
      </c>
      <c r="P5388">
        <v>1.0164329999999999E-2</v>
      </c>
      <c r="Q5388">
        <v>0.1132027</v>
      </c>
      <c r="R5388">
        <v>0.99351990000000001</v>
      </c>
      <c r="S5388">
        <v>-3.753662E-2</v>
      </c>
      <c r="T5388">
        <v>-0.1505727</v>
      </c>
      <c r="U5388">
        <v>3.0363159999999998</v>
      </c>
      <c r="V5388">
        <v>2.9010300000000002E-3</v>
      </c>
      <c r="W5388">
        <v>0.120769</v>
      </c>
      <c r="X5388">
        <v>0.99267640000000001</v>
      </c>
      <c r="Y5388">
        <v>-1.9486409999999999E-2</v>
      </c>
      <c r="Z5388">
        <v>-4.9521229999999999E-2</v>
      </c>
      <c r="AA5388">
        <v>0.998583</v>
      </c>
      <c r="AB5388">
        <v>40</v>
      </c>
      <c r="AC5388">
        <v>-0.279399999999981</v>
      </c>
      <c r="AD5388">
        <v>-1.1097398599549999</v>
      </c>
      <c r="AE5388">
        <v>21.96406</v>
      </c>
      <c r="AF5388">
        <v>-0.43512391404300799</v>
      </c>
      <c r="AG5388">
        <v>-1.1097398599549999</v>
      </c>
      <c r="AH5388">
        <v>21.905593260474099</v>
      </c>
      <c r="AI5388">
        <v>92.899560431242193</v>
      </c>
      <c r="AJ5388">
        <v>91.137950723553203</v>
      </c>
      <c r="AK5388">
        <v>21.938000626097999</v>
      </c>
      <c r="AL5388">
        <v>83.0635141894074</v>
      </c>
      <c r="AM5388">
        <v>89.832557415442096</v>
      </c>
      <c r="AN5388">
        <v>1.00000000122651</v>
      </c>
    </row>
    <row r="5389" spans="1:40" x14ac:dyDescent="0.25">
      <c r="A5389" t="str">
        <f>"20190312164415984"</f>
        <v>20190312164415984</v>
      </c>
      <c r="B5389" t="str">
        <f>"1552380255970635"</f>
        <v>1552380255970635</v>
      </c>
      <c r="C5389" t="s">
        <v>40</v>
      </c>
      <c r="D5389">
        <v>4.558929</v>
      </c>
      <c r="E5389">
        <v>0.49443049999999999</v>
      </c>
      <c r="F5389" t="s">
        <v>42</v>
      </c>
      <c r="G5389">
        <v>-188.28200000000001</v>
      </c>
      <c r="H5389" s="1">
        <v>-4.2764240000000001E-6</v>
      </c>
      <c r="I5389">
        <v>38.89085</v>
      </c>
      <c r="J5389">
        <v>-188.0147</v>
      </c>
      <c r="K5389">
        <v>1.109734</v>
      </c>
      <c r="L5389">
        <v>16.403749999999999</v>
      </c>
      <c r="M5389">
        <v>6.6120959999999996E-3</v>
      </c>
      <c r="N5389">
        <v>0</v>
      </c>
      <c r="O5389">
        <v>0.99994919999999998</v>
      </c>
      <c r="P5389">
        <v>1.075692E-2</v>
      </c>
      <c r="Q5389">
        <v>0.1153064</v>
      </c>
      <c r="R5389">
        <v>0.99327169999999998</v>
      </c>
      <c r="S5389">
        <v>-3.5034179999999998E-2</v>
      </c>
      <c r="T5389">
        <v>-0.1469743</v>
      </c>
      <c r="U5389">
        <v>3.0366819999999999</v>
      </c>
      <c r="V5389">
        <v>4.0216549999999998E-3</v>
      </c>
      <c r="W5389">
        <v>0.12286469999999999</v>
      </c>
      <c r="X5389">
        <v>0.9924153</v>
      </c>
      <c r="Y5389">
        <v>-1.8134339999999999E-2</v>
      </c>
      <c r="Z5389">
        <v>-4.8335889999999999E-2</v>
      </c>
      <c r="AA5389">
        <v>0.99866650000000001</v>
      </c>
      <c r="AB5389">
        <v>40</v>
      </c>
      <c r="AC5389">
        <v>-0.26730000000000498</v>
      </c>
      <c r="AD5389">
        <v>-1.109738276424</v>
      </c>
      <c r="AE5389">
        <v>22.487100000000002</v>
      </c>
      <c r="AF5389">
        <v>-0.41497482735879299</v>
      </c>
      <c r="AG5389">
        <v>-1.109738276424</v>
      </c>
      <c r="AH5389">
        <v>22.430221597699799</v>
      </c>
      <c r="AI5389">
        <v>92.831923157755497</v>
      </c>
      <c r="AJ5389">
        <v>91.059891182052993</v>
      </c>
      <c r="AK5389">
        <v>22.461490691212301</v>
      </c>
      <c r="AL5389">
        <v>82.942538564422804</v>
      </c>
      <c r="AM5389">
        <v>89.767816359905396</v>
      </c>
      <c r="AN5389">
        <v>1.0000000179445501</v>
      </c>
    </row>
    <row r="5390" spans="1:40" x14ac:dyDescent="0.25">
      <c r="A5390" t="str">
        <f>"20190312164416007"</f>
        <v>20190312164416007</v>
      </c>
      <c r="B5390" t="str">
        <f>"1552380256000892"</f>
        <v>1552380256000892</v>
      </c>
      <c r="C5390" t="s">
        <v>40</v>
      </c>
      <c r="D5390">
        <v>4.8902060000000001</v>
      </c>
      <c r="E5390">
        <v>0.49445840000000002</v>
      </c>
      <c r="F5390" t="s">
        <v>42</v>
      </c>
      <c r="G5390">
        <v>-188.2834</v>
      </c>
      <c r="H5390" s="1">
        <v>-5.4402649999999999E-7</v>
      </c>
      <c r="I5390">
        <v>39.90457</v>
      </c>
      <c r="J5390">
        <v>-188.01220000000001</v>
      </c>
      <c r="K5390">
        <v>1.1097239999999999</v>
      </c>
      <c r="L5390">
        <v>16.843109999999999</v>
      </c>
      <c r="M5390">
        <v>6.097094E-3</v>
      </c>
      <c r="N5390">
        <v>0</v>
      </c>
      <c r="O5390">
        <v>0.99995259999999997</v>
      </c>
      <c r="P5390">
        <v>1.181931E-2</v>
      </c>
      <c r="Q5390">
        <v>0.1176372</v>
      </c>
      <c r="R5390">
        <v>0.99298629999999999</v>
      </c>
      <c r="S5390">
        <v>-3.4729000000000003E-2</v>
      </c>
      <c r="T5390">
        <v>-0.1434271</v>
      </c>
      <c r="U5390">
        <v>3.0373540000000001</v>
      </c>
      <c r="V5390">
        <v>5.5979360000000004E-3</v>
      </c>
      <c r="W5390">
        <v>0.12518879999999999</v>
      </c>
      <c r="X5390">
        <v>0.99211720000000003</v>
      </c>
      <c r="Y5390">
        <v>-1.751716E-2</v>
      </c>
      <c r="Z5390">
        <v>-4.7162059999999999E-2</v>
      </c>
      <c r="AA5390">
        <v>0.9987336</v>
      </c>
      <c r="AB5390">
        <v>40</v>
      </c>
      <c r="AC5390">
        <v>-0.271199999999993</v>
      </c>
      <c r="AD5390">
        <v>-1.1097245440265</v>
      </c>
      <c r="AE5390">
        <v>23.06146</v>
      </c>
      <c r="AF5390">
        <v>-0.41085566846552002</v>
      </c>
      <c r="AG5390">
        <v>-1.1097245440265</v>
      </c>
      <c r="AH5390">
        <v>23.0061129816442</v>
      </c>
      <c r="AI5390">
        <v>92.761143332791093</v>
      </c>
      <c r="AJ5390">
        <v>91.023110411560495</v>
      </c>
      <c r="AK5390">
        <v>23.036525898409799</v>
      </c>
      <c r="AL5390">
        <v>82.808341531382993</v>
      </c>
      <c r="AM5390">
        <v>89.676716921058102</v>
      </c>
      <c r="AN5390">
        <v>1.00000005553436</v>
      </c>
    </row>
    <row r="5391" spans="1:40" x14ac:dyDescent="0.25">
      <c r="A5391" t="str">
        <f>"20190312164416029"</f>
        <v>20190312164416029</v>
      </c>
      <c r="B5391" t="str">
        <f>"1552380256020410"</f>
        <v>1552380256020410</v>
      </c>
      <c r="C5391" t="s">
        <v>40</v>
      </c>
      <c r="D5391">
        <v>4.5861710000000002</v>
      </c>
      <c r="E5391">
        <v>0.51952290000000001</v>
      </c>
      <c r="F5391" t="s">
        <v>42</v>
      </c>
      <c r="G5391">
        <v>-188.2603</v>
      </c>
      <c r="H5391" s="1">
        <v>-9.1081439999999996E-7</v>
      </c>
      <c r="I5391">
        <v>40.96434</v>
      </c>
      <c r="J5391">
        <v>-188.0102</v>
      </c>
      <c r="K5391">
        <v>1.1097239999999999</v>
      </c>
      <c r="L5391">
        <v>17.233729999999898</v>
      </c>
      <c r="M5391">
        <v>5.6471309999999997E-3</v>
      </c>
      <c r="N5391">
        <v>0</v>
      </c>
      <c r="O5391">
        <v>0.99995520000000004</v>
      </c>
      <c r="P5391">
        <v>1.3304379999999999E-2</v>
      </c>
      <c r="Q5391">
        <v>0.1197479</v>
      </c>
      <c r="R5391">
        <v>0.99271520000000002</v>
      </c>
      <c r="S5391">
        <v>-3.125E-2</v>
      </c>
      <c r="T5391">
        <v>-0.13977210000000001</v>
      </c>
      <c r="U5391">
        <v>3.038116</v>
      </c>
      <c r="V5391">
        <v>7.5320559999999996E-3</v>
      </c>
      <c r="W5391">
        <v>0.12729469999999901</v>
      </c>
      <c r="X5391">
        <v>0.9918363</v>
      </c>
      <c r="Y5391">
        <v>-1.5921399999999999E-2</v>
      </c>
      <c r="Z5391">
        <v>-4.595233E-2</v>
      </c>
      <c r="AA5391">
        <v>0.9988167</v>
      </c>
      <c r="AB5391">
        <v>41</v>
      </c>
      <c r="AC5391">
        <v>-0.25010000000000299</v>
      </c>
      <c r="AD5391">
        <v>-1.1097249108143901</v>
      </c>
      <c r="AE5391">
        <v>23.730609999999999</v>
      </c>
      <c r="AF5391">
        <v>-0.38327168936348499</v>
      </c>
      <c r="AG5391">
        <v>-1.1097249108143901</v>
      </c>
      <c r="AH5391">
        <v>23.677047531055099</v>
      </c>
      <c r="AI5391">
        <v>92.683094110159303</v>
      </c>
      <c r="AJ5391">
        <v>90.927393181138896</v>
      </c>
      <c r="AK5391">
        <v>23.706137735898501</v>
      </c>
      <c r="AL5391">
        <v>82.686708505815005</v>
      </c>
      <c r="AM5391">
        <v>89.564901260145405</v>
      </c>
      <c r="AN5391">
        <v>0.99999995925668195</v>
      </c>
    </row>
    <row r="5392" spans="1:40" x14ac:dyDescent="0.25">
      <c r="A5392" t="str">
        <f>"20190312164416048"</f>
        <v>20190312164416048</v>
      </c>
      <c r="B5392" t="str">
        <f>"1552380256040909"</f>
        <v>1552380256040909</v>
      </c>
      <c r="C5392" t="s">
        <v>40</v>
      </c>
      <c r="D5392">
        <v>4.6006679999999998</v>
      </c>
      <c r="E5392">
        <v>0.52228790000000003</v>
      </c>
      <c r="F5392" t="s">
        <v>41</v>
      </c>
      <c r="G5392">
        <v>-187.95699999999999</v>
      </c>
      <c r="H5392">
        <v>1.0445040000000001</v>
      </c>
      <c r="I5392">
        <v>18.184370000000001</v>
      </c>
      <c r="J5392">
        <v>-188.0085</v>
      </c>
      <c r="K5392">
        <v>1.10971</v>
      </c>
      <c r="L5392">
        <v>17.59198</v>
      </c>
      <c r="M5392">
        <v>5.24699E-3</v>
      </c>
      <c r="N5392">
        <v>0</v>
      </c>
      <c r="O5392">
        <v>0.9999574</v>
      </c>
      <c r="P5392">
        <v>1.454681E-2</v>
      </c>
      <c r="Q5392">
        <v>0.12199699999999999</v>
      </c>
      <c r="R5392">
        <v>0.99242390000000003</v>
      </c>
      <c r="S5392">
        <v>0.16986080000000001</v>
      </c>
      <c r="T5392">
        <v>-0.20891850000000001</v>
      </c>
      <c r="U5392">
        <v>3.0449519999999999</v>
      </c>
      <c r="V5392">
        <v>9.1746290000000001E-3</v>
      </c>
      <c r="W5392">
        <v>0.1295386</v>
      </c>
      <c r="X5392">
        <v>0.99153190000000002</v>
      </c>
      <c r="Y5392">
        <v>5.0327789999999997E-2</v>
      </c>
      <c r="Z5392">
        <v>-6.8352830000000003E-2</v>
      </c>
      <c r="AA5392">
        <v>0.99639100000000003</v>
      </c>
      <c r="AB5392">
        <v>41</v>
      </c>
      <c r="AC5392">
        <v>5.1500000000004299E-2</v>
      </c>
      <c r="AD5392">
        <v>-6.5205999999999806E-2</v>
      </c>
      <c r="AE5392">
        <v>0.59239000000000097</v>
      </c>
      <c r="AF5392">
        <v>4.7815944181602697E-2</v>
      </c>
      <c r="AG5392">
        <v>-6.5205999999999806E-2</v>
      </c>
      <c r="AH5392">
        <v>0.58561003744235396</v>
      </c>
      <c r="AI5392">
        <v>96.332647011522596</v>
      </c>
      <c r="AJ5392">
        <v>85.332068325019193</v>
      </c>
      <c r="AK5392">
        <v>0.59116605358157404</v>
      </c>
      <c r="AL5392">
        <v>82.557069145637399</v>
      </c>
      <c r="AM5392">
        <v>89.469858187196905</v>
      </c>
      <c r="AN5392">
        <v>0.999999965712428</v>
      </c>
    </row>
    <row r="5393" spans="1:40" x14ac:dyDescent="0.25">
      <c r="A5393" t="str">
        <f>"20190312164416071"</f>
        <v>20190312164416071</v>
      </c>
      <c r="B5393" t="str">
        <f>"1552380256060427"</f>
        <v>1552380256060427</v>
      </c>
      <c r="C5393" t="s">
        <v>40</v>
      </c>
      <c r="D5393">
        <v>4.6064210000000001</v>
      </c>
      <c r="E5393">
        <v>0.52300089999999999</v>
      </c>
      <c r="F5393" t="s">
        <v>41</v>
      </c>
      <c r="G5393">
        <v>-187.9462</v>
      </c>
      <c r="H5393">
        <v>1.052878</v>
      </c>
      <c r="I5393">
        <v>18.554649999999999</v>
      </c>
      <c r="J5393">
        <v>-188.0067</v>
      </c>
      <c r="K5393">
        <v>1.109693</v>
      </c>
      <c r="L5393">
        <v>17.994689999999999</v>
      </c>
      <c r="M5393">
        <v>4.8232609999999997E-3</v>
      </c>
      <c r="N5393">
        <v>0</v>
      </c>
      <c r="O5393">
        <v>0.99995959999999995</v>
      </c>
      <c r="P5393">
        <v>1.59591E-2</v>
      </c>
      <c r="Q5393">
        <v>0.12416489999999999</v>
      </c>
      <c r="R5393">
        <v>0.9921333</v>
      </c>
      <c r="S5393">
        <v>0.19686890000000001</v>
      </c>
      <c r="T5393">
        <v>-0.17959549999999999</v>
      </c>
      <c r="U5393">
        <v>3.042084</v>
      </c>
      <c r="V5393">
        <v>1.101341E-2</v>
      </c>
      <c r="W5393">
        <v>0.13169810000000001</v>
      </c>
      <c r="X5393">
        <v>0.99122869999999996</v>
      </c>
      <c r="Y5393">
        <v>5.9654169999999999E-2</v>
      </c>
      <c r="Z5393">
        <v>-5.8819570000000002E-2</v>
      </c>
      <c r="AA5393">
        <v>0.99648460000000005</v>
      </c>
      <c r="AB5393">
        <v>41</v>
      </c>
      <c r="AC5393">
        <v>6.0499999999990402E-2</v>
      </c>
      <c r="AD5393">
        <v>-5.6814999999999997E-2</v>
      </c>
      <c r="AE5393">
        <v>0.55996000000000001</v>
      </c>
      <c r="AF5393">
        <v>5.7216160895055601E-2</v>
      </c>
      <c r="AG5393">
        <v>-5.6814999999999997E-2</v>
      </c>
      <c r="AH5393">
        <v>0.55460174480750701</v>
      </c>
      <c r="AI5393">
        <v>95.818471995241893</v>
      </c>
      <c r="AJ5393">
        <v>84.109849328275203</v>
      </c>
      <c r="AK5393">
        <v>0.56043262631301205</v>
      </c>
      <c r="AL5393">
        <v>82.432270027182398</v>
      </c>
      <c r="AM5393">
        <v>89.3634204234272</v>
      </c>
      <c r="AN5393">
        <v>1.00000001022356</v>
      </c>
    </row>
    <row r="5394" spans="1:40" x14ac:dyDescent="0.25">
      <c r="A5394" t="str">
        <f>"20190312164416094"</f>
        <v>20190312164416094</v>
      </c>
      <c r="B5394" t="str">
        <f>"1552380256090683"</f>
        <v>1552380256090683</v>
      </c>
      <c r="C5394" t="s">
        <v>40</v>
      </c>
      <c r="D5394">
        <v>4.6100620000000001</v>
      </c>
      <c r="E5394">
        <v>0.523393</v>
      </c>
      <c r="F5394" t="s">
        <v>42</v>
      </c>
      <c r="G5394">
        <v>-186.5838</v>
      </c>
      <c r="H5394" s="1">
        <v>-4.528426E-6</v>
      </c>
      <c r="I5394">
        <v>38.776090000000003</v>
      </c>
      <c r="J5394">
        <v>-188.005</v>
      </c>
      <c r="K5394">
        <v>1.109659</v>
      </c>
      <c r="L5394">
        <v>18.416899999999998</v>
      </c>
      <c r="M5394">
        <v>4.4226650000000001E-3</v>
      </c>
      <c r="N5394">
        <v>0</v>
      </c>
      <c r="O5394">
        <v>0.99996160000000001</v>
      </c>
      <c r="P5394">
        <v>1.6523309999999999E-2</v>
      </c>
      <c r="Q5394">
        <v>0.12602759999999999</v>
      </c>
      <c r="R5394">
        <v>0.99188909999999997</v>
      </c>
      <c r="S5394">
        <v>0.20820620000000001</v>
      </c>
      <c r="T5394">
        <v>-0.16237279999999901</v>
      </c>
      <c r="U5394">
        <v>3.0407709999999999</v>
      </c>
      <c r="V5394">
        <v>1.198519E-2</v>
      </c>
      <c r="W5394">
        <v>0.1335489</v>
      </c>
      <c r="X5394">
        <v>0.99096980000000001</v>
      </c>
      <c r="Y5394">
        <v>6.380168E-2</v>
      </c>
      <c r="Z5394">
        <v>-5.3205389999999998E-2</v>
      </c>
      <c r="AA5394">
        <v>0.99654330000000002</v>
      </c>
      <c r="AB5394">
        <v>41</v>
      </c>
      <c r="AC5394">
        <v>1.42119999999999</v>
      </c>
      <c r="AD5394">
        <v>-1.1096635284259999</v>
      </c>
      <c r="AE5394">
        <v>20.359190000000002</v>
      </c>
      <c r="AF5394">
        <v>1.3272179732937199</v>
      </c>
      <c r="AG5394">
        <v>-1.1096635284259999</v>
      </c>
      <c r="AH5394">
        <v>20.305247867587099</v>
      </c>
      <c r="AI5394">
        <v>93.121403719127102</v>
      </c>
      <c r="AJ5394">
        <v>86.260278631534803</v>
      </c>
      <c r="AK5394">
        <v>20.378811340681899</v>
      </c>
      <c r="AL5394">
        <v>82.325282201786393</v>
      </c>
      <c r="AM5394">
        <v>89.307075428233304</v>
      </c>
      <c r="AN5394">
        <v>1.0000000489912899</v>
      </c>
    </row>
    <row r="5395" spans="1:40" x14ac:dyDescent="0.25">
      <c r="A5395" t="str">
        <f>"20190312164416116"</f>
        <v>20190312164416116</v>
      </c>
      <c r="B5395" t="str">
        <f>"1552380256110202"</f>
        <v>1552380256110202</v>
      </c>
      <c r="C5395" t="s">
        <v>40</v>
      </c>
      <c r="D5395">
        <v>4.9666800000000002</v>
      </c>
      <c r="E5395">
        <v>0.52329150000000002</v>
      </c>
      <c r="F5395" t="s">
        <v>42</v>
      </c>
      <c r="G5395">
        <v>-186.47579999999999</v>
      </c>
      <c r="H5395" s="1">
        <v>-1.114513E-6</v>
      </c>
      <c r="I5395">
        <v>40.167630000000003</v>
      </c>
      <c r="J5395">
        <v>-188.0035</v>
      </c>
      <c r="K5395">
        <v>1.1096269999999999</v>
      </c>
      <c r="L5395">
        <v>18.811039999999998</v>
      </c>
      <c r="M5395">
        <v>4.1032380000000004E-3</v>
      </c>
      <c r="N5395">
        <v>0</v>
      </c>
      <c r="O5395">
        <v>0.99996300000000005</v>
      </c>
      <c r="P5395">
        <v>1.7703880000000002E-2</v>
      </c>
      <c r="Q5395">
        <v>0.12748909999999999</v>
      </c>
      <c r="R5395">
        <v>0.99168190000000001</v>
      </c>
      <c r="S5395">
        <v>0.21377560000000001</v>
      </c>
      <c r="T5395">
        <v>-0.15512679999999901</v>
      </c>
      <c r="U5395">
        <v>3.04068</v>
      </c>
      <c r="V5395">
        <v>1.3496070000000001E-2</v>
      </c>
      <c r="W5395">
        <v>0.13500139999999999</v>
      </c>
      <c r="X5395">
        <v>0.99075349999999995</v>
      </c>
      <c r="Y5395">
        <v>6.594759E-2</v>
      </c>
      <c r="Z5395">
        <v>-5.0832210000000003E-2</v>
      </c>
      <c r="AA5395">
        <v>0.99652750000000001</v>
      </c>
      <c r="AB5395">
        <v>41</v>
      </c>
      <c r="AC5395">
        <v>1.52770000000001</v>
      </c>
      <c r="AD5395">
        <v>-1.109628114513</v>
      </c>
      <c r="AE5395">
        <v>21.356590000000001</v>
      </c>
      <c r="AF5395">
        <v>1.43619611952634</v>
      </c>
      <c r="AG5395">
        <v>-1.109628114513</v>
      </c>
      <c r="AH5395">
        <v>21.305456596864602</v>
      </c>
      <c r="AI5395">
        <v>92.974639184587303</v>
      </c>
      <c r="AJ5395">
        <v>86.143538461423105</v>
      </c>
      <c r="AK5395">
        <v>21.3826194524231</v>
      </c>
      <c r="AL5395">
        <v>82.2412992329931</v>
      </c>
      <c r="AM5395">
        <v>89.2195636682101</v>
      </c>
      <c r="AN5395">
        <v>1.0000000098348201</v>
      </c>
    </row>
    <row r="5396" spans="1:40" x14ac:dyDescent="0.25">
      <c r="A5396" t="str">
        <f>"20190312164416137"</f>
        <v>20190312164416137</v>
      </c>
      <c r="B5396" t="str">
        <f>"1552380256130699"</f>
        <v>1552380256130699</v>
      </c>
      <c r="C5396" t="s">
        <v>40</v>
      </c>
      <c r="D5396">
        <v>4.877669</v>
      </c>
      <c r="E5396">
        <v>0.52330059999999901</v>
      </c>
      <c r="F5396" t="s">
        <v>42</v>
      </c>
      <c r="G5396">
        <v>-186.3826</v>
      </c>
      <c r="H5396" s="1">
        <v>-1.6192460000000001E-6</v>
      </c>
      <c r="I5396">
        <v>41.577930000000002</v>
      </c>
      <c r="J5396">
        <v>-188.00200000000001</v>
      </c>
      <c r="K5396">
        <v>1.1095759999999999</v>
      </c>
      <c r="L5396">
        <v>19.211179999999999</v>
      </c>
      <c r="M5396">
        <v>3.8445649999999999E-3</v>
      </c>
      <c r="N5396">
        <v>0</v>
      </c>
      <c r="O5396">
        <v>0.99996410000000002</v>
      </c>
      <c r="P5396">
        <v>1.8859379999999999E-2</v>
      </c>
      <c r="Q5396">
        <v>0.12859329999999999</v>
      </c>
      <c r="R5396">
        <v>0.99151809999999996</v>
      </c>
      <c r="S5396">
        <v>0.21646119999999999</v>
      </c>
      <c r="T5396">
        <v>-0.14818239999999999</v>
      </c>
      <c r="U5396">
        <v>3.0403440000000002</v>
      </c>
      <c r="V5396">
        <v>1.492564E-2</v>
      </c>
      <c r="W5396">
        <v>0.13609749999999901</v>
      </c>
      <c r="X5396">
        <v>0.99058299999999999</v>
      </c>
      <c r="Y5396">
        <v>6.7097249999999997E-2</v>
      </c>
      <c r="Z5396">
        <v>-4.8564209999999997E-2</v>
      </c>
      <c r="AA5396">
        <v>0.99656389999999995</v>
      </c>
      <c r="AB5396">
        <v>41</v>
      </c>
      <c r="AC5396">
        <v>1.6194000000000099</v>
      </c>
      <c r="AD5396">
        <v>-1.1095776192460001</v>
      </c>
      <c r="AE5396">
        <v>22.36675</v>
      </c>
      <c r="AF5396">
        <v>1.5296503340396701</v>
      </c>
      <c r="AG5396">
        <v>-1.1095776192460001</v>
      </c>
      <c r="AH5396">
        <v>22.3181724071869</v>
      </c>
      <c r="AI5396">
        <v>92.8395417981679</v>
      </c>
      <c r="AJ5396">
        <v>86.079174471659698</v>
      </c>
      <c r="AK5396">
        <v>22.398031436590099</v>
      </c>
      <c r="AL5396">
        <v>82.177912161958304</v>
      </c>
      <c r="AM5396">
        <v>89.136759392878702</v>
      </c>
      <c r="AN5396">
        <v>0.99999999206232904</v>
      </c>
    </row>
    <row r="5397" spans="1:40" x14ac:dyDescent="0.25">
      <c r="A5397" t="str">
        <f>"20190312164416159"</f>
        <v>20190312164416159</v>
      </c>
      <c r="B5397" t="str">
        <f>"1552380256150219"</f>
        <v>1552380256150219</v>
      </c>
      <c r="C5397" t="s">
        <v>40</v>
      </c>
      <c r="D5397">
        <v>4.9244820000000002</v>
      </c>
      <c r="E5397">
        <v>0.52323999999999904</v>
      </c>
      <c r="F5397" t="s">
        <v>42</v>
      </c>
      <c r="G5397">
        <v>-186.304</v>
      </c>
      <c r="H5397" s="1">
        <v>-2.052904E-6</v>
      </c>
      <c r="I5397">
        <v>42.79083</v>
      </c>
      <c r="J5397">
        <v>-188.00059999999999</v>
      </c>
      <c r="K5397">
        <v>1.109515</v>
      </c>
      <c r="L5397">
        <v>19.627040000000001</v>
      </c>
      <c r="M5397">
        <v>3.647389E-3</v>
      </c>
      <c r="N5397">
        <v>0</v>
      </c>
      <c r="O5397">
        <v>0.99996479999999999</v>
      </c>
      <c r="P5397">
        <v>1.9034590000000001E-2</v>
      </c>
      <c r="Q5397">
        <v>0.12931400000000001</v>
      </c>
      <c r="R5397">
        <v>0.991421</v>
      </c>
      <c r="S5397">
        <v>0.2189178</v>
      </c>
      <c r="T5397">
        <v>-0.14305390000000001</v>
      </c>
      <c r="U5397">
        <v>3.0400390000000002</v>
      </c>
      <c r="V5397">
        <v>1.5316730000000001E-2</v>
      </c>
      <c r="W5397">
        <v>0.13680980000000001</v>
      </c>
      <c r="X5397">
        <v>0.99047890000000005</v>
      </c>
      <c r="Y5397">
        <v>6.8107989999999993E-2</v>
      </c>
      <c r="Z5397">
        <v>-4.6888970000000002E-2</v>
      </c>
      <c r="AA5397">
        <v>0.99657549999999995</v>
      </c>
      <c r="AB5397">
        <v>41</v>
      </c>
      <c r="AC5397">
        <v>1.6965999999999799</v>
      </c>
      <c r="AD5397">
        <v>-1.1095170529039999</v>
      </c>
      <c r="AE5397">
        <v>23.163789999999999</v>
      </c>
      <c r="AF5397">
        <v>1.6084284353020299</v>
      </c>
      <c r="AG5397">
        <v>-1.1095170529039999</v>
      </c>
      <c r="AH5397">
        <v>23.1170699428577</v>
      </c>
      <c r="AI5397">
        <v>92.741218194948999</v>
      </c>
      <c r="AJ5397">
        <v>86.019915958887594</v>
      </c>
      <c r="AK5397">
        <v>23.199504151277601</v>
      </c>
      <c r="AL5397">
        <v>82.136715001509003</v>
      </c>
      <c r="AM5397">
        <v>89.114050747033403</v>
      </c>
      <c r="AN5397">
        <v>0.99999998746957097</v>
      </c>
    </row>
    <row r="5398" spans="1:40" x14ac:dyDescent="0.25">
      <c r="A5398" t="str">
        <f>"20190312164416185"</f>
        <v>20190312164416185</v>
      </c>
      <c r="B5398" t="str">
        <f>"1552380256180475"</f>
        <v>1552380256180475</v>
      </c>
      <c r="C5398" t="s">
        <v>40</v>
      </c>
      <c r="D5398">
        <v>4.6049819999999997</v>
      </c>
      <c r="E5398">
        <v>0.52320759999999999</v>
      </c>
      <c r="F5398" t="s">
        <v>42</v>
      </c>
      <c r="G5398">
        <v>-186.26169999999999</v>
      </c>
      <c r="H5398" s="1">
        <v>-2.423524E-6</v>
      </c>
      <c r="I5398">
        <v>43.736359999999998</v>
      </c>
      <c r="J5398">
        <v>-187.999</v>
      </c>
      <c r="K5398">
        <v>1.10945</v>
      </c>
      <c r="L5398">
        <v>20.07245</v>
      </c>
      <c r="M5398">
        <v>3.5095450000000002E-3</v>
      </c>
      <c r="N5398">
        <v>0</v>
      </c>
      <c r="O5398">
        <v>0.9999654</v>
      </c>
      <c r="P5398">
        <v>1.9686769999999999E-2</v>
      </c>
      <c r="Q5398">
        <v>0.12998409999999999</v>
      </c>
      <c r="R5398">
        <v>0.9913206</v>
      </c>
      <c r="S5398">
        <v>0.21925349999999999</v>
      </c>
      <c r="T5398">
        <v>-0.1399021</v>
      </c>
      <c r="U5398">
        <v>3.040009</v>
      </c>
      <c r="V5398">
        <v>1.6126370000000001E-2</v>
      </c>
      <c r="W5398">
        <v>0.13747300000000001</v>
      </c>
      <c r="X5398">
        <v>0.99037419999999998</v>
      </c>
      <c r="Y5398">
        <v>6.8359169999999997E-2</v>
      </c>
      <c r="Z5398">
        <v>-4.5858030000000001E-2</v>
      </c>
      <c r="AA5398">
        <v>0.99660629999999994</v>
      </c>
      <c r="AB5398">
        <v>41</v>
      </c>
      <c r="AC5398">
        <v>1.73730000000003</v>
      </c>
      <c r="AD5398">
        <v>-1.109452423524</v>
      </c>
      <c r="AE5398">
        <v>23.663910000000001</v>
      </c>
      <c r="AF5398">
        <v>1.6506286109388799</v>
      </c>
      <c r="AG5398">
        <v>-1.109452423524</v>
      </c>
      <c r="AH5398">
        <v>23.618225026201401</v>
      </c>
      <c r="AI5398">
        <v>92.682924439613899</v>
      </c>
      <c r="AJ5398">
        <v>86.002217531880802</v>
      </c>
      <c r="AK5398">
        <v>23.701814548249299</v>
      </c>
      <c r="AL5398">
        <v>82.098353851798507</v>
      </c>
      <c r="AM5398">
        <v>89.067129078838803</v>
      </c>
      <c r="AN5398">
        <v>0.99999997078200797</v>
      </c>
    </row>
    <row r="5399" spans="1:40" x14ac:dyDescent="0.25">
      <c r="A5399" t="str">
        <f>"20190312164416207"</f>
        <v>20190312164416207</v>
      </c>
      <c r="B5399" t="str">
        <f>"1552380256200971"</f>
        <v>1552380256200971</v>
      </c>
      <c r="C5399" t="s">
        <v>40</v>
      </c>
      <c r="D5399">
        <v>4.6401120000000002</v>
      </c>
      <c r="E5399">
        <v>0.52332009999999995</v>
      </c>
      <c r="F5399" t="s">
        <v>42</v>
      </c>
      <c r="G5399">
        <v>-186.2165</v>
      </c>
      <c r="H5399" s="1">
        <v>-2.8076430000000001E-6</v>
      </c>
      <c r="I5399">
        <v>44.613030000000002</v>
      </c>
      <c r="J5399">
        <v>-187.99760000000001</v>
      </c>
      <c r="K5399">
        <v>1.1093919999999999</v>
      </c>
      <c r="L5399">
        <v>20.50198</v>
      </c>
      <c r="M5399">
        <v>3.432582E-3</v>
      </c>
      <c r="N5399">
        <v>0</v>
      </c>
      <c r="O5399">
        <v>0.99996569999999996</v>
      </c>
      <c r="P5399">
        <v>1.993288E-2</v>
      </c>
      <c r="Q5399">
        <v>0.12998080000000001</v>
      </c>
      <c r="R5399">
        <v>0.99131610000000003</v>
      </c>
      <c r="S5399">
        <v>0.2208099</v>
      </c>
      <c r="T5399">
        <v>-0.13743129999999901</v>
      </c>
      <c r="U5399">
        <v>3.039917</v>
      </c>
      <c r="V5399">
        <v>1.6465850000000001E-2</v>
      </c>
      <c r="W5399">
        <v>0.1374649</v>
      </c>
      <c r="X5399">
        <v>0.99036970000000002</v>
      </c>
      <c r="Y5399">
        <v>6.8948330000000002E-2</v>
      </c>
      <c r="Z5399">
        <v>-4.5049400000000003E-2</v>
      </c>
      <c r="AA5399">
        <v>0.99660260000000001</v>
      </c>
      <c r="AB5399">
        <v>41</v>
      </c>
      <c r="AC5399">
        <v>1.7810999999999999</v>
      </c>
      <c r="AD5399">
        <v>-1.109394807643</v>
      </c>
      <c r="AE5399">
        <v>24.111049999999999</v>
      </c>
      <c r="AF5399">
        <v>1.69475551601345</v>
      </c>
      <c r="AG5399">
        <v>-1.109394807643</v>
      </c>
      <c r="AH5399">
        <v>24.066347709256899</v>
      </c>
      <c r="AI5399">
        <v>92.632804314581307</v>
      </c>
      <c r="AJ5399">
        <v>85.971873031474999</v>
      </c>
      <c r="AK5399">
        <v>24.151439815488001</v>
      </c>
      <c r="AL5399">
        <v>82.098822094033693</v>
      </c>
      <c r="AM5399">
        <v>89.047490247715501</v>
      </c>
      <c r="AN5399">
        <v>0.99999993281315902</v>
      </c>
    </row>
    <row r="5400" spans="1:40" x14ac:dyDescent="0.25">
      <c r="A5400" t="str">
        <f>"20190312164416261"</f>
        <v>20190312164416261</v>
      </c>
      <c r="B5400" t="str">
        <f>"1552380256250748"</f>
        <v>1552380256250748</v>
      </c>
      <c r="C5400" t="s">
        <v>40</v>
      </c>
      <c r="D5400">
        <v>4.6487290000000003</v>
      </c>
      <c r="E5400">
        <v>0.52342920000000004</v>
      </c>
      <c r="F5400" t="s">
        <v>42</v>
      </c>
      <c r="G5400">
        <v>-186.2235</v>
      </c>
      <c r="H5400" s="1">
        <v>-2.9021830000000001E-6</v>
      </c>
      <c r="I5400">
        <v>44.836300000000001</v>
      </c>
      <c r="J5400">
        <v>-187.99420000000001</v>
      </c>
      <c r="K5400">
        <v>1.109291</v>
      </c>
      <c r="L5400">
        <v>21.49222</v>
      </c>
      <c r="M5400">
        <v>3.409727E-3</v>
      </c>
      <c r="N5400">
        <v>0</v>
      </c>
      <c r="O5400">
        <v>0.99996569999999996</v>
      </c>
      <c r="P5400">
        <v>2.131423E-2</v>
      </c>
      <c r="Q5400">
        <v>0.13121329999999901</v>
      </c>
      <c r="R5400">
        <v>0.99112500000000003</v>
      </c>
      <c r="S5400">
        <v>0.22163389999999999</v>
      </c>
      <c r="T5400">
        <v>-0.1385932</v>
      </c>
      <c r="U5400">
        <v>3.040009</v>
      </c>
      <c r="V5400">
        <v>1.7901340000000002E-2</v>
      </c>
      <c r="W5400">
        <v>0.13869139999999999</v>
      </c>
      <c r="X5400">
        <v>0.99017379999999999</v>
      </c>
      <c r="Y5400">
        <v>6.9236439999999996E-2</v>
      </c>
      <c r="Z5400">
        <v>-4.5427250000000002E-2</v>
      </c>
      <c r="AA5400">
        <v>0.99656549999999999</v>
      </c>
      <c r="AB5400">
        <v>41</v>
      </c>
      <c r="AC5400">
        <v>1.7706999999999999</v>
      </c>
      <c r="AD5400">
        <v>-1.1092939021829999</v>
      </c>
      <c r="AE5400">
        <v>23.344079999999899</v>
      </c>
      <c r="AF5400">
        <v>1.6873022278068499</v>
      </c>
      <c r="AG5400">
        <v>-1.1092939021829999</v>
      </c>
      <c r="AH5400">
        <v>23.297674955028199</v>
      </c>
      <c r="AI5400">
        <v>92.718908001337994</v>
      </c>
      <c r="AJ5400">
        <v>85.857663906752705</v>
      </c>
      <c r="AK5400">
        <v>23.385020420763599</v>
      </c>
      <c r="AL5400">
        <v>82.027869381364994</v>
      </c>
      <c r="AM5400">
        <v>88.964263137716998</v>
      </c>
      <c r="AN5400">
        <v>0.99999995830709598</v>
      </c>
    </row>
    <row r="5401" spans="1:40" x14ac:dyDescent="0.25">
      <c r="A5401" t="str">
        <f>"20190312164416282"</f>
        <v>20190312164416282</v>
      </c>
      <c r="B5401" t="str">
        <f>"1552380256270270"</f>
        <v>1552380256270270</v>
      </c>
      <c r="C5401" t="s">
        <v>40</v>
      </c>
      <c r="D5401">
        <v>4.6436419999999998</v>
      </c>
      <c r="E5401">
        <v>0.52340629999999999</v>
      </c>
      <c r="F5401" t="s">
        <v>42</v>
      </c>
      <c r="G5401">
        <v>-186.1446</v>
      </c>
      <c r="H5401" s="1">
        <v>-3.537684E-6</v>
      </c>
      <c r="I5401">
        <v>46.285049999999998</v>
      </c>
      <c r="J5401">
        <v>-187.99279999999999</v>
      </c>
      <c r="K5401">
        <v>1.1092550000000001</v>
      </c>
      <c r="L5401">
        <v>21.899899999999999</v>
      </c>
      <c r="M5401">
        <v>3.4527770000000002E-3</v>
      </c>
      <c r="N5401">
        <v>0</v>
      </c>
      <c r="O5401">
        <v>0.99996549999999995</v>
      </c>
      <c r="P5401">
        <v>2.2414400000000001E-2</v>
      </c>
      <c r="Q5401">
        <v>0.13165539999999901</v>
      </c>
      <c r="R5401">
        <v>0.99104210000000004</v>
      </c>
      <c r="S5401">
        <v>0.2267914</v>
      </c>
      <c r="T5401">
        <v>-0.13601769999999999</v>
      </c>
      <c r="U5401">
        <v>3.040009</v>
      </c>
      <c r="V5401">
        <v>1.897074E-2</v>
      </c>
      <c r="W5401">
        <v>0.1391329</v>
      </c>
      <c r="X5401">
        <v>0.99009199999999997</v>
      </c>
      <c r="Y5401">
        <v>7.0877789999999996E-2</v>
      </c>
      <c r="Z5401">
        <v>-4.4579399999999998E-2</v>
      </c>
      <c r="AA5401">
        <v>0.99648829999999999</v>
      </c>
      <c r="AB5401">
        <v>41</v>
      </c>
      <c r="AC5401">
        <v>1.8481999999999901</v>
      </c>
      <c r="AD5401">
        <v>-1.1092585376839901</v>
      </c>
      <c r="AE5401">
        <v>24.385149999999999</v>
      </c>
      <c r="AF5401">
        <v>1.76036824346121</v>
      </c>
      <c r="AG5401">
        <v>-1.1092585376839901</v>
      </c>
      <c r="AH5401">
        <v>24.3413054781177</v>
      </c>
      <c r="AI5401">
        <v>92.602435502725001</v>
      </c>
      <c r="AJ5401">
        <v>85.863558840630702</v>
      </c>
      <c r="AK5401">
        <v>24.430073746001199</v>
      </c>
      <c r="AL5401">
        <v>82.002326060745901</v>
      </c>
      <c r="AM5401">
        <v>88.902313775108198</v>
      </c>
      <c r="AN5401">
        <v>1.0000000106512701</v>
      </c>
    </row>
    <row r="5402" spans="1:40" x14ac:dyDescent="0.25">
      <c r="A5402" t="str">
        <f>"20190312164416306"</f>
        <v>20190312164416306</v>
      </c>
      <c r="B5402" t="str">
        <f>"1552380256300523"</f>
        <v>1552380256300523</v>
      </c>
      <c r="C5402" t="s">
        <v>40</v>
      </c>
      <c r="D5402">
        <v>4.6647239999999996</v>
      </c>
      <c r="E5402">
        <v>0.52338669999999998</v>
      </c>
      <c r="F5402" t="s">
        <v>42</v>
      </c>
      <c r="G5402">
        <v>-186.1078</v>
      </c>
      <c r="H5402" s="1">
        <v>-3.7932579999999999E-6</v>
      </c>
      <c r="I5402">
        <v>46.865580000000001</v>
      </c>
      <c r="J5402">
        <v>-187.99119999999999</v>
      </c>
      <c r="K5402">
        <v>1.109218</v>
      </c>
      <c r="L5402">
        <v>22.349029999999999</v>
      </c>
      <c r="M5402">
        <v>3.5217849999999999E-3</v>
      </c>
      <c r="N5402">
        <v>0</v>
      </c>
      <c r="O5402">
        <v>0.99996529999999995</v>
      </c>
      <c r="P5402">
        <v>2.330082E-2</v>
      </c>
      <c r="Q5402">
        <v>0.13246849999999999</v>
      </c>
      <c r="R5402">
        <v>0.9909133</v>
      </c>
      <c r="S5402">
        <v>0.2295227</v>
      </c>
      <c r="T5402">
        <v>-0.13506499999999999</v>
      </c>
      <c r="U5402">
        <v>3.0398559999999999</v>
      </c>
      <c r="V5402">
        <v>1.980148E-2</v>
      </c>
      <c r="W5402">
        <v>0.1399465</v>
      </c>
      <c r="X5402">
        <v>0.98996099999999998</v>
      </c>
      <c r="Y5402">
        <v>7.1703999999999907E-2</v>
      </c>
      <c r="Z5402">
        <v>-4.426716E-2</v>
      </c>
      <c r="AA5402">
        <v>0.99644319999999997</v>
      </c>
      <c r="AB5402">
        <v>42</v>
      </c>
      <c r="AC5402">
        <v>1.88339999999999</v>
      </c>
      <c r="AD5402">
        <v>-1.109221793258</v>
      </c>
      <c r="AE5402">
        <v>24.516549999999999</v>
      </c>
      <c r="AF5402">
        <v>1.79339429857667</v>
      </c>
      <c r="AG5402">
        <v>-1.109221793258</v>
      </c>
      <c r="AH5402">
        <v>24.473228259581902</v>
      </c>
      <c r="AI5402">
        <v>92.588160975070494</v>
      </c>
      <c r="AJ5402">
        <v>85.808865660870097</v>
      </c>
      <c r="AK5402">
        <v>24.563907212461199</v>
      </c>
      <c r="AL5402">
        <v>81.955249161393397</v>
      </c>
      <c r="AM5402">
        <v>88.854106412551801</v>
      </c>
      <c r="AN5402">
        <v>0.99999995149671805</v>
      </c>
    </row>
    <row r="5403" spans="1:40" x14ac:dyDescent="0.25">
      <c r="A5403" t="str">
        <f>"20190312164416326"</f>
        <v>20190312164416326</v>
      </c>
      <c r="B5403" t="str">
        <f>"1552380256320043"</f>
        <v>1552380256320043</v>
      </c>
      <c r="C5403" t="s">
        <v>40</v>
      </c>
      <c r="D5403">
        <v>4.9048809999999996</v>
      </c>
      <c r="E5403">
        <v>0.52330600000000005</v>
      </c>
      <c r="F5403" t="s">
        <v>42</v>
      </c>
      <c r="G5403">
        <v>-186.0565</v>
      </c>
      <c r="H5403" s="1">
        <v>-4.1702149999999997E-6</v>
      </c>
      <c r="I5403">
        <v>47.723059999999997</v>
      </c>
      <c r="J5403">
        <v>-187.98990000000001</v>
      </c>
      <c r="K5403">
        <v>1.1091930000000001</v>
      </c>
      <c r="L5403">
        <v>22.728179999999998</v>
      </c>
      <c r="M5403">
        <v>3.5915439999999999E-3</v>
      </c>
      <c r="N5403">
        <v>0</v>
      </c>
      <c r="O5403">
        <v>0.99996510000000005</v>
      </c>
      <c r="P5403">
        <v>2.4072779999999998E-2</v>
      </c>
      <c r="Q5403">
        <v>0.1327052</v>
      </c>
      <c r="R5403">
        <v>0.99086320000000006</v>
      </c>
      <c r="S5403">
        <v>0.23178099999999999</v>
      </c>
      <c r="T5403">
        <v>-0.13288559999999999</v>
      </c>
      <c r="U5403">
        <v>3.039825</v>
      </c>
      <c r="V5403">
        <v>2.0513989999999999E-2</v>
      </c>
      <c r="W5403">
        <v>0.14018349999999999</v>
      </c>
      <c r="X5403">
        <v>0.98991300000000004</v>
      </c>
      <c r="Y5403">
        <v>7.2373580000000007E-2</v>
      </c>
      <c r="Z5403">
        <v>-4.3552390000000003E-2</v>
      </c>
      <c r="AA5403">
        <v>0.99642620000000004</v>
      </c>
      <c r="AB5403">
        <v>42</v>
      </c>
      <c r="AC5403">
        <v>1.9334</v>
      </c>
      <c r="AD5403">
        <v>-1.1091971702150001</v>
      </c>
      <c r="AE5403">
        <v>24.994879999999998</v>
      </c>
      <c r="AF5403">
        <v>1.8400127497988299</v>
      </c>
      <c r="AG5403">
        <v>-1.1091971702150001</v>
      </c>
      <c r="AH5403">
        <v>24.952815166661001</v>
      </c>
      <c r="AI5403">
        <v>92.538341361430696</v>
      </c>
      <c r="AJ5403">
        <v>85.782660156057801</v>
      </c>
      <c r="AK5403">
        <v>25.045138251233201</v>
      </c>
      <c r="AL5403">
        <v>81.941535202447696</v>
      </c>
      <c r="AM5403">
        <v>88.812828157343802</v>
      </c>
      <c r="AN5403">
        <v>0.99999999251348504</v>
      </c>
    </row>
    <row r="5404" spans="1:40" x14ac:dyDescent="0.25">
      <c r="A5404" t="str">
        <f>"20190312164416349"</f>
        <v>20190312164416349</v>
      </c>
      <c r="B5404" t="str">
        <f>"1552380256340539"</f>
        <v>1552380256340539</v>
      </c>
      <c r="C5404" t="s">
        <v>40</v>
      </c>
      <c r="D5404">
        <v>4.6475970000000002</v>
      </c>
      <c r="E5404">
        <v>0.52329799999999904</v>
      </c>
      <c r="F5404" t="s">
        <v>42</v>
      </c>
      <c r="G5404">
        <v>-186.0333</v>
      </c>
      <c r="H5404" s="1">
        <v>-4.3873380000000001E-6</v>
      </c>
      <c r="I5404">
        <v>48.2196</v>
      </c>
      <c r="J5404">
        <v>-187.98830000000001</v>
      </c>
      <c r="K5404">
        <v>1.109167</v>
      </c>
      <c r="L5404">
        <v>23.14752</v>
      </c>
      <c r="M5404">
        <v>3.6785920000000001E-3</v>
      </c>
      <c r="N5404">
        <v>0</v>
      </c>
      <c r="O5404">
        <v>0.99996470000000004</v>
      </c>
      <c r="P5404">
        <v>2.5042910000000002E-2</v>
      </c>
      <c r="Q5404">
        <v>0.13294320000000001</v>
      </c>
      <c r="R5404">
        <v>0.9908072</v>
      </c>
      <c r="S5404">
        <v>0.23330690000000001</v>
      </c>
      <c r="T5404">
        <v>-0.132265299999999</v>
      </c>
      <c r="U5404">
        <v>3.0397029999999998</v>
      </c>
      <c r="V5404">
        <v>2.1407280000000001E-2</v>
      </c>
      <c r="W5404">
        <v>0.14042379999999999</v>
      </c>
      <c r="X5404">
        <v>0.98985999999999996</v>
      </c>
      <c r="Y5404">
        <v>7.278772E-2</v>
      </c>
      <c r="Z5404">
        <v>-4.3349720000000001E-2</v>
      </c>
      <c r="AA5404">
        <v>0.99640490000000004</v>
      </c>
      <c r="AB5404">
        <v>42</v>
      </c>
      <c r="AC5404">
        <v>1.9550000000000101</v>
      </c>
      <c r="AD5404">
        <v>-1.109171387338</v>
      </c>
      <c r="AE5404">
        <v>25.07208</v>
      </c>
      <c r="AF5404">
        <v>1.8591376279710099</v>
      </c>
      <c r="AG5404">
        <v>-1.109171387338</v>
      </c>
      <c r="AH5404">
        <v>25.030410834333399</v>
      </c>
      <c r="AI5404">
        <v>92.530324263286303</v>
      </c>
      <c r="AJ5404">
        <v>85.752147190787994</v>
      </c>
      <c r="AK5404">
        <v>25.1238556042209</v>
      </c>
      <c r="AL5404">
        <v>81.927629274427801</v>
      </c>
      <c r="AM5404">
        <v>88.761081742564798</v>
      </c>
      <c r="AN5404">
        <v>0.99999996742171804</v>
      </c>
    </row>
    <row r="5405" spans="1:40" x14ac:dyDescent="0.25">
      <c r="A5405" t="str">
        <f>"20190312164416374"</f>
        <v>20190312164416374</v>
      </c>
      <c r="B5405" t="str">
        <f>"1552380256370795"</f>
        <v>1552380256370795</v>
      </c>
      <c r="C5405" t="s">
        <v>40</v>
      </c>
      <c r="D5405">
        <v>4.8530430000000004</v>
      </c>
      <c r="E5405">
        <v>0.52322519999999995</v>
      </c>
      <c r="F5405" t="s">
        <v>42</v>
      </c>
      <c r="G5405">
        <v>-185.9984</v>
      </c>
      <c r="H5405" s="1">
        <v>-4.6017070000000003E-6</v>
      </c>
      <c r="I5405">
        <v>48.70485</v>
      </c>
      <c r="J5405">
        <v>-187.98650000000001</v>
      </c>
      <c r="K5405">
        <v>1.1091390000000001</v>
      </c>
      <c r="L5405">
        <v>23.607479999999999</v>
      </c>
      <c r="M5405">
        <v>3.7840629999999998E-3</v>
      </c>
      <c r="N5405">
        <v>0</v>
      </c>
      <c r="O5405">
        <v>0.99996419999999997</v>
      </c>
      <c r="P5405">
        <v>2.5718020000000001E-2</v>
      </c>
      <c r="Q5405">
        <v>0.13378300000000001</v>
      </c>
      <c r="R5405">
        <v>0.99067689999999997</v>
      </c>
      <c r="S5405">
        <v>0.23666380000000001</v>
      </c>
      <c r="T5405">
        <v>-0.13191459999999999</v>
      </c>
      <c r="U5405">
        <v>3.0395509999999999</v>
      </c>
      <c r="V5405">
        <v>2.1987110000000001E-2</v>
      </c>
      <c r="W5405">
        <v>0.14126649999999999</v>
      </c>
      <c r="X5405">
        <v>0.98972740000000003</v>
      </c>
      <c r="Y5405">
        <v>7.378063E-2</v>
      </c>
      <c r="Z5405">
        <v>-4.3233720000000003E-2</v>
      </c>
      <c r="AA5405">
        <v>0.99633689999999997</v>
      </c>
      <c r="AB5405">
        <v>42</v>
      </c>
      <c r="AC5405">
        <v>1.9881</v>
      </c>
      <c r="AD5405">
        <v>-1.10914360170699</v>
      </c>
      <c r="AE5405">
        <v>25.097370000000002</v>
      </c>
      <c r="AF5405">
        <v>1.8894457969546801</v>
      </c>
      <c r="AG5405">
        <v>-1.10914360170699</v>
      </c>
      <c r="AH5405">
        <v>25.056082347946301</v>
      </c>
      <c r="AI5405">
        <v>92.527458960092204</v>
      </c>
      <c r="AJ5405">
        <v>85.687563398778906</v>
      </c>
      <c r="AK5405">
        <v>25.151689159495898</v>
      </c>
      <c r="AL5405">
        <v>81.878860166014903</v>
      </c>
      <c r="AM5405">
        <v>88.727365305303607</v>
      </c>
      <c r="AN5405">
        <v>0.99999999166958098</v>
      </c>
    </row>
    <row r="5406" spans="1:40" x14ac:dyDescent="0.25">
      <c r="A5406" t="str">
        <f>"20190312164416400"</f>
        <v>20190312164416400</v>
      </c>
      <c r="B5406" t="str">
        <f>"1552380256390315"</f>
        <v>1552380256390315</v>
      </c>
      <c r="C5406" t="s">
        <v>40</v>
      </c>
      <c r="D5406">
        <v>4.8459310000000002</v>
      </c>
      <c r="E5406">
        <v>0.51312290000000005</v>
      </c>
      <c r="F5406" t="s">
        <v>42</v>
      </c>
      <c r="G5406">
        <v>-185.9579</v>
      </c>
      <c r="H5406" s="1">
        <v>-4.9488430000000001E-6</v>
      </c>
      <c r="I5406">
        <v>49.497309999999999</v>
      </c>
      <c r="J5406">
        <v>-187.9846</v>
      </c>
      <c r="K5406">
        <v>1.109113</v>
      </c>
      <c r="L5406">
        <v>24.10031</v>
      </c>
      <c r="M5406">
        <v>3.9052819999999999E-3</v>
      </c>
      <c r="N5406">
        <v>0</v>
      </c>
      <c r="O5406">
        <v>0.99996379999999996</v>
      </c>
      <c r="P5406">
        <v>2.6806389999999999E-2</v>
      </c>
      <c r="Q5406">
        <v>0.13466120000000001</v>
      </c>
      <c r="R5406">
        <v>0.99052910000000005</v>
      </c>
      <c r="S5406">
        <v>0.23817440000000001</v>
      </c>
      <c r="T5406">
        <v>-0.13022110000000001</v>
      </c>
      <c r="U5406">
        <v>3.0396420000000002</v>
      </c>
      <c r="V5406">
        <v>2.2963830000000001E-2</v>
      </c>
      <c r="W5406">
        <v>0.14214779999999999</v>
      </c>
      <c r="X5406">
        <v>0.98957899999999999</v>
      </c>
      <c r="Y5406">
        <v>7.4151410000000001E-2</v>
      </c>
      <c r="Z5406">
        <v>-4.2676989999999998E-2</v>
      </c>
      <c r="AA5406">
        <v>0.99633340000000004</v>
      </c>
      <c r="AB5406">
        <v>42</v>
      </c>
      <c r="AC5406">
        <v>2.0266999999999999</v>
      </c>
      <c r="AD5406">
        <v>-1.1091179488429901</v>
      </c>
      <c r="AE5406">
        <v>25.396999999999998</v>
      </c>
      <c r="AF5406">
        <v>1.9238533551391299</v>
      </c>
      <c r="AG5406">
        <v>-1.1091179488429901</v>
      </c>
      <c r="AH5406">
        <v>25.356667782551298</v>
      </c>
      <c r="AI5406">
        <v>92.497391328108307</v>
      </c>
      <c r="AJ5406">
        <v>85.661184854137701</v>
      </c>
      <c r="AK5406">
        <v>25.453721837703899</v>
      </c>
      <c r="AL5406">
        <v>81.827850424848506</v>
      </c>
      <c r="AM5406">
        <v>88.670652426924306</v>
      </c>
      <c r="AN5406">
        <v>0.99999996588705298</v>
      </c>
    </row>
    <row r="5407" spans="1:40" x14ac:dyDescent="0.25">
      <c r="A5407" t="str">
        <f>"20190312164416423"</f>
        <v>20190312164416423</v>
      </c>
      <c r="B5407" t="str">
        <f>"1552380256410811"</f>
        <v>1552380256410811</v>
      </c>
      <c r="C5407" t="s">
        <v>40</v>
      </c>
      <c r="D5407">
        <v>4.9122300000000001</v>
      </c>
      <c r="E5407">
        <v>0.51279410000000003</v>
      </c>
      <c r="F5407" t="s">
        <v>41</v>
      </c>
      <c r="G5407">
        <v>-187.9451</v>
      </c>
      <c r="H5407">
        <v>1.0545899999999999</v>
      </c>
      <c r="I5407">
        <v>24.86917</v>
      </c>
      <c r="J5407">
        <v>-187.9828</v>
      </c>
      <c r="K5407">
        <v>1.1090930000000001</v>
      </c>
      <c r="L5407">
        <v>24.53302</v>
      </c>
      <c r="M5407">
        <v>4.0171340000000003E-3</v>
      </c>
      <c r="N5407">
        <v>0</v>
      </c>
      <c r="O5407">
        <v>0.9999633</v>
      </c>
      <c r="P5407">
        <v>2.8086590000000002E-2</v>
      </c>
      <c r="Q5407">
        <v>0.13545550000000001</v>
      </c>
      <c r="R5407">
        <v>0.99038519999999997</v>
      </c>
      <c r="S5407">
        <v>0.15628049999999999</v>
      </c>
      <c r="T5407">
        <v>-0.2165658</v>
      </c>
      <c r="U5407">
        <v>3.0538940000000001</v>
      </c>
      <c r="V5407">
        <v>2.413935E-2</v>
      </c>
      <c r="W5407">
        <v>0.14294589999999999</v>
      </c>
      <c r="X5407">
        <v>0.98943610000000004</v>
      </c>
      <c r="Y5407">
        <v>4.6967179999999997E-2</v>
      </c>
      <c r="Z5407">
        <v>-7.0651149999999996E-2</v>
      </c>
      <c r="AA5407">
        <v>0.99639480000000002</v>
      </c>
      <c r="AB5407">
        <v>42</v>
      </c>
      <c r="AC5407">
        <v>3.7700000000000899E-2</v>
      </c>
      <c r="AD5407">
        <v>-5.45030000000001E-2</v>
      </c>
      <c r="AE5407">
        <v>0.33614999999999901</v>
      </c>
      <c r="AF5407">
        <v>3.5429461151703499E-2</v>
      </c>
      <c r="AG5407">
        <v>-5.45030000000001E-2</v>
      </c>
      <c r="AH5407">
        <v>0.327788537209529</v>
      </c>
      <c r="AI5407">
        <v>99.386789126772698</v>
      </c>
      <c r="AJ5407">
        <v>83.831058088114901</v>
      </c>
      <c r="AK5407">
        <v>0.33417233406202601</v>
      </c>
      <c r="AL5407">
        <v>81.781651298224901</v>
      </c>
      <c r="AM5407">
        <v>88.602427623703605</v>
      </c>
      <c r="AN5407">
        <v>1.0000000172642201</v>
      </c>
    </row>
    <row r="5408" spans="1:40" x14ac:dyDescent="0.25">
      <c r="A5408" t="str">
        <f>"20190312164416461"</f>
        <v>20190312164416461</v>
      </c>
      <c r="B5408" t="str">
        <f>"1552380256450827"</f>
        <v>1552380256450827</v>
      </c>
      <c r="C5408" t="s">
        <v>40</v>
      </c>
      <c r="D5408">
        <v>4.9085359999999998</v>
      </c>
      <c r="E5408">
        <v>0.5129975</v>
      </c>
      <c r="F5408" t="s">
        <v>41</v>
      </c>
      <c r="G5408">
        <v>-187.9273</v>
      </c>
      <c r="H5408">
        <v>1.033704</v>
      </c>
      <c r="I5408">
        <v>25.60295</v>
      </c>
      <c r="J5408">
        <v>-187.97980000000001</v>
      </c>
      <c r="K5408">
        <v>1.109073</v>
      </c>
      <c r="L5408">
        <v>25.261410000000001</v>
      </c>
      <c r="M5408">
        <v>4.2110359999999996E-3</v>
      </c>
      <c r="N5408">
        <v>0</v>
      </c>
      <c r="O5408">
        <v>0.99996240000000003</v>
      </c>
      <c r="P5408">
        <v>2.9540239999999999E-2</v>
      </c>
      <c r="Q5408">
        <v>0.1352565</v>
      </c>
      <c r="R5408">
        <v>0.99037019999999998</v>
      </c>
      <c r="S5408">
        <v>0.15795899999999999</v>
      </c>
      <c r="T5408">
        <v>-0.215197</v>
      </c>
      <c r="U5408">
        <v>3.0540769999999999</v>
      </c>
      <c r="V5408">
        <v>2.5407840000000001E-2</v>
      </c>
      <c r="W5408">
        <v>0.14275570000000001</v>
      </c>
      <c r="X5408">
        <v>0.98943179999999997</v>
      </c>
      <c r="Y5408">
        <v>4.7318239999999998E-2</v>
      </c>
      <c r="Z5408">
        <v>-7.0200960000000007E-2</v>
      </c>
      <c r="AA5408">
        <v>0.99641000000000002</v>
      </c>
      <c r="AB5408">
        <v>42</v>
      </c>
      <c r="AC5408">
        <v>5.2500000000008998E-2</v>
      </c>
      <c r="AD5408">
        <v>-7.5368999999999797E-2</v>
      </c>
      <c r="AE5408">
        <v>0.34153999999999801</v>
      </c>
      <c r="AF5408">
        <v>4.8742434919575403E-2</v>
      </c>
      <c r="AG5408">
        <v>-7.5368999999999797E-2</v>
      </c>
      <c r="AH5408">
        <v>0.32623795804066802</v>
      </c>
      <c r="AI5408">
        <v>102.870483874068</v>
      </c>
      <c r="AJ5408">
        <v>81.502431613999903</v>
      </c>
      <c r="AK5408">
        <v>0.33836003958717398</v>
      </c>
      <c r="AL5408">
        <v>81.792661879460894</v>
      </c>
      <c r="AM5408">
        <v>88.529012168719902</v>
      </c>
      <c r="AN5408">
        <v>1.0000000175335899</v>
      </c>
    </row>
    <row r="5409" spans="1:40" x14ac:dyDescent="0.25">
      <c r="A5409" t="str">
        <f>"20190312164416484"</f>
        <v>20190312164416484</v>
      </c>
      <c r="B5409" t="str">
        <f>"1552380256480107"</f>
        <v>1552380256480107</v>
      </c>
      <c r="C5409" t="s">
        <v>40</v>
      </c>
      <c r="D5409">
        <v>4.8726430000000001</v>
      </c>
      <c r="E5409">
        <v>0.52116600000000002</v>
      </c>
      <c r="F5409" t="s">
        <v>41</v>
      </c>
      <c r="G5409">
        <v>-187.92080000000001</v>
      </c>
      <c r="H5409">
        <v>1.031247</v>
      </c>
      <c r="I5409">
        <v>26.360009999999999</v>
      </c>
      <c r="J5409">
        <v>-187.97790000000001</v>
      </c>
      <c r="K5409">
        <v>1.1090610000000001</v>
      </c>
      <c r="L5409">
        <v>25.682099999999998</v>
      </c>
      <c r="M5409">
        <v>4.324647E-3</v>
      </c>
      <c r="N5409">
        <v>0</v>
      </c>
      <c r="O5409">
        <v>0.99996189999999996</v>
      </c>
      <c r="P5409">
        <v>3.040431E-2</v>
      </c>
      <c r="Q5409">
        <v>0.13477910000000001</v>
      </c>
      <c r="R5409">
        <v>0.99040910000000004</v>
      </c>
      <c r="S5409">
        <v>0.1635132</v>
      </c>
      <c r="T5409">
        <v>-0.2163389</v>
      </c>
      <c r="U5409">
        <v>3.053833</v>
      </c>
      <c r="V5409">
        <v>2.6162000000000001E-2</v>
      </c>
      <c r="W5409">
        <v>0.1422842</v>
      </c>
      <c r="X5409">
        <v>0.98948000000000003</v>
      </c>
      <c r="Y5409">
        <v>4.901461E-2</v>
      </c>
      <c r="Z5409">
        <v>-7.0570919999999995E-2</v>
      </c>
      <c r="AA5409">
        <v>0.99630180000000002</v>
      </c>
      <c r="AB5409">
        <v>42</v>
      </c>
      <c r="AC5409">
        <v>5.7099999999991199E-2</v>
      </c>
      <c r="AD5409">
        <v>-7.7813999999999994E-2</v>
      </c>
      <c r="AE5409">
        <v>0.67791000000000001</v>
      </c>
      <c r="AF5409">
        <v>5.3468146516873802E-2</v>
      </c>
      <c r="AG5409">
        <v>-7.7813999999999994E-2</v>
      </c>
      <c r="AH5409">
        <v>0.66939306052605996</v>
      </c>
      <c r="AI5409">
        <v>96.609757899375396</v>
      </c>
      <c r="AJ5409">
        <v>85.433163275289502</v>
      </c>
      <c r="AK5409">
        <v>0.67601843966595798</v>
      </c>
      <c r="AL5409">
        <v>81.819954956340595</v>
      </c>
      <c r="AM5409">
        <v>88.485443840405793</v>
      </c>
      <c r="AN5409">
        <v>0.99999995710681899</v>
      </c>
    </row>
    <row r="5410" spans="1:40" x14ac:dyDescent="0.25">
      <c r="A5410" t="str">
        <f>"20190312164416506"</f>
        <v>20190312164416506</v>
      </c>
      <c r="B5410" t="str">
        <f>"1552380256500604"</f>
        <v>1552380256500604</v>
      </c>
      <c r="C5410" t="s">
        <v>40</v>
      </c>
      <c r="D5410">
        <v>4.8301189999999998</v>
      </c>
      <c r="E5410">
        <v>0.51819609999999905</v>
      </c>
      <c r="F5410" t="s">
        <v>41</v>
      </c>
      <c r="G5410">
        <v>-187.8965</v>
      </c>
      <c r="H5410">
        <v>1.047086</v>
      </c>
      <c r="I5410">
        <v>26.747789999999998</v>
      </c>
      <c r="J5410">
        <v>-187.9759</v>
      </c>
      <c r="K5410">
        <v>1.1090519999999999</v>
      </c>
      <c r="L5410">
        <v>26.118230000000001</v>
      </c>
      <c r="M5410">
        <v>4.4429539999999998E-3</v>
      </c>
      <c r="N5410">
        <v>0</v>
      </c>
      <c r="O5410">
        <v>0.99996130000000005</v>
      </c>
      <c r="P5410">
        <v>3.109104E-2</v>
      </c>
      <c r="Q5410">
        <v>0.134985299999999</v>
      </c>
      <c r="R5410">
        <v>0.99035969999999995</v>
      </c>
      <c r="S5410">
        <v>0.23258970000000001</v>
      </c>
      <c r="T5410">
        <v>-0.17714289999999999</v>
      </c>
      <c r="U5410">
        <v>3.0460210000000001</v>
      </c>
      <c r="V5410">
        <v>2.6734299999999999E-2</v>
      </c>
      <c r="W5410">
        <v>0.14249700000000001</v>
      </c>
      <c r="X5410">
        <v>0.98943409999999998</v>
      </c>
      <c r="Y5410">
        <v>7.1578269999999999E-2</v>
      </c>
      <c r="Z5410">
        <v>-5.7898110000000003E-2</v>
      </c>
      <c r="AA5410">
        <v>0.9957532</v>
      </c>
      <c r="AB5410">
        <v>42</v>
      </c>
      <c r="AC5410">
        <v>7.9399999999992504E-2</v>
      </c>
      <c r="AD5410">
        <v>-6.1966000000000097E-2</v>
      </c>
      <c r="AE5410">
        <v>0.62956000000000101</v>
      </c>
      <c r="AF5410">
        <v>7.5878431445131095E-2</v>
      </c>
      <c r="AG5410">
        <v>-6.1966000000000097E-2</v>
      </c>
      <c r="AH5410">
        <v>0.62395634337302697</v>
      </c>
      <c r="AI5410">
        <v>95.6303190944612</v>
      </c>
      <c r="AJ5410">
        <v>83.066388655450396</v>
      </c>
      <c r="AK5410">
        <v>0.631600221619667</v>
      </c>
      <c r="AL5410">
        <v>81.807637072169399</v>
      </c>
      <c r="AM5410">
        <v>88.452256742176004</v>
      </c>
      <c r="AN5410">
        <v>0.99999997802414897</v>
      </c>
    </row>
    <row r="5411" spans="1:40" x14ac:dyDescent="0.25">
      <c r="A5411" t="str">
        <f>"20190312164416528"</f>
        <v>20190312164416528</v>
      </c>
      <c r="B5411" t="str">
        <f>"1552380256520124"</f>
        <v>1552380256520124</v>
      </c>
      <c r="C5411" t="s">
        <v>40</v>
      </c>
      <c r="D5411">
        <v>4.7734439999999996</v>
      </c>
      <c r="E5411">
        <v>0.51667619999999903</v>
      </c>
      <c r="F5411" t="s">
        <v>41</v>
      </c>
      <c r="G5411">
        <v>-187.9066</v>
      </c>
      <c r="H5411">
        <v>1.0415179999999999</v>
      </c>
      <c r="I5411">
        <v>27.12604</v>
      </c>
      <c r="J5411">
        <v>-187.97399999999999</v>
      </c>
      <c r="K5411">
        <v>1.1090439999999999</v>
      </c>
      <c r="L5411">
        <v>26.544920000000001</v>
      </c>
      <c r="M5411">
        <v>4.5589960000000001E-3</v>
      </c>
      <c r="N5411">
        <v>0</v>
      </c>
      <c r="O5411">
        <v>0.99996070000000004</v>
      </c>
      <c r="P5411">
        <v>3.2206489999999997E-2</v>
      </c>
      <c r="Q5411">
        <v>0.1349322</v>
      </c>
      <c r="R5411">
        <v>0.99033130000000003</v>
      </c>
      <c r="S5411">
        <v>0.20938109999999999</v>
      </c>
      <c r="T5411">
        <v>-0.20441899999999999</v>
      </c>
      <c r="U5411">
        <v>3.0504760000000002</v>
      </c>
      <c r="V5411">
        <v>2.7736859999999999E-2</v>
      </c>
      <c r="W5411">
        <v>0.1424503</v>
      </c>
      <c r="X5411">
        <v>0.98941330000000005</v>
      </c>
      <c r="Y5411">
        <v>6.3776020000000003E-2</v>
      </c>
      <c r="Z5411">
        <v>-6.6714990000000002E-2</v>
      </c>
      <c r="AA5411">
        <v>0.99573179999999994</v>
      </c>
      <c r="AB5411">
        <v>43</v>
      </c>
      <c r="AC5411">
        <v>6.7400000000020499E-2</v>
      </c>
      <c r="AD5411">
        <v>-6.7526000000000197E-2</v>
      </c>
      <c r="AE5411">
        <v>0.58112000000000197</v>
      </c>
      <c r="AF5411">
        <v>6.3898568406571696E-2</v>
      </c>
      <c r="AG5411">
        <v>-6.7526000000000197E-2</v>
      </c>
      <c r="AH5411">
        <v>0.57377672728079698</v>
      </c>
      <c r="AI5411">
        <v>96.671221869761396</v>
      </c>
      <c r="AJ5411">
        <v>83.645446870289902</v>
      </c>
      <c r="AK5411">
        <v>0.58125942615106996</v>
      </c>
      <c r="AL5411">
        <v>81.810340954305104</v>
      </c>
      <c r="AM5411">
        <v>88.394211094345394</v>
      </c>
      <c r="AN5411">
        <v>1.0000000497948101</v>
      </c>
    </row>
    <row r="5412" spans="1:40" x14ac:dyDescent="0.25">
      <c r="A5412" t="str">
        <f>"20190312164416550"</f>
        <v>20190312164416550</v>
      </c>
      <c r="B5412" t="str">
        <f>"1552380256540619"</f>
        <v>1552380256540619</v>
      </c>
      <c r="C5412" t="s">
        <v>40</v>
      </c>
      <c r="D5412">
        <v>4.9484659999999998</v>
      </c>
      <c r="E5412">
        <v>0.51623699999999995</v>
      </c>
      <c r="F5412" t="s">
        <v>41</v>
      </c>
      <c r="G5412">
        <v>-187.9109</v>
      </c>
      <c r="H5412">
        <v>1.039803</v>
      </c>
      <c r="I5412">
        <v>27.506879999999999</v>
      </c>
      <c r="J5412">
        <v>-187.97200000000001</v>
      </c>
      <c r="K5412">
        <v>1.1090260000000001</v>
      </c>
      <c r="L5412">
        <v>26.962250000000001</v>
      </c>
      <c r="M5412">
        <v>4.6726759999999997E-3</v>
      </c>
      <c r="N5412">
        <v>0</v>
      </c>
      <c r="O5412">
        <v>0.99996010000000002</v>
      </c>
      <c r="P5412">
        <v>3.2550849999999999E-2</v>
      </c>
      <c r="Q5412">
        <v>0.13440150000000001</v>
      </c>
      <c r="R5412">
        <v>0.99039219999999895</v>
      </c>
      <c r="S5412">
        <v>0.19999690000000001</v>
      </c>
      <c r="T5412">
        <v>-0.21973280000000001</v>
      </c>
      <c r="U5412">
        <v>3.0527340000000001</v>
      </c>
      <c r="V5412">
        <v>2.796972E-2</v>
      </c>
      <c r="W5412">
        <v>0.14192689999999999</v>
      </c>
      <c r="X5412">
        <v>0.98948190000000003</v>
      </c>
      <c r="Y5412">
        <v>6.0542350000000002E-2</v>
      </c>
      <c r="Z5412">
        <v>-7.1649829999999998E-2</v>
      </c>
      <c r="AA5412">
        <v>0.99559070000000005</v>
      </c>
      <c r="AB5412">
        <v>43</v>
      </c>
      <c r="AC5412">
        <v>6.1100000000010299E-2</v>
      </c>
      <c r="AD5412">
        <v>-6.9223000000000007E-2</v>
      </c>
      <c r="AE5412">
        <v>0.54462999999999795</v>
      </c>
      <c r="AF5412">
        <v>5.7634880565874097E-2</v>
      </c>
      <c r="AG5412">
        <v>-6.9223000000000007E-2</v>
      </c>
      <c r="AH5412">
        <v>0.53635266494594203</v>
      </c>
      <c r="AI5412">
        <v>97.312444293273998</v>
      </c>
      <c r="AJ5412">
        <v>83.866698837731604</v>
      </c>
      <c r="AK5412">
        <v>0.54386375534820897</v>
      </c>
      <c r="AL5412">
        <v>81.840636899809496</v>
      </c>
      <c r="AM5412">
        <v>88.380849321751896</v>
      </c>
      <c r="AN5412">
        <v>0.99999999030404896</v>
      </c>
    </row>
    <row r="5413" spans="1:40" x14ac:dyDescent="0.25">
      <c r="A5413" t="str">
        <f>"20190312164416574"</f>
        <v>20190312164416574</v>
      </c>
      <c r="B5413" t="str">
        <f>"1552380256570875"</f>
        <v>1552380256570875</v>
      </c>
      <c r="C5413" t="s">
        <v>40</v>
      </c>
      <c r="D5413">
        <v>4.8068160000000004</v>
      </c>
      <c r="E5413">
        <v>0.51592070000000001</v>
      </c>
      <c r="F5413" t="s">
        <v>41</v>
      </c>
      <c r="G5413">
        <v>-187.9118</v>
      </c>
      <c r="H5413">
        <v>1.0418620000000001</v>
      </c>
      <c r="I5413">
        <v>27.890250000000002</v>
      </c>
      <c r="J5413">
        <v>-187.96979999999999</v>
      </c>
      <c r="K5413">
        <v>1.1090169999999999</v>
      </c>
      <c r="L5413">
        <v>27.412780000000001</v>
      </c>
      <c r="M5413">
        <v>4.7956880000000002E-3</v>
      </c>
      <c r="N5413">
        <v>0</v>
      </c>
      <c r="O5413">
        <v>0.9999595</v>
      </c>
      <c r="P5413">
        <v>3.3001290000000003E-2</v>
      </c>
      <c r="Q5413">
        <v>0.13410649999999999</v>
      </c>
      <c r="R5413">
        <v>0.9904172</v>
      </c>
      <c r="S5413">
        <v>0.19772339999999999</v>
      </c>
      <c r="T5413">
        <v>-0.22093180000000001</v>
      </c>
      <c r="U5413">
        <v>3.0525820000000001</v>
      </c>
      <c r="V5413">
        <v>2.8299419999999999E-2</v>
      </c>
      <c r="W5413">
        <v>0.1416404</v>
      </c>
      <c r="X5413">
        <v>0.98951359999999999</v>
      </c>
      <c r="Y5413">
        <v>5.9682560000000003E-2</v>
      </c>
      <c r="Z5413">
        <v>-7.2045899999999996E-2</v>
      </c>
      <c r="AA5413">
        <v>0.99561409999999995</v>
      </c>
      <c r="AB5413">
        <v>43</v>
      </c>
      <c r="AC5413">
        <v>5.7999999999992703E-2</v>
      </c>
      <c r="AD5413">
        <v>-6.7154999999999798E-2</v>
      </c>
      <c r="AE5413">
        <v>0.477470000000003</v>
      </c>
      <c r="AF5413">
        <v>5.4644229897156303E-2</v>
      </c>
      <c r="AG5413">
        <v>-6.7154999999999798E-2</v>
      </c>
      <c r="AH5413">
        <v>0.468607588466465</v>
      </c>
      <c r="AI5413">
        <v>98.101232754877401</v>
      </c>
      <c r="AJ5413">
        <v>83.348790319804493</v>
      </c>
      <c r="AK5413">
        <v>0.47653841173027101</v>
      </c>
      <c r="AL5413">
        <v>81.857219846046505</v>
      </c>
      <c r="AM5413">
        <v>88.361825975816899</v>
      </c>
      <c r="AN5413">
        <v>1.0000000123347199</v>
      </c>
    </row>
    <row r="5414" spans="1:40" x14ac:dyDescent="0.25">
      <c r="A5414" t="str">
        <f>"20190312164416617"</f>
        <v>20190312164416617</v>
      </c>
      <c r="B5414" t="str">
        <f>"1552380256610892"</f>
        <v>1552380256610892</v>
      </c>
      <c r="C5414" t="s">
        <v>40</v>
      </c>
      <c r="D5414">
        <v>4.9691839999999896</v>
      </c>
      <c r="E5414">
        <v>0.51454319999999998</v>
      </c>
      <c r="F5414" t="s">
        <v>41</v>
      </c>
      <c r="G5414">
        <v>-187.91419999999999</v>
      </c>
      <c r="H5414">
        <v>1.045655</v>
      </c>
      <c r="I5414">
        <v>28.275179999999999</v>
      </c>
      <c r="J5414">
        <v>-187.96559999999999</v>
      </c>
      <c r="K5414">
        <v>1.109011</v>
      </c>
      <c r="L5414">
        <v>28.2515</v>
      </c>
      <c r="M5414">
        <v>5.024766E-3</v>
      </c>
      <c r="N5414">
        <v>0</v>
      </c>
      <c r="O5414">
        <v>0.99995820000000002</v>
      </c>
      <c r="P5414">
        <v>3.361521E-2</v>
      </c>
      <c r="Q5414">
        <v>0.13458149999999999</v>
      </c>
      <c r="R5414">
        <v>0.9903322</v>
      </c>
      <c r="S5414">
        <v>0.1965942</v>
      </c>
      <c r="T5414">
        <v>-0.22430040000000001</v>
      </c>
      <c r="U5414">
        <v>3.0528559999999998</v>
      </c>
      <c r="V5414">
        <v>2.868888E-2</v>
      </c>
      <c r="W5414">
        <v>0.14212939999999999</v>
      </c>
      <c r="X5414">
        <v>0.98943230000000004</v>
      </c>
      <c r="Y5414">
        <v>5.9076280000000002E-2</v>
      </c>
      <c r="Z5414">
        <v>-7.3134089999999999E-2</v>
      </c>
      <c r="AA5414">
        <v>0.99557090000000004</v>
      </c>
      <c r="AB5414">
        <v>43</v>
      </c>
      <c r="AC5414">
        <v>5.1400000000000903E-2</v>
      </c>
      <c r="AD5414">
        <v>-6.3355999999999899E-2</v>
      </c>
      <c r="AE5414">
        <v>2.3679999999998799E-2</v>
      </c>
      <c r="AF5414">
        <v>2.2757780424552398E-2</v>
      </c>
      <c r="AG5414">
        <v>-6.3355999999999899E-2</v>
      </c>
      <c r="AH5414">
        <v>1.06234690184195E-2</v>
      </c>
      <c r="AI5414">
        <v>158.375914764876</v>
      </c>
      <c r="AJ5414">
        <v>25.0234498626908</v>
      </c>
      <c r="AK5414">
        <v>6.8152457034485997E-2</v>
      </c>
      <c r="AL5414">
        <v>81.828916150210006</v>
      </c>
      <c r="AM5414">
        <v>88.339157387185395</v>
      </c>
      <c r="AN5414">
        <v>1.0000000472316499</v>
      </c>
    </row>
    <row r="5415" spans="1:40" x14ac:dyDescent="0.25">
      <c r="A5415" t="str">
        <f>"20190312164416639"</f>
        <v>20190312164416639</v>
      </c>
      <c r="B5415" t="str">
        <f>"1552380256630411"</f>
        <v>1552380256630411</v>
      </c>
      <c r="C5415" t="s">
        <v>40</v>
      </c>
      <c r="D5415">
        <v>4.9859309999999999</v>
      </c>
      <c r="E5415">
        <v>0.51457269999999999</v>
      </c>
      <c r="F5415" t="s">
        <v>41</v>
      </c>
      <c r="G5415">
        <v>-187.91659999999999</v>
      </c>
      <c r="H5415">
        <v>1.05074</v>
      </c>
      <c r="I5415">
        <v>29.04796</v>
      </c>
      <c r="J5415">
        <v>-187.96340000000001</v>
      </c>
      <c r="K5415">
        <v>1.109013</v>
      </c>
      <c r="L5415">
        <v>28.667570000000001</v>
      </c>
      <c r="M5415">
        <v>5.1385060000000001E-3</v>
      </c>
      <c r="N5415">
        <v>0</v>
      </c>
      <c r="O5415">
        <v>0.9999576</v>
      </c>
      <c r="P5415">
        <v>3.3784809999999998E-2</v>
      </c>
      <c r="Q5415">
        <v>0.1349629</v>
      </c>
      <c r="R5415">
        <v>0.99027449999999995</v>
      </c>
      <c r="S5415">
        <v>0.1878967</v>
      </c>
      <c r="T5415">
        <v>-0.22338089999999999</v>
      </c>
      <c r="U5415">
        <v>3.0532530000000002</v>
      </c>
      <c r="V5415">
        <v>2.874693E-2</v>
      </c>
      <c r="W5415">
        <v>0.1425178</v>
      </c>
      <c r="X5415">
        <v>0.98937470000000005</v>
      </c>
      <c r="Y5415">
        <v>5.6130729999999997E-2</v>
      </c>
      <c r="Z5415">
        <v>-7.2839109999999999E-2</v>
      </c>
      <c r="AA5415">
        <v>0.99576290000000001</v>
      </c>
      <c r="AB5415">
        <v>43</v>
      </c>
      <c r="AC5415">
        <v>4.6800000000018799E-2</v>
      </c>
      <c r="AD5415">
        <v>-5.8272999999999998E-2</v>
      </c>
      <c r="AE5415">
        <v>0.38038999999999401</v>
      </c>
      <c r="AF5415">
        <v>4.38313905652159E-2</v>
      </c>
      <c r="AG5415">
        <v>-5.8272999999999998E-2</v>
      </c>
      <c r="AH5415">
        <v>0.37202495919370798</v>
      </c>
      <c r="AI5415">
        <v>98.842140021831796</v>
      </c>
      <c r="AJ5415">
        <v>83.280479504122596</v>
      </c>
      <c r="AK5415">
        <v>0.37910355259606898</v>
      </c>
      <c r="AL5415">
        <v>81.806433238460002</v>
      </c>
      <c r="AM5415">
        <v>88.335701839912005</v>
      </c>
      <c r="AN5415">
        <v>1.0000000031506699</v>
      </c>
    </row>
    <row r="5416" spans="1:40" x14ac:dyDescent="0.25">
      <c r="A5416" t="str">
        <f>"20190312164416662"</f>
        <v>20190312164416662</v>
      </c>
      <c r="B5416" t="str">
        <f>"1552380256650907"</f>
        <v>1552380256650907</v>
      </c>
      <c r="C5416" t="s">
        <v>40</v>
      </c>
      <c r="D5416">
        <v>4.9887259999999998</v>
      </c>
      <c r="E5416">
        <v>0.51513540000000002</v>
      </c>
      <c r="F5416" t="s">
        <v>41</v>
      </c>
      <c r="G5416">
        <v>-187.91579999999999</v>
      </c>
      <c r="H5416">
        <v>1.0530949999999999</v>
      </c>
      <c r="I5416">
        <v>29.435310000000001</v>
      </c>
      <c r="J5416">
        <v>-187.96109999999999</v>
      </c>
      <c r="K5416">
        <v>1.1090070000000001</v>
      </c>
      <c r="L5416">
        <v>29.098479999999999</v>
      </c>
      <c r="M5416">
        <v>5.2561319999999898E-3</v>
      </c>
      <c r="N5416">
        <v>0</v>
      </c>
      <c r="O5416">
        <v>0.99995690000000004</v>
      </c>
      <c r="P5416">
        <v>3.4217659999999997E-2</v>
      </c>
      <c r="Q5416">
        <v>0.13511519999999999</v>
      </c>
      <c r="R5416">
        <v>0.99023879999999997</v>
      </c>
      <c r="S5416">
        <v>0.18818660000000001</v>
      </c>
      <c r="T5416">
        <v>-0.2223995</v>
      </c>
      <c r="U5416">
        <v>3.0533450000000002</v>
      </c>
      <c r="V5416">
        <v>2.906415E-2</v>
      </c>
      <c r="W5416">
        <v>0.14267829999999901</v>
      </c>
      <c r="X5416">
        <v>0.98934230000000001</v>
      </c>
      <c r="Y5416">
        <v>5.6107089999999998E-2</v>
      </c>
      <c r="Z5416">
        <v>-7.2518390000000002E-2</v>
      </c>
      <c r="AA5416">
        <v>0.99578770000000005</v>
      </c>
      <c r="AB5416">
        <v>43</v>
      </c>
      <c r="AC5416">
        <v>4.5299999999997398E-2</v>
      </c>
      <c r="AD5416">
        <v>-5.5911999999999899E-2</v>
      </c>
      <c r="AE5416">
        <v>0.33682999999999902</v>
      </c>
      <c r="AF5416">
        <v>4.2381846745125198E-2</v>
      </c>
      <c r="AG5416">
        <v>-5.5911999999999899E-2</v>
      </c>
      <c r="AH5416">
        <v>0.32818132217269702</v>
      </c>
      <c r="AI5416">
        <v>99.590460681242604</v>
      </c>
      <c r="AJ5416">
        <v>82.641460945223798</v>
      </c>
      <c r="AK5416">
        <v>0.33559700967164002</v>
      </c>
      <c r="AL5416">
        <v>81.797142328799694</v>
      </c>
      <c r="AM5416">
        <v>88.317291873845093</v>
      </c>
      <c r="AN5416">
        <v>1.0000000043377</v>
      </c>
    </row>
    <row r="5417" spans="1:40" x14ac:dyDescent="0.25">
      <c r="A5417" t="str">
        <f>"20190312164416685"</f>
        <v>20190312164416685</v>
      </c>
      <c r="B5417" t="str">
        <f>"1552380256680187"</f>
        <v>1552380256680187</v>
      </c>
      <c r="C5417" t="s">
        <v>40</v>
      </c>
      <c r="D5417">
        <v>4.9405320000000001</v>
      </c>
      <c r="E5417">
        <v>0.51527049999999996</v>
      </c>
      <c r="F5417" t="s">
        <v>41</v>
      </c>
      <c r="G5417">
        <v>-187.8914</v>
      </c>
      <c r="H5417">
        <v>1.0309330000000001</v>
      </c>
      <c r="I5417">
        <v>30.19369</v>
      </c>
      <c r="J5417">
        <v>-187.95869999999999</v>
      </c>
      <c r="K5417">
        <v>1.1090089999999999</v>
      </c>
      <c r="L5417">
        <v>29.54242</v>
      </c>
      <c r="M5417">
        <v>5.3776029999999999E-3</v>
      </c>
      <c r="N5417">
        <v>0</v>
      </c>
      <c r="O5417">
        <v>0.99995619999999996</v>
      </c>
      <c r="P5417">
        <v>3.470517E-2</v>
      </c>
      <c r="Q5417">
        <v>0.1348878</v>
      </c>
      <c r="R5417">
        <v>0.99025289999999999</v>
      </c>
      <c r="S5417">
        <v>0.193634</v>
      </c>
      <c r="T5417">
        <v>-0.21761759999999999</v>
      </c>
      <c r="U5417">
        <v>3.0525820000000001</v>
      </c>
      <c r="V5417">
        <v>2.9431659999999998E-2</v>
      </c>
      <c r="W5417">
        <v>0.1424588</v>
      </c>
      <c r="X5417">
        <v>0.98936310000000005</v>
      </c>
      <c r="Y5417">
        <v>5.7778099999999902E-2</v>
      </c>
      <c r="Z5417">
        <v>-7.0977349999999995E-2</v>
      </c>
      <c r="AA5417">
        <v>0.99580310000000005</v>
      </c>
      <c r="AB5417">
        <v>43</v>
      </c>
      <c r="AC5417">
        <v>6.7299999999988799E-2</v>
      </c>
      <c r="AD5417">
        <v>-7.8075999999999798E-2</v>
      </c>
      <c r="AE5417">
        <v>0.65127000000000301</v>
      </c>
      <c r="AF5417">
        <v>6.2902182768666506E-2</v>
      </c>
      <c r="AG5417">
        <v>-7.8075999999999798E-2</v>
      </c>
      <c r="AH5417">
        <v>0.64248634231081303</v>
      </c>
      <c r="AI5417">
        <v>96.896052703037995</v>
      </c>
      <c r="AJ5417">
        <v>84.408316638287999</v>
      </c>
      <c r="AK5417">
        <v>0.65026244427076496</v>
      </c>
      <c r="AL5417">
        <v>81.809848824663902</v>
      </c>
      <c r="AM5417">
        <v>88.296062655429395</v>
      </c>
      <c r="AN5417">
        <v>1.0000000379747001</v>
      </c>
    </row>
    <row r="5418" spans="1:40" x14ac:dyDescent="0.25">
      <c r="A5418" t="str">
        <f>"20190312164416706"</f>
        <v>20190312164416706</v>
      </c>
      <c r="B5418" t="str">
        <f>"1552380256700683"</f>
        <v>1552380256700683</v>
      </c>
      <c r="C5418" t="s">
        <v>40</v>
      </c>
      <c r="D5418">
        <v>4.9493539999999996</v>
      </c>
      <c r="E5418">
        <v>0.51522479999999904</v>
      </c>
      <c r="F5418" t="s">
        <v>41</v>
      </c>
      <c r="G5418">
        <v>-187.89160000000001</v>
      </c>
      <c r="H5418">
        <v>1.0347139999999999</v>
      </c>
      <c r="I5418">
        <v>30.582830000000001</v>
      </c>
      <c r="J5418">
        <v>-187.9564</v>
      </c>
      <c r="K5418">
        <v>1.109008</v>
      </c>
      <c r="L5418">
        <v>29.949310000000001</v>
      </c>
      <c r="M5418">
        <v>5.48914E-3</v>
      </c>
      <c r="N5418">
        <v>0</v>
      </c>
      <c r="O5418">
        <v>0.9999555</v>
      </c>
      <c r="P5418">
        <v>3.5235610000000001E-2</v>
      </c>
      <c r="Q5418">
        <v>0.135117299999999</v>
      </c>
      <c r="R5418">
        <v>0.9902029</v>
      </c>
      <c r="S5418">
        <v>0.1965027</v>
      </c>
      <c r="T5418">
        <v>-0.2179654</v>
      </c>
      <c r="U5418">
        <v>3.0523380000000002</v>
      </c>
      <c r="V5418">
        <v>2.985231E-2</v>
      </c>
      <c r="W5418">
        <v>0.14269570000000001</v>
      </c>
      <c r="X5418">
        <v>0.98931630000000004</v>
      </c>
      <c r="Y5418">
        <v>5.8603309999999999E-2</v>
      </c>
      <c r="Z5418">
        <v>-7.1091940000000006E-2</v>
      </c>
      <c r="AA5418">
        <v>0.99574669999999998</v>
      </c>
      <c r="AB5418">
        <v>43</v>
      </c>
      <c r="AC5418">
        <v>6.4799999999991004E-2</v>
      </c>
      <c r="AD5418">
        <v>-7.4293999999999999E-2</v>
      </c>
      <c r="AE5418">
        <v>0.63351999999999997</v>
      </c>
      <c r="AF5418">
        <v>6.04980467237324E-2</v>
      </c>
      <c r="AG5418">
        <v>-7.4293999999999999E-2</v>
      </c>
      <c r="AH5418">
        <v>0.62535491378001495</v>
      </c>
      <c r="AI5418">
        <v>96.743957941608599</v>
      </c>
      <c r="AJ5418">
        <v>84.474290774667196</v>
      </c>
      <c r="AK5418">
        <v>0.63265186341478297</v>
      </c>
      <c r="AL5418">
        <v>81.796134894082797</v>
      </c>
      <c r="AM5418">
        <v>88.271642205251993</v>
      </c>
      <c r="AN5418">
        <v>0.99999998232825704</v>
      </c>
    </row>
    <row r="5419" spans="1:40" x14ac:dyDescent="0.25">
      <c r="A5419" t="str">
        <f>"20190312164416729"</f>
        <v>20190312164416729</v>
      </c>
      <c r="B5419" t="str">
        <f>"1552380256720489"</f>
        <v>1552380256720489</v>
      </c>
      <c r="C5419" t="s">
        <v>40</v>
      </c>
      <c r="D5419">
        <v>5.0318930000000002</v>
      </c>
      <c r="E5419">
        <v>0.51511459999999998</v>
      </c>
      <c r="F5419" t="s">
        <v>41</v>
      </c>
      <c r="G5419">
        <v>-187.89</v>
      </c>
      <c r="H5419">
        <v>1.035952</v>
      </c>
      <c r="I5419">
        <v>30.971419999999998</v>
      </c>
      <c r="J5419">
        <v>-187.9538</v>
      </c>
      <c r="K5419">
        <v>1.1090040000000001</v>
      </c>
      <c r="L5419">
        <v>30.405270000000002</v>
      </c>
      <c r="M5419">
        <v>5.6141680000000001E-3</v>
      </c>
      <c r="N5419">
        <v>0</v>
      </c>
      <c r="O5419">
        <v>0.99995480000000003</v>
      </c>
      <c r="P5419">
        <v>3.5780489999999998E-2</v>
      </c>
      <c r="Q5419">
        <v>0.13529079999999999</v>
      </c>
      <c r="R5419">
        <v>0.99015969999999998</v>
      </c>
      <c r="S5419">
        <v>0.19747919999999999</v>
      </c>
      <c r="T5419">
        <v>-0.2181814</v>
      </c>
      <c r="U5419">
        <v>3.0524290000000001</v>
      </c>
      <c r="V5419">
        <v>3.0274010000000001E-2</v>
      </c>
      <c r="W5419">
        <v>0.14287739999999999</v>
      </c>
      <c r="X5419">
        <v>0.98927730000000003</v>
      </c>
      <c r="Y5419">
        <v>5.879351E-2</v>
      </c>
      <c r="Z5419">
        <v>-7.1158739999999998E-2</v>
      </c>
      <c r="AA5419">
        <v>0.99573080000000003</v>
      </c>
      <c r="AB5419">
        <v>43</v>
      </c>
      <c r="AC5419">
        <v>6.3800000000014706E-2</v>
      </c>
      <c r="AD5419">
        <v>-7.3052000000000103E-2</v>
      </c>
      <c r="AE5419">
        <v>0.56615000000000004</v>
      </c>
      <c r="AF5419">
        <v>5.9639916804550601E-2</v>
      </c>
      <c r="AG5419">
        <v>-7.3052000000000103E-2</v>
      </c>
      <c r="AH5419">
        <v>0.55733626486380095</v>
      </c>
      <c r="AI5419">
        <v>97.425471091602006</v>
      </c>
      <c r="AJ5419">
        <v>83.892087034227004</v>
      </c>
      <c r="AK5419">
        <v>0.56525854837656997</v>
      </c>
      <c r="AL5419">
        <v>81.785616799483705</v>
      </c>
      <c r="AM5419">
        <v>88.247173128242196</v>
      </c>
      <c r="AN5419">
        <v>1.0000000217037599</v>
      </c>
    </row>
    <row r="5420" spans="1:40" x14ac:dyDescent="0.25">
      <c r="A5420" t="str">
        <f>"20190312164416751"</f>
        <v>20190312164416751</v>
      </c>
      <c r="B5420" t="str">
        <f>"1552380256740985"</f>
        <v>1552380256740985</v>
      </c>
      <c r="C5420" t="s">
        <v>40</v>
      </c>
      <c r="D5420">
        <v>4.8226149999999999</v>
      </c>
      <c r="E5420">
        <v>0.51530920000000002</v>
      </c>
      <c r="F5420" t="s">
        <v>41</v>
      </c>
      <c r="G5420">
        <v>-187.89160000000001</v>
      </c>
      <c r="H5420">
        <v>1.040341</v>
      </c>
      <c r="I5420">
        <v>31.362279999999998</v>
      </c>
      <c r="J5420">
        <v>-187.9512</v>
      </c>
      <c r="K5420">
        <v>1.108994</v>
      </c>
      <c r="L5420">
        <v>30.841950000000001</v>
      </c>
      <c r="M5420">
        <v>5.733981E-3</v>
      </c>
      <c r="N5420">
        <v>0</v>
      </c>
      <c r="O5420">
        <v>0.99995400000000001</v>
      </c>
      <c r="P5420">
        <v>3.6295000000000001E-2</v>
      </c>
      <c r="Q5420">
        <v>0.13569679999999901</v>
      </c>
      <c r="R5420">
        <v>0.9900854</v>
      </c>
      <c r="S5420">
        <v>0.19784550000000001</v>
      </c>
      <c r="T5420">
        <v>-0.21901660000000001</v>
      </c>
      <c r="U5420">
        <v>3.0525820000000001</v>
      </c>
      <c r="V5420">
        <v>3.0670699999999999E-2</v>
      </c>
      <c r="W5420">
        <v>0.1432908</v>
      </c>
      <c r="X5420">
        <v>0.98920520000000001</v>
      </c>
      <c r="Y5420">
        <v>5.8788420000000001E-2</v>
      </c>
      <c r="Z5420">
        <v>-7.1425840000000004E-2</v>
      </c>
      <c r="AA5420">
        <v>0.99571189999999998</v>
      </c>
      <c r="AB5420">
        <v>43</v>
      </c>
      <c r="AC5420">
        <v>5.9599999999989002E-2</v>
      </c>
      <c r="AD5420">
        <v>-6.8653000000000006E-2</v>
      </c>
      <c r="AE5420">
        <v>0.52032999999999696</v>
      </c>
      <c r="AF5420">
        <v>5.5658978280814397E-2</v>
      </c>
      <c r="AG5420">
        <v>-6.8653000000000006E-2</v>
      </c>
      <c r="AH5420">
        <v>0.51186774874587504</v>
      </c>
      <c r="AI5420">
        <v>97.594826289496496</v>
      </c>
      <c r="AJ5420">
        <v>83.794209069016404</v>
      </c>
      <c r="AK5420">
        <v>0.51944176620525495</v>
      </c>
      <c r="AL5420">
        <v>81.761683766527099</v>
      </c>
      <c r="AM5420">
        <v>88.224090541607495</v>
      </c>
      <c r="AN5420">
        <v>0.999999936455083</v>
      </c>
    </row>
    <row r="5421" spans="1:40" x14ac:dyDescent="0.25">
      <c r="A5421" t="str">
        <f>"20190312164416774"</f>
        <v>20190312164416774</v>
      </c>
      <c r="B5421" t="str">
        <f>"1552380256770265"</f>
        <v>1552380256770265</v>
      </c>
      <c r="C5421" t="s">
        <v>40</v>
      </c>
      <c r="D5421">
        <v>4.9890049999999997</v>
      </c>
      <c r="E5421">
        <v>0.49904530000000002</v>
      </c>
      <c r="F5421" t="s">
        <v>41</v>
      </c>
      <c r="G5421">
        <v>-187.8913</v>
      </c>
      <c r="H5421">
        <v>1.043954</v>
      </c>
      <c r="I5421">
        <v>31.753440000000001</v>
      </c>
      <c r="J5421">
        <v>-187.9487</v>
      </c>
      <c r="K5421">
        <v>1.108984</v>
      </c>
      <c r="L5421">
        <v>31.265689999999999</v>
      </c>
      <c r="M5421">
        <v>5.8502199999999997E-3</v>
      </c>
      <c r="N5421">
        <v>0</v>
      </c>
      <c r="O5421">
        <v>0.99995330000000004</v>
      </c>
      <c r="P5421">
        <v>3.710513E-2</v>
      </c>
      <c r="Q5421">
        <v>0.1361868</v>
      </c>
      <c r="R5421">
        <v>0.98998810000000004</v>
      </c>
      <c r="S5421">
        <v>0.2002563</v>
      </c>
      <c r="T5421">
        <v>-0.2178272</v>
      </c>
      <c r="U5421">
        <v>3.0525509999999998</v>
      </c>
      <c r="V5421">
        <v>3.1366720000000001E-2</v>
      </c>
      <c r="W5421">
        <v>0.1437882</v>
      </c>
      <c r="X5421">
        <v>0.98911119999999997</v>
      </c>
      <c r="Y5421">
        <v>5.9457900000000001E-2</v>
      </c>
      <c r="Z5421">
        <v>-7.1037349999999999E-2</v>
      </c>
      <c r="AA5421">
        <v>0.99570000000000003</v>
      </c>
      <c r="AB5421">
        <v>43</v>
      </c>
      <c r="AC5421">
        <v>5.74000000000012E-2</v>
      </c>
      <c r="AD5421">
        <v>-6.5029999999999893E-2</v>
      </c>
      <c r="AE5421">
        <v>0.48774999999999802</v>
      </c>
      <c r="AF5421">
        <v>5.3605614081184902E-2</v>
      </c>
      <c r="AG5421">
        <v>-6.5029999999999893E-2</v>
      </c>
      <c r="AH5421">
        <v>0.47966739316185603</v>
      </c>
      <c r="AI5421">
        <v>97.673498904807403</v>
      </c>
      <c r="AJ5421">
        <v>83.623323253775396</v>
      </c>
      <c r="AK5421">
        <v>0.48701465154932599</v>
      </c>
      <c r="AL5421">
        <v>81.732886681794895</v>
      </c>
      <c r="AM5421">
        <v>88.183643467029498</v>
      </c>
      <c r="AN5421">
        <v>0.999999941774117</v>
      </c>
    </row>
    <row r="5422" spans="1:40" x14ac:dyDescent="0.25">
      <c r="A5422" t="str">
        <f>"20190312164416797"</f>
        <v>20190312164416797</v>
      </c>
      <c r="B5422" t="str">
        <f>"1552380256790760"</f>
        <v>1552380256790760</v>
      </c>
      <c r="C5422" t="s">
        <v>40</v>
      </c>
      <c r="D5422">
        <v>5.1253799999999998</v>
      </c>
      <c r="E5422">
        <v>0.49476249999999999</v>
      </c>
      <c r="F5422" t="s">
        <v>41</v>
      </c>
      <c r="G5422">
        <v>-187.9281</v>
      </c>
      <c r="H5422">
        <v>1.041725</v>
      </c>
      <c r="I5422">
        <v>32.144069999999999</v>
      </c>
      <c r="J5422">
        <v>-187.94589999999999</v>
      </c>
      <c r="K5422">
        <v>1.108976</v>
      </c>
      <c r="L5422">
        <v>31.732299999999999</v>
      </c>
      <c r="M5422">
        <v>5.9780869999999896E-3</v>
      </c>
      <c r="N5422">
        <v>0</v>
      </c>
      <c r="O5422">
        <v>0.99995250000000002</v>
      </c>
      <c r="P5422">
        <v>3.8034070000000003E-2</v>
      </c>
      <c r="Q5422">
        <v>0.13593420000000001</v>
      </c>
      <c r="R5422">
        <v>0.98998759999999997</v>
      </c>
      <c r="S5422">
        <v>7.157898E-2</v>
      </c>
      <c r="T5422">
        <v>-0.23429820000000001</v>
      </c>
      <c r="U5422">
        <v>3.0598749999999999</v>
      </c>
      <c r="V5422">
        <v>3.2169219999999998E-2</v>
      </c>
      <c r="W5422">
        <v>0.1435447</v>
      </c>
      <c r="X5422">
        <v>0.98912080000000002</v>
      </c>
      <c r="Y5422">
        <v>1.7341099999999901E-2</v>
      </c>
      <c r="Z5422">
        <v>-7.6329510000000003E-2</v>
      </c>
      <c r="AA5422">
        <v>0.99693189999999998</v>
      </c>
      <c r="AB5422">
        <v>44</v>
      </c>
      <c r="AC5422">
        <v>1.7799999999994001E-2</v>
      </c>
      <c r="AD5422">
        <v>-6.7250999999999894E-2</v>
      </c>
      <c r="AE5422">
        <v>0.41177000000000002</v>
      </c>
      <c r="AF5422">
        <v>1.4940239497343501E-2</v>
      </c>
      <c r="AG5422">
        <v>-6.7250999999999894E-2</v>
      </c>
      <c r="AH5422">
        <v>0.40118773436604199</v>
      </c>
      <c r="AI5422">
        <v>99.509531900411901</v>
      </c>
      <c r="AJ5422">
        <v>87.867289520143999</v>
      </c>
      <c r="AK5422">
        <v>0.40705958527345398</v>
      </c>
      <c r="AL5422">
        <v>81.746984507150302</v>
      </c>
      <c r="AM5422">
        <v>88.137223399175994</v>
      </c>
      <c r="AN5422">
        <v>0.99999994830306704</v>
      </c>
    </row>
    <row r="5423" spans="1:40" x14ac:dyDescent="0.25">
      <c r="A5423" t="str">
        <f>"20190312164416820"</f>
        <v>20190312164416820</v>
      </c>
      <c r="B5423" t="str">
        <f>"1552380256810281"</f>
        <v>1552380256810281</v>
      </c>
      <c r="C5423" t="s">
        <v>40</v>
      </c>
      <c r="D5423">
        <v>5.0839819999999998</v>
      </c>
      <c r="E5423">
        <v>0.491645</v>
      </c>
      <c r="F5423" t="s">
        <v>42</v>
      </c>
      <c r="G5423">
        <v>-187.7396</v>
      </c>
      <c r="H5423" s="1">
        <v>-3.6647420000000001E-6</v>
      </c>
      <c r="I5423">
        <v>47.240749999999998</v>
      </c>
      <c r="J5423">
        <v>-187.94309999999999</v>
      </c>
      <c r="K5423">
        <v>1.108973</v>
      </c>
      <c r="L5423">
        <v>32.1875</v>
      </c>
      <c r="M5423">
        <v>6.1028749999999998E-3</v>
      </c>
      <c r="N5423">
        <v>0</v>
      </c>
      <c r="O5423">
        <v>0.9999517</v>
      </c>
      <c r="P5423">
        <v>3.8801849999999999E-2</v>
      </c>
      <c r="Q5423">
        <v>0.13576549999999901</v>
      </c>
      <c r="R5423">
        <v>0.98998090000000005</v>
      </c>
      <c r="S5423">
        <v>4.0679930000000003E-2</v>
      </c>
      <c r="T5423">
        <v>-0.2187296</v>
      </c>
      <c r="U5423">
        <v>3.0588069999999998</v>
      </c>
      <c r="V5423">
        <v>3.2813620000000002E-2</v>
      </c>
      <c r="W5423">
        <v>0.14338519999999999</v>
      </c>
      <c r="X5423">
        <v>0.98912279999999997</v>
      </c>
      <c r="Y5423">
        <v>7.1614729999999998E-3</v>
      </c>
      <c r="Z5423">
        <v>-7.1319969999999996E-2</v>
      </c>
      <c r="AA5423">
        <v>0.99742779999999998</v>
      </c>
      <c r="AB5423">
        <v>44</v>
      </c>
      <c r="AC5423">
        <v>0.20349999999999099</v>
      </c>
      <c r="AD5423">
        <v>-1.1089766647419901</v>
      </c>
      <c r="AE5423">
        <v>15.053249999999901</v>
      </c>
      <c r="AF5423">
        <v>0.111022935247549</v>
      </c>
      <c r="AG5423">
        <v>-1.1089766647419901</v>
      </c>
      <c r="AH5423">
        <v>14.972963623814</v>
      </c>
      <c r="AI5423">
        <v>94.235777368826604</v>
      </c>
      <c r="AJ5423">
        <v>89.575165665092896</v>
      </c>
      <c r="AK5423">
        <v>15.014386268347801</v>
      </c>
      <c r="AL5423">
        <v>81.756218983003606</v>
      </c>
      <c r="AM5423">
        <v>88.099939980554595</v>
      </c>
      <c r="AN5423">
        <v>0.99999998135819101</v>
      </c>
    </row>
    <row r="5424" spans="1:40" x14ac:dyDescent="0.25">
      <c r="A5424" t="str">
        <f>"20190312164416842"</f>
        <v>20190312164416842</v>
      </c>
      <c r="B5424" t="str">
        <f>"1552380256830307"</f>
        <v>1552380256830307</v>
      </c>
      <c r="C5424" t="s">
        <v>40</v>
      </c>
      <c r="D5424">
        <v>4.915654</v>
      </c>
      <c r="E5424">
        <v>0.4903344</v>
      </c>
      <c r="F5424" t="s">
        <v>42</v>
      </c>
      <c r="G5424">
        <v>-187.84610000000001</v>
      </c>
      <c r="H5424" s="1">
        <v>-4.1049079999999997E-6</v>
      </c>
      <c r="I5424">
        <v>48.31082</v>
      </c>
      <c r="J5424">
        <v>-187.94049999999999</v>
      </c>
      <c r="K5424">
        <v>1.108978</v>
      </c>
      <c r="L5424">
        <v>32.593539999999997</v>
      </c>
      <c r="M5424">
        <v>6.2138940000000002E-3</v>
      </c>
      <c r="N5424">
        <v>0</v>
      </c>
      <c r="O5424">
        <v>0.99995089999999998</v>
      </c>
      <c r="P5424">
        <v>4.0096439999999997E-2</v>
      </c>
      <c r="Q5424">
        <v>0.13624040000000001</v>
      </c>
      <c r="R5424">
        <v>0.98986410000000002</v>
      </c>
      <c r="S5424">
        <v>1.8386840000000002E-2</v>
      </c>
      <c r="T5424">
        <v>-0.21036460000000001</v>
      </c>
      <c r="U5424">
        <v>3.0584720000000001</v>
      </c>
      <c r="V5424">
        <v>3.3999399999999999E-2</v>
      </c>
      <c r="W5424">
        <v>0.14386699999999999</v>
      </c>
      <c r="X5424">
        <v>0.98901280000000003</v>
      </c>
      <c r="Y5424">
        <v>-2.1658659999999999E-4</v>
      </c>
      <c r="Z5424">
        <v>-6.861623E-2</v>
      </c>
      <c r="AA5424">
        <v>0.9976431</v>
      </c>
      <c r="AB5424">
        <v>44</v>
      </c>
      <c r="AC5424">
        <v>9.4399999999978904E-2</v>
      </c>
      <c r="AD5424">
        <v>-1.108982104908</v>
      </c>
      <c r="AE5424">
        <v>15.717279999999899</v>
      </c>
      <c r="AF5424">
        <v>-3.2540448381144899E-3</v>
      </c>
      <c r="AG5424">
        <v>-1.108982104908</v>
      </c>
      <c r="AH5424">
        <v>15.6397044422897</v>
      </c>
      <c r="AI5424">
        <v>94.055947535288595</v>
      </c>
      <c r="AJ5424">
        <v>90.011921135310899</v>
      </c>
      <c r="AK5424">
        <v>15.6789734019798</v>
      </c>
      <c r="AL5424">
        <v>81.728324787720894</v>
      </c>
      <c r="AM5424">
        <v>88.031112147214102</v>
      </c>
      <c r="AN5424">
        <v>0.99999999572660003</v>
      </c>
    </row>
    <row r="5425" spans="1:40" x14ac:dyDescent="0.25">
      <c r="A5425" t="str">
        <f>"20190312164416864"</f>
        <v>20190312164416864</v>
      </c>
      <c r="B5425" t="str">
        <f>"1552380256860563"</f>
        <v>1552380256860563</v>
      </c>
      <c r="C5425" t="s">
        <v>40</v>
      </c>
      <c r="D5425">
        <v>4.9827700000000004</v>
      </c>
      <c r="E5425">
        <v>0.48920150000000001</v>
      </c>
      <c r="F5425" t="s">
        <v>41</v>
      </c>
      <c r="G5425">
        <v>-187.93620000000001</v>
      </c>
      <c r="H5425">
        <v>1.036489</v>
      </c>
      <c r="I5425">
        <v>33.709569999999999</v>
      </c>
      <c r="J5425">
        <v>-187.9376</v>
      </c>
      <c r="K5425">
        <v>1.108976</v>
      </c>
      <c r="L5425">
        <v>33.041989999999998</v>
      </c>
      <c r="M5425">
        <v>6.3366519999999999E-3</v>
      </c>
      <c r="N5425">
        <v>0</v>
      </c>
      <c r="O5425">
        <v>0.99995009999999995</v>
      </c>
      <c r="P5425">
        <v>4.1176949999999997E-2</v>
      </c>
      <c r="Q5425">
        <v>0.13646639999999999</v>
      </c>
      <c r="R5425">
        <v>0.98978849999999996</v>
      </c>
      <c r="S5425">
        <v>1.171875E-2</v>
      </c>
      <c r="T5425">
        <v>-0.1985999</v>
      </c>
      <c r="U5425">
        <v>3.0575869999999998</v>
      </c>
      <c r="V5425">
        <v>3.4959079999999997E-2</v>
      </c>
      <c r="W5425">
        <v>0.14410110000000001</v>
      </c>
      <c r="X5425">
        <v>0.98894519999999997</v>
      </c>
      <c r="Y5425">
        <v>-2.5122790000000001E-3</v>
      </c>
      <c r="Z5425">
        <v>-6.4814289999999997E-2</v>
      </c>
      <c r="AA5425">
        <v>0.99789419999999995</v>
      </c>
      <c r="AB5425">
        <v>44</v>
      </c>
      <c r="AC5425">
        <v>1.39999999998963E-3</v>
      </c>
      <c r="AD5425">
        <v>-7.2486999999999899E-2</v>
      </c>
      <c r="AE5425">
        <v>0.66757999999999296</v>
      </c>
      <c r="AF5425">
        <v>-2.7973952803288901E-3</v>
      </c>
      <c r="AG5425">
        <v>-7.2486999999999899E-2</v>
      </c>
      <c r="AH5425">
        <v>0.659796504696328</v>
      </c>
      <c r="AI5425">
        <v>96.269467627789695</v>
      </c>
      <c r="AJ5425">
        <v>90.242920327226201</v>
      </c>
      <c r="AK5425">
        <v>0.66377226380652998</v>
      </c>
      <c r="AL5425">
        <v>81.714770116664397</v>
      </c>
      <c r="AM5425">
        <v>87.975444911930893</v>
      </c>
      <c r="AN5425">
        <v>0.99999993644934604</v>
      </c>
    </row>
    <row r="5426" spans="1:40" x14ac:dyDescent="0.25">
      <c r="A5426" t="str">
        <f>"20190312164416884"</f>
        <v>20190312164416884</v>
      </c>
      <c r="B5426" t="str">
        <f>"1552380256880083"</f>
        <v>1552380256880083</v>
      </c>
      <c r="C5426" t="s">
        <v>40</v>
      </c>
      <c r="D5426">
        <v>4.8120180000000001</v>
      </c>
      <c r="E5426">
        <v>0.48876989999999998</v>
      </c>
      <c r="F5426" t="s">
        <v>41</v>
      </c>
      <c r="G5426">
        <v>-187.93539999999999</v>
      </c>
      <c r="H5426">
        <v>1.0427169999999999</v>
      </c>
      <c r="I5426">
        <v>34.111780000000003</v>
      </c>
      <c r="J5426">
        <v>-187.9349</v>
      </c>
      <c r="K5426">
        <v>1.1089770000000001</v>
      </c>
      <c r="L5426">
        <v>33.454529999999998</v>
      </c>
      <c r="M5426">
        <v>6.4494009999999996E-3</v>
      </c>
      <c r="N5426">
        <v>0</v>
      </c>
      <c r="O5426">
        <v>0.99994930000000004</v>
      </c>
      <c r="P5426">
        <v>4.1758209999999997E-2</v>
      </c>
      <c r="Q5426">
        <v>0.13693329999999901</v>
      </c>
      <c r="R5426">
        <v>0.98969969999999996</v>
      </c>
      <c r="S5426">
        <v>5.7373049999999998E-3</v>
      </c>
      <c r="T5426">
        <v>-0.1893338</v>
      </c>
      <c r="U5426">
        <v>3.0568240000000002</v>
      </c>
      <c r="V5426">
        <v>3.5429599999999999E-2</v>
      </c>
      <c r="W5426">
        <v>0.144574799999999</v>
      </c>
      <c r="X5426">
        <v>0.98885940000000006</v>
      </c>
      <c r="Y5426">
        <v>-4.57633E-3</v>
      </c>
      <c r="Z5426">
        <v>-6.181731E-2</v>
      </c>
      <c r="AA5426">
        <v>0.99807699999999999</v>
      </c>
      <c r="AB5426">
        <v>44</v>
      </c>
      <c r="AC5426">
        <v>-4.9999999998817603E-4</v>
      </c>
      <c r="AD5426">
        <v>-6.6259999999999902E-2</v>
      </c>
      <c r="AE5426">
        <v>0.657249999999997</v>
      </c>
      <c r="AF5426">
        <v>-4.6913052852665402E-3</v>
      </c>
      <c r="AG5426">
        <v>-6.6259999999999902E-2</v>
      </c>
      <c r="AH5426">
        <v>0.65062055164650201</v>
      </c>
      <c r="AI5426">
        <v>95.814874306396007</v>
      </c>
      <c r="AJ5426">
        <v>90.413124569188795</v>
      </c>
      <c r="AK5426">
        <v>0.65400267443648796</v>
      </c>
      <c r="AL5426">
        <v>81.687342596993105</v>
      </c>
      <c r="AM5426">
        <v>87.948041353666596</v>
      </c>
      <c r="AN5426">
        <v>1.0000000211597699</v>
      </c>
    </row>
    <row r="5427" spans="1:40" x14ac:dyDescent="0.25">
      <c r="A5427" t="str">
        <f>"20190312164416907"</f>
        <v>20190312164416907</v>
      </c>
      <c r="B5427" t="str">
        <f>"1552380256900579"</f>
        <v>1552380256900579</v>
      </c>
      <c r="C5427" t="s">
        <v>40</v>
      </c>
      <c r="D5427">
        <v>4.7933240000000001</v>
      </c>
      <c r="E5427">
        <v>0.48842239999999998</v>
      </c>
      <c r="F5427" t="s">
        <v>42</v>
      </c>
      <c r="G5427">
        <v>-187.90379999999999</v>
      </c>
      <c r="H5427" s="1">
        <v>-1.3368320000000001E-6</v>
      </c>
      <c r="I5427">
        <v>51.882199999999997</v>
      </c>
      <c r="J5427">
        <v>-187.93190000000001</v>
      </c>
      <c r="K5427">
        <v>1.1089690000000001</v>
      </c>
      <c r="L5427">
        <v>33.897370000000002</v>
      </c>
      <c r="M5427">
        <v>6.570556E-3</v>
      </c>
      <c r="N5427">
        <v>0</v>
      </c>
      <c r="O5427">
        <v>0.99994839999999996</v>
      </c>
      <c r="P5427">
        <v>4.2393920000000002E-2</v>
      </c>
      <c r="Q5427">
        <v>0.1361744</v>
      </c>
      <c r="R5427">
        <v>0.98977740000000003</v>
      </c>
      <c r="S5427">
        <v>5.1574709999999899E-3</v>
      </c>
      <c r="T5427">
        <v>-0.18393780000000001</v>
      </c>
      <c r="U5427">
        <v>3.0564580000000001</v>
      </c>
      <c r="V5427">
        <v>3.5944669999999998E-2</v>
      </c>
      <c r="W5427">
        <v>0.1438255</v>
      </c>
      <c r="X5427">
        <v>0.98895010000000005</v>
      </c>
      <c r="Y5427">
        <v>-4.8864290000000003E-3</v>
      </c>
      <c r="Z5427">
        <v>-6.0069039999999997E-2</v>
      </c>
      <c r="AA5427">
        <v>0.99818220000000002</v>
      </c>
      <c r="AB5427">
        <v>44</v>
      </c>
      <c r="AC5427">
        <v>2.8100000000023301E-2</v>
      </c>
      <c r="AD5427">
        <v>-1.1089703368320001</v>
      </c>
      <c r="AE5427">
        <v>17.984829999999899</v>
      </c>
      <c r="AF5427">
        <v>-8.9733308983844198E-2</v>
      </c>
      <c r="AG5427">
        <v>-1.1089703368320001</v>
      </c>
      <c r="AH5427">
        <v>17.916505635977199</v>
      </c>
      <c r="AI5427">
        <v>93.541849605035495</v>
      </c>
      <c r="AJ5427">
        <v>90.2869586850682</v>
      </c>
      <c r="AK5427">
        <v>17.951017839630101</v>
      </c>
      <c r="AL5427">
        <v>81.730727978340298</v>
      </c>
      <c r="AM5427">
        <v>87.918427115793804</v>
      </c>
      <c r="AN5427">
        <v>1.0000000470208299</v>
      </c>
    </row>
    <row r="5428" spans="1:40" x14ac:dyDescent="0.25">
      <c r="A5428" t="str">
        <f>"20190312164416941"</f>
        <v>20190312164416941</v>
      </c>
      <c r="B5428" t="str">
        <f>"1552380256930835"</f>
        <v>1552380256930835</v>
      </c>
      <c r="C5428" t="s">
        <v>40</v>
      </c>
      <c r="D5428">
        <v>4.9256469999999997</v>
      </c>
      <c r="E5428">
        <v>0.48806490000000002</v>
      </c>
      <c r="F5428" t="s">
        <v>42</v>
      </c>
      <c r="G5428">
        <v>-187.9008</v>
      </c>
      <c r="H5428" s="1">
        <v>-1.5740469999999999E-6</v>
      </c>
      <c r="I5428">
        <v>52.43394</v>
      </c>
      <c r="J5428">
        <v>-187.92740000000001</v>
      </c>
      <c r="K5428">
        <v>1.1089659999999999</v>
      </c>
      <c r="L5428">
        <v>34.560969999999998</v>
      </c>
      <c r="M5428">
        <v>6.7520430000000001E-3</v>
      </c>
      <c r="N5428">
        <v>0</v>
      </c>
      <c r="O5428">
        <v>0.99994709999999998</v>
      </c>
      <c r="P5428">
        <v>4.3531180000000003E-2</v>
      </c>
      <c r="Q5428">
        <v>0.1351337</v>
      </c>
      <c r="R5428">
        <v>0.98987069999999999</v>
      </c>
      <c r="S5428">
        <v>5.1269530000000001E-3</v>
      </c>
      <c r="T5428">
        <v>-0.18282490000000001</v>
      </c>
      <c r="U5428">
        <v>3.055939</v>
      </c>
      <c r="V5428">
        <v>3.6901299999999998E-2</v>
      </c>
      <c r="W5428">
        <v>0.14279910000000001</v>
      </c>
      <c r="X5428">
        <v>0.98906360000000004</v>
      </c>
      <c r="Y5428">
        <v>-5.07757E-3</v>
      </c>
      <c r="Z5428">
        <v>-5.971684E-2</v>
      </c>
      <c r="AA5428">
        <v>0.99820240000000005</v>
      </c>
      <c r="AB5428">
        <v>44</v>
      </c>
      <c r="AC5428">
        <v>2.66000000000019E-2</v>
      </c>
      <c r="AD5428">
        <v>-1.108967574047</v>
      </c>
      <c r="AE5428">
        <v>17.872969999999899</v>
      </c>
      <c r="AF5428">
        <v>-9.3722484334880396E-2</v>
      </c>
      <c r="AG5428">
        <v>-1.108967574047</v>
      </c>
      <c r="AH5428">
        <v>17.8041987542314</v>
      </c>
      <c r="AI5428">
        <v>93.564120258867604</v>
      </c>
      <c r="AJ5428">
        <v>90.301606001601698</v>
      </c>
      <c r="AK5428">
        <v>17.838948575085102</v>
      </c>
      <c r="AL5428">
        <v>81.790149745478004</v>
      </c>
      <c r="AM5428">
        <v>87.8633239086966</v>
      </c>
      <c r="AN5428">
        <v>1.00000004687372</v>
      </c>
    </row>
    <row r="5429" spans="1:40" x14ac:dyDescent="0.25">
      <c r="A5429" t="str">
        <f>"20190312164416964"</f>
        <v>20190312164416964</v>
      </c>
      <c r="B5429" t="str">
        <f>"1552380256960115"</f>
        <v>1552380256960115</v>
      </c>
      <c r="C5429" t="s">
        <v>40</v>
      </c>
      <c r="D5429">
        <v>4.7663019999999996</v>
      </c>
      <c r="E5429">
        <v>0.487842</v>
      </c>
      <c r="F5429" t="s">
        <v>41</v>
      </c>
      <c r="G5429">
        <v>-187.9256</v>
      </c>
      <c r="H5429">
        <v>1.041291</v>
      </c>
      <c r="I5429">
        <v>35.689059999999998</v>
      </c>
      <c r="J5429">
        <v>-187.92429999999999</v>
      </c>
      <c r="K5429">
        <v>1.1089610000000001</v>
      </c>
      <c r="L5429">
        <v>35.006409999999903</v>
      </c>
      <c r="M5429">
        <v>6.8736079999999998E-3</v>
      </c>
      <c r="N5429">
        <v>0</v>
      </c>
      <c r="O5429">
        <v>0.99994620000000001</v>
      </c>
      <c r="P5429">
        <v>4.422951E-2</v>
      </c>
      <c r="Q5429">
        <v>0.13543329999999901</v>
      </c>
      <c r="R5429">
        <v>0.98979870000000003</v>
      </c>
      <c r="S5429">
        <v>4.5471189999999996E-3</v>
      </c>
      <c r="T5429">
        <v>-0.18331539999999999</v>
      </c>
      <c r="U5429">
        <v>3.0555110000000001</v>
      </c>
      <c r="V5429">
        <v>3.7479980000000003E-2</v>
      </c>
      <c r="W5429">
        <v>0.14310680000000001</v>
      </c>
      <c r="X5429">
        <v>0.98899729999999997</v>
      </c>
      <c r="Y5429">
        <v>-5.3883469999999999E-3</v>
      </c>
      <c r="Z5429">
        <v>-5.9884729999999997E-2</v>
      </c>
      <c r="AA5429">
        <v>0.99819080000000004</v>
      </c>
      <c r="AB5429">
        <v>44</v>
      </c>
      <c r="AC5429">
        <v>-1.3000000000147299E-3</v>
      </c>
      <c r="AD5429">
        <v>-6.7670000000000105E-2</v>
      </c>
      <c r="AE5429">
        <v>0.68265000000000198</v>
      </c>
      <c r="AF5429">
        <v>-5.9340688317330199E-3</v>
      </c>
      <c r="AG5429">
        <v>-6.7670000000000105E-2</v>
      </c>
      <c r="AH5429">
        <v>0.67598246012815499</v>
      </c>
      <c r="AI5429">
        <v>95.716395881326093</v>
      </c>
      <c r="AJ5429">
        <v>90.502954420206393</v>
      </c>
      <c r="AK5429">
        <v>0.67938702406935303</v>
      </c>
      <c r="AL5429">
        <v>81.772336352344098</v>
      </c>
      <c r="AM5429">
        <v>87.829703360081396</v>
      </c>
      <c r="AN5429">
        <v>0.99999998225716502</v>
      </c>
    </row>
    <row r="5430" spans="1:40" x14ac:dyDescent="0.25">
      <c r="A5430" t="str">
        <f>"20190312164416985"</f>
        <v>20190312164416985</v>
      </c>
      <c r="B5430" t="str">
        <f>"1552380256980610"</f>
        <v>1552380256980610</v>
      </c>
      <c r="C5430" t="s">
        <v>40</v>
      </c>
      <c r="D5430">
        <v>4.8792540000000004</v>
      </c>
      <c r="E5430">
        <v>0.48774410000000001</v>
      </c>
      <c r="F5430" t="s">
        <v>42</v>
      </c>
      <c r="G5430">
        <v>-187.89340000000001</v>
      </c>
      <c r="H5430" s="1">
        <v>-2.1445349999999999E-6</v>
      </c>
      <c r="I5430">
        <v>53.7607</v>
      </c>
      <c r="J5430">
        <v>-187.9213</v>
      </c>
      <c r="K5430">
        <v>1.1089639999999901</v>
      </c>
      <c r="L5430">
        <v>35.430570000000003</v>
      </c>
      <c r="M5430">
        <v>6.9890830000000001E-3</v>
      </c>
      <c r="N5430">
        <v>0</v>
      </c>
      <c r="O5430">
        <v>0.99994530000000004</v>
      </c>
      <c r="P5430">
        <v>4.4260399999999998E-2</v>
      </c>
      <c r="Q5430">
        <v>0.13556000000000001</v>
      </c>
      <c r="R5430">
        <v>0.98977999999999999</v>
      </c>
      <c r="S5430">
        <v>5.0353999999999998E-3</v>
      </c>
      <c r="T5430">
        <v>-0.18067050000000001</v>
      </c>
      <c r="U5430">
        <v>3.0554199999999998</v>
      </c>
      <c r="V5430">
        <v>3.7396869999999999E-2</v>
      </c>
      <c r="W5430">
        <v>0.1432417</v>
      </c>
      <c r="X5430">
        <v>0.98898090000000005</v>
      </c>
      <c r="Y5430">
        <v>-5.3441790000000001E-3</v>
      </c>
      <c r="Z5430">
        <v>-5.9025429999999997E-2</v>
      </c>
      <c r="AA5430">
        <v>0.99824219999999997</v>
      </c>
      <c r="AB5430">
        <v>44</v>
      </c>
      <c r="AC5430">
        <v>2.7899999999988202E-2</v>
      </c>
      <c r="AD5430">
        <v>-1.1089661445350001</v>
      </c>
      <c r="AE5430">
        <v>18.33013</v>
      </c>
      <c r="AF5430">
        <v>-9.9849889869978198E-2</v>
      </c>
      <c r="AG5430">
        <v>-1.1089661445350001</v>
      </c>
      <c r="AH5430">
        <v>18.263030986131</v>
      </c>
      <c r="AI5430">
        <v>93.474790861024204</v>
      </c>
      <c r="AJ5430">
        <v>90.313251413561503</v>
      </c>
      <c r="AK5430">
        <v>18.296941731082001</v>
      </c>
      <c r="AL5430">
        <v>81.764526553818399</v>
      </c>
      <c r="AM5430">
        <v>87.834475423150394</v>
      </c>
      <c r="AN5430">
        <v>0.99999996553474801</v>
      </c>
    </row>
    <row r="5431" spans="1:40" x14ac:dyDescent="0.25">
      <c r="A5431" t="str">
        <f>"20190312164417009"</f>
        <v>20190312164417009</v>
      </c>
      <c r="B5431" t="str">
        <f>"1552380257000130"</f>
        <v>1552380257000130</v>
      </c>
      <c r="C5431" t="s">
        <v>40</v>
      </c>
      <c r="D5431">
        <v>4.8055649999999996</v>
      </c>
      <c r="E5431">
        <v>0.48646149999999999</v>
      </c>
      <c r="F5431" t="s">
        <v>42</v>
      </c>
      <c r="G5431">
        <v>-187.893</v>
      </c>
      <c r="H5431" s="1">
        <v>-2.3567299999999998E-6</v>
      </c>
      <c r="I5431">
        <v>54.2551699999999</v>
      </c>
      <c r="J5431">
        <v>-187.9178</v>
      </c>
      <c r="K5431">
        <v>1.108957</v>
      </c>
      <c r="L5431">
        <v>35.919919999999998</v>
      </c>
      <c r="M5431">
        <v>7.1222069999999898E-3</v>
      </c>
      <c r="N5431">
        <v>0</v>
      </c>
      <c r="O5431">
        <v>0.99994430000000001</v>
      </c>
      <c r="P5431">
        <v>4.4585809999999997E-2</v>
      </c>
      <c r="Q5431">
        <v>0.135549799999999</v>
      </c>
      <c r="R5431">
        <v>0.98976679999999995</v>
      </c>
      <c r="S5431">
        <v>4.592896E-3</v>
      </c>
      <c r="T5431">
        <v>-0.1799963</v>
      </c>
      <c r="U5431">
        <v>3.0554199999999998</v>
      </c>
      <c r="V5431">
        <v>3.7590739999999997E-2</v>
      </c>
      <c r="W5431">
        <v>0.1432418</v>
      </c>
      <c r="X5431">
        <v>0.98897360000000001</v>
      </c>
      <c r="Y5431">
        <v>-5.6218589999999999E-3</v>
      </c>
      <c r="Z5431">
        <v>-5.8805789999999997E-2</v>
      </c>
      <c r="AA5431">
        <v>0.99825359999999996</v>
      </c>
      <c r="AB5431">
        <v>44</v>
      </c>
      <c r="AC5431">
        <v>2.4799999999999E-2</v>
      </c>
      <c r="AD5431">
        <v>-1.10895935673</v>
      </c>
      <c r="AE5431">
        <v>18.335249999999899</v>
      </c>
      <c r="AF5431">
        <v>-0.10540644815259199</v>
      </c>
      <c r="AG5431">
        <v>-1.10895935673</v>
      </c>
      <c r="AH5431">
        <v>18.268134715336199</v>
      </c>
      <c r="AI5431">
        <v>93.473795352890605</v>
      </c>
      <c r="AJ5431">
        <v>90.330590817644904</v>
      </c>
      <c r="AK5431">
        <v>18.302066750830701</v>
      </c>
      <c r="AL5431">
        <v>81.764521292900497</v>
      </c>
      <c r="AM5431">
        <v>87.823243795310105</v>
      </c>
      <c r="AN5431">
        <v>1.0000000292489699</v>
      </c>
    </row>
    <row r="5432" spans="1:40" x14ac:dyDescent="0.25">
      <c r="A5432" t="str">
        <f>"20190312164417033"</f>
        <v>20190312164417033</v>
      </c>
      <c r="B5432" t="str">
        <f>"1552380257020627"</f>
        <v>1552380257020627</v>
      </c>
      <c r="C5432" t="s">
        <v>40</v>
      </c>
      <c r="D5432">
        <v>4.7784959999999996</v>
      </c>
      <c r="E5432">
        <v>0.46266089999999999</v>
      </c>
      <c r="F5432" t="s">
        <v>42</v>
      </c>
      <c r="G5432">
        <v>-187.9469</v>
      </c>
      <c r="H5432" s="1">
        <v>-2.4769430000000001E-6</v>
      </c>
      <c r="I5432">
        <v>54.557650000000002</v>
      </c>
      <c r="J5432">
        <v>-187.9145</v>
      </c>
      <c r="K5432">
        <v>1.1089560000000001</v>
      </c>
      <c r="L5432">
        <v>36.37753</v>
      </c>
      <c r="M5432">
        <v>7.246649E-3</v>
      </c>
      <c r="N5432">
        <v>0</v>
      </c>
      <c r="O5432">
        <v>0.99994329999999998</v>
      </c>
      <c r="P5432">
        <v>4.4801859999999999E-2</v>
      </c>
      <c r="Q5432">
        <v>0.135883</v>
      </c>
      <c r="R5432">
        <v>0.98971129999999996</v>
      </c>
      <c r="S5432">
        <v>-4.7607420000000001E-3</v>
      </c>
      <c r="T5432">
        <v>-0.18184159999999999</v>
      </c>
      <c r="U5432">
        <v>3.0561219999999998</v>
      </c>
      <c r="V5432">
        <v>3.7684250000000002E-2</v>
      </c>
      <c r="W5432">
        <v>0.14358389999999999</v>
      </c>
      <c r="X5432">
        <v>0.98892040000000003</v>
      </c>
      <c r="Y5432">
        <v>-8.8018419999999903E-3</v>
      </c>
      <c r="Z5432">
        <v>-5.9392210000000001E-2</v>
      </c>
      <c r="AA5432">
        <v>0.99819590000000002</v>
      </c>
      <c r="AB5432">
        <v>44</v>
      </c>
      <c r="AC5432">
        <v>-3.2399999999995502E-2</v>
      </c>
      <c r="AD5432">
        <v>-1.1089584769429901</v>
      </c>
      <c r="AE5432">
        <v>18.180119999999999</v>
      </c>
      <c r="AF5432">
        <v>-0.163539611010944</v>
      </c>
      <c r="AG5432">
        <v>-1.1089584769429901</v>
      </c>
      <c r="AH5432">
        <v>18.112016716857099</v>
      </c>
      <c r="AI5432">
        <v>93.5035766839204</v>
      </c>
      <c r="AJ5432">
        <v>90.517329185766599</v>
      </c>
      <c r="AK5432">
        <v>18.146671420942901</v>
      </c>
      <c r="AL5432">
        <v>81.744715418166606</v>
      </c>
      <c r="AM5432">
        <v>87.817716888481101</v>
      </c>
      <c r="AN5432">
        <v>0.99999999828671604</v>
      </c>
    </row>
    <row r="5433" spans="1:40" x14ac:dyDescent="0.25">
      <c r="A5433" t="str">
        <f>"20190312164417054"</f>
        <v>20190312164417054</v>
      </c>
      <c r="B5433" t="str">
        <f>"1552380257050882"</f>
        <v>1552380257050882</v>
      </c>
      <c r="C5433" t="s">
        <v>40</v>
      </c>
      <c r="D5433">
        <v>4.7967550000000001</v>
      </c>
      <c r="E5433">
        <v>0.4636229</v>
      </c>
      <c r="F5433" t="s">
        <v>42</v>
      </c>
      <c r="G5433">
        <v>-189.0035</v>
      </c>
      <c r="H5433" s="1">
        <v>-1.817265E-6</v>
      </c>
      <c r="I5433">
        <v>53.456829999999997</v>
      </c>
      <c r="J5433">
        <v>-187.91120000000001</v>
      </c>
      <c r="K5433">
        <v>1.108954</v>
      </c>
      <c r="L5433">
        <v>36.816679999999998</v>
      </c>
      <c r="M5433">
        <v>7.3661580000000003E-3</v>
      </c>
      <c r="N5433">
        <v>0</v>
      </c>
      <c r="O5433">
        <v>0.99994240000000001</v>
      </c>
      <c r="P5433">
        <v>4.4982550000000003E-2</v>
      </c>
      <c r="Q5433">
        <v>0.13594829999999999</v>
      </c>
      <c r="R5433">
        <v>0.98969419999999997</v>
      </c>
      <c r="S5433">
        <v>-0.19558719999999999</v>
      </c>
      <c r="T5433">
        <v>-0.19916500000000001</v>
      </c>
      <c r="U5433">
        <v>3.067383</v>
      </c>
      <c r="V5433">
        <v>3.7746879999999997E-2</v>
      </c>
      <c r="W5433">
        <v>0.14365749999999999</v>
      </c>
      <c r="X5433">
        <v>0.98890730000000004</v>
      </c>
      <c r="Y5433">
        <v>-7.0850919999999998E-2</v>
      </c>
      <c r="Z5433">
        <v>-6.4644080000000007E-2</v>
      </c>
      <c r="AA5433">
        <v>0.99539</v>
      </c>
      <c r="AB5433">
        <v>45</v>
      </c>
      <c r="AC5433">
        <v>-1.0922999999999901</v>
      </c>
      <c r="AD5433">
        <v>-1.108955817265</v>
      </c>
      <c r="AE5433">
        <v>16.640149999999998</v>
      </c>
      <c r="AF5433">
        <v>-1.20949932212844</v>
      </c>
      <c r="AG5433">
        <v>-1.108955817265</v>
      </c>
      <c r="AH5433">
        <v>16.558426144166098</v>
      </c>
      <c r="AI5433">
        <v>93.821357734112993</v>
      </c>
      <c r="AJ5433">
        <v>94.177712957533302</v>
      </c>
      <c r="AK5433">
        <v>16.639535690237199</v>
      </c>
      <c r="AL5433">
        <v>81.740454088344904</v>
      </c>
      <c r="AM5433">
        <v>87.814064591704593</v>
      </c>
      <c r="AN5433">
        <v>0.99999997612463598</v>
      </c>
    </row>
    <row r="5434" spans="1:40" x14ac:dyDescent="0.25">
      <c r="A5434" t="str">
        <f>"20190312164417077"</f>
        <v>20190312164417077</v>
      </c>
      <c r="B5434" t="str">
        <f>"1552380257070403"</f>
        <v>1552380257070403</v>
      </c>
      <c r="C5434" t="s">
        <v>40</v>
      </c>
      <c r="D5434">
        <v>4.5658770000000004</v>
      </c>
      <c r="E5434">
        <v>0.46315640000000002</v>
      </c>
      <c r="F5434" t="s">
        <v>42</v>
      </c>
      <c r="G5434">
        <v>-188.93680000000001</v>
      </c>
      <c r="H5434" s="1">
        <v>-1.878574E-6</v>
      </c>
      <c r="I5434">
        <v>53.572139999999997</v>
      </c>
      <c r="J5434">
        <v>-187.90790000000001</v>
      </c>
      <c r="K5434">
        <v>1.1089530000000001</v>
      </c>
      <c r="L5434">
        <v>37.255310000000001</v>
      </c>
      <c r="M5434">
        <v>7.48563099999999E-3</v>
      </c>
      <c r="N5434">
        <v>0</v>
      </c>
      <c r="O5434">
        <v>0.99994150000000004</v>
      </c>
      <c r="P5434">
        <v>4.5247530000000001E-2</v>
      </c>
      <c r="Q5434">
        <v>0.13612630000000001</v>
      </c>
      <c r="R5434">
        <v>0.98965760000000003</v>
      </c>
      <c r="S5434">
        <v>-0.18775939999999999</v>
      </c>
      <c r="T5434">
        <v>-0.2030323</v>
      </c>
      <c r="U5434">
        <v>3.0676570000000001</v>
      </c>
      <c r="V5434">
        <v>3.7893999999999997E-2</v>
      </c>
      <c r="W5434">
        <v>0.14384439999999901</v>
      </c>
      <c r="X5434">
        <v>0.98887460000000005</v>
      </c>
      <c r="Y5434">
        <v>-6.8429139999999999E-2</v>
      </c>
      <c r="Z5434">
        <v>-6.5898719999999994E-2</v>
      </c>
      <c r="AA5434">
        <v>0.99547719999999995</v>
      </c>
      <c r="AB5434">
        <v>45</v>
      </c>
      <c r="AC5434">
        <v>-1.0288999999999899</v>
      </c>
      <c r="AD5434">
        <v>-1.108954878574</v>
      </c>
      <c r="AE5434">
        <v>16.31683</v>
      </c>
      <c r="AF5434">
        <v>-1.14574532492281</v>
      </c>
      <c r="AG5434">
        <v>-1.108954878574</v>
      </c>
      <c r="AH5434">
        <v>16.233981416728099</v>
      </c>
      <c r="AI5434">
        <v>93.898178190809404</v>
      </c>
      <c r="AJ5434">
        <v>94.037068737299293</v>
      </c>
      <c r="AK5434">
        <v>16.312101823829099</v>
      </c>
      <c r="AL5434">
        <v>81.729633905875005</v>
      </c>
      <c r="AM5434">
        <v>87.805480638024207</v>
      </c>
      <c r="AN5434">
        <v>1.00000007058625</v>
      </c>
    </row>
    <row r="5435" spans="1:40" x14ac:dyDescent="0.25">
      <c r="A5435" t="str">
        <f>"20190312164417097"</f>
        <v>20190312164417097</v>
      </c>
      <c r="B5435" t="str">
        <f>"1552380257090900"</f>
        <v>1552380257090900</v>
      </c>
      <c r="C5435" t="s">
        <v>40</v>
      </c>
      <c r="D5435">
        <v>4.647017</v>
      </c>
      <c r="E5435">
        <v>0.46365400000000001</v>
      </c>
      <c r="F5435" t="s">
        <v>42</v>
      </c>
      <c r="G5435">
        <v>-188.92089999999999</v>
      </c>
      <c r="H5435" s="1">
        <v>-1.8698460000000001E-6</v>
      </c>
      <c r="I5435">
        <v>53.545250000000003</v>
      </c>
      <c r="J5435">
        <v>-187.90459999999999</v>
      </c>
      <c r="K5435">
        <v>1.108951</v>
      </c>
      <c r="L5435">
        <v>37.684109999999997</v>
      </c>
      <c r="M5435">
        <v>7.6023339999999997E-3</v>
      </c>
      <c r="N5435">
        <v>0</v>
      </c>
      <c r="O5435">
        <v>0.99994050000000001</v>
      </c>
      <c r="P5435">
        <v>4.5294910000000001E-2</v>
      </c>
      <c r="Q5435">
        <v>0.13692869999999999</v>
      </c>
      <c r="R5435">
        <v>0.9895448</v>
      </c>
      <c r="S5435">
        <v>-0.1908417</v>
      </c>
      <c r="T5435">
        <v>-0.20891299999999999</v>
      </c>
      <c r="U5435">
        <v>3.0688170000000001</v>
      </c>
      <c r="V5435">
        <v>3.782713E-2</v>
      </c>
      <c r="W5435">
        <v>0.14465500000000001</v>
      </c>
      <c r="X5435">
        <v>0.9887589</v>
      </c>
      <c r="Y5435">
        <v>-6.9510879999999997E-2</v>
      </c>
      <c r="Z5435">
        <v>-6.7768610000000007E-2</v>
      </c>
      <c r="AA5435">
        <v>0.99527670000000001</v>
      </c>
      <c r="AB5435">
        <v>45</v>
      </c>
      <c r="AC5435">
        <v>-1.0163</v>
      </c>
      <c r="AD5435">
        <v>-1.1089528698459901</v>
      </c>
      <c r="AE5435">
        <v>15.861140000000001</v>
      </c>
      <c r="AF5435">
        <v>-1.1313482517964499</v>
      </c>
      <c r="AG5435">
        <v>-1.1089528698459901</v>
      </c>
      <c r="AH5435">
        <v>15.776151967384701</v>
      </c>
      <c r="AI5435">
        <v>94.010612046545205</v>
      </c>
      <c r="AJ5435">
        <v>94.101805229989907</v>
      </c>
      <c r="AK5435">
        <v>15.855494197040899</v>
      </c>
      <c r="AL5435">
        <v>81.682698996954102</v>
      </c>
      <c r="AM5435">
        <v>87.809093350735594</v>
      </c>
      <c r="AN5435">
        <v>1.00000006155912</v>
      </c>
    </row>
    <row r="5436" spans="1:40" x14ac:dyDescent="0.25">
      <c r="A5436" t="str">
        <f>"20190312164417120"</f>
        <v>20190312164417120</v>
      </c>
      <c r="B5436" t="str">
        <f>"1552380257110419"</f>
        <v>1552380257110419</v>
      </c>
      <c r="C5436" t="s">
        <v>40</v>
      </c>
      <c r="D5436">
        <v>4.5102599999999997</v>
      </c>
      <c r="E5436">
        <v>0.46359270000000002</v>
      </c>
      <c r="F5436" t="s">
        <v>42</v>
      </c>
      <c r="G5436">
        <v>-188.90270000000001</v>
      </c>
      <c r="H5436" s="1">
        <v>-2.1256590000000002E-6</v>
      </c>
      <c r="I5436">
        <v>54.134030000000003</v>
      </c>
      <c r="J5436">
        <v>-187.90119999999999</v>
      </c>
      <c r="K5436">
        <v>1.1089549999999999</v>
      </c>
      <c r="L5436">
        <v>38.131929999999997</v>
      </c>
      <c r="M5436">
        <v>7.7240750000000004E-3</v>
      </c>
      <c r="N5436">
        <v>0</v>
      </c>
      <c r="O5436">
        <v>0.99993949999999998</v>
      </c>
      <c r="P5436">
        <v>4.572006E-2</v>
      </c>
      <c r="Q5436">
        <v>0.13761899999999999</v>
      </c>
      <c r="R5436">
        <v>0.98942949999999996</v>
      </c>
      <c r="S5436">
        <v>-0.18620300000000001</v>
      </c>
      <c r="T5436">
        <v>-0.20688300000000001</v>
      </c>
      <c r="U5436">
        <v>3.068848</v>
      </c>
      <c r="V5436">
        <v>3.8133069999999998E-2</v>
      </c>
      <c r="W5436">
        <v>0.14535329999999999</v>
      </c>
      <c r="X5436">
        <v>0.98864470000000004</v>
      </c>
      <c r="Y5436">
        <v>-6.8135580000000001E-2</v>
      </c>
      <c r="Z5436">
        <v>-6.7118609999999995E-2</v>
      </c>
      <c r="AA5436">
        <v>0.99541579999999996</v>
      </c>
      <c r="AB5436">
        <v>45</v>
      </c>
      <c r="AC5436">
        <v>-1.00150000000002</v>
      </c>
      <c r="AD5436">
        <v>-1.1089571256589901</v>
      </c>
      <c r="AE5436">
        <v>16.002099999999999</v>
      </c>
      <c r="AF5436">
        <v>-1.1197187643698201</v>
      </c>
      <c r="AG5436">
        <v>-1.1089571256589901</v>
      </c>
      <c r="AH5436">
        <v>15.91773860106</v>
      </c>
      <c r="AI5436">
        <v>93.975451372116495</v>
      </c>
      <c r="AJ5436">
        <v>94.023790983253406</v>
      </c>
      <c r="AK5436">
        <v>15.9955605775323</v>
      </c>
      <c r="AL5436">
        <v>81.642261694998197</v>
      </c>
      <c r="AM5436">
        <v>87.791136245631293</v>
      </c>
      <c r="AN5436">
        <v>1.0000000278433001</v>
      </c>
    </row>
    <row r="5437" spans="1:40" x14ac:dyDescent="0.25">
      <c r="A5437" t="str">
        <f>"20190312164417142"</f>
        <v>20190312164417142</v>
      </c>
      <c r="B5437" t="str">
        <f>"1552380257130915"</f>
        <v>1552380257130915</v>
      </c>
      <c r="C5437" t="s">
        <v>40</v>
      </c>
      <c r="D5437">
        <v>4.6803710000000001</v>
      </c>
      <c r="E5437">
        <v>0.46354590000000001</v>
      </c>
      <c r="F5437" t="s">
        <v>42</v>
      </c>
      <c r="G5437">
        <v>-188.9015</v>
      </c>
      <c r="H5437" s="1">
        <v>-2.3545800000000002E-6</v>
      </c>
      <c r="I5437">
        <v>54.667140000000003</v>
      </c>
      <c r="J5437">
        <v>-187.89769999999999</v>
      </c>
      <c r="K5437">
        <v>1.1089500000000001</v>
      </c>
      <c r="L5437">
        <v>38.570129999999999</v>
      </c>
      <c r="M5437">
        <v>7.8428049999999996E-3</v>
      </c>
      <c r="N5437">
        <v>0</v>
      </c>
      <c r="O5437">
        <v>0.99993849999999995</v>
      </c>
      <c r="P5437">
        <v>4.569674E-2</v>
      </c>
      <c r="Q5437">
        <v>0.13746420000000001</v>
      </c>
      <c r="R5437">
        <v>0.98945209999999995</v>
      </c>
      <c r="S5437">
        <v>-0.18568419999999999</v>
      </c>
      <c r="T5437">
        <v>-0.2058431</v>
      </c>
      <c r="U5437">
        <v>3.0692439999999999</v>
      </c>
      <c r="V5437">
        <v>3.7992209999999998E-2</v>
      </c>
      <c r="W5437">
        <v>0.14520749999999999</v>
      </c>
      <c r="X5437">
        <v>0.98867150000000004</v>
      </c>
      <c r="Y5437">
        <v>-6.8080009999999996E-2</v>
      </c>
      <c r="Z5437">
        <v>-6.6774550000000002E-2</v>
      </c>
      <c r="AA5437">
        <v>0.99544270000000001</v>
      </c>
      <c r="AB5437">
        <v>45</v>
      </c>
      <c r="AC5437">
        <v>-1.00380000000001</v>
      </c>
      <c r="AD5437">
        <v>-1.10895235458</v>
      </c>
      <c r="AE5437">
        <v>16.097010000000001</v>
      </c>
      <c r="AF5437">
        <v>-1.12470146829123</v>
      </c>
      <c r="AG5437">
        <v>-1.10895235458</v>
      </c>
      <c r="AH5437">
        <v>16.0129377085455</v>
      </c>
      <c r="AI5437">
        <v>93.951904424199199</v>
      </c>
      <c r="AJ5437">
        <v>94.017688318723401</v>
      </c>
      <c r="AK5437">
        <v>16.090646437457501</v>
      </c>
      <c r="AL5437">
        <v>81.650704600311897</v>
      </c>
      <c r="AM5437">
        <v>87.799347140854906</v>
      </c>
      <c r="AN5437">
        <v>0.99999998049459105</v>
      </c>
    </row>
    <row r="5438" spans="1:40" x14ac:dyDescent="0.25">
      <c r="A5438" t="str">
        <f>"20190312164417165"</f>
        <v>20190312164417165</v>
      </c>
      <c r="B5438" t="str">
        <f>"1552380257160196"</f>
        <v>1552380257160196</v>
      </c>
      <c r="C5438" t="s">
        <v>40</v>
      </c>
      <c r="D5438">
        <v>4.431527</v>
      </c>
      <c r="E5438">
        <v>0.46356150000000002</v>
      </c>
      <c r="F5438" t="s">
        <v>42</v>
      </c>
      <c r="G5438">
        <v>-188.8972</v>
      </c>
      <c r="H5438" s="1">
        <v>-2.5341680000000002E-6</v>
      </c>
      <c r="I5438">
        <v>55.083970000000001</v>
      </c>
      <c r="J5438">
        <v>-187.89400000000001</v>
      </c>
      <c r="K5438">
        <v>1.108949</v>
      </c>
      <c r="L5438">
        <v>39.023679999999999</v>
      </c>
      <c r="M5438">
        <v>7.9657889999999992E-3</v>
      </c>
      <c r="N5438">
        <v>0</v>
      </c>
      <c r="O5438">
        <v>0.99993739999999998</v>
      </c>
      <c r="P5438">
        <v>4.5044840000000003E-2</v>
      </c>
      <c r="Q5438">
        <v>0.13736999999999999</v>
      </c>
      <c r="R5438">
        <v>0.98949500000000001</v>
      </c>
      <c r="S5438">
        <v>-0.1857605</v>
      </c>
      <c r="T5438">
        <v>-0.2061067</v>
      </c>
      <c r="U5438">
        <v>3.0692140000000001</v>
      </c>
      <c r="V5438">
        <v>3.7218380000000002E-2</v>
      </c>
      <c r="W5438">
        <v>0.14512349999999999</v>
      </c>
      <c r="X5438">
        <v>0.98871330000000002</v>
      </c>
      <c r="Y5438">
        <v>-6.8227620000000003E-2</v>
      </c>
      <c r="Z5438">
        <v>-6.6859849999999998E-2</v>
      </c>
      <c r="AA5438">
        <v>0.9954269</v>
      </c>
      <c r="AB5438">
        <v>45</v>
      </c>
      <c r="AC5438">
        <v>-1.0031999999999901</v>
      </c>
      <c r="AD5438">
        <v>-1.1089515341680001</v>
      </c>
      <c r="AE5438">
        <v>16.060289999999899</v>
      </c>
      <c r="AF5438">
        <v>-1.12575846603053</v>
      </c>
      <c r="AG5438">
        <v>-1.1089515341680001</v>
      </c>
      <c r="AH5438">
        <v>15.975914912192</v>
      </c>
      <c r="AI5438">
        <v>93.9609673017668</v>
      </c>
      <c r="AJ5438">
        <v>94.030740454443503</v>
      </c>
      <c r="AK5438">
        <v>16.0538768810083</v>
      </c>
      <c r="AL5438">
        <v>81.655569252442106</v>
      </c>
      <c r="AM5438">
        <v>87.844218632764495</v>
      </c>
      <c r="AN5438">
        <v>1.00000001382948</v>
      </c>
    </row>
    <row r="5439" spans="1:40" x14ac:dyDescent="0.25">
      <c r="A5439" t="str">
        <f>"20190312164417186"</f>
        <v>20190312164417186</v>
      </c>
      <c r="B5439" t="str">
        <f>"1552380257180691"</f>
        <v>1552380257180691</v>
      </c>
      <c r="C5439" t="s">
        <v>40</v>
      </c>
      <c r="D5439">
        <v>4.4094179999999996</v>
      </c>
      <c r="E5439">
        <v>0.46363599999999999</v>
      </c>
      <c r="F5439" t="s">
        <v>42</v>
      </c>
      <c r="G5439">
        <v>-188.91380000000001</v>
      </c>
      <c r="H5439" s="1">
        <v>-2.8071720000000001E-6</v>
      </c>
      <c r="I5439">
        <v>55.727229999999999</v>
      </c>
      <c r="J5439">
        <v>-187.8904</v>
      </c>
      <c r="K5439">
        <v>1.1089439999999999</v>
      </c>
      <c r="L5439">
        <v>39.464599999999997</v>
      </c>
      <c r="M5439">
        <v>8.0854050000000004E-3</v>
      </c>
      <c r="N5439">
        <v>0</v>
      </c>
      <c r="O5439">
        <v>0.99993639999999995</v>
      </c>
      <c r="P5439">
        <v>4.4987159999999998E-2</v>
      </c>
      <c r="Q5439">
        <v>0.13688159999999999</v>
      </c>
      <c r="R5439">
        <v>0.98956540000000004</v>
      </c>
      <c r="S5439">
        <v>-0.1873474</v>
      </c>
      <c r="T5439">
        <v>-0.2037293</v>
      </c>
      <c r="U5439">
        <v>3.0686650000000002</v>
      </c>
      <c r="V5439">
        <v>3.7041650000000002E-2</v>
      </c>
      <c r="W5439">
        <v>0.14464460000000001</v>
      </c>
      <c r="X5439">
        <v>0.98879010000000001</v>
      </c>
      <c r="Y5439">
        <v>-6.8873649999999995E-2</v>
      </c>
      <c r="Z5439">
        <v>-6.6101190000000004E-2</v>
      </c>
      <c r="AA5439">
        <v>0.99543309999999996</v>
      </c>
      <c r="AB5439">
        <v>45</v>
      </c>
      <c r="AC5439">
        <v>-1.0234000000000001</v>
      </c>
      <c r="AD5439">
        <v>-1.1089468071719999</v>
      </c>
      <c r="AE5439">
        <v>16.262630000000001</v>
      </c>
      <c r="AF5439">
        <v>-1.1495364608574801</v>
      </c>
      <c r="AG5439">
        <v>-1.1089468071719999</v>
      </c>
      <c r="AH5439">
        <v>16.178890693103298</v>
      </c>
      <c r="AI5439">
        <v>93.911251955978699</v>
      </c>
      <c r="AJ5439">
        <v>94.064128349694997</v>
      </c>
      <c r="AK5439">
        <v>16.257542900308302</v>
      </c>
      <c r="AL5439">
        <v>81.683300716053694</v>
      </c>
      <c r="AM5439">
        <v>87.8546121761037</v>
      </c>
      <c r="AN5439">
        <v>1.0000000030009399</v>
      </c>
    </row>
    <row r="5440" spans="1:40" x14ac:dyDescent="0.25">
      <c r="A5440" t="str">
        <f>"20190312164417210"</f>
        <v>20190312164417210</v>
      </c>
      <c r="B5440" t="str">
        <f>"1552380257200211"</f>
        <v>1552380257200211</v>
      </c>
      <c r="C5440" t="s">
        <v>40</v>
      </c>
      <c r="D5440">
        <v>4.4064940000000004</v>
      </c>
      <c r="E5440">
        <v>0.46356229999999998</v>
      </c>
      <c r="F5440" t="s">
        <v>42</v>
      </c>
      <c r="G5440">
        <v>-188.9049</v>
      </c>
      <c r="H5440" s="1">
        <v>-2.9812349999999998E-6</v>
      </c>
      <c r="I5440">
        <v>56.129289999999997</v>
      </c>
      <c r="J5440">
        <v>-187.88640000000001</v>
      </c>
      <c r="K5440">
        <v>1.108943</v>
      </c>
      <c r="L5440">
        <v>39.953830000000004</v>
      </c>
      <c r="M5440">
        <v>8.2179469999999998E-3</v>
      </c>
      <c r="N5440">
        <v>0</v>
      </c>
      <c r="O5440">
        <v>0.99993529999999997</v>
      </c>
      <c r="P5440">
        <v>4.4868650000000003E-2</v>
      </c>
      <c r="Q5440">
        <v>0.13648679999999999</v>
      </c>
      <c r="R5440">
        <v>0.98962530000000004</v>
      </c>
      <c r="S5440">
        <v>-0.1867828</v>
      </c>
      <c r="T5440">
        <v>-0.20418310000000001</v>
      </c>
      <c r="U5440">
        <v>3.0683590000000001</v>
      </c>
      <c r="V5440">
        <v>3.6791459999999998E-2</v>
      </c>
      <c r="W5440">
        <v>0.1442601</v>
      </c>
      <c r="X5440">
        <v>0.98885559999999995</v>
      </c>
      <c r="Y5440">
        <v>-6.8828810000000004E-2</v>
      </c>
      <c r="Z5440">
        <v>-6.6254709999999994E-2</v>
      </c>
      <c r="AA5440">
        <v>0.99542600000000003</v>
      </c>
      <c r="AB5440">
        <v>45</v>
      </c>
      <c r="AC5440">
        <v>-1.01849999999998</v>
      </c>
      <c r="AD5440">
        <v>-1.108945981235</v>
      </c>
      <c r="AE5440">
        <v>16.175460000000001</v>
      </c>
      <c r="AF5440">
        <v>-1.14603358390604</v>
      </c>
      <c r="AG5440">
        <v>-1.108945981235</v>
      </c>
      <c r="AH5440">
        <v>16.091211808517802</v>
      </c>
      <c r="AI5440">
        <v>93.932447224938997</v>
      </c>
      <c r="AJ5440">
        <v>94.073788925379105</v>
      </c>
      <c r="AK5440">
        <v>16.170041794359101</v>
      </c>
      <c r="AL5440">
        <v>81.705564365729202</v>
      </c>
      <c r="AM5440">
        <v>87.869230358599197</v>
      </c>
      <c r="AN5440">
        <v>0.99999999281615004</v>
      </c>
    </row>
    <row r="5441" spans="1:40" x14ac:dyDescent="0.25">
      <c r="A5441" t="str">
        <f>"20190312164417233"</f>
        <v>20190312164417233</v>
      </c>
      <c r="B5441" t="str">
        <f>"1552380257220707"</f>
        <v>1552380257220707</v>
      </c>
      <c r="C5441" t="s">
        <v>40</v>
      </c>
      <c r="D5441">
        <v>4.6135910000000004</v>
      </c>
      <c r="E5441">
        <v>0.46354649999999997</v>
      </c>
      <c r="F5441" t="s">
        <v>42</v>
      </c>
      <c r="G5441">
        <v>-188.8905</v>
      </c>
      <c r="H5441" s="1">
        <v>-3.08423E-6</v>
      </c>
      <c r="I5441">
        <v>56.36345</v>
      </c>
      <c r="J5441">
        <v>-187.8826</v>
      </c>
      <c r="K5441">
        <v>1.108938</v>
      </c>
      <c r="L5441">
        <v>40.401000000000003</v>
      </c>
      <c r="M5441">
        <v>8.3390300000000007E-3</v>
      </c>
      <c r="N5441">
        <v>0</v>
      </c>
      <c r="O5441">
        <v>0.99993410000000005</v>
      </c>
      <c r="P5441">
        <v>4.4428629999999997E-2</v>
      </c>
      <c r="Q5441">
        <v>0.13642760000000001</v>
      </c>
      <c r="R5441">
        <v>0.98965329999999996</v>
      </c>
      <c r="S5441">
        <v>-0.18777469999999999</v>
      </c>
      <c r="T5441">
        <v>-0.20737120000000001</v>
      </c>
      <c r="U5441">
        <v>3.0685730000000002</v>
      </c>
      <c r="V5441">
        <v>3.62315E-2</v>
      </c>
      <c r="W5441">
        <v>0.14421199999999901</v>
      </c>
      <c r="X5441">
        <v>0.98888330000000002</v>
      </c>
      <c r="Y5441">
        <v>-6.9261749999999997E-2</v>
      </c>
      <c r="Z5441">
        <v>-6.7278119999999997E-2</v>
      </c>
      <c r="AA5441">
        <v>0.99532730000000003</v>
      </c>
      <c r="AB5441">
        <v>45</v>
      </c>
      <c r="AC5441">
        <v>-1.0079</v>
      </c>
      <c r="AD5441">
        <v>-1.10894108423</v>
      </c>
      <c r="AE5441">
        <v>15.96245</v>
      </c>
      <c r="AF5441">
        <v>-1.13552179562456</v>
      </c>
      <c r="AG5441">
        <v>-1.10894108423</v>
      </c>
      <c r="AH5441">
        <v>15.877165486433199</v>
      </c>
      <c r="AI5441">
        <v>93.985190771330494</v>
      </c>
      <c r="AJ5441">
        <v>94.090781664802805</v>
      </c>
      <c r="AK5441">
        <v>15.956301073877301</v>
      </c>
      <c r="AL5441">
        <v>81.708349489971397</v>
      </c>
      <c r="AM5441">
        <v>87.901689835225</v>
      </c>
      <c r="AN5441">
        <v>1.0000000017775601</v>
      </c>
    </row>
    <row r="5442" spans="1:40" x14ac:dyDescent="0.25">
      <c r="A5442" t="str">
        <f>"20190312164417255"</f>
        <v>20190312164417255</v>
      </c>
      <c r="B5442" t="str">
        <f>"1552380257250964"</f>
        <v>1552380257250964</v>
      </c>
      <c r="C5442" t="s">
        <v>40</v>
      </c>
      <c r="D5442">
        <v>4.4450510000000003</v>
      </c>
      <c r="E5442">
        <v>0.44325690000000001</v>
      </c>
      <c r="F5442" t="s">
        <v>42</v>
      </c>
      <c r="G5442">
        <v>-188.8964</v>
      </c>
      <c r="H5442" s="1">
        <v>-3.276435E-6</v>
      </c>
      <c r="I5442">
        <v>56.81391</v>
      </c>
      <c r="J5442">
        <v>-187.87860000000001</v>
      </c>
      <c r="K5442">
        <v>1.1089340000000001</v>
      </c>
      <c r="L5442">
        <v>40.871250000000003</v>
      </c>
      <c r="M5442">
        <v>8.4662509999999993E-3</v>
      </c>
      <c r="N5442">
        <v>0</v>
      </c>
      <c r="O5442">
        <v>0.99993290000000001</v>
      </c>
      <c r="P5442">
        <v>4.4075089999999997E-2</v>
      </c>
      <c r="Q5442">
        <v>0.13626179999999999</v>
      </c>
      <c r="R5442">
        <v>0.98969189999999996</v>
      </c>
      <c r="S5442">
        <v>-0.18952939999999999</v>
      </c>
      <c r="T5442">
        <v>-0.20732059999999999</v>
      </c>
      <c r="U5442">
        <v>3.068451</v>
      </c>
      <c r="V5442">
        <v>3.57518E-2</v>
      </c>
      <c r="W5442">
        <v>0.14406240000000001</v>
      </c>
      <c r="X5442">
        <v>0.98892250000000004</v>
      </c>
      <c r="Y5442">
        <v>-6.9958210000000007E-2</v>
      </c>
      <c r="Z5442">
        <v>-6.7261509999999997E-2</v>
      </c>
      <c r="AA5442">
        <v>0.99527969999999999</v>
      </c>
      <c r="AB5442">
        <v>45</v>
      </c>
      <c r="AC5442">
        <v>-1.01779999999999</v>
      </c>
      <c r="AD5442">
        <v>-1.1089372764350001</v>
      </c>
      <c r="AE5442">
        <v>15.942659999999901</v>
      </c>
      <c r="AF5442">
        <v>-1.14721426990395</v>
      </c>
      <c r="AG5442">
        <v>-1.1089372764350001</v>
      </c>
      <c r="AH5442">
        <v>15.8570616428918</v>
      </c>
      <c r="AI5442">
        <v>93.989977616914103</v>
      </c>
      <c r="AJ5442">
        <v>94.137980645612501</v>
      </c>
      <c r="AK5442">
        <v>15.9371341969191</v>
      </c>
      <c r="AL5442">
        <v>81.717010862065493</v>
      </c>
      <c r="AM5442">
        <v>87.929528829108506</v>
      </c>
      <c r="AN5442">
        <v>0.99999993865162295</v>
      </c>
    </row>
    <row r="5443" spans="1:40" x14ac:dyDescent="0.25">
      <c r="A5443" t="str">
        <f>"20190312164417276"</f>
        <v>20190312164417276</v>
      </c>
      <c r="B5443" t="str">
        <f>"1552380257270484"</f>
        <v>1552380257270484</v>
      </c>
      <c r="C5443" t="s">
        <v>40</v>
      </c>
      <c r="D5443">
        <v>4.3719910000000004</v>
      </c>
      <c r="E5443">
        <v>0.42968709999999999</v>
      </c>
      <c r="F5443" t="s">
        <v>42</v>
      </c>
      <c r="G5443">
        <v>-190.06479999999999</v>
      </c>
      <c r="H5443" s="1">
        <v>-2.0734770000000001E-7</v>
      </c>
      <c r="I5443">
        <v>60.032260000000001</v>
      </c>
      <c r="J5443">
        <v>-187.8751</v>
      </c>
      <c r="K5443">
        <v>1.108938</v>
      </c>
      <c r="L5443">
        <v>41.280610000000003</v>
      </c>
      <c r="M5443">
        <v>8.5757239999999998E-3</v>
      </c>
      <c r="N5443">
        <v>0</v>
      </c>
      <c r="O5443">
        <v>0.99993189999999998</v>
      </c>
      <c r="P5443">
        <v>4.4166049999999998E-2</v>
      </c>
      <c r="Q5443">
        <v>0.13638239999999999</v>
      </c>
      <c r="R5443">
        <v>0.98967130000000003</v>
      </c>
      <c r="S5443">
        <v>-0.35041809999999901</v>
      </c>
      <c r="T5443">
        <v>-0.1777511</v>
      </c>
      <c r="U5443">
        <v>3.0713200000000001</v>
      </c>
      <c r="V5443">
        <v>3.5734509999999997E-2</v>
      </c>
      <c r="W5443">
        <v>0.14419779999999999</v>
      </c>
      <c r="X5443">
        <v>0.98890350000000005</v>
      </c>
      <c r="Y5443">
        <v>-0.121688</v>
      </c>
      <c r="Z5443">
        <v>-5.7374410000000001E-2</v>
      </c>
      <c r="AA5443">
        <v>0.99090880000000003</v>
      </c>
      <c r="AB5443">
        <v>45</v>
      </c>
      <c r="AC5443">
        <v>-2.1896999999999802</v>
      </c>
      <c r="AD5443">
        <v>-1.1089382073477001</v>
      </c>
      <c r="AE5443">
        <v>18.751650000000001</v>
      </c>
      <c r="AF5443">
        <v>-2.3423517311651998</v>
      </c>
      <c r="AG5443">
        <v>-1.1089382073477001</v>
      </c>
      <c r="AH5443">
        <v>18.667772626672999</v>
      </c>
      <c r="AI5443">
        <v>93.373208114989495</v>
      </c>
      <c r="AJ5443">
        <v>97.151850739053202</v>
      </c>
      <c r="AK5443">
        <v>18.8468058413454</v>
      </c>
      <c r="AL5443">
        <v>81.709172057302993</v>
      </c>
      <c r="AM5443">
        <v>87.930489536417696</v>
      </c>
      <c r="AN5443">
        <v>1.0000000465210099</v>
      </c>
    </row>
    <row r="5444" spans="1:40" x14ac:dyDescent="0.25">
      <c r="A5444" t="str">
        <f>"20190312164417298"</f>
        <v>20190312164417298</v>
      </c>
      <c r="B5444" t="str">
        <f>"1552380257290980"</f>
        <v>1552380257290980</v>
      </c>
      <c r="C5444" t="s">
        <v>40</v>
      </c>
      <c r="D5444">
        <v>4.4879800000000003</v>
      </c>
      <c r="E5444">
        <v>0.42617840000000001</v>
      </c>
      <c r="F5444" t="s">
        <v>42</v>
      </c>
      <c r="G5444">
        <v>-190.31319999999999</v>
      </c>
      <c r="H5444" s="1">
        <v>-3.5130519999999998E-6</v>
      </c>
      <c r="I5444">
        <v>57.583840000000002</v>
      </c>
      <c r="J5444">
        <v>-187.87100000000001</v>
      </c>
      <c r="K5444">
        <v>1.1089420000000001</v>
      </c>
      <c r="L5444">
        <v>41.746000000000002</v>
      </c>
      <c r="M5444">
        <v>8.6931719999999903E-3</v>
      </c>
      <c r="N5444">
        <v>0</v>
      </c>
      <c r="O5444">
        <v>0.99993069999999895</v>
      </c>
      <c r="P5444">
        <v>4.4642330000000001E-2</v>
      </c>
      <c r="Q5444">
        <v>0.1371175</v>
      </c>
      <c r="R5444">
        <v>0.98954830000000005</v>
      </c>
      <c r="S5444">
        <v>-0.46072390000000002</v>
      </c>
      <c r="T5444">
        <v>-0.20955180000000001</v>
      </c>
      <c r="U5444">
        <v>3.0807500000000001</v>
      </c>
      <c r="V5444">
        <v>3.6094960000000002E-2</v>
      </c>
      <c r="W5444">
        <v>0.14495229999999901</v>
      </c>
      <c r="X5444">
        <v>0.98878010000000005</v>
      </c>
      <c r="Y5444">
        <v>-0.15616350000000001</v>
      </c>
      <c r="Z5444">
        <v>-6.7071510000000001E-2</v>
      </c>
      <c r="AA5444">
        <v>0.98545130000000003</v>
      </c>
      <c r="AB5444">
        <v>45</v>
      </c>
      <c r="AC5444">
        <v>-2.4422000000000099</v>
      </c>
      <c r="AD5444">
        <v>-1.1089455130520001</v>
      </c>
      <c r="AE5444">
        <v>15.83784</v>
      </c>
      <c r="AF5444">
        <v>-2.5674979935453601</v>
      </c>
      <c r="AG5444">
        <v>-1.1089455130520001</v>
      </c>
      <c r="AH5444">
        <v>15.7406323060024</v>
      </c>
      <c r="AI5444">
        <v>93.977501739307598</v>
      </c>
      <c r="AJ5444">
        <v>99.264088298620607</v>
      </c>
      <c r="AK5444">
        <v>15.9871608326977</v>
      </c>
      <c r="AL5444">
        <v>81.665483428182995</v>
      </c>
      <c r="AM5444">
        <v>87.909372396003306</v>
      </c>
      <c r="AN5444">
        <v>1.0000000507843401</v>
      </c>
    </row>
    <row r="5445" spans="1:40" x14ac:dyDescent="0.25">
      <c r="A5445" t="str">
        <f>"20190312164417320"</f>
        <v>20190312164417320</v>
      </c>
      <c r="B5445" t="str">
        <f>"1552380257310499"</f>
        <v>1552380257310499</v>
      </c>
      <c r="C5445" t="s">
        <v>40</v>
      </c>
      <c r="D5445">
        <v>4.3359170000000002</v>
      </c>
      <c r="E5445">
        <v>0.42452960000000001</v>
      </c>
      <c r="F5445" t="s">
        <v>42</v>
      </c>
      <c r="G5445">
        <v>-190.3081</v>
      </c>
      <c r="H5445" s="1">
        <v>-3.3162410000000002E-6</v>
      </c>
      <c r="I5445">
        <v>57.128259999999997</v>
      </c>
      <c r="J5445">
        <v>-187.86699999999999</v>
      </c>
      <c r="K5445">
        <v>1.1089469999999999</v>
      </c>
      <c r="L5445">
        <v>42.198</v>
      </c>
      <c r="M5445">
        <v>8.7923429999999993E-3</v>
      </c>
      <c r="N5445">
        <v>0</v>
      </c>
      <c r="O5445">
        <v>0.99992970000000003</v>
      </c>
      <c r="P5445">
        <v>4.4685219999999998E-2</v>
      </c>
      <c r="Q5445">
        <v>0.1376744</v>
      </c>
      <c r="R5445">
        <v>0.98946909999999999</v>
      </c>
      <c r="S5445">
        <v>-0.48869319999999999</v>
      </c>
      <c r="T5445">
        <v>-0.22237180000000001</v>
      </c>
      <c r="U5445">
        <v>3.0845340000000001</v>
      </c>
      <c r="V5445">
        <v>3.6037810000000003E-2</v>
      </c>
      <c r="W5445">
        <v>0.14553489999999999</v>
      </c>
      <c r="X5445">
        <v>0.98869660000000004</v>
      </c>
      <c r="Y5445">
        <v>-0.1647652</v>
      </c>
      <c r="Z5445">
        <v>-7.0970000000000005E-2</v>
      </c>
      <c r="AA5445">
        <v>0.98377619999999999</v>
      </c>
      <c r="AB5445">
        <v>46</v>
      </c>
      <c r="AC5445">
        <v>-2.4410999999999698</v>
      </c>
      <c r="AD5445">
        <v>-1.1089503162409999</v>
      </c>
      <c r="AE5445">
        <v>14.930259999999899</v>
      </c>
      <c r="AF5445">
        <v>-2.5585342673784099</v>
      </c>
      <c r="AG5445">
        <v>-1.1089503162409999</v>
      </c>
      <c r="AH5445">
        <v>14.828542611384499</v>
      </c>
      <c r="AI5445">
        <v>94.214845417070904</v>
      </c>
      <c r="AJ5445">
        <v>99.789495013015198</v>
      </c>
      <c r="AK5445">
        <v>15.0884573226983</v>
      </c>
      <c r="AL5445">
        <v>81.631745128753394</v>
      </c>
      <c r="AM5445">
        <v>87.912503477674406</v>
      </c>
      <c r="AN5445">
        <v>1.0000000488595799</v>
      </c>
    </row>
    <row r="5446" spans="1:40" x14ac:dyDescent="0.25">
      <c r="A5446" t="str">
        <f>"20190312164417343"</f>
        <v>20190312164417343</v>
      </c>
      <c r="B5446" t="str">
        <f>"1552380257340755"</f>
        <v>1552380257340755</v>
      </c>
      <c r="C5446" t="s">
        <v>40</v>
      </c>
      <c r="D5446">
        <v>4.2657489999999996</v>
      </c>
      <c r="E5446">
        <v>0.4226125</v>
      </c>
      <c r="F5446" t="s">
        <v>42</v>
      </c>
      <c r="G5446">
        <v>-190.35730000000001</v>
      </c>
      <c r="H5446" s="1">
        <v>-3.4853159999999999E-6</v>
      </c>
      <c r="I5446">
        <v>57.49183</v>
      </c>
      <c r="J5446">
        <v>-187.8629</v>
      </c>
      <c r="K5446">
        <v>1.108975</v>
      </c>
      <c r="L5446">
        <v>42.661619999999999</v>
      </c>
      <c r="M5446">
        <v>8.8702910000000006E-3</v>
      </c>
      <c r="N5446">
        <v>0</v>
      </c>
      <c r="O5446">
        <v>0.9999287</v>
      </c>
      <c r="P5446">
        <v>4.4214419999999997E-2</v>
      </c>
      <c r="Q5446">
        <v>0.13811479999999901</v>
      </c>
      <c r="R5446">
        <v>0.9894288</v>
      </c>
      <c r="S5446">
        <v>-0.50245669999999998</v>
      </c>
      <c r="T5446">
        <v>-0.223747</v>
      </c>
      <c r="U5446">
        <v>3.0857540000000001</v>
      </c>
      <c r="V5446">
        <v>3.5485009999999997E-2</v>
      </c>
      <c r="W5446">
        <v>0.14601140000000001</v>
      </c>
      <c r="X5446">
        <v>0.98864629999999998</v>
      </c>
      <c r="Y5446">
        <v>-0.16905390000000001</v>
      </c>
      <c r="Z5446">
        <v>-7.1327749999999995E-2</v>
      </c>
      <c r="AA5446">
        <v>0.98302250000000002</v>
      </c>
      <c r="AB5446">
        <v>46</v>
      </c>
      <c r="AC5446">
        <v>-2.4944000000000099</v>
      </c>
      <c r="AD5446">
        <v>-1.1089784853160001</v>
      </c>
      <c r="AE5446">
        <v>14.830209999999999</v>
      </c>
      <c r="AF5446">
        <v>-2.61165228474345</v>
      </c>
      <c r="AG5446">
        <v>-1.1089784853160001</v>
      </c>
      <c r="AH5446">
        <v>14.7274126934881</v>
      </c>
      <c r="AI5446">
        <v>94.240352282324395</v>
      </c>
      <c r="AJ5446">
        <v>100.05587789630501</v>
      </c>
      <c r="AK5446">
        <v>14.9982414162999</v>
      </c>
      <c r="AL5446">
        <v>81.604148586417594</v>
      </c>
      <c r="AM5446">
        <v>87.944392344633002</v>
      </c>
      <c r="AN5446">
        <v>1.00000001068417</v>
      </c>
    </row>
    <row r="5447" spans="1:40" x14ac:dyDescent="0.25">
      <c r="A5447" t="str">
        <f>"20190312164417366"</f>
        <v>20190312164417366</v>
      </c>
      <c r="B5447" t="str">
        <f>"1552380257360275"</f>
        <v>1552380257360275</v>
      </c>
      <c r="C5447" t="s">
        <v>40</v>
      </c>
      <c r="D5447">
        <v>4.3276659999999998</v>
      </c>
      <c r="E5447">
        <v>0.42213060000000002</v>
      </c>
      <c r="F5447" t="s">
        <v>42</v>
      </c>
      <c r="G5447">
        <v>-190.34010000000001</v>
      </c>
      <c r="H5447" s="1">
        <v>-3.4333600000000002E-6</v>
      </c>
      <c r="I5447">
        <v>57.381410000000002</v>
      </c>
      <c r="J5447">
        <v>-187.8587</v>
      </c>
      <c r="K5447">
        <v>1.109</v>
      </c>
      <c r="L5447">
        <v>43.124940000000002</v>
      </c>
      <c r="M5447">
        <v>8.9273819999999993E-3</v>
      </c>
      <c r="N5447">
        <v>0</v>
      </c>
      <c r="O5447">
        <v>0.99992789999999998</v>
      </c>
      <c r="P5447">
        <v>4.4141840000000002E-2</v>
      </c>
      <c r="Q5447">
        <v>0.1384396</v>
      </c>
      <c r="R5447">
        <v>0.98938669999999995</v>
      </c>
      <c r="S5447">
        <v>-0.51963809999999999</v>
      </c>
      <c r="T5447">
        <v>-0.232628</v>
      </c>
      <c r="U5447">
        <v>3.0877379999999999</v>
      </c>
      <c r="V5447">
        <v>3.5350050000000001E-2</v>
      </c>
      <c r="W5447">
        <v>0.14637839999999999</v>
      </c>
      <c r="X5447">
        <v>0.9885969</v>
      </c>
      <c r="Y5447">
        <v>-0.174298799999999</v>
      </c>
      <c r="Z5447">
        <v>-7.4029239999999996E-2</v>
      </c>
      <c r="AA5447">
        <v>0.9819061</v>
      </c>
      <c r="AB5447">
        <v>46</v>
      </c>
      <c r="AC5447">
        <v>-2.4813999999999998</v>
      </c>
      <c r="AD5447">
        <v>-1.1090034333600001</v>
      </c>
      <c r="AE5447">
        <v>14.256469999999901</v>
      </c>
      <c r="AF5447">
        <v>-2.5933467338315999</v>
      </c>
      <c r="AG5447">
        <v>-1.1090034333600001</v>
      </c>
      <c r="AH5447">
        <v>14.150638157359801</v>
      </c>
      <c r="AI5447">
        <v>94.4080646877091</v>
      </c>
      <c r="AJ5447">
        <v>100.385187520928</v>
      </c>
      <c r="AK5447">
        <v>14.428994980857301</v>
      </c>
      <c r="AL5447">
        <v>81.582892960059894</v>
      </c>
      <c r="AM5447">
        <v>87.952101519451304</v>
      </c>
      <c r="AN5447">
        <v>1.00000004635558</v>
      </c>
    </row>
    <row r="5448" spans="1:40" x14ac:dyDescent="0.25">
      <c r="A5448" t="str">
        <f>"20190312164417388"</f>
        <v>20190312164417388</v>
      </c>
      <c r="B5448" t="str">
        <f>"1552380257380771"</f>
        <v>1552380257380771</v>
      </c>
      <c r="C5448" t="s">
        <v>40</v>
      </c>
      <c r="D5448">
        <v>4.3041039999999997</v>
      </c>
      <c r="E5448">
        <v>0.42173110000000003</v>
      </c>
      <c r="F5448" t="s">
        <v>42</v>
      </c>
      <c r="G5448">
        <v>-190.29050000000001</v>
      </c>
      <c r="H5448" s="1">
        <v>-3.4506189999999999E-6</v>
      </c>
      <c r="I5448">
        <v>57.452440000000003</v>
      </c>
      <c r="J5448">
        <v>-187.8546</v>
      </c>
      <c r="K5448">
        <v>1.1090139999999999</v>
      </c>
      <c r="L5448">
        <v>43.593350000000001</v>
      </c>
      <c r="M5448">
        <v>8.9680200000000002E-3</v>
      </c>
      <c r="N5448">
        <v>0</v>
      </c>
      <c r="O5448">
        <v>0.99992709999999996</v>
      </c>
      <c r="P5448">
        <v>4.4027320000000002E-2</v>
      </c>
      <c r="Q5448">
        <v>0.13876229999999901</v>
      </c>
      <c r="R5448">
        <v>0.98934659999999996</v>
      </c>
      <c r="S5448">
        <v>-0.52427669999999904</v>
      </c>
      <c r="T5448">
        <v>-0.23910200000000001</v>
      </c>
      <c r="U5448">
        <v>3.0890200000000001</v>
      </c>
      <c r="V5448">
        <v>3.5189619999999998E-2</v>
      </c>
      <c r="W5448">
        <v>0.14674909999999999</v>
      </c>
      <c r="X5448">
        <v>0.98854759999999997</v>
      </c>
      <c r="Y5448">
        <v>-0.17568039999999999</v>
      </c>
      <c r="Z5448">
        <v>-7.6027750000000005E-2</v>
      </c>
      <c r="AA5448">
        <v>0.98150709999999997</v>
      </c>
      <c r="AB5448">
        <v>46</v>
      </c>
      <c r="AC5448">
        <v>-2.4359000000000002</v>
      </c>
      <c r="AD5448">
        <v>-1.109017450619</v>
      </c>
      <c r="AE5448">
        <v>13.85909</v>
      </c>
      <c r="AF5448">
        <v>-2.54429092182811</v>
      </c>
      <c r="AG5448">
        <v>-1.109017450619</v>
      </c>
      <c r="AH5448">
        <v>13.751271184598099</v>
      </c>
      <c r="AI5448">
        <v>94.534203279999502</v>
      </c>
      <c r="AJ5448">
        <v>100.48244992454801</v>
      </c>
      <c r="AK5448">
        <v>14.0285706753408</v>
      </c>
      <c r="AL5448">
        <v>81.561421008539497</v>
      </c>
      <c r="AM5448">
        <v>87.961286105426694</v>
      </c>
      <c r="AN5448">
        <v>0.99999998258615697</v>
      </c>
    </row>
    <row r="5449" spans="1:40" x14ac:dyDescent="0.25">
      <c r="A5449" t="str">
        <f>"20190312164417412"</f>
        <v>20190312164417412</v>
      </c>
      <c r="B5449" t="str">
        <f>"1552380257400292"</f>
        <v>1552380257400292</v>
      </c>
      <c r="C5449" t="s">
        <v>40</v>
      </c>
      <c r="D5449">
        <v>4.329472</v>
      </c>
      <c r="E5449">
        <v>0.42135430000000001</v>
      </c>
      <c r="F5449" t="s">
        <v>42</v>
      </c>
      <c r="G5449">
        <v>-190.27629999999999</v>
      </c>
      <c r="H5449" s="1">
        <v>-3.5778299999999998E-6</v>
      </c>
      <c r="I5449">
        <v>57.757770000000001</v>
      </c>
      <c r="J5449">
        <v>-187.8502</v>
      </c>
      <c r="K5449">
        <v>1.1090390000000001</v>
      </c>
      <c r="L5449">
        <v>44.077939999999998</v>
      </c>
      <c r="M5449">
        <v>8.9924830000000008E-3</v>
      </c>
      <c r="N5449">
        <v>0</v>
      </c>
      <c r="O5449">
        <v>0.99992639999999999</v>
      </c>
      <c r="P5449">
        <v>4.4224659999999999E-2</v>
      </c>
      <c r="Q5449">
        <v>0.1388006</v>
      </c>
      <c r="R5449">
        <v>0.9893324</v>
      </c>
      <c r="S5449">
        <v>-0.52825929999999999</v>
      </c>
      <c r="T5449">
        <v>-0.2419152</v>
      </c>
      <c r="U5449">
        <v>3.0897519999999998</v>
      </c>
      <c r="V5449">
        <v>3.5357119999999999E-2</v>
      </c>
      <c r="W5449">
        <v>0.1468448</v>
      </c>
      <c r="X5449">
        <v>0.98852739999999995</v>
      </c>
      <c r="Y5449">
        <v>-0.1768844</v>
      </c>
      <c r="Z5449">
        <v>-7.688246E-2</v>
      </c>
      <c r="AA5449">
        <v>0.98122419999999999</v>
      </c>
      <c r="AB5449">
        <v>46</v>
      </c>
      <c r="AC5449">
        <v>-2.4260999999999902</v>
      </c>
      <c r="AD5449">
        <v>-1.1090425778299999</v>
      </c>
      <c r="AE5449">
        <v>13.6798299999999</v>
      </c>
      <c r="AF5449">
        <v>-2.5328817227793698</v>
      </c>
      <c r="AG5449">
        <v>-1.1090425778299999</v>
      </c>
      <c r="AH5449">
        <v>13.5709831589764</v>
      </c>
      <c r="AI5449">
        <v>94.592958033364397</v>
      </c>
      <c r="AJ5449">
        <v>100.572020149042</v>
      </c>
      <c r="AK5449">
        <v>13.849803217455801</v>
      </c>
      <c r="AL5449">
        <v>81.555877650749395</v>
      </c>
      <c r="AM5449">
        <v>87.951548402315296</v>
      </c>
      <c r="AN5449">
        <v>0.99999997088624604</v>
      </c>
    </row>
    <row r="5450" spans="1:40" x14ac:dyDescent="0.25">
      <c r="A5450" t="str">
        <f>"20190312164417434"</f>
        <v>20190312164417434</v>
      </c>
      <c r="B5450" t="str">
        <f>"1552380257430549"</f>
        <v>1552380257430549</v>
      </c>
      <c r="C5450" t="s">
        <v>40</v>
      </c>
      <c r="D5450">
        <v>4.2970759999999997</v>
      </c>
      <c r="E5450">
        <v>0.42113349999999999</v>
      </c>
      <c r="F5450" t="s">
        <v>42</v>
      </c>
      <c r="G5450">
        <v>-190.27260000000001</v>
      </c>
      <c r="H5450" s="1">
        <v>-3.7517009999999998E-6</v>
      </c>
      <c r="I5450">
        <v>58.165320000000001</v>
      </c>
      <c r="J5450">
        <v>-187.84620000000001</v>
      </c>
      <c r="K5450">
        <v>1.109067</v>
      </c>
      <c r="L5450">
        <v>44.53143</v>
      </c>
      <c r="M5450">
        <v>8.9906580000000003E-3</v>
      </c>
      <c r="N5450">
        <v>0</v>
      </c>
      <c r="O5450">
        <v>0.99992599999999998</v>
      </c>
      <c r="P5450">
        <v>4.4983189999999999E-2</v>
      </c>
      <c r="Q5450">
        <v>0.13877490000000001</v>
      </c>
      <c r="R5450">
        <v>0.98930180000000001</v>
      </c>
      <c r="S5450">
        <v>-0.53138730000000001</v>
      </c>
      <c r="T5450">
        <v>-0.2432822</v>
      </c>
      <c r="U5450">
        <v>3.0902400000000001</v>
      </c>
      <c r="V5450">
        <v>3.611135E-2</v>
      </c>
      <c r="W5450">
        <v>0.1468807</v>
      </c>
      <c r="X5450">
        <v>0.98849480000000001</v>
      </c>
      <c r="Y5450">
        <v>-0.17781629999999901</v>
      </c>
      <c r="Z5450">
        <v>-7.7289220000000006E-2</v>
      </c>
      <c r="AA5450">
        <v>0.9810238</v>
      </c>
      <c r="AB5450">
        <v>46</v>
      </c>
      <c r="AC5450">
        <v>-2.4264000000000001</v>
      </c>
      <c r="AD5450">
        <v>-1.1090707517009999</v>
      </c>
      <c r="AE5450">
        <v>13.6338899999999</v>
      </c>
      <c r="AF5450">
        <v>-2.5326390375294001</v>
      </c>
      <c r="AG5450">
        <v>-1.1090707517009999</v>
      </c>
      <c r="AH5450">
        <v>13.524773756032999</v>
      </c>
      <c r="AI5450">
        <v>94.608185966896599</v>
      </c>
      <c r="AJ5450">
        <v>100.60632940507099</v>
      </c>
      <c r="AK5450">
        <v>13.8044849081223</v>
      </c>
      <c r="AL5450">
        <v>81.553798173603596</v>
      </c>
      <c r="AM5450">
        <v>87.907820791118795</v>
      </c>
      <c r="AN5450">
        <v>0.99999996962917503</v>
      </c>
    </row>
    <row r="5451" spans="1:40" x14ac:dyDescent="0.25">
      <c r="A5451" t="str">
        <f>"20190312164417457"</f>
        <v>20190312164417457</v>
      </c>
      <c r="B5451" t="str">
        <f>"1552380257450067"</f>
        <v>1552380257450067</v>
      </c>
      <c r="C5451" t="s">
        <v>40</v>
      </c>
      <c r="D5451">
        <v>4.3629020000000001</v>
      </c>
      <c r="E5451">
        <v>0.42104560000000002</v>
      </c>
      <c r="F5451" t="s">
        <v>42</v>
      </c>
      <c r="G5451">
        <v>-190.18819999999999</v>
      </c>
      <c r="H5451" s="1">
        <v>-3.7242319999999999E-6</v>
      </c>
      <c r="I5451">
        <v>58.153660000000002</v>
      </c>
      <c r="J5451">
        <v>-187.84200000000001</v>
      </c>
      <c r="K5451">
        <v>1.1091059999999999</v>
      </c>
      <c r="L5451">
        <v>45.002200000000002</v>
      </c>
      <c r="M5451">
        <v>8.9528149999999994E-3</v>
      </c>
      <c r="N5451">
        <v>0</v>
      </c>
      <c r="O5451">
        <v>0.99992570000000003</v>
      </c>
      <c r="P5451">
        <v>4.5473039999999999E-2</v>
      </c>
      <c r="Q5451">
        <v>0.1392642</v>
      </c>
      <c r="R5451">
        <v>0.9892107</v>
      </c>
      <c r="S5451">
        <v>-0.53158570000000005</v>
      </c>
      <c r="T5451">
        <v>-0.25173250000000003</v>
      </c>
      <c r="U5451">
        <v>3.0919189999999999</v>
      </c>
      <c r="V5451">
        <v>3.6630219999999998E-2</v>
      </c>
      <c r="W5451">
        <v>0.1474396</v>
      </c>
      <c r="X5451">
        <v>0.98839250000000001</v>
      </c>
      <c r="Y5451">
        <v>-0.17771609999999999</v>
      </c>
      <c r="Z5451">
        <v>-7.9914509999999994E-2</v>
      </c>
      <c r="AA5451">
        <v>0.98083160000000003</v>
      </c>
      <c r="AB5451">
        <v>46</v>
      </c>
      <c r="AC5451">
        <v>-2.3461999999999801</v>
      </c>
      <c r="AD5451">
        <v>-1.1091097242319901</v>
      </c>
      <c r="AE5451">
        <v>13.151459999999901</v>
      </c>
      <c r="AF5451">
        <v>-2.44698603782046</v>
      </c>
      <c r="AG5451">
        <v>-1.1091097242319901</v>
      </c>
      <c r="AH5451">
        <v>13.040044873626099</v>
      </c>
      <c r="AI5451">
        <v>94.778532953584303</v>
      </c>
      <c r="AJ5451">
        <v>100.628049285187</v>
      </c>
      <c r="AK5451">
        <v>13.313926368876199</v>
      </c>
      <c r="AL5451">
        <v>81.521423097746506</v>
      </c>
      <c r="AM5451">
        <v>87.877566920466705</v>
      </c>
      <c r="AN5451">
        <v>0.99999997136082797</v>
      </c>
    </row>
    <row r="5452" spans="1:40" x14ac:dyDescent="0.25">
      <c r="A5452" t="str">
        <f>"20190312164417476"</f>
        <v>20190312164417476</v>
      </c>
      <c r="B5452" t="str">
        <f>"1552380257470564"</f>
        <v>1552380257470564</v>
      </c>
      <c r="C5452" t="s">
        <v>40</v>
      </c>
      <c r="D5452">
        <v>4.3735039999999996</v>
      </c>
      <c r="E5452">
        <v>0.42088530000000002</v>
      </c>
      <c r="F5452" t="s">
        <v>42</v>
      </c>
      <c r="G5452">
        <v>-190.15549999999999</v>
      </c>
      <c r="H5452" s="1">
        <v>-3.8609169999999996E-6</v>
      </c>
      <c r="I5452">
        <v>58.492569999999901</v>
      </c>
      <c r="J5452">
        <v>-187.83840000000001</v>
      </c>
      <c r="K5452">
        <v>1.1091420000000001</v>
      </c>
      <c r="L5452">
        <v>45.402889999999999</v>
      </c>
      <c r="M5452">
        <v>8.8855359999999994E-3</v>
      </c>
      <c r="N5452">
        <v>0</v>
      </c>
      <c r="O5452">
        <v>0.99992590000000003</v>
      </c>
      <c r="P5452">
        <v>4.5863359999999999E-2</v>
      </c>
      <c r="Q5452">
        <v>0.1391751</v>
      </c>
      <c r="R5452">
        <v>0.98920520000000001</v>
      </c>
      <c r="S5452">
        <v>-0.53041079999999996</v>
      </c>
      <c r="T5452">
        <v>-0.25428210000000001</v>
      </c>
      <c r="U5452">
        <v>3.0928960000000001</v>
      </c>
      <c r="V5452">
        <v>3.7076560000000001E-2</v>
      </c>
      <c r="W5452">
        <v>0.147412299999999</v>
      </c>
      <c r="X5452">
        <v>0.98838000000000004</v>
      </c>
      <c r="Y5452">
        <v>-0.17722560000000001</v>
      </c>
      <c r="Z5452">
        <v>-8.0699850000000004E-2</v>
      </c>
      <c r="AA5452">
        <v>0.98085610000000001</v>
      </c>
      <c r="AB5452">
        <v>46</v>
      </c>
      <c r="AC5452">
        <v>-2.31709999999998</v>
      </c>
      <c r="AD5452">
        <v>-1.109145860917</v>
      </c>
      <c r="AE5452">
        <v>13.0896799999999</v>
      </c>
      <c r="AF5452">
        <v>-2.4164982741081</v>
      </c>
      <c r="AG5452">
        <v>-1.109145860917</v>
      </c>
      <c r="AH5452">
        <v>12.978222477573199</v>
      </c>
      <c r="AI5452">
        <v>94.802601514641694</v>
      </c>
      <c r="AJ5452">
        <v>100.547484036402</v>
      </c>
      <c r="AK5452">
        <v>13.2477895185175</v>
      </c>
      <c r="AL5452">
        <v>81.523005147200905</v>
      </c>
      <c r="AM5452">
        <v>87.851701971015004</v>
      </c>
      <c r="AN5452">
        <v>1.0000000409463601</v>
      </c>
    </row>
    <row r="5453" spans="1:40" x14ac:dyDescent="0.25">
      <c r="A5453" t="str">
        <f>"20190312164417499"</f>
        <v>20190312164417499</v>
      </c>
      <c r="B5453" t="str">
        <f>"1552380257490083"</f>
        <v>1552380257490083</v>
      </c>
      <c r="C5453" t="s">
        <v>40</v>
      </c>
      <c r="D5453">
        <v>4.3705790000000002</v>
      </c>
      <c r="E5453">
        <v>0.42072470000000001</v>
      </c>
      <c r="F5453" t="s">
        <v>42</v>
      </c>
      <c r="G5453">
        <v>-190.1285</v>
      </c>
      <c r="H5453" s="1">
        <v>-3.9692750000000002E-6</v>
      </c>
      <c r="I5453">
        <v>58.761879999999998</v>
      </c>
      <c r="J5453">
        <v>-187.83430000000001</v>
      </c>
      <c r="K5453">
        <v>1.109186</v>
      </c>
      <c r="L5453">
        <v>45.871769999999998</v>
      </c>
      <c r="M5453">
        <v>8.7682650000000008E-3</v>
      </c>
      <c r="N5453">
        <v>0</v>
      </c>
      <c r="O5453">
        <v>0.99992630000000005</v>
      </c>
      <c r="P5453">
        <v>4.6276860000000003E-2</v>
      </c>
      <c r="Q5453">
        <v>0.13881940000000001</v>
      </c>
      <c r="R5453">
        <v>0.98923589999999995</v>
      </c>
      <c r="S5453">
        <v>-0.530304</v>
      </c>
      <c r="T5453">
        <v>-0.2568395</v>
      </c>
      <c r="U5453">
        <v>3.0934750000000002</v>
      </c>
      <c r="V5453">
        <v>3.7591239999999998E-2</v>
      </c>
      <c r="W5453">
        <v>0.14713019999999999</v>
      </c>
      <c r="X5453">
        <v>0.98840249999999996</v>
      </c>
      <c r="Y5453">
        <v>-0.17703569999999999</v>
      </c>
      <c r="Z5453">
        <v>-8.149286E-2</v>
      </c>
      <c r="AA5453">
        <v>0.98082480000000005</v>
      </c>
      <c r="AB5453">
        <v>46</v>
      </c>
      <c r="AC5453">
        <v>-2.29419999999998</v>
      </c>
      <c r="AD5453">
        <v>-1.109189969275</v>
      </c>
      <c r="AE5453">
        <v>12.89011</v>
      </c>
      <c r="AF5453">
        <v>-2.3899862893255999</v>
      </c>
      <c r="AG5453">
        <v>-1.109189969275</v>
      </c>
      <c r="AH5453">
        <v>12.777788905919101</v>
      </c>
      <c r="AI5453">
        <v>94.877027541316295</v>
      </c>
      <c r="AJ5453">
        <v>100.594316343881</v>
      </c>
      <c r="AK5453">
        <v>13.0466174227397</v>
      </c>
      <c r="AL5453">
        <v>81.539345690418699</v>
      </c>
      <c r="AM5453">
        <v>87.821958332063005</v>
      </c>
      <c r="AN5453">
        <v>0.99999994954151195</v>
      </c>
    </row>
    <row r="5454" spans="1:40" x14ac:dyDescent="0.25">
      <c r="A5454" t="str">
        <f>"20190312164417522"</f>
        <v>20190312164417522</v>
      </c>
      <c r="B5454" t="str">
        <f>"1552380257510595"</f>
        <v>1552380257510595</v>
      </c>
      <c r="C5454" t="s">
        <v>40</v>
      </c>
      <c r="D5454">
        <v>4.346095</v>
      </c>
      <c r="E5454">
        <v>0.4205334</v>
      </c>
      <c r="F5454" t="s">
        <v>42</v>
      </c>
      <c r="G5454">
        <v>-190.0934</v>
      </c>
      <c r="H5454" s="1">
        <v>-4.0859799999999998E-6</v>
      </c>
      <c r="I5454">
        <v>59.055660000000003</v>
      </c>
      <c r="J5454">
        <v>-187.8304</v>
      </c>
      <c r="K5454">
        <v>1.1092340000000001</v>
      </c>
      <c r="L5454">
        <v>46.336849999999998</v>
      </c>
      <c r="M5454">
        <v>8.6113749999999992E-3</v>
      </c>
      <c r="N5454">
        <v>0</v>
      </c>
      <c r="O5454">
        <v>0.99992700000000001</v>
      </c>
      <c r="P5454">
        <v>4.6599439999999999E-2</v>
      </c>
      <c r="Q5454">
        <v>0.138837299999999</v>
      </c>
      <c r="R5454">
        <v>0.98921820000000005</v>
      </c>
      <c r="S5454">
        <v>-0.53016660000000004</v>
      </c>
      <c r="T5454">
        <v>-0.26030189999999997</v>
      </c>
      <c r="U5454">
        <v>3.0939640000000002</v>
      </c>
      <c r="V5454">
        <v>3.805389E-2</v>
      </c>
      <c r="W5454">
        <v>0.14721979999999901</v>
      </c>
      <c r="X5454">
        <v>0.98837149999999996</v>
      </c>
      <c r="Y5454">
        <v>-0.17679819999999999</v>
      </c>
      <c r="Z5454">
        <v>-8.2573380000000002E-2</v>
      </c>
      <c r="AA5454">
        <v>0.98077729999999996</v>
      </c>
      <c r="AB5454">
        <v>46</v>
      </c>
      <c r="AC5454">
        <v>-2.2629999999999999</v>
      </c>
      <c r="AD5454">
        <v>-1.10923808598</v>
      </c>
      <c r="AE5454">
        <v>12.7188099999999</v>
      </c>
      <c r="AF5454">
        <v>-2.3550833588384701</v>
      </c>
      <c r="AG5454">
        <v>-1.10923808598</v>
      </c>
      <c r="AH5454">
        <v>12.605911701272399</v>
      </c>
      <c r="AI5454">
        <v>94.943604348446698</v>
      </c>
      <c r="AJ5454">
        <v>100.582218854597</v>
      </c>
      <c r="AK5454">
        <v>12.871901047582</v>
      </c>
      <c r="AL5454">
        <v>81.534155857193397</v>
      </c>
      <c r="AM5454">
        <v>87.795109536224203</v>
      </c>
      <c r="AN5454">
        <v>0.999999995034211</v>
      </c>
    </row>
    <row r="5455" spans="1:40" x14ac:dyDescent="0.25">
      <c r="A5455" t="str">
        <f>"20190312164417545"</f>
        <v>20190312164417545</v>
      </c>
      <c r="B5455" t="str">
        <f>"1552380257540836"</f>
        <v>1552380257540836</v>
      </c>
      <c r="C5455" t="s">
        <v>40</v>
      </c>
      <c r="D5455">
        <v>4.5075729999999998</v>
      </c>
      <c r="E5455">
        <v>0.42050270000000001</v>
      </c>
      <c r="F5455" t="s">
        <v>42</v>
      </c>
      <c r="G5455">
        <v>-190.08179999999999</v>
      </c>
      <c r="H5455" s="1">
        <v>-4.2596169999999997E-6</v>
      </c>
      <c r="I5455">
        <v>59.467669999999998</v>
      </c>
      <c r="J5455">
        <v>-187.8263</v>
      </c>
      <c r="K5455">
        <v>1.1092770000000001</v>
      </c>
      <c r="L5455">
        <v>46.825679999999998</v>
      </c>
      <c r="M5455">
        <v>8.4058569999999992E-3</v>
      </c>
      <c r="N5455">
        <v>0</v>
      </c>
      <c r="O5455">
        <v>0.99992820000000004</v>
      </c>
      <c r="P5455">
        <v>4.6747329999999997E-2</v>
      </c>
      <c r="Q5455">
        <v>0.13894000000000001</v>
      </c>
      <c r="R5455">
        <v>0.98919679999999999</v>
      </c>
      <c r="S5455">
        <v>-0.53056340000000002</v>
      </c>
      <c r="T5455">
        <v>-0.26140150000000001</v>
      </c>
      <c r="U5455">
        <v>3.0943909999999999</v>
      </c>
      <c r="V5455">
        <v>3.8390000000000001E-2</v>
      </c>
      <c r="W5455">
        <v>0.14739769999999999</v>
      </c>
      <c r="X5455">
        <v>0.98833199999999999</v>
      </c>
      <c r="Y5455">
        <v>-0.17669089999999901</v>
      </c>
      <c r="Z5455">
        <v>-8.2908679999999998E-2</v>
      </c>
      <c r="AA5455">
        <v>0.98076830000000004</v>
      </c>
      <c r="AB5455">
        <v>46</v>
      </c>
      <c r="AC5455">
        <v>-2.2554999999999801</v>
      </c>
      <c r="AD5455">
        <v>-1.1092812596170001</v>
      </c>
      <c r="AE5455">
        <v>12.64199</v>
      </c>
      <c r="AF5455">
        <v>-2.3441989932488898</v>
      </c>
      <c r="AG5455">
        <v>-1.1092812596170001</v>
      </c>
      <c r="AH5455">
        <v>12.5290936025481</v>
      </c>
      <c r="AI5455">
        <v>94.9737081079967</v>
      </c>
      <c r="AJ5455">
        <v>100.597538374311</v>
      </c>
      <c r="AK5455">
        <v>12.7946848470096</v>
      </c>
      <c r="AL5455">
        <v>81.523850624335296</v>
      </c>
      <c r="AM5455">
        <v>87.775565564759901</v>
      </c>
      <c r="AN5455">
        <v>1.0000000081446401</v>
      </c>
    </row>
    <row r="5456" spans="1:40" x14ac:dyDescent="0.25">
      <c r="A5456" t="str">
        <f>"20190312164417567"</f>
        <v>20190312164417567</v>
      </c>
      <c r="B5456" t="str">
        <f>"1552380257560355"</f>
        <v>1552380257560355</v>
      </c>
      <c r="C5456" t="s">
        <v>40</v>
      </c>
      <c r="D5456">
        <v>3.4933730000000001</v>
      </c>
      <c r="E5456">
        <v>0.42050270000000001</v>
      </c>
      <c r="F5456" t="s">
        <v>42</v>
      </c>
      <c r="G5456">
        <v>-190.07140000000001</v>
      </c>
      <c r="H5456" s="1">
        <v>-1.6231570000000001E-7</v>
      </c>
      <c r="I5456">
        <v>59.923209999999997</v>
      </c>
      <c r="J5456">
        <v>-187.8227</v>
      </c>
      <c r="K5456">
        <v>1.1093150000000001</v>
      </c>
      <c r="L5456">
        <v>47.265320000000003</v>
      </c>
      <c r="M5456">
        <v>8.195094E-3</v>
      </c>
      <c r="N5456">
        <v>0</v>
      </c>
      <c r="O5456">
        <v>0.99992939999999997</v>
      </c>
      <c r="P5456">
        <v>4.7244010000000003E-2</v>
      </c>
      <c r="Q5456">
        <v>0.13874600000000001</v>
      </c>
      <c r="R5456">
        <v>0.98920050000000004</v>
      </c>
      <c r="S5456">
        <v>-0.5304565</v>
      </c>
      <c r="T5456">
        <v>-0.262096</v>
      </c>
      <c r="U5456">
        <v>3.0946349999999998</v>
      </c>
      <c r="V5456">
        <v>3.9082909999999998E-2</v>
      </c>
      <c r="W5456">
        <v>0.14726839999999999</v>
      </c>
      <c r="X5456">
        <v>0.98832410000000004</v>
      </c>
      <c r="Y5456">
        <v>-0.1764346</v>
      </c>
      <c r="Z5456">
        <v>-8.3123370000000002E-2</v>
      </c>
      <c r="AA5456">
        <v>0.98079629999999995</v>
      </c>
      <c r="AB5456">
        <v>46</v>
      </c>
      <c r="AC5456">
        <v>-2.2487000000000101</v>
      </c>
      <c r="AD5456">
        <v>-1.1093151623156901</v>
      </c>
      <c r="AE5456">
        <v>12.657889999999901</v>
      </c>
      <c r="AF5456">
        <v>-2.3349759058504902</v>
      </c>
      <c r="AG5456">
        <v>-1.1093151623156901</v>
      </c>
      <c r="AH5456">
        <v>12.5456277095609</v>
      </c>
      <c r="AI5456">
        <v>94.968212121341196</v>
      </c>
      <c r="AJ5456">
        <v>100.54318132925199</v>
      </c>
      <c r="AK5456">
        <v>12.809194636554899</v>
      </c>
      <c r="AL5456">
        <v>81.531340562625999</v>
      </c>
      <c r="AM5456">
        <v>87.7354395793175</v>
      </c>
      <c r="AN5456">
        <v>0.999999991066719</v>
      </c>
    </row>
    <row r="5457" spans="1:40" x14ac:dyDescent="0.25">
      <c r="A5457" t="str">
        <f>"20190312164417613"</f>
        <v>20190312164417613</v>
      </c>
      <c r="B5457" t="str">
        <f>"1552380257610131"</f>
        <v>1552380257610131</v>
      </c>
      <c r="C5457" t="s">
        <v>40</v>
      </c>
      <c r="D5457">
        <v>4.1715479999999996</v>
      </c>
      <c r="E5457">
        <v>0.538921599999999</v>
      </c>
      <c r="F5457" t="s">
        <v>42</v>
      </c>
      <c r="G5457">
        <v>-190.05109999999999</v>
      </c>
      <c r="H5457" s="1">
        <v>-3.2558549999999997E-7</v>
      </c>
      <c r="I5457">
        <v>60.316360000000003</v>
      </c>
      <c r="J5457">
        <v>-187.81540000000001</v>
      </c>
      <c r="K5457">
        <v>1.109397</v>
      </c>
      <c r="L5457">
        <v>48.219569999999997</v>
      </c>
      <c r="M5457">
        <v>7.6623000000000004E-3</v>
      </c>
      <c r="N5457">
        <v>0</v>
      </c>
      <c r="O5457">
        <v>0.9999325</v>
      </c>
      <c r="P5457">
        <v>4.784977E-2</v>
      </c>
      <c r="Q5457">
        <v>0.1389077</v>
      </c>
      <c r="R5457">
        <v>0.98914860000000004</v>
      </c>
      <c r="S5457">
        <v>-0.52842709999999904</v>
      </c>
      <c r="T5457">
        <v>-0.2630594</v>
      </c>
      <c r="U5457">
        <v>3.0948790000000002</v>
      </c>
      <c r="V5457">
        <v>4.0193569999999998E-2</v>
      </c>
      <c r="W5457">
        <v>0.14756129999999901</v>
      </c>
      <c r="X5457">
        <v>0.98823589999999994</v>
      </c>
      <c r="Y5457">
        <v>-0.17526800000000001</v>
      </c>
      <c r="Z5457">
        <v>-8.3434140000000004E-2</v>
      </c>
      <c r="AA5457">
        <v>0.98097900000000005</v>
      </c>
      <c r="AB5457">
        <v>46</v>
      </c>
      <c r="AC5457">
        <v>-2.23569999999998</v>
      </c>
      <c r="AD5457">
        <v>-1.1093973255855001</v>
      </c>
      <c r="AE5457">
        <v>12.096789999999899</v>
      </c>
      <c r="AF5457">
        <v>-2.3095437671349002</v>
      </c>
      <c r="AG5457">
        <v>-1.1093973255855001</v>
      </c>
      <c r="AH5457">
        <v>11.981855962370901</v>
      </c>
      <c r="AI5457">
        <v>95.1948346267083</v>
      </c>
      <c r="AJ5457">
        <v>100.91015279338001</v>
      </c>
      <c r="AK5457">
        <v>12.2527395769816</v>
      </c>
      <c r="AL5457">
        <v>81.514373565306897</v>
      </c>
      <c r="AM5457">
        <v>87.670947452024393</v>
      </c>
      <c r="AN5457">
        <v>1.0000000271879199</v>
      </c>
    </row>
    <row r="5458" spans="1:40" x14ac:dyDescent="0.25">
      <c r="A5458" t="str">
        <f>"20190312164417678"</f>
        <v>20190312164417678</v>
      </c>
      <c r="B5458" t="str">
        <f>"1552380257670644"</f>
        <v>1552380257670644</v>
      </c>
      <c r="C5458" t="s">
        <v>40</v>
      </c>
      <c r="D5458">
        <v>4.5483330000000004</v>
      </c>
      <c r="E5458">
        <v>0.52908719999999998</v>
      </c>
      <c r="F5458" t="s">
        <v>41</v>
      </c>
      <c r="G5458">
        <v>-187.71530000000001</v>
      </c>
      <c r="H5458">
        <v>1.054821</v>
      </c>
      <c r="I5458">
        <v>49.978839999999998</v>
      </c>
      <c r="J5458">
        <v>-187.8057</v>
      </c>
      <c r="K5458">
        <v>1.10948</v>
      </c>
      <c r="L5458">
        <v>49.607759999999999</v>
      </c>
      <c r="M5458">
        <v>6.7435339999999998E-3</v>
      </c>
      <c r="N5458">
        <v>0</v>
      </c>
      <c r="O5458">
        <v>0.99993770000000004</v>
      </c>
      <c r="P5458">
        <v>4.8730160000000002E-2</v>
      </c>
      <c r="Q5458">
        <v>0.13813979999999901</v>
      </c>
      <c r="R5458">
        <v>0.98921320000000001</v>
      </c>
      <c r="S5458">
        <v>0.33735660000000001</v>
      </c>
      <c r="T5458">
        <v>-0.19706689999999999</v>
      </c>
      <c r="U5458">
        <v>3.0437620000000001</v>
      </c>
      <c r="V5458">
        <v>4.195202E-2</v>
      </c>
      <c r="W5458">
        <v>0.1469684</v>
      </c>
      <c r="X5458">
        <v>0.98825110000000005</v>
      </c>
      <c r="Y5458">
        <v>0.1032281</v>
      </c>
      <c r="Z5458">
        <v>-6.4238619999999996E-2</v>
      </c>
      <c r="AA5458">
        <v>0.99258120000000005</v>
      </c>
      <c r="AB5458">
        <v>47</v>
      </c>
      <c r="AC5458">
        <v>9.0399999999988198E-2</v>
      </c>
      <c r="AD5458">
        <v>-5.4658999999999999E-2</v>
      </c>
      <c r="AE5458">
        <v>0.37108000000000602</v>
      </c>
      <c r="AF5458">
        <v>8.6131402748760494E-2</v>
      </c>
      <c r="AG5458">
        <v>-5.4658999999999999E-2</v>
      </c>
      <c r="AH5458">
        <v>0.36422160104149498</v>
      </c>
      <c r="AI5458">
        <v>98.308890132005104</v>
      </c>
      <c r="AJ5458">
        <v>76.695073963057098</v>
      </c>
      <c r="AK5458">
        <v>0.37823749085157998</v>
      </c>
      <c r="AL5458">
        <v>81.548718118997897</v>
      </c>
      <c r="AM5458">
        <v>87.569209499317196</v>
      </c>
      <c r="AN5458">
        <v>0.99999995961592403</v>
      </c>
    </row>
    <row r="5459" spans="1:40" x14ac:dyDescent="0.25">
      <c r="A5459" t="str">
        <f>"20190312164417699"</f>
        <v>20190312164417699</v>
      </c>
      <c r="B5459" t="str">
        <f>"1552380257690164"</f>
        <v>1552380257690164</v>
      </c>
      <c r="C5459" t="s">
        <v>40</v>
      </c>
      <c r="D5459">
        <v>4.470745</v>
      </c>
      <c r="E5459">
        <v>0.52766150000000001</v>
      </c>
      <c r="F5459" t="s">
        <v>42</v>
      </c>
      <c r="G5459">
        <v>-185.65780000000001</v>
      </c>
      <c r="H5459" s="1">
        <v>-4.5777920000000002E-6</v>
      </c>
      <c r="I5459">
        <v>68.508290000000002</v>
      </c>
      <c r="J5459">
        <v>-187.80289999999999</v>
      </c>
      <c r="K5459">
        <v>1.1095139999999999</v>
      </c>
      <c r="L5459">
        <v>50.050809999999998</v>
      </c>
      <c r="M5459">
        <v>6.4101050000000001E-3</v>
      </c>
      <c r="N5459">
        <v>0</v>
      </c>
      <c r="O5459">
        <v>0.99993940000000003</v>
      </c>
      <c r="P5459">
        <v>4.8876990000000002E-2</v>
      </c>
      <c r="Q5459">
        <v>0.13802970000000001</v>
      </c>
      <c r="R5459">
        <v>0.98922129999999997</v>
      </c>
      <c r="S5459">
        <v>0.34553529999999999</v>
      </c>
      <c r="T5459">
        <v>-0.17848810000000001</v>
      </c>
      <c r="U5459">
        <v>3.040619</v>
      </c>
      <c r="V5459">
        <v>4.24176E-2</v>
      </c>
      <c r="W5459">
        <v>0.14691000000000001</v>
      </c>
      <c r="X5459">
        <v>0.98823989999999995</v>
      </c>
      <c r="Y5459">
        <v>0.10634970000000001</v>
      </c>
      <c r="Z5459">
        <v>-5.8245619999999998E-2</v>
      </c>
      <c r="AA5459">
        <v>0.99262139999999999</v>
      </c>
      <c r="AB5459">
        <v>47</v>
      </c>
      <c r="AC5459">
        <v>2.1450999999999798</v>
      </c>
      <c r="AD5459">
        <v>-1.10951857779199</v>
      </c>
      <c r="AE5459">
        <v>18.45748</v>
      </c>
      <c r="AF5459">
        <v>2.01953652097805</v>
      </c>
      <c r="AG5459">
        <v>-1.10951857779199</v>
      </c>
      <c r="AH5459">
        <v>18.405231212232099</v>
      </c>
      <c r="AI5459">
        <v>93.429241856237496</v>
      </c>
      <c r="AJ5459">
        <v>83.738200652063398</v>
      </c>
      <c r="AK5459">
        <v>18.5489108901237</v>
      </c>
      <c r="AL5459">
        <v>81.552100832842498</v>
      </c>
      <c r="AM5459">
        <v>87.542237868721799</v>
      </c>
      <c r="AN5459">
        <v>0.99999995042088297</v>
      </c>
    </row>
    <row r="5460" spans="1:40" x14ac:dyDescent="0.25">
      <c r="A5460" t="str">
        <f>"20190312164417724"</f>
        <v>20190312164417724</v>
      </c>
      <c r="B5460" t="str">
        <f>"1552380257720420"</f>
        <v>1552380257720420</v>
      </c>
      <c r="C5460" t="s">
        <v>40</v>
      </c>
      <c r="D5460">
        <v>4.4130440000000002</v>
      </c>
      <c r="E5460">
        <v>0.52728759999999997</v>
      </c>
      <c r="F5460" t="s">
        <v>42</v>
      </c>
      <c r="G5460">
        <v>-185.49270000000001</v>
      </c>
      <c r="H5460" s="1">
        <v>-1.6493119999999999E-6</v>
      </c>
      <c r="I5460">
        <v>70.970489999999998</v>
      </c>
      <c r="J5460">
        <v>-187.79990000000001</v>
      </c>
      <c r="K5460">
        <v>1.1095489999999999</v>
      </c>
      <c r="L5460">
        <v>50.542659999999998</v>
      </c>
      <c r="M5460">
        <v>6.005402E-3</v>
      </c>
      <c r="N5460">
        <v>0</v>
      </c>
      <c r="O5460">
        <v>0.99994150000000004</v>
      </c>
      <c r="P5460">
        <v>4.9413119999999998E-2</v>
      </c>
      <c r="Q5460">
        <v>0.1377273</v>
      </c>
      <c r="R5460">
        <v>0.98923680000000003</v>
      </c>
      <c r="S5460">
        <v>0.33555600000000002</v>
      </c>
      <c r="T5460">
        <v>-0.1611582</v>
      </c>
      <c r="U5460">
        <v>3.038605</v>
      </c>
      <c r="V5460">
        <v>4.3340190000000001E-2</v>
      </c>
      <c r="W5460">
        <v>0.14666560000000001</v>
      </c>
      <c r="X5460">
        <v>0.98823620000000001</v>
      </c>
      <c r="Y5460">
        <v>0.1036401</v>
      </c>
      <c r="Z5460">
        <v>-5.2658829999999997E-2</v>
      </c>
      <c r="AA5460">
        <v>0.99321990000000004</v>
      </c>
      <c r="AB5460">
        <v>47</v>
      </c>
      <c r="AC5460">
        <v>2.3071999999999901</v>
      </c>
      <c r="AD5460">
        <v>-1.109550649312</v>
      </c>
      <c r="AE5460">
        <v>20.42783</v>
      </c>
      <c r="AF5460">
        <v>2.17813113676028</v>
      </c>
      <c r="AG5460">
        <v>-1.109550649312</v>
      </c>
      <c r="AH5460">
        <v>20.3819446297714</v>
      </c>
      <c r="AI5460">
        <v>93.098380072667894</v>
      </c>
      <c r="AJ5460">
        <v>83.900195611607401</v>
      </c>
      <c r="AK5460">
        <v>20.5280058647541</v>
      </c>
      <c r="AL5460">
        <v>81.566257504241904</v>
      </c>
      <c r="AM5460">
        <v>87.488839438213105</v>
      </c>
      <c r="AN5460">
        <v>0.99999997864151702</v>
      </c>
    </row>
    <row r="5461" spans="1:40" x14ac:dyDescent="0.25">
      <c r="A5461" t="str">
        <f>"20190312164417743"</f>
        <v>20190312164417743</v>
      </c>
      <c r="B5461" t="str">
        <f>"1552380257740915"</f>
        <v>1552380257740915</v>
      </c>
      <c r="C5461" t="s">
        <v>40</v>
      </c>
      <c r="D5461">
        <v>4.3478589999999997</v>
      </c>
      <c r="E5461">
        <v>0.52727369999999996</v>
      </c>
      <c r="F5461" t="s">
        <v>42</v>
      </c>
      <c r="G5461">
        <v>-185.39359999999999</v>
      </c>
      <c r="H5461" s="1">
        <v>-2.1582470000000002E-6</v>
      </c>
      <c r="I5461">
        <v>72.388530000000003</v>
      </c>
      <c r="J5461">
        <v>-187.79759999999999</v>
      </c>
      <c r="K5461">
        <v>1.1095900000000001</v>
      </c>
      <c r="L5461">
        <v>50.969909999999999</v>
      </c>
      <c r="M5461">
        <v>5.6216299999999999E-3</v>
      </c>
      <c r="N5461">
        <v>0</v>
      </c>
      <c r="O5461">
        <v>0.99994329999999998</v>
      </c>
      <c r="P5461">
        <v>5.0568719999999998E-2</v>
      </c>
      <c r="Q5461">
        <v>0.13759299999999999</v>
      </c>
      <c r="R5461">
        <v>0.98919710000000005</v>
      </c>
      <c r="S5461">
        <v>0.33457949999999997</v>
      </c>
      <c r="T5461">
        <v>-0.1542702</v>
      </c>
      <c r="U5461">
        <v>3.0374150000000002</v>
      </c>
      <c r="V5461">
        <v>4.4862399999999997E-2</v>
      </c>
      <c r="W5461">
        <v>0.14658070000000001</v>
      </c>
      <c r="X5461">
        <v>0.98818090000000003</v>
      </c>
      <c r="Y5461">
        <v>0.1037613</v>
      </c>
      <c r="Z5461">
        <v>-5.0434350000000003E-2</v>
      </c>
      <c r="AA5461">
        <v>0.9933227</v>
      </c>
      <c r="AB5461">
        <v>47</v>
      </c>
      <c r="AC5461">
        <v>2.4039999999999901</v>
      </c>
      <c r="AD5461">
        <v>-1.1095921582470001</v>
      </c>
      <c r="AE5461">
        <v>21.418620000000001</v>
      </c>
      <c r="AF5461">
        <v>2.2775132702328502</v>
      </c>
      <c r="AG5461">
        <v>-1.1095921582470001</v>
      </c>
      <c r="AH5461">
        <v>21.375144382844301</v>
      </c>
      <c r="AI5461">
        <v>92.9548833234672</v>
      </c>
      <c r="AJ5461">
        <v>83.918103402747406</v>
      </c>
      <c r="AK5461">
        <v>21.5247545593712</v>
      </c>
      <c r="AL5461">
        <v>81.571175361721899</v>
      </c>
      <c r="AM5461">
        <v>87.400615191695806</v>
      </c>
      <c r="AN5461">
        <v>1.0000000138355301</v>
      </c>
    </row>
    <row r="5462" spans="1:40" x14ac:dyDescent="0.25">
      <c r="A5462" t="str">
        <f>"20190312164417766"</f>
        <v>20190312164417766</v>
      </c>
      <c r="B5462" t="str">
        <f>"1552380257760436"</f>
        <v>1552380257760436</v>
      </c>
      <c r="C5462" t="s">
        <v>40</v>
      </c>
      <c r="D5462">
        <v>4.3119870000000002</v>
      </c>
      <c r="E5462">
        <v>0.52742889999999998</v>
      </c>
      <c r="F5462" t="s">
        <v>42</v>
      </c>
      <c r="G5462">
        <v>-185.33109999999999</v>
      </c>
      <c r="H5462" s="1">
        <v>-2.4320409999999998E-6</v>
      </c>
      <c r="I5462">
        <v>73.144269999999906</v>
      </c>
      <c r="J5462">
        <v>-187.7953</v>
      </c>
      <c r="K5462">
        <v>1.109634</v>
      </c>
      <c r="L5462">
        <v>51.438999999999901</v>
      </c>
      <c r="M5462">
        <v>5.1667659999999997E-3</v>
      </c>
      <c r="N5462">
        <v>0</v>
      </c>
      <c r="O5462">
        <v>0.99994530000000004</v>
      </c>
      <c r="P5462">
        <v>5.1137700000000001E-2</v>
      </c>
      <c r="Q5462">
        <v>0.13713610000000001</v>
      </c>
      <c r="R5462">
        <v>0.98923130000000004</v>
      </c>
      <c r="S5462">
        <v>0.33776859999999997</v>
      </c>
      <c r="T5462">
        <v>-0.151950799999999</v>
      </c>
      <c r="U5462">
        <v>3.0366209999999998</v>
      </c>
      <c r="V5462">
        <v>4.5866850000000001E-2</v>
      </c>
      <c r="W5462">
        <v>0.146176</v>
      </c>
      <c r="X5462">
        <v>0.98819469999999998</v>
      </c>
      <c r="Y5462">
        <v>0.1052766</v>
      </c>
      <c r="Z5462">
        <v>-4.9684239999999998E-2</v>
      </c>
      <c r="AA5462">
        <v>0.993201</v>
      </c>
      <c r="AB5462">
        <v>47</v>
      </c>
      <c r="AC5462">
        <v>2.4641999999999999</v>
      </c>
      <c r="AD5462">
        <v>-1.1096364320409999</v>
      </c>
      <c r="AE5462">
        <v>21.705269999999999</v>
      </c>
      <c r="AF5462">
        <v>2.3459631429352199</v>
      </c>
      <c r="AG5462">
        <v>-1.1096364320409999</v>
      </c>
      <c r="AH5462">
        <v>21.661818873981801</v>
      </c>
      <c r="AI5462">
        <v>92.915421314481705</v>
      </c>
      <c r="AJ5462">
        <v>83.818988502604199</v>
      </c>
      <c r="AK5462">
        <v>21.816719116506</v>
      </c>
      <c r="AL5462">
        <v>81.594615140860299</v>
      </c>
      <c r="AM5462">
        <v>87.342535654932306</v>
      </c>
      <c r="AN5462">
        <v>0.99999997800650597</v>
      </c>
    </row>
    <row r="5463" spans="1:40" x14ac:dyDescent="0.25">
      <c r="A5463" t="str">
        <f>"20190312164417789"</f>
        <v>20190312164417789</v>
      </c>
      <c r="B5463" t="str">
        <f>"1552380257780932"</f>
        <v>1552380257780932</v>
      </c>
      <c r="C5463" t="s">
        <v>40</v>
      </c>
      <c r="D5463">
        <v>4.2952370000000002</v>
      </c>
      <c r="E5463">
        <v>0.527528199999999</v>
      </c>
      <c r="F5463" t="s">
        <v>42</v>
      </c>
      <c r="G5463">
        <v>-185.30109999999999</v>
      </c>
      <c r="H5463" s="1">
        <v>-2.624378E-6</v>
      </c>
      <c r="I5463">
        <v>73.685990000000004</v>
      </c>
      <c r="J5463">
        <v>-187.79300000000001</v>
      </c>
      <c r="K5463">
        <v>1.1096889999999999</v>
      </c>
      <c r="L5463">
        <v>51.932499999999997</v>
      </c>
      <c r="M5463">
        <v>4.6471280000000004E-3</v>
      </c>
      <c r="N5463">
        <v>0</v>
      </c>
      <c r="O5463">
        <v>0.99994740000000004</v>
      </c>
      <c r="P5463">
        <v>5.1941439999999998E-2</v>
      </c>
      <c r="Q5463">
        <v>0.13699839999999999</v>
      </c>
      <c r="R5463">
        <v>0.98920850000000005</v>
      </c>
      <c r="S5463">
        <v>0.34037779999999901</v>
      </c>
      <c r="T5463">
        <v>-0.15143180000000001</v>
      </c>
      <c r="U5463">
        <v>3.036041</v>
      </c>
      <c r="V5463">
        <v>4.7168979999999999E-2</v>
      </c>
      <c r="W5463">
        <v>0.14609339999999901</v>
      </c>
      <c r="X5463">
        <v>0.98814559999999996</v>
      </c>
      <c r="Y5463">
        <v>0.10665810000000001</v>
      </c>
      <c r="Z5463">
        <v>-4.95185E-2</v>
      </c>
      <c r="AA5463">
        <v>0.99306190000000005</v>
      </c>
      <c r="AB5463">
        <v>47</v>
      </c>
      <c r="AC5463">
        <v>2.49190000000001</v>
      </c>
      <c r="AD5463">
        <v>-1.109691624378</v>
      </c>
      <c r="AE5463">
        <v>21.753489999999999</v>
      </c>
      <c r="AF5463">
        <v>2.3846525560341698</v>
      </c>
      <c r="AG5463">
        <v>-1.109691624378</v>
      </c>
      <c r="AH5463">
        <v>21.709075299787902</v>
      </c>
      <c r="AI5463">
        <v>92.908746303720307</v>
      </c>
      <c r="AJ5463">
        <v>83.731426313757794</v>
      </c>
      <c r="AK5463">
        <v>21.867828737350099</v>
      </c>
      <c r="AL5463">
        <v>81.599398981766598</v>
      </c>
      <c r="AM5463">
        <v>87.267069181508504</v>
      </c>
      <c r="AN5463">
        <v>0.99999996049857898</v>
      </c>
    </row>
    <row r="5464" spans="1:40" x14ac:dyDescent="0.25">
      <c r="A5464" t="str">
        <f>"20190312164417812"</f>
        <v>20190312164417812</v>
      </c>
      <c r="B5464" t="str">
        <f>"1552380257800451"</f>
        <v>1552380257800451</v>
      </c>
      <c r="C5464" t="s">
        <v>40</v>
      </c>
      <c r="D5464">
        <v>4.3180259999999997</v>
      </c>
      <c r="E5464">
        <v>0.52751619999999999</v>
      </c>
      <c r="F5464" t="s">
        <v>42</v>
      </c>
      <c r="G5464">
        <v>-185.2175</v>
      </c>
      <c r="H5464" s="1">
        <v>-3.0119930000000001E-6</v>
      </c>
      <c r="I5464">
        <v>74.676319999999905</v>
      </c>
      <c r="J5464">
        <v>-187.7912</v>
      </c>
      <c r="K5464">
        <v>1.1097319999999999</v>
      </c>
      <c r="L5464">
        <v>52.397399999999998</v>
      </c>
      <c r="M5464">
        <v>4.1167529999999999E-3</v>
      </c>
      <c r="N5464">
        <v>0</v>
      </c>
      <c r="O5464">
        <v>0.99994930000000004</v>
      </c>
      <c r="P5464">
        <v>5.2420050000000003E-2</v>
      </c>
      <c r="Q5464">
        <v>0.13736470000000001</v>
      </c>
      <c r="R5464">
        <v>0.98913249999999997</v>
      </c>
      <c r="S5464">
        <v>0.34370420000000002</v>
      </c>
      <c r="T5464">
        <v>-0.14808950000000001</v>
      </c>
      <c r="U5464">
        <v>3.0351870000000001</v>
      </c>
      <c r="V5464">
        <v>4.8156629999999999E-2</v>
      </c>
      <c r="W5464">
        <v>0.1465119</v>
      </c>
      <c r="X5464">
        <v>0.98803600000000003</v>
      </c>
      <c r="Y5464">
        <v>0.108297</v>
      </c>
      <c r="Z5464">
        <v>-4.8434600000000001E-2</v>
      </c>
      <c r="AA5464">
        <v>0.99293799999999999</v>
      </c>
      <c r="AB5464">
        <v>47</v>
      </c>
      <c r="AC5464">
        <v>2.5737000000000001</v>
      </c>
      <c r="AD5464">
        <v>-1.1097350119929901</v>
      </c>
      <c r="AE5464">
        <v>22.2789199999999</v>
      </c>
      <c r="AF5464">
        <v>2.47589537658722</v>
      </c>
      <c r="AG5464">
        <v>-1.1097350119929901</v>
      </c>
      <c r="AH5464">
        <v>22.234885720969</v>
      </c>
      <c r="AI5464">
        <v>92.839718600007899</v>
      </c>
      <c r="AJ5464">
        <v>83.646184223564305</v>
      </c>
      <c r="AK5464">
        <v>22.399815015691502</v>
      </c>
      <c r="AL5464">
        <v>81.575159941236194</v>
      </c>
      <c r="AM5464">
        <v>87.209626065235796</v>
      </c>
      <c r="AN5464">
        <v>0.99999996757528298</v>
      </c>
    </row>
    <row r="5465" spans="1:40" x14ac:dyDescent="0.25">
      <c r="A5465" t="str">
        <f>"20190312164417836"</f>
        <v>20190312164417836</v>
      </c>
      <c r="B5465" t="str">
        <f>"1552380257830707"</f>
        <v>1552380257830707</v>
      </c>
      <c r="C5465" t="s">
        <v>40</v>
      </c>
      <c r="D5465">
        <v>4.3684399999999997</v>
      </c>
      <c r="E5465">
        <v>0.52751930000000002</v>
      </c>
      <c r="F5465" t="s">
        <v>42</v>
      </c>
      <c r="G5465">
        <v>-185.14869999999999</v>
      </c>
      <c r="H5465" s="1">
        <v>-3.4268509999999999E-6</v>
      </c>
      <c r="I5465">
        <v>75.614890000000003</v>
      </c>
      <c r="J5465">
        <v>-187.7895</v>
      </c>
      <c r="K5465">
        <v>1.109783</v>
      </c>
      <c r="L5465">
        <v>52.903230000000001</v>
      </c>
      <c r="M5465">
        <v>3.4949220000000001E-3</v>
      </c>
      <c r="N5465">
        <v>0</v>
      </c>
      <c r="O5465">
        <v>0.99995120000000004</v>
      </c>
      <c r="P5465">
        <v>5.3324820000000002E-2</v>
      </c>
      <c r="Q5465">
        <v>0.1381955</v>
      </c>
      <c r="R5465">
        <v>0.98896839999999997</v>
      </c>
      <c r="S5465">
        <v>0.34541319999999998</v>
      </c>
      <c r="T5465">
        <v>-0.14505509999999999</v>
      </c>
      <c r="U5465">
        <v>3.0347900000000001</v>
      </c>
      <c r="V5465">
        <v>4.9658639999999997E-2</v>
      </c>
      <c r="W5465">
        <v>0.14739910000000001</v>
      </c>
      <c r="X5465">
        <v>0.98782969999999903</v>
      </c>
      <c r="Y5465">
        <v>0.109487</v>
      </c>
      <c r="Z5465">
        <v>-4.7446130000000003E-2</v>
      </c>
      <c r="AA5465">
        <v>0.99285520000000005</v>
      </c>
      <c r="AB5465">
        <v>47</v>
      </c>
      <c r="AC5465">
        <v>2.6408000000000098</v>
      </c>
      <c r="AD5465">
        <v>-1.109786426851</v>
      </c>
      <c r="AE5465">
        <v>22.711659999999899</v>
      </c>
      <c r="AF5465">
        <v>2.5553848820964902</v>
      </c>
      <c r="AG5465">
        <v>-1.109786426851</v>
      </c>
      <c r="AH5465">
        <v>22.667350048300101</v>
      </c>
      <c r="AI5465">
        <v>92.785329979409497</v>
      </c>
      <c r="AJ5465">
        <v>83.567964377206806</v>
      </c>
      <c r="AK5465">
        <v>22.8379153168813</v>
      </c>
      <c r="AL5465">
        <v>81.5237694181873</v>
      </c>
      <c r="AM5465">
        <v>87.122138186634999</v>
      </c>
      <c r="AN5465">
        <v>0.99999999570477405</v>
      </c>
    </row>
    <row r="5466" spans="1:40" x14ac:dyDescent="0.25">
      <c r="A5466" t="str">
        <f>"20190312164417858"</f>
        <v>20190312164417858</v>
      </c>
      <c r="B5466" t="str">
        <f>"1552380257851204"</f>
        <v>1552380257851204</v>
      </c>
      <c r="C5466" t="s">
        <v>40</v>
      </c>
      <c r="D5466">
        <v>4.359845</v>
      </c>
      <c r="E5466">
        <v>0.51607910000000001</v>
      </c>
      <c r="F5466" t="s">
        <v>42</v>
      </c>
      <c r="G5466">
        <v>-184.99950000000001</v>
      </c>
      <c r="H5466" s="1">
        <v>-4.1156430000000002E-6</v>
      </c>
      <c r="I5466">
        <v>77.158779999999993</v>
      </c>
      <c r="J5466">
        <v>-187.78829999999999</v>
      </c>
      <c r="K5466">
        <v>1.1098349999999999</v>
      </c>
      <c r="L5466">
        <v>53.359589999999997</v>
      </c>
      <c r="M5466">
        <v>2.8983260000000001E-3</v>
      </c>
      <c r="N5466">
        <v>0</v>
      </c>
      <c r="O5466">
        <v>0.99995270000000003</v>
      </c>
      <c r="P5466">
        <v>5.435156E-2</v>
      </c>
      <c r="Q5466">
        <v>0.1383817</v>
      </c>
      <c r="R5466">
        <v>0.9888865</v>
      </c>
      <c r="S5466">
        <v>0.348999</v>
      </c>
      <c r="T5466">
        <v>-0.13881859999999999</v>
      </c>
      <c r="U5466">
        <v>3.034027</v>
      </c>
      <c r="V5466">
        <v>5.1259949999999999E-2</v>
      </c>
      <c r="W5466">
        <v>0.14763860000000001</v>
      </c>
      <c r="X5466">
        <v>0.98771209999999998</v>
      </c>
      <c r="Y5466">
        <v>0.1112769</v>
      </c>
      <c r="Z5466">
        <v>-4.5414469999999998E-2</v>
      </c>
      <c r="AA5466">
        <v>0.99275119999999895</v>
      </c>
      <c r="AB5466">
        <v>47</v>
      </c>
      <c r="AC5466">
        <v>2.7887999999999802</v>
      </c>
      <c r="AD5466">
        <v>-1.1098391156430001</v>
      </c>
      <c r="AE5466">
        <v>23.799189999999999</v>
      </c>
      <c r="AF5466">
        <v>2.7139853918954402</v>
      </c>
      <c r="AG5466">
        <v>-1.1098391156430001</v>
      </c>
      <c r="AH5466">
        <v>23.756210812063902</v>
      </c>
      <c r="AI5466">
        <v>92.657529715600603</v>
      </c>
      <c r="AJ5466">
        <v>83.482603103362493</v>
      </c>
      <c r="AK5466">
        <v>23.936478682489099</v>
      </c>
      <c r="AL5466">
        <v>81.509895027794997</v>
      </c>
      <c r="AM5466">
        <v>87.029148212040397</v>
      </c>
      <c r="AN5466">
        <v>0.999999965585185</v>
      </c>
    </row>
    <row r="5467" spans="1:40" x14ac:dyDescent="0.25">
      <c r="A5467" t="str">
        <f>"20190312164417879"</f>
        <v>20190312164417879</v>
      </c>
      <c r="B5467" t="str">
        <f>"1552380257870724"</f>
        <v>1552380257870724</v>
      </c>
      <c r="C5467" t="s">
        <v>40</v>
      </c>
      <c r="D5467">
        <v>4.4560789999999999</v>
      </c>
      <c r="E5467">
        <v>0.52037879999999903</v>
      </c>
      <c r="F5467" t="s">
        <v>41</v>
      </c>
      <c r="G5467">
        <v>-187.72030000000001</v>
      </c>
      <c r="H5467">
        <v>1.0492220000000001</v>
      </c>
      <c r="I5467">
        <v>54.173020000000001</v>
      </c>
      <c r="J5467">
        <v>-187.78739999999999</v>
      </c>
      <c r="K5467">
        <v>1.1098760000000001</v>
      </c>
      <c r="L5467">
        <v>53.821289999999998</v>
      </c>
      <c r="M5467">
        <v>2.267486E-3</v>
      </c>
      <c r="N5467">
        <v>0</v>
      </c>
      <c r="O5467">
        <v>0.99995389999999995</v>
      </c>
      <c r="P5467">
        <v>5.4860819999999998E-2</v>
      </c>
      <c r="Q5467">
        <v>0.1384022</v>
      </c>
      <c r="R5467">
        <v>0.9888555</v>
      </c>
      <c r="S5467">
        <v>0.25506590000000001</v>
      </c>
      <c r="T5467">
        <v>-0.2273831</v>
      </c>
      <c r="U5467">
        <v>3.0515140000000001</v>
      </c>
      <c r="V5467">
        <v>5.2378580000000001E-2</v>
      </c>
      <c r="W5467">
        <v>0.1477127</v>
      </c>
      <c r="X5467">
        <v>0.98764229999999997</v>
      </c>
      <c r="Y5467">
        <v>8.080756E-2</v>
      </c>
      <c r="Z5467">
        <v>-7.4058669999999993E-2</v>
      </c>
      <c r="AA5467">
        <v>0.99397460000000004</v>
      </c>
      <c r="AB5467">
        <v>47</v>
      </c>
      <c r="AC5467">
        <v>6.7099999999982105E-2</v>
      </c>
      <c r="AD5467">
        <v>-6.0654000000000201E-2</v>
      </c>
      <c r="AE5467">
        <v>0.351729999999989</v>
      </c>
      <c r="AF5467">
        <v>6.4452905483068298E-2</v>
      </c>
      <c r="AG5467">
        <v>-6.0654000000000201E-2</v>
      </c>
      <c r="AH5467">
        <v>0.34206635546763903</v>
      </c>
      <c r="AI5467">
        <v>99.884559381263799</v>
      </c>
      <c r="AJ5467">
        <v>79.329307941835907</v>
      </c>
      <c r="AK5467">
        <v>0.35333054818982501</v>
      </c>
      <c r="AL5467">
        <v>81.505602083587206</v>
      </c>
      <c r="AM5467">
        <v>86.964222062793496</v>
      </c>
      <c r="AN5467">
        <v>0.99999993506669604</v>
      </c>
    </row>
    <row r="5468" spans="1:40" x14ac:dyDescent="0.25">
      <c r="A5468" t="str">
        <f>"20190312164417900"</f>
        <v>20190312164417900</v>
      </c>
      <c r="B5468" t="str">
        <f>"1552380257890247"</f>
        <v>1552380257890247</v>
      </c>
      <c r="C5468" t="s">
        <v>40</v>
      </c>
      <c r="D5468">
        <v>4.204027</v>
      </c>
      <c r="E5468">
        <v>0.52194090000000004</v>
      </c>
      <c r="F5468" t="s">
        <v>42</v>
      </c>
      <c r="G5468">
        <v>-186.18860000000001</v>
      </c>
      <c r="H5468" s="1">
        <v>-1.2908289999999999E-6</v>
      </c>
      <c r="I5468">
        <v>70.461169999999996</v>
      </c>
      <c r="J5468">
        <v>-187.7867</v>
      </c>
      <c r="K5468">
        <v>1.109917</v>
      </c>
      <c r="L5468">
        <v>54.27805</v>
      </c>
      <c r="M5468">
        <v>1.6229860000000001E-3</v>
      </c>
      <c r="N5468">
        <v>0</v>
      </c>
      <c r="O5468">
        <v>0.99995469999999997</v>
      </c>
      <c r="P5468">
        <v>5.540925E-2</v>
      </c>
      <c r="Q5468">
        <v>0.138782399999999</v>
      </c>
      <c r="R5468">
        <v>0.98877159999999997</v>
      </c>
      <c r="S5468">
        <v>0.29266360000000002</v>
      </c>
      <c r="T5468">
        <v>-0.20316899999999999</v>
      </c>
      <c r="U5468">
        <v>3.0460210000000001</v>
      </c>
      <c r="V5468">
        <v>5.3551149999999999E-2</v>
      </c>
      <c r="W5468">
        <v>0.14814179999999999</v>
      </c>
      <c r="X5468">
        <v>0.98751520000000004</v>
      </c>
      <c r="Y5468">
        <v>9.3814330000000001E-2</v>
      </c>
      <c r="Z5468">
        <v>-6.625317E-2</v>
      </c>
      <c r="AA5468">
        <v>0.99338280000000001</v>
      </c>
      <c r="AB5468">
        <v>47</v>
      </c>
      <c r="AC5468">
        <v>1.5980999999999801</v>
      </c>
      <c r="AD5468">
        <v>-1.109918290829</v>
      </c>
      <c r="AE5468">
        <v>16.183119999999899</v>
      </c>
      <c r="AF5468">
        <v>1.56454339115267</v>
      </c>
      <c r="AG5468">
        <v>-1.109918290829</v>
      </c>
      <c r="AH5468">
        <v>16.110641623795999</v>
      </c>
      <c r="AI5468">
        <v>93.922683116612305</v>
      </c>
      <c r="AJ5468">
        <v>84.453261344619605</v>
      </c>
      <c r="AK5468">
        <v>16.224441074055701</v>
      </c>
      <c r="AL5468">
        <v>81.480743478125603</v>
      </c>
      <c r="AM5468">
        <v>86.895994534843794</v>
      </c>
      <c r="AN5468">
        <v>0.99999999440230103</v>
      </c>
    </row>
    <row r="5469" spans="1:40" x14ac:dyDescent="0.25">
      <c r="A5469" t="str">
        <f>"20190312164417923"</f>
        <v>20190312164417923</v>
      </c>
      <c r="B5469" t="str">
        <f>"1552380257920500"</f>
        <v>1552380257920500</v>
      </c>
      <c r="C5469" t="s">
        <v>40</v>
      </c>
      <c r="D5469">
        <v>4.1748099999999999</v>
      </c>
      <c r="E5469">
        <v>0.52337769999999995</v>
      </c>
      <c r="F5469" t="s">
        <v>42</v>
      </c>
      <c r="G5469">
        <v>-185.9556</v>
      </c>
      <c r="H5469" s="1">
        <v>-2.0043699999999998E-6</v>
      </c>
      <c r="I5469">
        <v>72.375819999999905</v>
      </c>
      <c r="J5469">
        <v>-187.78630000000001</v>
      </c>
      <c r="K5469">
        <v>1.109952</v>
      </c>
      <c r="L5469">
        <v>54.755650000000003</v>
      </c>
      <c r="M5469">
        <v>9.3272349999999995E-4</v>
      </c>
      <c r="N5469">
        <v>0</v>
      </c>
      <c r="O5469">
        <v>0.99995520000000004</v>
      </c>
      <c r="P5469">
        <v>5.5728010000000001E-2</v>
      </c>
      <c r="Q5469">
        <v>0.13976540000000001</v>
      </c>
      <c r="R5469">
        <v>0.98861520000000003</v>
      </c>
      <c r="S5469">
        <v>0.307876599999999</v>
      </c>
      <c r="T5469">
        <v>-0.18662419999999999</v>
      </c>
      <c r="U5469">
        <v>3.042999</v>
      </c>
      <c r="V5469">
        <v>5.4539530000000003E-2</v>
      </c>
      <c r="W5469">
        <v>0.1491712</v>
      </c>
      <c r="X5469">
        <v>0.98730609999999996</v>
      </c>
      <c r="Y5469">
        <v>9.9546540000000003E-2</v>
      </c>
      <c r="Z5469">
        <v>-6.0907059999999999E-2</v>
      </c>
      <c r="AA5469">
        <v>0.99316700000000002</v>
      </c>
      <c r="AB5469">
        <v>47</v>
      </c>
      <c r="AC5469">
        <v>1.8307</v>
      </c>
      <c r="AD5469">
        <v>-1.10995400437</v>
      </c>
      <c r="AE5469">
        <v>17.620169999999899</v>
      </c>
      <c r="AF5469">
        <v>1.8071691657839299</v>
      </c>
      <c r="AG5469">
        <v>-1.10995400437</v>
      </c>
      <c r="AH5469">
        <v>17.552960754493</v>
      </c>
      <c r="AI5469">
        <v>93.599281598522694</v>
      </c>
      <c r="AJ5469">
        <v>84.121810454982295</v>
      </c>
      <c r="AK5469">
        <v>17.680619037079801</v>
      </c>
      <c r="AL5469">
        <v>81.421100299258697</v>
      </c>
      <c r="AM5469">
        <v>86.838151692020901</v>
      </c>
      <c r="AN5469">
        <v>0.99999997116963502</v>
      </c>
    </row>
    <row r="5470" spans="1:40" x14ac:dyDescent="0.25">
      <c r="A5470" t="str">
        <f>"20190312164417944"</f>
        <v>20190312164417944</v>
      </c>
      <c r="B5470" t="str">
        <f>"1552380257940996"</f>
        <v>1552380257940996</v>
      </c>
      <c r="C5470" t="s">
        <v>40</v>
      </c>
      <c r="D5470">
        <v>4.1820969999999997</v>
      </c>
      <c r="E5470">
        <v>0.52390219999999998</v>
      </c>
      <c r="F5470" t="s">
        <v>41</v>
      </c>
      <c r="G5470">
        <v>-187.6686</v>
      </c>
      <c r="H5470">
        <v>1.0492600000000001</v>
      </c>
      <c r="I5470">
        <v>55.869450000000001</v>
      </c>
      <c r="J5470">
        <v>-187.78630000000001</v>
      </c>
      <c r="K5470">
        <v>1.109977</v>
      </c>
      <c r="L5470">
        <v>55.207819999999998</v>
      </c>
      <c r="M5470">
        <v>2.6956380000000001E-4</v>
      </c>
      <c r="N5470">
        <v>0</v>
      </c>
      <c r="O5470">
        <v>0.99995520000000004</v>
      </c>
      <c r="P5470">
        <v>5.6206230000000003E-2</v>
      </c>
      <c r="Q5470">
        <v>0.1398016</v>
      </c>
      <c r="R5470">
        <v>0.98858299999999999</v>
      </c>
      <c r="S5470">
        <v>0.32115169999999998</v>
      </c>
      <c r="T5470">
        <v>-0.16565920000000001</v>
      </c>
      <c r="U5470">
        <v>3.0398860000000001</v>
      </c>
      <c r="V5470">
        <v>5.5664140000000001E-2</v>
      </c>
      <c r="W5470">
        <v>0.14924799999999999</v>
      </c>
      <c r="X5470">
        <v>0.98723170000000005</v>
      </c>
      <c r="Y5470">
        <v>0.1046393</v>
      </c>
      <c r="Z5470">
        <v>-5.4114959999999997E-2</v>
      </c>
      <c r="AA5470">
        <v>0.9930369</v>
      </c>
      <c r="AB5470">
        <v>47</v>
      </c>
      <c r="AC5470">
        <v>0.117700000000013</v>
      </c>
      <c r="AD5470">
        <v>-6.0716999999999903E-2</v>
      </c>
      <c r="AE5470">
        <v>0.66163000000000205</v>
      </c>
      <c r="AF5470">
        <v>0.116570053808671</v>
      </c>
      <c r="AG5470">
        <v>-6.0716999999999903E-2</v>
      </c>
      <c r="AH5470">
        <v>0.656304175347734</v>
      </c>
      <c r="AI5470">
        <v>95.204588016856107</v>
      </c>
      <c r="AJ5470">
        <v>79.928393275528094</v>
      </c>
      <c r="AK5470">
        <v>0.66933571704550898</v>
      </c>
      <c r="AL5470">
        <v>81.416649946694506</v>
      </c>
      <c r="AM5470">
        <v>86.772847818138501</v>
      </c>
      <c r="AN5470">
        <v>0.99999994573541295</v>
      </c>
    </row>
    <row r="5471" spans="1:40" x14ac:dyDescent="0.25">
      <c r="A5471" t="str">
        <f>"20190312164417979"</f>
        <v>20190312164417979</v>
      </c>
      <c r="B5471" t="str">
        <f>"1552380257970276"</f>
        <v>1552380257970276</v>
      </c>
      <c r="C5471" t="s">
        <v>40</v>
      </c>
      <c r="D5471">
        <v>4.2081429999999997</v>
      </c>
      <c r="E5471">
        <v>0.52431030000000001</v>
      </c>
      <c r="F5471" t="s">
        <v>42</v>
      </c>
      <c r="G5471">
        <v>-185.52289999999999</v>
      </c>
      <c r="H5471" s="1">
        <v>-3.6494920000000002E-6</v>
      </c>
      <c r="I5471">
        <v>76.288619999999995</v>
      </c>
      <c r="J5471">
        <v>-187.7869</v>
      </c>
      <c r="K5471">
        <v>1.1100190000000001</v>
      </c>
      <c r="L5471">
        <v>55.933259999999997</v>
      </c>
      <c r="M5471">
        <v>-8.0580219999999995E-4</v>
      </c>
      <c r="N5471">
        <v>0</v>
      </c>
      <c r="O5471">
        <v>0.99995440000000002</v>
      </c>
      <c r="P5471">
        <v>5.6435329999999999E-2</v>
      </c>
      <c r="Q5471">
        <v>0.13929069999999999</v>
      </c>
      <c r="R5471">
        <v>0.98864209999999997</v>
      </c>
      <c r="S5471">
        <v>0.32626339999999998</v>
      </c>
      <c r="T5471">
        <v>-0.16000010000000001</v>
      </c>
      <c r="U5471">
        <v>3.0387270000000002</v>
      </c>
      <c r="V5471">
        <v>5.6945040000000002E-2</v>
      </c>
      <c r="W5471">
        <v>0.14879870000000001</v>
      </c>
      <c r="X5471">
        <v>0.98722650000000001</v>
      </c>
      <c r="Y5471">
        <v>0.10741009999999999</v>
      </c>
      <c r="Z5471">
        <v>-5.227888E-2</v>
      </c>
      <c r="AA5471">
        <v>0.99283929999999998</v>
      </c>
      <c r="AB5471">
        <v>47</v>
      </c>
      <c r="AC5471">
        <v>2.26400000000001</v>
      </c>
      <c r="AD5471">
        <v>-1.110022649492</v>
      </c>
      <c r="AE5471">
        <v>20.355360000000001</v>
      </c>
      <c r="AF5471">
        <v>2.2737235131500899</v>
      </c>
      <c r="AG5471">
        <v>-1.110022649492</v>
      </c>
      <c r="AH5471">
        <v>20.293917148263301</v>
      </c>
      <c r="AI5471">
        <v>93.111376315704504</v>
      </c>
      <c r="AJ5471">
        <v>83.607260674855794</v>
      </c>
      <c r="AK5471">
        <v>20.451040123113799</v>
      </c>
      <c r="AL5471">
        <v>81.442683908005904</v>
      </c>
      <c r="AM5471">
        <v>86.698732149726894</v>
      </c>
      <c r="AN5471">
        <v>0.99999997650227002</v>
      </c>
    </row>
    <row r="5472" spans="1:40" x14ac:dyDescent="0.25">
      <c r="A5472" t="str">
        <f>"20190312164418001"</f>
        <v>20190312164418001</v>
      </c>
      <c r="B5472" t="str">
        <f>"1552380257990772"</f>
        <v>1552380257990772</v>
      </c>
      <c r="C5472" t="s">
        <v>40</v>
      </c>
      <c r="D5472">
        <v>4.2302920000000004</v>
      </c>
      <c r="E5472">
        <v>0.52443930000000005</v>
      </c>
      <c r="F5472" t="s">
        <v>42</v>
      </c>
      <c r="G5472">
        <v>-185.4734</v>
      </c>
      <c r="H5472" s="1">
        <v>-4.0544709999999997E-6</v>
      </c>
      <c r="I5472">
        <v>77.212159999999997</v>
      </c>
      <c r="J5472">
        <v>-187.7877</v>
      </c>
      <c r="K5472">
        <v>1.1100410000000001</v>
      </c>
      <c r="L5472">
        <v>56.412689999999998</v>
      </c>
      <c r="M5472">
        <v>-1.519842E-3</v>
      </c>
      <c r="N5472">
        <v>0</v>
      </c>
      <c r="O5472">
        <v>0.99995330000000004</v>
      </c>
      <c r="P5472">
        <v>5.6361830000000002E-2</v>
      </c>
      <c r="Q5472">
        <v>0.13917199999999999</v>
      </c>
      <c r="R5472">
        <v>0.98866299999999996</v>
      </c>
      <c r="S5472">
        <v>0.33029170000000002</v>
      </c>
      <c r="T5472">
        <v>-0.15847520000000001</v>
      </c>
      <c r="U5472">
        <v>3.0379330000000002</v>
      </c>
      <c r="V5472">
        <v>5.757077E-2</v>
      </c>
      <c r="W5472">
        <v>0.1487204</v>
      </c>
      <c r="X5472">
        <v>0.98720200000000002</v>
      </c>
      <c r="Y5472">
        <v>0.1094514</v>
      </c>
      <c r="Z5472">
        <v>-5.1785860000000003E-2</v>
      </c>
      <c r="AA5472">
        <v>0.99264220000000003</v>
      </c>
      <c r="AB5472">
        <v>47</v>
      </c>
      <c r="AC5472">
        <v>2.3142999999999998</v>
      </c>
      <c r="AD5472">
        <v>-1.1100450544709899</v>
      </c>
      <c r="AE5472">
        <v>20.7994699999999</v>
      </c>
      <c r="AF5472">
        <v>2.3393291838566102</v>
      </c>
      <c r="AG5472">
        <v>-1.1100450544709899</v>
      </c>
      <c r="AH5472">
        <v>20.737585126242099</v>
      </c>
      <c r="AI5472">
        <v>93.044739640144698</v>
      </c>
      <c r="AJ5472">
        <v>83.563886406064597</v>
      </c>
      <c r="AK5472">
        <v>20.898614736903902</v>
      </c>
      <c r="AL5472">
        <v>81.447220588976904</v>
      </c>
      <c r="AM5472">
        <v>86.662455696082503</v>
      </c>
      <c r="AN5472">
        <v>0.99999996986927597</v>
      </c>
    </row>
    <row r="5473" spans="1:40" x14ac:dyDescent="0.25">
      <c r="A5473" t="str">
        <f>"20190312164418025"</f>
        <v>20190312164418025</v>
      </c>
      <c r="B5473" t="str">
        <f>"1552380258021027"</f>
        <v>1552380258021027</v>
      </c>
      <c r="C5473" t="s">
        <v>40</v>
      </c>
      <c r="D5473">
        <v>4.4792509999999996</v>
      </c>
      <c r="E5473">
        <v>0.52464569999999999</v>
      </c>
      <c r="F5473" t="s">
        <v>42</v>
      </c>
      <c r="G5473">
        <v>-185.43629999999999</v>
      </c>
      <c r="H5473" s="1">
        <v>-4.3803189999999997E-6</v>
      </c>
      <c r="I5473">
        <v>77.956389999999999</v>
      </c>
      <c r="J5473">
        <v>-187.78890000000001</v>
      </c>
      <c r="K5473">
        <v>1.110069</v>
      </c>
      <c r="L5473">
        <v>56.920749999999998</v>
      </c>
      <c r="M5473">
        <v>-2.27729E-3</v>
      </c>
      <c r="N5473">
        <v>0</v>
      </c>
      <c r="O5473">
        <v>0.99995140000000005</v>
      </c>
      <c r="P5473">
        <v>5.6196509999999998E-2</v>
      </c>
      <c r="Q5473">
        <v>0.1394464</v>
      </c>
      <c r="R5473">
        <v>0.98863380000000001</v>
      </c>
      <c r="S5473">
        <v>0.33152769999999998</v>
      </c>
      <c r="T5473">
        <v>-0.15650999999999901</v>
      </c>
      <c r="U5473">
        <v>3.0375369999999999</v>
      </c>
      <c r="V5473">
        <v>5.8147240000000003E-2</v>
      </c>
      <c r="W5473">
        <v>0.1490387</v>
      </c>
      <c r="X5473">
        <v>0.9871202</v>
      </c>
      <c r="Y5473">
        <v>0.110621</v>
      </c>
      <c r="Z5473">
        <v>-5.1147480000000002E-2</v>
      </c>
      <c r="AA5473">
        <v>0.99254569999999998</v>
      </c>
      <c r="AB5473">
        <v>48</v>
      </c>
      <c r="AC5473">
        <v>2.3526000000000198</v>
      </c>
      <c r="AD5473">
        <v>-1.1100733803189999</v>
      </c>
      <c r="AE5473">
        <v>21.035640000000001</v>
      </c>
      <c r="AF5473">
        <v>2.3939161645823099</v>
      </c>
      <c r="AG5473">
        <v>-1.1100733803189999</v>
      </c>
      <c r="AH5473">
        <v>20.9725450763815</v>
      </c>
      <c r="AI5473">
        <v>93.010317774593403</v>
      </c>
      <c r="AJ5473">
        <v>83.488143260550302</v>
      </c>
      <c r="AK5473">
        <v>21.137898298875299</v>
      </c>
      <c r="AL5473">
        <v>81.428777738877201</v>
      </c>
      <c r="AM5473">
        <v>86.628834051791998</v>
      </c>
      <c r="AN5473">
        <v>0.99999996243267297</v>
      </c>
    </row>
    <row r="5474" spans="1:40" x14ac:dyDescent="0.25">
      <c r="A5474" t="str">
        <f>"20190312164418047"</f>
        <v>20190312164418047</v>
      </c>
      <c r="B5474" t="str">
        <f>"1552380258040548"</f>
        <v>1552380258040548</v>
      </c>
      <c r="C5474" t="s">
        <v>40</v>
      </c>
      <c r="D5474">
        <v>4.3269140000000004</v>
      </c>
      <c r="E5474">
        <v>0.52468159999999997</v>
      </c>
      <c r="F5474" t="s">
        <v>42</v>
      </c>
      <c r="G5474">
        <v>-185.37880000000001</v>
      </c>
      <c r="H5474" s="1">
        <v>-4.7963990000000001E-6</v>
      </c>
      <c r="I5474">
        <v>78.90249</v>
      </c>
      <c r="J5474">
        <v>-187.79040000000001</v>
      </c>
      <c r="K5474">
        <v>1.110085</v>
      </c>
      <c r="L5474">
        <v>57.383580000000002</v>
      </c>
      <c r="M5474">
        <v>-2.9672100000000001E-3</v>
      </c>
      <c r="N5474">
        <v>0</v>
      </c>
      <c r="O5474">
        <v>0.99994919999999998</v>
      </c>
      <c r="P5474">
        <v>5.6526109999999997E-2</v>
      </c>
      <c r="Q5474">
        <v>0.13933799999999999</v>
      </c>
      <c r="R5474">
        <v>0.98863020000000001</v>
      </c>
      <c r="S5474">
        <v>0.33300780000000002</v>
      </c>
      <c r="T5474">
        <v>-0.15337799999999999</v>
      </c>
      <c r="U5474">
        <v>3.037201</v>
      </c>
      <c r="V5474">
        <v>5.9153879999999999E-2</v>
      </c>
      <c r="W5474">
        <v>0.14897270000000001</v>
      </c>
      <c r="X5474">
        <v>0.98707040000000001</v>
      </c>
      <c r="Y5474">
        <v>0.111802</v>
      </c>
      <c r="Z5474">
        <v>-5.012726E-2</v>
      </c>
      <c r="AA5474">
        <v>0.99246540000000005</v>
      </c>
      <c r="AB5474">
        <v>48</v>
      </c>
      <c r="AC5474">
        <v>2.4115999999999902</v>
      </c>
      <c r="AD5474">
        <v>-1.110089796399</v>
      </c>
      <c r="AE5474">
        <v>21.518910000000002</v>
      </c>
      <c r="AF5474">
        <v>2.46895461241043</v>
      </c>
      <c r="AG5474">
        <v>-1.110089796399</v>
      </c>
      <c r="AH5474">
        <v>21.455270884714501</v>
      </c>
      <c r="AI5474">
        <v>92.942443183696</v>
      </c>
      <c r="AJ5474">
        <v>83.435590700746005</v>
      </c>
      <c r="AK5474">
        <v>21.625371325614001</v>
      </c>
      <c r="AL5474">
        <v>81.432602369429304</v>
      </c>
      <c r="AM5474">
        <v>86.570438216622406</v>
      </c>
      <c r="AN5474">
        <v>1.00000001071025</v>
      </c>
    </row>
    <row r="5475" spans="1:40" x14ac:dyDescent="0.25">
      <c r="A5475" t="str">
        <f>"20190312164418069"</f>
        <v>20190312164418069</v>
      </c>
      <c r="B5475" t="str">
        <f>"1552380258061043"</f>
        <v>1552380258061043</v>
      </c>
      <c r="C5475" t="s">
        <v>40</v>
      </c>
      <c r="D5475">
        <v>4.5573610000000002</v>
      </c>
      <c r="E5475">
        <v>0.52404680000000003</v>
      </c>
      <c r="F5475" t="s">
        <v>42</v>
      </c>
      <c r="G5475">
        <v>-185.36510000000001</v>
      </c>
      <c r="H5475" s="1">
        <v>-5.0222680000000001E-6</v>
      </c>
      <c r="I5475">
        <v>79.423360000000002</v>
      </c>
      <c r="J5475">
        <v>-187.79220000000001</v>
      </c>
      <c r="K5475">
        <v>1.1100969999999999</v>
      </c>
      <c r="L5475">
        <v>57.858890000000002</v>
      </c>
      <c r="M5475">
        <v>-3.6756580000000001E-3</v>
      </c>
      <c r="N5475">
        <v>0</v>
      </c>
      <c r="O5475">
        <v>0.99994649999999996</v>
      </c>
      <c r="P5475">
        <v>5.6416170000000002E-2</v>
      </c>
      <c r="Q5475">
        <v>0.1384746</v>
      </c>
      <c r="R5475">
        <v>0.98875780000000002</v>
      </c>
      <c r="S5475">
        <v>0.3341827</v>
      </c>
      <c r="T5475">
        <v>-0.15296399999999999</v>
      </c>
      <c r="U5475">
        <v>3.0369570000000001</v>
      </c>
      <c r="V5475">
        <v>5.9741900000000001E-2</v>
      </c>
      <c r="W5475">
        <v>0.14815500000000001</v>
      </c>
      <c r="X5475">
        <v>0.98715810000000004</v>
      </c>
      <c r="Y5475">
        <v>0.1128947</v>
      </c>
      <c r="Z5475">
        <v>-4.999195E-2</v>
      </c>
      <c r="AA5475">
        <v>0.99234849999999997</v>
      </c>
      <c r="AB5475">
        <v>48</v>
      </c>
      <c r="AC5475">
        <v>2.42709999999999</v>
      </c>
      <c r="AD5475">
        <v>-1.11010202226799</v>
      </c>
      <c r="AE5475">
        <v>21.56447</v>
      </c>
      <c r="AF5475">
        <v>2.49980926240293</v>
      </c>
      <c r="AG5475">
        <v>-1.11010202226799</v>
      </c>
      <c r="AH5475">
        <v>21.499142361775199</v>
      </c>
      <c r="AI5475">
        <v>92.936079982315704</v>
      </c>
      <c r="AJ5475">
        <v>83.367724699216694</v>
      </c>
      <c r="AK5475">
        <v>21.672436299136201</v>
      </c>
      <c r="AL5475">
        <v>81.479979268163305</v>
      </c>
      <c r="AM5475">
        <v>86.536736151989501</v>
      </c>
      <c r="AN5475">
        <v>1.0000000565181</v>
      </c>
    </row>
    <row r="5476" spans="1:40" x14ac:dyDescent="0.25">
      <c r="A5476" t="str">
        <f>"20190312164418091"</f>
        <v>20190312164418091</v>
      </c>
      <c r="B5476" t="str">
        <f>"1552380258081540"</f>
        <v>1552380258081540</v>
      </c>
      <c r="C5476" t="s">
        <v>40</v>
      </c>
      <c r="D5476">
        <v>4.4534549999999999</v>
      </c>
      <c r="E5476">
        <v>0.52397419999999995</v>
      </c>
      <c r="F5476" t="s">
        <v>42</v>
      </c>
      <c r="G5476">
        <v>-185.56270000000001</v>
      </c>
      <c r="H5476" s="1">
        <v>-4.5831439999999997E-6</v>
      </c>
      <c r="I5476">
        <v>78.48142</v>
      </c>
      <c r="J5476">
        <v>-187.79429999999999</v>
      </c>
      <c r="K5476">
        <v>1.1101080000000001</v>
      </c>
      <c r="L5476">
        <v>58.321930000000002</v>
      </c>
      <c r="M5476">
        <v>-4.3653420000000004E-3</v>
      </c>
      <c r="N5476">
        <v>0</v>
      </c>
      <c r="O5476">
        <v>0.99994320000000003</v>
      </c>
      <c r="P5476">
        <v>5.6212749999999999E-2</v>
      </c>
      <c r="Q5476">
        <v>0.13837379999999999</v>
      </c>
      <c r="R5476">
        <v>0.98878350000000004</v>
      </c>
      <c r="S5476">
        <v>0.32847599999999999</v>
      </c>
      <c r="T5476">
        <v>-0.16354859999999999</v>
      </c>
      <c r="U5476">
        <v>3.0382690000000001</v>
      </c>
      <c r="V5476">
        <v>6.0216690000000003E-2</v>
      </c>
      <c r="W5476">
        <v>0.1481046</v>
      </c>
      <c r="X5476">
        <v>0.98713680000000004</v>
      </c>
      <c r="Y5476">
        <v>0.1116722</v>
      </c>
      <c r="Z5476">
        <v>-5.342761E-2</v>
      </c>
      <c r="AA5476">
        <v>0.99230779999999996</v>
      </c>
      <c r="AB5476">
        <v>48</v>
      </c>
      <c r="AC5476">
        <v>2.2315999999999798</v>
      </c>
      <c r="AD5476">
        <v>-1.110112583144</v>
      </c>
      <c r="AE5476">
        <v>20.159490000000002</v>
      </c>
      <c r="AF5476">
        <v>2.3126581378044002</v>
      </c>
      <c r="AG5476">
        <v>-1.110112583144</v>
      </c>
      <c r="AH5476">
        <v>20.089375772262098</v>
      </c>
      <c r="AI5476">
        <v>93.142163157042901</v>
      </c>
      <c r="AJ5476">
        <v>83.433104637041694</v>
      </c>
      <c r="AK5476">
        <v>20.252500006882102</v>
      </c>
      <c r="AL5476">
        <v>81.482899064380703</v>
      </c>
      <c r="AM5476">
        <v>86.509205025603706</v>
      </c>
      <c r="AN5476">
        <v>1.00000004210497</v>
      </c>
    </row>
    <row r="5477" spans="1:40" x14ac:dyDescent="0.25">
      <c r="A5477" t="str">
        <f>"20190312164418113"</f>
        <v>20190312164418113</v>
      </c>
      <c r="B5477" t="str">
        <f>"1552380258110819"</f>
        <v>1552380258110819</v>
      </c>
      <c r="C5477" t="s">
        <v>40</v>
      </c>
      <c r="D5477">
        <v>4.6080880000000004</v>
      </c>
      <c r="E5477">
        <v>0.52151720000000001</v>
      </c>
      <c r="F5477" t="s">
        <v>42</v>
      </c>
      <c r="G5477">
        <v>-185.61189999999999</v>
      </c>
      <c r="H5477" s="1">
        <v>-4.6157039999999998E-6</v>
      </c>
      <c r="I5477">
        <v>78.577669999999998</v>
      </c>
      <c r="J5477">
        <v>-187.79689999999999</v>
      </c>
      <c r="K5477">
        <v>1.1101299999999901</v>
      </c>
      <c r="L5477">
        <v>58.809269999999998</v>
      </c>
      <c r="M5477">
        <v>-5.091529E-3</v>
      </c>
      <c r="N5477">
        <v>0</v>
      </c>
      <c r="O5477">
        <v>0.99993920000000003</v>
      </c>
      <c r="P5477">
        <v>5.592341E-2</v>
      </c>
      <c r="Q5477">
        <v>0.13849719999999999</v>
      </c>
      <c r="R5477">
        <v>0.98878259999999996</v>
      </c>
      <c r="S5477">
        <v>0.32740780000000003</v>
      </c>
      <c r="T5477">
        <v>-0.16653699999999999</v>
      </c>
      <c r="U5477">
        <v>3.0387270000000002</v>
      </c>
      <c r="V5477">
        <v>6.0641460000000001E-2</v>
      </c>
      <c r="W5477">
        <v>0.14828939999999999</v>
      </c>
      <c r="X5477">
        <v>0.98708300000000004</v>
      </c>
      <c r="Y5477">
        <v>0.1120275</v>
      </c>
      <c r="Z5477">
        <v>-5.4392500000000003E-2</v>
      </c>
      <c r="AA5477">
        <v>0.99221530000000002</v>
      </c>
      <c r="AB5477">
        <v>48</v>
      </c>
      <c r="AC5477">
        <v>2.1850000000000001</v>
      </c>
      <c r="AD5477">
        <v>-1.11013461570399</v>
      </c>
      <c r="AE5477">
        <v>19.7684</v>
      </c>
      <c r="AF5477">
        <v>2.2785290022370099</v>
      </c>
      <c r="AG5477">
        <v>-1.11013461570399</v>
      </c>
      <c r="AH5477">
        <v>19.695655423250798</v>
      </c>
      <c r="AI5477">
        <v>93.204702457711093</v>
      </c>
      <c r="AJ5477">
        <v>83.400964768589006</v>
      </c>
      <c r="AK5477">
        <v>19.858069791156598</v>
      </c>
      <c r="AL5477">
        <v>81.472192141997496</v>
      </c>
      <c r="AM5477">
        <v>86.484451286650597</v>
      </c>
      <c r="AN5477">
        <v>0.99999999085614499</v>
      </c>
    </row>
    <row r="5478" spans="1:40" x14ac:dyDescent="0.25">
      <c r="A5478" t="str">
        <f>"20190312164418135"</f>
        <v>20190312164418135</v>
      </c>
      <c r="B5478" t="str">
        <f>"1552380258130340"</f>
        <v>1552380258130340</v>
      </c>
      <c r="C5478" t="s">
        <v>40</v>
      </c>
      <c r="D5478">
        <v>4.4569340000000004</v>
      </c>
      <c r="E5478">
        <v>0.52206660000000005</v>
      </c>
      <c r="F5478" t="s">
        <v>41</v>
      </c>
      <c r="G5478">
        <v>-187.70740000000001</v>
      </c>
      <c r="H5478">
        <v>1.0506549999999999</v>
      </c>
      <c r="I5478">
        <v>59.701180000000001</v>
      </c>
      <c r="J5478">
        <v>-187.7996</v>
      </c>
      <c r="K5478">
        <v>1.11015</v>
      </c>
      <c r="L5478">
        <v>59.25949</v>
      </c>
      <c r="M5478">
        <v>-5.7622979999999999E-3</v>
      </c>
      <c r="N5478">
        <v>0</v>
      </c>
      <c r="O5478">
        <v>0.99993489999999996</v>
      </c>
      <c r="P5478">
        <v>5.5816409999999997E-2</v>
      </c>
      <c r="Q5478">
        <v>0.13839660000000001</v>
      </c>
      <c r="R5478">
        <v>0.98880279999999998</v>
      </c>
      <c r="S5478">
        <v>0.3053131</v>
      </c>
      <c r="T5478">
        <v>-0.20307459999999999</v>
      </c>
      <c r="U5478">
        <v>3.0452270000000001</v>
      </c>
      <c r="V5478">
        <v>6.1195069999999997E-2</v>
      </c>
      <c r="W5478">
        <v>0.14825739999999901</v>
      </c>
      <c r="X5478">
        <v>0.98705359999999998</v>
      </c>
      <c r="Y5478">
        <v>0.1052728</v>
      </c>
      <c r="Z5478">
        <v>-6.6186690000000006E-2</v>
      </c>
      <c r="AA5478">
        <v>0.99223830000000002</v>
      </c>
      <c r="AB5478">
        <v>48</v>
      </c>
      <c r="AC5478">
        <v>9.2199999999991095E-2</v>
      </c>
      <c r="AD5478">
        <v>-5.9494999999999999E-2</v>
      </c>
      <c r="AE5478">
        <v>0.44169000000000802</v>
      </c>
      <c r="AF5478">
        <v>9.3124665691733402E-2</v>
      </c>
      <c r="AG5478">
        <v>-5.9494999999999999E-2</v>
      </c>
      <c r="AH5478">
        <v>0.433612518888913</v>
      </c>
      <c r="AI5478">
        <v>97.640550464806097</v>
      </c>
      <c r="AJ5478">
        <v>77.879006093334297</v>
      </c>
      <c r="AK5478">
        <v>0.44747254097026501</v>
      </c>
      <c r="AL5478">
        <v>81.474045759743007</v>
      </c>
      <c r="AM5478">
        <v>86.452333221648402</v>
      </c>
      <c r="AN5478">
        <v>0.99999995126001096</v>
      </c>
    </row>
    <row r="5479" spans="1:40" x14ac:dyDescent="0.25">
      <c r="A5479" t="str">
        <f>"20190312164418158"</f>
        <v>20190312164418158</v>
      </c>
      <c r="B5479" t="str">
        <f>"1552380258150837"</f>
        <v>1552380258150837</v>
      </c>
      <c r="C5479" t="s">
        <v>40</v>
      </c>
      <c r="D5479">
        <v>4.4750230000000002</v>
      </c>
      <c r="E5479">
        <v>0.4948574</v>
      </c>
      <c r="F5479" t="s">
        <v>41</v>
      </c>
      <c r="G5479">
        <v>-187.7107</v>
      </c>
      <c r="H5479">
        <v>1.053701</v>
      </c>
      <c r="I5479">
        <v>60.131599999999999</v>
      </c>
      <c r="J5479">
        <v>-187.80289999999999</v>
      </c>
      <c r="K5479">
        <v>1.1101749999999999</v>
      </c>
      <c r="L5479">
        <v>59.762390000000003</v>
      </c>
      <c r="M5479">
        <v>-6.5116059999999996E-3</v>
      </c>
      <c r="N5479">
        <v>0</v>
      </c>
      <c r="O5479">
        <v>0.99992939999999997</v>
      </c>
      <c r="P5479">
        <v>5.5306330000000001E-2</v>
      </c>
      <c r="Q5479">
        <v>0.13835829999999999</v>
      </c>
      <c r="R5479">
        <v>0.98883679999999996</v>
      </c>
      <c r="S5479">
        <v>0.31002809999999997</v>
      </c>
      <c r="T5479">
        <v>-0.1970296</v>
      </c>
      <c r="U5479">
        <v>3.0440369999999999</v>
      </c>
      <c r="V5479">
        <v>6.1423230000000002E-2</v>
      </c>
      <c r="W5479">
        <v>0.1483121</v>
      </c>
      <c r="X5479">
        <v>0.98703129999999994</v>
      </c>
      <c r="Y5479">
        <v>0.10759050000000001</v>
      </c>
      <c r="Z5479">
        <v>-6.4236280000000007E-2</v>
      </c>
      <c r="AA5479">
        <v>0.9921179</v>
      </c>
      <c r="AB5479">
        <v>48</v>
      </c>
      <c r="AC5479">
        <v>9.2199999999991095E-2</v>
      </c>
      <c r="AD5479">
        <v>-5.6473999999999899E-2</v>
      </c>
      <c r="AE5479">
        <v>0.36920999999999499</v>
      </c>
      <c r="AF5479">
        <v>9.2563774948686894E-2</v>
      </c>
      <c r="AG5479">
        <v>-5.6473999999999899E-2</v>
      </c>
      <c r="AH5479">
        <v>0.36065895276513399</v>
      </c>
      <c r="AI5479">
        <v>98.624320938615696</v>
      </c>
      <c r="AJ5479">
        <v>75.605619669121793</v>
      </c>
      <c r="AK5479">
        <v>0.37660622049880399</v>
      </c>
      <c r="AL5479">
        <v>81.470877404760699</v>
      </c>
      <c r="AM5479">
        <v>86.439059810189505</v>
      </c>
      <c r="AN5479">
        <v>1.0000000396848601</v>
      </c>
    </row>
    <row r="5480" spans="1:40" x14ac:dyDescent="0.25">
      <c r="A5480" t="str">
        <f>"20190312164418180"</f>
        <v>20190312164418180</v>
      </c>
      <c r="B5480" t="str">
        <f>"1552380258170356"</f>
        <v>1552380258170356</v>
      </c>
      <c r="C5480" t="s">
        <v>40</v>
      </c>
      <c r="D5480">
        <v>4.4552690000000004</v>
      </c>
      <c r="E5480">
        <v>0.48602689999999998</v>
      </c>
      <c r="F5480" t="s">
        <v>42</v>
      </c>
      <c r="G5480">
        <v>-187.2225</v>
      </c>
      <c r="H5480" s="1">
        <v>-4.4835759999999999E-6</v>
      </c>
      <c r="I5480">
        <v>78.935630000000003</v>
      </c>
      <c r="J5480">
        <v>-187.8064</v>
      </c>
      <c r="K5480">
        <v>1.110193</v>
      </c>
      <c r="L5480">
        <v>60.228389999999997</v>
      </c>
      <c r="M5480">
        <v>-7.2057409999999999E-3</v>
      </c>
      <c r="N5480">
        <v>0</v>
      </c>
      <c r="O5480">
        <v>0.99992349999999997</v>
      </c>
      <c r="P5480">
        <v>5.5191709999999998E-2</v>
      </c>
      <c r="Q5480">
        <v>0.1386144</v>
      </c>
      <c r="R5480">
        <v>0.98880729999999994</v>
      </c>
      <c r="S5480">
        <v>9.2437740000000004E-2</v>
      </c>
      <c r="T5480">
        <v>-0.17680170000000001</v>
      </c>
      <c r="U5480">
        <v>3.053436</v>
      </c>
      <c r="V5480">
        <v>6.1991610000000003E-2</v>
      </c>
      <c r="W5480">
        <v>0.14867839999999999</v>
      </c>
      <c r="X5480">
        <v>0.98694059999999995</v>
      </c>
      <c r="Y5480">
        <v>3.741096E-2</v>
      </c>
      <c r="Z5480">
        <v>-5.777003E-2</v>
      </c>
      <c r="AA5480">
        <v>0.99762870000000003</v>
      </c>
      <c r="AB5480">
        <v>48</v>
      </c>
      <c r="AC5480">
        <v>0.58389999999999898</v>
      </c>
      <c r="AD5480">
        <v>-1.110197483576</v>
      </c>
      <c r="AE5480">
        <v>18.707239999999999</v>
      </c>
      <c r="AF5480">
        <v>0.71617132615817103</v>
      </c>
      <c r="AG5480">
        <v>-1.110197483576</v>
      </c>
      <c r="AH5480">
        <v>18.636972357765899</v>
      </c>
      <c r="AI5480">
        <v>93.406551283690405</v>
      </c>
      <c r="AJ5480">
        <v>87.7993520724158</v>
      </c>
      <c r="AK5480">
        <v>18.683741019535699</v>
      </c>
      <c r="AL5480">
        <v>81.449654214822004</v>
      </c>
      <c r="AM5480">
        <v>86.405865199922701</v>
      </c>
      <c r="AN5480">
        <v>0.99999998713265503</v>
      </c>
    </row>
    <row r="5481" spans="1:40" x14ac:dyDescent="0.25">
      <c r="A5481" t="str">
        <f>"20190312164418204"</f>
        <v>20190312164418204</v>
      </c>
      <c r="B5481" t="str">
        <f>"1552380258200612"</f>
        <v>1552380258200612</v>
      </c>
      <c r="C5481" t="s">
        <v>40</v>
      </c>
      <c r="D5481">
        <v>4.6318609999999998</v>
      </c>
      <c r="E5481">
        <v>0.48413240000000002</v>
      </c>
      <c r="F5481" t="s">
        <v>42</v>
      </c>
      <c r="G5481">
        <v>-187.68379999999999</v>
      </c>
      <c r="H5481" s="1">
        <v>-4.1902659999999998E-6</v>
      </c>
      <c r="I5481">
        <v>78.442669999999893</v>
      </c>
      <c r="J5481">
        <v>-187.81049999999999</v>
      </c>
      <c r="K5481">
        <v>1.1102270000000001</v>
      </c>
      <c r="L5481">
        <v>60.731630000000003</v>
      </c>
      <c r="M5481">
        <v>-7.9551659999999996E-3</v>
      </c>
      <c r="N5481">
        <v>0</v>
      </c>
      <c r="O5481">
        <v>0.99991629999999998</v>
      </c>
      <c r="P5481">
        <v>5.4954339999999997E-2</v>
      </c>
      <c r="Q5481">
        <v>0.13940329999999901</v>
      </c>
      <c r="R5481">
        <v>0.98870959999999997</v>
      </c>
      <c r="S5481">
        <v>2.0584109999999999E-2</v>
      </c>
      <c r="T5481">
        <v>-0.1864499</v>
      </c>
      <c r="U5481">
        <v>3.0589599999999999</v>
      </c>
      <c r="V5481">
        <v>6.2489889999999999E-2</v>
      </c>
      <c r="W5481">
        <v>0.14961720000000001</v>
      </c>
      <c r="X5481">
        <v>0.98676730000000001</v>
      </c>
      <c r="Y5481">
        <v>1.4671689999999999E-2</v>
      </c>
      <c r="Z5481">
        <v>-6.0832310000000001E-2</v>
      </c>
      <c r="AA5481">
        <v>0.99804009999999999</v>
      </c>
      <c r="AB5481">
        <v>48</v>
      </c>
      <c r="AC5481">
        <v>0.12669999999999901</v>
      </c>
      <c r="AD5481">
        <v>-1.110231190266</v>
      </c>
      <c r="AE5481">
        <v>17.711039999999901</v>
      </c>
      <c r="AF5481">
        <v>0.26655022940517298</v>
      </c>
      <c r="AG5481">
        <v>-1.110231190266</v>
      </c>
      <c r="AH5481">
        <v>17.640157861243001</v>
      </c>
      <c r="AI5481">
        <v>93.600905225248397</v>
      </c>
      <c r="AJ5481">
        <v>89.134302475561199</v>
      </c>
      <c r="AK5481">
        <v>17.6770707893081</v>
      </c>
      <c r="AL5481">
        <v>81.395256590502299</v>
      </c>
      <c r="AM5481">
        <v>86.376418098043104</v>
      </c>
      <c r="AN5481">
        <v>0.99999999861867095</v>
      </c>
    </row>
    <row r="5482" spans="1:40" x14ac:dyDescent="0.25">
      <c r="A5482" t="str">
        <f>"20190312164418225"</f>
        <v>20190312164418225</v>
      </c>
      <c r="B5482" t="str">
        <f>"1552380258221108"</f>
        <v>1552380258221108</v>
      </c>
      <c r="C5482" t="s">
        <v>40</v>
      </c>
      <c r="D5482">
        <v>4.4658249999999997</v>
      </c>
      <c r="E5482">
        <v>0.48385420000000001</v>
      </c>
      <c r="F5482" t="s">
        <v>41</v>
      </c>
      <c r="G5482">
        <v>-187.80889999999999</v>
      </c>
      <c r="H5482">
        <v>1.041344</v>
      </c>
      <c r="I5482">
        <v>61.835979999999999</v>
      </c>
      <c r="J5482">
        <v>-187.81469999999999</v>
      </c>
      <c r="K5482">
        <v>1.110263</v>
      </c>
      <c r="L5482">
        <v>61.199550000000002</v>
      </c>
      <c r="M5482">
        <v>-8.6514969999999993E-3</v>
      </c>
      <c r="N5482">
        <v>0</v>
      </c>
      <c r="O5482">
        <v>0.99990869999999998</v>
      </c>
      <c r="P5482">
        <v>5.4647479999999998E-2</v>
      </c>
      <c r="Q5482">
        <v>0.14035029999999901</v>
      </c>
      <c r="R5482">
        <v>0.98859269999999999</v>
      </c>
      <c r="S5482">
        <v>4.0588380000000004E-3</v>
      </c>
      <c r="T5482">
        <v>-0.19095290000000001</v>
      </c>
      <c r="U5482">
        <v>3.0609739999999999</v>
      </c>
      <c r="V5482">
        <v>6.2865409999999997E-2</v>
      </c>
      <c r="W5482">
        <v>0.15073499999999901</v>
      </c>
      <c r="X5482">
        <v>0.98657329999999999</v>
      </c>
      <c r="Y5482">
        <v>9.9753270000000008E-3</v>
      </c>
      <c r="Z5482">
        <v>-6.2256939999999997E-2</v>
      </c>
      <c r="AA5482">
        <v>0.99801030000000002</v>
      </c>
      <c r="AB5482">
        <v>48</v>
      </c>
      <c r="AC5482">
        <v>5.7999999999935803E-3</v>
      </c>
      <c r="AD5482">
        <v>-6.8918999999999897E-2</v>
      </c>
      <c r="AE5482">
        <v>0.63643000000000405</v>
      </c>
      <c r="AF5482">
        <v>1.1175115201050899E-2</v>
      </c>
      <c r="AG5482">
        <v>-6.8918999999999897E-2</v>
      </c>
      <c r="AH5482">
        <v>0.62898072780224501</v>
      </c>
      <c r="AI5482">
        <v>96.252118182308493</v>
      </c>
      <c r="AJ5482">
        <v>88.982131648011901</v>
      </c>
      <c r="AK5482">
        <v>0.63284395209830202</v>
      </c>
      <c r="AL5482">
        <v>81.330476621313693</v>
      </c>
      <c r="AM5482">
        <v>86.353986596189799</v>
      </c>
      <c r="AN5482">
        <v>0.99999998813617896</v>
      </c>
    </row>
    <row r="5483" spans="1:40" x14ac:dyDescent="0.25">
      <c r="A5483" t="str">
        <f>"20190312164418250"</f>
        <v>20190312164418250</v>
      </c>
      <c r="B5483" t="str">
        <f>"1552380258240628"</f>
        <v>1552380258240628</v>
      </c>
      <c r="C5483" t="s">
        <v>40</v>
      </c>
      <c r="D5483">
        <v>4.7717289999999997</v>
      </c>
      <c r="E5483">
        <v>0.48399219999999998</v>
      </c>
      <c r="F5483" t="s">
        <v>41</v>
      </c>
      <c r="G5483">
        <v>-187.8141</v>
      </c>
      <c r="H5483">
        <v>1.046923</v>
      </c>
      <c r="I5483">
        <v>62.278019999999998</v>
      </c>
      <c r="J5483">
        <v>-187.81979999999999</v>
      </c>
      <c r="K5483">
        <v>1.110311</v>
      </c>
      <c r="L5483">
        <v>61.724209999999999</v>
      </c>
      <c r="M5483">
        <v>-9.4304100000000002E-3</v>
      </c>
      <c r="N5483">
        <v>0</v>
      </c>
      <c r="O5483">
        <v>0.99989939999999999</v>
      </c>
      <c r="P5483">
        <v>5.479552E-2</v>
      </c>
      <c r="Q5483">
        <v>0.14024729999999999</v>
      </c>
      <c r="R5483">
        <v>0.98859909999999995</v>
      </c>
      <c r="S5483">
        <v>1.327515E-3</v>
      </c>
      <c r="T5483">
        <v>-0.17975849999999999</v>
      </c>
      <c r="U5483">
        <v>3.0600589999999999</v>
      </c>
      <c r="V5483">
        <v>6.3780219999999999E-2</v>
      </c>
      <c r="W5483">
        <v>0.150845799999999</v>
      </c>
      <c r="X5483">
        <v>0.98649759999999997</v>
      </c>
      <c r="Y5483">
        <v>9.8639950000000004E-3</v>
      </c>
      <c r="Z5483">
        <v>-5.8637080000000001E-2</v>
      </c>
      <c r="AA5483">
        <v>0.99823059999999997</v>
      </c>
      <c r="AB5483">
        <v>48</v>
      </c>
      <c r="AC5483">
        <v>5.6999999999902597E-3</v>
      </c>
      <c r="AD5483">
        <v>-6.3388E-2</v>
      </c>
      <c r="AE5483">
        <v>0.55380999999999803</v>
      </c>
      <c r="AF5483">
        <v>1.07814658928142E-2</v>
      </c>
      <c r="AG5483">
        <v>-6.3388E-2</v>
      </c>
      <c r="AH5483">
        <v>0.54657193079936806</v>
      </c>
      <c r="AI5483">
        <v>96.613978993763695</v>
      </c>
      <c r="AJ5483">
        <v>88.869952230146097</v>
      </c>
      <c r="AK5483">
        <v>0.55034094349643603</v>
      </c>
      <c r="AL5483">
        <v>81.324054428636103</v>
      </c>
      <c r="AM5483">
        <v>86.300793431862303</v>
      </c>
      <c r="AN5483">
        <v>0.99999994332332198</v>
      </c>
    </row>
    <row r="5484" spans="1:40" x14ac:dyDescent="0.25">
      <c r="A5484" t="str">
        <f>"20190312164418293"</f>
        <v>20190312164418293</v>
      </c>
      <c r="B5484" t="str">
        <f>"1552380258290405"</f>
        <v>1552380258290405</v>
      </c>
      <c r="C5484" t="s">
        <v>40</v>
      </c>
      <c r="D5484">
        <v>4.7524189999999997</v>
      </c>
      <c r="E5484">
        <v>0.48402770000000001</v>
      </c>
      <c r="F5484" t="s">
        <v>42</v>
      </c>
      <c r="G5484">
        <v>-187.7997</v>
      </c>
      <c r="H5484" s="1">
        <v>-1.1212820000000001E-6</v>
      </c>
      <c r="I5484">
        <v>81.222669999999994</v>
      </c>
      <c r="J5484">
        <v>-187.8296</v>
      </c>
      <c r="K5484">
        <v>1.1104149999999999</v>
      </c>
      <c r="L5484">
        <v>62.6402</v>
      </c>
      <c r="M5484">
        <v>-1.0771950000000001E-2</v>
      </c>
      <c r="N5484">
        <v>0</v>
      </c>
      <c r="O5484">
        <v>0.99988060000000001</v>
      </c>
      <c r="P5484">
        <v>5.4859980000000003E-2</v>
      </c>
      <c r="Q5484">
        <v>0.1398324</v>
      </c>
      <c r="R5484">
        <v>0.98865429999999999</v>
      </c>
      <c r="S5484">
        <v>3.1433110000000002E-3</v>
      </c>
      <c r="T5484">
        <v>-0.17419849999999901</v>
      </c>
      <c r="U5484">
        <v>3.0591430000000002</v>
      </c>
      <c r="V5484">
        <v>6.5168539999999997E-2</v>
      </c>
      <c r="W5484">
        <v>0.15091830000000001</v>
      </c>
      <c r="X5484">
        <v>0.98639580000000004</v>
      </c>
      <c r="Y5484">
        <v>1.1798400000000001E-2</v>
      </c>
      <c r="Z5484">
        <v>-5.6844529999999997E-2</v>
      </c>
      <c r="AA5484">
        <v>0.99831329999999996</v>
      </c>
      <c r="AB5484">
        <v>48</v>
      </c>
      <c r="AC5484">
        <v>2.98999999999978E-2</v>
      </c>
      <c r="AD5484">
        <v>-1.1104161212819901</v>
      </c>
      <c r="AE5484">
        <v>18.582469999999901</v>
      </c>
      <c r="AF5484">
        <v>0.22926134672590301</v>
      </c>
      <c r="AG5484">
        <v>-1.1104161212819901</v>
      </c>
      <c r="AH5484">
        <v>18.5149567268857</v>
      </c>
      <c r="AI5484">
        <v>93.431883882216496</v>
      </c>
      <c r="AJ5484">
        <v>89.290571591434798</v>
      </c>
      <c r="AK5484">
        <v>18.549641703438802</v>
      </c>
      <c r="AL5484">
        <v>81.319852638543694</v>
      </c>
      <c r="AM5484">
        <v>86.220113855260195</v>
      </c>
      <c r="AN5484">
        <v>0.99999997306913002</v>
      </c>
    </row>
    <row r="5485" spans="1:40" x14ac:dyDescent="0.25">
      <c r="A5485" t="str">
        <f>"20190312164418313"</f>
        <v>20190312164418313</v>
      </c>
      <c r="B5485" t="str">
        <f>"1552380258300178"</f>
        <v>1552380258300178</v>
      </c>
      <c r="C5485" t="s">
        <v>40</v>
      </c>
      <c r="D5485">
        <v>4.5270640000000002</v>
      </c>
      <c r="E5485">
        <v>0.48404520000000001</v>
      </c>
      <c r="F5485" t="s">
        <v>42</v>
      </c>
      <c r="G5485">
        <v>-187.80090000000001</v>
      </c>
      <c r="H5485" s="1">
        <v>-1.6076869999999999E-6</v>
      </c>
      <c r="I5485">
        <v>82.471050000000005</v>
      </c>
      <c r="J5485">
        <v>-187.8348</v>
      </c>
      <c r="K5485">
        <v>1.110466</v>
      </c>
      <c r="L5485">
        <v>63.078769999999999</v>
      </c>
      <c r="M5485">
        <v>-1.14E-2</v>
      </c>
      <c r="N5485">
        <v>0</v>
      </c>
      <c r="O5485">
        <v>0.99987020000000004</v>
      </c>
      <c r="P5485">
        <v>5.575505E-2</v>
      </c>
      <c r="Q5485">
        <v>0.14069119999999999</v>
      </c>
      <c r="R5485">
        <v>0.98848239999999998</v>
      </c>
      <c r="S5485">
        <v>4.4250490000000003E-3</v>
      </c>
      <c r="T5485">
        <v>-0.17125389999999999</v>
      </c>
      <c r="U5485">
        <v>3.058411</v>
      </c>
      <c r="V5485">
        <v>6.6681699999999997E-2</v>
      </c>
      <c r="W5485">
        <v>0.15207409999999999</v>
      </c>
      <c r="X5485">
        <v>0.98611709999999997</v>
      </c>
      <c r="Y5485">
        <v>1.2845219999999999E-2</v>
      </c>
      <c r="Z5485">
        <v>-5.5899049999999999E-2</v>
      </c>
      <c r="AA5485">
        <v>0.99835379999999996</v>
      </c>
      <c r="AB5485">
        <v>48</v>
      </c>
      <c r="AC5485">
        <v>3.3899999999988398E-2</v>
      </c>
      <c r="AD5485">
        <v>-1.1104676076869999</v>
      </c>
      <c r="AE5485">
        <v>19.39228</v>
      </c>
      <c r="AF5485">
        <v>0.25415073629169599</v>
      </c>
      <c r="AG5485">
        <v>-1.1104676076869999</v>
      </c>
      <c r="AH5485">
        <v>19.327257474175799</v>
      </c>
      <c r="AI5485">
        <v>93.288089397873804</v>
      </c>
      <c r="AJ5485">
        <v>89.246611925061202</v>
      </c>
      <c r="AK5485">
        <v>19.3608009229361</v>
      </c>
      <c r="AL5485">
        <v>81.252856761919901</v>
      </c>
      <c r="AM5485">
        <v>86.131521632722695</v>
      </c>
      <c r="AN5485">
        <v>0.99999995795905405</v>
      </c>
    </row>
    <row r="5486" spans="1:40" x14ac:dyDescent="0.25">
      <c r="A5486" t="str">
        <f>"20190312164418336"</f>
        <v>20190312164418336</v>
      </c>
      <c r="B5486" t="str">
        <f>"1552380258330737"</f>
        <v>1552380258330737</v>
      </c>
      <c r="C5486" t="s">
        <v>40</v>
      </c>
      <c r="D5486">
        <v>4.7466160000000004</v>
      </c>
      <c r="E5486">
        <v>0.4841954</v>
      </c>
      <c r="F5486" t="s">
        <v>42</v>
      </c>
      <c r="G5486">
        <v>-187.79249999999999</v>
      </c>
      <c r="H5486" s="1">
        <v>-2.006062E-6</v>
      </c>
      <c r="I5486">
        <v>83.396190000000004</v>
      </c>
      <c r="J5486">
        <v>-187.8409</v>
      </c>
      <c r="K5486">
        <v>1.1105039999999999</v>
      </c>
      <c r="L5486">
        <v>63.566310000000001</v>
      </c>
      <c r="M5486">
        <v>-1.2084259999999999E-2</v>
      </c>
      <c r="N5486">
        <v>0</v>
      </c>
      <c r="O5486">
        <v>0.99985809999999997</v>
      </c>
      <c r="P5486">
        <v>5.6626139999999998E-2</v>
      </c>
      <c r="Q5486">
        <v>0.14050760000000001</v>
      </c>
      <c r="R5486">
        <v>0.98845890000000003</v>
      </c>
      <c r="S5486">
        <v>6.3629150000000002E-3</v>
      </c>
      <c r="T5486">
        <v>-0.16715859999999999</v>
      </c>
      <c r="U5486">
        <v>3.0583800000000001</v>
      </c>
      <c r="V5486">
        <v>6.8234169999999997E-2</v>
      </c>
      <c r="W5486">
        <v>0.15223709999999999</v>
      </c>
      <c r="X5486">
        <v>0.98598580000000002</v>
      </c>
      <c r="Y5486">
        <v>1.4162289999999999E-2</v>
      </c>
      <c r="Z5486">
        <v>-5.4565700000000002E-2</v>
      </c>
      <c r="AA5486">
        <v>0.99840969999999996</v>
      </c>
      <c r="AB5486">
        <v>48</v>
      </c>
      <c r="AC5486">
        <v>4.8400000000015098E-2</v>
      </c>
      <c r="AD5486">
        <v>-1.110506006062</v>
      </c>
      <c r="AE5486">
        <v>19.829879999999999</v>
      </c>
      <c r="AF5486">
        <v>0.28714187278384601</v>
      </c>
      <c r="AG5486">
        <v>-1.110506006062</v>
      </c>
      <c r="AH5486">
        <v>19.7658579422794</v>
      </c>
      <c r="AI5486">
        <v>93.215331962134698</v>
      </c>
      <c r="AJ5486">
        <v>89.1677133221269</v>
      </c>
      <c r="AK5486">
        <v>19.799111450743801</v>
      </c>
      <c r="AL5486">
        <v>81.243408050486707</v>
      </c>
      <c r="AM5486">
        <v>86.041214117226104</v>
      </c>
      <c r="AN5486">
        <v>1.00000001718681</v>
      </c>
    </row>
    <row r="5487" spans="1:40" x14ac:dyDescent="0.25">
      <c r="A5487" t="str">
        <f>"20190312164418360"</f>
        <v>20190312164418360</v>
      </c>
      <c r="B5487" t="str">
        <f>"1552380258350257"</f>
        <v>1552380258350257</v>
      </c>
      <c r="C5487" t="s">
        <v>40</v>
      </c>
      <c r="D5487">
        <v>4.7755479999999997</v>
      </c>
      <c r="E5487">
        <v>0.4842707</v>
      </c>
      <c r="F5487" t="s">
        <v>42</v>
      </c>
      <c r="G5487">
        <v>-187.7758</v>
      </c>
      <c r="H5487" s="1">
        <v>-2.2282230000000001E-6</v>
      </c>
      <c r="I5487">
        <v>83.907150000000001</v>
      </c>
      <c r="J5487">
        <v>-187.8475</v>
      </c>
      <c r="K5487">
        <v>1.110519</v>
      </c>
      <c r="L5487">
        <v>64.070070000000001</v>
      </c>
      <c r="M5487">
        <v>-1.276121E-2</v>
      </c>
      <c r="N5487">
        <v>0</v>
      </c>
      <c r="O5487">
        <v>0.9998454</v>
      </c>
      <c r="P5487">
        <v>5.7250410000000002E-2</v>
      </c>
      <c r="Q5487">
        <v>0.140349</v>
      </c>
      <c r="R5487">
        <v>0.98844549999999998</v>
      </c>
      <c r="S5487">
        <v>9.7808840000000001E-3</v>
      </c>
      <c r="T5487">
        <v>-0.166962</v>
      </c>
      <c r="U5487">
        <v>3.0581969999999998</v>
      </c>
      <c r="V5487">
        <v>6.9537680000000004E-2</v>
      </c>
      <c r="W5487">
        <v>0.15243039999999999</v>
      </c>
      <c r="X5487">
        <v>0.98586490000000004</v>
      </c>
      <c r="Y5487">
        <v>1.5955299999999999E-2</v>
      </c>
      <c r="Z5487">
        <v>-5.450348E-2</v>
      </c>
      <c r="AA5487">
        <v>0.99838610000000005</v>
      </c>
      <c r="AB5487">
        <v>48</v>
      </c>
      <c r="AC5487">
        <v>7.16999999999927E-2</v>
      </c>
      <c r="AD5487">
        <v>-1.1105212282229999</v>
      </c>
      <c r="AE5487">
        <v>19.83708</v>
      </c>
      <c r="AF5487">
        <v>0.32384291886150401</v>
      </c>
      <c r="AG5487">
        <v>-1.1105212282229999</v>
      </c>
      <c r="AH5487">
        <v>19.772583074465899</v>
      </c>
      <c r="AI5487">
        <v>93.214192877010902</v>
      </c>
      <c r="AJ5487">
        <v>89.061671732359798</v>
      </c>
      <c r="AK5487">
        <v>19.8063922275383</v>
      </c>
      <c r="AL5487">
        <v>81.232202356153493</v>
      </c>
      <c r="AM5487">
        <v>85.965341815969296</v>
      </c>
      <c r="AN5487">
        <v>1.00000005841797</v>
      </c>
    </row>
    <row r="5488" spans="1:40" x14ac:dyDescent="0.25">
      <c r="A5488" t="str">
        <f>"20190312164418382"</f>
        <v>20190312164418382</v>
      </c>
      <c r="B5488" t="str">
        <f>"1552380258370753"</f>
        <v>1552380258370753</v>
      </c>
      <c r="C5488" t="s">
        <v>40</v>
      </c>
      <c r="D5488">
        <v>4.6728860000000001</v>
      </c>
      <c r="E5488">
        <v>0.48413079999999997</v>
      </c>
      <c r="F5488" t="s">
        <v>42</v>
      </c>
      <c r="G5488">
        <v>-187.76169999999999</v>
      </c>
      <c r="H5488" s="1">
        <v>-2.5042399999999999E-6</v>
      </c>
      <c r="I5488">
        <v>84.544690000000003</v>
      </c>
      <c r="J5488">
        <v>-187.85390000000001</v>
      </c>
      <c r="K5488">
        <v>1.1105020000000001</v>
      </c>
      <c r="L5488">
        <v>64.544340000000005</v>
      </c>
      <c r="M5488">
        <v>-1.335014E-2</v>
      </c>
      <c r="N5488">
        <v>0</v>
      </c>
      <c r="O5488">
        <v>0.99983390000000005</v>
      </c>
      <c r="P5488">
        <v>5.825458E-2</v>
      </c>
      <c r="Q5488">
        <v>0.1390969</v>
      </c>
      <c r="R5488">
        <v>0.98856379999999999</v>
      </c>
      <c r="S5488">
        <v>1.281738E-2</v>
      </c>
      <c r="T5488">
        <v>-0.16585510000000001</v>
      </c>
      <c r="U5488">
        <v>3.0578609999999999</v>
      </c>
      <c r="V5488">
        <v>7.1142319999999995E-2</v>
      </c>
      <c r="W5488">
        <v>0.15148629999999999</v>
      </c>
      <c r="X5488">
        <v>0.98589590000000005</v>
      </c>
      <c r="Y5488">
        <v>1.7536110000000001E-2</v>
      </c>
      <c r="Z5488">
        <v>-5.414766E-2</v>
      </c>
      <c r="AA5488">
        <v>0.99837889999999996</v>
      </c>
      <c r="AB5488">
        <v>48</v>
      </c>
      <c r="AC5488">
        <v>9.22000000000196E-2</v>
      </c>
      <c r="AD5488">
        <v>-1.1105045042399999</v>
      </c>
      <c r="AE5488">
        <v>20.000350000000001</v>
      </c>
      <c r="AF5488">
        <v>0.35811578246438802</v>
      </c>
      <c r="AG5488">
        <v>-1.1105045042399999</v>
      </c>
      <c r="AH5488">
        <v>19.9358765154204</v>
      </c>
      <c r="AI5488">
        <v>93.187785697180701</v>
      </c>
      <c r="AJ5488">
        <v>88.970884659629903</v>
      </c>
      <c r="AK5488">
        <v>19.969993480361399</v>
      </c>
      <c r="AL5488">
        <v>81.286930594326293</v>
      </c>
      <c r="AM5488">
        <v>85.8726861998949</v>
      </c>
      <c r="AN5488">
        <v>1.00000002720974</v>
      </c>
    </row>
    <row r="5489" spans="1:40" x14ac:dyDescent="0.25">
      <c r="A5489" t="str">
        <f>"20190312164418404"</f>
        <v>20190312164418404</v>
      </c>
      <c r="B5489" t="str">
        <f>"1552380258401009"</f>
        <v>1552380258401009</v>
      </c>
      <c r="C5489" t="s">
        <v>40</v>
      </c>
      <c r="D5489">
        <v>4.5879510000000003</v>
      </c>
      <c r="E5489">
        <v>0.4838788</v>
      </c>
      <c r="F5489" t="s">
        <v>41</v>
      </c>
      <c r="G5489">
        <v>-187.84829999999999</v>
      </c>
      <c r="H5489">
        <v>1.0459769999999999</v>
      </c>
      <c r="I5489">
        <v>65.686959999999999</v>
      </c>
      <c r="J5489">
        <v>-187.86089999999999</v>
      </c>
      <c r="K5489">
        <v>1.110468</v>
      </c>
      <c r="L5489">
        <v>65.032139999999998</v>
      </c>
      <c r="M5489">
        <v>-1.388587E-2</v>
      </c>
      <c r="N5489">
        <v>0</v>
      </c>
      <c r="O5489">
        <v>0.99982289999999996</v>
      </c>
      <c r="P5489">
        <v>5.9188329999999997E-2</v>
      </c>
      <c r="Q5489">
        <v>0.13769110000000001</v>
      </c>
      <c r="R5489">
        <v>0.98870519999999995</v>
      </c>
      <c r="S5489">
        <v>1.4755249999999999E-2</v>
      </c>
      <c r="T5489">
        <v>-0.17272409999999999</v>
      </c>
      <c r="U5489">
        <v>3.0581360000000002</v>
      </c>
      <c r="V5489">
        <v>7.2629429999999995E-2</v>
      </c>
      <c r="W5489">
        <v>0.150364</v>
      </c>
      <c r="X5489">
        <v>0.98595920000000004</v>
      </c>
      <c r="Y5489">
        <v>1.8703549999999999E-2</v>
      </c>
      <c r="Z5489">
        <v>-5.6376919999999997E-2</v>
      </c>
      <c r="AA5489">
        <v>0.99823430000000002</v>
      </c>
      <c r="AB5489">
        <v>48</v>
      </c>
      <c r="AC5489">
        <v>1.2599999999991901E-2</v>
      </c>
      <c r="AD5489">
        <v>-6.4491000000000007E-2</v>
      </c>
      <c r="AE5489">
        <v>0.65481999999999996</v>
      </c>
      <c r="AF5489">
        <v>2.1483955143743998E-2</v>
      </c>
      <c r="AG5489">
        <v>-6.4491000000000007E-2</v>
      </c>
      <c r="AH5489">
        <v>0.64829598831966795</v>
      </c>
      <c r="AI5489">
        <v>95.677866373205205</v>
      </c>
      <c r="AJ5489">
        <v>88.101963193712507</v>
      </c>
      <c r="AK5489">
        <v>0.651849935093188</v>
      </c>
      <c r="AL5489">
        <v>81.351978137419394</v>
      </c>
      <c r="AM5489">
        <v>85.7869887229932</v>
      </c>
      <c r="AN5489">
        <v>0.99999995533138097</v>
      </c>
    </row>
    <row r="5490" spans="1:40" x14ac:dyDescent="0.25">
      <c r="A5490" t="str">
        <f>"20190312164418428"</f>
        <v>20190312164418428</v>
      </c>
      <c r="B5490" t="str">
        <f>"1552380258420530"</f>
        <v>1552380258420530</v>
      </c>
      <c r="C5490" t="s">
        <v>40</v>
      </c>
      <c r="D5490">
        <v>4.6263370000000004</v>
      </c>
      <c r="E5490">
        <v>0.4838711</v>
      </c>
      <c r="F5490" t="s">
        <v>41</v>
      </c>
      <c r="G5490">
        <v>-187.8554</v>
      </c>
      <c r="H5490">
        <v>1.0464469999999999</v>
      </c>
      <c r="I5490">
        <v>66.113590000000002</v>
      </c>
      <c r="J5490">
        <v>-187.86799999999999</v>
      </c>
      <c r="K5490">
        <v>1.1104259999999999</v>
      </c>
      <c r="L5490">
        <v>65.516480000000001</v>
      </c>
      <c r="M5490">
        <v>-1.4353619999999999E-2</v>
      </c>
      <c r="N5490">
        <v>0</v>
      </c>
      <c r="O5490">
        <v>0.99981299999999995</v>
      </c>
      <c r="P5490">
        <v>6.0215789999999998E-2</v>
      </c>
      <c r="Q5490">
        <v>0.13677619999999999</v>
      </c>
      <c r="R5490">
        <v>0.98877009999999999</v>
      </c>
      <c r="S5490">
        <v>1.538086E-2</v>
      </c>
      <c r="T5490">
        <v>-0.18105940000000001</v>
      </c>
      <c r="U5490">
        <v>3.0585629999999999</v>
      </c>
      <c r="V5490">
        <v>7.4142659999999999E-2</v>
      </c>
      <c r="W5490">
        <v>0.14969930000000001</v>
      </c>
      <c r="X5490">
        <v>0.98594780000000004</v>
      </c>
      <c r="Y5490">
        <v>1.937407E-2</v>
      </c>
      <c r="Z5490">
        <v>-5.9079020000000003E-2</v>
      </c>
      <c r="AA5490">
        <v>0.99806530000000004</v>
      </c>
      <c r="AB5490">
        <v>48</v>
      </c>
      <c r="AC5490">
        <v>1.2599999999991901E-2</v>
      </c>
      <c r="AD5490">
        <v>-6.3978999999999994E-2</v>
      </c>
      <c r="AE5490">
        <v>0.59711000000000003</v>
      </c>
      <c r="AF5490">
        <v>2.09299294558449E-2</v>
      </c>
      <c r="AG5490">
        <v>-6.3978999999999994E-2</v>
      </c>
      <c r="AH5490">
        <v>0.59009594003655697</v>
      </c>
      <c r="AI5490">
        <v>96.184056275774196</v>
      </c>
      <c r="AJ5490">
        <v>87.968645355845098</v>
      </c>
      <c r="AK5490">
        <v>0.59392305295859205</v>
      </c>
      <c r="AL5490">
        <v>81.390499379961497</v>
      </c>
      <c r="AM5490">
        <v>85.699487295325</v>
      </c>
      <c r="AN5490">
        <v>1.0000000393885999</v>
      </c>
    </row>
    <row r="5491" spans="1:40" x14ac:dyDescent="0.25">
      <c r="A5491" t="str">
        <f>"20190312164418450"</f>
        <v>20190312164418450</v>
      </c>
      <c r="B5491" t="str">
        <f>"1552380258441025"</f>
        <v>1552380258441025</v>
      </c>
      <c r="C5491" t="s">
        <v>40</v>
      </c>
      <c r="D5491">
        <v>4.9439699999999904</v>
      </c>
      <c r="E5491">
        <v>0.4839773</v>
      </c>
      <c r="F5491" t="s">
        <v>41</v>
      </c>
      <c r="G5491">
        <v>-187.86179999999999</v>
      </c>
      <c r="H5491">
        <v>1.0480449999999999</v>
      </c>
      <c r="I5491">
        <v>66.543559999999999</v>
      </c>
      <c r="J5491">
        <v>-187.8751</v>
      </c>
      <c r="K5491">
        <v>1.110371</v>
      </c>
      <c r="L5491">
        <v>65.996250000000003</v>
      </c>
      <c r="M5491">
        <v>-1.4750549999999999E-2</v>
      </c>
      <c r="N5491">
        <v>0</v>
      </c>
      <c r="O5491">
        <v>0.99980409999999997</v>
      </c>
      <c r="P5491">
        <v>6.1481920000000002E-2</v>
      </c>
      <c r="Q5491">
        <v>0.13618440000000001</v>
      </c>
      <c r="R5491">
        <v>0.98877389999999998</v>
      </c>
      <c r="S5491">
        <v>1.792908E-2</v>
      </c>
      <c r="T5491">
        <v>-0.18580250000000001</v>
      </c>
      <c r="U5491">
        <v>3.0586850000000001</v>
      </c>
      <c r="V5491">
        <v>7.5823890000000005E-2</v>
      </c>
      <c r="W5491">
        <v>0.14932679999999901</v>
      </c>
      <c r="X5491">
        <v>0.98587639999999999</v>
      </c>
      <c r="Y5491">
        <v>2.060176E-2</v>
      </c>
      <c r="Z5491">
        <v>-6.0617249999999998E-2</v>
      </c>
      <c r="AA5491">
        <v>0.99794850000000002</v>
      </c>
      <c r="AB5491">
        <v>48</v>
      </c>
      <c r="AC5491">
        <v>1.33000000000151E-2</v>
      </c>
      <c r="AD5491">
        <v>-6.2325999999999798E-2</v>
      </c>
      <c r="AE5491">
        <v>0.54730999999999597</v>
      </c>
      <c r="AF5491">
        <v>2.1098930818220701E-2</v>
      </c>
      <c r="AG5491">
        <v>-6.2325999999999798E-2</v>
      </c>
      <c r="AH5491">
        <v>0.54005496619085602</v>
      </c>
      <c r="AI5491">
        <v>96.578223134883601</v>
      </c>
      <c r="AJ5491">
        <v>87.762699574039502</v>
      </c>
      <c r="AK5491">
        <v>0.54404876772682698</v>
      </c>
      <c r="AL5491">
        <v>81.412084476999098</v>
      </c>
      <c r="AM5491">
        <v>85.602031629112702</v>
      </c>
      <c r="AN5491">
        <v>1.00000001578496</v>
      </c>
    </row>
    <row r="5492" spans="1:40" x14ac:dyDescent="0.25">
      <c r="A5492" t="str">
        <f>"20190312164418472"</f>
        <v>20190312164418472</v>
      </c>
      <c r="B5492" t="str">
        <f>"1552380258460544"</f>
        <v>1552380258460544</v>
      </c>
      <c r="C5492" t="s">
        <v>40</v>
      </c>
      <c r="D5492">
        <v>4.6301509999999997</v>
      </c>
      <c r="E5492">
        <v>0.48404069999999999</v>
      </c>
      <c r="F5492" t="s">
        <v>42</v>
      </c>
      <c r="G5492">
        <v>-187.74289999999999</v>
      </c>
      <c r="H5492" s="1">
        <v>-2.298887E-6</v>
      </c>
      <c r="I5492">
        <v>84.058269999999993</v>
      </c>
      <c r="J5492">
        <v>-187.88210000000001</v>
      </c>
      <c r="K5492">
        <v>1.1103240000000001</v>
      </c>
      <c r="L5492">
        <v>66.454279999999997</v>
      </c>
      <c r="M5492">
        <v>-1.50691E-2</v>
      </c>
      <c r="N5492">
        <v>0</v>
      </c>
      <c r="O5492">
        <v>0.99979669999999998</v>
      </c>
      <c r="P5492">
        <v>6.240822E-2</v>
      </c>
      <c r="Q5492">
        <v>0.13551270000000001</v>
      </c>
      <c r="R5492">
        <v>0.98880820000000003</v>
      </c>
      <c r="S5492">
        <v>2.2384640000000001E-2</v>
      </c>
      <c r="T5492">
        <v>-0.1880269</v>
      </c>
      <c r="U5492">
        <v>3.0585629999999999</v>
      </c>
      <c r="V5492">
        <v>7.7087920000000004E-2</v>
      </c>
      <c r="W5492">
        <v>0.14884020000000001</v>
      </c>
      <c r="X5492">
        <v>0.9858519</v>
      </c>
      <c r="Y5492">
        <v>2.237391E-2</v>
      </c>
      <c r="Z5492">
        <v>-6.1340779999999998E-2</v>
      </c>
      <c r="AA5492">
        <v>0.99786609999999998</v>
      </c>
      <c r="AB5492">
        <v>48</v>
      </c>
      <c r="AC5492">
        <v>0.13920000000001601</v>
      </c>
      <c r="AD5492">
        <v>-1.110326298887</v>
      </c>
      <c r="AE5492">
        <v>17.6039899999999</v>
      </c>
      <c r="AF5492">
        <v>0.40288167091652799</v>
      </c>
      <c r="AG5492">
        <v>-1.110326298887</v>
      </c>
      <c r="AH5492">
        <v>17.530160078708501</v>
      </c>
      <c r="AI5492">
        <v>93.6232080475461</v>
      </c>
      <c r="AJ5492">
        <v>88.683448611335095</v>
      </c>
      <c r="AK5492">
        <v>17.569907527244101</v>
      </c>
      <c r="AL5492">
        <v>81.440279220145399</v>
      </c>
      <c r="AM5492">
        <v>85.528899026290603</v>
      </c>
      <c r="AN5492">
        <v>0.99999996063978702</v>
      </c>
    </row>
    <row r="5493" spans="1:40" x14ac:dyDescent="0.25">
      <c r="A5493" t="str">
        <f>"20190312164418494"</f>
        <v>20190312164418494</v>
      </c>
      <c r="B5493" t="str">
        <f>"1552380258490801"</f>
        <v>1552380258490801</v>
      </c>
      <c r="C5493" t="s">
        <v>40</v>
      </c>
      <c r="D5493">
        <v>4.8455979999999998</v>
      </c>
      <c r="E5493">
        <v>0.48392279999999999</v>
      </c>
      <c r="F5493" t="s">
        <v>42</v>
      </c>
      <c r="G5493">
        <v>-187.73159999999999</v>
      </c>
      <c r="H5493" s="1">
        <v>-2.4461300000000002E-6</v>
      </c>
      <c r="I5493">
        <v>84.396829999999994</v>
      </c>
      <c r="J5493">
        <v>-187.8895</v>
      </c>
      <c r="K5493">
        <v>1.110276</v>
      </c>
      <c r="L5493">
        <v>66.928619999999995</v>
      </c>
      <c r="M5493">
        <v>-1.5345960000000001E-2</v>
      </c>
      <c r="N5493">
        <v>0</v>
      </c>
      <c r="O5493">
        <v>0.99979010000000001</v>
      </c>
      <c r="P5493">
        <v>6.3811179999999995E-2</v>
      </c>
      <c r="Q5493">
        <v>0.13581770000000001</v>
      </c>
      <c r="R5493">
        <v>0.98867669999999996</v>
      </c>
      <c r="S5493">
        <v>2.5650019999999999E-2</v>
      </c>
      <c r="T5493">
        <v>-0.18925400000000001</v>
      </c>
      <c r="U5493">
        <v>3.0582889999999998</v>
      </c>
      <c r="V5493">
        <v>7.8783679999999995E-2</v>
      </c>
      <c r="W5493">
        <v>0.14931220000000001</v>
      </c>
      <c r="X5493">
        <v>0.98564649999999998</v>
      </c>
      <c r="Y5493">
        <v>2.3716589999999999E-2</v>
      </c>
      <c r="Z5493">
        <v>-6.1743510000000001E-2</v>
      </c>
      <c r="AA5493">
        <v>0.99781019999999998</v>
      </c>
      <c r="AB5493">
        <v>48</v>
      </c>
      <c r="AC5493">
        <v>0.157900000000012</v>
      </c>
      <c r="AD5493">
        <v>-1.1102784461299999</v>
      </c>
      <c r="AE5493">
        <v>17.468209999999999</v>
      </c>
      <c r="AF5493">
        <v>0.42425874619338599</v>
      </c>
      <c r="AG5493">
        <v>-1.1102784461299999</v>
      </c>
      <c r="AH5493">
        <v>17.393467734985599</v>
      </c>
      <c r="AI5493">
        <v>93.651327014797005</v>
      </c>
      <c r="AJ5493">
        <v>88.6027273662109</v>
      </c>
      <c r="AK5493">
        <v>17.434030903943199</v>
      </c>
      <c r="AL5493">
        <v>81.4129304483059</v>
      </c>
      <c r="AM5493">
        <v>85.430008784958204</v>
      </c>
      <c r="AN5493">
        <v>1.0000000121327099</v>
      </c>
    </row>
    <row r="5494" spans="1:40" x14ac:dyDescent="0.25">
      <c r="A5494" t="str">
        <f>"20190312164418515"</f>
        <v>20190312164418515</v>
      </c>
      <c r="B5494" t="str">
        <f>"1552380258510321"</f>
        <v>1552380258510321</v>
      </c>
      <c r="C5494" t="s">
        <v>40</v>
      </c>
      <c r="D5494">
        <v>4.645975</v>
      </c>
      <c r="E5494">
        <v>0.48390640000000001</v>
      </c>
      <c r="F5494" t="s">
        <v>42</v>
      </c>
      <c r="G5494">
        <v>-187.72409999999999</v>
      </c>
      <c r="H5494" s="1">
        <v>-2.6194330000000001E-6</v>
      </c>
      <c r="I5494">
        <v>84.79768</v>
      </c>
      <c r="J5494">
        <v>-187.8964</v>
      </c>
      <c r="K5494">
        <v>1.1102369999999999</v>
      </c>
      <c r="L5494">
        <v>67.368619999999893</v>
      </c>
      <c r="M5494">
        <v>-1.5565280000000001E-2</v>
      </c>
      <c r="N5494">
        <v>0</v>
      </c>
      <c r="O5494">
        <v>0.99978469999999997</v>
      </c>
      <c r="P5494">
        <v>6.5264829999999996E-2</v>
      </c>
      <c r="Q5494">
        <v>0.13685539999999999</v>
      </c>
      <c r="R5494">
        <v>0.9884387</v>
      </c>
      <c r="S5494">
        <v>2.8305049999999998E-2</v>
      </c>
      <c r="T5494">
        <v>-0.19004679999999999</v>
      </c>
      <c r="U5494">
        <v>3.0586549999999999</v>
      </c>
      <c r="V5494">
        <v>8.0467800000000006E-2</v>
      </c>
      <c r="W5494">
        <v>0.1504837</v>
      </c>
      <c r="X5494">
        <v>0.98533219999999999</v>
      </c>
      <c r="Y5494">
        <v>2.4800840000000001E-2</v>
      </c>
      <c r="Z5494">
        <v>-6.1992400000000003E-2</v>
      </c>
      <c r="AA5494">
        <v>0.99776849999999995</v>
      </c>
      <c r="AB5494">
        <v>48</v>
      </c>
      <c r="AC5494">
        <v>0.172300000000007</v>
      </c>
      <c r="AD5494">
        <v>-1.110239619433</v>
      </c>
      <c r="AE5494">
        <v>17.42906</v>
      </c>
      <c r="AF5494">
        <v>0.44180032268185299</v>
      </c>
      <c r="AG5494">
        <v>-1.110239619433</v>
      </c>
      <c r="AH5494">
        <v>17.353855224277201</v>
      </c>
      <c r="AI5494">
        <v>93.659414452017302</v>
      </c>
      <c r="AJ5494">
        <v>88.541659652412804</v>
      </c>
      <c r="AK5494">
        <v>17.394944974987801</v>
      </c>
      <c r="AL5494">
        <v>81.345041091631202</v>
      </c>
      <c r="AM5494">
        <v>85.331263250370995</v>
      </c>
      <c r="AN5494">
        <v>0.99999997757968395</v>
      </c>
    </row>
    <row r="5495" spans="1:40" x14ac:dyDescent="0.25">
      <c r="A5495" t="str">
        <f>"20190312164418537"</f>
        <v>20190312164418537</v>
      </c>
      <c r="B5495" t="str">
        <f>"1552380258530346"</f>
        <v>1552380258530346</v>
      </c>
      <c r="C5495" t="s">
        <v>40</v>
      </c>
      <c r="D5495">
        <v>4.6182559999999997</v>
      </c>
      <c r="E5495">
        <v>0.48357420000000001</v>
      </c>
      <c r="F5495" t="s">
        <v>42</v>
      </c>
      <c r="G5495">
        <v>-187.7037</v>
      </c>
      <c r="H5495" s="1">
        <v>-2.967992E-6</v>
      </c>
      <c r="I5495">
        <v>85.601740000000007</v>
      </c>
      <c r="J5495">
        <v>-187.90379999999999</v>
      </c>
      <c r="K5495">
        <v>1.110209</v>
      </c>
      <c r="L5495">
        <v>67.835390000000004</v>
      </c>
      <c r="M5495">
        <v>-1.5770159999999998E-2</v>
      </c>
      <c r="N5495">
        <v>0</v>
      </c>
      <c r="O5495">
        <v>0.99977959999999999</v>
      </c>
      <c r="P5495">
        <v>6.6725930000000003E-2</v>
      </c>
      <c r="Q5495">
        <v>0.13835020000000001</v>
      </c>
      <c r="R5495">
        <v>0.98813300000000004</v>
      </c>
      <c r="S5495">
        <v>3.233337E-2</v>
      </c>
      <c r="T5495">
        <v>-0.18625130000000001</v>
      </c>
      <c r="U5495">
        <v>3.0587460000000002</v>
      </c>
      <c r="V5495">
        <v>8.2142789999999993E-2</v>
      </c>
      <c r="W5495">
        <v>0.15210190000000001</v>
      </c>
      <c r="X5495">
        <v>0.98494550000000003</v>
      </c>
      <c r="Y5495">
        <v>2.632015E-2</v>
      </c>
      <c r="Z5495">
        <v>-6.0755259999999998E-2</v>
      </c>
      <c r="AA5495">
        <v>0.99780559999999996</v>
      </c>
      <c r="AB5495">
        <v>48</v>
      </c>
      <c r="AC5495">
        <v>0.20009999999999101</v>
      </c>
      <c r="AD5495">
        <v>-1.1102119679919999</v>
      </c>
      <c r="AE5495">
        <v>17.766349999999999</v>
      </c>
      <c r="AF5495">
        <v>0.47841226342516902</v>
      </c>
      <c r="AG5495">
        <v>-1.1102119679919999</v>
      </c>
      <c r="AH5495">
        <v>17.691907063976</v>
      </c>
      <c r="AI5495">
        <v>93.589438194257994</v>
      </c>
      <c r="AJ5495">
        <v>88.451024803444099</v>
      </c>
      <c r="AK5495">
        <v>17.733161716626601</v>
      </c>
      <c r="AL5495">
        <v>81.251245844133607</v>
      </c>
      <c r="AM5495">
        <v>85.232661123697596</v>
      </c>
      <c r="AN5495">
        <v>1.00000003195142</v>
      </c>
    </row>
    <row r="5496" spans="1:40" x14ac:dyDescent="0.25">
      <c r="A5496" t="str">
        <f>"20190312164418559"</f>
        <v>20190312164418559</v>
      </c>
      <c r="B5496" t="str">
        <f>"1552380258550843"</f>
        <v>1552380258550843</v>
      </c>
      <c r="C5496" t="s">
        <v>40</v>
      </c>
      <c r="D5496">
        <v>4.7395490000000002</v>
      </c>
      <c r="E5496">
        <v>0.48315219999999998</v>
      </c>
      <c r="F5496" t="s">
        <v>42</v>
      </c>
      <c r="G5496">
        <v>-187.69540000000001</v>
      </c>
      <c r="H5496" s="1">
        <v>-3.4023710000000001E-6</v>
      </c>
      <c r="I5496">
        <v>86.610849999999999</v>
      </c>
      <c r="J5496">
        <v>-187.9117</v>
      </c>
      <c r="K5496">
        <v>1.1101780000000001</v>
      </c>
      <c r="L5496">
        <v>68.324039999999997</v>
      </c>
      <c r="M5496">
        <v>-1.596436E-2</v>
      </c>
      <c r="N5496">
        <v>0</v>
      </c>
      <c r="O5496">
        <v>0.99977479999999996</v>
      </c>
      <c r="P5496">
        <v>6.8280750000000001E-2</v>
      </c>
      <c r="Q5496">
        <v>0.14020450000000001</v>
      </c>
      <c r="R5496">
        <v>0.98776540000000002</v>
      </c>
      <c r="S5496">
        <v>3.3966059999999999E-2</v>
      </c>
      <c r="T5496">
        <v>-0.18088480000000001</v>
      </c>
      <c r="U5496">
        <v>3.0590519999999999</v>
      </c>
      <c r="V5496">
        <v>8.3898199999999895E-2</v>
      </c>
      <c r="W5496">
        <v>0.15406779999999901</v>
      </c>
      <c r="X5496">
        <v>0.98449189999999998</v>
      </c>
      <c r="Y5496">
        <v>2.704695E-2</v>
      </c>
      <c r="Z5496">
        <v>-5.9004029999999999E-2</v>
      </c>
      <c r="AA5496">
        <v>0.99789119999999998</v>
      </c>
      <c r="AB5496">
        <v>47</v>
      </c>
      <c r="AC5496">
        <v>0.216299999999989</v>
      </c>
      <c r="AD5496">
        <v>-1.1101814023709999</v>
      </c>
      <c r="AE5496">
        <v>18.286809999999999</v>
      </c>
      <c r="AF5496">
        <v>0.506372146713711</v>
      </c>
      <c r="AG5496">
        <v>-1.1101814023709999</v>
      </c>
      <c r="AH5496">
        <v>18.213905306904</v>
      </c>
      <c r="AI5496">
        <v>93.486656647650904</v>
      </c>
      <c r="AJ5496">
        <v>88.407507069017598</v>
      </c>
      <c r="AK5496">
        <v>18.254732592563499</v>
      </c>
      <c r="AL5496">
        <v>81.137264707042903</v>
      </c>
      <c r="AM5496">
        <v>85.129034199830201</v>
      </c>
      <c r="AN5496">
        <v>1.0000000480628399</v>
      </c>
    </row>
    <row r="5497" spans="1:40" x14ac:dyDescent="0.25">
      <c r="A5497" t="str">
        <f>"20190312164418584"</f>
        <v>20190312164418584</v>
      </c>
      <c r="B5497" t="str">
        <f>"1552380258581098"</f>
        <v>1552380258581098</v>
      </c>
      <c r="C5497" t="s">
        <v>40</v>
      </c>
      <c r="D5497">
        <v>4.782902</v>
      </c>
      <c r="E5497">
        <v>0.48246820000000001</v>
      </c>
      <c r="F5497" t="s">
        <v>42</v>
      </c>
      <c r="G5497">
        <v>-187.685</v>
      </c>
      <c r="H5497" s="1">
        <v>-3.9156529999999901E-6</v>
      </c>
      <c r="I5497">
        <v>87.803019999999904</v>
      </c>
      <c r="J5497">
        <v>-187.91970000000001</v>
      </c>
      <c r="K5497">
        <v>1.11015</v>
      </c>
      <c r="L5497">
        <v>68.813569999999999</v>
      </c>
      <c r="M5497">
        <v>-1.6145010000000001E-2</v>
      </c>
      <c r="N5497">
        <v>0</v>
      </c>
      <c r="O5497">
        <v>0.9997703</v>
      </c>
      <c r="P5497">
        <v>7.0286269999999998E-2</v>
      </c>
      <c r="Q5497">
        <v>0.14120729999999901</v>
      </c>
      <c r="R5497">
        <v>0.98748179999999997</v>
      </c>
      <c r="S5497">
        <v>3.5614010000000001E-2</v>
      </c>
      <c r="T5497">
        <v>-0.17436960000000001</v>
      </c>
      <c r="U5497">
        <v>3.0594480000000002</v>
      </c>
      <c r="V5497">
        <v>8.6090459999999994E-2</v>
      </c>
      <c r="W5497">
        <v>0.1551669</v>
      </c>
      <c r="X5497">
        <v>0.9841299</v>
      </c>
      <c r="Y5497">
        <v>2.776503E-2</v>
      </c>
      <c r="Z5497">
        <v>-5.6877440000000001E-2</v>
      </c>
      <c r="AA5497">
        <v>0.99799499999999997</v>
      </c>
      <c r="AB5497">
        <v>47</v>
      </c>
      <c r="AC5497">
        <v>0.23470000000000299</v>
      </c>
      <c r="AD5497">
        <v>-1.110153915653</v>
      </c>
      <c r="AE5497">
        <v>18.989449999999898</v>
      </c>
      <c r="AF5497">
        <v>0.539441325419037</v>
      </c>
      <c r="AG5497">
        <v>-1.110153915653</v>
      </c>
      <c r="AH5497">
        <v>18.918535681576198</v>
      </c>
      <c r="AI5497">
        <v>93.356947035247202</v>
      </c>
      <c r="AJ5497">
        <v>88.366716144682698</v>
      </c>
      <c r="AK5497">
        <v>18.958756050835301</v>
      </c>
      <c r="AL5497">
        <v>81.073523943429393</v>
      </c>
      <c r="AM5497">
        <v>85.000563312904504</v>
      </c>
      <c r="AN5497">
        <v>0.99999999711631504</v>
      </c>
    </row>
    <row r="5498" spans="1:40" x14ac:dyDescent="0.25">
      <c r="A5498" t="str">
        <f>"20190312164418604"</f>
        <v>20190312164418604</v>
      </c>
      <c r="B5498" t="str">
        <f>"1552380258600618"</f>
        <v>1552380258600618</v>
      </c>
      <c r="C5498" t="s">
        <v>40</v>
      </c>
      <c r="D5498">
        <v>4.7850789999999996</v>
      </c>
      <c r="E5498">
        <v>0.48221350000000002</v>
      </c>
      <c r="F5498" t="s">
        <v>41</v>
      </c>
      <c r="G5498">
        <v>-187.90649999999999</v>
      </c>
      <c r="H5498">
        <v>1.0472859999999999</v>
      </c>
      <c r="I5498">
        <v>69.934060000000002</v>
      </c>
      <c r="J5498">
        <v>-187.9271</v>
      </c>
      <c r="K5498">
        <v>1.1101270000000001</v>
      </c>
      <c r="L5498">
        <v>69.262569999999997</v>
      </c>
      <c r="M5498">
        <v>-1.6304720000000002E-2</v>
      </c>
      <c r="N5498">
        <v>0</v>
      </c>
      <c r="O5498">
        <v>0.9997665</v>
      </c>
      <c r="P5498">
        <v>7.3215189999999999E-2</v>
      </c>
      <c r="Q5498">
        <v>0.14173269999999999</v>
      </c>
      <c r="R5498">
        <v>0.98719369999999995</v>
      </c>
      <c r="S5498">
        <v>3.5842899999999997E-2</v>
      </c>
      <c r="T5498">
        <v>-0.17168699999999901</v>
      </c>
      <c r="U5498">
        <v>3.060028</v>
      </c>
      <c r="V5498">
        <v>8.9182600000000001E-2</v>
      </c>
      <c r="W5498">
        <v>0.1557684</v>
      </c>
      <c r="X5498">
        <v>0.98375950000000001</v>
      </c>
      <c r="Y5498">
        <v>2.799776E-2</v>
      </c>
      <c r="Z5498">
        <v>-5.5994189999999999E-2</v>
      </c>
      <c r="AA5498">
        <v>0.99803850000000005</v>
      </c>
      <c r="AB5498">
        <v>47</v>
      </c>
      <c r="AC5498">
        <v>2.06000000000017E-2</v>
      </c>
      <c r="AD5498">
        <v>-6.2840999999999897E-2</v>
      </c>
      <c r="AE5498">
        <v>0.67149000000000503</v>
      </c>
      <c r="AF5498">
        <v>3.1273184185142598E-2</v>
      </c>
      <c r="AG5498">
        <v>-6.2840999999999897E-2</v>
      </c>
      <c r="AH5498">
        <v>0.665244051459285</v>
      </c>
      <c r="AI5498">
        <v>95.390404840416807</v>
      </c>
      <c r="AJ5498">
        <v>87.308501647301199</v>
      </c>
      <c r="AK5498">
        <v>0.66893695617153803</v>
      </c>
      <c r="AL5498">
        <v>81.038636739795294</v>
      </c>
      <c r="AM5498">
        <v>84.820017214860002</v>
      </c>
      <c r="AN5498">
        <v>1.00000004221078</v>
      </c>
    </row>
    <row r="5499" spans="1:40" x14ac:dyDescent="0.25">
      <c r="A5499" t="str">
        <f>"20190312164418627"</f>
        <v>20190312164418627</v>
      </c>
      <c r="B5499" t="str">
        <f>"1552380258621114"</f>
        <v>1552380258621114</v>
      </c>
      <c r="C5499" t="s">
        <v>40</v>
      </c>
      <c r="D5499">
        <v>4.6834689999999997</v>
      </c>
      <c r="E5499">
        <v>0.4820005</v>
      </c>
      <c r="F5499" t="s">
        <v>41</v>
      </c>
      <c r="G5499">
        <v>-187.91159999999999</v>
      </c>
      <c r="H5499">
        <v>1.049253</v>
      </c>
      <c r="I5499">
        <v>70.358689999999996</v>
      </c>
      <c r="J5499">
        <v>-187.935</v>
      </c>
      <c r="K5499">
        <v>1.1101160000000001</v>
      </c>
      <c r="L5499">
        <v>69.738190000000003</v>
      </c>
      <c r="M5499">
        <v>-1.647026E-2</v>
      </c>
      <c r="N5499">
        <v>0</v>
      </c>
      <c r="O5499">
        <v>0.9997627</v>
      </c>
      <c r="P5499">
        <v>7.6813679999999995E-2</v>
      </c>
      <c r="Q5499">
        <v>0.14244409999999999</v>
      </c>
      <c r="R5499">
        <v>0.98681779999999997</v>
      </c>
      <c r="S5499">
        <v>4.3212889999999997E-2</v>
      </c>
      <c r="T5499">
        <v>-0.16994239999999999</v>
      </c>
      <c r="U5499">
        <v>3.06012</v>
      </c>
      <c r="V5499">
        <v>9.2947089999999996E-2</v>
      </c>
      <c r="W5499">
        <v>0.1565483</v>
      </c>
      <c r="X5499">
        <v>0.98328709999999997</v>
      </c>
      <c r="Y5499">
        <v>3.0566570000000001E-2</v>
      </c>
      <c r="Z5499">
        <v>-5.542213E-2</v>
      </c>
      <c r="AA5499">
        <v>0.99799499999999997</v>
      </c>
      <c r="AB5499">
        <v>47</v>
      </c>
      <c r="AC5499">
        <v>2.3400000000009399E-2</v>
      </c>
      <c r="AD5499">
        <v>-6.0862999999999799E-2</v>
      </c>
      <c r="AE5499">
        <v>0.62049999999999195</v>
      </c>
      <c r="AF5499">
        <v>3.3297755577598898E-2</v>
      </c>
      <c r="AG5499">
        <v>-6.0862999999999799E-2</v>
      </c>
      <c r="AH5499">
        <v>0.61413017735768505</v>
      </c>
      <c r="AI5499">
        <v>95.651535278309197</v>
      </c>
      <c r="AJ5499">
        <v>86.896497317520598</v>
      </c>
      <c r="AK5499">
        <v>0.618036342003355</v>
      </c>
      <c r="AL5499">
        <v>80.993396615877401</v>
      </c>
      <c r="AM5499">
        <v>84.600052381895694</v>
      </c>
      <c r="AN5499">
        <v>1.00000002639938</v>
      </c>
    </row>
    <row r="5500" spans="1:40" x14ac:dyDescent="0.25">
      <c r="A5500" t="str">
        <f>"20190312164418649"</f>
        <v>20190312164418649</v>
      </c>
      <c r="B5500" t="str">
        <f>"1552380258640164"</f>
        <v>1552380258640164</v>
      </c>
      <c r="C5500" t="s">
        <v>40</v>
      </c>
      <c r="D5500">
        <v>4.9730619999999996</v>
      </c>
      <c r="E5500">
        <v>0.48186580000000001</v>
      </c>
      <c r="F5500" t="s">
        <v>42</v>
      </c>
      <c r="G5500">
        <v>-187.59209999999999</v>
      </c>
      <c r="H5500" s="1">
        <v>-6.5960649999999997E-7</v>
      </c>
      <c r="I5500">
        <v>89.703639999999993</v>
      </c>
      <c r="J5500">
        <v>-187.94309999999999</v>
      </c>
      <c r="K5500">
        <v>1.1101129999999999</v>
      </c>
      <c r="L5500">
        <v>70.225070000000002</v>
      </c>
      <c r="M5500">
        <v>-1.663829E-2</v>
      </c>
      <c r="N5500">
        <v>0</v>
      </c>
      <c r="O5500">
        <v>0.99975890000000001</v>
      </c>
      <c r="P5500">
        <v>8.1050369999999997E-2</v>
      </c>
      <c r="Q5500">
        <v>0.1434221</v>
      </c>
      <c r="R5500">
        <v>0.98633709999999997</v>
      </c>
      <c r="S5500">
        <v>5.256653E-2</v>
      </c>
      <c r="T5500">
        <v>-0.1701722</v>
      </c>
      <c r="U5500">
        <v>3.0605470000000001</v>
      </c>
      <c r="V5500">
        <v>9.734872E-2</v>
      </c>
      <c r="W5500">
        <v>0.1575839</v>
      </c>
      <c r="X5500">
        <v>0.98269550000000006</v>
      </c>
      <c r="Y5500">
        <v>3.378171E-2</v>
      </c>
      <c r="Z5500">
        <v>-5.5484699999999998E-2</v>
      </c>
      <c r="AA5500">
        <v>0.99788790000000005</v>
      </c>
      <c r="AB5500">
        <v>47</v>
      </c>
      <c r="AC5500">
        <v>0.35099999999999898</v>
      </c>
      <c r="AD5500">
        <v>-1.1101136596065</v>
      </c>
      <c r="AE5500">
        <v>19.478570000000001</v>
      </c>
      <c r="AF5500">
        <v>0.67288991263077602</v>
      </c>
      <c r="AG5500">
        <v>-1.1101136596065</v>
      </c>
      <c r="AH5500">
        <v>19.407018247269701</v>
      </c>
      <c r="AI5500">
        <v>93.271884267651799</v>
      </c>
      <c r="AJ5500">
        <v>88.014207377706697</v>
      </c>
      <c r="AK5500">
        <v>19.450385354064899</v>
      </c>
      <c r="AL5500">
        <v>80.933314704826699</v>
      </c>
      <c r="AM5500">
        <v>84.3425689371376</v>
      </c>
      <c r="AN5500">
        <v>0.99999995227254801</v>
      </c>
    </row>
    <row r="5501" spans="1:40" x14ac:dyDescent="0.25">
      <c r="A5501" t="str">
        <f>"20190312164418674"</f>
        <v>20190312164418674</v>
      </c>
      <c r="B5501" t="str">
        <f>"1552380258670420"</f>
        <v>1552380258670420</v>
      </c>
      <c r="C5501" t="s">
        <v>40</v>
      </c>
      <c r="D5501">
        <v>4.6805510000000004</v>
      </c>
      <c r="E5501">
        <v>0.52319289999999996</v>
      </c>
      <c r="F5501" t="s">
        <v>42</v>
      </c>
      <c r="G5501">
        <v>-187.51750000000001</v>
      </c>
      <c r="H5501" s="1">
        <v>-9.4754860000000004E-7</v>
      </c>
      <c r="I5501">
        <v>90.49145</v>
      </c>
      <c r="J5501">
        <v>-187.95169999999999</v>
      </c>
      <c r="K5501">
        <v>1.1101049999999999</v>
      </c>
      <c r="L5501">
        <v>70.732209999999995</v>
      </c>
      <c r="M5501">
        <v>-1.6812649999999998E-2</v>
      </c>
      <c r="N5501">
        <v>0</v>
      </c>
      <c r="O5501">
        <v>0.99975510000000001</v>
      </c>
      <c r="P5501">
        <v>8.6083140000000002E-2</v>
      </c>
      <c r="Q5501">
        <v>0.14424629999999999</v>
      </c>
      <c r="R5501">
        <v>0.98579039999999996</v>
      </c>
      <c r="S5501">
        <v>6.428528E-2</v>
      </c>
      <c r="T5501">
        <v>-0.16764989999999999</v>
      </c>
      <c r="U5501">
        <v>3.060638</v>
      </c>
      <c r="V5501">
        <v>0.1025503</v>
      </c>
      <c r="W5501">
        <v>0.15845870000000001</v>
      </c>
      <c r="X5501">
        <v>0.98202560000000005</v>
      </c>
      <c r="Y5501">
        <v>3.7775570000000001E-2</v>
      </c>
      <c r="Z5501">
        <v>-5.4656990000000003E-2</v>
      </c>
      <c r="AA5501">
        <v>0.99779039999999997</v>
      </c>
      <c r="AB5501">
        <v>47</v>
      </c>
      <c r="AC5501">
        <v>0.43419999999997499</v>
      </c>
      <c r="AD5501">
        <v>-1.1101059475485999</v>
      </c>
      <c r="AE5501">
        <v>19.759239999999998</v>
      </c>
      <c r="AF5501">
        <v>0.76396799923399605</v>
      </c>
      <c r="AG5501">
        <v>-1.1101059475485999</v>
      </c>
      <c r="AH5501">
        <v>19.6870361434454</v>
      </c>
      <c r="AI5501">
        <v>93.224935296071706</v>
      </c>
      <c r="AJ5501">
        <v>87.777715765716295</v>
      </c>
      <c r="AK5501">
        <v>19.733103517489699</v>
      </c>
      <c r="AL5501">
        <v>80.882555038766995</v>
      </c>
      <c r="AM5501">
        <v>84.038363406869095</v>
      </c>
      <c r="AN5501">
        <v>1.0000000013455601</v>
      </c>
    </row>
    <row r="5502" spans="1:40" x14ac:dyDescent="0.25">
      <c r="A5502" t="str">
        <f>"20190312164418693"</f>
        <v>20190312164418693</v>
      </c>
      <c r="B5502" t="str">
        <f>"1552380258690917"</f>
        <v>1552380258690917</v>
      </c>
      <c r="C5502" t="s">
        <v>40</v>
      </c>
      <c r="D5502">
        <v>5.1035059999999897</v>
      </c>
      <c r="E5502">
        <v>0.52981420000000001</v>
      </c>
      <c r="F5502" t="s">
        <v>42</v>
      </c>
      <c r="G5502">
        <v>-185.9554</v>
      </c>
      <c r="H5502" s="1">
        <v>-3.3299640000000002E-6</v>
      </c>
      <c r="I5502">
        <v>85.7226</v>
      </c>
      <c r="J5502">
        <v>-187.9588</v>
      </c>
      <c r="K5502">
        <v>1.1101030000000001</v>
      </c>
      <c r="L5502">
        <v>71.146389999999997</v>
      </c>
      <c r="M5502">
        <v>-1.6954549999999999E-2</v>
      </c>
      <c r="N5502">
        <v>0</v>
      </c>
      <c r="O5502">
        <v>0.99975199999999997</v>
      </c>
      <c r="P5502">
        <v>9.0987680000000001E-2</v>
      </c>
      <c r="Q5502">
        <v>0.14567840000000001</v>
      </c>
      <c r="R5502">
        <v>0.98513910000000005</v>
      </c>
      <c r="S5502">
        <v>0.4049683</v>
      </c>
      <c r="T5502">
        <v>-0.2251879</v>
      </c>
      <c r="U5502">
        <v>3.0408330000000001</v>
      </c>
      <c r="V5502">
        <v>0.107587</v>
      </c>
      <c r="W5502">
        <v>0.159921799999999</v>
      </c>
      <c r="X5502">
        <v>0.98124920000000004</v>
      </c>
      <c r="Y5502">
        <v>0.14844660000000001</v>
      </c>
      <c r="Z5502">
        <v>-7.3106320000000002E-2</v>
      </c>
      <c r="AA5502">
        <v>0.98621449999999999</v>
      </c>
      <c r="AB5502">
        <v>47</v>
      </c>
      <c r="AC5502">
        <v>2.0033999999999899</v>
      </c>
      <c r="AD5502">
        <v>-1.1101063299639999</v>
      </c>
      <c r="AE5502">
        <v>14.57621</v>
      </c>
      <c r="AF5502">
        <v>2.2375333881995698</v>
      </c>
      <c r="AG5502">
        <v>-1.1101063299639999</v>
      </c>
      <c r="AH5502">
        <v>14.4578410834041</v>
      </c>
      <c r="AI5502">
        <v>94.339229791522399</v>
      </c>
      <c r="AJ5502">
        <v>81.202549181032694</v>
      </c>
      <c r="AK5502">
        <v>14.6720162390894</v>
      </c>
      <c r="AL5502">
        <v>80.797642463888295</v>
      </c>
      <c r="AM5502">
        <v>83.742918463356403</v>
      </c>
      <c r="AN5502">
        <v>0.999999968592439</v>
      </c>
    </row>
    <row r="5503" spans="1:40" x14ac:dyDescent="0.25">
      <c r="A5503" t="str">
        <f>"20190312164418715"</f>
        <v>20190312164418715</v>
      </c>
      <c r="B5503" t="str">
        <f>"1552380258710437"</f>
        <v>1552380258710437</v>
      </c>
      <c r="C5503" t="s">
        <v>40</v>
      </c>
      <c r="D5503">
        <v>5.0093959999999997</v>
      </c>
      <c r="E5503">
        <v>0.52986469999999997</v>
      </c>
      <c r="F5503" t="s">
        <v>42</v>
      </c>
      <c r="G5503">
        <v>-185.19479999999999</v>
      </c>
      <c r="H5503" s="1">
        <v>-4.7994479999999998E-6</v>
      </c>
      <c r="I5503">
        <v>88.833539999999999</v>
      </c>
      <c r="J5503">
        <v>-187.9667</v>
      </c>
      <c r="K5503">
        <v>1.1100989999999999</v>
      </c>
      <c r="L5503">
        <v>71.609129999999993</v>
      </c>
      <c r="M5503">
        <v>-1.7112499999999999E-2</v>
      </c>
      <c r="N5503">
        <v>0</v>
      </c>
      <c r="O5503">
        <v>0.99974879999999999</v>
      </c>
      <c r="P5503">
        <v>9.5618610000000007E-2</v>
      </c>
      <c r="Q5503">
        <v>0.1465677</v>
      </c>
      <c r="R5503">
        <v>0.98456840000000001</v>
      </c>
      <c r="S5503">
        <v>0.47343439999999998</v>
      </c>
      <c r="T5503">
        <v>-0.1901505</v>
      </c>
      <c r="U5503">
        <v>3.029633</v>
      </c>
      <c r="V5503">
        <v>0.1123668</v>
      </c>
      <c r="W5503">
        <v>0.16084289999999901</v>
      </c>
      <c r="X5503">
        <v>0.98056270000000001</v>
      </c>
      <c r="Y5503">
        <v>0.17098540000000001</v>
      </c>
      <c r="Z5503">
        <v>-6.1791730000000003E-2</v>
      </c>
      <c r="AA5503">
        <v>0.98333400000000004</v>
      </c>
      <c r="AB5503">
        <v>47</v>
      </c>
      <c r="AC5503">
        <v>2.7719000000000098</v>
      </c>
      <c r="AD5503">
        <v>-1.1101037994480001</v>
      </c>
      <c r="AE5503">
        <v>17.224409999999899</v>
      </c>
      <c r="AF5503">
        <v>3.0539127147495901</v>
      </c>
      <c r="AG5503">
        <v>-1.1101037994480001</v>
      </c>
      <c r="AH5503">
        <v>17.105191432696799</v>
      </c>
      <c r="AI5503">
        <v>93.655567255262</v>
      </c>
      <c r="AJ5503">
        <v>79.877229777879805</v>
      </c>
      <c r="AK5503">
        <v>17.411096670343898</v>
      </c>
      <c r="AL5503">
        <v>80.744175217518105</v>
      </c>
      <c r="AM5503">
        <v>83.462751700067003</v>
      </c>
      <c r="AN5503">
        <v>0.99999997242696903</v>
      </c>
    </row>
    <row r="5504" spans="1:40" x14ac:dyDescent="0.25">
      <c r="A5504" t="str">
        <f>"20190312164418739"</f>
        <v>20190312164418739</v>
      </c>
      <c r="B5504" t="str">
        <f>"1552380258730462"</f>
        <v>1552380258730462</v>
      </c>
      <c r="C5504" t="s">
        <v>40</v>
      </c>
      <c r="D5504">
        <v>4.7026640000000004</v>
      </c>
      <c r="E5504">
        <v>0.5317518</v>
      </c>
      <c r="F5504" t="s">
        <v>42</v>
      </c>
      <c r="G5504">
        <v>-185.34280000000001</v>
      </c>
      <c r="H5504" s="1">
        <v>-4.409656E-6</v>
      </c>
      <c r="I5504">
        <v>87.986090000000004</v>
      </c>
      <c r="J5504">
        <v>-187.97540000000001</v>
      </c>
      <c r="K5504">
        <v>1.110098</v>
      </c>
      <c r="L5504">
        <v>72.107479999999995</v>
      </c>
      <c r="M5504">
        <v>-1.728143E-2</v>
      </c>
      <c r="N5504">
        <v>0</v>
      </c>
      <c r="O5504">
        <v>0.9997452</v>
      </c>
      <c r="P5504">
        <v>9.9757689999999996E-2</v>
      </c>
      <c r="Q5504">
        <v>0.1472656</v>
      </c>
      <c r="R5504">
        <v>0.98405350000000003</v>
      </c>
      <c r="S5504">
        <v>0.48554989999999998</v>
      </c>
      <c r="T5504">
        <v>-0.20541789999999999</v>
      </c>
      <c r="U5504">
        <v>3.0304570000000002</v>
      </c>
      <c r="V5504">
        <v>0.11666609999999999</v>
      </c>
      <c r="W5504">
        <v>0.1615695</v>
      </c>
      <c r="X5504">
        <v>0.97994099999999995</v>
      </c>
      <c r="Y5504">
        <v>0.1748951</v>
      </c>
      <c r="Z5504">
        <v>-6.6669610000000004E-2</v>
      </c>
      <c r="AA5504">
        <v>0.98232730000000001</v>
      </c>
      <c r="AB5504">
        <v>47</v>
      </c>
      <c r="AC5504">
        <v>2.6325999999999898</v>
      </c>
      <c r="AD5504">
        <v>-1.1101024096559999</v>
      </c>
      <c r="AE5504">
        <v>15.878609999999901</v>
      </c>
      <c r="AF5504">
        <v>2.89287965482744</v>
      </c>
      <c r="AG5504">
        <v>-1.1101024096559999</v>
      </c>
      <c r="AH5504">
        <v>15.755789608257</v>
      </c>
      <c r="AI5504">
        <v>93.964167862031999</v>
      </c>
      <c r="AJ5504">
        <v>79.595950371688602</v>
      </c>
      <c r="AK5504">
        <v>16.0575834494764</v>
      </c>
      <c r="AL5504">
        <v>80.7019928549513</v>
      </c>
      <c r="AM5504">
        <v>83.210653161592603</v>
      </c>
      <c r="AN5504">
        <v>1.0000000228502199</v>
      </c>
    </row>
    <row r="5505" spans="1:40" x14ac:dyDescent="0.25">
      <c r="A5505" t="str">
        <f>"20190312164418760"</f>
        <v>20190312164418760</v>
      </c>
      <c r="B5505" t="str">
        <f>"1552380258750958"</f>
        <v>1552380258750958</v>
      </c>
      <c r="C5505" t="s">
        <v>40</v>
      </c>
      <c r="D5505">
        <v>5.0230059999999996</v>
      </c>
      <c r="E5505">
        <v>0.53307159999999998</v>
      </c>
      <c r="F5505" t="s">
        <v>42</v>
      </c>
      <c r="G5505">
        <v>-185.12049999999999</v>
      </c>
      <c r="H5505" s="1">
        <v>-4.8687669999999996E-6</v>
      </c>
      <c r="I5505">
        <v>88.964370000000002</v>
      </c>
      <c r="J5505">
        <v>-187.98339999999999</v>
      </c>
      <c r="K5505">
        <v>1.1100969999999999</v>
      </c>
      <c r="L5505">
        <v>72.563659999999999</v>
      </c>
      <c r="M5505">
        <v>-1.743072E-2</v>
      </c>
      <c r="N5505">
        <v>0</v>
      </c>
      <c r="O5505">
        <v>0.99974220000000003</v>
      </c>
      <c r="P5505">
        <v>0.1034519</v>
      </c>
      <c r="Q5505">
        <v>0.14814160000000001</v>
      </c>
      <c r="R5505">
        <v>0.98354039999999998</v>
      </c>
      <c r="S5505">
        <v>0.51257319999999995</v>
      </c>
      <c r="T5505">
        <v>-0.19930819999999999</v>
      </c>
      <c r="U5505">
        <v>3.0264890000000002</v>
      </c>
      <c r="V5505">
        <v>0.1205006</v>
      </c>
      <c r="W5505">
        <v>0.16246540000000001</v>
      </c>
      <c r="X5505">
        <v>0.97932859999999999</v>
      </c>
      <c r="Y5505">
        <v>0.18379680000000001</v>
      </c>
      <c r="Z5505">
        <v>-6.4678869999999999E-2</v>
      </c>
      <c r="AA5505">
        <v>0.98083399999999998</v>
      </c>
      <c r="AB5505">
        <v>47</v>
      </c>
      <c r="AC5505">
        <v>2.86289999999999</v>
      </c>
      <c r="AD5505">
        <v>-1.1101018687669999</v>
      </c>
      <c r="AE5505">
        <v>16.40071</v>
      </c>
      <c r="AF5505">
        <v>3.1344358610821099</v>
      </c>
      <c r="AG5505">
        <v>-1.1101018687669999</v>
      </c>
      <c r="AH5505">
        <v>16.275948025054198</v>
      </c>
      <c r="AI5505">
        <v>93.831628565396201</v>
      </c>
      <c r="AJ5505">
        <v>79.099381236272393</v>
      </c>
      <c r="AK5505">
        <v>16.612149121668299</v>
      </c>
      <c r="AL5505">
        <v>80.649973639018995</v>
      </c>
      <c r="AM5505">
        <v>82.985351180778295</v>
      </c>
      <c r="AN5505">
        <v>0.99999995378773898</v>
      </c>
    </row>
    <row r="5506" spans="1:40" x14ac:dyDescent="0.25">
      <c r="A5506" t="str">
        <f>"20190312164418784"</f>
        <v>20190312164418784</v>
      </c>
      <c r="B5506" t="str">
        <f>"1552380258780238"</f>
        <v>1552380258780238</v>
      </c>
      <c r="C5506" t="s">
        <v>40</v>
      </c>
      <c r="D5506">
        <v>4.8175460000000001</v>
      </c>
      <c r="E5506">
        <v>0.53427429999999998</v>
      </c>
      <c r="F5506" t="s">
        <v>42</v>
      </c>
      <c r="G5506">
        <v>-184.76480000000001</v>
      </c>
      <c r="H5506" s="1">
        <v>-1.763248E-6</v>
      </c>
      <c r="I5506">
        <v>90.736159999999998</v>
      </c>
      <c r="J5506">
        <v>-187.99160000000001</v>
      </c>
      <c r="K5506">
        <v>1.1100909999999999</v>
      </c>
      <c r="L5506">
        <v>73.032349999999994</v>
      </c>
      <c r="M5506">
        <v>-1.7568460000000001E-2</v>
      </c>
      <c r="N5506">
        <v>0</v>
      </c>
      <c r="O5506">
        <v>0.9997395</v>
      </c>
      <c r="P5506">
        <v>0.1073795</v>
      </c>
      <c r="Q5506">
        <v>0.14899560000000001</v>
      </c>
      <c r="R5506">
        <v>0.98299029999999998</v>
      </c>
      <c r="S5506">
        <v>0.53518679999999996</v>
      </c>
      <c r="T5506">
        <v>-0.18458749999999999</v>
      </c>
      <c r="U5506">
        <v>3.0217290000000001</v>
      </c>
      <c r="V5506">
        <v>0.1245579</v>
      </c>
      <c r="W5506">
        <v>0.16333439999999999</v>
      </c>
      <c r="X5506">
        <v>0.97867630000000005</v>
      </c>
      <c r="Y5506">
        <v>0.1913589</v>
      </c>
      <c r="Z5506">
        <v>-5.9930829999999997E-2</v>
      </c>
      <c r="AA5506">
        <v>0.97968880000000003</v>
      </c>
      <c r="AB5506">
        <v>47</v>
      </c>
      <c r="AC5506">
        <v>3.2267999999999901</v>
      </c>
      <c r="AD5506">
        <v>-1.110092763248</v>
      </c>
      <c r="AE5506">
        <v>17.703810000000001</v>
      </c>
      <c r="AF5506">
        <v>3.5239537804392098</v>
      </c>
      <c r="AG5506">
        <v>-1.110092763248</v>
      </c>
      <c r="AH5506">
        <v>17.577493039749299</v>
      </c>
      <c r="AI5506">
        <v>93.543348943481405</v>
      </c>
      <c r="AJ5506">
        <v>78.663569432548698</v>
      </c>
      <c r="AK5506">
        <v>17.9615928511957</v>
      </c>
      <c r="AL5506">
        <v>80.599510431076396</v>
      </c>
      <c r="AM5506">
        <v>82.746857341887605</v>
      </c>
      <c r="AN5506">
        <v>1.0000000484287199</v>
      </c>
    </row>
    <row r="5507" spans="1:40" x14ac:dyDescent="0.25">
      <c r="A5507" t="str">
        <f>"20190312164418804"</f>
        <v>20190312164418804</v>
      </c>
      <c r="B5507" t="str">
        <f>"1552380258800734"</f>
        <v>1552380258800734</v>
      </c>
      <c r="C5507" t="s">
        <v>40</v>
      </c>
      <c r="D5507">
        <v>5.1969399999999997</v>
      </c>
      <c r="E5507">
        <v>0.53455189999999997</v>
      </c>
      <c r="F5507" t="s">
        <v>42</v>
      </c>
      <c r="G5507">
        <v>-184.3519</v>
      </c>
      <c r="H5507" s="1">
        <v>-2.5520299999999999E-6</v>
      </c>
      <c r="I5507">
        <v>92.731250000000003</v>
      </c>
      <c r="J5507">
        <v>-187.99940000000001</v>
      </c>
      <c r="K5507">
        <v>1.110079</v>
      </c>
      <c r="L5507">
        <v>73.472080000000005</v>
      </c>
      <c r="M5507">
        <v>-1.7677519999999999E-2</v>
      </c>
      <c r="N5507">
        <v>0</v>
      </c>
      <c r="O5507">
        <v>0.99973719999999999</v>
      </c>
      <c r="P5507">
        <v>0.11094850000000001</v>
      </c>
      <c r="Q5507">
        <v>0.149585</v>
      </c>
      <c r="R5507">
        <v>0.98250440000000006</v>
      </c>
      <c r="S5507">
        <v>0.5574036</v>
      </c>
      <c r="T5507">
        <v>-0.17000509999999999</v>
      </c>
      <c r="U5507">
        <v>3.016785</v>
      </c>
      <c r="V5507">
        <v>0.1282317</v>
      </c>
      <c r="W5507">
        <v>0.16393179999999999</v>
      </c>
      <c r="X5507">
        <v>0.97810169999999996</v>
      </c>
      <c r="Y5507">
        <v>0.19877120000000001</v>
      </c>
      <c r="Z5507">
        <v>-5.5223300000000003E-2</v>
      </c>
      <c r="AA5507">
        <v>0.97848880000000005</v>
      </c>
      <c r="AB5507">
        <v>47</v>
      </c>
      <c r="AC5507">
        <v>3.6475</v>
      </c>
      <c r="AD5507">
        <v>-1.11008155203</v>
      </c>
      <c r="AE5507">
        <v>19.259170000000001</v>
      </c>
      <c r="AF5507">
        <v>3.97467286999589</v>
      </c>
      <c r="AG5507">
        <v>-1.11008155203</v>
      </c>
      <c r="AH5507">
        <v>19.130318997147299</v>
      </c>
      <c r="AI5507">
        <v>93.251708655404698</v>
      </c>
      <c r="AJ5507">
        <v>78.262744750147803</v>
      </c>
      <c r="AK5507">
        <v>19.570370727409699</v>
      </c>
      <c r="AL5507">
        <v>80.564813524023606</v>
      </c>
      <c r="AM5507">
        <v>82.530970841770497</v>
      </c>
      <c r="AN5507">
        <v>0.999999969739509</v>
      </c>
    </row>
    <row r="5508" spans="1:40" x14ac:dyDescent="0.25">
      <c r="A5508" t="str">
        <f>"20190312164418827"</f>
        <v>20190312164418827</v>
      </c>
      <c r="B5508" t="str">
        <f>"1552380258820254"</f>
        <v>1552380258820254</v>
      </c>
      <c r="C5508" t="s">
        <v>40</v>
      </c>
      <c r="D5508">
        <v>5.0398610000000001</v>
      </c>
      <c r="E5508">
        <v>0.53483899999999995</v>
      </c>
      <c r="F5508" t="s">
        <v>42</v>
      </c>
      <c r="G5508">
        <v>-184.28749999999999</v>
      </c>
      <c r="H5508" s="1">
        <v>-2.7042899999999998E-6</v>
      </c>
      <c r="I5508">
        <v>93.128299999999996</v>
      </c>
      <c r="J5508">
        <v>-188.00819999999999</v>
      </c>
      <c r="K5508">
        <v>1.110066</v>
      </c>
      <c r="L5508">
        <v>73.962369999999893</v>
      </c>
      <c r="M5508">
        <v>-1.7775010000000001E-2</v>
      </c>
      <c r="N5508">
        <v>0</v>
      </c>
      <c r="O5508">
        <v>0.99973520000000005</v>
      </c>
      <c r="P5508">
        <v>0.1146616</v>
      </c>
      <c r="Q5508">
        <v>0.1500416</v>
      </c>
      <c r="R5508">
        <v>0.98200829999999995</v>
      </c>
      <c r="S5508">
        <v>0.5693665</v>
      </c>
      <c r="T5508">
        <v>-0.17027410000000001</v>
      </c>
      <c r="U5508">
        <v>3.0150450000000002</v>
      </c>
      <c r="V5508">
        <v>0.1320404</v>
      </c>
      <c r="W5508">
        <v>0.16439319999999999</v>
      </c>
      <c r="X5508">
        <v>0.97751739999999998</v>
      </c>
      <c r="Y5508">
        <v>0.2027167</v>
      </c>
      <c r="Z5508">
        <v>-5.5299040000000001E-2</v>
      </c>
      <c r="AA5508">
        <v>0.97767479999999995</v>
      </c>
      <c r="AB5508">
        <v>47</v>
      </c>
      <c r="AC5508">
        <v>3.7206999999999901</v>
      </c>
      <c r="AD5508">
        <v>-1.1100687042899999</v>
      </c>
      <c r="AE5508">
        <v>19.165929999999999</v>
      </c>
      <c r="AF5508">
        <v>4.0477376631142699</v>
      </c>
      <c r="AG5508">
        <v>-1.1100687042899999</v>
      </c>
      <c r="AH5508">
        <v>19.0352224951253</v>
      </c>
      <c r="AI5508">
        <v>93.264681294474599</v>
      </c>
      <c r="AJ5508">
        <v>77.995172787420998</v>
      </c>
      <c r="AK5508">
        <v>19.492463368095901</v>
      </c>
      <c r="AL5508">
        <v>80.538014234285995</v>
      </c>
      <c r="AM5508">
        <v>82.307203222704999</v>
      </c>
      <c r="AN5508">
        <v>1.00000002937057</v>
      </c>
    </row>
    <row r="5509" spans="1:40" x14ac:dyDescent="0.25">
      <c r="A5509" t="str">
        <f>"20190312164418851"</f>
        <v>20190312164418851</v>
      </c>
      <c r="B5509" t="str">
        <f>"1552380258840281"</f>
        <v>1552380258840281</v>
      </c>
      <c r="C5509" t="s">
        <v>40</v>
      </c>
      <c r="D5509">
        <v>4.7519200000000001</v>
      </c>
      <c r="E5509">
        <v>0.53507439999999995</v>
      </c>
      <c r="F5509" t="s">
        <v>42</v>
      </c>
      <c r="G5509">
        <v>-184.11940000000001</v>
      </c>
      <c r="H5509" s="1">
        <v>-3.0737720000000002E-6</v>
      </c>
      <c r="I5509">
        <v>94.082620000000006</v>
      </c>
      <c r="J5509">
        <v>-188.017</v>
      </c>
      <c r="K5509">
        <v>1.110036</v>
      </c>
      <c r="L5509">
        <v>74.455839999999995</v>
      </c>
      <c r="M5509">
        <v>-1.7847269999999998E-2</v>
      </c>
      <c r="N5509">
        <v>0</v>
      </c>
      <c r="O5509">
        <v>0.99973369999999995</v>
      </c>
      <c r="P5509">
        <v>0.1184254</v>
      </c>
      <c r="Q5509">
        <v>0.1505493</v>
      </c>
      <c r="R5509">
        <v>0.98148380000000002</v>
      </c>
      <c r="S5509">
        <v>0.58221440000000002</v>
      </c>
      <c r="T5509">
        <v>-0.16619709999999999</v>
      </c>
      <c r="U5509">
        <v>3.0123600000000001</v>
      </c>
      <c r="V5509">
        <v>0.1358753</v>
      </c>
      <c r="W5509">
        <v>0.1649012</v>
      </c>
      <c r="X5509">
        <v>0.9769061</v>
      </c>
      <c r="Y5509">
        <v>0.206981</v>
      </c>
      <c r="Z5509">
        <v>-5.3980260000000002E-2</v>
      </c>
      <c r="AA5509">
        <v>0.97685460000000002</v>
      </c>
      <c r="AB5509">
        <v>47</v>
      </c>
      <c r="AC5509">
        <v>3.8975999999999802</v>
      </c>
      <c r="AD5509">
        <v>-1.1100390737720001</v>
      </c>
      <c r="AE5509">
        <v>19.626779999999901</v>
      </c>
      <c r="AF5509">
        <v>4.2342705633422204</v>
      </c>
      <c r="AG5509">
        <v>-1.1100390737720001</v>
      </c>
      <c r="AH5509">
        <v>19.494093655302201</v>
      </c>
      <c r="AI5509">
        <v>93.184928544086006</v>
      </c>
      <c r="AJ5509">
        <v>77.745262381374602</v>
      </c>
      <c r="AK5509">
        <v>19.979512541365398</v>
      </c>
      <c r="AL5509">
        <v>80.508505123462101</v>
      </c>
      <c r="AM5509">
        <v>82.081680697839502</v>
      </c>
      <c r="AN5509">
        <v>1.00000001556436</v>
      </c>
    </row>
    <row r="5510" spans="1:40" x14ac:dyDescent="0.25">
      <c r="A5510" t="str">
        <f>"20190312164418894"</f>
        <v>20190312164418894</v>
      </c>
      <c r="B5510" t="str">
        <f>"1552380258891033"</f>
        <v>1552380258891033</v>
      </c>
      <c r="C5510" t="s">
        <v>40</v>
      </c>
      <c r="D5510">
        <v>5.0967190000000002</v>
      </c>
      <c r="E5510">
        <v>0.53522119999999995</v>
      </c>
      <c r="F5510" t="s">
        <v>42</v>
      </c>
      <c r="G5510">
        <v>-183.97800000000001</v>
      </c>
      <c r="H5510" s="1">
        <v>-3.390286E-6</v>
      </c>
      <c r="I5510">
        <v>94.902169999999998</v>
      </c>
      <c r="J5510">
        <v>-188.0334</v>
      </c>
      <c r="K5510">
        <v>1.110007</v>
      </c>
      <c r="L5510">
        <v>75.371859999999998</v>
      </c>
      <c r="M5510">
        <v>-1.791829E-2</v>
      </c>
      <c r="N5510">
        <v>0</v>
      </c>
      <c r="O5510">
        <v>0.99973210000000001</v>
      </c>
      <c r="P5510">
        <v>0.1278678</v>
      </c>
      <c r="Q5510">
        <v>0.15082200000000001</v>
      </c>
      <c r="R5510">
        <v>0.98025640000000003</v>
      </c>
      <c r="S5510">
        <v>0.59457399999999905</v>
      </c>
      <c r="T5510">
        <v>-0.16340969999999999</v>
      </c>
      <c r="U5510">
        <v>3.0099179999999999</v>
      </c>
      <c r="V5510">
        <v>0.14538219999999999</v>
      </c>
      <c r="W5510">
        <v>0.16516310000000001</v>
      </c>
      <c r="X5510">
        <v>0.97549220000000003</v>
      </c>
      <c r="Y5510">
        <v>0.21106929999999999</v>
      </c>
      <c r="Z5510">
        <v>-5.3075480000000001E-2</v>
      </c>
      <c r="AA5510">
        <v>0.97602909999999998</v>
      </c>
      <c r="AB5510">
        <v>47</v>
      </c>
      <c r="AC5510">
        <v>4.0554000000000201</v>
      </c>
      <c r="AD5510">
        <v>-1.1100103902859999</v>
      </c>
      <c r="AE5510">
        <v>19.53031</v>
      </c>
      <c r="AF5510">
        <v>4.3911379586007904</v>
      </c>
      <c r="AG5510">
        <v>-1.1100103902859999</v>
      </c>
      <c r="AH5510">
        <v>19.394440922935999</v>
      </c>
      <c r="AI5510">
        <v>93.194966868407406</v>
      </c>
      <c r="AJ5510">
        <v>77.242625806656307</v>
      </c>
      <c r="AK5510">
        <v>19.916288669108599</v>
      </c>
      <c r="AL5510">
        <v>80.493289949772603</v>
      </c>
      <c r="AM5510">
        <v>81.523331887551706</v>
      </c>
      <c r="AN5510">
        <v>0.99999993296964196</v>
      </c>
    </row>
    <row r="5511" spans="1:40" x14ac:dyDescent="0.25">
      <c r="A5511" t="str">
        <f>"20190312164418916"</f>
        <v>20190312164418916</v>
      </c>
      <c r="B5511" t="str">
        <f>"1552380258910553"</f>
        <v>1552380258910553</v>
      </c>
      <c r="C5511" t="s">
        <v>40</v>
      </c>
      <c r="D5511">
        <v>4.9584449999999904</v>
      </c>
      <c r="E5511">
        <v>0.53512720000000003</v>
      </c>
      <c r="F5511" t="s">
        <v>42</v>
      </c>
      <c r="G5511">
        <v>-183.6876</v>
      </c>
      <c r="H5511" s="1">
        <v>-3.9644319999999997E-6</v>
      </c>
      <c r="I5511">
        <v>96.26388</v>
      </c>
      <c r="J5511">
        <v>-188.04140000000001</v>
      </c>
      <c r="K5511">
        <v>1.109985</v>
      </c>
      <c r="L5511">
        <v>75.820189999999997</v>
      </c>
      <c r="M5511">
        <v>-1.791827E-2</v>
      </c>
      <c r="N5511">
        <v>0</v>
      </c>
      <c r="O5511">
        <v>0.99973190000000001</v>
      </c>
      <c r="P5511">
        <v>0.13214770000000001</v>
      </c>
      <c r="Q5511">
        <v>0.15101779999999901</v>
      </c>
      <c r="R5511">
        <v>0.97965840000000004</v>
      </c>
      <c r="S5511">
        <v>0.62475590000000003</v>
      </c>
      <c r="T5511">
        <v>-0.15957739999999901</v>
      </c>
      <c r="U5511">
        <v>3.003479</v>
      </c>
      <c r="V5511">
        <v>0.14965989999999901</v>
      </c>
      <c r="W5511">
        <v>0.16534979999999999</v>
      </c>
      <c r="X5511">
        <v>0.9748135</v>
      </c>
      <c r="Y5511">
        <v>0.22088940000000001</v>
      </c>
      <c r="Z5511">
        <v>-5.1834669999999999E-2</v>
      </c>
      <c r="AA5511">
        <v>0.97392049999999997</v>
      </c>
      <c r="AB5511">
        <v>47</v>
      </c>
      <c r="AC5511">
        <v>4.3537999999999997</v>
      </c>
      <c r="AD5511">
        <v>-1.109988964432</v>
      </c>
      <c r="AE5511">
        <v>20.44369</v>
      </c>
      <c r="AF5511">
        <v>4.7061841957145898</v>
      </c>
      <c r="AG5511">
        <v>-1.109988964432</v>
      </c>
      <c r="AH5511">
        <v>20.305124944715299</v>
      </c>
      <c r="AI5511">
        <v>93.048338652820405</v>
      </c>
      <c r="AJ5511">
        <v>76.950779412034507</v>
      </c>
      <c r="AK5511">
        <v>20.872909337360099</v>
      </c>
      <c r="AL5511">
        <v>80.482444350448901</v>
      </c>
      <c r="AM5511">
        <v>81.271718740282694</v>
      </c>
      <c r="AN5511">
        <v>1.00000000090515</v>
      </c>
    </row>
    <row r="5512" spans="1:40" x14ac:dyDescent="0.25">
      <c r="A5512" t="str">
        <f>"20190312164418939"</f>
        <v>20190312164418939</v>
      </c>
      <c r="B5512" t="str">
        <f>"1552380258931049"</f>
        <v>1552380258931049</v>
      </c>
      <c r="C5512" t="s">
        <v>40</v>
      </c>
      <c r="D5512">
        <v>4.7930849999999996</v>
      </c>
      <c r="E5512">
        <v>0.53510690000000005</v>
      </c>
      <c r="F5512" t="s">
        <v>42</v>
      </c>
      <c r="G5512">
        <v>-183.6686</v>
      </c>
      <c r="H5512" s="1">
        <v>-4.0403089999999997E-6</v>
      </c>
      <c r="I5512">
        <v>96.432879999999997</v>
      </c>
      <c r="J5512">
        <v>-188.05019999999999</v>
      </c>
      <c r="K5512">
        <v>1.1099680000000001</v>
      </c>
      <c r="L5512">
        <v>76.31241</v>
      </c>
      <c r="M5512">
        <v>-1.7887340000000002E-2</v>
      </c>
      <c r="N5512">
        <v>0</v>
      </c>
      <c r="O5512">
        <v>0.99973239999999997</v>
      </c>
      <c r="P5512">
        <v>0.1361001</v>
      </c>
      <c r="Q5512">
        <v>0.1521216</v>
      </c>
      <c r="R5512">
        <v>0.97894630000000005</v>
      </c>
      <c r="S5512">
        <v>0.63670349999999998</v>
      </c>
      <c r="T5512">
        <v>-0.16162009999999999</v>
      </c>
      <c r="U5512">
        <v>3.001312</v>
      </c>
      <c r="V5512">
        <v>0.1535802</v>
      </c>
      <c r="W5512">
        <v>0.1664399</v>
      </c>
      <c r="X5512">
        <v>0.97401789999999999</v>
      </c>
      <c r="Y5512">
        <v>0.2247036</v>
      </c>
      <c r="Z5512">
        <v>-5.2489000000000001E-2</v>
      </c>
      <c r="AA5512">
        <v>0.9730124</v>
      </c>
      <c r="AB5512">
        <v>47</v>
      </c>
      <c r="AC5512">
        <v>4.3815999999999899</v>
      </c>
      <c r="AD5512">
        <v>-1.1099720403090001</v>
      </c>
      <c r="AE5512">
        <v>20.120470000000001</v>
      </c>
      <c r="AF5512">
        <v>4.72710449057013</v>
      </c>
      <c r="AG5512">
        <v>-1.1099720403090001</v>
      </c>
      <c r="AH5512">
        <v>19.980811709749599</v>
      </c>
      <c r="AI5512">
        <v>93.094375316719905</v>
      </c>
      <c r="AJ5512">
        <v>76.689569809927207</v>
      </c>
      <c r="AK5512">
        <v>20.5623537411334</v>
      </c>
      <c r="AL5512">
        <v>80.419108534282501</v>
      </c>
      <c r="AM5512">
        <v>81.039546911543297</v>
      </c>
      <c r="AN5512">
        <v>0.99999999383222904</v>
      </c>
    </row>
    <row r="5513" spans="1:40" x14ac:dyDescent="0.25">
      <c r="A5513" t="str">
        <f>"20190312164418961"</f>
        <v>20190312164418961</v>
      </c>
      <c r="B5513" t="str">
        <f>"1552380258950569"</f>
        <v>1552380258950569</v>
      </c>
      <c r="C5513" t="s">
        <v>40</v>
      </c>
      <c r="D5513">
        <v>4.8623029999999998</v>
      </c>
      <c r="E5513">
        <v>0.53509099999999998</v>
      </c>
      <c r="F5513" t="s">
        <v>42</v>
      </c>
      <c r="G5513">
        <v>-183.49600000000001</v>
      </c>
      <c r="H5513" s="1">
        <v>-4.4806160000000004E-6</v>
      </c>
      <c r="I5513">
        <v>97.387910000000005</v>
      </c>
      <c r="J5513">
        <v>-188.0582</v>
      </c>
      <c r="K5513">
        <v>1.1099509999999999</v>
      </c>
      <c r="L5513">
        <v>76.762419999999906</v>
      </c>
      <c r="M5513">
        <v>-1.7829390000000001E-2</v>
      </c>
      <c r="N5513">
        <v>0</v>
      </c>
      <c r="O5513">
        <v>0.99973330000000005</v>
      </c>
      <c r="P5513">
        <v>0.14016010000000001</v>
      </c>
      <c r="Q5513">
        <v>0.15350349999999999</v>
      </c>
      <c r="R5513">
        <v>0.97815730000000001</v>
      </c>
      <c r="S5513">
        <v>0.64804079999999997</v>
      </c>
      <c r="T5513">
        <v>-0.15794629999999901</v>
      </c>
      <c r="U5513">
        <v>2.998993</v>
      </c>
      <c r="V5513">
        <v>0.1575811</v>
      </c>
      <c r="W5513">
        <v>0.16780320000000001</v>
      </c>
      <c r="X5513">
        <v>0.97314449999999997</v>
      </c>
      <c r="Y5513">
        <v>0.22832839999999999</v>
      </c>
      <c r="Z5513">
        <v>-5.1295970000000003E-2</v>
      </c>
      <c r="AA5513">
        <v>0.97223190000000004</v>
      </c>
      <c r="AB5513">
        <v>47</v>
      </c>
      <c r="AC5513">
        <v>4.5622000000000096</v>
      </c>
      <c r="AD5513">
        <v>-1.1099554806159999</v>
      </c>
      <c r="AE5513">
        <v>20.625489999999999</v>
      </c>
      <c r="AF5513">
        <v>4.9156822518533696</v>
      </c>
      <c r="AG5513">
        <v>-1.1099554806159999</v>
      </c>
      <c r="AH5513">
        <v>20.484304705459401</v>
      </c>
      <c r="AI5513">
        <v>93.0161121009358</v>
      </c>
      <c r="AJ5513">
        <v>76.505723645606594</v>
      </c>
      <c r="AK5513">
        <v>21.095086452447699</v>
      </c>
      <c r="AL5513">
        <v>80.339882729117406</v>
      </c>
      <c r="AM5513">
        <v>80.801945851395899</v>
      </c>
      <c r="AN5513">
        <v>0.999999967443849</v>
      </c>
    </row>
    <row r="5514" spans="1:40" x14ac:dyDescent="0.25">
      <c r="A5514" t="str">
        <f>"20190312164418984"</f>
        <v>20190312164418984</v>
      </c>
      <c r="B5514" t="str">
        <f>"1552380258980825"</f>
        <v>1552380258980825</v>
      </c>
      <c r="C5514" t="s">
        <v>40</v>
      </c>
      <c r="D5514">
        <v>4.7408580000000002</v>
      </c>
      <c r="E5514">
        <v>0.53482220000000003</v>
      </c>
      <c r="F5514" t="s">
        <v>42</v>
      </c>
      <c r="G5514">
        <v>-183.34719999999999</v>
      </c>
      <c r="H5514" s="1">
        <v>-4.839118E-6</v>
      </c>
      <c r="I5514">
        <v>98.162059999999997</v>
      </c>
      <c r="J5514">
        <v>-188.0667</v>
      </c>
      <c r="K5514">
        <v>1.109928</v>
      </c>
      <c r="L5514">
        <v>77.246579999999994</v>
      </c>
      <c r="M5514">
        <v>-1.7742109999999998E-2</v>
      </c>
      <c r="N5514">
        <v>0</v>
      </c>
      <c r="O5514">
        <v>0.99973480000000003</v>
      </c>
      <c r="P5514">
        <v>0.14349609999999999</v>
      </c>
      <c r="Q5514">
        <v>0.15534539999999999</v>
      </c>
      <c r="R5514">
        <v>0.97738259999999999</v>
      </c>
      <c r="S5514">
        <v>0.65972900000000001</v>
      </c>
      <c r="T5514">
        <v>-0.15544079999999999</v>
      </c>
      <c r="U5514">
        <v>2.9968569999999999</v>
      </c>
      <c r="V5514">
        <v>0.1608309</v>
      </c>
      <c r="W5514">
        <v>0.1696249</v>
      </c>
      <c r="X5514">
        <v>0.97229670000000001</v>
      </c>
      <c r="Y5514">
        <v>0.23201340000000001</v>
      </c>
      <c r="Z5514">
        <v>-5.0476590000000002E-2</v>
      </c>
      <c r="AA5514">
        <v>0.97140199999999999</v>
      </c>
      <c r="AB5514">
        <v>47</v>
      </c>
      <c r="AC5514">
        <v>4.7195000000000098</v>
      </c>
      <c r="AD5514">
        <v>-1.1099328391179999</v>
      </c>
      <c r="AE5514">
        <v>20.915479999999899</v>
      </c>
      <c r="AF5514">
        <v>5.07627870775557</v>
      </c>
      <c r="AG5514">
        <v>-1.1099328391179999</v>
      </c>
      <c r="AH5514">
        <v>20.772778945874698</v>
      </c>
      <c r="AI5514">
        <v>92.971256337584293</v>
      </c>
      <c r="AJ5514">
        <v>76.267666258254096</v>
      </c>
      <c r="AK5514">
        <v>21.412820962225901</v>
      </c>
      <c r="AL5514">
        <v>80.233989612216007</v>
      </c>
      <c r="AM5514">
        <v>80.607558292652897</v>
      </c>
      <c r="AN5514">
        <v>1.0000000289628499</v>
      </c>
    </row>
    <row r="5515" spans="1:40" x14ac:dyDescent="0.25">
      <c r="A5515" t="str">
        <f>"20190312164419005"</f>
        <v>20190312164419005</v>
      </c>
      <c r="B5515" t="str">
        <f>"1552380259000345"</f>
        <v>1552380259000345</v>
      </c>
      <c r="C5515" t="s">
        <v>40</v>
      </c>
      <c r="D5515">
        <v>4.7340229999999996</v>
      </c>
      <c r="E5515">
        <v>0.53459999999999996</v>
      </c>
      <c r="F5515" t="s">
        <v>42</v>
      </c>
      <c r="G5515">
        <v>-183.0872</v>
      </c>
      <c r="H5515" s="1">
        <v>-5.4938569999999999E-6</v>
      </c>
      <c r="I5515">
        <v>99.580759999999998</v>
      </c>
      <c r="J5515">
        <v>-188.0744</v>
      </c>
      <c r="K5515">
        <v>1.109918</v>
      </c>
      <c r="L5515">
        <v>77.68338</v>
      </c>
      <c r="M5515">
        <v>-1.7648339999999998E-2</v>
      </c>
      <c r="N5515">
        <v>0</v>
      </c>
      <c r="O5515">
        <v>0.99973639999999997</v>
      </c>
      <c r="P5515">
        <v>0.14720639999999999</v>
      </c>
      <c r="Q5515">
        <v>0.15697269999999999</v>
      </c>
      <c r="R5515">
        <v>0.97657039999999995</v>
      </c>
      <c r="S5515">
        <v>0.66775509999999905</v>
      </c>
      <c r="T5515">
        <v>-0.14884410000000001</v>
      </c>
      <c r="U5515">
        <v>2.9950559999999999</v>
      </c>
      <c r="V5515">
        <v>0.16444600000000001</v>
      </c>
      <c r="W5515">
        <v>0.17123279999999999</v>
      </c>
      <c r="X5515">
        <v>0.97140970000000004</v>
      </c>
      <c r="Y5515">
        <v>0.23454820000000001</v>
      </c>
      <c r="Z5515">
        <v>-4.8339399999999998E-2</v>
      </c>
      <c r="AA5515">
        <v>0.97090180000000004</v>
      </c>
      <c r="AB5515">
        <v>47</v>
      </c>
      <c r="AC5515">
        <v>4.9871999999999996</v>
      </c>
      <c r="AD5515">
        <v>-1.109923493857</v>
      </c>
      <c r="AE5515">
        <v>21.897379999999998</v>
      </c>
      <c r="AF5515">
        <v>5.3598256823495198</v>
      </c>
      <c r="AG5515">
        <v>-1.109923493857</v>
      </c>
      <c r="AH5515">
        <v>21.7528117903768</v>
      </c>
      <c r="AI5515">
        <v>92.836264338091098</v>
      </c>
      <c r="AJ5515">
        <v>76.158218678149694</v>
      </c>
      <c r="AK5515">
        <v>22.4308823342941</v>
      </c>
      <c r="AL5515">
        <v>80.140495437779506</v>
      </c>
      <c r="AM5515">
        <v>80.391723069928602</v>
      </c>
      <c r="AN5515">
        <v>0.99999998198296403</v>
      </c>
    </row>
    <row r="5516" spans="1:40" x14ac:dyDescent="0.25">
      <c r="A5516" t="str">
        <f>"20190312164419028"</f>
        <v>20190312164419028</v>
      </c>
      <c r="B5516" t="str">
        <f>"1552380259020841"</f>
        <v>1552380259020841</v>
      </c>
      <c r="C5516" t="s">
        <v>40</v>
      </c>
      <c r="D5516">
        <v>4.9488409999999998</v>
      </c>
      <c r="E5516">
        <v>0.5344198</v>
      </c>
      <c r="F5516" t="s">
        <v>42</v>
      </c>
      <c r="G5516">
        <v>-182.8193</v>
      </c>
      <c r="H5516" s="1">
        <v>-2.3359069999999999E-6</v>
      </c>
      <c r="I5516">
        <v>100.8978</v>
      </c>
      <c r="J5516">
        <v>-188.08279999999999</v>
      </c>
      <c r="K5516">
        <v>1.109909</v>
      </c>
      <c r="L5516">
        <v>78.164029999999997</v>
      </c>
      <c r="M5516">
        <v>-1.753153E-2</v>
      </c>
      <c r="N5516">
        <v>0</v>
      </c>
      <c r="O5516">
        <v>0.99973840000000003</v>
      </c>
      <c r="P5516">
        <v>0.150701</v>
      </c>
      <c r="Q5516">
        <v>0.15922610000000001</v>
      </c>
      <c r="R5516">
        <v>0.97567219999999999</v>
      </c>
      <c r="S5516">
        <v>0.67750549999999998</v>
      </c>
      <c r="T5516">
        <v>-0.14309359999999999</v>
      </c>
      <c r="U5516">
        <v>2.9928590000000002</v>
      </c>
      <c r="V5516">
        <v>0.167821</v>
      </c>
      <c r="W5516">
        <v>0.1734648</v>
      </c>
      <c r="X5516">
        <v>0.97043599999999997</v>
      </c>
      <c r="Y5516">
        <v>0.23761550000000001</v>
      </c>
      <c r="Z5516">
        <v>-4.6475509999999998E-2</v>
      </c>
      <c r="AA5516">
        <v>0.97024690000000002</v>
      </c>
      <c r="AB5516">
        <v>47</v>
      </c>
      <c r="AC5516">
        <v>5.2634999999999899</v>
      </c>
      <c r="AD5516">
        <v>-1.1099113359070001</v>
      </c>
      <c r="AE5516">
        <v>22.73377</v>
      </c>
      <c r="AF5516">
        <v>5.6485128656213499</v>
      </c>
      <c r="AG5516">
        <v>-1.1099113359070001</v>
      </c>
      <c r="AH5516">
        <v>22.586889172364401</v>
      </c>
      <c r="AI5516">
        <v>92.729312482826799</v>
      </c>
      <c r="AJ5516">
        <v>75.959481680022506</v>
      </c>
      <c r="AK5516">
        <v>23.308907380041099</v>
      </c>
      <c r="AL5516">
        <v>80.010668447913702</v>
      </c>
      <c r="AM5516">
        <v>80.188672012203796</v>
      </c>
      <c r="AN5516">
        <v>0.99999997748801905</v>
      </c>
    </row>
    <row r="5517" spans="1:40" x14ac:dyDescent="0.25">
      <c r="A5517" t="str">
        <f>"20190312164419052"</f>
        <v>20190312164419052</v>
      </c>
      <c r="B5517" t="str">
        <f>"1552380259040361"</f>
        <v>1552380259040361</v>
      </c>
      <c r="C5517" t="s">
        <v>40</v>
      </c>
      <c r="D5517">
        <v>4.7817339999999904</v>
      </c>
      <c r="E5517">
        <v>0.5341224</v>
      </c>
      <c r="F5517" t="s">
        <v>42</v>
      </c>
      <c r="G5517">
        <v>-182.46549999999999</v>
      </c>
      <c r="H5517" s="1">
        <v>-3.0204759999999999E-6</v>
      </c>
      <c r="I5517">
        <v>102.6328</v>
      </c>
      <c r="J5517">
        <v>-188.09110000000001</v>
      </c>
      <c r="K5517">
        <v>1.1099079999999999</v>
      </c>
      <c r="L5517">
        <v>78.648009999999999</v>
      </c>
      <c r="M5517">
        <v>-1.7403330000000002E-2</v>
      </c>
      <c r="N5517">
        <v>0</v>
      </c>
      <c r="O5517">
        <v>0.99974059999999998</v>
      </c>
      <c r="P5517">
        <v>0.1542876</v>
      </c>
      <c r="Q5517">
        <v>0.16211929999999999</v>
      </c>
      <c r="R5517">
        <v>0.97463460000000002</v>
      </c>
      <c r="S5517">
        <v>0.68661499999999998</v>
      </c>
      <c r="T5517">
        <v>-0.13566700000000001</v>
      </c>
      <c r="U5517">
        <v>2.990875</v>
      </c>
      <c r="V5517">
        <v>0.17127310000000001</v>
      </c>
      <c r="W5517">
        <v>0.17633480000000001</v>
      </c>
      <c r="X5517">
        <v>0.96931500000000004</v>
      </c>
      <c r="Y5517">
        <v>0.24046200000000001</v>
      </c>
      <c r="Z5517">
        <v>-4.4066580000000001E-2</v>
      </c>
      <c r="AA5517">
        <v>0.96965780000000001</v>
      </c>
      <c r="AB5517">
        <v>47</v>
      </c>
      <c r="AC5517">
        <v>5.6256000000000101</v>
      </c>
      <c r="AD5517">
        <v>-1.1099110204760001</v>
      </c>
      <c r="AE5517">
        <v>23.98479</v>
      </c>
      <c r="AF5517">
        <v>6.0299686514533404</v>
      </c>
      <c r="AG5517">
        <v>-1.1099110204760001</v>
      </c>
      <c r="AH5517">
        <v>23.8348627225451</v>
      </c>
      <c r="AI5517">
        <v>92.584828939987801</v>
      </c>
      <c r="AJ5517">
        <v>75.802663225375099</v>
      </c>
      <c r="AK5517">
        <v>24.610833090601702</v>
      </c>
      <c r="AL5517">
        <v>79.843655450871694</v>
      </c>
      <c r="AM5517">
        <v>79.979551953069802</v>
      </c>
      <c r="AN5517">
        <v>1.0000000028498199</v>
      </c>
    </row>
    <row r="5518" spans="1:40" x14ac:dyDescent="0.25">
      <c r="A5518" t="str">
        <f>"20190312164419073"</f>
        <v>20190312164419073</v>
      </c>
      <c r="B5518" t="str">
        <f>"1552380259070618"</f>
        <v>1552380259070618</v>
      </c>
      <c r="C5518" t="s">
        <v>40</v>
      </c>
      <c r="D5518">
        <v>4.8670119999999999</v>
      </c>
      <c r="E5518">
        <v>0.53352119999999903</v>
      </c>
      <c r="F5518" t="s">
        <v>42</v>
      </c>
      <c r="G5518">
        <v>-182.01859999999999</v>
      </c>
      <c r="H5518" s="1">
        <v>-3.8774100000000002E-6</v>
      </c>
      <c r="I5518">
        <v>104.80159999999999</v>
      </c>
      <c r="J5518">
        <v>-188.09899999999999</v>
      </c>
      <c r="K5518">
        <v>1.109904</v>
      </c>
      <c r="L5518">
        <v>79.103579999999994</v>
      </c>
      <c r="M5518">
        <v>-1.7276179999999999E-2</v>
      </c>
      <c r="N5518">
        <v>0</v>
      </c>
      <c r="O5518">
        <v>0.99974280000000004</v>
      </c>
      <c r="P5518">
        <v>0.15780339999999901</v>
      </c>
      <c r="Q5518">
        <v>0.16284709999999999</v>
      </c>
      <c r="R5518">
        <v>0.97395010000000004</v>
      </c>
      <c r="S5518">
        <v>0.69407649999999999</v>
      </c>
      <c r="T5518">
        <v>-0.12686130000000001</v>
      </c>
      <c r="U5518">
        <v>2.9893190000000001</v>
      </c>
      <c r="V5518">
        <v>0.1746595</v>
      </c>
      <c r="W5518">
        <v>0.17704629999999999</v>
      </c>
      <c r="X5518">
        <v>0.96858069999999996</v>
      </c>
      <c r="Y5518">
        <v>0.2427733</v>
      </c>
      <c r="Z5518">
        <v>-4.1209139999999998E-2</v>
      </c>
      <c r="AA5518">
        <v>0.96920729999999999</v>
      </c>
      <c r="AB5518">
        <v>47</v>
      </c>
      <c r="AC5518">
        <v>6.0804000000000196</v>
      </c>
      <c r="AD5518">
        <v>-1.10990787741</v>
      </c>
      <c r="AE5518">
        <v>25.6980199999999</v>
      </c>
      <c r="AF5518">
        <v>6.5120003428824003</v>
      </c>
      <c r="AG5518">
        <v>-1.10990787741</v>
      </c>
      <c r="AH5518">
        <v>25.544002618264901</v>
      </c>
      <c r="AI5518">
        <v>92.410967081169304</v>
      </c>
      <c r="AJ5518">
        <v>75.698071345191195</v>
      </c>
      <c r="AK5518">
        <v>26.384353577906001</v>
      </c>
      <c r="AL5518">
        <v>79.802237341860007</v>
      </c>
      <c r="AM5518">
        <v>79.777979948288007</v>
      </c>
      <c r="AN5518">
        <v>0.99999995284821297</v>
      </c>
    </row>
    <row r="5519" spans="1:40" x14ac:dyDescent="0.25">
      <c r="A5519" t="str">
        <f>"20190312164419095"</f>
        <v>20190312164419095</v>
      </c>
      <c r="B5519" t="str">
        <f>"1552380259091113"</f>
        <v>1552380259091113</v>
      </c>
      <c r="C5519" t="s">
        <v>40</v>
      </c>
      <c r="D5519">
        <v>4.816516</v>
      </c>
      <c r="E5519">
        <v>0.53305559999999996</v>
      </c>
      <c r="F5519" t="s">
        <v>42</v>
      </c>
      <c r="G5519">
        <v>-181.971</v>
      </c>
      <c r="H5519" s="1">
        <v>-4.0622209999999998E-6</v>
      </c>
      <c r="I5519">
        <v>105.3074</v>
      </c>
      <c r="J5519">
        <v>-188.10659999999999</v>
      </c>
      <c r="K5519">
        <v>1.1098939999999999</v>
      </c>
      <c r="L5519">
        <v>79.553100000000001</v>
      </c>
      <c r="M5519">
        <v>-1.71474E-2</v>
      </c>
      <c r="N5519">
        <v>0</v>
      </c>
      <c r="O5519">
        <v>0.99974499999999999</v>
      </c>
      <c r="P5519">
        <v>0.1600916</v>
      </c>
      <c r="Q5519">
        <v>0.1626821</v>
      </c>
      <c r="R5519">
        <v>0.97360429999999998</v>
      </c>
      <c r="S5519">
        <v>0.69880679999999995</v>
      </c>
      <c r="T5519">
        <v>-0.1265696</v>
      </c>
      <c r="U5519">
        <v>2.9881899999999999</v>
      </c>
      <c r="V5519">
        <v>0.1768216</v>
      </c>
      <c r="W5519">
        <v>0.17687079999999999</v>
      </c>
      <c r="X5519">
        <v>0.96822050000000004</v>
      </c>
      <c r="Y5519">
        <v>0.24418490000000001</v>
      </c>
      <c r="Z5519">
        <v>-4.1115119999999998E-2</v>
      </c>
      <c r="AA5519">
        <v>0.96885670000000002</v>
      </c>
      <c r="AB5519">
        <v>47</v>
      </c>
      <c r="AC5519">
        <v>6.1356000000000099</v>
      </c>
      <c r="AD5519">
        <v>-1.109898062221</v>
      </c>
      <c r="AE5519">
        <v>25.754300000000001</v>
      </c>
      <c r="AF5519">
        <v>6.5648270780651901</v>
      </c>
      <c r="AG5519">
        <v>-1.109898062221</v>
      </c>
      <c r="AH5519">
        <v>25.600299484245699</v>
      </c>
      <c r="AI5519">
        <v>92.404783664738602</v>
      </c>
      <c r="AJ5519">
        <v>75.6172451845501</v>
      </c>
      <c r="AK5519">
        <v>26.451921706305001</v>
      </c>
      <c r="AL5519">
        <v>79.812454960878199</v>
      </c>
      <c r="AM5519">
        <v>79.650392923917806</v>
      </c>
      <c r="AN5519">
        <v>1.0000000473697199</v>
      </c>
    </row>
    <row r="5520" spans="1:40" x14ac:dyDescent="0.25">
      <c r="A5520" t="str">
        <f>"20190312164419118"</f>
        <v>20190312164419118</v>
      </c>
      <c r="B5520" t="str">
        <f>"1552380259110633"</f>
        <v>1552380259110633</v>
      </c>
      <c r="C5520" t="s">
        <v>40</v>
      </c>
      <c r="D5520">
        <v>4.8647489999999998</v>
      </c>
      <c r="E5520">
        <v>0.53262919999999903</v>
      </c>
      <c r="F5520" t="s">
        <v>42</v>
      </c>
      <c r="G5520">
        <v>-182.0985</v>
      </c>
      <c r="H5520" s="1">
        <v>-3.9540819999999999E-6</v>
      </c>
      <c r="I5520">
        <v>105.08929999999999</v>
      </c>
      <c r="J5520">
        <v>-188.11449999999999</v>
      </c>
      <c r="K5520">
        <v>1.109882</v>
      </c>
      <c r="L5520">
        <v>80.020319999999998</v>
      </c>
      <c r="M5520">
        <v>-1.7012360000000001E-2</v>
      </c>
      <c r="N5520">
        <v>0</v>
      </c>
      <c r="O5520">
        <v>0.99974730000000001</v>
      </c>
      <c r="P5520">
        <v>0.162655299999999</v>
      </c>
      <c r="Q5520">
        <v>0.16201479999999999</v>
      </c>
      <c r="R5520">
        <v>0.97329060000000001</v>
      </c>
      <c r="S5520">
        <v>0.70288090000000003</v>
      </c>
      <c r="T5520">
        <v>-0.1298444</v>
      </c>
      <c r="U5520">
        <v>2.9874269999999998</v>
      </c>
      <c r="V5520">
        <v>0.17925279999999999</v>
      </c>
      <c r="W5520">
        <v>0.17619309999999999</v>
      </c>
      <c r="X5520">
        <v>0.96789689999999995</v>
      </c>
      <c r="Y5520">
        <v>0.24535080000000001</v>
      </c>
      <c r="Z5520">
        <v>-4.2174820000000002E-2</v>
      </c>
      <c r="AA5520">
        <v>0.9685165</v>
      </c>
      <c r="AB5520">
        <v>46</v>
      </c>
      <c r="AC5520">
        <v>6.0159999999999902</v>
      </c>
      <c r="AD5520">
        <v>-1.1098859540819901</v>
      </c>
      <c r="AE5520">
        <v>25.06898</v>
      </c>
      <c r="AF5520">
        <v>6.4297409310527902</v>
      </c>
      <c r="AG5520">
        <v>-1.1098859540819901</v>
      </c>
      <c r="AH5520">
        <v>24.9168132898428</v>
      </c>
      <c r="AI5520">
        <v>92.469681067609599</v>
      </c>
      <c r="AJ5520">
        <v>75.530577824861794</v>
      </c>
      <c r="AK5520">
        <v>25.756960220344499</v>
      </c>
      <c r="AL5520">
        <v>79.851903289317093</v>
      </c>
      <c r="AM5520">
        <v>79.507799940455698</v>
      </c>
      <c r="AN5520">
        <v>0.99999999191252997</v>
      </c>
    </row>
    <row r="5521" spans="1:40" x14ac:dyDescent="0.25">
      <c r="A5521" t="str">
        <f>"20190312164419139"</f>
        <v>20190312164419139</v>
      </c>
      <c r="B5521" t="str">
        <f>"1552380259131129"</f>
        <v>1552380259131129</v>
      </c>
      <c r="C5521" t="s">
        <v>40</v>
      </c>
      <c r="D5521">
        <v>4.9159259999999998</v>
      </c>
      <c r="E5521">
        <v>0.53244369999999996</v>
      </c>
      <c r="F5521" t="s">
        <v>42</v>
      </c>
      <c r="G5521">
        <v>-182.28100000000001</v>
      </c>
      <c r="H5521" s="1">
        <v>-3.7482500000000001E-6</v>
      </c>
      <c r="I5521">
        <v>104.6272</v>
      </c>
      <c r="J5521">
        <v>-188.1223</v>
      </c>
      <c r="K5521">
        <v>1.1098589999999999</v>
      </c>
      <c r="L5521">
        <v>80.480869999999996</v>
      </c>
      <c r="M5521">
        <v>-1.687895E-2</v>
      </c>
      <c r="N5521">
        <v>0</v>
      </c>
      <c r="O5521">
        <v>0.99974960000000002</v>
      </c>
      <c r="P5521">
        <v>0.1655529</v>
      </c>
      <c r="Q5521">
        <v>0.16136099999999901</v>
      </c>
      <c r="R5521">
        <v>0.97291050000000001</v>
      </c>
      <c r="S5521">
        <v>0.70799259999999997</v>
      </c>
      <c r="T5521">
        <v>-0.13470170000000001</v>
      </c>
      <c r="U5521">
        <v>2.9864199999999999</v>
      </c>
      <c r="V5521">
        <v>0.1820177</v>
      </c>
      <c r="W5521">
        <v>0.1755284</v>
      </c>
      <c r="X5521">
        <v>0.96750159999999996</v>
      </c>
      <c r="Y5521">
        <v>0.2468485</v>
      </c>
      <c r="Z5521">
        <v>-4.3747010000000003E-2</v>
      </c>
      <c r="AA5521">
        <v>0.96806610000000004</v>
      </c>
      <c r="AB5521">
        <v>46</v>
      </c>
      <c r="AC5521">
        <v>5.8413000000000102</v>
      </c>
      <c r="AD5521">
        <v>-1.1098627482500001</v>
      </c>
      <c r="AE5521">
        <v>24.146329999999999</v>
      </c>
      <c r="AF5521">
        <v>6.2356307279046002</v>
      </c>
      <c r="AG5521">
        <v>-1.1098627482500001</v>
      </c>
      <c r="AH5521">
        <v>23.996389581516599</v>
      </c>
      <c r="AI5521">
        <v>92.563108553970295</v>
      </c>
      <c r="AJ5521">
        <v>75.433456510788204</v>
      </c>
      <c r="AK5521">
        <v>24.818170739251901</v>
      </c>
      <c r="AL5521">
        <v>79.890590862017305</v>
      </c>
      <c r="AM5521">
        <v>79.345385393409003</v>
      </c>
      <c r="AN5521">
        <v>1.0000000041612001</v>
      </c>
    </row>
    <row r="5522" spans="1:40" x14ac:dyDescent="0.25">
      <c r="A5522" t="str">
        <f>"20190312164419162"</f>
        <v>20190312164419162</v>
      </c>
      <c r="B5522" t="str">
        <f>"1552380259150649"</f>
        <v>1552380259150649</v>
      </c>
      <c r="C5522" t="s">
        <v>40</v>
      </c>
      <c r="D5522">
        <v>4.8944470000000004</v>
      </c>
      <c r="E5522">
        <v>0.51236199999999998</v>
      </c>
      <c r="F5522" t="s">
        <v>42</v>
      </c>
      <c r="G5522">
        <v>-182.3973</v>
      </c>
      <c r="H5522" s="1">
        <v>-3.637044E-6</v>
      </c>
      <c r="I5522">
        <v>104.3913</v>
      </c>
      <c r="J5522">
        <v>-188.12989999999999</v>
      </c>
      <c r="K5522">
        <v>1.109855</v>
      </c>
      <c r="L5522">
        <v>80.935419999999993</v>
      </c>
      <c r="M5522">
        <v>-1.6747660000000001E-2</v>
      </c>
      <c r="N5522">
        <v>0</v>
      </c>
      <c r="O5522">
        <v>0.99975179999999997</v>
      </c>
      <c r="P5522">
        <v>0.1678491</v>
      </c>
      <c r="Q5522">
        <v>0.1609894</v>
      </c>
      <c r="R5522">
        <v>0.97257859999999996</v>
      </c>
      <c r="S5522">
        <v>0.71469119999999997</v>
      </c>
      <c r="T5522">
        <v>-0.13855120000000001</v>
      </c>
      <c r="U5522">
        <v>2.9848940000000002</v>
      </c>
      <c r="V5522">
        <v>0.1841835</v>
      </c>
      <c r="W5522">
        <v>0.1751472</v>
      </c>
      <c r="X5522">
        <v>0.96716080000000004</v>
      </c>
      <c r="Y5522">
        <v>0.2488747</v>
      </c>
      <c r="Z5522">
        <v>-4.4993749999999999E-2</v>
      </c>
      <c r="AA5522">
        <v>0.96748999999999996</v>
      </c>
      <c r="AB5522">
        <v>46</v>
      </c>
      <c r="AC5522">
        <v>5.7325999999999899</v>
      </c>
      <c r="AD5522">
        <v>-1.109858637044</v>
      </c>
      <c r="AE5522">
        <v>23.455880000000001</v>
      </c>
      <c r="AF5522">
        <v>6.11175706414957</v>
      </c>
      <c r="AG5522">
        <v>-1.109858637044</v>
      </c>
      <c r="AH5522">
        <v>23.307330343817</v>
      </c>
      <c r="AI5522">
        <v>92.637244860518805</v>
      </c>
      <c r="AJ5522">
        <v>75.306455276121596</v>
      </c>
      <c r="AK5522">
        <v>24.120883241731001</v>
      </c>
      <c r="AL5522">
        <v>79.912776244049695</v>
      </c>
      <c r="AM5522">
        <v>79.217851903847304</v>
      </c>
      <c r="AN5522">
        <v>1.0000000581983599</v>
      </c>
    </row>
    <row r="5523" spans="1:40" x14ac:dyDescent="0.25">
      <c r="A5523" t="str">
        <f>"20190312164419186"</f>
        <v>20190312164419186</v>
      </c>
      <c r="B5523" t="str">
        <f>"1552380259180905"</f>
        <v>1552380259180905</v>
      </c>
      <c r="C5523" t="s">
        <v>40</v>
      </c>
      <c r="D5523">
        <v>4.8972850000000001</v>
      </c>
      <c r="E5523">
        <v>0.51347609999999999</v>
      </c>
      <c r="F5523" t="s">
        <v>42</v>
      </c>
      <c r="G5523">
        <v>-184.6892</v>
      </c>
      <c r="H5523" s="1">
        <v>-5.1575019999999998E-6</v>
      </c>
      <c r="I5523">
        <v>99.459100000000007</v>
      </c>
      <c r="J5523">
        <v>-188.13810000000001</v>
      </c>
      <c r="K5523">
        <v>1.1098440000000001</v>
      </c>
      <c r="L5523">
        <v>81.434389999999993</v>
      </c>
      <c r="M5523">
        <v>-1.6603650000000001E-2</v>
      </c>
      <c r="N5523">
        <v>0</v>
      </c>
      <c r="O5523">
        <v>0.99975420000000004</v>
      </c>
      <c r="P5523">
        <v>0.1700316</v>
      </c>
      <c r="Q5523">
        <v>0.16152449999999999</v>
      </c>
      <c r="R5523">
        <v>0.97211060000000005</v>
      </c>
      <c r="S5523">
        <v>0.56053160000000002</v>
      </c>
      <c r="T5523">
        <v>-0.18081140000000001</v>
      </c>
      <c r="U5523">
        <v>3.0177610000000001</v>
      </c>
      <c r="V5523">
        <v>0.1862212</v>
      </c>
      <c r="W5523">
        <v>0.17567060000000001</v>
      </c>
      <c r="X5523">
        <v>0.96667550000000002</v>
      </c>
      <c r="Y5523">
        <v>0.19860639999999999</v>
      </c>
      <c r="Z5523">
        <v>-5.8700099999999998E-2</v>
      </c>
      <c r="AA5523">
        <v>0.97831990000000002</v>
      </c>
      <c r="AB5523">
        <v>46</v>
      </c>
      <c r="AC5523">
        <v>3.4489000000000001</v>
      </c>
      <c r="AD5523">
        <v>-1.109849157502</v>
      </c>
      <c r="AE5523">
        <v>18.024709999999999</v>
      </c>
      <c r="AF5523">
        <v>3.7340756578844698</v>
      </c>
      <c r="AG5523">
        <v>-1.109849157502</v>
      </c>
      <c r="AH5523">
        <v>17.899488264115998</v>
      </c>
      <c r="AI5523">
        <v>93.473466944225805</v>
      </c>
      <c r="AJ5523">
        <v>78.216324956940397</v>
      </c>
      <c r="AK5523">
        <v>18.318481549747499</v>
      </c>
      <c r="AL5523">
        <v>79.882314852331604</v>
      </c>
      <c r="AM5523">
        <v>79.096065742379906</v>
      </c>
      <c r="AN5523">
        <v>1.00000000866702</v>
      </c>
    </row>
    <row r="5524" spans="1:40" x14ac:dyDescent="0.25">
      <c r="A5524" t="str">
        <f>"20190312164419206"</f>
        <v>20190312164419206</v>
      </c>
      <c r="B5524" t="str">
        <f>"1552380259200426"</f>
        <v>1552380259200426</v>
      </c>
      <c r="C5524" t="s">
        <v>40</v>
      </c>
      <c r="D5524">
        <v>4.9127029999999996</v>
      </c>
      <c r="E5524">
        <v>0.51323430000000003</v>
      </c>
      <c r="F5524" t="s">
        <v>42</v>
      </c>
      <c r="G5524">
        <v>-184.55410000000001</v>
      </c>
      <c r="H5524" s="1">
        <v>-1.629237E-6</v>
      </c>
      <c r="I5524">
        <v>100.1777</v>
      </c>
      <c r="J5524">
        <v>-188.14490000000001</v>
      </c>
      <c r="K5524">
        <v>1.1098539999999999</v>
      </c>
      <c r="L5524">
        <v>81.850619999999907</v>
      </c>
      <c r="M5524">
        <v>-1.648326E-2</v>
      </c>
      <c r="N5524">
        <v>0</v>
      </c>
      <c r="O5524">
        <v>0.99975619999999998</v>
      </c>
      <c r="P5524">
        <v>0.17158899999999999</v>
      </c>
      <c r="Q5524">
        <v>0.16277739999999999</v>
      </c>
      <c r="R5524">
        <v>0.97162789999999999</v>
      </c>
      <c r="S5524">
        <v>0.57649229999999996</v>
      </c>
      <c r="T5524">
        <v>-0.17852089999999901</v>
      </c>
      <c r="U5524">
        <v>3.0148929999999998</v>
      </c>
      <c r="V5524">
        <v>0.18765599999999999</v>
      </c>
      <c r="W5524">
        <v>0.17691299999999999</v>
      </c>
      <c r="X5524">
        <v>0.96617129999999996</v>
      </c>
      <c r="Y5524">
        <v>0.20366239999999999</v>
      </c>
      <c r="Z5524">
        <v>-5.7954760000000001E-2</v>
      </c>
      <c r="AA5524">
        <v>0.97732439999999998</v>
      </c>
      <c r="AB5524">
        <v>46</v>
      </c>
      <c r="AC5524">
        <v>3.5908000000000002</v>
      </c>
      <c r="AD5524">
        <v>-1.1098556292370001</v>
      </c>
      <c r="AE5524">
        <v>18.327079999999999</v>
      </c>
      <c r="AF5524">
        <v>3.87873606203132</v>
      </c>
      <c r="AG5524">
        <v>-1.1098556292370001</v>
      </c>
      <c r="AH5524">
        <v>18.201113790687799</v>
      </c>
      <c r="AI5524">
        <v>93.412974308913704</v>
      </c>
      <c r="AJ5524">
        <v>77.969975507707005</v>
      </c>
      <c r="AK5524">
        <v>18.642878430602298</v>
      </c>
      <c r="AL5524">
        <v>79.809997670013601</v>
      </c>
      <c r="AM5524">
        <v>79.008496008914406</v>
      </c>
      <c r="AN5524">
        <v>0.99999998242434396</v>
      </c>
    </row>
    <row r="5525" spans="1:40" x14ac:dyDescent="0.25">
      <c r="A5525" t="str">
        <f>"20190312164419228"</f>
        <v>20190312164419228</v>
      </c>
      <c r="B5525" t="str">
        <f>"1552380259220922"</f>
        <v>1552380259220922</v>
      </c>
      <c r="C5525" t="s">
        <v>40</v>
      </c>
      <c r="D5525">
        <v>4.9541120000000003</v>
      </c>
      <c r="E5525">
        <v>0.51240339999999995</v>
      </c>
      <c r="F5525" t="s">
        <v>42</v>
      </c>
      <c r="G5525">
        <v>-184.43780000000001</v>
      </c>
      <c r="H5525" s="1">
        <v>-1.989745E-6</v>
      </c>
      <c r="I5525">
        <v>101.1461</v>
      </c>
      <c r="J5525">
        <v>-188.15270000000001</v>
      </c>
      <c r="K5525">
        <v>1.1098589999999999</v>
      </c>
      <c r="L5525">
        <v>82.329709999999906</v>
      </c>
      <c r="M5525">
        <v>-1.634412E-2</v>
      </c>
      <c r="N5525">
        <v>0</v>
      </c>
      <c r="O5525">
        <v>0.99975849999999999</v>
      </c>
      <c r="P5525">
        <v>0.17311960000000001</v>
      </c>
      <c r="Q5525">
        <v>0.16391149999999999</v>
      </c>
      <c r="R5525">
        <v>0.97116559999999996</v>
      </c>
      <c r="S5525">
        <v>0.57913210000000004</v>
      </c>
      <c r="T5525">
        <v>-0.1733836</v>
      </c>
      <c r="U5525">
        <v>3.0143740000000001</v>
      </c>
      <c r="V5525">
        <v>0.18904609999999999</v>
      </c>
      <c r="W5525">
        <v>0.17803649999999999</v>
      </c>
      <c r="X5525">
        <v>0.96569380000000005</v>
      </c>
      <c r="Y5525">
        <v>0.20440059999999999</v>
      </c>
      <c r="Z5525">
        <v>-5.629319E-2</v>
      </c>
      <c r="AA5525">
        <v>0.97726729999999995</v>
      </c>
      <c r="AB5525">
        <v>46</v>
      </c>
      <c r="AC5525">
        <v>3.7149000000000001</v>
      </c>
      <c r="AD5525">
        <v>-1.109860989745</v>
      </c>
      <c r="AE5525">
        <v>18.816389999999998</v>
      </c>
      <c r="AF5525">
        <v>4.0085513291023798</v>
      </c>
      <c r="AG5525">
        <v>-1.109860989745</v>
      </c>
      <c r="AH5525">
        <v>18.690566262619701</v>
      </c>
      <c r="AI5525">
        <v>93.322892073592499</v>
      </c>
      <c r="AJ5525">
        <v>77.895190319818894</v>
      </c>
      <c r="AK5525">
        <v>19.1477816572047</v>
      </c>
      <c r="AL5525">
        <v>79.744587357381405</v>
      </c>
      <c r="AM5525">
        <v>78.923739812169998</v>
      </c>
      <c r="AN5525">
        <v>0.99999996930794899</v>
      </c>
    </row>
    <row r="5526" spans="1:40" x14ac:dyDescent="0.25">
      <c r="A5526" t="str">
        <f>"20190312164419253"</f>
        <v>20190312164419253</v>
      </c>
      <c r="B5526" t="str">
        <f>"1552380259240441"</f>
        <v>1552380259240441</v>
      </c>
      <c r="C5526" t="s">
        <v>40</v>
      </c>
      <c r="D5526">
        <v>4.9506649999999999</v>
      </c>
      <c r="E5526">
        <v>0.51200429999999997</v>
      </c>
      <c r="F5526" t="s">
        <v>42</v>
      </c>
      <c r="G5526">
        <v>-184.392</v>
      </c>
      <c r="H5526" s="1">
        <v>-2.284511E-6</v>
      </c>
      <c r="I5526">
        <v>101.9765</v>
      </c>
      <c r="J5526">
        <v>-188.16059999999999</v>
      </c>
      <c r="K5526">
        <v>1.1098650000000001</v>
      </c>
      <c r="L5526">
        <v>82.818389999999994</v>
      </c>
      <c r="M5526">
        <v>-1.620191E-2</v>
      </c>
      <c r="N5526">
        <v>0</v>
      </c>
      <c r="O5526">
        <v>0.99976089999999995</v>
      </c>
      <c r="P5526">
        <v>0.174309299999999</v>
      </c>
      <c r="Q5526">
        <v>0.16450329999999999</v>
      </c>
      <c r="R5526">
        <v>0.97085270000000001</v>
      </c>
      <c r="S5526">
        <v>0.57710269999999997</v>
      </c>
      <c r="T5526">
        <v>-0.1703171</v>
      </c>
      <c r="U5526">
        <v>3.0149539999999999</v>
      </c>
      <c r="V5526">
        <v>0.19009429999999999</v>
      </c>
      <c r="W5526">
        <v>0.1786201</v>
      </c>
      <c r="X5526">
        <v>0.96538029999999997</v>
      </c>
      <c r="Y5526">
        <v>0.20360239999999999</v>
      </c>
      <c r="Z5526">
        <v>-5.5298600000000003E-2</v>
      </c>
      <c r="AA5526">
        <v>0.97749070000000005</v>
      </c>
      <c r="AB5526">
        <v>46</v>
      </c>
      <c r="AC5526">
        <v>3.76859999999999</v>
      </c>
      <c r="AD5526">
        <v>-1.10986728451099</v>
      </c>
      <c r="AE5526">
        <v>19.158109999999901</v>
      </c>
      <c r="AF5526">
        <v>4.0654010082670498</v>
      </c>
      <c r="AG5526">
        <v>-1.10986728451099</v>
      </c>
      <c r="AH5526">
        <v>19.033032274869498</v>
      </c>
      <c r="AI5526">
        <v>93.263832547988898</v>
      </c>
      <c r="AJ5526">
        <v>77.942969306607196</v>
      </c>
      <c r="AK5526">
        <v>19.493989030556801</v>
      </c>
      <c r="AL5526">
        <v>79.710605708401204</v>
      </c>
      <c r="AM5526">
        <v>78.860330535403406</v>
      </c>
      <c r="AN5526">
        <v>1.0000000533222899</v>
      </c>
    </row>
    <row r="5527" spans="1:40" x14ac:dyDescent="0.25">
      <c r="A5527" t="str">
        <f>"20190312164419274"</f>
        <v>20190312164419274</v>
      </c>
      <c r="B5527" t="str">
        <f>"1552380259270698"</f>
        <v>1552380259270698</v>
      </c>
      <c r="C5527" t="s">
        <v>40</v>
      </c>
      <c r="D5527">
        <v>4.9745019999999904</v>
      </c>
      <c r="E5527">
        <v>0.51168579999999997</v>
      </c>
      <c r="F5527" t="s">
        <v>42</v>
      </c>
      <c r="G5527">
        <v>-184.25049999999999</v>
      </c>
      <c r="H5527" s="1">
        <v>-2.7402469999999999E-6</v>
      </c>
      <c r="I5527">
        <v>103.2051</v>
      </c>
      <c r="J5527">
        <v>-188.1677</v>
      </c>
      <c r="K5527">
        <v>1.109872</v>
      </c>
      <c r="L5527">
        <v>83.26352</v>
      </c>
      <c r="M5527">
        <v>-1.6071950000000002E-2</v>
      </c>
      <c r="N5527">
        <v>0</v>
      </c>
      <c r="O5527">
        <v>0.99976299999999996</v>
      </c>
      <c r="P5527">
        <v>0.1759877</v>
      </c>
      <c r="Q5527">
        <v>0.16476270000000001</v>
      </c>
      <c r="R5527">
        <v>0.97050579999999997</v>
      </c>
      <c r="S5527">
        <v>0.57807919999999902</v>
      </c>
      <c r="T5527">
        <v>-0.1640884</v>
      </c>
      <c r="U5527">
        <v>3.0140690000000001</v>
      </c>
      <c r="V5527">
        <v>0.19164210000000001</v>
      </c>
      <c r="W5527">
        <v>0.17887110000000001</v>
      </c>
      <c r="X5527">
        <v>0.96502770000000004</v>
      </c>
      <c r="Y5527">
        <v>0.20385420000000001</v>
      </c>
      <c r="Z5527">
        <v>-5.3294719999999997E-2</v>
      </c>
      <c r="AA5527">
        <v>0.97754960000000002</v>
      </c>
      <c r="AB5527">
        <v>46</v>
      </c>
      <c r="AC5527">
        <v>3.9171999999999998</v>
      </c>
      <c r="AD5527">
        <v>-1.1098747402469999</v>
      </c>
      <c r="AE5527">
        <v>19.941579999999998</v>
      </c>
      <c r="AF5527">
        <v>4.2246284525767104</v>
      </c>
      <c r="AG5527">
        <v>-1.1098747402469999</v>
      </c>
      <c r="AH5527">
        <v>19.816935118774101</v>
      </c>
      <c r="AI5527">
        <v>93.135272870355493</v>
      </c>
      <c r="AJ5527">
        <v>77.965678086246299</v>
      </c>
      <c r="AK5527">
        <v>20.292615036092801</v>
      </c>
      <c r="AL5527">
        <v>79.695988655814304</v>
      </c>
      <c r="AM5527">
        <v>78.767925534695095</v>
      </c>
      <c r="AN5527">
        <v>1.00000001333745</v>
      </c>
    </row>
    <row r="5528" spans="1:40" x14ac:dyDescent="0.25">
      <c r="A5528" t="str">
        <f>"20190312164419297"</f>
        <v>20190312164419297</v>
      </c>
      <c r="B5528" t="str">
        <f>"1552380259290217"</f>
        <v>1552380259290217</v>
      </c>
      <c r="C5528" t="s">
        <v>40</v>
      </c>
      <c r="D5528">
        <v>5.0306749999999996</v>
      </c>
      <c r="E5528">
        <v>0.51130909999999996</v>
      </c>
      <c r="F5528" t="s">
        <v>42</v>
      </c>
      <c r="G5528">
        <v>-184.28460000000001</v>
      </c>
      <c r="H5528" s="1">
        <v>-2.8038970000000001E-6</v>
      </c>
      <c r="I5528">
        <v>103.4187</v>
      </c>
      <c r="J5528">
        <v>-188.17490000000001</v>
      </c>
      <c r="K5528">
        <v>1.1098709999999901</v>
      </c>
      <c r="L5528">
        <v>83.717069999999893</v>
      </c>
      <c r="M5528">
        <v>-1.5938910000000001E-2</v>
      </c>
      <c r="N5528">
        <v>0</v>
      </c>
      <c r="O5528">
        <v>0.99976520000000002</v>
      </c>
      <c r="P5528">
        <v>0.1776326</v>
      </c>
      <c r="Q5528">
        <v>0.16527020000000001</v>
      </c>
      <c r="R5528">
        <v>0.97011979999999998</v>
      </c>
      <c r="S5528">
        <v>0.58068850000000005</v>
      </c>
      <c r="T5528">
        <v>-0.16597390000000001</v>
      </c>
      <c r="U5528">
        <v>3.0140690000000001</v>
      </c>
      <c r="V5528">
        <v>0.19315280000000001</v>
      </c>
      <c r="W5528">
        <v>0.17937030000000001</v>
      </c>
      <c r="X5528">
        <v>0.96463379999999999</v>
      </c>
      <c r="Y5528">
        <v>0.20453389999999999</v>
      </c>
      <c r="Z5528">
        <v>-5.3897279999999999E-2</v>
      </c>
      <c r="AA5528">
        <v>0.97737459999999998</v>
      </c>
      <c r="AB5528">
        <v>46</v>
      </c>
      <c r="AC5528">
        <v>3.8902999999999901</v>
      </c>
      <c r="AD5528">
        <v>-1.10987380389699</v>
      </c>
      <c r="AE5528">
        <v>19.701630000000002</v>
      </c>
      <c r="AF5528">
        <v>4.1910607156135002</v>
      </c>
      <c r="AG5528">
        <v>-1.10987380389699</v>
      </c>
      <c r="AH5528">
        <v>19.577315210677</v>
      </c>
      <c r="AI5528">
        <v>93.172988099427798</v>
      </c>
      <c r="AJ5528">
        <v>77.916655006657706</v>
      </c>
      <c r="AK5528">
        <v>20.051635360756499</v>
      </c>
      <c r="AL5528">
        <v>79.666916682237797</v>
      </c>
      <c r="AM5528">
        <v>78.677158527814996</v>
      </c>
      <c r="AN5528">
        <v>1.00000003838618</v>
      </c>
    </row>
    <row r="5529" spans="1:40" x14ac:dyDescent="0.25">
      <c r="A5529" t="str">
        <f>"20190312164419318"</f>
        <v>20190312164419318</v>
      </c>
      <c r="B5529" t="str">
        <f>"1552380259310714"</f>
        <v>1552380259310714</v>
      </c>
      <c r="C5529" t="s">
        <v>40</v>
      </c>
      <c r="D5529">
        <v>4.9769430000000003</v>
      </c>
      <c r="E5529">
        <v>0.48209659999999899</v>
      </c>
      <c r="F5529" t="s">
        <v>42</v>
      </c>
      <c r="G5529">
        <v>-184.19040000000001</v>
      </c>
      <c r="H5529" s="1">
        <v>-3.1389760000000001E-6</v>
      </c>
      <c r="I5529">
        <v>104.3297</v>
      </c>
      <c r="J5529">
        <v>-188.18190000000001</v>
      </c>
      <c r="K5529">
        <v>1.10988</v>
      </c>
      <c r="L5529">
        <v>84.162809999999993</v>
      </c>
      <c r="M5529">
        <v>-1.5805880000000001E-2</v>
      </c>
      <c r="N5529">
        <v>0</v>
      </c>
      <c r="O5529">
        <v>0.99976730000000003</v>
      </c>
      <c r="P5529">
        <v>0.17871679999999901</v>
      </c>
      <c r="Q5529">
        <v>0.1665412</v>
      </c>
      <c r="R5529">
        <v>0.96970319999999999</v>
      </c>
      <c r="S5529">
        <v>0.58248900000000003</v>
      </c>
      <c r="T5529">
        <v>-0.1622527</v>
      </c>
      <c r="U5529">
        <v>3.0133670000000001</v>
      </c>
      <c r="V5529">
        <v>0.194103</v>
      </c>
      <c r="W5529">
        <v>0.18063109999999999</v>
      </c>
      <c r="X5529">
        <v>0.96420760000000005</v>
      </c>
      <c r="Y5529">
        <v>0.20502100000000001</v>
      </c>
      <c r="Z5529">
        <v>-5.269886E-2</v>
      </c>
      <c r="AA5529">
        <v>0.97733780000000003</v>
      </c>
      <c r="AB5529">
        <v>46</v>
      </c>
      <c r="AC5529">
        <v>3.9914999999999998</v>
      </c>
      <c r="AD5529">
        <v>-1.109883138976</v>
      </c>
      <c r="AE5529">
        <v>20.166889999999999</v>
      </c>
      <c r="AF5529">
        <v>4.2972659825912602</v>
      </c>
      <c r="AG5529">
        <v>-1.109883138976</v>
      </c>
      <c r="AH5529">
        <v>20.0428560322576</v>
      </c>
      <c r="AI5529">
        <v>93.0992528005292</v>
      </c>
      <c r="AJ5529">
        <v>77.898770239722296</v>
      </c>
      <c r="AK5529">
        <v>20.5283806822926</v>
      </c>
      <c r="AL5529">
        <v>79.593477544324401</v>
      </c>
      <c r="AM5529">
        <v>78.618008293914102</v>
      </c>
      <c r="AN5529">
        <v>0.99999993239698204</v>
      </c>
    </row>
    <row r="5530" spans="1:40" x14ac:dyDescent="0.25">
      <c r="A5530" t="str">
        <f>"20190312164419341"</f>
        <v>20190312164419341</v>
      </c>
      <c r="B5530" t="str">
        <f>"1552380259330236"</f>
        <v>1552380259330236</v>
      </c>
      <c r="C5530" t="s">
        <v>40</v>
      </c>
      <c r="D5530">
        <v>5.0482809999999896</v>
      </c>
      <c r="E5530">
        <v>0.47346709999999897</v>
      </c>
      <c r="F5530" t="s">
        <v>42</v>
      </c>
      <c r="G5530">
        <v>-185.21709999999999</v>
      </c>
      <c r="H5530" s="1">
        <v>-5.0890080000000001E-6</v>
      </c>
      <c r="I5530">
        <v>109.5177</v>
      </c>
      <c r="J5530">
        <v>-188.18940000000001</v>
      </c>
      <c r="K5530">
        <v>1.1098730000000001</v>
      </c>
      <c r="L5530">
        <v>84.646180000000001</v>
      </c>
      <c r="M5530">
        <v>-1.5653429999999999E-2</v>
      </c>
      <c r="N5530">
        <v>0</v>
      </c>
      <c r="O5530">
        <v>0.99976969999999998</v>
      </c>
      <c r="P5530">
        <v>0.1797088</v>
      </c>
      <c r="Q5530">
        <v>0.1666445</v>
      </c>
      <c r="R5530">
        <v>0.96950219999999998</v>
      </c>
      <c r="S5530">
        <v>0.35675050000000003</v>
      </c>
      <c r="T5530">
        <v>-0.13355149999999999</v>
      </c>
      <c r="U5530">
        <v>3.0509339999999998</v>
      </c>
      <c r="V5530">
        <v>0.19494649999999999</v>
      </c>
      <c r="W5530">
        <v>0.1807272</v>
      </c>
      <c r="X5530">
        <v>0.96401950000000003</v>
      </c>
      <c r="Y5530">
        <v>0.13156579999999901</v>
      </c>
      <c r="Z5530">
        <v>-4.3386429999999997E-2</v>
      </c>
      <c r="AA5530">
        <v>0.9903575</v>
      </c>
      <c r="AB5530">
        <v>46</v>
      </c>
      <c r="AC5530">
        <v>2.9723000000000099</v>
      </c>
      <c r="AD5530">
        <v>-1.10987808900799</v>
      </c>
      <c r="AE5530">
        <v>24.87152</v>
      </c>
      <c r="AF5530">
        <v>3.35471598169234</v>
      </c>
      <c r="AG5530">
        <v>-1.10987808900799</v>
      </c>
      <c r="AH5530">
        <v>24.7733028228763</v>
      </c>
      <c r="AI5530">
        <v>92.542043671505098</v>
      </c>
      <c r="AJ5530">
        <v>82.288112376993894</v>
      </c>
      <c r="AK5530">
        <v>25.024038072305899</v>
      </c>
      <c r="AL5530">
        <v>79.587880285463399</v>
      </c>
      <c r="AM5530">
        <v>78.567674033066496</v>
      </c>
      <c r="AN5530">
        <v>1.00000002753116</v>
      </c>
    </row>
    <row r="5531" spans="1:40" x14ac:dyDescent="0.25">
      <c r="A5531" t="str">
        <f>"20190312164419364"</f>
        <v>20190312164419364</v>
      </c>
      <c r="B5531" t="str">
        <f>"1552380259360490"</f>
        <v>1552380259360490</v>
      </c>
      <c r="C5531" t="s">
        <v>40</v>
      </c>
      <c r="D5531">
        <v>5.0470280000000001</v>
      </c>
      <c r="E5531">
        <v>0.46962730000000003</v>
      </c>
      <c r="F5531" t="s">
        <v>42</v>
      </c>
      <c r="G5531">
        <v>-185.97720000000001</v>
      </c>
      <c r="H5531" s="1">
        <v>-4.2659689999999997E-6</v>
      </c>
      <c r="I5531">
        <v>107.9135</v>
      </c>
      <c r="J5531">
        <v>-188.19649999999999</v>
      </c>
      <c r="K5531">
        <v>1.1098619999999999</v>
      </c>
      <c r="L5531">
        <v>85.109189999999998</v>
      </c>
      <c r="M5531">
        <v>-1.5487020000000001E-2</v>
      </c>
      <c r="N5531">
        <v>0</v>
      </c>
      <c r="O5531">
        <v>0.99977229999999995</v>
      </c>
      <c r="P5531">
        <v>0.18086830000000001</v>
      </c>
      <c r="Q5531">
        <v>0.16648260000000001</v>
      </c>
      <c r="R5531">
        <v>0.96931429999999996</v>
      </c>
      <c r="S5531">
        <v>0.291458099999999</v>
      </c>
      <c r="T5531">
        <v>-0.14622739999999901</v>
      </c>
      <c r="U5531">
        <v>3.0654910000000002</v>
      </c>
      <c r="V5531">
        <v>0.19594710000000001</v>
      </c>
      <c r="W5531">
        <v>0.18055460000000001</v>
      </c>
      <c r="X5531">
        <v>0.96384890000000001</v>
      </c>
      <c r="Y5531">
        <v>0.1099517</v>
      </c>
      <c r="Z5531">
        <v>-4.7387310000000002E-2</v>
      </c>
      <c r="AA5531">
        <v>0.99280670000000004</v>
      </c>
      <c r="AB5531">
        <v>46</v>
      </c>
      <c r="AC5531">
        <v>2.2192999999999699</v>
      </c>
      <c r="AD5531">
        <v>-1.109866265969</v>
      </c>
      <c r="AE5531">
        <v>22.804310000000001</v>
      </c>
      <c r="AF5531">
        <v>2.5662211041863898</v>
      </c>
      <c r="AG5531">
        <v>-1.109866265969</v>
      </c>
      <c r="AH5531">
        <v>22.713903102350301</v>
      </c>
      <c r="AI5531">
        <v>92.7797538604257</v>
      </c>
      <c r="AJ5531">
        <v>83.554045678454898</v>
      </c>
      <c r="AK5531">
        <v>22.885337839474101</v>
      </c>
      <c r="AL5531">
        <v>79.597934295540995</v>
      </c>
      <c r="AM5531">
        <v>78.508572548537998</v>
      </c>
      <c r="AN5531">
        <v>0.99999996580538897</v>
      </c>
    </row>
    <row r="5532" spans="1:40" x14ac:dyDescent="0.25">
      <c r="A5532" t="str">
        <f>"20190312164419386"</f>
        <v>20190312164419386</v>
      </c>
      <c r="B5532" t="str">
        <f>"1552380259380986"</f>
        <v>1552380259380986</v>
      </c>
      <c r="C5532" t="s">
        <v>40</v>
      </c>
      <c r="D5532">
        <v>5.054163</v>
      </c>
      <c r="E5532">
        <v>0.46838649999999998</v>
      </c>
      <c r="F5532" t="s">
        <v>42</v>
      </c>
      <c r="G5532">
        <v>-186.1283</v>
      </c>
      <c r="H5532" s="1">
        <v>-4.7036780000000002E-6</v>
      </c>
      <c r="I5532">
        <v>108.9962</v>
      </c>
      <c r="J5532">
        <v>-188.20339999999999</v>
      </c>
      <c r="K5532">
        <v>1.109847</v>
      </c>
      <c r="L5532">
        <v>85.563779999999994</v>
      </c>
      <c r="M5532">
        <v>-1.5302799999999899E-2</v>
      </c>
      <c r="N5532">
        <v>0</v>
      </c>
      <c r="O5532">
        <v>0.99977519999999998</v>
      </c>
      <c r="P5532">
        <v>0.18197379999999999</v>
      </c>
      <c r="Q5532">
        <v>0.16645889999999999</v>
      </c>
      <c r="R5532">
        <v>0.96911139999999996</v>
      </c>
      <c r="S5532">
        <v>0.26580809999999999</v>
      </c>
      <c r="T5532">
        <v>-0.1426364</v>
      </c>
      <c r="U5532">
        <v>3.0698850000000002</v>
      </c>
      <c r="V5532">
        <v>0.19687869999999999</v>
      </c>
      <c r="W5532">
        <v>0.1805176</v>
      </c>
      <c r="X5532">
        <v>0.96366600000000002</v>
      </c>
      <c r="Y5532">
        <v>0.1014081</v>
      </c>
      <c r="Z5532">
        <v>-4.6198999999999997E-2</v>
      </c>
      <c r="AA5532">
        <v>0.99377159999999998</v>
      </c>
      <c r="AB5532">
        <v>46</v>
      </c>
      <c r="AC5532">
        <v>2.0750999999999902</v>
      </c>
      <c r="AD5532">
        <v>-1.109851703678</v>
      </c>
      <c r="AE5532">
        <v>23.43242</v>
      </c>
      <c r="AF5532">
        <v>2.42807260771044</v>
      </c>
      <c r="AG5532">
        <v>-1.109851703678</v>
      </c>
      <c r="AH5532">
        <v>23.345951894757199</v>
      </c>
      <c r="AI5532">
        <v>92.707175513174604</v>
      </c>
      <c r="AJ5532">
        <v>84.062356619039605</v>
      </c>
      <c r="AK5532">
        <v>23.498101567249801</v>
      </c>
      <c r="AL5532">
        <v>79.600089941421302</v>
      </c>
      <c r="AM5532">
        <v>78.453269502380294</v>
      </c>
      <c r="AN5532">
        <v>0.99999999298972497</v>
      </c>
    </row>
    <row r="5533" spans="1:40" x14ac:dyDescent="0.25">
      <c r="A5533" t="str">
        <f>"20190312164419408"</f>
        <v>20190312164419408</v>
      </c>
      <c r="B5533" t="str">
        <f>"1552380259400505"</f>
        <v>1552380259400505</v>
      </c>
      <c r="C5533" t="s">
        <v>40</v>
      </c>
      <c r="D5533">
        <v>5.0716390000000002</v>
      </c>
      <c r="E5533">
        <v>0.46818799999999999</v>
      </c>
      <c r="F5533" t="s">
        <v>42</v>
      </c>
      <c r="G5533">
        <v>-186.24289999999999</v>
      </c>
      <c r="H5533" s="1">
        <v>-4.6169940000000003E-6</v>
      </c>
      <c r="I5533">
        <v>108.8416</v>
      </c>
      <c r="J5533">
        <v>-188.21010000000001</v>
      </c>
      <c r="K5533">
        <v>1.1098250000000001</v>
      </c>
      <c r="L5533">
        <v>86.010310000000004</v>
      </c>
      <c r="M5533">
        <v>-1.5089389999999999E-2</v>
      </c>
      <c r="N5533">
        <v>0</v>
      </c>
      <c r="O5533">
        <v>0.99977850000000001</v>
      </c>
      <c r="P5533">
        <v>0.1831816</v>
      </c>
      <c r="Q5533">
        <v>0.1665539</v>
      </c>
      <c r="R5533">
        <v>0.96886749999999999</v>
      </c>
      <c r="S5533">
        <v>0.25874330000000001</v>
      </c>
      <c r="T5533">
        <v>-0.1464781</v>
      </c>
      <c r="U5533">
        <v>3.0722049999999999</v>
      </c>
      <c r="V5533">
        <v>0.19788710000000001</v>
      </c>
      <c r="W5533">
        <v>0.18059500000000001</v>
      </c>
      <c r="X5533">
        <v>0.96344490000000005</v>
      </c>
      <c r="Y5533">
        <v>9.885737E-2</v>
      </c>
      <c r="Z5533">
        <v>-4.7415850000000002E-2</v>
      </c>
      <c r="AA5533">
        <v>0.9939713</v>
      </c>
      <c r="AB5533">
        <v>46</v>
      </c>
      <c r="AC5533">
        <v>1.96720000000002</v>
      </c>
      <c r="AD5533">
        <v>-1.1098296169939901</v>
      </c>
      <c r="AE5533">
        <v>22.831289999999999</v>
      </c>
      <c r="AF5533">
        <v>2.3061142674285602</v>
      </c>
      <c r="AG5533">
        <v>-1.1098296169939901</v>
      </c>
      <c r="AH5533">
        <v>22.745652604320799</v>
      </c>
      <c r="AI5533">
        <v>92.779194943732193</v>
      </c>
      <c r="AJ5533">
        <v>84.210733331841496</v>
      </c>
      <c r="AK5533">
        <v>22.8891807889588</v>
      </c>
      <c r="AL5533">
        <v>79.595580869441605</v>
      </c>
      <c r="AM5533">
        <v>78.393137273137896</v>
      </c>
      <c r="AN5533">
        <v>0.99999996685370895</v>
      </c>
    </row>
    <row r="5534" spans="1:40" x14ac:dyDescent="0.25">
      <c r="A5534" t="str">
        <f>"20190312164419431"</f>
        <v>20190312164419431</v>
      </c>
      <c r="B5534" t="str">
        <f>"1552380259421001"</f>
        <v>1552380259421001</v>
      </c>
      <c r="C5534" t="s">
        <v>40</v>
      </c>
      <c r="D5534">
        <v>5.8775230000000001</v>
      </c>
      <c r="E5534">
        <v>0.46778740000000002</v>
      </c>
      <c r="F5534" t="s">
        <v>42</v>
      </c>
      <c r="G5534">
        <v>-186.2467</v>
      </c>
      <c r="H5534" s="1">
        <v>-4.7431399999999998E-6</v>
      </c>
      <c r="I5534">
        <v>109.13720000000001</v>
      </c>
      <c r="J5534">
        <v>-188.21709999999999</v>
      </c>
      <c r="K5534">
        <v>1.109788</v>
      </c>
      <c r="L5534">
        <v>86.488309999999998</v>
      </c>
      <c r="M5534">
        <v>-1.480736E-2</v>
      </c>
      <c r="N5534">
        <v>0</v>
      </c>
      <c r="O5534">
        <v>0.99978270000000002</v>
      </c>
      <c r="P5534">
        <v>0.18425140000000001</v>
      </c>
      <c r="Q5534">
        <v>0.16681360000000001</v>
      </c>
      <c r="R5534">
        <v>0.96862000000000004</v>
      </c>
      <c r="S5534">
        <v>0.2608337</v>
      </c>
      <c r="T5534">
        <v>-0.147441299999999</v>
      </c>
      <c r="U5534">
        <v>3.0724179999999999</v>
      </c>
      <c r="V5534">
        <v>0.19869790000000001</v>
      </c>
      <c r="W5534">
        <v>0.18082989999999999</v>
      </c>
      <c r="X5534">
        <v>0.96323389999999998</v>
      </c>
      <c r="Y5534">
        <v>9.9241129999999997E-2</v>
      </c>
      <c r="Z5534">
        <v>-4.7721659999999999E-2</v>
      </c>
      <c r="AA5534">
        <v>0.99391839999999998</v>
      </c>
      <c r="AB5534">
        <v>46</v>
      </c>
      <c r="AC5534">
        <v>1.9703999999999799</v>
      </c>
      <c r="AD5534">
        <v>-1.1097927431399901</v>
      </c>
      <c r="AE5534">
        <v>22.648890000000002</v>
      </c>
      <c r="AF5534">
        <v>2.3001092541835999</v>
      </c>
      <c r="AG5534">
        <v>-1.1097927431399901</v>
      </c>
      <c r="AH5534">
        <v>22.563459151243698</v>
      </c>
      <c r="AI5534">
        <v>92.801352095435604</v>
      </c>
      <c r="AJ5534">
        <v>84.179399411422196</v>
      </c>
      <c r="AK5534">
        <v>22.7075280773524</v>
      </c>
      <c r="AL5534">
        <v>79.581896377157307</v>
      </c>
      <c r="AM5534">
        <v>78.344395942686205</v>
      </c>
      <c r="AN5534">
        <v>0.99999992715381203</v>
      </c>
    </row>
    <row r="5535" spans="1:40" x14ac:dyDescent="0.25">
      <c r="A5535" t="str">
        <f>"20190312164419456"</f>
        <v>20190312164419456</v>
      </c>
      <c r="B5535" t="str">
        <f>"1552380259450281"</f>
        <v>1552380259450281</v>
      </c>
      <c r="C5535" t="s">
        <v>40</v>
      </c>
      <c r="D5535">
        <v>5.1484050000000003</v>
      </c>
      <c r="E5535">
        <v>0.46759430000000002</v>
      </c>
      <c r="F5535" t="s">
        <v>42</v>
      </c>
      <c r="G5535">
        <v>-186.21299999999999</v>
      </c>
      <c r="H5535" s="1">
        <v>-1.1314530000000001E-6</v>
      </c>
      <c r="I5535">
        <v>110.0119</v>
      </c>
      <c r="J5535">
        <v>-188.22409999999999</v>
      </c>
      <c r="K5535">
        <v>1.1097319999999999</v>
      </c>
      <c r="L5535">
        <v>86.988309999999998</v>
      </c>
      <c r="M5535">
        <v>-1.4434779999999999E-2</v>
      </c>
      <c r="N5535">
        <v>0</v>
      </c>
      <c r="O5535">
        <v>0.99978820000000002</v>
      </c>
      <c r="P5535">
        <v>0.1860279</v>
      </c>
      <c r="Q5535">
        <v>0.16682259999999999</v>
      </c>
      <c r="R5535">
        <v>0.9682788</v>
      </c>
      <c r="S5535">
        <v>0.26174930000000002</v>
      </c>
      <c r="T5535">
        <v>-0.14494670000000001</v>
      </c>
      <c r="U5535">
        <v>3.0723569999999998</v>
      </c>
      <c r="V5535">
        <v>0.2001346</v>
      </c>
      <c r="W5535">
        <v>0.18080370000000001</v>
      </c>
      <c r="X5535">
        <v>0.96294139999999995</v>
      </c>
      <c r="Y5535">
        <v>9.9169279999999999E-2</v>
      </c>
      <c r="Z5535">
        <v>-4.6916949999999999E-2</v>
      </c>
      <c r="AA5535">
        <v>0.99396390000000001</v>
      </c>
      <c r="AB5535">
        <v>46</v>
      </c>
      <c r="AC5535">
        <v>2.0110999999999901</v>
      </c>
      <c r="AD5535">
        <v>-1.1097331314529999</v>
      </c>
      <c r="AE5535">
        <v>23.023589999999999</v>
      </c>
      <c r="AF5535">
        <v>2.3378763633747801</v>
      </c>
      <c r="AG5535">
        <v>-1.1097331314529999</v>
      </c>
      <c r="AH5535">
        <v>22.939268311343501</v>
      </c>
      <c r="AI5535">
        <v>92.755388243684607</v>
      </c>
      <c r="AJ5535">
        <v>84.1807410181938</v>
      </c>
      <c r="AK5535">
        <v>23.0847829570321</v>
      </c>
      <c r="AL5535">
        <v>79.583423325420995</v>
      </c>
      <c r="AM5535">
        <v>78.258982994602206</v>
      </c>
      <c r="AN5535">
        <v>0.99999998794240397</v>
      </c>
    </row>
    <row r="5536" spans="1:40" x14ac:dyDescent="0.25">
      <c r="A5536" t="str">
        <f>"20190312164419476"</f>
        <v>20190312164419476</v>
      </c>
      <c r="B5536" t="str">
        <f>"1552380259470777"</f>
        <v>1552380259470777</v>
      </c>
      <c r="C5536" t="s">
        <v>40</v>
      </c>
      <c r="D5536">
        <v>5.0781140000000002</v>
      </c>
      <c r="E5536">
        <v>0.46757179999999998</v>
      </c>
      <c r="F5536" t="s">
        <v>42</v>
      </c>
      <c r="G5536">
        <v>-186.1763</v>
      </c>
      <c r="H5536" s="1">
        <v>-1.36913999999999E-6</v>
      </c>
      <c r="I5536">
        <v>110.68170000000001</v>
      </c>
      <c r="J5536">
        <v>-188.22989999999999</v>
      </c>
      <c r="K5536">
        <v>1.1096729999999999</v>
      </c>
      <c r="L5536">
        <v>87.412049999999994</v>
      </c>
      <c r="M5536">
        <v>-1.4036369999999999E-2</v>
      </c>
      <c r="N5536">
        <v>0</v>
      </c>
      <c r="O5536">
        <v>0.99979390000000001</v>
      </c>
      <c r="P5536">
        <v>0.1877624</v>
      </c>
      <c r="Q5536">
        <v>0.1665942</v>
      </c>
      <c r="R5536">
        <v>0.96798329999999999</v>
      </c>
      <c r="S5536">
        <v>0.26551819999999998</v>
      </c>
      <c r="T5536">
        <v>-0.1438864</v>
      </c>
      <c r="U5536">
        <v>3.0720519999999998</v>
      </c>
      <c r="V5536">
        <v>0.2015084</v>
      </c>
      <c r="W5536">
        <v>0.1805368</v>
      </c>
      <c r="X5536">
        <v>0.96270500000000003</v>
      </c>
      <c r="Y5536">
        <v>9.9992979999999995E-2</v>
      </c>
      <c r="Z5536">
        <v>-4.6575159999999997E-2</v>
      </c>
      <c r="AA5536">
        <v>0.99389740000000004</v>
      </c>
      <c r="AB5536">
        <v>46</v>
      </c>
      <c r="AC5536">
        <v>2.0535999999999799</v>
      </c>
      <c r="AD5536">
        <v>-1.1096743691399999</v>
      </c>
      <c r="AE5536">
        <v>23.269649999999999</v>
      </c>
      <c r="AF5536">
        <v>2.37469562068283</v>
      </c>
      <c r="AG5536">
        <v>-1.1096743691399999</v>
      </c>
      <c r="AH5536">
        <v>23.186208428869602</v>
      </c>
      <c r="AI5536">
        <v>92.725804598059796</v>
      </c>
      <c r="AJ5536">
        <v>84.152244715353007</v>
      </c>
      <c r="AK5536">
        <v>23.333898469895701</v>
      </c>
      <c r="AL5536">
        <v>79.598972025049704</v>
      </c>
      <c r="AM5536">
        <v>78.177827184589106</v>
      </c>
      <c r="AN5536">
        <v>1.00000004422489</v>
      </c>
    </row>
    <row r="5537" spans="1:40" x14ac:dyDescent="0.25">
      <c r="A5537" t="str">
        <f>"20190312164419498"</f>
        <v>20190312164419498</v>
      </c>
      <c r="B5537" t="str">
        <f>"1552380259490298"</f>
        <v>1552380259490298</v>
      </c>
      <c r="C5537" t="s">
        <v>40</v>
      </c>
      <c r="D5537">
        <v>5.0362349999999996</v>
      </c>
      <c r="E5537">
        <v>0.46751579999999898</v>
      </c>
      <c r="F5537" t="s">
        <v>42</v>
      </c>
      <c r="G5537">
        <v>-186.16489999999999</v>
      </c>
      <c r="H5537" s="1">
        <v>-1.437936E-6</v>
      </c>
      <c r="I5537">
        <v>110.875</v>
      </c>
      <c r="J5537">
        <v>-188.23570000000001</v>
      </c>
      <c r="K5537">
        <v>1.109586</v>
      </c>
      <c r="L5537">
        <v>87.856290000000001</v>
      </c>
      <c r="M5537">
        <v>-1.352154E-2</v>
      </c>
      <c r="N5537">
        <v>0</v>
      </c>
      <c r="O5537">
        <v>0.99980100000000005</v>
      </c>
      <c r="P5537">
        <v>0.1897788</v>
      </c>
      <c r="Q5537">
        <v>0.16585059999999999</v>
      </c>
      <c r="R5537">
        <v>0.96771770000000001</v>
      </c>
      <c r="S5537">
        <v>0.27035520000000002</v>
      </c>
      <c r="T5537">
        <v>-0.1452792</v>
      </c>
      <c r="U5537">
        <v>3.071777</v>
      </c>
      <c r="V5537">
        <v>0.2030604</v>
      </c>
      <c r="W5537">
        <v>0.17974509999999999</v>
      </c>
      <c r="X5537">
        <v>0.96252700000000002</v>
      </c>
      <c r="Y5537">
        <v>0.10103959999999999</v>
      </c>
      <c r="Z5537">
        <v>-4.7023959999999997E-2</v>
      </c>
      <c r="AA5537">
        <v>0.9937705</v>
      </c>
      <c r="AB5537">
        <v>46</v>
      </c>
      <c r="AC5537">
        <v>2.0708000000000202</v>
      </c>
      <c r="AD5537">
        <v>-1.109587437936</v>
      </c>
      <c r="AE5537">
        <v>23.018709999999999</v>
      </c>
      <c r="AF5537">
        <v>2.37641503427936</v>
      </c>
      <c r="AG5537">
        <v>-1.109587437936</v>
      </c>
      <c r="AH5537">
        <v>22.935736157128101</v>
      </c>
      <c r="AI5537">
        <v>92.754976236393901</v>
      </c>
      <c r="AJ5537">
        <v>84.084583745941302</v>
      </c>
      <c r="AK5537">
        <v>23.085201445232499</v>
      </c>
      <c r="AL5537">
        <v>79.645087318111806</v>
      </c>
      <c r="AM5537">
        <v>78.087225259761595</v>
      </c>
      <c r="AN5537">
        <v>1.0000000263755799</v>
      </c>
    </row>
    <row r="5538" spans="1:40" x14ac:dyDescent="0.25">
      <c r="A5538" t="str">
        <f>"20190312164419519"</f>
        <v>20190312164419519</v>
      </c>
      <c r="B5538" t="str">
        <f>"1552380259510794"</f>
        <v>1552380259510794</v>
      </c>
      <c r="C5538" t="s">
        <v>40</v>
      </c>
      <c r="D5538">
        <v>5.1615279999999997</v>
      </c>
      <c r="E5538">
        <v>0.46742840000000002</v>
      </c>
      <c r="F5538" t="s">
        <v>42</v>
      </c>
      <c r="G5538">
        <v>-186.17519999999999</v>
      </c>
      <c r="H5538" s="1">
        <v>-1.421045E-6</v>
      </c>
      <c r="I5538">
        <v>110.83329999999999</v>
      </c>
      <c r="J5538">
        <v>-188.2413</v>
      </c>
      <c r="K5538">
        <v>1.1094759999999999</v>
      </c>
      <c r="L5538">
        <v>88.305149999999998</v>
      </c>
      <c r="M5538">
        <v>-1.288888E-2</v>
      </c>
      <c r="N5538">
        <v>0</v>
      </c>
      <c r="O5538">
        <v>0.99980939999999996</v>
      </c>
      <c r="P5538">
        <v>0.19218869999999999</v>
      </c>
      <c r="Q5538">
        <v>0.1652854</v>
      </c>
      <c r="R5538">
        <v>0.9673387</v>
      </c>
      <c r="S5538">
        <v>0.27545170000000002</v>
      </c>
      <c r="T5538">
        <v>-0.1483264</v>
      </c>
      <c r="U5538">
        <v>3.0715029999999999</v>
      </c>
      <c r="V5538">
        <v>0.2048982</v>
      </c>
      <c r="W5538">
        <v>0.17912120000000001</v>
      </c>
      <c r="X5538">
        <v>0.96225380000000005</v>
      </c>
      <c r="Y5538">
        <v>0.1020496</v>
      </c>
      <c r="Z5538">
        <v>-4.8006899999999998E-2</v>
      </c>
      <c r="AA5538">
        <v>0.99362030000000001</v>
      </c>
      <c r="AB5538">
        <v>46</v>
      </c>
      <c r="AC5538">
        <v>2.0661</v>
      </c>
      <c r="AD5538">
        <v>-1.109477421045</v>
      </c>
      <c r="AE5538">
        <v>22.52815</v>
      </c>
      <c r="AF5538">
        <v>2.3506683996553401</v>
      </c>
      <c r="AG5538">
        <v>-1.109477421045</v>
      </c>
      <c r="AH5538">
        <v>22.4456597792434</v>
      </c>
      <c r="AI5538">
        <v>92.814430798035502</v>
      </c>
      <c r="AJ5538">
        <v>84.021374152744499</v>
      </c>
      <c r="AK5538">
        <v>22.5956682795285</v>
      </c>
      <c r="AL5538">
        <v>79.681423888561994</v>
      </c>
      <c r="AM5538">
        <v>77.979216834245506</v>
      </c>
      <c r="AN5538">
        <v>1.00000002613355</v>
      </c>
    </row>
    <row r="5539" spans="1:40" x14ac:dyDescent="0.25">
      <c r="A5539" t="str">
        <f>"20190312164419543"</f>
        <v>20190312164419543</v>
      </c>
      <c r="B5539" t="str">
        <f>"1552380259530317"</f>
        <v>1552380259530317</v>
      </c>
      <c r="C5539" t="s">
        <v>40</v>
      </c>
      <c r="D5539">
        <v>5.5255140000000003</v>
      </c>
      <c r="E5539">
        <v>0.4673291</v>
      </c>
      <c r="F5539" t="s">
        <v>42</v>
      </c>
      <c r="G5539">
        <v>-186.17590000000001</v>
      </c>
      <c r="H5539" s="1">
        <v>-1.4375959999999999E-6</v>
      </c>
      <c r="I5539">
        <v>110.8826</v>
      </c>
      <c r="J5539">
        <v>-188.2465</v>
      </c>
      <c r="K5539">
        <v>1.109361</v>
      </c>
      <c r="L5539">
        <v>88.758790000000005</v>
      </c>
      <c r="M5539">
        <v>-1.212033E-2</v>
      </c>
      <c r="N5539">
        <v>0</v>
      </c>
      <c r="O5539">
        <v>0.99981900000000001</v>
      </c>
      <c r="P5539">
        <v>0.19458520000000001</v>
      </c>
      <c r="Q5539">
        <v>0.1648308</v>
      </c>
      <c r="R5539">
        <v>0.96693709999999999</v>
      </c>
      <c r="S5539">
        <v>0.28096009999999999</v>
      </c>
      <c r="T5539">
        <v>-0.150924799999999</v>
      </c>
      <c r="U5539">
        <v>3.071259</v>
      </c>
      <c r="V5539">
        <v>0.2065978</v>
      </c>
      <c r="W5539">
        <v>0.1786005</v>
      </c>
      <c r="X5539">
        <v>0.96198709999999998</v>
      </c>
      <c r="Y5539">
        <v>0.1030558</v>
      </c>
      <c r="Z5539">
        <v>-4.8843980000000002E-2</v>
      </c>
      <c r="AA5539">
        <v>0.99347560000000001</v>
      </c>
      <c r="AB5539">
        <v>46</v>
      </c>
      <c r="AC5539">
        <v>2.0705999999999798</v>
      </c>
      <c r="AD5539">
        <v>-1.1093624375960001</v>
      </c>
      <c r="AE5539">
        <v>22.123809999999899</v>
      </c>
      <c r="AF5539">
        <v>2.3328100040700899</v>
      </c>
      <c r="AG5539">
        <v>-1.1093624375960001</v>
      </c>
      <c r="AH5539">
        <v>22.0421449222987</v>
      </c>
      <c r="AI5539">
        <v>92.865241841546506</v>
      </c>
      <c r="AJ5539">
        <v>83.958643344512097</v>
      </c>
      <c r="AK5539">
        <v>22.1929907923348</v>
      </c>
      <c r="AL5539">
        <v>79.711746348762404</v>
      </c>
      <c r="AM5539">
        <v>77.879181332182299</v>
      </c>
      <c r="AN5539">
        <v>0.99999998506574905</v>
      </c>
    </row>
    <row r="5540" spans="1:40" x14ac:dyDescent="0.25">
      <c r="A5540" t="str">
        <f>"20190312164419563"</f>
        <v>20190312164419563</v>
      </c>
      <c r="B5540" t="str">
        <f>"1552380259560570"</f>
        <v>1552380259560570</v>
      </c>
      <c r="C5540" t="s">
        <v>40</v>
      </c>
      <c r="D5540">
        <v>5.2022930000000001</v>
      </c>
      <c r="E5540">
        <v>0.46682180000000001</v>
      </c>
      <c r="F5540" t="s">
        <v>42</v>
      </c>
      <c r="G5540">
        <v>-186.16120000000001</v>
      </c>
      <c r="H5540" s="1">
        <v>-1.484105E-6</v>
      </c>
      <c r="I5540">
        <v>111.0077</v>
      </c>
      <c r="J5540">
        <v>-188.251</v>
      </c>
      <c r="K5540">
        <v>1.1092439999999999</v>
      </c>
      <c r="L5540">
        <v>89.187559999999905</v>
      </c>
      <c r="M5540">
        <v>-1.126971E-2</v>
      </c>
      <c r="N5540">
        <v>0</v>
      </c>
      <c r="O5540">
        <v>0.99982910000000003</v>
      </c>
      <c r="P5540">
        <v>0.1978067</v>
      </c>
      <c r="Q5540">
        <v>0.1647304</v>
      </c>
      <c r="R5540">
        <v>0.96630039999999995</v>
      </c>
      <c r="S5540">
        <v>0.28781129999999999</v>
      </c>
      <c r="T5540">
        <v>-0.15311129999999901</v>
      </c>
      <c r="U5540">
        <v>3.0707399999999998</v>
      </c>
      <c r="V5540">
        <v>0.2090427</v>
      </c>
      <c r="W5540">
        <v>0.17842729999999901</v>
      </c>
      <c r="X5540">
        <v>0.96149090000000004</v>
      </c>
      <c r="Y5540">
        <v>0.1044192</v>
      </c>
      <c r="Z5540">
        <v>-4.9550320000000002E-2</v>
      </c>
      <c r="AA5540">
        <v>0.99329820000000002</v>
      </c>
      <c r="AB5540">
        <v>46</v>
      </c>
      <c r="AC5540">
        <v>2.0897999999999599</v>
      </c>
      <c r="AD5540">
        <v>-1.1092454841049999</v>
      </c>
      <c r="AE5540">
        <v>21.820139999999999</v>
      </c>
      <c r="AF5540">
        <v>2.32963460201151</v>
      </c>
      <c r="AG5540">
        <v>-1.1092454841049999</v>
      </c>
      <c r="AH5540">
        <v>21.739529563064501</v>
      </c>
      <c r="AI5540">
        <v>92.904347337371703</v>
      </c>
      <c r="AJ5540">
        <v>83.883456023073705</v>
      </c>
      <c r="AK5540">
        <v>21.892116584429498</v>
      </c>
      <c r="AL5540">
        <v>79.721831628627896</v>
      </c>
      <c r="AM5540">
        <v>77.733921008704499</v>
      </c>
      <c r="AN5540">
        <v>0.99999995129569297</v>
      </c>
    </row>
    <row r="5541" spans="1:40" x14ac:dyDescent="0.25">
      <c r="A5541" t="str">
        <f>"20190312164419584"</f>
        <v>20190312164419584</v>
      </c>
      <c r="B5541" t="str">
        <f>"1552380259581066"</f>
        <v>1552380259581066</v>
      </c>
      <c r="C5541" t="s">
        <v>40</v>
      </c>
      <c r="D5541">
        <v>5.091939</v>
      </c>
      <c r="E5541">
        <v>0.46660629999999997</v>
      </c>
      <c r="F5541" t="s">
        <v>42</v>
      </c>
      <c r="G5541">
        <v>-186.2321</v>
      </c>
      <c r="H5541" s="1">
        <v>-1.2269150000000001E-6</v>
      </c>
      <c r="I5541">
        <v>110.3074</v>
      </c>
      <c r="J5541">
        <v>-188.25530000000001</v>
      </c>
      <c r="K5541">
        <v>1.109119</v>
      </c>
      <c r="L5541">
        <v>89.635279999999995</v>
      </c>
      <c r="M5541">
        <v>-1.0269530000000001E-2</v>
      </c>
      <c r="N5541">
        <v>0</v>
      </c>
      <c r="O5541">
        <v>0.99983979999999995</v>
      </c>
      <c r="P5541">
        <v>0.20150799999999999</v>
      </c>
      <c r="Q5541">
        <v>0.16403229999999999</v>
      </c>
      <c r="R5541">
        <v>0.96565409999999996</v>
      </c>
      <c r="S5541">
        <v>0.29367070000000001</v>
      </c>
      <c r="T5541">
        <v>-0.1613473</v>
      </c>
      <c r="U5541">
        <v>3.0720209999999999</v>
      </c>
      <c r="V5541">
        <v>0.21182400000000001</v>
      </c>
      <c r="W5541">
        <v>0.17765220000000001</v>
      </c>
      <c r="X5541">
        <v>0.96102569999999998</v>
      </c>
      <c r="Y5541">
        <v>0.1052507</v>
      </c>
      <c r="Z5541">
        <v>-5.2180799999999999E-2</v>
      </c>
      <c r="AA5541">
        <v>0.99307570000000001</v>
      </c>
      <c r="AB5541">
        <v>46</v>
      </c>
      <c r="AC5541">
        <v>2.0232000000000001</v>
      </c>
      <c r="AD5541">
        <v>-1.109120226915</v>
      </c>
      <c r="AE5541">
        <v>20.67212</v>
      </c>
      <c r="AF5541">
        <v>2.2290532999988701</v>
      </c>
      <c r="AG5541">
        <v>-1.109120226915</v>
      </c>
      <c r="AH5541">
        <v>20.591536911117402</v>
      </c>
      <c r="AI5541">
        <v>93.065265416977397</v>
      </c>
      <c r="AJ5541">
        <v>83.821735702764897</v>
      </c>
      <c r="AK5541">
        <v>20.741509555813401</v>
      </c>
      <c r="AL5541">
        <v>79.766963693719603</v>
      </c>
      <c r="AM5541">
        <v>77.569930686296402</v>
      </c>
      <c r="AN5541">
        <v>1.0000000536006599</v>
      </c>
    </row>
    <row r="5542" spans="1:40" x14ac:dyDescent="0.25">
      <c r="A5542" t="str">
        <f>"20190312164419609"</f>
        <v>20190312164419609</v>
      </c>
      <c r="B5542" t="str">
        <f>"1552380259600586"</f>
        <v>1552380259600586</v>
      </c>
      <c r="C5542" t="s">
        <v>40</v>
      </c>
      <c r="D5542">
        <v>5.1485059999999896</v>
      </c>
      <c r="E5542">
        <v>0.46658690000000003</v>
      </c>
      <c r="F5542" t="s">
        <v>42</v>
      </c>
      <c r="G5542">
        <v>-186.22329999999999</v>
      </c>
      <c r="H5542" s="1">
        <v>-1.2110459999999999E-6</v>
      </c>
      <c r="I5542">
        <v>110.2539</v>
      </c>
      <c r="J5542">
        <v>-188.2593</v>
      </c>
      <c r="K5542">
        <v>1.108989</v>
      </c>
      <c r="L5542">
        <v>90.126919999999998</v>
      </c>
      <c r="M5542">
        <v>-9.0398430000000005E-3</v>
      </c>
      <c r="N5542">
        <v>0</v>
      </c>
      <c r="O5542">
        <v>0.99985170000000001</v>
      </c>
      <c r="P5542">
        <v>0.20614440000000001</v>
      </c>
      <c r="Q5542">
        <v>0.1636715</v>
      </c>
      <c r="R5542">
        <v>0.96473629999999999</v>
      </c>
      <c r="S5542">
        <v>0.30270390000000003</v>
      </c>
      <c r="T5542">
        <v>-0.16522779999999901</v>
      </c>
      <c r="U5542">
        <v>3.0715940000000002</v>
      </c>
      <c r="V5542">
        <v>0.2153226</v>
      </c>
      <c r="W5542">
        <v>0.1772031</v>
      </c>
      <c r="X5542">
        <v>0.96033080000000004</v>
      </c>
      <c r="Y5542">
        <v>0.10692740000000001</v>
      </c>
      <c r="Z5542">
        <v>-5.3428209999999997E-2</v>
      </c>
      <c r="AA5542">
        <v>0.99283030000000005</v>
      </c>
      <c r="AB5542">
        <v>46</v>
      </c>
      <c r="AC5542">
        <v>2.036</v>
      </c>
      <c r="AD5542">
        <v>-1.1089902110459999</v>
      </c>
      <c r="AE5542">
        <v>20.12698</v>
      </c>
      <c r="AF5542">
        <v>2.2112358228294302</v>
      </c>
      <c r="AG5542">
        <v>-1.1089902110459999</v>
      </c>
      <c r="AH5542">
        <v>20.047503116868501</v>
      </c>
      <c r="AI5542">
        <v>93.147219805863898</v>
      </c>
      <c r="AJ5542">
        <v>83.705729475805498</v>
      </c>
      <c r="AK5542">
        <v>20.1995496081772</v>
      </c>
      <c r="AL5542">
        <v>79.793109548275396</v>
      </c>
      <c r="AM5542">
        <v>77.362318333056805</v>
      </c>
      <c r="AN5542">
        <v>1.0000000030745</v>
      </c>
    </row>
    <row r="5543" spans="1:40" x14ac:dyDescent="0.25">
      <c r="A5543" t="str">
        <f>"20190312164419632"</f>
        <v>20190312164419632</v>
      </c>
      <c r="B5543" t="str">
        <f>"1552380259620105"</f>
        <v>1552380259620105</v>
      </c>
      <c r="C5543" t="s">
        <v>40</v>
      </c>
      <c r="D5543">
        <v>5.1087669999999896</v>
      </c>
      <c r="E5543">
        <v>0.46660970000000002</v>
      </c>
      <c r="F5543" t="s">
        <v>42</v>
      </c>
      <c r="G5543">
        <v>-186.1551</v>
      </c>
      <c r="H5543" s="1">
        <v>-1.3452339999999999E-6</v>
      </c>
      <c r="I5543">
        <v>110.59480000000001</v>
      </c>
      <c r="J5543">
        <v>-188.26249999999999</v>
      </c>
      <c r="K5543">
        <v>1.108862</v>
      </c>
      <c r="L5543">
        <v>90.597470000000001</v>
      </c>
      <c r="M5543">
        <v>-7.7330469999999998E-3</v>
      </c>
      <c r="N5543">
        <v>0</v>
      </c>
      <c r="O5543">
        <v>0.99986269999999999</v>
      </c>
      <c r="P5543">
        <v>0.21080019999999999</v>
      </c>
      <c r="Q5543">
        <v>0.1631242</v>
      </c>
      <c r="R5543">
        <v>0.96382250000000003</v>
      </c>
      <c r="S5543">
        <v>0.31565860000000001</v>
      </c>
      <c r="T5543">
        <v>-0.16636189999999901</v>
      </c>
      <c r="U5543">
        <v>3.0704349999999998</v>
      </c>
      <c r="V5543">
        <v>0.21876609999999999</v>
      </c>
      <c r="W5543">
        <v>0.17656759999999999</v>
      </c>
      <c r="X5543">
        <v>0.95966940000000001</v>
      </c>
      <c r="Y5543">
        <v>0.109809</v>
      </c>
      <c r="Z5543">
        <v>-5.379515E-2</v>
      </c>
      <c r="AA5543">
        <v>0.99249589999999999</v>
      </c>
      <c r="AB5543">
        <v>46</v>
      </c>
      <c r="AC5543">
        <v>2.1073999999999802</v>
      </c>
      <c r="AD5543">
        <v>-1.108863345234</v>
      </c>
      <c r="AE5543">
        <v>19.997330000000002</v>
      </c>
      <c r="AF5543">
        <v>2.2551360236470299</v>
      </c>
      <c r="AG5543">
        <v>-1.108863345234</v>
      </c>
      <c r="AH5543">
        <v>19.919857420928</v>
      </c>
      <c r="AI5543">
        <v>93.165969330931901</v>
      </c>
      <c r="AJ5543">
        <v>83.541019402901895</v>
      </c>
      <c r="AK5543">
        <v>20.07774728583</v>
      </c>
      <c r="AL5543">
        <v>79.830104756523397</v>
      </c>
      <c r="AM5543">
        <v>77.158303494547397</v>
      </c>
      <c r="AN5543">
        <v>1.0000000405876599</v>
      </c>
    </row>
    <row r="5544" spans="1:40" x14ac:dyDescent="0.25">
      <c r="A5544" t="str">
        <f>"20190312164419654"</f>
        <v>20190312164419654</v>
      </c>
      <c r="B5544" t="str">
        <f>"1552380259650361"</f>
        <v>1552380259650361</v>
      </c>
      <c r="C5544" t="s">
        <v>40</v>
      </c>
      <c r="D5544">
        <v>5.187913</v>
      </c>
      <c r="E5544">
        <v>0.5059766</v>
      </c>
      <c r="F5544" t="s">
        <v>42</v>
      </c>
      <c r="G5544">
        <v>-186.07570000000001</v>
      </c>
      <c r="H5544" s="1">
        <v>-1.483006E-6</v>
      </c>
      <c r="I5544">
        <v>110.9376</v>
      </c>
      <c r="J5544">
        <v>-188.26480000000001</v>
      </c>
      <c r="K5544">
        <v>1.1087370000000001</v>
      </c>
      <c r="L5544">
        <v>91.035830000000004</v>
      </c>
      <c r="M5544">
        <v>-6.3947199999999996E-3</v>
      </c>
      <c r="N5544">
        <v>0</v>
      </c>
      <c r="O5544">
        <v>0.99987210000000004</v>
      </c>
      <c r="P5544">
        <v>0.21597089999999999</v>
      </c>
      <c r="Q5544">
        <v>0.16319359999999999</v>
      </c>
      <c r="R5544">
        <v>0.96266529999999995</v>
      </c>
      <c r="S5544">
        <v>0.32992549999999998</v>
      </c>
      <c r="T5544">
        <v>-0.1672961</v>
      </c>
      <c r="U5544">
        <v>3.068756</v>
      </c>
      <c r="V5544">
        <v>0.22269549999999999</v>
      </c>
      <c r="W5544">
        <v>0.1765427</v>
      </c>
      <c r="X5544">
        <v>0.95876969999999995</v>
      </c>
      <c r="Y5544">
        <v>0.1130951</v>
      </c>
      <c r="Z5544">
        <v>-5.4103360000000003E-2</v>
      </c>
      <c r="AA5544">
        <v>0.99211000000000005</v>
      </c>
      <c r="AB5544">
        <v>46</v>
      </c>
      <c r="AC5544">
        <v>2.1890999999999901</v>
      </c>
      <c r="AD5544">
        <v>-1.1087384830060001</v>
      </c>
      <c r="AE5544">
        <v>19.901769999999999</v>
      </c>
      <c r="AF5544">
        <v>2.3092536827342598</v>
      </c>
      <c r="AG5544">
        <v>-1.1087384830060001</v>
      </c>
      <c r="AH5544">
        <v>19.826563404856</v>
      </c>
      <c r="AI5544">
        <v>93.179305457490102</v>
      </c>
      <c r="AJ5544">
        <v>83.356538547155097</v>
      </c>
      <c r="AK5544">
        <v>19.9913623858329</v>
      </c>
      <c r="AL5544">
        <v>79.831553508056302</v>
      </c>
      <c r="AM5544">
        <v>76.923653146860701</v>
      </c>
      <c r="AN5544">
        <v>0.99999997414081399</v>
      </c>
    </row>
    <row r="5545" spans="1:40" x14ac:dyDescent="0.25">
      <c r="A5545" t="str">
        <f>"20190312164419676"</f>
        <v>20190312164419676</v>
      </c>
      <c r="B5545" t="str">
        <f>"1552380259670858"</f>
        <v>1552380259670858</v>
      </c>
      <c r="C5545" t="s">
        <v>40</v>
      </c>
      <c r="D5545">
        <v>5.1051019999999996</v>
      </c>
      <c r="E5545">
        <v>0.50971929999999999</v>
      </c>
      <c r="F5545" t="s">
        <v>42</v>
      </c>
      <c r="G5545">
        <v>-184.41059999999999</v>
      </c>
      <c r="H5545" s="1">
        <v>-4.8973219999999999E-6</v>
      </c>
      <c r="I5545">
        <v>108.73739999999999</v>
      </c>
      <c r="J5545">
        <v>-188.26660000000001</v>
      </c>
      <c r="K5545">
        <v>1.1085959999999999</v>
      </c>
      <c r="L5545">
        <v>91.487669999999994</v>
      </c>
      <c r="M5545">
        <v>-4.8852330000000001E-3</v>
      </c>
      <c r="N5545">
        <v>0</v>
      </c>
      <c r="O5545">
        <v>0.99988069999999896</v>
      </c>
      <c r="P5545">
        <v>0.2212229</v>
      </c>
      <c r="Q5545">
        <v>0.16405690000000001</v>
      </c>
      <c r="R5545">
        <v>0.96132499999999999</v>
      </c>
      <c r="S5545">
        <v>0.65354919999999905</v>
      </c>
      <c r="T5545">
        <v>-0.1880049</v>
      </c>
      <c r="U5545">
        <v>3.0015869999999998</v>
      </c>
      <c r="V5545">
        <v>0.2265528</v>
      </c>
      <c r="W5545">
        <v>0.17730070000000001</v>
      </c>
      <c r="X5545">
        <v>0.95772559999999995</v>
      </c>
      <c r="Y5545">
        <v>0.21712429999999999</v>
      </c>
      <c r="Z5545">
        <v>-6.1053379999999997E-2</v>
      </c>
      <c r="AA5545">
        <v>0.97423280000000001</v>
      </c>
      <c r="AB5545">
        <v>46</v>
      </c>
      <c r="AC5545">
        <v>3.8560000000000199</v>
      </c>
      <c r="AD5545">
        <v>-1.1086008973219901</v>
      </c>
      <c r="AE5545">
        <v>17.24973</v>
      </c>
      <c r="AF5545">
        <v>3.9247927444107802</v>
      </c>
      <c r="AG5545">
        <v>-1.1086008973219901</v>
      </c>
      <c r="AH5545">
        <v>17.163168680309301</v>
      </c>
      <c r="AI5545">
        <v>93.602957962824803</v>
      </c>
      <c r="AJ5545">
        <v>77.119342673555593</v>
      </c>
      <c r="AK5545">
        <v>17.641070069156001</v>
      </c>
      <c r="AL5545">
        <v>79.787427653346001</v>
      </c>
      <c r="AM5545">
        <v>76.691158063951505</v>
      </c>
      <c r="AN5545">
        <v>1.0000000171518399</v>
      </c>
    </row>
    <row r="5546" spans="1:40" x14ac:dyDescent="0.25">
      <c r="A5546" t="str">
        <f>"20190312164419720"</f>
        <v>20190312164419720</v>
      </c>
      <c r="B5546" t="str">
        <f>"1552380259710873"</f>
        <v>1552380259710873</v>
      </c>
      <c r="C5546" t="s">
        <v>40</v>
      </c>
      <c r="D5546">
        <v>5.1357359999999996</v>
      </c>
      <c r="E5546">
        <v>0.51257770000000002</v>
      </c>
      <c r="F5546" t="s">
        <v>42</v>
      </c>
      <c r="G5546">
        <v>-184.3622</v>
      </c>
      <c r="H5546" s="1">
        <v>-4.6903559999999997E-6</v>
      </c>
      <c r="I5546">
        <v>108.235</v>
      </c>
      <c r="J5546">
        <v>-188.26769999999999</v>
      </c>
      <c r="K5546">
        <v>1.1082689999999999</v>
      </c>
      <c r="L5546">
        <v>92.395899999999997</v>
      </c>
      <c r="M5546">
        <v>-1.417488E-3</v>
      </c>
      <c r="N5546">
        <v>0</v>
      </c>
      <c r="O5546">
        <v>0.99989159999999999</v>
      </c>
      <c r="P5546">
        <v>0.2330373</v>
      </c>
      <c r="Q5546">
        <v>0.1628213</v>
      </c>
      <c r="R5546">
        <v>0.95874020000000004</v>
      </c>
      <c r="S5546">
        <v>0.69798280000000001</v>
      </c>
      <c r="T5546">
        <v>-0.19818340000000001</v>
      </c>
      <c r="U5546">
        <v>2.9938959999999999</v>
      </c>
      <c r="V5546">
        <v>0.2351646</v>
      </c>
      <c r="W5546">
        <v>0.1758246</v>
      </c>
      <c r="X5546">
        <v>0.9559202</v>
      </c>
      <c r="Y5546">
        <v>0.22795689999999999</v>
      </c>
      <c r="Z5546">
        <v>-6.4322900000000002E-2</v>
      </c>
      <c r="AA5546">
        <v>0.97154430000000003</v>
      </c>
      <c r="AB5546">
        <v>45</v>
      </c>
      <c r="AC5546">
        <v>3.90549999999998</v>
      </c>
      <c r="AD5546">
        <v>-1.108273690356</v>
      </c>
      <c r="AE5546">
        <v>15.8391</v>
      </c>
      <c r="AF5546">
        <v>3.9099048272271602</v>
      </c>
      <c r="AG5546">
        <v>-1.108273690356</v>
      </c>
      <c r="AH5546">
        <v>15.7608065981564</v>
      </c>
      <c r="AI5546">
        <v>93.904357302852802</v>
      </c>
      <c r="AJ5546">
        <v>76.067463595435797</v>
      </c>
      <c r="AK5546">
        <v>16.2763217882665</v>
      </c>
      <c r="AL5546">
        <v>79.873352257717002</v>
      </c>
      <c r="AM5546">
        <v>76.179195288795597</v>
      </c>
      <c r="AN5546">
        <v>1.0000000539131699</v>
      </c>
    </row>
    <row r="5547" spans="1:40" x14ac:dyDescent="0.25">
      <c r="A5547" t="str">
        <f>"20190312164419742"</f>
        <v>20190312164419742</v>
      </c>
      <c r="B5547" t="str">
        <f>"1552380259730397"</f>
        <v>1552380259730397</v>
      </c>
      <c r="C5547" t="s">
        <v>40</v>
      </c>
      <c r="D5547">
        <v>5.093534</v>
      </c>
      <c r="E5547">
        <v>0.51273219999999997</v>
      </c>
      <c r="F5547" t="s">
        <v>42</v>
      </c>
      <c r="G5547">
        <v>-184.26050000000001</v>
      </c>
      <c r="H5547" s="1">
        <v>-4.7040750000000004E-6</v>
      </c>
      <c r="I5547">
        <v>108.22490000000001</v>
      </c>
      <c r="J5547">
        <v>-188.26689999999999</v>
      </c>
      <c r="K5547">
        <v>1.1081179999999999</v>
      </c>
      <c r="L5547">
        <v>92.817840000000004</v>
      </c>
      <c r="M5547">
        <v>3.9105360000000003E-4</v>
      </c>
      <c r="N5547">
        <v>0</v>
      </c>
      <c r="O5547">
        <v>0.99989249999999996</v>
      </c>
      <c r="P5547">
        <v>0.2380372</v>
      </c>
      <c r="Q5547">
        <v>0.16191649999999999</v>
      </c>
      <c r="R5547">
        <v>0.95766450000000003</v>
      </c>
      <c r="S5547">
        <v>0.75466919999999904</v>
      </c>
      <c r="T5547">
        <v>-0.20872350000000001</v>
      </c>
      <c r="U5547">
        <v>2.9811100000000001</v>
      </c>
      <c r="V5547">
        <v>0.23849229999999999</v>
      </c>
      <c r="W5547">
        <v>0.17480780000000001</v>
      </c>
      <c r="X5547">
        <v>0.95528199999999996</v>
      </c>
      <c r="Y5547">
        <v>0.2444665</v>
      </c>
      <c r="Z5547">
        <v>-6.7721770000000001E-2</v>
      </c>
      <c r="AA5547">
        <v>0.96728999999999998</v>
      </c>
      <c r="AB5547">
        <v>45</v>
      </c>
      <c r="AC5547">
        <v>4.0063999999999798</v>
      </c>
      <c r="AD5547">
        <v>-1.1081227040749999</v>
      </c>
      <c r="AE5547">
        <v>15.40706</v>
      </c>
      <c r="AF5547">
        <v>3.9810845478380501</v>
      </c>
      <c r="AG5547">
        <v>-1.1081227040749999</v>
      </c>
      <c r="AH5547">
        <v>15.3343264369173</v>
      </c>
      <c r="AI5547">
        <v>94.001059515343698</v>
      </c>
      <c r="AJ5547">
        <v>75.446225958103</v>
      </c>
      <c r="AK5547">
        <v>15.881389655135999</v>
      </c>
      <c r="AL5547">
        <v>79.932526768684994</v>
      </c>
      <c r="AM5547">
        <v>75.982284840428505</v>
      </c>
      <c r="AN5547">
        <v>1.0000000218120599</v>
      </c>
    </row>
    <row r="5548" spans="1:40" x14ac:dyDescent="0.25">
      <c r="A5548" t="str">
        <f>"20190312164419763"</f>
        <v>20190312164419763</v>
      </c>
      <c r="B5548" t="str">
        <f>"1552380259760650"</f>
        <v>1552380259760650</v>
      </c>
      <c r="C5548" t="s">
        <v>40</v>
      </c>
      <c r="D5548">
        <v>5.863359</v>
      </c>
      <c r="E5548">
        <v>0.51309669999999996</v>
      </c>
      <c r="F5548" t="s">
        <v>42</v>
      </c>
      <c r="G5548">
        <v>-184.25649999999999</v>
      </c>
      <c r="H5548" s="1">
        <v>-4.7347679999999999E-6</v>
      </c>
      <c r="I5548">
        <v>108.2948</v>
      </c>
      <c r="J5548">
        <v>-188.26509999999999</v>
      </c>
      <c r="K5548">
        <v>1.107944</v>
      </c>
      <c r="L5548">
        <v>93.268709999999999</v>
      </c>
      <c r="M5548">
        <v>2.4889199999999999E-3</v>
      </c>
      <c r="N5548">
        <v>0</v>
      </c>
      <c r="O5548">
        <v>0.99988949999999999</v>
      </c>
      <c r="P5548">
        <v>0.2436207</v>
      </c>
      <c r="Q5548">
        <v>0.16033310000000001</v>
      </c>
      <c r="R5548">
        <v>0.95652619999999999</v>
      </c>
      <c r="S5548">
        <v>0.7713776</v>
      </c>
      <c r="T5548">
        <v>-0.21314279999999999</v>
      </c>
      <c r="U5548">
        <v>2.9769290000000002</v>
      </c>
      <c r="V5548">
        <v>0.2421334</v>
      </c>
      <c r="W5548">
        <v>0.1730981</v>
      </c>
      <c r="X5548">
        <v>0.9546772</v>
      </c>
      <c r="Y5548">
        <v>0.2478236</v>
      </c>
      <c r="Z5548">
        <v>-6.9164809999999993E-2</v>
      </c>
      <c r="AA5548">
        <v>0.9663332</v>
      </c>
      <c r="AB5548">
        <v>45</v>
      </c>
      <c r="AC5548">
        <v>4.0086000000000004</v>
      </c>
      <c r="AD5548">
        <v>-1.1079487347679999</v>
      </c>
      <c r="AE5548">
        <v>15.0260899999999</v>
      </c>
      <c r="AF5548">
        <v>3.9511303875311801</v>
      </c>
      <c r="AG5548">
        <v>-1.1079487347679999</v>
      </c>
      <c r="AH5548">
        <v>14.960089857835399</v>
      </c>
      <c r="AI5548">
        <v>94.095673817642194</v>
      </c>
      <c r="AJ5548">
        <v>75.205355270286702</v>
      </c>
      <c r="AK5548">
        <v>15.512680951165599</v>
      </c>
      <c r="AL5548">
        <v>80.032002219349295</v>
      </c>
      <c r="AM5548">
        <v>75.768252713170298</v>
      </c>
      <c r="AN5548">
        <v>1.0000000459095</v>
      </c>
    </row>
    <row r="5549" spans="1:40" x14ac:dyDescent="0.25">
      <c r="A5549" t="str">
        <f>"20190312164419787"</f>
        <v>20190312164419787</v>
      </c>
      <c r="B5549" t="str">
        <f>"1552380259780169"</f>
        <v>1552380259780169</v>
      </c>
      <c r="C5549" t="s">
        <v>40</v>
      </c>
      <c r="D5549">
        <v>5.1007030000000002</v>
      </c>
      <c r="E5549">
        <v>0.51308299999999996</v>
      </c>
      <c r="F5549" t="s">
        <v>42</v>
      </c>
      <c r="G5549">
        <v>-184.1962</v>
      </c>
      <c r="H5549" s="1">
        <v>-4.8497060000000001E-6</v>
      </c>
      <c r="I5549">
        <v>108.5378</v>
      </c>
      <c r="J5549">
        <v>-188.2621</v>
      </c>
      <c r="K5549">
        <v>1.1077650000000001</v>
      </c>
      <c r="L5549">
        <v>93.729579999999999</v>
      </c>
      <c r="M5549">
        <v>4.7898690000000004E-3</v>
      </c>
      <c r="N5549">
        <v>0</v>
      </c>
      <c r="O5549">
        <v>0.99988109999999997</v>
      </c>
      <c r="P5549">
        <v>0.2495153</v>
      </c>
      <c r="Q5549">
        <v>0.159137</v>
      </c>
      <c r="R5549">
        <v>0.95520550000000004</v>
      </c>
      <c r="S5549">
        <v>0.79167180000000004</v>
      </c>
      <c r="T5549">
        <v>-0.21557029999999999</v>
      </c>
      <c r="U5549">
        <v>2.9708559999999999</v>
      </c>
      <c r="V5549">
        <v>0.2458977</v>
      </c>
      <c r="W5549">
        <v>0.1717688</v>
      </c>
      <c r="X5549">
        <v>0.95395479999999999</v>
      </c>
      <c r="Y5549">
        <v>0.25223069999999997</v>
      </c>
      <c r="Z5549">
        <v>-6.9985409999999998E-2</v>
      </c>
      <c r="AA5549">
        <v>0.96513300000000002</v>
      </c>
      <c r="AB5549">
        <v>45</v>
      </c>
      <c r="AC5549">
        <v>4.0658999999999903</v>
      </c>
      <c r="AD5549">
        <v>-1.10776984970599</v>
      </c>
      <c r="AE5549">
        <v>14.80822</v>
      </c>
      <c r="AF5549">
        <v>3.9742348274503798</v>
      </c>
      <c r="AG5549">
        <v>-1.10776984970599</v>
      </c>
      <c r="AH5549">
        <v>14.750766003056601</v>
      </c>
      <c r="AI5549">
        <v>94.147450566728693</v>
      </c>
      <c r="AJ5549">
        <v>74.921100766479597</v>
      </c>
      <c r="AK5549">
        <v>15.316879387805001</v>
      </c>
      <c r="AL5549">
        <v>80.109323028247701</v>
      </c>
      <c r="AM5549">
        <v>75.545709772162994</v>
      </c>
      <c r="AN5549">
        <v>0.99999997998088397</v>
      </c>
    </row>
    <row r="5550" spans="1:40" x14ac:dyDescent="0.25">
      <c r="A5550" t="str">
        <f>"20190312164419809"</f>
        <v>20190312164419809</v>
      </c>
      <c r="B5550" t="str">
        <f>"1552380259800666"</f>
        <v>1552380259800666</v>
      </c>
      <c r="C5550" t="s">
        <v>40</v>
      </c>
      <c r="D5550">
        <v>4.9995940000000001</v>
      </c>
      <c r="E5550">
        <v>0.51299380000000006</v>
      </c>
      <c r="F5550" t="s">
        <v>42</v>
      </c>
      <c r="G5550">
        <v>-184.2039</v>
      </c>
      <c r="H5550" s="1">
        <v>-4.8778750000000003E-6</v>
      </c>
      <c r="I5550">
        <v>108.6066</v>
      </c>
      <c r="J5550">
        <v>-188.25790000000001</v>
      </c>
      <c r="K5550">
        <v>1.1075870000000001</v>
      </c>
      <c r="L5550">
        <v>94.195650000000001</v>
      </c>
      <c r="M5550">
        <v>7.2724979999999996E-3</v>
      </c>
      <c r="N5550">
        <v>0</v>
      </c>
      <c r="O5550">
        <v>0.99986609999999998</v>
      </c>
      <c r="P5550">
        <v>0.25572899999999998</v>
      </c>
      <c r="Q5550">
        <v>0.15812519999999999</v>
      </c>
      <c r="R5550">
        <v>0.95372900000000005</v>
      </c>
      <c r="S5550">
        <v>0.80911250000000001</v>
      </c>
      <c r="T5550">
        <v>-0.220863</v>
      </c>
      <c r="U5550">
        <v>2.9661249999999999</v>
      </c>
      <c r="V5550">
        <v>0.24981329999999999</v>
      </c>
      <c r="W5550">
        <v>0.1706192</v>
      </c>
      <c r="X5550">
        <v>0.95314339999999997</v>
      </c>
      <c r="Y5550">
        <v>0.25546740000000001</v>
      </c>
      <c r="Z5550">
        <v>-7.1718240000000003E-2</v>
      </c>
      <c r="AA5550">
        <v>0.96415399999999996</v>
      </c>
      <c r="AB5550">
        <v>45</v>
      </c>
      <c r="AC5550">
        <v>4.0540000000000003</v>
      </c>
      <c r="AD5550">
        <v>-1.107591877875</v>
      </c>
      <c r="AE5550">
        <v>14.41095</v>
      </c>
      <c r="AF5550">
        <v>3.92757869560922</v>
      </c>
      <c r="AG5550">
        <v>-1.107591877875</v>
      </c>
      <c r="AH5550">
        <v>14.3614414817811</v>
      </c>
      <c r="AI5550">
        <v>94.254445697464504</v>
      </c>
      <c r="AJ5550">
        <v>74.704703315382503</v>
      </c>
      <c r="AK5550">
        <v>14.929957656094</v>
      </c>
      <c r="AL5550">
        <v>80.176177094617302</v>
      </c>
      <c r="AM5550">
        <v>75.313453261034198</v>
      </c>
      <c r="AN5550">
        <v>0.99999996861454399</v>
      </c>
    </row>
    <row r="5551" spans="1:40" x14ac:dyDescent="0.25">
      <c r="A5551" t="str">
        <f>"20190312164419831"</f>
        <v>20190312164419831</v>
      </c>
      <c r="B5551" t="str">
        <f>"1552380259820188"</f>
        <v>1552380259820188</v>
      </c>
      <c r="C5551" t="s">
        <v>40</v>
      </c>
      <c r="D5551">
        <v>5.001938</v>
      </c>
      <c r="E5551">
        <v>0.51278519999999905</v>
      </c>
      <c r="F5551" t="s">
        <v>42</v>
      </c>
      <c r="G5551">
        <v>-184.19659999999999</v>
      </c>
      <c r="H5551" s="1">
        <v>-4.9384750000000002E-6</v>
      </c>
      <c r="I5551">
        <v>108.7449</v>
      </c>
      <c r="J5551">
        <v>-188.2526</v>
      </c>
      <c r="K5551">
        <v>1.1074139999999999</v>
      </c>
      <c r="L5551">
        <v>94.657929999999993</v>
      </c>
      <c r="M5551">
        <v>9.8809259999999999E-3</v>
      </c>
      <c r="N5551">
        <v>0</v>
      </c>
      <c r="O5551">
        <v>0.9998437</v>
      </c>
      <c r="P5551">
        <v>0.26236809999999899</v>
      </c>
      <c r="Q5551">
        <v>0.15722139999999901</v>
      </c>
      <c r="R5551">
        <v>0.95207379999999997</v>
      </c>
      <c r="S5551">
        <v>0.82661439999999997</v>
      </c>
      <c r="T5551">
        <v>-0.22543360000000001</v>
      </c>
      <c r="U5551">
        <v>2.9612729999999998</v>
      </c>
      <c r="V5551">
        <v>0.25403900000000001</v>
      </c>
      <c r="W5551">
        <v>0.16957369999999999</v>
      </c>
      <c r="X5551">
        <v>0.95221270000000002</v>
      </c>
      <c r="Y5551">
        <v>0.25861070000000003</v>
      </c>
      <c r="Z5551">
        <v>-7.3219450000000005E-2</v>
      </c>
      <c r="AA5551">
        <v>0.96320269999999997</v>
      </c>
      <c r="AB5551">
        <v>45</v>
      </c>
      <c r="AC5551">
        <v>4.0560000000000098</v>
      </c>
      <c r="AD5551">
        <v>-1.1074189384749999</v>
      </c>
      <c r="AE5551">
        <v>14.0869699999999</v>
      </c>
      <c r="AF5551">
        <v>3.8943699232914599</v>
      </c>
      <c r="AG5551">
        <v>-1.1074189384749999</v>
      </c>
      <c r="AH5551">
        <v>14.046203296497801</v>
      </c>
      <c r="AI5551">
        <v>94.344706780304506</v>
      </c>
      <c r="AJ5551">
        <v>74.503738612606597</v>
      </c>
      <c r="AK5551">
        <v>14.618081982643201</v>
      </c>
      <c r="AL5551">
        <v>80.236966384029799</v>
      </c>
      <c r="AM5551">
        <v>75.062088273849795</v>
      </c>
      <c r="AN5551">
        <v>1.0000000396469799</v>
      </c>
    </row>
    <row r="5552" spans="1:40" x14ac:dyDescent="0.25">
      <c r="A5552" t="str">
        <f>"20190312164419852"</f>
        <v>20190312164419852</v>
      </c>
      <c r="B5552" t="str">
        <f>"1552380259840685"</f>
        <v>1552380259840685</v>
      </c>
      <c r="C5552" t="s">
        <v>40</v>
      </c>
      <c r="D5552">
        <v>5.2258319999999996</v>
      </c>
      <c r="E5552">
        <v>0.51276259999999996</v>
      </c>
      <c r="F5552" t="s">
        <v>42</v>
      </c>
      <c r="G5552">
        <v>-184.1977</v>
      </c>
      <c r="H5552" s="1">
        <v>-4.9967919999999999E-6</v>
      </c>
      <c r="I5552">
        <v>108.88120000000001</v>
      </c>
      <c r="J5552">
        <v>-188.2467</v>
      </c>
      <c r="K5552">
        <v>1.1072610000000001</v>
      </c>
      <c r="L5552">
        <v>95.072109999999995</v>
      </c>
      <c r="M5552">
        <v>1.233181E-2</v>
      </c>
      <c r="N5552">
        <v>0</v>
      </c>
      <c r="O5552">
        <v>0.9998165</v>
      </c>
      <c r="P5552">
        <v>0.26950580000000002</v>
      </c>
      <c r="Q5552">
        <v>0.15655229999999901</v>
      </c>
      <c r="R5552">
        <v>0.95018840000000004</v>
      </c>
      <c r="S5552">
        <v>0.8429413</v>
      </c>
      <c r="T5552">
        <v>-0.23021150000000001</v>
      </c>
      <c r="U5552">
        <v>2.9567570000000001</v>
      </c>
      <c r="V5552">
        <v>0.25891380000000003</v>
      </c>
      <c r="W5552">
        <v>0.16876629999999901</v>
      </c>
      <c r="X5552">
        <v>0.95104239999999995</v>
      </c>
      <c r="Y5552">
        <v>0.26151729999999901</v>
      </c>
      <c r="Z5552">
        <v>-7.4784130000000004E-2</v>
      </c>
      <c r="AA5552">
        <v>0.96229730000000002</v>
      </c>
      <c r="AB5552">
        <v>45</v>
      </c>
      <c r="AC5552">
        <v>4.0490000000000004</v>
      </c>
      <c r="AD5552">
        <v>-1.107265996792</v>
      </c>
      <c r="AE5552">
        <v>13.809089999999999</v>
      </c>
      <c r="AF5552">
        <v>3.8555560588499098</v>
      </c>
      <c r="AG5552">
        <v>-1.107265996792</v>
      </c>
      <c r="AH5552">
        <v>13.776414068027799</v>
      </c>
      <c r="AI5552">
        <v>94.425868612675004</v>
      </c>
      <c r="AJ5552">
        <v>74.364849502952794</v>
      </c>
      <c r="AK5552">
        <v>14.34855167201</v>
      </c>
      <c r="AL5552">
        <v>80.283903442956699</v>
      </c>
      <c r="AM5552">
        <v>74.7707572181518</v>
      </c>
      <c r="AN5552">
        <v>1.0000000332219401</v>
      </c>
    </row>
    <row r="5553" spans="1:40" x14ac:dyDescent="0.25">
      <c r="A5553" t="str">
        <f>"20190312164419876"</f>
        <v>20190312164419876</v>
      </c>
      <c r="B5553" t="str">
        <f>"1552380259870938"</f>
        <v>1552380259870938</v>
      </c>
      <c r="C5553" t="s">
        <v>40</v>
      </c>
      <c r="D5553">
        <v>4.8789239999999996</v>
      </c>
      <c r="E5553">
        <v>0.51276529999999998</v>
      </c>
      <c r="F5553" t="s">
        <v>42</v>
      </c>
      <c r="G5553">
        <v>-184.10589999999999</v>
      </c>
      <c r="H5553" s="1">
        <v>-5.1633829999999997E-6</v>
      </c>
      <c r="I5553">
        <v>109.2316</v>
      </c>
      <c r="J5553">
        <v>-188.23869999999999</v>
      </c>
      <c r="K5553">
        <v>1.1071029999999999</v>
      </c>
      <c r="L5553">
        <v>95.543880000000001</v>
      </c>
      <c r="M5553">
        <v>1.523423E-2</v>
      </c>
      <c r="N5553">
        <v>0</v>
      </c>
      <c r="O5553">
        <v>0.99977640000000001</v>
      </c>
      <c r="P5553">
        <v>0.27701740000000002</v>
      </c>
      <c r="Q5553">
        <v>0.15602339999999901</v>
      </c>
      <c r="R5553">
        <v>0.94811290000000004</v>
      </c>
      <c r="S5553">
        <v>0.86283869999999896</v>
      </c>
      <c r="T5553">
        <v>-0.23072970000000001</v>
      </c>
      <c r="U5553">
        <v>2.9505309999999998</v>
      </c>
      <c r="V5553">
        <v>0.2637467</v>
      </c>
      <c r="W5553">
        <v>0.16808899999999999</v>
      </c>
      <c r="X5553">
        <v>0.9498335</v>
      </c>
      <c r="Y5553">
        <v>0.26523400000000003</v>
      </c>
      <c r="Z5553">
        <v>-7.4990920000000003E-2</v>
      </c>
      <c r="AA5553">
        <v>0.96126339999999999</v>
      </c>
      <c r="AB5553">
        <v>45</v>
      </c>
      <c r="AC5553">
        <v>4.1327999999999996</v>
      </c>
      <c r="AD5553">
        <v>-1.107108163383</v>
      </c>
      <c r="AE5553">
        <v>13.687720000000001</v>
      </c>
      <c r="AF5553">
        <v>3.9003910816974798</v>
      </c>
      <c r="AG5553">
        <v>-1.107108163383</v>
      </c>
      <c r="AH5553">
        <v>13.667156182212601</v>
      </c>
      <c r="AI5553">
        <v>94.454063423846307</v>
      </c>
      <c r="AJ5553">
        <v>74.072088268297506</v>
      </c>
      <c r="AK5553">
        <v>14.2558723754321</v>
      </c>
      <c r="AL5553">
        <v>80.323271539277201</v>
      </c>
      <c r="AM5553">
        <v>74.481261803912702</v>
      </c>
      <c r="AN5553">
        <v>0.99999995570206901</v>
      </c>
    </row>
    <row r="5554" spans="1:40" x14ac:dyDescent="0.25">
      <c r="A5554" t="str">
        <f>"20190312164419900"</f>
        <v>20190312164419900</v>
      </c>
      <c r="B5554" t="str">
        <f>"1552380259890458"</f>
        <v>1552380259890458</v>
      </c>
      <c r="C5554" t="s">
        <v>40</v>
      </c>
      <c r="D5554">
        <v>4.9250210000000001</v>
      </c>
      <c r="E5554">
        <v>0.51280159999999997</v>
      </c>
      <c r="F5554" t="s">
        <v>42</v>
      </c>
      <c r="G5554">
        <v>-184.07</v>
      </c>
      <c r="H5554" s="1">
        <v>-5.2598229999999996E-6</v>
      </c>
      <c r="I5554">
        <v>109.44159999999999</v>
      </c>
      <c r="J5554">
        <v>-188.22929999999999</v>
      </c>
      <c r="K5554">
        <v>1.1069599999999999</v>
      </c>
      <c r="L5554">
        <v>96.015199999999993</v>
      </c>
      <c r="M5554">
        <v>1.822961E-2</v>
      </c>
      <c r="N5554">
        <v>0</v>
      </c>
      <c r="O5554">
        <v>0.99972629999999996</v>
      </c>
      <c r="P5554">
        <v>0.28428880000000001</v>
      </c>
      <c r="Q5554">
        <v>0.15473719999999999</v>
      </c>
      <c r="R5554">
        <v>0.94616929999999999</v>
      </c>
      <c r="S5554">
        <v>0.88328549999999995</v>
      </c>
      <c r="T5554">
        <v>-0.23457900000000001</v>
      </c>
      <c r="U5554">
        <v>2.9447019999999999</v>
      </c>
      <c r="V5554">
        <v>0.26824490000000001</v>
      </c>
      <c r="W5554">
        <v>0.16666689999999901</v>
      </c>
      <c r="X5554">
        <v>0.94882390000000005</v>
      </c>
      <c r="Y5554">
        <v>0.26896409999999998</v>
      </c>
      <c r="Z5554">
        <v>-7.6259220000000003E-2</v>
      </c>
      <c r="AA5554">
        <v>0.96012649999999999</v>
      </c>
      <c r="AB5554">
        <v>45</v>
      </c>
      <c r="AC5554">
        <v>4.1593</v>
      </c>
      <c r="AD5554">
        <v>-1.106965259823</v>
      </c>
      <c r="AE5554">
        <v>13.426399999999999</v>
      </c>
      <c r="AF5554">
        <v>3.8896993293844302</v>
      </c>
      <c r="AG5554">
        <v>-1.106965259823</v>
      </c>
      <c r="AH5554">
        <v>13.4167843243807</v>
      </c>
      <c r="AI5554">
        <v>94.530822478189805</v>
      </c>
      <c r="AJ5554">
        <v>73.832442534428793</v>
      </c>
      <c r="AK5554">
        <v>14.013038020586899</v>
      </c>
      <c r="AL5554">
        <v>80.405918094115094</v>
      </c>
      <c r="AM5554">
        <v>74.213709919516702</v>
      </c>
      <c r="AN5554">
        <v>0.99999998757141495</v>
      </c>
    </row>
    <row r="5555" spans="1:40" x14ac:dyDescent="0.25">
      <c r="A5555" t="str">
        <f>"20190312164419920"</f>
        <v>20190312164419920</v>
      </c>
      <c r="B5555" t="str">
        <f>"1552380259910954"</f>
        <v>1552380259910954</v>
      </c>
      <c r="C5555" t="s">
        <v>40</v>
      </c>
      <c r="D5555">
        <v>4.774972</v>
      </c>
      <c r="E5555">
        <v>0.51258239999999999</v>
      </c>
      <c r="F5555" t="s">
        <v>42</v>
      </c>
      <c r="G5555">
        <v>-184.06710000000001</v>
      </c>
      <c r="H5555" s="1">
        <v>-5.3045650000000001E-6</v>
      </c>
      <c r="I5555">
        <v>109.54470000000001</v>
      </c>
      <c r="J5555">
        <v>-188.2192</v>
      </c>
      <c r="K5555">
        <v>1.106843</v>
      </c>
      <c r="L5555">
        <v>96.455439999999996</v>
      </c>
      <c r="M5555">
        <v>2.11018E-2</v>
      </c>
      <c r="N5555">
        <v>0</v>
      </c>
      <c r="O5555">
        <v>0.99966980000000005</v>
      </c>
      <c r="P5555">
        <v>0.29186450000000003</v>
      </c>
      <c r="Q5555">
        <v>0.15330579999999999</v>
      </c>
      <c r="R5555">
        <v>0.94409350000000003</v>
      </c>
      <c r="S5555">
        <v>0.90396120000000002</v>
      </c>
      <c r="T5555">
        <v>-0.2404172</v>
      </c>
      <c r="U5555">
        <v>2.9384160000000001</v>
      </c>
      <c r="V5555">
        <v>0.27316400000000002</v>
      </c>
      <c r="W5555">
        <v>0.1651058</v>
      </c>
      <c r="X5555">
        <v>0.9476928</v>
      </c>
      <c r="Y5555">
        <v>0.2729008</v>
      </c>
      <c r="Z5555">
        <v>-7.8175700000000001E-2</v>
      </c>
      <c r="AA5555">
        <v>0.95886059999999995</v>
      </c>
      <c r="AB5555">
        <v>45</v>
      </c>
      <c r="AC5555">
        <v>4.1520999999999901</v>
      </c>
      <c r="AD5555">
        <v>-1.1068483045649999</v>
      </c>
      <c r="AE5555">
        <v>13.089259999999999</v>
      </c>
      <c r="AF5555">
        <v>3.8499260044341002</v>
      </c>
      <c r="AG5555">
        <v>-1.1068483045649999</v>
      </c>
      <c r="AH5555">
        <v>13.088933430197701</v>
      </c>
      <c r="AI5555">
        <v>94.638081161168799</v>
      </c>
      <c r="AJ5555">
        <v>73.609493937464094</v>
      </c>
      <c r="AK5555">
        <v>13.6882147027684</v>
      </c>
      <c r="AL5555">
        <v>80.496620009123504</v>
      </c>
      <c r="AM5555">
        <v>73.920845147245601</v>
      </c>
      <c r="AN5555">
        <v>1.0000000696307301</v>
      </c>
    </row>
    <row r="5556" spans="1:40" x14ac:dyDescent="0.25">
      <c r="A5556" t="str">
        <f>"20190312164419942"</f>
        <v>20190312164419942</v>
      </c>
      <c r="B5556" t="str">
        <f>"1552380259930477"</f>
        <v>1552380259930477</v>
      </c>
      <c r="C5556" t="s">
        <v>40</v>
      </c>
      <c r="D5556">
        <v>4.920477</v>
      </c>
      <c r="E5556">
        <v>0.51266629999999902</v>
      </c>
      <c r="F5556" t="s">
        <v>42</v>
      </c>
      <c r="G5556">
        <v>-184.07329999999999</v>
      </c>
      <c r="H5556" s="1">
        <v>-5.3323130000000003E-6</v>
      </c>
      <c r="I5556">
        <v>109.61190000000001</v>
      </c>
      <c r="J5556">
        <v>-188.20840000000001</v>
      </c>
      <c r="K5556">
        <v>1.106733</v>
      </c>
      <c r="L5556">
        <v>96.870760000000004</v>
      </c>
      <c r="M5556">
        <v>2.387181E-2</v>
      </c>
      <c r="N5556">
        <v>0</v>
      </c>
      <c r="O5556">
        <v>0.99960749999999998</v>
      </c>
      <c r="P5556">
        <v>0.299373</v>
      </c>
      <c r="Q5556">
        <v>0.1530724</v>
      </c>
      <c r="R5556">
        <v>0.94177739999999999</v>
      </c>
      <c r="S5556">
        <v>0.92395020000000005</v>
      </c>
      <c r="T5556">
        <v>-0.24667349999999999</v>
      </c>
      <c r="U5556">
        <v>2.9320680000000001</v>
      </c>
      <c r="V5556">
        <v>0.27812920000000002</v>
      </c>
      <c r="W5556">
        <v>0.16474829999999999</v>
      </c>
      <c r="X5556">
        <v>0.94630970000000003</v>
      </c>
      <c r="Y5556">
        <v>0.27672590000000002</v>
      </c>
      <c r="Z5556">
        <v>-8.0230029999999994E-2</v>
      </c>
      <c r="AA5556">
        <v>0.95759380000000005</v>
      </c>
      <c r="AB5556">
        <v>45</v>
      </c>
      <c r="AC5556">
        <v>4.13510000000002</v>
      </c>
      <c r="AD5556">
        <v>-1.106738332313</v>
      </c>
      <c r="AE5556">
        <v>12.74114</v>
      </c>
      <c r="AF5556">
        <v>3.80376917413821</v>
      </c>
      <c r="AG5556">
        <v>-1.106738332313</v>
      </c>
      <c r="AH5556">
        <v>12.749202268038999</v>
      </c>
      <c r="AI5556">
        <v>94.755201611745306</v>
      </c>
      <c r="AJ5556">
        <v>73.387342876462</v>
      </c>
      <c r="AK5556">
        <v>13.3504939286045</v>
      </c>
      <c r="AL5556">
        <v>80.517386513151095</v>
      </c>
      <c r="AM5556">
        <v>73.621448460979096</v>
      </c>
      <c r="AN5556">
        <v>0.99999995127980801</v>
      </c>
    </row>
    <row r="5557" spans="1:40" x14ac:dyDescent="0.25">
      <c r="A5557" t="str">
        <f>"20190312164419964"</f>
        <v>20190312164419964</v>
      </c>
      <c r="B5557" t="str">
        <f>"1552380259960729"</f>
        <v>1552380259960729</v>
      </c>
      <c r="C5557" t="s">
        <v>40</v>
      </c>
      <c r="D5557">
        <v>4.7314679999999996</v>
      </c>
      <c r="E5557">
        <v>0.51241559999999997</v>
      </c>
      <c r="F5557" t="s">
        <v>42</v>
      </c>
      <c r="G5557">
        <v>-183.99889999999999</v>
      </c>
      <c r="H5557" s="1">
        <v>-1.6763419999999901E-6</v>
      </c>
      <c r="I5557">
        <v>109.88200000000001</v>
      </c>
      <c r="J5557">
        <v>-188.1953</v>
      </c>
      <c r="K5557">
        <v>1.106636</v>
      </c>
      <c r="L5557">
        <v>97.322630000000004</v>
      </c>
      <c r="M5557">
        <v>2.6946870000000001E-2</v>
      </c>
      <c r="N5557">
        <v>0</v>
      </c>
      <c r="O5557">
        <v>0.99952929999999995</v>
      </c>
      <c r="P5557">
        <v>0.30789070000000002</v>
      </c>
      <c r="Q5557">
        <v>0.15421119999999999</v>
      </c>
      <c r="R5557">
        <v>0.93884089999999998</v>
      </c>
      <c r="S5557">
        <v>0.94633480000000003</v>
      </c>
      <c r="T5557">
        <v>-0.24880720000000001</v>
      </c>
      <c r="U5557">
        <v>2.9250790000000002</v>
      </c>
      <c r="V5557">
        <v>0.28385199999999999</v>
      </c>
      <c r="W5557">
        <v>0.16574529999999901</v>
      </c>
      <c r="X5557">
        <v>0.94443449999999995</v>
      </c>
      <c r="Y5557">
        <v>0.28105429999999998</v>
      </c>
      <c r="Z5557">
        <v>-8.0949359999999998E-2</v>
      </c>
      <c r="AA5557">
        <v>0.95627180000000001</v>
      </c>
      <c r="AB5557">
        <v>45</v>
      </c>
      <c r="AC5557">
        <v>4.1964000000000103</v>
      </c>
      <c r="AD5557">
        <v>-1.1066376763420001</v>
      </c>
      <c r="AE5557">
        <v>12.559369999999999</v>
      </c>
      <c r="AF5557">
        <v>3.8296569617243401</v>
      </c>
      <c r="AG5557">
        <v>-1.1066376763420001</v>
      </c>
      <c r="AH5557">
        <v>12.580039895018301</v>
      </c>
      <c r="AI5557">
        <v>94.8103730924323</v>
      </c>
      <c r="AJ5557">
        <v>73.068530517393697</v>
      </c>
      <c r="AK5557">
        <v>13.196526935199101</v>
      </c>
      <c r="AL5557">
        <v>80.459466750668994</v>
      </c>
      <c r="AM5557">
        <v>73.271726406821998</v>
      </c>
      <c r="AN5557">
        <v>0.99999999358316904</v>
      </c>
    </row>
    <row r="5558" spans="1:40" x14ac:dyDescent="0.25">
      <c r="A5558" t="str">
        <f>"20190312164419989"</f>
        <v>20190312164419989</v>
      </c>
      <c r="B5558" t="str">
        <f>"1552380259980250"</f>
        <v>1552380259980250</v>
      </c>
      <c r="C5558" t="s">
        <v>40</v>
      </c>
      <c r="D5558">
        <v>4.7023219999999997</v>
      </c>
      <c r="E5558">
        <v>0.51236199999999998</v>
      </c>
      <c r="F5558" t="s">
        <v>42</v>
      </c>
      <c r="G5558">
        <v>-183.84899999999999</v>
      </c>
      <c r="H5558" s="1">
        <v>-1.8883500000000001E-6</v>
      </c>
      <c r="I5558">
        <v>110.3877</v>
      </c>
      <c r="J5558">
        <v>-188.17939999999999</v>
      </c>
      <c r="K5558">
        <v>1.1065389999999999</v>
      </c>
      <c r="L5558">
        <v>97.813109999999995</v>
      </c>
      <c r="M5558">
        <v>3.0342549999999999E-2</v>
      </c>
      <c r="N5558">
        <v>0</v>
      </c>
      <c r="O5558">
        <v>0.99943199999999999</v>
      </c>
      <c r="P5558">
        <v>0.31638850000000002</v>
      </c>
      <c r="Q5558">
        <v>0.15495629999999999</v>
      </c>
      <c r="R5558">
        <v>0.93588830000000001</v>
      </c>
      <c r="S5558">
        <v>0.97061160000000002</v>
      </c>
      <c r="T5558">
        <v>-0.24713389999999999</v>
      </c>
      <c r="U5558">
        <v>2.917694</v>
      </c>
      <c r="V5558">
        <v>0.2892632</v>
      </c>
      <c r="W5558">
        <v>0.166351</v>
      </c>
      <c r="X5558">
        <v>0.94268450000000004</v>
      </c>
      <c r="Y5558">
        <v>0.28569519999999998</v>
      </c>
      <c r="Z5558">
        <v>-8.0431470000000005E-2</v>
      </c>
      <c r="AA5558">
        <v>0.95493930000000005</v>
      </c>
      <c r="AB5558">
        <v>45</v>
      </c>
      <c r="AC5558">
        <v>4.3303999999999601</v>
      </c>
      <c r="AD5558">
        <v>-1.1065408883500001</v>
      </c>
      <c r="AE5558">
        <v>12.574589999999899</v>
      </c>
      <c r="AF5558">
        <v>3.9196848078547801</v>
      </c>
      <c r="AG5558">
        <v>-1.1065408883500001</v>
      </c>
      <c r="AH5558">
        <v>12.6128933921479</v>
      </c>
      <c r="AI5558">
        <v>94.788977970968403</v>
      </c>
      <c r="AJ5558">
        <v>72.736422547632301</v>
      </c>
      <c r="AK5558">
        <v>13.254185808725</v>
      </c>
      <c r="AL5558">
        <v>80.424273818282103</v>
      </c>
      <c r="AM5558">
        <v>72.941342624258198</v>
      </c>
      <c r="AN5558">
        <v>0.99999996030774396</v>
      </c>
    </row>
    <row r="5559" spans="1:40" x14ac:dyDescent="0.25">
      <c r="A5559" t="str">
        <f>"20190312164420009"</f>
        <v>20190312164420009</v>
      </c>
      <c r="B5559" t="str">
        <f>"1552380260000746"</f>
        <v>1552380260000746</v>
      </c>
      <c r="C5559" t="s">
        <v>40</v>
      </c>
      <c r="D5559">
        <v>4.7311620000000003</v>
      </c>
      <c r="E5559">
        <v>0.5120768</v>
      </c>
      <c r="F5559" t="s">
        <v>42</v>
      </c>
      <c r="G5559">
        <v>-183.69929999999999</v>
      </c>
      <c r="H5559" s="1">
        <v>-2.1065000000000001E-6</v>
      </c>
      <c r="I5559">
        <v>110.9117</v>
      </c>
      <c r="J5559">
        <v>-188.16419999999999</v>
      </c>
      <c r="K5559">
        <v>1.1064639999999999</v>
      </c>
      <c r="L5559">
        <v>98.240719999999996</v>
      </c>
      <c r="M5559">
        <v>3.33549E-2</v>
      </c>
      <c r="N5559">
        <v>0</v>
      </c>
      <c r="O5559">
        <v>0.999336</v>
      </c>
      <c r="P5559">
        <v>0.32447589999999998</v>
      </c>
      <c r="Q5559">
        <v>0.15456449999999999</v>
      </c>
      <c r="R5559">
        <v>0.93318020000000002</v>
      </c>
      <c r="S5559">
        <v>0.995224</v>
      </c>
      <c r="T5559">
        <v>-0.24580940000000001</v>
      </c>
      <c r="U5559">
        <v>2.9097599999999999</v>
      </c>
      <c r="V5559">
        <v>0.29461659999999901</v>
      </c>
      <c r="W5559">
        <v>0.1658309</v>
      </c>
      <c r="X5559">
        <v>0.94111699999999998</v>
      </c>
      <c r="Y5559">
        <v>0.29084389999999999</v>
      </c>
      <c r="Z5559">
        <v>-8.0028909999999995E-2</v>
      </c>
      <c r="AA5559">
        <v>0.95341770000000003</v>
      </c>
      <c r="AB5559">
        <v>45</v>
      </c>
      <c r="AC5559">
        <v>4.4649000000000001</v>
      </c>
      <c r="AD5559">
        <v>-1.1064661065000001</v>
      </c>
      <c r="AE5559">
        <v>12.67098</v>
      </c>
      <c r="AF5559">
        <v>4.0125132519725097</v>
      </c>
      <c r="AG5559">
        <v>-1.1064661065000001</v>
      </c>
      <c r="AH5559">
        <v>12.726545426034299</v>
      </c>
      <c r="AI5559">
        <v>94.740005380260897</v>
      </c>
      <c r="AJ5559">
        <v>72.500618783201503</v>
      </c>
      <c r="AK5559">
        <v>13.389902476232001</v>
      </c>
      <c r="AL5559">
        <v>80.454493643437601</v>
      </c>
      <c r="AM5559">
        <v>72.617275062264596</v>
      </c>
      <c r="AN5559">
        <v>1.00000001803968</v>
      </c>
    </row>
    <row r="5560" spans="1:40" x14ac:dyDescent="0.25">
      <c r="A5560" t="str">
        <f>"20190312164420031"</f>
        <v>20190312164420031</v>
      </c>
      <c r="B5560" t="str">
        <f>"1552380260020269"</f>
        <v>1552380260020269</v>
      </c>
      <c r="C5560" t="s">
        <v>40</v>
      </c>
      <c r="D5560">
        <v>4.7151699999999996</v>
      </c>
      <c r="E5560">
        <v>0.51177659999999903</v>
      </c>
      <c r="F5560" t="s">
        <v>42</v>
      </c>
      <c r="G5560">
        <v>-183.6319</v>
      </c>
      <c r="H5560" s="1">
        <v>-2.2144029999999998E-6</v>
      </c>
      <c r="I5560">
        <v>111.17619999999999</v>
      </c>
      <c r="J5560">
        <v>-188.1474</v>
      </c>
      <c r="K5560">
        <v>1.1063730000000001</v>
      </c>
      <c r="L5560">
        <v>98.676879999999997</v>
      </c>
      <c r="M5560">
        <v>3.6492259999999999E-2</v>
      </c>
      <c r="N5560">
        <v>0</v>
      </c>
      <c r="O5560">
        <v>0.99922630000000001</v>
      </c>
      <c r="P5560">
        <v>0.32980900000000002</v>
      </c>
      <c r="Q5560">
        <v>0.15398110000000001</v>
      </c>
      <c r="R5560">
        <v>0.93140529999999999</v>
      </c>
      <c r="S5560">
        <v>1.016907</v>
      </c>
      <c r="T5560">
        <v>-0.24825910000000001</v>
      </c>
      <c r="U5560">
        <v>2.9023439999999998</v>
      </c>
      <c r="V5560">
        <v>0.29707739999999999</v>
      </c>
      <c r="W5560">
        <v>0.1651533</v>
      </c>
      <c r="X5560">
        <v>0.94046240000000003</v>
      </c>
      <c r="Y5560">
        <v>0.29492089999999999</v>
      </c>
      <c r="Z5560">
        <v>-8.0854300000000004E-2</v>
      </c>
      <c r="AA5560">
        <v>0.95209469999999996</v>
      </c>
      <c r="AB5560">
        <v>45</v>
      </c>
      <c r="AC5560">
        <v>4.5155000000000003</v>
      </c>
      <c r="AD5560">
        <v>-1.1063752144029999</v>
      </c>
      <c r="AE5560">
        <v>12.4993199999999</v>
      </c>
      <c r="AF5560">
        <v>4.02839584394974</v>
      </c>
      <c r="AG5560">
        <v>-1.1063752144029999</v>
      </c>
      <c r="AH5560">
        <v>12.5686853751012</v>
      </c>
      <c r="AI5560">
        <v>94.791671808039695</v>
      </c>
      <c r="AJ5560">
        <v>72.228798878560994</v>
      </c>
      <c r="AK5560">
        <v>13.2447684482923</v>
      </c>
      <c r="AL5560">
        <v>80.493860485149895</v>
      </c>
      <c r="AM5560">
        <v>72.469486134210797</v>
      </c>
      <c r="AN5560">
        <v>1.0000000599526999</v>
      </c>
    </row>
    <row r="5561" spans="1:40" x14ac:dyDescent="0.25">
      <c r="A5561" t="str">
        <f>"20190312164420052"</f>
        <v>20190312164420052</v>
      </c>
      <c r="B5561" t="str">
        <f>"1552380260040762"</f>
        <v>1552380260040762</v>
      </c>
      <c r="C5561" t="s">
        <v>40</v>
      </c>
      <c r="D5561">
        <v>4.7131160000000003</v>
      </c>
      <c r="E5561">
        <v>0.51142799999999999</v>
      </c>
      <c r="F5561" t="s">
        <v>42</v>
      </c>
      <c r="G5561">
        <v>-183.57429999999999</v>
      </c>
      <c r="H5561" s="1">
        <v>-2.3472019999999998E-6</v>
      </c>
      <c r="I5561">
        <v>111.5214</v>
      </c>
      <c r="J5561">
        <v>-188.1294</v>
      </c>
      <c r="K5561">
        <v>1.1062749999999999</v>
      </c>
      <c r="L5561">
        <v>99.105590000000007</v>
      </c>
      <c r="M5561">
        <v>3.9656869999999997E-2</v>
      </c>
      <c r="N5561">
        <v>0</v>
      </c>
      <c r="O5561">
        <v>0.99910580000000004</v>
      </c>
      <c r="P5561">
        <v>0.33767459999999999</v>
      </c>
      <c r="Q5561">
        <v>0.1531767</v>
      </c>
      <c r="R5561">
        <v>0.92871559999999997</v>
      </c>
      <c r="S5561">
        <v>1.0314179999999999</v>
      </c>
      <c r="T5561">
        <v>-0.24953449999999999</v>
      </c>
      <c r="U5561">
        <v>2.896973</v>
      </c>
      <c r="V5561">
        <v>0.30208639999999998</v>
      </c>
      <c r="W5561">
        <v>0.164215</v>
      </c>
      <c r="X5561">
        <v>0.93902989999999997</v>
      </c>
      <c r="Y5561">
        <v>0.29667300000000002</v>
      </c>
      <c r="Z5561">
        <v>-8.130503E-2</v>
      </c>
      <c r="AA5561">
        <v>0.95151169999999996</v>
      </c>
      <c r="AB5561">
        <v>45</v>
      </c>
      <c r="AC5561">
        <v>4.5551000000000004</v>
      </c>
      <c r="AD5561">
        <v>-1.106277347202</v>
      </c>
      <c r="AE5561">
        <v>12.415809999999899</v>
      </c>
      <c r="AF5561">
        <v>4.0308852957118502</v>
      </c>
      <c r="AG5561">
        <v>-1.106277347202</v>
      </c>
      <c r="AH5561">
        <v>12.499239662628099</v>
      </c>
      <c r="AI5561">
        <v>94.814979569609406</v>
      </c>
      <c r="AJ5561">
        <v>72.125984790999297</v>
      </c>
      <c r="AK5561">
        <v>13.179638765153401</v>
      </c>
      <c r="AL5561">
        <v>80.548364313723496</v>
      </c>
      <c r="AM5561">
        <v>72.166990170539293</v>
      </c>
      <c r="AN5561">
        <v>0.99999995619198401</v>
      </c>
    </row>
    <row r="5562" spans="1:40" x14ac:dyDescent="0.25">
      <c r="A5562" t="str">
        <f>"20190312164420076"</f>
        <v>20190312164420076</v>
      </c>
      <c r="B5562" t="str">
        <f>"1552380260071018"</f>
        <v>1552380260071018</v>
      </c>
      <c r="C5562" t="s">
        <v>40</v>
      </c>
      <c r="D5562">
        <v>4.7140490000000002</v>
      </c>
      <c r="E5562">
        <v>0.51087759999999904</v>
      </c>
      <c r="F5562" t="s">
        <v>42</v>
      </c>
      <c r="G5562">
        <v>-183.52969999999999</v>
      </c>
      <c r="H5562" s="1">
        <v>-2.4312230000000001E-6</v>
      </c>
      <c r="I5562">
        <v>111.7333</v>
      </c>
      <c r="J5562">
        <v>-188.10749999999999</v>
      </c>
      <c r="K5562">
        <v>1.10615</v>
      </c>
      <c r="L5562">
        <v>99.587220000000002</v>
      </c>
      <c r="M5562">
        <v>4.3325759999999998E-2</v>
      </c>
      <c r="N5562">
        <v>0</v>
      </c>
      <c r="O5562">
        <v>0.99895330000000004</v>
      </c>
      <c r="P5562">
        <v>0.34598440000000003</v>
      </c>
      <c r="Q5562">
        <v>0.15262429999999999</v>
      </c>
      <c r="R5562">
        <v>0.92574330000000005</v>
      </c>
      <c r="S5562">
        <v>1.05246</v>
      </c>
      <c r="T5562">
        <v>-0.25312630000000003</v>
      </c>
      <c r="U5562">
        <v>2.8893430000000002</v>
      </c>
      <c r="V5562">
        <v>0.30710009999999999</v>
      </c>
      <c r="W5562">
        <v>0.16350700000000001</v>
      </c>
      <c r="X5562">
        <v>0.93752599999999997</v>
      </c>
      <c r="Y5562">
        <v>0.30005720000000002</v>
      </c>
      <c r="Z5562">
        <v>-8.2508609999999996E-2</v>
      </c>
      <c r="AA5562">
        <v>0.95034620000000003</v>
      </c>
      <c r="AB5562">
        <v>45</v>
      </c>
      <c r="AC5562">
        <v>4.5777999999999901</v>
      </c>
      <c r="AD5562">
        <v>-1.106152431223</v>
      </c>
      <c r="AE5562">
        <v>12.1460799999999</v>
      </c>
      <c r="AF5562">
        <v>4.0180257395626402</v>
      </c>
      <c r="AG5562">
        <v>-1.106152431223</v>
      </c>
      <c r="AH5562">
        <v>12.244110295239601</v>
      </c>
      <c r="AI5562">
        <v>94.906120580489997</v>
      </c>
      <c r="AJ5562">
        <v>71.832239374431694</v>
      </c>
      <c r="AK5562">
        <v>12.933922103015799</v>
      </c>
      <c r="AL5562">
        <v>80.589486015010706</v>
      </c>
      <c r="AM5562">
        <v>71.863048507931694</v>
      </c>
      <c r="AN5562">
        <v>1.0000000055725</v>
      </c>
    </row>
    <row r="5563" spans="1:40" x14ac:dyDescent="0.25">
      <c r="A5563" t="str">
        <f>"20190312164420100"</f>
        <v>20190312164420100</v>
      </c>
      <c r="B5563" t="str">
        <f>"1552380260090538"</f>
        <v>1552380260090538</v>
      </c>
      <c r="C5563" t="s">
        <v>40</v>
      </c>
      <c r="D5563">
        <v>4.9490040000000004</v>
      </c>
      <c r="E5563">
        <v>0.51064399999999999</v>
      </c>
      <c r="F5563" t="s">
        <v>42</v>
      </c>
      <c r="G5563">
        <v>-183.4479</v>
      </c>
      <c r="H5563" s="1">
        <v>-2.578654E-6</v>
      </c>
      <c r="I5563">
        <v>112.1026</v>
      </c>
      <c r="J5563">
        <v>-188.08510000000001</v>
      </c>
      <c r="K5563">
        <v>1.1060219999999901</v>
      </c>
      <c r="L5563">
        <v>100.0445</v>
      </c>
      <c r="M5563">
        <v>4.6935959999999999E-2</v>
      </c>
      <c r="N5563">
        <v>0</v>
      </c>
      <c r="O5563">
        <v>0.99879019999999996</v>
      </c>
      <c r="P5563">
        <v>0.35341519999999998</v>
      </c>
      <c r="Q5563">
        <v>0.1526912</v>
      </c>
      <c r="R5563">
        <v>0.92292090000000004</v>
      </c>
      <c r="S5563">
        <v>1.0728759999999999</v>
      </c>
      <c r="T5563">
        <v>-0.25468980000000002</v>
      </c>
      <c r="U5563">
        <v>2.881653</v>
      </c>
      <c r="V5563">
        <v>0.31130639999999998</v>
      </c>
      <c r="W5563">
        <v>0.16342329999999999</v>
      </c>
      <c r="X5563">
        <v>0.93615230000000005</v>
      </c>
      <c r="Y5563">
        <v>0.30333569999999999</v>
      </c>
      <c r="Z5563">
        <v>-8.3058389999999996E-2</v>
      </c>
      <c r="AA5563">
        <v>0.94925700000000002</v>
      </c>
      <c r="AB5563">
        <v>45</v>
      </c>
      <c r="AC5563">
        <v>4.6372</v>
      </c>
      <c r="AD5563">
        <v>-1.1060245786539999</v>
      </c>
      <c r="AE5563">
        <v>12.0580999999999</v>
      </c>
      <c r="AF5563">
        <v>4.0364837684354899</v>
      </c>
      <c r="AG5563">
        <v>-1.1060245786539999</v>
      </c>
      <c r="AH5563">
        <v>12.173259836605</v>
      </c>
      <c r="AI5563">
        <v>94.928965072860393</v>
      </c>
      <c r="AJ5563">
        <v>71.655196477167195</v>
      </c>
      <c r="AK5563">
        <v>12.8726355743854</v>
      </c>
      <c r="AL5563">
        <v>80.594346901964499</v>
      </c>
      <c r="AM5563">
        <v>71.606063001077302</v>
      </c>
      <c r="AN5563">
        <v>0.99999998922957001</v>
      </c>
    </row>
    <row r="5564" spans="1:40" x14ac:dyDescent="0.25">
      <c r="A5564" t="str">
        <f>"20190312164420121"</f>
        <v>20190312164420121</v>
      </c>
      <c r="B5564" t="str">
        <f>"1552380260111034"</f>
        <v>1552380260111034</v>
      </c>
      <c r="C5564" t="s">
        <v>40</v>
      </c>
      <c r="D5564">
        <v>4.971114</v>
      </c>
      <c r="E5564">
        <v>0.51027509999999998</v>
      </c>
      <c r="F5564" t="s">
        <v>42</v>
      </c>
      <c r="G5564">
        <v>-183.35140000000001</v>
      </c>
      <c r="H5564" s="1">
        <v>-2.7362990000000001E-6</v>
      </c>
      <c r="I5564">
        <v>112.4905</v>
      </c>
      <c r="J5564">
        <v>-188.06190000000001</v>
      </c>
      <c r="K5564">
        <v>1.105888</v>
      </c>
      <c r="L5564">
        <v>100.4815</v>
      </c>
      <c r="M5564">
        <v>5.0516569999999997E-2</v>
      </c>
      <c r="N5564">
        <v>0</v>
      </c>
      <c r="O5564">
        <v>0.99861540000000004</v>
      </c>
      <c r="P5564">
        <v>0.3605584</v>
      </c>
      <c r="Q5564">
        <v>0.1520938</v>
      </c>
      <c r="R5564">
        <v>0.92025270000000003</v>
      </c>
      <c r="S5564">
        <v>1.0931550000000001</v>
      </c>
      <c r="T5564">
        <v>-0.25541930000000002</v>
      </c>
      <c r="U5564">
        <v>2.8742070000000002</v>
      </c>
      <c r="V5564">
        <v>0.31525330000000001</v>
      </c>
      <c r="W5564">
        <v>0.16267479999999901</v>
      </c>
      <c r="X5564">
        <v>0.93496109999999999</v>
      </c>
      <c r="Y5564">
        <v>0.30657980000000001</v>
      </c>
      <c r="Z5564">
        <v>-8.3329039999999993E-2</v>
      </c>
      <c r="AA5564">
        <v>0.94819050000000005</v>
      </c>
      <c r="AB5564">
        <v>45</v>
      </c>
      <c r="AC5564">
        <v>4.7104999999999899</v>
      </c>
      <c r="AD5564">
        <v>-1.105890736299</v>
      </c>
      <c r="AE5564">
        <v>12.009</v>
      </c>
      <c r="AF5564">
        <v>4.06786878171157</v>
      </c>
      <c r="AG5564">
        <v>-1.105890736299</v>
      </c>
      <c r="AH5564">
        <v>12.1424070749263</v>
      </c>
      <c r="AI5564">
        <v>94.935780232604699</v>
      </c>
      <c r="AJ5564">
        <v>71.478461488744699</v>
      </c>
      <c r="AK5564">
        <v>12.853349770354701</v>
      </c>
      <c r="AL5564">
        <v>80.637814544230196</v>
      </c>
      <c r="AM5564">
        <v>71.366751143243704</v>
      </c>
      <c r="AN5564">
        <v>0.99999999611457002</v>
      </c>
    </row>
    <row r="5565" spans="1:40" x14ac:dyDescent="0.25">
      <c r="A5565" t="str">
        <f>"20190312164420142"</f>
        <v>20190312164420142</v>
      </c>
      <c r="B5565" t="str">
        <f>"1552380260130557"</f>
        <v>1552380260130557</v>
      </c>
      <c r="C5565" t="s">
        <v>40</v>
      </c>
      <c r="D5565">
        <v>4.9577830000000001</v>
      </c>
      <c r="E5565">
        <v>0.4989209</v>
      </c>
      <c r="F5565" t="s">
        <v>42</v>
      </c>
      <c r="G5565">
        <v>-183.26089999999999</v>
      </c>
      <c r="H5565" s="1">
        <v>-2.8844869999999999E-6</v>
      </c>
      <c r="I5565">
        <v>112.85509999999999</v>
      </c>
      <c r="J5565">
        <v>-188.03829999999999</v>
      </c>
      <c r="K5565">
        <v>1.105761</v>
      </c>
      <c r="L5565">
        <v>100.896</v>
      </c>
      <c r="M5565">
        <v>5.4036920000000002E-2</v>
      </c>
      <c r="N5565">
        <v>0</v>
      </c>
      <c r="O5565">
        <v>0.99843110000000002</v>
      </c>
      <c r="P5565">
        <v>0.36717080000000002</v>
      </c>
      <c r="Q5565">
        <v>0.15181159999999999</v>
      </c>
      <c r="R5565">
        <v>0.91768119999999997</v>
      </c>
      <c r="S5565">
        <v>1.112228</v>
      </c>
      <c r="T5565">
        <v>-0.25619730000000002</v>
      </c>
      <c r="U5565">
        <v>2.8665470000000002</v>
      </c>
      <c r="V5565">
        <v>0.31873469999999998</v>
      </c>
      <c r="W5565">
        <v>0.16224849999999999</v>
      </c>
      <c r="X5565">
        <v>0.93385419999999997</v>
      </c>
      <c r="Y5565">
        <v>0.30955240000000001</v>
      </c>
      <c r="Z5565">
        <v>-8.3627480000000004E-2</v>
      </c>
      <c r="AA5565">
        <v>0.94719779999999998</v>
      </c>
      <c r="AB5565">
        <v>45</v>
      </c>
      <c r="AC5565">
        <v>4.7774000000000001</v>
      </c>
      <c r="AD5565">
        <v>-1.1057638844869999</v>
      </c>
      <c r="AE5565">
        <v>11.9590999999999</v>
      </c>
      <c r="AF5565">
        <v>4.0939325954639996</v>
      </c>
      <c r="AG5565">
        <v>-1.1057638844869999</v>
      </c>
      <c r="AH5565">
        <v>12.110519914010499</v>
      </c>
      <c r="AI5565">
        <v>94.943632870233003</v>
      </c>
      <c r="AJ5565">
        <v>71.322297411483802</v>
      </c>
      <c r="AK5565">
        <v>12.8315116199177</v>
      </c>
      <c r="AL5565">
        <v>80.662568876059396</v>
      </c>
      <c r="AM5565">
        <v>71.1546630247651</v>
      </c>
      <c r="AN5565">
        <v>1.0000000257969801</v>
      </c>
    </row>
    <row r="5566" spans="1:40" x14ac:dyDescent="0.25">
      <c r="A5566" t="str">
        <f>"20190312164420164"</f>
        <v>20190312164420164</v>
      </c>
      <c r="B5566" t="str">
        <f>"1552380260160811"</f>
        <v>1552380260160811</v>
      </c>
      <c r="C5566" t="s">
        <v>40</v>
      </c>
      <c r="D5566">
        <v>4.8838839999999903</v>
      </c>
      <c r="E5566">
        <v>0.49964310000000001</v>
      </c>
      <c r="F5566" t="s">
        <v>42</v>
      </c>
      <c r="G5566">
        <v>-183.614</v>
      </c>
      <c r="H5566" s="1">
        <v>-2.8822570000000002E-6</v>
      </c>
      <c r="I5566">
        <v>113.1247</v>
      </c>
      <c r="J5566">
        <v>-188.01089999999999</v>
      </c>
      <c r="K5566">
        <v>1.1056299999999999</v>
      </c>
      <c r="L5566">
        <v>101.3454</v>
      </c>
      <c r="M5566">
        <v>5.7970899999999999E-2</v>
      </c>
      <c r="N5566">
        <v>0</v>
      </c>
      <c r="O5566">
        <v>0.99821029999999999</v>
      </c>
      <c r="P5566">
        <v>0.3744635</v>
      </c>
      <c r="Q5566">
        <v>0.15182290000000001</v>
      </c>
      <c r="R5566">
        <v>0.91472779999999998</v>
      </c>
      <c r="S5566">
        <v>1.046875</v>
      </c>
      <c r="T5566">
        <v>-0.2616463</v>
      </c>
      <c r="U5566">
        <v>2.8935550000000001</v>
      </c>
      <c r="V5566">
        <v>0.32254509999999997</v>
      </c>
      <c r="W5566">
        <v>0.162106</v>
      </c>
      <c r="X5566">
        <v>0.93256969999999995</v>
      </c>
      <c r="Y5566">
        <v>0.283885099999999</v>
      </c>
      <c r="Z5566">
        <v>-8.5295430000000005E-2</v>
      </c>
      <c r="AA5566">
        <v>0.95505700000000004</v>
      </c>
      <c r="AB5566">
        <v>45</v>
      </c>
      <c r="AC5566">
        <v>4.39689999999998</v>
      </c>
      <c r="AD5566">
        <v>-1.1056328822569901</v>
      </c>
      <c r="AE5566">
        <v>11.779299999999999</v>
      </c>
      <c r="AF5566">
        <v>3.6781318239827501</v>
      </c>
      <c r="AG5566">
        <v>-1.1056328822569901</v>
      </c>
      <c r="AH5566">
        <v>11.9222147544377</v>
      </c>
      <c r="AI5566">
        <v>95.064086885876506</v>
      </c>
      <c r="AJ5566">
        <v>72.854441445039598</v>
      </c>
      <c r="AK5566">
        <v>12.5255851135129</v>
      </c>
      <c r="AL5566">
        <v>80.670842545875303</v>
      </c>
      <c r="AM5566">
        <v>70.921184945609895</v>
      </c>
      <c r="AN5566">
        <v>0.99999997106404903</v>
      </c>
    </row>
    <row r="5567" spans="1:40" x14ac:dyDescent="0.25">
      <c r="A5567" t="str">
        <f>"20190312164420188"</f>
        <v>20190312164420188</v>
      </c>
      <c r="B5567" t="str">
        <f>"1552380260180330"</f>
        <v>1552380260180330</v>
      </c>
      <c r="C5567" t="s">
        <v>40</v>
      </c>
      <c r="D5567">
        <v>4.8261900000000004</v>
      </c>
      <c r="E5567">
        <v>0.49854219999999999</v>
      </c>
      <c r="F5567" t="s">
        <v>42</v>
      </c>
      <c r="G5567">
        <v>-183.6062</v>
      </c>
      <c r="H5567" s="1">
        <v>-2.906567E-6</v>
      </c>
      <c r="I5567">
        <v>113.19</v>
      </c>
      <c r="J5567">
        <v>-187.98089999999999</v>
      </c>
      <c r="K5567">
        <v>1.105504</v>
      </c>
      <c r="L5567">
        <v>101.80719999999999</v>
      </c>
      <c r="M5567">
        <v>6.2127500000000002E-2</v>
      </c>
      <c r="N5567">
        <v>0</v>
      </c>
      <c r="O5567">
        <v>0.99796019999999996</v>
      </c>
      <c r="P5567">
        <v>0.3817584</v>
      </c>
      <c r="Q5567">
        <v>0.1514537</v>
      </c>
      <c r="R5567">
        <v>0.91176880000000005</v>
      </c>
      <c r="S5567">
        <v>1.0729059999999999</v>
      </c>
      <c r="T5567">
        <v>-0.26931359999999999</v>
      </c>
      <c r="U5567">
        <v>2.8851619999999998</v>
      </c>
      <c r="V5567">
        <v>0.32615719999999998</v>
      </c>
      <c r="W5567">
        <v>0.16158829999999999</v>
      </c>
      <c r="X5567">
        <v>0.93140259999999997</v>
      </c>
      <c r="Y5567">
        <v>0.28829579999999999</v>
      </c>
      <c r="Z5567">
        <v>-8.7789249999999999E-2</v>
      </c>
      <c r="AA5567">
        <v>0.95350860000000004</v>
      </c>
      <c r="AB5567">
        <v>45</v>
      </c>
      <c r="AC5567">
        <v>4.37469999999999</v>
      </c>
      <c r="AD5567">
        <v>-1.105506906567</v>
      </c>
      <c r="AE5567">
        <v>11.3828</v>
      </c>
      <c r="AF5567">
        <v>3.6291597134146301</v>
      </c>
      <c r="AG5567">
        <v>-1.105506906567</v>
      </c>
      <c r="AH5567">
        <v>11.537800940311399</v>
      </c>
      <c r="AI5567">
        <v>95.222389841796996</v>
      </c>
      <c r="AJ5567">
        <v>72.539282530496294</v>
      </c>
      <c r="AK5567">
        <v>12.1455257722418</v>
      </c>
      <c r="AL5567">
        <v>80.700901611595597</v>
      </c>
      <c r="AM5567">
        <v>70.7008412126346</v>
      </c>
      <c r="AN5567">
        <v>1.00000005054774</v>
      </c>
    </row>
    <row r="5568" spans="1:40" x14ac:dyDescent="0.25">
      <c r="A5568" t="str">
        <f>"20190312164420209"</f>
        <v>20190312164420209</v>
      </c>
      <c r="B5568" t="str">
        <f>"1552380260200826"</f>
        <v>1552380260200826</v>
      </c>
      <c r="C5568" t="s">
        <v>40</v>
      </c>
      <c r="D5568">
        <v>5.0752499999999996</v>
      </c>
      <c r="E5568">
        <v>0.49895780000000001</v>
      </c>
      <c r="F5568" t="s">
        <v>42</v>
      </c>
      <c r="G5568">
        <v>-183.59139999999999</v>
      </c>
      <c r="H5568" s="1">
        <v>-3.003319E-6</v>
      </c>
      <c r="I5568">
        <v>113.4628</v>
      </c>
      <c r="J5568">
        <v>-187.9503</v>
      </c>
      <c r="K5568">
        <v>1.1053919999999999</v>
      </c>
      <c r="L5568">
        <v>102.2484</v>
      </c>
      <c r="M5568">
        <v>6.6198199999999999E-2</v>
      </c>
      <c r="N5568">
        <v>0</v>
      </c>
      <c r="O5568">
        <v>0.99769839999999999</v>
      </c>
      <c r="P5568">
        <v>0.388465</v>
      </c>
      <c r="Q5568">
        <v>0.15090780000000001</v>
      </c>
      <c r="R5568">
        <v>0.90902249999999996</v>
      </c>
      <c r="S5568">
        <v>1.0851139999999999</v>
      </c>
      <c r="T5568">
        <v>-0.27329179999999997</v>
      </c>
      <c r="U5568">
        <v>2.8813780000000002</v>
      </c>
      <c r="V5568">
        <v>0.32925500000000002</v>
      </c>
      <c r="W5568">
        <v>0.16091069999999999</v>
      </c>
      <c r="X5568">
        <v>0.93042950000000002</v>
      </c>
      <c r="Y5568">
        <v>0.28830240000000001</v>
      </c>
      <c r="Z5568">
        <v>-8.9085070000000002E-2</v>
      </c>
      <c r="AA5568">
        <v>0.95338639999999997</v>
      </c>
      <c r="AB5568">
        <v>45</v>
      </c>
      <c r="AC5568">
        <v>4.3589000000000002</v>
      </c>
      <c r="AD5568">
        <v>-1.1053950033190001</v>
      </c>
      <c r="AE5568">
        <v>11.2143999999999</v>
      </c>
      <c r="AF5568">
        <v>3.57669371419292</v>
      </c>
      <c r="AG5568">
        <v>-1.1053950033190001</v>
      </c>
      <c r="AH5568">
        <v>11.3823037578877</v>
      </c>
      <c r="AI5568">
        <v>95.293269514390303</v>
      </c>
      <c r="AJ5568">
        <v>72.555568394185698</v>
      </c>
      <c r="AK5568">
        <v>11.982131482976399</v>
      </c>
      <c r="AL5568">
        <v>80.740240314464103</v>
      </c>
      <c r="AM5568">
        <v>70.512442048809504</v>
      </c>
      <c r="AN5568">
        <v>1.00000008143486</v>
      </c>
    </row>
    <row r="5569" spans="1:40" x14ac:dyDescent="0.25">
      <c r="A5569" t="str">
        <f>"20190312164420232"</f>
        <v>20190312164420232</v>
      </c>
      <c r="B5569" t="str">
        <f>"1552380260220346"</f>
        <v>1552380260220346</v>
      </c>
      <c r="C5569" t="s">
        <v>40</v>
      </c>
      <c r="D5569">
        <v>4.8909379999999896</v>
      </c>
      <c r="E5569">
        <v>0.49838949999999999</v>
      </c>
      <c r="F5569" t="s">
        <v>42</v>
      </c>
      <c r="G5569">
        <v>-183.51130000000001</v>
      </c>
      <c r="H5569" s="1">
        <v>-3.1215160000000001E-6</v>
      </c>
      <c r="I5569">
        <v>113.7474</v>
      </c>
      <c r="J5569">
        <v>-187.9177</v>
      </c>
      <c r="K5569">
        <v>1.105286</v>
      </c>
      <c r="L5569">
        <v>102.6942</v>
      </c>
      <c r="M5569">
        <v>7.0401060000000001E-2</v>
      </c>
      <c r="N5569">
        <v>0</v>
      </c>
      <c r="O5569">
        <v>0.99741060000000004</v>
      </c>
      <c r="P5569">
        <v>0.39489819999999998</v>
      </c>
      <c r="Q5569">
        <v>0.1500705</v>
      </c>
      <c r="R5569">
        <v>0.90638529999999995</v>
      </c>
      <c r="S5569">
        <v>1.1087800000000001</v>
      </c>
      <c r="T5569">
        <v>-0.27610390000000001</v>
      </c>
      <c r="U5569">
        <v>2.872223</v>
      </c>
      <c r="V5569">
        <v>0.33195580000000002</v>
      </c>
      <c r="W5569">
        <v>0.15995100000000001</v>
      </c>
      <c r="X5569">
        <v>0.92963490000000004</v>
      </c>
      <c r="Y5569">
        <v>0.29209449999999998</v>
      </c>
      <c r="Z5569">
        <v>-9.004065E-2</v>
      </c>
      <c r="AA5569">
        <v>0.95214149999999997</v>
      </c>
      <c r="AB5569">
        <v>45</v>
      </c>
      <c r="AC5569">
        <v>4.4063999999999899</v>
      </c>
      <c r="AD5569">
        <v>-1.1052891215159999</v>
      </c>
      <c r="AE5569">
        <v>11.0532</v>
      </c>
      <c r="AF5569">
        <v>3.5862802037695598</v>
      </c>
      <c r="AG5569">
        <v>-1.1052891215159999</v>
      </c>
      <c r="AH5569">
        <v>11.2390444349817</v>
      </c>
      <c r="AI5569">
        <v>95.352393964093096</v>
      </c>
      <c r="AJ5569">
        <v>72.302574373607001</v>
      </c>
      <c r="AK5569">
        <v>11.8490163960383</v>
      </c>
      <c r="AL5569">
        <v>80.795948007431406</v>
      </c>
      <c r="AM5569">
        <v>70.349273302860198</v>
      </c>
      <c r="AN5569">
        <v>1.0000000114263199</v>
      </c>
    </row>
    <row r="5570" spans="1:40" x14ac:dyDescent="0.25">
      <c r="A5570" t="str">
        <f>"20190312164420253"</f>
        <v>20190312164420253</v>
      </c>
      <c r="B5570" t="str">
        <f>"1552380260240842"</f>
        <v>1552380260240842</v>
      </c>
      <c r="C5570" t="s">
        <v>40</v>
      </c>
      <c r="D5570">
        <v>5.1545719999999999</v>
      </c>
      <c r="E5570">
        <v>0.4976526</v>
      </c>
      <c r="F5570" t="s">
        <v>42</v>
      </c>
      <c r="G5570">
        <v>-183.39160000000001</v>
      </c>
      <c r="H5570" s="1">
        <v>-3.3150020000000001E-6</v>
      </c>
      <c r="I5570">
        <v>114.22239999999999</v>
      </c>
      <c r="J5570">
        <v>-187.88509999999999</v>
      </c>
      <c r="K5570">
        <v>1.1051850000000001</v>
      </c>
      <c r="L5570">
        <v>103.1146</v>
      </c>
      <c r="M5570">
        <v>7.4439980000000003E-2</v>
      </c>
      <c r="N5570">
        <v>0</v>
      </c>
      <c r="O5570">
        <v>0.99711729999999998</v>
      </c>
      <c r="P5570">
        <v>0.40207389999999998</v>
      </c>
      <c r="Q5570">
        <v>0.14883629999999901</v>
      </c>
      <c r="R5570">
        <v>0.90342920000000004</v>
      </c>
      <c r="S5570">
        <v>1.124908</v>
      </c>
      <c r="T5570">
        <v>-0.27470830000000002</v>
      </c>
      <c r="U5570">
        <v>2.8652340000000001</v>
      </c>
      <c r="V5570">
        <v>0.33557629999999999</v>
      </c>
      <c r="W5570">
        <v>0.15858539999999999</v>
      </c>
      <c r="X5570">
        <v>0.92856839999999996</v>
      </c>
      <c r="Y5570">
        <v>0.2936684</v>
      </c>
      <c r="Z5570">
        <v>-8.9641540000000006E-2</v>
      </c>
      <c r="AA5570">
        <v>0.95169499999999996</v>
      </c>
      <c r="AB5570">
        <v>45</v>
      </c>
      <c r="AC5570">
        <v>4.4934999999999796</v>
      </c>
      <c r="AD5570">
        <v>-1.1051883150020001</v>
      </c>
      <c r="AE5570">
        <v>11.1077999999999</v>
      </c>
      <c r="AF5570">
        <v>3.6232521506578999</v>
      </c>
      <c r="AG5570">
        <v>-1.1051883150020001</v>
      </c>
      <c r="AH5570">
        <v>11.315244068490401</v>
      </c>
      <c r="AI5570">
        <v>95.314360290833093</v>
      </c>
      <c r="AJ5570">
        <v>72.244424454384998</v>
      </c>
      <c r="AK5570">
        <v>11.932482796483299</v>
      </c>
      <c r="AL5570">
        <v>80.875202940235894</v>
      </c>
      <c r="AM5570">
        <v>70.130598347363502</v>
      </c>
      <c r="AN5570">
        <v>1.0000000278467001</v>
      </c>
    </row>
    <row r="5571" spans="1:40" x14ac:dyDescent="0.25">
      <c r="A5571" t="str">
        <f>"20190312164420277"</f>
        <v>20190312164420277</v>
      </c>
      <c r="B5571" t="str">
        <f>"1552380260271099"</f>
        <v>1552380260271099</v>
      </c>
      <c r="C5571" t="s">
        <v>40</v>
      </c>
      <c r="D5571">
        <v>4.9517800000000003</v>
      </c>
      <c r="E5571">
        <v>0.49697069999999999</v>
      </c>
      <c r="F5571" t="s">
        <v>42</v>
      </c>
      <c r="G5571">
        <v>-183.25710000000001</v>
      </c>
      <c r="H5571" s="1">
        <v>-3.5162479999999999E-6</v>
      </c>
      <c r="I5571">
        <v>114.7086</v>
      </c>
      <c r="J5571">
        <v>-187.84639999999999</v>
      </c>
      <c r="K5571">
        <v>1.105065</v>
      </c>
      <c r="L5571">
        <v>103.5873</v>
      </c>
      <c r="M5571">
        <v>7.9058799999999999E-2</v>
      </c>
      <c r="N5571">
        <v>0</v>
      </c>
      <c r="O5571">
        <v>0.99676160000000003</v>
      </c>
      <c r="P5571">
        <v>0.41054970000000002</v>
      </c>
      <c r="Q5571">
        <v>0.148040899999999</v>
      </c>
      <c r="R5571">
        <v>0.89974050000000005</v>
      </c>
      <c r="S5571">
        <v>1.1407620000000001</v>
      </c>
      <c r="T5571">
        <v>-0.27242230000000001</v>
      </c>
      <c r="U5571">
        <v>2.8578640000000002</v>
      </c>
      <c r="V5571">
        <v>0.34003060000000002</v>
      </c>
      <c r="W5571">
        <v>0.15763379999999999</v>
      </c>
      <c r="X5571">
        <v>0.92710879999999996</v>
      </c>
      <c r="Y5571">
        <v>0.29466120000000001</v>
      </c>
      <c r="Z5571">
        <v>-8.8964290000000001E-2</v>
      </c>
      <c r="AA5571">
        <v>0.95145159999999995</v>
      </c>
      <c r="AB5571">
        <v>44</v>
      </c>
      <c r="AC5571">
        <v>4.5892999999999802</v>
      </c>
      <c r="AD5571">
        <v>-1.1050685162480001</v>
      </c>
      <c r="AE5571">
        <v>11.1213</v>
      </c>
      <c r="AF5571">
        <v>3.6646825707261002</v>
      </c>
      <c r="AG5571">
        <v>-1.1050685162480001</v>
      </c>
      <c r="AH5571">
        <v>11.3535589656633</v>
      </c>
      <c r="AI5571">
        <v>95.292017684639006</v>
      </c>
      <c r="AJ5571">
        <v>72.111046080390096</v>
      </c>
      <c r="AK5571">
        <v>11.9814179443244</v>
      </c>
      <c r="AL5571">
        <v>80.930419671287297</v>
      </c>
      <c r="AM5571">
        <v>69.858755351990496</v>
      </c>
      <c r="AN5571">
        <v>0.99999997543811903</v>
      </c>
    </row>
    <row r="5572" spans="1:40" x14ac:dyDescent="0.25">
      <c r="A5572" t="str">
        <f>"20190312164420300"</f>
        <v>20190312164420300</v>
      </c>
      <c r="B5572" t="str">
        <f>"1552380260290618"</f>
        <v>1552380260290618</v>
      </c>
      <c r="C5572" t="s">
        <v>40</v>
      </c>
      <c r="D5572">
        <v>4.9927859999999997</v>
      </c>
      <c r="E5572">
        <v>0.49642059999999999</v>
      </c>
      <c r="F5572" t="s">
        <v>42</v>
      </c>
      <c r="G5572">
        <v>-183.1191</v>
      </c>
      <c r="H5572" s="1">
        <v>-3.7180709999999999E-6</v>
      </c>
      <c r="I5572">
        <v>115.1938</v>
      </c>
      <c r="J5572">
        <v>-187.8064</v>
      </c>
      <c r="K5572">
        <v>1.104965</v>
      </c>
      <c r="L5572">
        <v>104.0496</v>
      </c>
      <c r="M5572">
        <v>8.3649669999999995E-2</v>
      </c>
      <c r="N5572">
        <v>0</v>
      </c>
      <c r="O5572">
        <v>0.99638680000000002</v>
      </c>
      <c r="P5572">
        <v>0.41890110000000003</v>
      </c>
      <c r="Q5572">
        <v>0.1480023</v>
      </c>
      <c r="R5572">
        <v>0.89588899999999905</v>
      </c>
      <c r="S5572">
        <v>1.1605379999999901</v>
      </c>
      <c r="T5572">
        <v>-0.27129389999999998</v>
      </c>
      <c r="U5572">
        <v>2.84938</v>
      </c>
      <c r="V5572">
        <v>0.34442640000000002</v>
      </c>
      <c r="W5572">
        <v>0.15744029999999901</v>
      </c>
      <c r="X5572">
        <v>0.9255177</v>
      </c>
      <c r="Y5572">
        <v>0.296923299999999</v>
      </c>
      <c r="Z5572">
        <v>-8.8649149999999996E-2</v>
      </c>
      <c r="AA5572">
        <v>0.95077750000000005</v>
      </c>
      <c r="AB5572">
        <v>44</v>
      </c>
      <c r="AC5572">
        <v>4.6872999999999898</v>
      </c>
      <c r="AD5572">
        <v>-1.1049687180709999</v>
      </c>
      <c r="AE5572">
        <v>11.1441999999999</v>
      </c>
      <c r="AF5572">
        <v>3.70758841797011</v>
      </c>
      <c r="AG5572">
        <v>-1.1049687180709999</v>
      </c>
      <c r="AH5572">
        <v>11.402022241547501</v>
      </c>
      <c r="AI5572">
        <v>95.265506172221507</v>
      </c>
      <c r="AJ5572">
        <v>71.987061594992795</v>
      </c>
      <c r="AK5572">
        <v>12.0404849961173</v>
      </c>
      <c r="AL5572">
        <v>80.941646846842602</v>
      </c>
      <c r="AM5572">
        <v>69.587522244265998</v>
      </c>
      <c r="AN5572">
        <v>1.0000000030471601</v>
      </c>
    </row>
    <row r="5573" spans="1:40" x14ac:dyDescent="0.25">
      <c r="A5573" t="str">
        <f>"20190312164420320"</f>
        <v>20190312164420320</v>
      </c>
      <c r="B5573" t="str">
        <f>"1552380260311114"</f>
        <v>1552380260311114</v>
      </c>
      <c r="C5573" t="s">
        <v>40</v>
      </c>
      <c r="D5573">
        <v>4.9962330000000001</v>
      </c>
      <c r="E5573">
        <v>0.49579210000000001</v>
      </c>
      <c r="F5573" t="s">
        <v>42</v>
      </c>
      <c r="G5573">
        <v>-182.9401</v>
      </c>
      <c r="H5573" s="1">
        <v>-3.9560550000000004E-6</v>
      </c>
      <c r="I5573">
        <v>115.75320000000001</v>
      </c>
      <c r="J5573">
        <v>-187.76900000000001</v>
      </c>
      <c r="K5573">
        <v>1.1048789999999999</v>
      </c>
      <c r="L5573">
        <v>104.45950000000001</v>
      </c>
      <c r="M5573">
        <v>8.7794280000000002E-2</v>
      </c>
      <c r="N5573">
        <v>0</v>
      </c>
      <c r="O5573">
        <v>0.99603019999999998</v>
      </c>
      <c r="P5573">
        <v>0.426537</v>
      </c>
      <c r="Q5573">
        <v>0.1481674</v>
      </c>
      <c r="R5573">
        <v>0.89225140000000003</v>
      </c>
      <c r="S5573">
        <v>1.181122</v>
      </c>
      <c r="T5573">
        <v>-0.26819480000000001</v>
      </c>
      <c r="U5573">
        <v>2.840668</v>
      </c>
      <c r="V5573">
        <v>0.34852450000000001</v>
      </c>
      <c r="W5573">
        <v>0.1574605</v>
      </c>
      <c r="X5573">
        <v>0.92397879999999999</v>
      </c>
      <c r="Y5573">
        <v>0.29989110000000002</v>
      </c>
      <c r="Z5573">
        <v>-8.7686490000000006E-2</v>
      </c>
      <c r="AA5573">
        <v>0.94993499999999997</v>
      </c>
      <c r="AB5573">
        <v>44</v>
      </c>
      <c r="AC5573">
        <v>4.8289</v>
      </c>
      <c r="AD5573">
        <v>-1.104882956055</v>
      </c>
      <c r="AE5573">
        <v>11.293699999999999</v>
      </c>
      <c r="AF5573">
        <v>3.7879691934020401</v>
      </c>
      <c r="AG5573">
        <v>-1.104882956055</v>
      </c>
      <c r="AH5573">
        <v>11.580371730168499</v>
      </c>
      <c r="AI5573">
        <v>95.181519693330998</v>
      </c>
      <c r="AJ5573">
        <v>71.886947010267505</v>
      </c>
      <c r="AK5573">
        <v>12.2341524580017</v>
      </c>
      <c r="AL5573">
        <v>80.940474638631997</v>
      </c>
      <c r="AM5573">
        <v>69.333541042447806</v>
      </c>
      <c r="AN5573">
        <v>0.99999997950496899</v>
      </c>
    </row>
    <row r="5574" spans="1:40" x14ac:dyDescent="0.25">
      <c r="A5574" t="str">
        <f>"20190312164420342"</f>
        <v>20190312164420342</v>
      </c>
      <c r="B5574" t="str">
        <f>"1552380260330634"</f>
        <v>1552380260330634</v>
      </c>
      <c r="C5574" t="s">
        <v>40</v>
      </c>
      <c r="D5574">
        <v>5.0771069999999998</v>
      </c>
      <c r="E5574">
        <v>0.49533820000000001</v>
      </c>
      <c r="F5574" t="s">
        <v>42</v>
      </c>
      <c r="G5574">
        <v>-182.77010000000001</v>
      </c>
      <c r="H5574" s="1">
        <v>-4.1714789999999998E-6</v>
      </c>
      <c r="I5574">
        <v>116.2533</v>
      </c>
      <c r="J5574">
        <v>-187.7286</v>
      </c>
      <c r="K5574">
        <v>1.104784</v>
      </c>
      <c r="L5574">
        <v>104.88200000000001</v>
      </c>
      <c r="M5574">
        <v>9.2150579999999996E-2</v>
      </c>
      <c r="N5574">
        <v>0</v>
      </c>
      <c r="O5574">
        <v>0.99563650000000004</v>
      </c>
      <c r="P5574">
        <v>0.4340369</v>
      </c>
      <c r="Q5574">
        <v>0.1480185</v>
      </c>
      <c r="R5574">
        <v>0.88865209999999994</v>
      </c>
      <c r="S5574">
        <v>1.2005459999999999</v>
      </c>
      <c r="T5574">
        <v>-0.26535209999999998</v>
      </c>
      <c r="U5574">
        <v>2.8324280000000002</v>
      </c>
      <c r="V5574">
        <v>0.3523038</v>
      </c>
      <c r="W5574">
        <v>0.15716429999999901</v>
      </c>
      <c r="X5574">
        <v>0.9225949</v>
      </c>
      <c r="Y5574">
        <v>0.30226439999999999</v>
      </c>
      <c r="Z5574">
        <v>-8.6800100000000005E-2</v>
      </c>
      <c r="AA5574">
        <v>0.94926390000000005</v>
      </c>
      <c r="AB5574">
        <v>44</v>
      </c>
      <c r="AC5574">
        <v>4.9584999999999804</v>
      </c>
      <c r="AD5574">
        <v>-1.104788171479</v>
      </c>
      <c r="AE5574">
        <v>11.3712999999999</v>
      </c>
      <c r="AF5574">
        <v>3.8588072685117898</v>
      </c>
      <c r="AG5574">
        <v>-1.104788171479</v>
      </c>
      <c r="AH5574">
        <v>11.687190249463301</v>
      </c>
      <c r="AI5574">
        <v>95.129327741573206</v>
      </c>
      <c r="AJ5574">
        <v>71.728116068230406</v>
      </c>
      <c r="AK5574">
        <v>12.357239431463199</v>
      </c>
      <c r="AL5574">
        <v>80.9576595079334</v>
      </c>
      <c r="AM5574">
        <v>69.100050621281895</v>
      </c>
      <c r="AN5574">
        <v>0.99999996709746897</v>
      </c>
    </row>
    <row r="5575" spans="1:40" x14ac:dyDescent="0.25">
      <c r="A5575" t="str">
        <f>"20190312164420366"</f>
        <v>20190312164420366</v>
      </c>
      <c r="B5575" t="str">
        <f>"1552380260360294"</f>
        <v>1552380260360294</v>
      </c>
      <c r="C5575" t="s">
        <v>40</v>
      </c>
      <c r="D5575">
        <v>5.0360459999999998</v>
      </c>
      <c r="E5575">
        <v>0.49453409999999898</v>
      </c>
      <c r="F5575" t="s">
        <v>42</v>
      </c>
      <c r="G5575">
        <v>-182.6746</v>
      </c>
      <c r="H5575" s="1">
        <v>-4.3045769999999998E-6</v>
      </c>
      <c r="I5575">
        <v>116.5697</v>
      </c>
      <c r="J5575">
        <v>-187.68209999999999</v>
      </c>
      <c r="K5575">
        <v>1.104663</v>
      </c>
      <c r="L5575">
        <v>105.3441</v>
      </c>
      <c r="M5575">
        <v>9.7027489999999994E-2</v>
      </c>
      <c r="N5575">
        <v>0</v>
      </c>
      <c r="O5575">
        <v>0.99517299999999997</v>
      </c>
      <c r="P5575">
        <v>0.44187850000000001</v>
      </c>
      <c r="Q5575">
        <v>0.14802969999999999</v>
      </c>
      <c r="R5575">
        <v>0.88477719999999904</v>
      </c>
      <c r="S5575">
        <v>1.221115</v>
      </c>
      <c r="T5575">
        <v>-0.26693480000000003</v>
      </c>
      <c r="U5575">
        <v>2.823944</v>
      </c>
      <c r="V5575">
        <v>0.3559928</v>
      </c>
      <c r="W5575">
        <v>0.15701219999999999</v>
      </c>
      <c r="X5575">
        <v>0.92120369999999996</v>
      </c>
      <c r="Y5575">
        <v>0.30444139999999997</v>
      </c>
      <c r="Z5575">
        <v>-8.7340950000000001E-2</v>
      </c>
      <c r="AA5575">
        <v>0.94851830000000004</v>
      </c>
      <c r="AB5575">
        <v>44</v>
      </c>
      <c r="AC5575">
        <v>5.0074999999999896</v>
      </c>
      <c r="AD5575">
        <v>-1.1046673045769999</v>
      </c>
      <c r="AE5575">
        <v>11.2256</v>
      </c>
      <c r="AF5575">
        <v>3.8633554949331699</v>
      </c>
      <c r="AG5575">
        <v>-1.1046673045769999</v>
      </c>
      <c r="AH5575">
        <v>11.5651333090424</v>
      </c>
      <c r="AI5575">
        <v>95.176629292305705</v>
      </c>
      <c r="AJ5575">
        <v>71.528002119710905</v>
      </c>
      <c r="AK5575">
        <v>12.2432885284123</v>
      </c>
      <c r="AL5575">
        <v>80.966483877440993</v>
      </c>
      <c r="AM5575">
        <v>68.871320132008293</v>
      </c>
      <c r="AN5575">
        <v>0.99999998074718399</v>
      </c>
    </row>
    <row r="5576" spans="1:40" x14ac:dyDescent="0.25">
      <c r="A5576" t="str">
        <f>"20190312164420389"</f>
        <v>20190312164420389</v>
      </c>
      <c r="B5576" t="str">
        <f>"1552380260380789"</f>
        <v>1552380260380789</v>
      </c>
      <c r="C5576" t="s">
        <v>40</v>
      </c>
      <c r="D5576">
        <v>5.1079119999999998</v>
      </c>
      <c r="E5576">
        <v>0.49432039999999999</v>
      </c>
      <c r="F5576" t="s">
        <v>42</v>
      </c>
      <c r="G5576">
        <v>-182.5564</v>
      </c>
      <c r="H5576" s="1">
        <v>-4.4789039999999997E-6</v>
      </c>
      <c r="I5576">
        <v>116.9896</v>
      </c>
      <c r="J5576">
        <v>-187.63229999999999</v>
      </c>
      <c r="K5576">
        <v>1.104538</v>
      </c>
      <c r="L5576">
        <v>105.815</v>
      </c>
      <c r="M5576">
        <v>0.10210859999999999</v>
      </c>
      <c r="N5576">
        <v>0</v>
      </c>
      <c r="O5576">
        <v>0.99466449999999995</v>
      </c>
      <c r="P5576">
        <v>0.45014890000000002</v>
      </c>
      <c r="Q5576">
        <v>0.14782310000000001</v>
      </c>
      <c r="R5576">
        <v>0.88063289999999905</v>
      </c>
      <c r="S5576">
        <v>1.2395780000000001</v>
      </c>
      <c r="T5576">
        <v>-0.26715050000000001</v>
      </c>
      <c r="U5576">
        <v>2.8163149999999999</v>
      </c>
      <c r="V5576">
        <v>0.35996499999999998</v>
      </c>
      <c r="W5576">
        <v>0.1566322</v>
      </c>
      <c r="X5576">
        <v>0.91972359999999997</v>
      </c>
      <c r="Y5576">
        <v>0.30573299999999998</v>
      </c>
      <c r="Z5576">
        <v>-8.7431040000000002E-2</v>
      </c>
      <c r="AA5576">
        <v>0.94809449999999995</v>
      </c>
      <c r="AB5576">
        <v>44</v>
      </c>
      <c r="AC5576">
        <v>5.0758999999999901</v>
      </c>
      <c r="AD5576">
        <v>-1.1045424789039999</v>
      </c>
      <c r="AE5576">
        <v>11.1745999999999</v>
      </c>
      <c r="AF5576">
        <v>3.87681899818321</v>
      </c>
      <c r="AG5576">
        <v>-1.1045424789039999</v>
      </c>
      <c r="AH5576">
        <v>11.541057935318699</v>
      </c>
      <c r="AI5576">
        <v>95.183891898491794</v>
      </c>
      <c r="AJ5576">
        <v>71.432007526750795</v>
      </c>
      <c r="AK5576">
        <v>12.2248009349338</v>
      </c>
      <c r="AL5576">
        <v>80.988528979654703</v>
      </c>
      <c r="AM5576">
        <v>68.625425589347998</v>
      </c>
      <c r="AN5576">
        <v>0.99999997384939898</v>
      </c>
    </row>
    <row r="5577" spans="1:40" x14ac:dyDescent="0.25">
      <c r="A5577" t="str">
        <f>"20190312164420412"</f>
        <v>20190312164420412</v>
      </c>
      <c r="B5577" t="str">
        <f>"1552380260400309"</f>
        <v>1552380260400309</v>
      </c>
      <c r="C5577" t="s">
        <v>40</v>
      </c>
      <c r="D5577">
        <v>5.0288459999999997</v>
      </c>
      <c r="E5577">
        <v>0.4940234</v>
      </c>
      <c r="F5577" t="s">
        <v>42</v>
      </c>
      <c r="G5577">
        <v>-182.45740000000001</v>
      </c>
      <c r="H5577" s="1">
        <v>-4.6328909999999997E-6</v>
      </c>
      <c r="I5577">
        <v>117.3134</v>
      </c>
      <c r="J5577">
        <v>-187.58430000000001</v>
      </c>
      <c r="K5577">
        <v>1.104419</v>
      </c>
      <c r="L5577">
        <v>106.2482</v>
      </c>
      <c r="M5577">
        <v>0.1068972</v>
      </c>
      <c r="N5577">
        <v>0</v>
      </c>
      <c r="O5577">
        <v>0.99416119999999997</v>
      </c>
      <c r="P5577">
        <v>0.45739879999999999</v>
      </c>
      <c r="Q5577">
        <v>0.14724039999999999</v>
      </c>
      <c r="R5577">
        <v>0.87698719999999997</v>
      </c>
      <c r="S5577">
        <v>1.262985</v>
      </c>
      <c r="T5577">
        <v>-0.26957599999999998</v>
      </c>
      <c r="U5577">
        <v>2.806305</v>
      </c>
      <c r="V5577">
        <v>0.36315510000000001</v>
      </c>
      <c r="W5577">
        <v>0.15589320000000001</v>
      </c>
      <c r="X5577">
        <v>0.91859440000000003</v>
      </c>
      <c r="Y5577">
        <v>0.3089616</v>
      </c>
      <c r="Z5577">
        <v>-8.8246379999999999E-2</v>
      </c>
      <c r="AA5577">
        <v>0.94697169999999997</v>
      </c>
      <c r="AB5577">
        <v>44</v>
      </c>
      <c r="AC5577">
        <v>5.1269</v>
      </c>
      <c r="AD5577">
        <v>-1.104423632891</v>
      </c>
      <c r="AE5577">
        <v>11.065200000000001</v>
      </c>
      <c r="AF5577">
        <v>3.8827060769455102</v>
      </c>
      <c r="AG5577">
        <v>-1.104423632891</v>
      </c>
      <c r="AH5577">
        <v>11.4559386966266</v>
      </c>
      <c r="AI5577">
        <v>95.216905553343494</v>
      </c>
      <c r="AJ5577">
        <v>71.277186255343395</v>
      </c>
      <c r="AK5577">
        <v>12.1463446954919</v>
      </c>
      <c r="AL5577">
        <v>81.031397358973194</v>
      </c>
      <c r="AM5577">
        <v>68.429239131626503</v>
      </c>
      <c r="AN5577">
        <v>0.99999999408680496</v>
      </c>
    </row>
    <row r="5578" spans="1:40" x14ac:dyDescent="0.25">
      <c r="A5578" t="str">
        <f>"20190312164420432"</f>
        <v>20190312164420432</v>
      </c>
      <c r="B5578" t="str">
        <f>"1552380260420805"</f>
        <v>1552380260420805</v>
      </c>
      <c r="C5578" t="s">
        <v>40</v>
      </c>
      <c r="D5578">
        <v>5.1342990000000004</v>
      </c>
      <c r="E5578">
        <v>0.48549369999999997</v>
      </c>
      <c r="F5578" t="s">
        <v>42</v>
      </c>
      <c r="G5578">
        <v>-182.37520000000001</v>
      </c>
      <c r="H5578" s="1">
        <v>-4.772024E-6</v>
      </c>
      <c r="I5578">
        <v>117.6037</v>
      </c>
      <c r="J5578">
        <v>-187.53809999999999</v>
      </c>
      <c r="K5578">
        <v>1.104301</v>
      </c>
      <c r="L5578">
        <v>106.6472</v>
      </c>
      <c r="M5578">
        <v>0.11142920000000001</v>
      </c>
      <c r="N5578">
        <v>0</v>
      </c>
      <c r="O5578">
        <v>0.99366330000000003</v>
      </c>
      <c r="P5578">
        <v>0.46354489999999998</v>
      </c>
      <c r="Q5578">
        <v>0.14637820000000001</v>
      </c>
      <c r="R5578">
        <v>0.87389910000000004</v>
      </c>
      <c r="S5578">
        <v>1.2831729999999999</v>
      </c>
      <c r="T5578">
        <v>-0.27205359999999901</v>
      </c>
      <c r="U5578">
        <v>2.7972260000000002</v>
      </c>
      <c r="V5578">
        <v>0.3654366</v>
      </c>
      <c r="W5578">
        <v>0.15489040000000001</v>
      </c>
      <c r="X5578">
        <v>0.91785899999999998</v>
      </c>
      <c r="Y5578">
        <v>0.31140630000000002</v>
      </c>
      <c r="Z5578">
        <v>-8.9081469999999996E-2</v>
      </c>
      <c r="AA5578">
        <v>0.9460923</v>
      </c>
      <c r="AB5578">
        <v>44</v>
      </c>
      <c r="AC5578">
        <v>5.1628999999999703</v>
      </c>
      <c r="AD5578">
        <v>-1.1043057720239999</v>
      </c>
      <c r="AE5578">
        <v>10.9565</v>
      </c>
      <c r="AF5578">
        <v>3.8775011309193199</v>
      </c>
      <c r="AG5578">
        <v>-1.1043057720239999</v>
      </c>
      <c r="AH5578">
        <v>11.3691032939895</v>
      </c>
      <c r="AI5578">
        <v>95.252578233494404</v>
      </c>
      <c r="AJ5578">
        <v>71.167748368639295</v>
      </c>
      <c r="AK5578">
        <v>12.062794699729</v>
      </c>
      <c r="AL5578">
        <v>81.089560527617394</v>
      </c>
      <c r="AM5578">
        <v>68.290508483199702</v>
      </c>
      <c r="AN5578">
        <v>1.0000000442563499</v>
      </c>
    </row>
    <row r="5579" spans="1:40" x14ac:dyDescent="0.25">
      <c r="A5579" t="str">
        <f>"20190312164420455"</f>
        <v>20190312164420455</v>
      </c>
      <c r="B5579" t="str">
        <f>"1552380260450314"</f>
        <v>1552380260450314</v>
      </c>
      <c r="C5579" t="s">
        <v>40</v>
      </c>
      <c r="D5579">
        <v>5.1022339999999904</v>
      </c>
      <c r="E5579">
        <v>0.50711309999999998</v>
      </c>
      <c r="F5579" t="s">
        <v>42</v>
      </c>
      <c r="G5579">
        <v>-183.07089999999999</v>
      </c>
      <c r="H5579" s="1">
        <v>-4.3169530000000001E-6</v>
      </c>
      <c r="I5579">
        <v>116.8306</v>
      </c>
      <c r="J5579">
        <v>-187.48310000000001</v>
      </c>
      <c r="K5579">
        <v>1.104149</v>
      </c>
      <c r="L5579">
        <v>107.1031</v>
      </c>
      <c r="M5579">
        <v>0.1167663</v>
      </c>
      <c r="N5579">
        <v>0</v>
      </c>
      <c r="O5579">
        <v>0.99305019999999999</v>
      </c>
      <c r="P5579">
        <v>0.47064590000000001</v>
      </c>
      <c r="Q5579">
        <v>0.14635770000000001</v>
      </c>
      <c r="R5579">
        <v>0.870098699999999</v>
      </c>
      <c r="S5579">
        <v>1.2399290000000001</v>
      </c>
      <c r="T5579">
        <v>-0.3065116</v>
      </c>
      <c r="U5579">
        <v>2.8265229999999999</v>
      </c>
      <c r="V5579">
        <v>0.36803960000000002</v>
      </c>
      <c r="W5579">
        <v>0.154693</v>
      </c>
      <c r="X5579">
        <v>0.91685159999999999</v>
      </c>
      <c r="Y5579">
        <v>0.29002289999999997</v>
      </c>
      <c r="Z5579">
        <v>-9.9862350000000003E-2</v>
      </c>
      <c r="AA5579">
        <v>0.95179519999999995</v>
      </c>
      <c r="AB5579">
        <v>44</v>
      </c>
      <c r="AC5579">
        <v>4.4122000000000101</v>
      </c>
      <c r="AD5579">
        <v>-1.104153316953</v>
      </c>
      <c r="AE5579">
        <v>9.7274999999999991</v>
      </c>
      <c r="AF5579">
        <v>3.2117243722279798</v>
      </c>
      <c r="AG5579">
        <v>-1.104153316953</v>
      </c>
      <c r="AH5579">
        <v>10.0686054522091</v>
      </c>
      <c r="AI5579">
        <v>95.964420718273999</v>
      </c>
      <c r="AJ5579">
        <v>72.308147484025994</v>
      </c>
      <c r="AK5579">
        <v>10.6259655440227</v>
      </c>
      <c r="AL5579">
        <v>81.101007976595099</v>
      </c>
      <c r="AM5579">
        <v>68.128646743179701</v>
      </c>
      <c r="AN5579">
        <v>0.99999996391985901</v>
      </c>
    </row>
    <row r="5580" spans="1:40" x14ac:dyDescent="0.25">
      <c r="A5580" t="str">
        <f>"20190312164420477"</f>
        <v>20190312164420477</v>
      </c>
      <c r="B5580" t="str">
        <f>"1552380260470810"</f>
        <v>1552380260470810</v>
      </c>
      <c r="C5580" t="s">
        <v>40</v>
      </c>
      <c r="D5580">
        <v>5.1088170000000002</v>
      </c>
      <c r="E5580">
        <v>0.50950019999999996</v>
      </c>
      <c r="F5580" t="s">
        <v>42</v>
      </c>
      <c r="G5580">
        <v>-182.46799999999999</v>
      </c>
      <c r="H5580" s="1">
        <v>-4.4337630000000003E-6</v>
      </c>
      <c r="I5580">
        <v>116.7878</v>
      </c>
      <c r="J5580">
        <v>-187.42689999999999</v>
      </c>
      <c r="K5580">
        <v>1.1039840000000001</v>
      </c>
      <c r="L5580">
        <v>107.547</v>
      </c>
      <c r="M5580">
        <v>0.1221401</v>
      </c>
      <c r="N5580">
        <v>0</v>
      </c>
      <c r="O5580">
        <v>0.99240340000000005</v>
      </c>
      <c r="P5580">
        <v>0.47804239999999998</v>
      </c>
      <c r="Q5580">
        <v>0.14667279999999999</v>
      </c>
      <c r="R5580">
        <v>0.86600379999999999</v>
      </c>
      <c r="S5580">
        <v>1.41597</v>
      </c>
      <c r="T5580">
        <v>-0.31174829999999998</v>
      </c>
      <c r="U5580">
        <v>2.7343899999999999</v>
      </c>
      <c r="V5580">
        <v>0.37096489999999999</v>
      </c>
      <c r="W5580">
        <v>0.15481349999999999</v>
      </c>
      <c r="X5580">
        <v>0.91565160000000001</v>
      </c>
      <c r="Y5580">
        <v>0.34551859999999901</v>
      </c>
      <c r="Z5580">
        <v>-0.10217560000000001</v>
      </c>
      <c r="AA5580">
        <v>0.93283280000000002</v>
      </c>
      <c r="AB5580">
        <v>44</v>
      </c>
      <c r="AC5580">
        <v>4.9588999999999999</v>
      </c>
      <c r="AD5580">
        <v>-1.1039884337629999</v>
      </c>
      <c r="AE5580">
        <v>9.2407999999999895</v>
      </c>
      <c r="AF5580">
        <v>3.7513975330520002</v>
      </c>
      <c r="AG5580">
        <v>-1.1039884337629999</v>
      </c>
      <c r="AH5580">
        <v>9.67018290887221</v>
      </c>
      <c r="AI5580">
        <v>96.075450110108804</v>
      </c>
      <c r="AJ5580">
        <v>68.797008968396497</v>
      </c>
      <c r="AK5580">
        <v>10.4309257213305</v>
      </c>
      <c r="AL5580">
        <v>81.094020103480702</v>
      </c>
      <c r="AM5580">
        <v>67.945279448573004</v>
      </c>
      <c r="AN5580">
        <v>1.0000000146984001</v>
      </c>
    </row>
    <row r="5581" spans="1:40" x14ac:dyDescent="0.25">
      <c r="A5581" t="str">
        <f>"20190312164420500"</f>
        <v>20190312164420500</v>
      </c>
      <c r="B5581" t="str">
        <f>"1552380260491306"</f>
        <v>1552380260491306</v>
      </c>
      <c r="C5581" t="s">
        <v>40</v>
      </c>
      <c r="D5581">
        <v>5.1120469999999996</v>
      </c>
      <c r="E5581">
        <v>0.51092720000000003</v>
      </c>
      <c r="F5581" t="s">
        <v>42</v>
      </c>
      <c r="G5581">
        <v>-182.23519999999999</v>
      </c>
      <c r="H5581" s="1">
        <v>-4.6454389999999996E-6</v>
      </c>
      <c r="I5581">
        <v>117.2278</v>
      </c>
      <c r="J5581">
        <v>-187.36869999999999</v>
      </c>
      <c r="K5581">
        <v>1.103809</v>
      </c>
      <c r="L5581">
        <v>107.9883</v>
      </c>
      <c r="M5581">
        <v>0.1276629</v>
      </c>
      <c r="N5581">
        <v>0</v>
      </c>
      <c r="O5581">
        <v>0.99170800000000003</v>
      </c>
      <c r="P5581">
        <v>0.48508980000000002</v>
      </c>
      <c r="Q5581">
        <v>0.1464789</v>
      </c>
      <c r="R5581">
        <v>0.86210889999999996</v>
      </c>
      <c r="S5581">
        <v>1.455139</v>
      </c>
      <c r="T5581">
        <v>-0.30942730000000002</v>
      </c>
      <c r="U5581">
        <v>2.7133479999999999</v>
      </c>
      <c r="V5581">
        <v>0.37339749999999999</v>
      </c>
      <c r="W5581">
        <v>0.15442439999999999</v>
      </c>
      <c r="X5581">
        <v>0.91472799999999999</v>
      </c>
      <c r="Y5581">
        <v>0.35378779999999999</v>
      </c>
      <c r="Z5581">
        <v>-0.1015219</v>
      </c>
      <c r="AA5581">
        <v>0.92979970000000001</v>
      </c>
      <c r="AB5581">
        <v>44</v>
      </c>
      <c r="AC5581">
        <v>5.13349999999999</v>
      </c>
      <c r="AD5581">
        <v>-1.103813645439</v>
      </c>
      <c r="AE5581">
        <v>9.2394999999999996</v>
      </c>
      <c r="AF5581">
        <v>3.8696158361288</v>
      </c>
      <c r="AG5581">
        <v>-1.103813645439</v>
      </c>
      <c r="AH5581">
        <v>9.7133793138367501</v>
      </c>
      <c r="AI5581">
        <v>96.026367967253407</v>
      </c>
      <c r="AJ5581">
        <v>68.278652799156305</v>
      </c>
      <c r="AK5581">
        <v>10.513898847599201</v>
      </c>
      <c r="AL5581">
        <v>81.116584686496694</v>
      </c>
      <c r="AM5581">
        <v>67.794420388359995</v>
      </c>
      <c r="AN5581">
        <v>0.99999995115280305</v>
      </c>
    </row>
    <row r="5582" spans="1:40" x14ac:dyDescent="0.25">
      <c r="A5582" t="str">
        <f>"20190312164420521"</f>
        <v>20190312164420521</v>
      </c>
      <c r="B5582" t="str">
        <f>"1552380260510826"</f>
        <v>1552380260510826</v>
      </c>
      <c r="C5582" t="s">
        <v>40</v>
      </c>
      <c r="D5582">
        <v>5.1215190000000002</v>
      </c>
      <c r="E5582">
        <v>0.51123390000000002</v>
      </c>
      <c r="F5582" t="s">
        <v>42</v>
      </c>
      <c r="G5582">
        <v>-182.06610000000001</v>
      </c>
      <c r="H5582" s="1">
        <v>-4.8264519999999998E-6</v>
      </c>
      <c r="I5582">
        <v>117.6028</v>
      </c>
      <c r="J5582">
        <v>-187.3109</v>
      </c>
      <c r="K5582">
        <v>1.10364</v>
      </c>
      <c r="L5582">
        <v>108.40689999999999</v>
      </c>
      <c r="M5582">
        <v>0.1330799</v>
      </c>
      <c r="N5582">
        <v>0</v>
      </c>
      <c r="O5582">
        <v>0.99099539999999997</v>
      </c>
      <c r="P5582">
        <v>0.49181570000000002</v>
      </c>
      <c r="Q5582">
        <v>0.1457956</v>
      </c>
      <c r="R5582">
        <v>0.85840609999999995</v>
      </c>
      <c r="S5582">
        <v>1.4867709999999901</v>
      </c>
      <c r="T5582">
        <v>-0.30949850000000001</v>
      </c>
      <c r="U5582">
        <v>2.6958310000000001</v>
      </c>
      <c r="V5582">
        <v>0.37559290000000001</v>
      </c>
      <c r="W5582">
        <v>0.15355369999999999</v>
      </c>
      <c r="X5582">
        <v>0.91397550000000005</v>
      </c>
      <c r="Y5582">
        <v>0.3595894</v>
      </c>
      <c r="Z5582">
        <v>-0.1016254</v>
      </c>
      <c r="AA5582">
        <v>0.9275601</v>
      </c>
      <c r="AB5582">
        <v>44</v>
      </c>
      <c r="AC5582">
        <v>5.2447999999999899</v>
      </c>
      <c r="AD5582">
        <v>-1.103644826452</v>
      </c>
      <c r="AE5582">
        <v>9.1959</v>
      </c>
      <c r="AF5582">
        <v>3.93148776245721</v>
      </c>
      <c r="AG5582">
        <v>-1.103644826452</v>
      </c>
      <c r="AH5582">
        <v>9.7066466850322897</v>
      </c>
      <c r="AI5582">
        <v>96.015849219147697</v>
      </c>
      <c r="AJ5582">
        <v>67.950552280211298</v>
      </c>
      <c r="AK5582">
        <v>10.530603866699799</v>
      </c>
      <c r="AL5582">
        <v>81.167074684029203</v>
      </c>
      <c r="AM5582">
        <v>67.660074445261401</v>
      </c>
      <c r="AN5582">
        <v>0.99999998995717498</v>
      </c>
    </row>
    <row r="5583" spans="1:40" x14ac:dyDescent="0.25">
      <c r="A5583" t="str">
        <f>"20190312164420543"</f>
        <v>20190312164420543</v>
      </c>
      <c r="B5583" t="str">
        <f>"1552380260530349"</f>
        <v>1552380260530349</v>
      </c>
      <c r="C5583" t="s">
        <v>40</v>
      </c>
      <c r="D5583">
        <v>5.154236</v>
      </c>
      <c r="E5583">
        <v>0.51166780000000001</v>
      </c>
      <c r="F5583" t="s">
        <v>42</v>
      </c>
      <c r="G5583">
        <v>-181.92179999999999</v>
      </c>
      <c r="H5583" s="1">
        <v>-5.0135850000000004E-6</v>
      </c>
      <c r="I5583">
        <v>117.97929999999999</v>
      </c>
      <c r="J5583">
        <v>-187.24809999999999</v>
      </c>
      <c r="K5583">
        <v>1.1034649999999999</v>
      </c>
      <c r="L5583">
        <v>108.84139999999999</v>
      </c>
      <c r="M5583">
        <v>0.13888310000000001</v>
      </c>
      <c r="N5583">
        <v>0</v>
      </c>
      <c r="O5583">
        <v>0.99019860000000004</v>
      </c>
      <c r="P5583">
        <v>0.50042979999999904</v>
      </c>
      <c r="Q5583">
        <v>0.14539850000000001</v>
      </c>
      <c r="R5583">
        <v>0.85348069999999898</v>
      </c>
      <c r="S5583">
        <v>1.510025</v>
      </c>
      <c r="T5583">
        <v>-0.30924249999999998</v>
      </c>
      <c r="U5583">
        <v>2.6822050000000002</v>
      </c>
      <c r="V5583">
        <v>0.37949260000000001</v>
      </c>
      <c r="W5583">
        <v>0.15292329999999901</v>
      </c>
      <c r="X5583">
        <v>0.91246910000000003</v>
      </c>
      <c r="Y5583">
        <v>0.36224659999999997</v>
      </c>
      <c r="Z5583">
        <v>-0.1016108</v>
      </c>
      <c r="AA5583">
        <v>0.9265272</v>
      </c>
      <c r="AB5583">
        <v>44</v>
      </c>
      <c r="AC5583">
        <v>5.3262999999999998</v>
      </c>
      <c r="AD5583">
        <v>-1.103470013585</v>
      </c>
      <c r="AE5583">
        <v>9.1379000000000001</v>
      </c>
      <c r="AF5583">
        <v>3.96230463909842</v>
      </c>
      <c r="AG5583">
        <v>-1.103470013585</v>
      </c>
      <c r="AH5583">
        <v>9.6837352659115492</v>
      </c>
      <c r="AI5583">
        <v>96.020382055698306</v>
      </c>
      <c r="AJ5583">
        <v>67.747040404604107</v>
      </c>
      <c r="AK5583">
        <v>10.5210376305838</v>
      </c>
      <c r="AL5583">
        <v>81.203625850603402</v>
      </c>
      <c r="AM5583">
        <v>67.417750546282704</v>
      </c>
      <c r="AN5583">
        <v>1.0000000137962299</v>
      </c>
    </row>
    <row r="5584" spans="1:40" x14ac:dyDescent="0.25">
      <c r="A5584" t="str">
        <f>"20190312164420557"</f>
        <v>20190312164420557</v>
      </c>
      <c r="B5584" t="str">
        <f>"1552380260550373"</f>
        <v>1552380260550373</v>
      </c>
      <c r="C5584" t="s">
        <v>40</v>
      </c>
      <c r="D5584">
        <v>5.1346850000000002</v>
      </c>
      <c r="E5584">
        <v>0.51189180000000001</v>
      </c>
      <c r="F5584" t="s">
        <v>42</v>
      </c>
      <c r="G5584">
        <v>-181.77199999999999</v>
      </c>
      <c r="H5584" s="1">
        <v>-5.1885530000000004E-6</v>
      </c>
      <c r="I5584">
        <v>118.3253</v>
      </c>
      <c r="J5584">
        <v>-187.20699999999999</v>
      </c>
      <c r="K5584">
        <v>1.1033539999999999</v>
      </c>
      <c r="L5584">
        <v>109.117</v>
      </c>
      <c r="M5584">
        <v>0.14264250000000001</v>
      </c>
      <c r="N5584">
        <v>0</v>
      </c>
      <c r="O5584">
        <v>0.98966399999999999</v>
      </c>
      <c r="P5584">
        <v>0.50444999999999995</v>
      </c>
      <c r="Q5584">
        <v>0.14548329999999901</v>
      </c>
      <c r="R5584">
        <v>0.85109630000000003</v>
      </c>
      <c r="S5584">
        <v>1.5390469999999901</v>
      </c>
      <c r="T5584">
        <v>-0.3101294</v>
      </c>
      <c r="U5584">
        <v>2.665451</v>
      </c>
      <c r="V5584">
        <v>0.3803762</v>
      </c>
      <c r="W5584">
        <v>0.152897799999999</v>
      </c>
      <c r="X5584">
        <v>0.91210539999999996</v>
      </c>
      <c r="Y5584">
        <v>0.3687705</v>
      </c>
      <c r="Z5584">
        <v>-0.10197489999999999</v>
      </c>
      <c r="AA5584">
        <v>0.9239098</v>
      </c>
      <c r="AB5584">
        <v>44</v>
      </c>
      <c r="AC5584">
        <v>5.4349999999999703</v>
      </c>
      <c r="AD5584">
        <v>-1.1033591885529901</v>
      </c>
      <c r="AE5584">
        <v>9.2082999999999906</v>
      </c>
      <c r="AF5584">
        <v>4.0229366527086396</v>
      </c>
      <c r="AG5584">
        <v>-1.1033591885529901</v>
      </c>
      <c r="AH5584">
        <v>9.7852713408800707</v>
      </c>
      <c r="AI5584">
        <v>95.953720494116297</v>
      </c>
      <c r="AJ5584">
        <v>67.651376356073897</v>
      </c>
      <c r="AK5584">
        <v>10.637337826040801</v>
      </c>
      <c r="AL5584">
        <v>81.205104385110602</v>
      </c>
      <c r="AM5584">
        <v>67.362352021592201</v>
      </c>
      <c r="AN5584">
        <v>1.00000002574021</v>
      </c>
    </row>
    <row r="5585" spans="1:40" x14ac:dyDescent="0.25">
      <c r="A5585" t="str">
        <f>"20190312164420577"</f>
        <v>20190312164420577</v>
      </c>
      <c r="B5585" t="str">
        <f>"1552380260570868"</f>
        <v>1552380260570868</v>
      </c>
      <c r="C5585" t="s">
        <v>40</v>
      </c>
      <c r="D5585">
        <v>5.1752379999999896</v>
      </c>
      <c r="E5585">
        <v>0.51228569999999995</v>
      </c>
      <c r="F5585" t="s">
        <v>42</v>
      </c>
      <c r="G5585">
        <v>-181.68940000000001</v>
      </c>
      <c r="H5585" s="1">
        <v>-5.3034489999999998E-6</v>
      </c>
      <c r="I5585">
        <v>118.55889999999999</v>
      </c>
      <c r="J5585">
        <v>-187.14660000000001</v>
      </c>
      <c r="K5585">
        <v>1.103202</v>
      </c>
      <c r="L5585">
        <v>109.509</v>
      </c>
      <c r="M5585">
        <v>0.14808729999999901</v>
      </c>
      <c r="N5585">
        <v>0</v>
      </c>
      <c r="O5585">
        <v>0.98886379999999996</v>
      </c>
      <c r="P5585">
        <v>0.51026839999999996</v>
      </c>
      <c r="Q5585">
        <v>0.1444906</v>
      </c>
      <c r="R5585">
        <v>0.8477905</v>
      </c>
      <c r="S5585">
        <v>1.5529630000000001</v>
      </c>
      <c r="T5585">
        <v>-0.31054949999999998</v>
      </c>
      <c r="U5585">
        <v>2.6575160000000002</v>
      </c>
      <c r="V5585">
        <v>0.38161909999999999</v>
      </c>
      <c r="W5585">
        <v>0.151755</v>
      </c>
      <c r="X5585">
        <v>0.91177699999999995</v>
      </c>
      <c r="Y5585">
        <v>0.36845939999999999</v>
      </c>
      <c r="Z5585">
        <v>-0.10212980000000001</v>
      </c>
      <c r="AA5585">
        <v>0.92401690000000003</v>
      </c>
      <c r="AB5585">
        <v>44</v>
      </c>
      <c r="AC5585">
        <v>5.4572000000000003</v>
      </c>
      <c r="AD5585">
        <v>-1.103207303449</v>
      </c>
      <c r="AE5585">
        <v>9.0498999999999903</v>
      </c>
      <c r="AF5585">
        <v>4.01296376154896</v>
      </c>
      <c r="AG5585">
        <v>-1.103207303449</v>
      </c>
      <c r="AH5585">
        <v>9.6531305824348106</v>
      </c>
      <c r="AI5585">
        <v>96.024089999346003</v>
      </c>
      <c r="AJ5585">
        <v>67.426547507383901</v>
      </c>
      <c r="AK5585">
        <v>10.5120823126261</v>
      </c>
      <c r="AL5585">
        <v>81.271354974905094</v>
      </c>
      <c r="AM5585">
        <v>67.288528193729704</v>
      </c>
      <c r="AN5585">
        <v>1.0000000076194</v>
      </c>
    </row>
    <row r="5586" spans="1:40" x14ac:dyDescent="0.25">
      <c r="A5586" t="str">
        <f>"20190312164420600"</f>
        <v>20190312164420600</v>
      </c>
      <c r="B5586" t="str">
        <f>"1552380260590388"</f>
        <v>1552380260590388</v>
      </c>
      <c r="C5586" t="s">
        <v>40</v>
      </c>
      <c r="D5586">
        <v>5.1613410000000002</v>
      </c>
      <c r="E5586">
        <v>0.51251020000000003</v>
      </c>
      <c r="F5586" t="s">
        <v>42</v>
      </c>
      <c r="G5586">
        <v>-181.48920000000001</v>
      </c>
      <c r="H5586" s="1">
        <v>-5.5327749999999997E-6</v>
      </c>
      <c r="I5586">
        <v>119.0107</v>
      </c>
      <c r="J5586">
        <v>-187.07730000000001</v>
      </c>
      <c r="K5586">
        <v>1.103037</v>
      </c>
      <c r="L5586">
        <v>109.94280000000001</v>
      </c>
      <c r="M5586">
        <v>0.15425440000000001</v>
      </c>
      <c r="N5586">
        <v>0</v>
      </c>
      <c r="O5586">
        <v>0.98792040000000003</v>
      </c>
      <c r="P5586">
        <v>0.51660539999999999</v>
      </c>
      <c r="Q5586">
        <v>0.14284439999999901</v>
      </c>
      <c r="R5586">
        <v>0.84422410000000003</v>
      </c>
      <c r="S5586">
        <v>1.57399</v>
      </c>
      <c r="T5586">
        <v>-0.30693110000000001</v>
      </c>
      <c r="U5586">
        <v>2.6435390000000001</v>
      </c>
      <c r="V5586">
        <v>0.3827506</v>
      </c>
      <c r="W5586">
        <v>0.14994959999999999</v>
      </c>
      <c r="X5586">
        <v>0.91160140000000001</v>
      </c>
      <c r="Y5586">
        <v>0.37029129999999999</v>
      </c>
      <c r="Z5586">
        <v>-0.10103520000000001</v>
      </c>
      <c r="AA5586">
        <v>0.92340469999999997</v>
      </c>
      <c r="AB5586">
        <v>44</v>
      </c>
      <c r="AC5586">
        <v>5.5880999999999901</v>
      </c>
      <c r="AD5586">
        <v>-1.103042532775</v>
      </c>
      <c r="AE5586">
        <v>9.0678999999999892</v>
      </c>
      <c r="AF5586">
        <v>4.0785463931519299</v>
      </c>
      <c r="AG5586">
        <v>-1.103042532775</v>
      </c>
      <c r="AH5586">
        <v>9.7172176033088</v>
      </c>
      <c r="AI5586">
        <v>95.975301169141204</v>
      </c>
      <c r="AJ5586">
        <v>67.231053271406495</v>
      </c>
      <c r="AK5586">
        <v>10.5960163014341</v>
      </c>
      <c r="AL5586">
        <v>81.375994255812699</v>
      </c>
      <c r="AM5586">
        <v>67.224112061437594</v>
      </c>
      <c r="AN5586">
        <v>1.0000000084112399</v>
      </c>
    </row>
    <row r="5587" spans="1:40" x14ac:dyDescent="0.25">
      <c r="A5587" t="str">
        <f>"20190312164420620"</f>
        <v>20190312164420620</v>
      </c>
      <c r="B5587" t="str">
        <f>"1552380260610884"</f>
        <v>1552380260610884</v>
      </c>
      <c r="C5587" t="s">
        <v>40</v>
      </c>
      <c r="D5587">
        <v>5.1350769999999999</v>
      </c>
      <c r="E5587">
        <v>0.51247640000000005</v>
      </c>
      <c r="F5587" t="s">
        <v>42</v>
      </c>
      <c r="G5587">
        <v>-181.33789999999999</v>
      </c>
      <c r="H5587" s="1">
        <v>-5.72741999999999E-6</v>
      </c>
      <c r="I5587">
        <v>119.4019</v>
      </c>
      <c r="J5587">
        <v>-187.00980000000001</v>
      </c>
      <c r="K5587">
        <v>1.1028690000000001</v>
      </c>
      <c r="L5587">
        <v>110.348</v>
      </c>
      <c r="M5587">
        <v>0.1601619</v>
      </c>
      <c r="N5587">
        <v>0</v>
      </c>
      <c r="O5587">
        <v>0.98697970000000002</v>
      </c>
      <c r="P5587">
        <v>0.52265680000000003</v>
      </c>
      <c r="Q5587">
        <v>0.140706</v>
      </c>
      <c r="R5587">
        <v>0.84085169999999998</v>
      </c>
      <c r="S5587">
        <v>1.5953059999999999</v>
      </c>
      <c r="T5587">
        <v>-0.30659750000000002</v>
      </c>
      <c r="U5587">
        <v>2.6292110000000002</v>
      </c>
      <c r="V5587">
        <v>0.3838087</v>
      </c>
      <c r="W5587">
        <v>0.14765989999999901</v>
      </c>
      <c r="X5587">
        <v>0.91153030000000002</v>
      </c>
      <c r="Y5587">
        <v>0.3724401</v>
      </c>
      <c r="Z5587">
        <v>-0.10100779999999999</v>
      </c>
      <c r="AA5587">
        <v>0.92254309999999995</v>
      </c>
      <c r="AB5587">
        <v>44</v>
      </c>
      <c r="AC5587">
        <v>5.6719000000000204</v>
      </c>
      <c r="AD5587">
        <v>-1.1028747274199999</v>
      </c>
      <c r="AE5587">
        <v>9.0539000000000005</v>
      </c>
      <c r="AF5587">
        <v>4.1046750050829699</v>
      </c>
      <c r="AG5587">
        <v>-1.1028747274199999</v>
      </c>
      <c r="AH5587">
        <v>9.7417078436554796</v>
      </c>
      <c r="AI5587">
        <v>95.956048734430496</v>
      </c>
      <c r="AJ5587">
        <v>67.151843129421493</v>
      </c>
      <c r="AK5587">
        <v>10.628525827831099</v>
      </c>
      <c r="AL5587">
        <v>81.508661620716893</v>
      </c>
      <c r="AM5587">
        <v>67.166000466107207</v>
      </c>
      <c r="AN5587">
        <v>1.0000000260408901</v>
      </c>
    </row>
    <row r="5588" spans="1:40" x14ac:dyDescent="0.25">
      <c r="A5588" t="str">
        <f>"20190312164420643"</f>
        <v>20190312164420643</v>
      </c>
      <c r="B5588" t="str">
        <f>"1552380260640672"</f>
        <v>1552380260640672</v>
      </c>
      <c r="C5588" t="s">
        <v>40</v>
      </c>
      <c r="D5588">
        <v>5.149813</v>
      </c>
      <c r="E5588">
        <v>0.51275559999999998</v>
      </c>
      <c r="F5588" t="s">
        <v>42</v>
      </c>
      <c r="G5588">
        <v>-181.35429999999999</v>
      </c>
      <c r="H5588" s="1">
        <v>-5.7758970000000002E-6</v>
      </c>
      <c r="I5588">
        <v>119.5217</v>
      </c>
      <c r="J5588">
        <v>-186.9349</v>
      </c>
      <c r="K5588">
        <v>1.102689</v>
      </c>
      <c r="L5588">
        <v>110.7805</v>
      </c>
      <c r="M5588">
        <v>0.1666299</v>
      </c>
      <c r="N5588">
        <v>0</v>
      </c>
      <c r="O5588">
        <v>0.98590820000000001</v>
      </c>
      <c r="P5588">
        <v>0.52904759999999995</v>
      </c>
      <c r="Q5588">
        <v>0.13927</v>
      </c>
      <c r="R5588">
        <v>0.83708570000000004</v>
      </c>
      <c r="S5588">
        <v>1.6136469999999901</v>
      </c>
      <c r="T5588">
        <v>-0.31467519999999999</v>
      </c>
      <c r="U5588">
        <v>2.6174469999999999</v>
      </c>
      <c r="V5588">
        <v>0.3847737</v>
      </c>
      <c r="W5588">
        <v>0.1460581</v>
      </c>
      <c r="X5588">
        <v>0.91138149999999996</v>
      </c>
      <c r="Y5588">
        <v>0.3727511</v>
      </c>
      <c r="Z5588">
        <v>-0.1036803</v>
      </c>
      <c r="AA5588">
        <v>0.92212090000000002</v>
      </c>
      <c r="AB5588">
        <v>44</v>
      </c>
      <c r="AC5588">
        <v>5.5805999999999996</v>
      </c>
      <c r="AD5588">
        <v>-1.102694775897</v>
      </c>
      <c r="AE5588">
        <v>8.7411999999999903</v>
      </c>
      <c r="AF5588">
        <v>4.0006285811502398</v>
      </c>
      <c r="AG5588">
        <v>-1.102694775897</v>
      </c>
      <c r="AH5588">
        <v>9.4422137687506194</v>
      </c>
      <c r="AI5588">
        <v>96.137425487050194</v>
      </c>
      <c r="AJ5588">
        <v>67.037818923573695</v>
      </c>
      <c r="AK5588">
        <v>10.313891877845601</v>
      </c>
      <c r="AL5588">
        <v>81.601443818228105</v>
      </c>
      <c r="AM5588">
        <v>67.111146247042001</v>
      </c>
      <c r="AN5588">
        <v>1.00000000366477</v>
      </c>
    </row>
    <row r="5589" spans="1:40" x14ac:dyDescent="0.25">
      <c r="A5589" t="str">
        <f>"20190312164420667"</f>
        <v>20190312164420667</v>
      </c>
      <c r="B5589" t="str">
        <f>"1552380260661168"</f>
        <v>1552380260661168</v>
      </c>
      <c r="C5589" t="s">
        <v>40</v>
      </c>
      <c r="D5589">
        <v>5.1540509999999999</v>
      </c>
      <c r="E5589">
        <v>0.51269439999999999</v>
      </c>
      <c r="F5589" t="s">
        <v>49</v>
      </c>
      <c r="G5589">
        <v>-181.29939999999999</v>
      </c>
      <c r="H5589" s="1">
        <v>-2.3427809999999999E-6</v>
      </c>
      <c r="I5589">
        <v>119.7488</v>
      </c>
      <c r="J5589">
        <v>-186.85310000000001</v>
      </c>
      <c r="K5589">
        <v>1.1025020000000001</v>
      </c>
      <c r="L5589">
        <v>111.23390000000001</v>
      </c>
      <c r="M5589">
        <v>0.17358770000000001</v>
      </c>
      <c r="N5589">
        <v>0</v>
      </c>
      <c r="O5589">
        <v>0.98470679999999999</v>
      </c>
      <c r="P5589">
        <v>0.53564009999999995</v>
      </c>
      <c r="Q5589">
        <v>0.1399329</v>
      </c>
      <c r="R5589">
        <v>0.83277159999999995</v>
      </c>
      <c r="S5589">
        <v>1.635834</v>
      </c>
      <c r="T5589">
        <v>-0.32008340000000002</v>
      </c>
      <c r="U5589">
        <v>2.6032709999999999</v>
      </c>
      <c r="V5589">
        <v>0.38563219999999998</v>
      </c>
      <c r="W5589">
        <v>0.14653920000000001</v>
      </c>
      <c r="X5589">
        <v>0.91094129999999995</v>
      </c>
      <c r="Y5589">
        <v>0.37399850000000001</v>
      </c>
      <c r="Z5589">
        <v>-0.1054831</v>
      </c>
      <c r="AA5589">
        <v>0.92141110000000004</v>
      </c>
      <c r="AB5589">
        <v>44</v>
      </c>
      <c r="AC5589">
        <v>5.5537000000000196</v>
      </c>
      <c r="AD5589">
        <v>-1.102504342781</v>
      </c>
      <c r="AE5589">
        <v>8.5148999999999901</v>
      </c>
      <c r="AF5589">
        <v>3.9447270902352001</v>
      </c>
      <c r="AG5589">
        <v>-1.102504342781</v>
      </c>
      <c r="AH5589">
        <v>9.2410728937582203</v>
      </c>
      <c r="AI5589">
        <v>96.261783048682702</v>
      </c>
      <c r="AJ5589">
        <v>66.883868789891295</v>
      </c>
      <c r="AK5589">
        <v>10.1081064433473</v>
      </c>
      <c r="AL5589">
        <v>81.573578902353603</v>
      </c>
      <c r="AM5589">
        <v>67.055419466792898</v>
      </c>
      <c r="AN5589">
        <v>0.99999999142958396</v>
      </c>
    </row>
    <row r="5590" spans="1:40" x14ac:dyDescent="0.25">
      <c r="A5590" t="str">
        <f>"20190312164420689"</f>
        <v>20190312164420689</v>
      </c>
      <c r="B5590" t="str">
        <f>"1552380260680688"</f>
        <v>1552380260680688</v>
      </c>
      <c r="C5590" t="s">
        <v>40</v>
      </c>
      <c r="D5590">
        <v>5.1629849999999999</v>
      </c>
      <c r="E5590">
        <v>0.51273829999999998</v>
      </c>
      <c r="F5590" t="s">
        <v>49</v>
      </c>
      <c r="G5590">
        <v>-181.11770000000001</v>
      </c>
      <c r="H5590" s="1">
        <v>-2.5209599999999998E-6</v>
      </c>
      <c r="I5590">
        <v>120.1896</v>
      </c>
      <c r="J5590">
        <v>-186.7705</v>
      </c>
      <c r="K5590">
        <v>1.102328</v>
      </c>
      <c r="L5590">
        <v>111.6735</v>
      </c>
      <c r="M5590">
        <v>0.18048729999999999</v>
      </c>
      <c r="N5590">
        <v>0</v>
      </c>
      <c r="O5590">
        <v>0.98346529999999999</v>
      </c>
      <c r="P5590">
        <v>0.54218180000000005</v>
      </c>
      <c r="Q5590">
        <v>0.14134179999999999</v>
      </c>
      <c r="R5590">
        <v>0.82828829999999998</v>
      </c>
      <c r="S5590">
        <v>1.658264</v>
      </c>
      <c r="T5590">
        <v>-0.31876860000000001</v>
      </c>
      <c r="U5590">
        <v>2.5893709999999999</v>
      </c>
      <c r="V5590">
        <v>0.3865538</v>
      </c>
      <c r="W5590">
        <v>0.14776829999999999</v>
      </c>
      <c r="X5590">
        <v>0.91035189999999999</v>
      </c>
      <c r="Y5590">
        <v>0.37543330000000003</v>
      </c>
      <c r="Z5590">
        <v>-0.1050711</v>
      </c>
      <c r="AA5590">
        <v>0.92087450000000004</v>
      </c>
      <c r="AB5590">
        <v>44</v>
      </c>
      <c r="AC5590">
        <v>5.6527999999999796</v>
      </c>
      <c r="AD5590">
        <v>-1.1023305209600001</v>
      </c>
      <c r="AE5590">
        <v>8.5160999999999891</v>
      </c>
      <c r="AF5590">
        <v>3.9764795139006699</v>
      </c>
      <c r="AG5590">
        <v>-1.1023305209600001</v>
      </c>
      <c r="AH5590">
        <v>9.2885522185897305</v>
      </c>
      <c r="AI5590">
        <v>96.226291866479102</v>
      </c>
      <c r="AJ5590">
        <v>66.823970643989597</v>
      </c>
      <c r="AK5590">
        <v>10.1638931625327</v>
      </c>
      <c r="AL5590">
        <v>81.502381187598303</v>
      </c>
      <c r="AM5590">
        <v>66.992942532545996</v>
      </c>
      <c r="AN5590">
        <v>0.99999994630646805</v>
      </c>
    </row>
    <row r="5591" spans="1:40" x14ac:dyDescent="0.25">
      <c r="A5591" t="str">
        <f>"20190312164420711"</f>
        <v>20190312164420711</v>
      </c>
      <c r="B5591" t="str">
        <f>"1552380260701184"</f>
        <v>1552380260701184</v>
      </c>
      <c r="C5591" t="s">
        <v>40</v>
      </c>
      <c r="D5591">
        <v>5.1355760000000004</v>
      </c>
      <c r="E5591">
        <v>0.51274350000000002</v>
      </c>
      <c r="F5591" t="s">
        <v>49</v>
      </c>
      <c r="G5591">
        <v>-180.87569999999999</v>
      </c>
      <c r="H5591" s="1">
        <v>-2.7381410000000002E-6</v>
      </c>
      <c r="I5591">
        <v>120.7084</v>
      </c>
      <c r="J5591">
        <v>-186.68610000000001</v>
      </c>
      <c r="K5591">
        <v>1.102147</v>
      </c>
      <c r="L5591">
        <v>112.10599999999999</v>
      </c>
      <c r="M5591">
        <v>0.18744179999999999</v>
      </c>
      <c r="N5591">
        <v>0</v>
      </c>
      <c r="O5591">
        <v>0.98216340000000002</v>
      </c>
      <c r="P5591">
        <v>0.54899330000000002</v>
      </c>
      <c r="Q5591">
        <v>0.14322489999999999</v>
      </c>
      <c r="R5591">
        <v>0.82346399999999997</v>
      </c>
      <c r="S5591">
        <v>1.68042</v>
      </c>
      <c r="T5591">
        <v>-0.31424249999999998</v>
      </c>
      <c r="U5591">
        <v>2.575577</v>
      </c>
      <c r="V5591">
        <v>0.38778190000000001</v>
      </c>
      <c r="W5591">
        <v>0.14946119999999999</v>
      </c>
      <c r="X5591">
        <v>0.9095529</v>
      </c>
      <c r="Y5591">
        <v>0.37678020000000001</v>
      </c>
      <c r="Z5591">
        <v>-0.1036004</v>
      </c>
      <c r="AA5591">
        <v>0.92049099999999995</v>
      </c>
      <c r="AB5591">
        <v>44</v>
      </c>
      <c r="AC5591">
        <v>5.8104000000000102</v>
      </c>
      <c r="AD5591">
        <v>-1.1021497381409999</v>
      </c>
      <c r="AE5591">
        <v>8.6023999999999798</v>
      </c>
      <c r="AF5591">
        <v>4.0491213980399596</v>
      </c>
      <c r="AG5591">
        <v>-1.1021497381409999</v>
      </c>
      <c r="AH5591">
        <v>9.4327966013123508</v>
      </c>
      <c r="AI5591">
        <v>96.128270489733893</v>
      </c>
      <c r="AJ5591">
        <v>66.768091927261395</v>
      </c>
      <c r="AK5591">
        <v>10.324135308251201</v>
      </c>
      <c r="AL5591">
        <v>81.404296086898398</v>
      </c>
      <c r="AM5591">
        <v>66.909342989094696</v>
      </c>
      <c r="AN5591">
        <v>0.99999996508572897</v>
      </c>
    </row>
    <row r="5592" spans="1:40" x14ac:dyDescent="0.25">
      <c r="A5592" t="str">
        <f>"20190312164420733"</f>
        <v>20190312164420733</v>
      </c>
      <c r="B5592" t="str">
        <f>"1552380260720704"</f>
        <v>1552380260720704</v>
      </c>
      <c r="C5592" t="s">
        <v>40</v>
      </c>
      <c r="D5592">
        <v>5.3777619999999997</v>
      </c>
      <c r="E5592">
        <v>0.51277329999999999</v>
      </c>
      <c r="F5592" t="s">
        <v>49</v>
      </c>
      <c r="G5592">
        <v>-180.63679999999999</v>
      </c>
      <c r="H5592" s="1">
        <v>-2.950102E-6</v>
      </c>
      <c r="I5592">
        <v>121.2122</v>
      </c>
      <c r="J5592">
        <v>-186.60329999999999</v>
      </c>
      <c r="K5592">
        <v>1.1019779999999999</v>
      </c>
      <c r="L5592">
        <v>112.515</v>
      </c>
      <c r="M5592">
        <v>0.19419110000000001</v>
      </c>
      <c r="N5592">
        <v>0</v>
      </c>
      <c r="O5592">
        <v>0.98085109999999998</v>
      </c>
      <c r="P5592">
        <v>0.55510490000000001</v>
      </c>
      <c r="Q5592">
        <v>0.14488139999999999</v>
      </c>
      <c r="R5592">
        <v>0.8190653</v>
      </c>
      <c r="S5592">
        <v>1.7021329999999999</v>
      </c>
      <c r="T5592">
        <v>-0.31012240000000002</v>
      </c>
      <c r="U5592">
        <v>2.5622859999999998</v>
      </c>
      <c r="V5592">
        <v>0.38844980000000001</v>
      </c>
      <c r="W5592">
        <v>0.15094099999999999</v>
      </c>
      <c r="X5592">
        <v>0.90902340000000004</v>
      </c>
      <c r="Y5592">
        <v>0.37810919999999998</v>
      </c>
      <c r="Z5592">
        <v>-0.10224419999999999</v>
      </c>
      <c r="AA5592">
        <v>0.92009759999999996</v>
      </c>
      <c r="AB5592">
        <v>44</v>
      </c>
      <c r="AC5592">
        <v>5.9664999999999901</v>
      </c>
      <c r="AD5592">
        <v>-1.1019809501019999</v>
      </c>
      <c r="AE5592">
        <v>8.6971999999999898</v>
      </c>
      <c r="AF5592">
        <v>4.1188258572499299</v>
      </c>
      <c r="AG5592">
        <v>-1.1019809501019999</v>
      </c>
      <c r="AH5592">
        <v>9.5857268110371798</v>
      </c>
      <c r="AI5592">
        <v>96.029391257095796</v>
      </c>
      <c r="AJ5592">
        <v>66.747615361151304</v>
      </c>
      <c r="AK5592">
        <v>10.491198547</v>
      </c>
      <c r="AL5592">
        <v>81.318537075878695</v>
      </c>
      <c r="AM5592">
        <v>66.861696832263306</v>
      </c>
      <c r="AN5592">
        <v>0.99999998717429905</v>
      </c>
    </row>
    <row r="5593" spans="1:40" x14ac:dyDescent="0.25">
      <c r="A5593" t="str">
        <f>"20190312164420756"</f>
        <v>20190312164420756</v>
      </c>
      <c r="B5593" t="str">
        <f>"1552380260750491"</f>
        <v>1552380260750491</v>
      </c>
      <c r="C5593" t="s">
        <v>40</v>
      </c>
      <c r="D5593">
        <v>5.154731</v>
      </c>
      <c r="E5593">
        <v>0.51289149999999994</v>
      </c>
      <c r="F5593" t="s">
        <v>49</v>
      </c>
      <c r="G5593">
        <v>-180.35290000000001</v>
      </c>
      <c r="H5593" s="1">
        <v>-3.1895780000000002E-6</v>
      </c>
      <c r="I5593">
        <v>121.7688</v>
      </c>
      <c r="J5593">
        <v>-186.51220000000001</v>
      </c>
      <c r="K5593">
        <v>1.10178</v>
      </c>
      <c r="L5593">
        <v>112.9485</v>
      </c>
      <c r="M5593">
        <v>0.20154659999999999</v>
      </c>
      <c r="N5593">
        <v>0</v>
      </c>
      <c r="O5593">
        <v>0.97936579999999995</v>
      </c>
      <c r="P5593">
        <v>0.56151569999999995</v>
      </c>
      <c r="Q5593">
        <v>0.146177799999999</v>
      </c>
      <c r="R5593">
        <v>0.81445210000000001</v>
      </c>
      <c r="S5593">
        <v>1.721954</v>
      </c>
      <c r="T5593">
        <v>-0.30359170000000002</v>
      </c>
      <c r="U5593">
        <v>2.5493929999999998</v>
      </c>
      <c r="V5593">
        <v>0.38890960000000002</v>
      </c>
      <c r="W5593">
        <v>0.15204719999999999</v>
      </c>
      <c r="X5593">
        <v>0.90864239999999996</v>
      </c>
      <c r="Y5593">
        <v>0.37836239999999999</v>
      </c>
      <c r="Z5593">
        <v>-0.10010090000000001</v>
      </c>
      <c r="AA5593">
        <v>0.92022919999999997</v>
      </c>
      <c r="AB5593">
        <v>44</v>
      </c>
      <c r="AC5593">
        <v>6.1593</v>
      </c>
      <c r="AD5593">
        <v>-1.1017831895779999</v>
      </c>
      <c r="AE5593">
        <v>8.8202999999999996</v>
      </c>
      <c r="AF5593">
        <v>4.2108111076283796</v>
      </c>
      <c r="AG5593">
        <v>-1.1017831895779999</v>
      </c>
      <c r="AH5593">
        <v>9.7782184912953802</v>
      </c>
      <c r="AI5593">
        <v>95.908473369368707</v>
      </c>
      <c r="AJ5593">
        <v>66.701755108002104</v>
      </c>
      <c r="AK5593">
        <v>10.703196403153299</v>
      </c>
      <c r="AL5593">
        <v>81.254416695123496</v>
      </c>
      <c r="AM5593">
        <v>66.828507512995003</v>
      </c>
      <c r="AN5593">
        <v>1.0000000195388701</v>
      </c>
    </row>
    <row r="5594" spans="1:40" x14ac:dyDescent="0.25">
      <c r="A5594" t="str">
        <f>"20190312164420778"</f>
        <v>20190312164420778</v>
      </c>
      <c r="B5594" t="str">
        <f>"1552380260770986"</f>
        <v>1552380260770986</v>
      </c>
      <c r="C5594" t="s">
        <v>40</v>
      </c>
      <c r="D5594">
        <v>5.2084970000000004</v>
      </c>
      <c r="E5594">
        <v>0.51290720000000001</v>
      </c>
      <c r="F5594" t="s">
        <v>49</v>
      </c>
      <c r="G5594">
        <v>-180.01769999999999</v>
      </c>
      <c r="H5594" s="1">
        <v>-3.4603690000000001E-6</v>
      </c>
      <c r="I5594">
        <v>122.3854</v>
      </c>
      <c r="J5594">
        <v>-186.4171</v>
      </c>
      <c r="K5594">
        <v>1.101564</v>
      </c>
      <c r="L5594">
        <v>113.38420000000001</v>
      </c>
      <c r="M5594">
        <v>0.20916109999999999</v>
      </c>
      <c r="N5594">
        <v>0</v>
      </c>
      <c r="O5594">
        <v>0.97776759999999996</v>
      </c>
      <c r="P5594">
        <v>0.56763609999999998</v>
      </c>
      <c r="Q5594">
        <v>0.14712210000000001</v>
      </c>
      <c r="R5594">
        <v>0.81002739999999995</v>
      </c>
      <c r="S5594">
        <v>1.744003</v>
      </c>
      <c r="T5594">
        <v>-0.2958711</v>
      </c>
      <c r="U5594">
        <v>2.5341800000000001</v>
      </c>
      <c r="V5594">
        <v>0.38882060000000002</v>
      </c>
      <c r="W5594">
        <v>0.15280450000000001</v>
      </c>
      <c r="X5594">
        <v>0.90855339999999996</v>
      </c>
      <c r="Y5594">
        <v>0.37932139999999998</v>
      </c>
      <c r="Z5594">
        <v>-9.7584729999999995E-2</v>
      </c>
      <c r="AA5594">
        <v>0.92010460000000005</v>
      </c>
      <c r="AB5594">
        <v>44</v>
      </c>
      <c r="AC5594">
        <v>6.3994000000000097</v>
      </c>
      <c r="AD5594">
        <v>-1.101567460369</v>
      </c>
      <c r="AE5594">
        <v>9.0011999999999901</v>
      </c>
      <c r="AF5594">
        <v>4.3318162303705003</v>
      </c>
      <c r="AG5594">
        <v>-1.101567460369</v>
      </c>
      <c r="AH5594">
        <v>10.0408231520097</v>
      </c>
      <c r="AI5594">
        <v>95.752238425421098</v>
      </c>
      <c r="AJ5594">
        <v>66.663645843995596</v>
      </c>
      <c r="AK5594">
        <v>10.990733018929101</v>
      </c>
      <c r="AL5594">
        <v>81.210513216198393</v>
      </c>
      <c r="AM5594">
        <v>66.831220840010502</v>
      </c>
      <c r="AN5594">
        <v>0.999999977428084</v>
      </c>
    </row>
    <row r="5595" spans="1:40" x14ac:dyDescent="0.25">
      <c r="A5595" t="str">
        <f>"20190312164420799"</f>
        <v>20190312164420799</v>
      </c>
      <c r="B5595" t="str">
        <f>"1552380260790506"</f>
        <v>1552380260790506</v>
      </c>
      <c r="C5595" t="s">
        <v>40</v>
      </c>
      <c r="D5595">
        <v>5.1801849999999998</v>
      </c>
      <c r="E5595">
        <v>0.48560249999999999</v>
      </c>
      <c r="F5595" t="s">
        <v>49</v>
      </c>
      <c r="G5595">
        <v>-179.95779999999999</v>
      </c>
      <c r="H5595">
        <v>3.4488099999999897E-2</v>
      </c>
      <c r="I5595">
        <v>122.6069</v>
      </c>
      <c r="J5595">
        <v>-186.32499999999999</v>
      </c>
      <c r="K5595">
        <v>1.1013539999999999</v>
      </c>
      <c r="L5595">
        <v>113.79089999999999</v>
      </c>
      <c r="M5595">
        <v>0.2164847</v>
      </c>
      <c r="N5595">
        <v>0</v>
      </c>
      <c r="O5595">
        <v>0.97617200000000004</v>
      </c>
      <c r="P5595">
        <v>0.57341279999999994</v>
      </c>
      <c r="Q5595">
        <v>0.1466517</v>
      </c>
      <c r="R5595">
        <v>0.80603409999999998</v>
      </c>
      <c r="S5595">
        <v>1.7648009999999901</v>
      </c>
      <c r="T5595">
        <v>-0.291543099999999</v>
      </c>
      <c r="U5595">
        <v>2.519806</v>
      </c>
      <c r="V5595">
        <v>0.38855650000000003</v>
      </c>
      <c r="W5595">
        <v>0.15215979999999901</v>
      </c>
      <c r="X5595">
        <v>0.90877459999999999</v>
      </c>
      <c r="Y5595">
        <v>0.3800325</v>
      </c>
      <c r="Z5595">
        <v>-9.6162650000000002E-2</v>
      </c>
      <c r="AA5595">
        <v>0.91996089999999997</v>
      </c>
      <c r="AB5595">
        <v>44</v>
      </c>
      <c r="AC5595">
        <v>6.3671999999999898</v>
      </c>
      <c r="AD5595">
        <v>-1.0668659</v>
      </c>
      <c r="AE5595">
        <v>8.8160000000000007</v>
      </c>
      <c r="AF5595">
        <v>4.2663717263550502</v>
      </c>
      <c r="AG5595">
        <v>-1.0668659</v>
      </c>
      <c r="AH5595">
        <v>9.8902580880815893</v>
      </c>
      <c r="AI5595">
        <v>95.656573686007604</v>
      </c>
      <c r="AJ5595">
        <v>66.6660276676282</v>
      </c>
      <c r="AK5595">
        <v>10.8239242239073</v>
      </c>
      <c r="AL5595">
        <v>81.247889209675506</v>
      </c>
      <c r="AM5595">
        <v>66.850341316144707</v>
      </c>
      <c r="AN5595">
        <v>1.00000001601672</v>
      </c>
    </row>
    <row r="5596" spans="1:40" x14ac:dyDescent="0.25">
      <c r="A5596" t="str">
        <f>"20190312164420821"</f>
        <v>20190312164420821</v>
      </c>
      <c r="B5596" t="str">
        <f>"1552380260811003"</f>
        <v>1552380260811003</v>
      </c>
      <c r="C5596" t="s">
        <v>40</v>
      </c>
      <c r="D5596">
        <v>5.1228800000000003</v>
      </c>
      <c r="E5596">
        <v>0.47704960000000002</v>
      </c>
      <c r="F5596" t="s">
        <v>49</v>
      </c>
      <c r="G5596">
        <v>-180.0264</v>
      </c>
      <c r="H5596" s="1">
        <v>-3.9691989999999998E-6</v>
      </c>
      <c r="I5596">
        <v>124.1208</v>
      </c>
      <c r="J5596">
        <v>-186.22630000000001</v>
      </c>
      <c r="K5596">
        <v>1.101129</v>
      </c>
      <c r="L5596">
        <v>114.2111</v>
      </c>
      <c r="M5596">
        <v>0.22427559999999999</v>
      </c>
      <c r="N5596">
        <v>0</v>
      </c>
      <c r="O5596">
        <v>0.97441109999999997</v>
      </c>
      <c r="P5596">
        <v>0.57884569999999902</v>
      </c>
      <c r="Q5596">
        <v>0.14627760000000001</v>
      </c>
      <c r="R5596">
        <v>0.80220979999999997</v>
      </c>
      <c r="S5596">
        <v>1.6045529999999999</v>
      </c>
      <c r="T5596">
        <v>-0.28056720000000002</v>
      </c>
      <c r="U5596">
        <v>2.631516</v>
      </c>
      <c r="V5596">
        <v>0.3874958</v>
      </c>
      <c r="W5596">
        <v>0.15162349999999999</v>
      </c>
      <c r="X5596">
        <v>0.90931700000000004</v>
      </c>
      <c r="Y5596">
        <v>0.31360349999999998</v>
      </c>
      <c r="Z5596">
        <v>-9.1634220000000002E-2</v>
      </c>
      <c r="AA5596">
        <v>0.94512220000000002</v>
      </c>
      <c r="AB5596">
        <v>44</v>
      </c>
      <c r="AC5596">
        <v>6.1999000000000102</v>
      </c>
      <c r="AD5596">
        <v>-1.1011329691989999</v>
      </c>
      <c r="AE5596">
        <v>9.9097000000000008</v>
      </c>
      <c r="AF5596">
        <v>3.7855825501017701</v>
      </c>
      <c r="AG5596">
        <v>-1.1011329691989999</v>
      </c>
      <c r="AH5596">
        <v>10.9506708014853</v>
      </c>
      <c r="AI5596">
        <v>95.428831666740805</v>
      </c>
      <c r="AJ5596">
        <v>70.930033049950396</v>
      </c>
      <c r="AK5596">
        <v>11.638742202746601</v>
      </c>
      <c r="AL5596">
        <v>81.278977893325404</v>
      </c>
      <c r="AM5596">
        <v>66.919235592701199</v>
      </c>
      <c r="AN5596">
        <v>1.0000000436294401</v>
      </c>
    </row>
    <row r="5597" spans="1:40" x14ac:dyDescent="0.25">
      <c r="A5597" t="str">
        <f>"20190312164420844"</f>
        <v>20190312164420844</v>
      </c>
      <c r="B5597" t="str">
        <f>"1552380260840283"</f>
        <v>1552380260840283</v>
      </c>
      <c r="C5597" t="s">
        <v>40</v>
      </c>
      <c r="D5597">
        <v>5.1552809999999996</v>
      </c>
      <c r="E5597">
        <v>0.47394989999999998</v>
      </c>
      <c r="F5597" t="s">
        <v>49</v>
      </c>
      <c r="G5597">
        <v>-180.00229999999999</v>
      </c>
      <c r="H5597" s="1">
        <v>-4.1643519999999998E-6</v>
      </c>
      <c r="I5597">
        <v>124.7594</v>
      </c>
      <c r="J5597">
        <v>-186.1217</v>
      </c>
      <c r="K5597">
        <v>1.1009150000000001</v>
      </c>
      <c r="L5597">
        <v>114.63890000000001</v>
      </c>
      <c r="M5597">
        <v>0.23244590000000001</v>
      </c>
      <c r="N5597">
        <v>0</v>
      </c>
      <c r="O5597">
        <v>0.97249410000000003</v>
      </c>
      <c r="P5597">
        <v>0.58425859999999996</v>
      </c>
      <c r="Q5597">
        <v>0.14725940000000001</v>
      </c>
      <c r="R5597">
        <v>0.79809560000000002</v>
      </c>
      <c r="S5597">
        <v>1.5685880000000001</v>
      </c>
      <c r="T5597">
        <v>-0.2775106</v>
      </c>
      <c r="U5597">
        <v>2.658417</v>
      </c>
      <c r="V5597">
        <v>0.38616020000000001</v>
      </c>
      <c r="W5597">
        <v>0.15244679999999999</v>
      </c>
      <c r="X5597">
        <v>0.90974739999999998</v>
      </c>
      <c r="Y5597">
        <v>0.29192879999999999</v>
      </c>
      <c r="Z5597">
        <v>-9.0214370000000002E-2</v>
      </c>
      <c r="AA5597">
        <v>0.95217589999999996</v>
      </c>
      <c r="AB5597">
        <v>43</v>
      </c>
      <c r="AC5597">
        <v>6.1194000000000104</v>
      </c>
      <c r="AD5597">
        <v>-1.10091916435199</v>
      </c>
      <c r="AE5597">
        <v>10.1204999999999</v>
      </c>
      <c r="AF5597">
        <v>3.5680965394376001</v>
      </c>
      <c r="AG5597">
        <v>-1.10091916435199</v>
      </c>
      <c r="AH5597">
        <v>11.1690359935989</v>
      </c>
      <c r="AI5597">
        <v>95.364002627225403</v>
      </c>
      <c r="AJ5597">
        <v>72.283229582810705</v>
      </c>
      <c r="AK5597">
        <v>11.776701615796</v>
      </c>
      <c r="AL5597">
        <v>81.231251336917893</v>
      </c>
      <c r="AM5597">
        <v>67.000248701899395</v>
      </c>
      <c r="AN5597">
        <v>1.00000002935051</v>
      </c>
    </row>
    <row r="5598" spans="1:40" x14ac:dyDescent="0.25">
      <c r="A5598" t="str">
        <f>"20190312164420867"</f>
        <v>20190312164420867</v>
      </c>
      <c r="B5598" t="str">
        <f>"1552380260860782"</f>
        <v>1552380260860782</v>
      </c>
      <c r="C5598" t="s">
        <v>40</v>
      </c>
      <c r="D5598">
        <v>5.1328430000000003</v>
      </c>
      <c r="E5598">
        <v>0.47222950000000002</v>
      </c>
      <c r="F5598" t="s">
        <v>49</v>
      </c>
      <c r="G5598">
        <v>-180.13669999999999</v>
      </c>
      <c r="H5598" s="1">
        <v>-4.15630999999999E-6</v>
      </c>
      <c r="I5598">
        <v>124.8005</v>
      </c>
      <c r="J5598">
        <v>-186.00829999999999</v>
      </c>
      <c r="K5598">
        <v>1.1006880000000001</v>
      </c>
      <c r="L5598">
        <v>115.0859</v>
      </c>
      <c r="M5598">
        <v>0.2411943</v>
      </c>
      <c r="N5598">
        <v>0</v>
      </c>
      <c r="O5598">
        <v>0.97036100000000003</v>
      </c>
      <c r="P5598">
        <v>0.59013499999999997</v>
      </c>
      <c r="Q5598">
        <v>0.14876420000000001</v>
      </c>
      <c r="R5598">
        <v>0.79347959999999995</v>
      </c>
      <c r="S5598">
        <v>1.568848</v>
      </c>
      <c r="T5598">
        <v>-0.28858329999999999</v>
      </c>
      <c r="U5598">
        <v>2.6636660000000001</v>
      </c>
      <c r="V5598">
        <v>0.3848665</v>
      </c>
      <c r="W5598">
        <v>0.1537973</v>
      </c>
      <c r="X5598">
        <v>0.91006819999999999</v>
      </c>
      <c r="Y5598">
        <v>0.2823946</v>
      </c>
      <c r="Z5598">
        <v>-9.3454620000000002E-2</v>
      </c>
      <c r="AA5598">
        <v>0.95473529999999995</v>
      </c>
      <c r="AB5598">
        <v>43</v>
      </c>
      <c r="AC5598">
        <v>5.8715999999999999</v>
      </c>
      <c r="AD5598">
        <v>-1.1006921563099901</v>
      </c>
      <c r="AE5598">
        <v>9.7146000000000008</v>
      </c>
      <c r="AF5598">
        <v>3.3235921026488202</v>
      </c>
      <c r="AG5598">
        <v>-1.1006921563099901</v>
      </c>
      <c r="AH5598">
        <v>10.743071252164899</v>
      </c>
      <c r="AI5598">
        <v>95.590247243074003</v>
      </c>
      <c r="AJ5598">
        <v>72.8094616206604</v>
      </c>
      <c r="AK5598">
        <v>11.299175528189901</v>
      </c>
      <c r="AL5598">
        <v>81.1529495613335</v>
      </c>
      <c r="AM5598">
        <v>67.076569729136594</v>
      </c>
      <c r="AN5598">
        <v>0.99999998048038896</v>
      </c>
    </row>
    <row r="5599" spans="1:40" x14ac:dyDescent="0.25">
      <c r="A5599" t="str">
        <f>"20190312164420891"</f>
        <v>20190312164420891</v>
      </c>
      <c r="B5599" t="str">
        <f>"1552380260880298"</f>
        <v>1552380260880298</v>
      </c>
      <c r="C5599" t="s">
        <v>40</v>
      </c>
      <c r="D5599">
        <v>5.150423</v>
      </c>
      <c r="E5599">
        <v>0.47113090000000002</v>
      </c>
      <c r="F5599" t="s">
        <v>49</v>
      </c>
      <c r="G5599">
        <v>-180.03809999999999</v>
      </c>
      <c r="H5599" s="1">
        <v>-4.2602219999999996E-6</v>
      </c>
      <c r="I5599">
        <v>125.1478</v>
      </c>
      <c r="J5599">
        <v>-185.89750000000001</v>
      </c>
      <c r="K5599">
        <v>1.1004860000000001</v>
      </c>
      <c r="L5599">
        <v>115.5074</v>
      </c>
      <c r="M5599">
        <v>0.24960869999999999</v>
      </c>
      <c r="N5599">
        <v>0</v>
      </c>
      <c r="O5599">
        <v>0.96823040000000005</v>
      </c>
      <c r="P5599">
        <v>0.5954332</v>
      </c>
      <c r="Q5599">
        <v>0.14902389999999999</v>
      </c>
      <c r="R5599">
        <v>0.78946260000000001</v>
      </c>
      <c r="S5599">
        <v>1.5789489999999999</v>
      </c>
      <c r="T5599">
        <v>-0.29110380000000002</v>
      </c>
      <c r="U5599">
        <v>2.6610870000000002</v>
      </c>
      <c r="V5599">
        <v>0.38314490000000001</v>
      </c>
      <c r="W5599">
        <v>0.15394579999999999</v>
      </c>
      <c r="X5599">
        <v>0.9107693</v>
      </c>
      <c r="Y5599">
        <v>0.27712490000000001</v>
      </c>
      <c r="Z5599">
        <v>-9.4025369999999997E-2</v>
      </c>
      <c r="AA5599">
        <v>0.95622220000000002</v>
      </c>
      <c r="AB5599">
        <v>43</v>
      </c>
      <c r="AC5599">
        <v>5.8594000000000204</v>
      </c>
      <c r="AD5599">
        <v>-1.1004902602219999</v>
      </c>
      <c r="AE5599">
        <v>9.6403999999999996</v>
      </c>
      <c r="AF5599">
        <v>3.2364918086607299</v>
      </c>
      <c r="AG5599">
        <v>-1.1004902602219999</v>
      </c>
      <c r="AH5599">
        <v>10.696120017819601</v>
      </c>
      <c r="AI5599">
        <v>95.624204672746401</v>
      </c>
      <c r="AJ5599">
        <v>73.164941189380897</v>
      </c>
      <c r="AK5599">
        <v>11.2291113395484</v>
      </c>
      <c r="AL5599">
        <v>81.144338948342593</v>
      </c>
      <c r="AM5599">
        <v>67.184351295639104</v>
      </c>
      <c r="AN5599">
        <v>1.0000000207780699</v>
      </c>
    </row>
    <row r="5600" spans="1:40" x14ac:dyDescent="0.25">
      <c r="A5600" t="str">
        <f>"20190312164420912"</f>
        <v>20190312164420912</v>
      </c>
      <c r="B5600" t="str">
        <f>"1552380260900795"</f>
        <v>1552380260900795</v>
      </c>
      <c r="C5600" t="s">
        <v>40</v>
      </c>
      <c r="D5600">
        <v>5.117324</v>
      </c>
      <c r="E5600">
        <v>0.47054669999999998</v>
      </c>
      <c r="F5600" t="s">
        <v>49</v>
      </c>
      <c r="G5600">
        <v>-180.0898</v>
      </c>
      <c r="H5600" s="1">
        <v>-4.2737119999999997E-6</v>
      </c>
      <c r="I5600">
        <v>125.2274</v>
      </c>
      <c r="J5600">
        <v>-185.78809999999999</v>
      </c>
      <c r="K5600">
        <v>1.1003179999999999</v>
      </c>
      <c r="L5600">
        <v>115.90940000000001</v>
      </c>
      <c r="M5600">
        <v>0.2577583</v>
      </c>
      <c r="N5600">
        <v>0</v>
      </c>
      <c r="O5600">
        <v>0.96609250000000002</v>
      </c>
      <c r="P5600">
        <v>0.60061699999999996</v>
      </c>
      <c r="Q5600">
        <v>0.14744260000000001</v>
      </c>
      <c r="R5600">
        <v>0.78582439999999998</v>
      </c>
      <c r="S5600">
        <v>1.5885929999999999</v>
      </c>
      <c r="T5600">
        <v>-0.30101939999999999</v>
      </c>
      <c r="U5600">
        <v>2.6587369999999999</v>
      </c>
      <c r="V5600">
        <v>0.381409</v>
      </c>
      <c r="W5600">
        <v>0.1522857</v>
      </c>
      <c r="X5600">
        <v>0.91177640000000004</v>
      </c>
      <c r="Y5600">
        <v>0.27180840000000001</v>
      </c>
      <c r="Z5600">
        <v>-9.694469E-2</v>
      </c>
      <c r="AA5600">
        <v>0.95745599999999997</v>
      </c>
      <c r="AB5600">
        <v>43</v>
      </c>
      <c r="AC5600">
        <v>5.6982999999999802</v>
      </c>
      <c r="AD5600">
        <v>-1.100322273712</v>
      </c>
      <c r="AE5600">
        <v>9.3179999999999907</v>
      </c>
      <c r="AF5600">
        <v>3.07246187993236</v>
      </c>
      <c r="AG5600">
        <v>-1.100322273712</v>
      </c>
      <c r="AH5600">
        <v>10.3668064450573</v>
      </c>
      <c r="AI5600">
        <v>95.810626137849994</v>
      </c>
      <c r="AJ5600">
        <v>73.491495184451793</v>
      </c>
      <c r="AK5600">
        <v>10.8683672637129</v>
      </c>
      <c r="AL5600">
        <v>81.2405903114811</v>
      </c>
      <c r="AM5600">
        <v>67.299750248049705</v>
      </c>
      <c r="AN5600">
        <v>0.99999998165122495</v>
      </c>
    </row>
    <row r="5601" spans="1:40" x14ac:dyDescent="0.25">
      <c r="A5601" t="str">
        <f>"20190312164420933"</f>
        <v>20190312164420933</v>
      </c>
      <c r="B5601" t="str">
        <f>"1552380260920315"</f>
        <v>1552380260920315</v>
      </c>
      <c r="C5601" t="s">
        <v>40</v>
      </c>
      <c r="D5601">
        <v>5.1472829999999998</v>
      </c>
      <c r="E5601">
        <v>0.47019949999999999</v>
      </c>
      <c r="F5601" t="s">
        <v>49</v>
      </c>
      <c r="G5601">
        <v>-180.11490000000001</v>
      </c>
      <c r="H5601" s="1">
        <v>-4.2915399999999997E-6</v>
      </c>
      <c r="I5601">
        <v>125.3095</v>
      </c>
      <c r="J5601">
        <v>-185.67349999999999</v>
      </c>
      <c r="K5601">
        <v>1.100174</v>
      </c>
      <c r="L5601">
        <v>116.31699999999999</v>
      </c>
      <c r="M5601">
        <v>0.26609820000000001</v>
      </c>
      <c r="N5601">
        <v>0</v>
      </c>
      <c r="O5601">
        <v>0.96382840000000003</v>
      </c>
      <c r="P5601">
        <v>0.60551499999999903</v>
      </c>
      <c r="Q5601">
        <v>0.14547199999999999</v>
      </c>
      <c r="R5601">
        <v>0.78242539999999905</v>
      </c>
      <c r="S5601">
        <v>1.600784</v>
      </c>
      <c r="T5601">
        <v>-0.310473</v>
      </c>
      <c r="U5601">
        <v>2.652374</v>
      </c>
      <c r="V5601">
        <v>0.37912499999999999</v>
      </c>
      <c r="W5601">
        <v>0.15027679999999999</v>
      </c>
      <c r="X5601">
        <v>0.91306140000000002</v>
      </c>
      <c r="Y5601">
        <v>0.26758409999999999</v>
      </c>
      <c r="Z5601">
        <v>-9.9766049999999995E-2</v>
      </c>
      <c r="AA5601">
        <v>0.95835559999999997</v>
      </c>
      <c r="AB5601">
        <v>43</v>
      </c>
      <c r="AC5601">
        <v>5.5585999999999798</v>
      </c>
      <c r="AD5601">
        <v>-1.10017829154</v>
      </c>
      <c r="AE5601">
        <v>8.9924999999999908</v>
      </c>
      <c r="AF5601">
        <v>2.9332176829253398</v>
      </c>
      <c r="AG5601">
        <v>-1.10017829154</v>
      </c>
      <c r="AH5601">
        <v>10.0387900165655</v>
      </c>
      <c r="AI5601">
        <v>96.0051008461907</v>
      </c>
      <c r="AJ5601">
        <v>73.712251289161998</v>
      </c>
      <c r="AK5601">
        <v>10.5162475838722</v>
      </c>
      <c r="AL5601">
        <v>81.357032151694696</v>
      </c>
      <c r="AM5601">
        <v>67.450602561683198</v>
      </c>
      <c r="AN5601">
        <v>1.0000000012065999</v>
      </c>
    </row>
    <row r="5602" spans="1:40" x14ac:dyDescent="0.25">
      <c r="A5602" t="str">
        <f>"20190312164420956"</f>
        <v>20190312164420956</v>
      </c>
      <c r="B5602" t="str">
        <f>"1552380260950574"</f>
        <v>1552380260950574</v>
      </c>
      <c r="C5602" t="s">
        <v>40</v>
      </c>
      <c r="D5602">
        <v>5.2216019999999999</v>
      </c>
      <c r="E5602">
        <v>0.46989639999999999</v>
      </c>
      <c r="F5602" t="s">
        <v>49</v>
      </c>
      <c r="G5602">
        <v>-180.17339999999999</v>
      </c>
      <c r="H5602" s="1">
        <v>-4.286265E-6</v>
      </c>
      <c r="I5602">
        <v>125.3206</v>
      </c>
      <c r="J5602">
        <v>-185.54660000000001</v>
      </c>
      <c r="K5602">
        <v>1.100058</v>
      </c>
      <c r="L5602">
        <v>116.7534</v>
      </c>
      <c r="M5602">
        <v>0.27504610000000002</v>
      </c>
      <c r="N5602">
        <v>0</v>
      </c>
      <c r="O5602">
        <v>0.96131310000000003</v>
      </c>
      <c r="P5602">
        <v>0.61000330000000003</v>
      </c>
      <c r="Q5602">
        <v>0.143127</v>
      </c>
      <c r="R5602">
        <v>0.77936559999999999</v>
      </c>
      <c r="S5602">
        <v>1.6152949999999999</v>
      </c>
      <c r="T5602">
        <v>-0.32311020000000001</v>
      </c>
      <c r="U5602">
        <v>2.6442570000000001</v>
      </c>
      <c r="V5602">
        <v>0.37573820000000002</v>
      </c>
      <c r="W5602">
        <v>0.14795839999999999</v>
      </c>
      <c r="X5602">
        <v>0.91483829999999999</v>
      </c>
      <c r="Y5602">
        <v>0.26355620000000002</v>
      </c>
      <c r="Z5602">
        <v>-0.1035731</v>
      </c>
      <c r="AA5602">
        <v>0.95906760000000002</v>
      </c>
      <c r="AB5602">
        <v>43</v>
      </c>
      <c r="AC5602">
        <v>5.3732000000000202</v>
      </c>
      <c r="AD5602">
        <v>-1.100062286265</v>
      </c>
      <c r="AE5602">
        <v>8.5671999999999997</v>
      </c>
      <c r="AF5602">
        <v>2.77641785908465</v>
      </c>
      <c r="AG5602">
        <v>-1.100062286265</v>
      </c>
      <c r="AH5602">
        <v>9.6011309002860692</v>
      </c>
      <c r="AI5602">
        <v>96.281072473399206</v>
      </c>
      <c r="AJ5602">
        <v>73.871393036117695</v>
      </c>
      <c r="AK5602">
        <v>10.054866867658401</v>
      </c>
      <c r="AL5602">
        <v>81.491368654971595</v>
      </c>
      <c r="AM5602">
        <v>67.6712878314205</v>
      </c>
      <c r="AN5602">
        <v>0.99999999910834503</v>
      </c>
    </row>
    <row r="5603" spans="1:40" x14ac:dyDescent="0.25">
      <c r="A5603" t="str">
        <f>"20190312164420978"</f>
        <v>20190312164420978</v>
      </c>
      <c r="B5603" t="str">
        <f>"1552380260971066"</f>
        <v>1552380260971066</v>
      </c>
      <c r="C5603" t="s">
        <v>40</v>
      </c>
      <c r="D5603">
        <v>5.1522860000000001</v>
      </c>
      <c r="E5603">
        <v>0.46990169999999998</v>
      </c>
      <c r="F5603" t="s">
        <v>49</v>
      </c>
      <c r="G5603">
        <v>-180.22329999999999</v>
      </c>
      <c r="H5603" s="1">
        <v>-4.2911469999999997E-6</v>
      </c>
      <c r="I5603">
        <v>125.3661</v>
      </c>
      <c r="J5603">
        <v>-185.42320000000001</v>
      </c>
      <c r="K5603">
        <v>1.100014</v>
      </c>
      <c r="L5603">
        <v>117.1648</v>
      </c>
      <c r="M5603">
        <v>0.28341179999999999</v>
      </c>
      <c r="N5603">
        <v>0</v>
      </c>
      <c r="O5603">
        <v>0.95888010000000001</v>
      </c>
      <c r="P5603">
        <v>0.61438499999999996</v>
      </c>
      <c r="Q5603">
        <v>0.14271589999999901</v>
      </c>
      <c r="R5603">
        <v>0.77599189999999996</v>
      </c>
      <c r="S5603">
        <v>1.629227</v>
      </c>
      <c r="T5603">
        <v>-0.33667609999999998</v>
      </c>
      <c r="U5603">
        <v>2.6359249999999999</v>
      </c>
      <c r="V5603">
        <v>0.37289440000000001</v>
      </c>
      <c r="W5603">
        <v>0.1476066</v>
      </c>
      <c r="X5603">
        <v>0.91605789999999998</v>
      </c>
      <c r="Y5603">
        <v>0.25993640000000001</v>
      </c>
      <c r="Z5603">
        <v>-0.10766969999999999</v>
      </c>
      <c r="AA5603">
        <v>0.95960429999999997</v>
      </c>
      <c r="AB5603">
        <v>43</v>
      </c>
      <c r="AC5603">
        <v>5.1999000000000102</v>
      </c>
      <c r="AD5603">
        <v>-1.100018291147</v>
      </c>
      <c r="AE5603">
        <v>8.2012999999999998</v>
      </c>
      <c r="AF5603">
        <v>2.6283112969349198</v>
      </c>
      <c r="AG5603">
        <v>-1.100018291147</v>
      </c>
      <c r="AH5603">
        <v>9.2205193715451408</v>
      </c>
      <c r="AI5603">
        <v>96.544983819097396</v>
      </c>
      <c r="AJ5603">
        <v>74.089785596176299</v>
      </c>
      <c r="AK5603">
        <v>9.6507014250515901</v>
      </c>
      <c r="AL5603">
        <v>81.511749174727697</v>
      </c>
      <c r="AM5603">
        <v>67.850519983953404</v>
      </c>
      <c r="AN5603">
        <v>1.00000000903366</v>
      </c>
    </row>
    <row r="5604" spans="1:40" x14ac:dyDescent="0.25">
      <c r="A5604" t="str">
        <f>"20190312164421000"</f>
        <v>20190312164421000</v>
      </c>
      <c r="B5604" t="str">
        <f>"1552380260990587"</f>
        <v>1552380260990587</v>
      </c>
      <c r="C5604" t="s">
        <v>40</v>
      </c>
      <c r="D5604">
        <v>5.2449599999999998</v>
      </c>
      <c r="E5604">
        <v>0.46996949999999998</v>
      </c>
      <c r="F5604" t="s">
        <v>49</v>
      </c>
      <c r="G5604">
        <v>-180.0822</v>
      </c>
      <c r="H5604" s="1">
        <v>-4.39636199999999E-6</v>
      </c>
      <c r="I5604">
        <v>125.6955</v>
      </c>
      <c r="J5604">
        <v>-185.29990000000001</v>
      </c>
      <c r="K5604">
        <v>1.1000399999999999</v>
      </c>
      <c r="L5604">
        <v>117.5637</v>
      </c>
      <c r="M5604">
        <v>0.29135319999999998</v>
      </c>
      <c r="N5604">
        <v>0</v>
      </c>
      <c r="O5604">
        <v>0.95649709999999999</v>
      </c>
      <c r="P5604">
        <v>0.62025430000000004</v>
      </c>
      <c r="Q5604">
        <v>0.14187459999999999</v>
      </c>
      <c r="R5604">
        <v>0.77146359999999903</v>
      </c>
      <c r="S5604">
        <v>1.644363</v>
      </c>
      <c r="T5604">
        <v>-0.33866879999999999</v>
      </c>
      <c r="U5604">
        <v>2.626404</v>
      </c>
      <c r="V5604">
        <v>0.37216480000000002</v>
      </c>
      <c r="W5604">
        <v>0.1468236</v>
      </c>
      <c r="X5604">
        <v>0.91648030000000003</v>
      </c>
      <c r="Y5604">
        <v>0.25743890000000003</v>
      </c>
      <c r="Z5604">
        <v>-0.1081182</v>
      </c>
      <c r="AA5604">
        <v>0.96022689999999999</v>
      </c>
      <c r="AB5604">
        <v>43</v>
      </c>
      <c r="AC5604">
        <v>5.2176999999999998</v>
      </c>
      <c r="AD5604">
        <v>-1.1000443963619999</v>
      </c>
      <c r="AE5604">
        <v>8.1317999999999895</v>
      </c>
      <c r="AF5604">
        <v>2.5882349145936101</v>
      </c>
      <c r="AG5604">
        <v>-1.1000443963619999</v>
      </c>
      <c r="AH5604">
        <v>9.1802869282505206</v>
      </c>
      <c r="AI5604">
        <v>96.578901610205605</v>
      </c>
      <c r="AJ5604">
        <v>74.255051689565406</v>
      </c>
      <c r="AK5604">
        <v>9.6013918643130207</v>
      </c>
      <c r="AL5604">
        <v>81.557105658425499</v>
      </c>
      <c r="AM5604">
        <v>67.898886880696395</v>
      </c>
      <c r="AN5604">
        <v>0.999999974082044</v>
      </c>
    </row>
    <row r="5605" spans="1:40" x14ac:dyDescent="0.25">
      <c r="A5605" t="str">
        <f>"20190312164421023"</f>
        <v>20190312164421023</v>
      </c>
      <c r="B5605" t="str">
        <f>"1552380261011083"</f>
        <v>1552380261011083</v>
      </c>
      <c r="C5605" t="s">
        <v>40</v>
      </c>
      <c r="D5605">
        <v>5.246105</v>
      </c>
      <c r="E5605">
        <v>0.47040720000000003</v>
      </c>
      <c r="F5605" t="s">
        <v>49</v>
      </c>
      <c r="G5605">
        <v>-179.97020000000001</v>
      </c>
      <c r="H5605" s="1">
        <v>-4.476244E-6</v>
      </c>
      <c r="I5605">
        <v>125.9431</v>
      </c>
      <c r="J5605">
        <v>-185.16759999999999</v>
      </c>
      <c r="K5605">
        <v>1.100171</v>
      </c>
      <c r="L5605">
        <v>117.9794</v>
      </c>
      <c r="M5605">
        <v>0.29929719999999999</v>
      </c>
      <c r="N5605">
        <v>0</v>
      </c>
      <c r="O5605">
        <v>0.95404149999999999</v>
      </c>
      <c r="P5605">
        <v>0.626641</v>
      </c>
      <c r="Q5605">
        <v>0.1388443</v>
      </c>
      <c r="R5605">
        <v>0.76683979999999996</v>
      </c>
      <c r="S5605">
        <v>1.663071</v>
      </c>
      <c r="T5605">
        <v>-0.34325850000000002</v>
      </c>
      <c r="U5605">
        <v>2.614716</v>
      </c>
      <c r="V5605">
        <v>0.37186190000000002</v>
      </c>
      <c r="W5605">
        <v>0.14393259999999999</v>
      </c>
      <c r="X5605">
        <v>0.91706169999999998</v>
      </c>
      <c r="Y5605">
        <v>0.25616060000000002</v>
      </c>
      <c r="Z5605">
        <v>-0.1093872</v>
      </c>
      <c r="AA5605">
        <v>0.96042499999999997</v>
      </c>
      <c r="AB5605">
        <v>43</v>
      </c>
      <c r="AC5605">
        <v>5.1973999999999796</v>
      </c>
      <c r="AD5605">
        <v>-1.1001754762439999</v>
      </c>
      <c r="AE5605">
        <v>7.9637000000000002</v>
      </c>
      <c r="AF5605">
        <v>2.5412997706935201</v>
      </c>
      <c r="AG5605">
        <v>-1.1001754762439999</v>
      </c>
      <c r="AH5605">
        <v>9.0333966557439496</v>
      </c>
      <c r="AI5605">
        <v>96.686765397982796</v>
      </c>
      <c r="AJ5605">
        <v>74.287500806815103</v>
      </c>
      <c r="AK5605">
        <v>9.4483250231489002</v>
      </c>
      <c r="AL5605">
        <v>81.724526805301494</v>
      </c>
      <c r="AM5605">
        <v>67.927800920571798</v>
      </c>
      <c r="AN5605">
        <v>1.00000001381063</v>
      </c>
    </row>
    <row r="5606" spans="1:40" x14ac:dyDescent="0.25">
      <c r="A5606" t="str">
        <f>"20190312164421046"</f>
        <v>20190312164421046</v>
      </c>
      <c r="B5606" t="str">
        <f>"1552380261040362"</f>
        <v>1552380261040362</v>
      </c>
      <c r="C5606" t="s">
        <v>40</v>
      </c>
      <c r="D5606">
        <v>5.1966269999999897</v>
      </c>
      <c r="E5606">
        <v>0.47082770000000002</v>
      </c>
      <c r="F5606" t="s">
        <v>49</v>
      </c>
      <c r="G5606">
        <v>-179.94130000000001</v>
      </c>
      <c r="H5606">
        <v>1.118991E-3</v>
      </c>
      <c r="I5606">
        <v>126.047</v>
      </c>
      <c r="J5606">
        <v>-185.03110000000001</v>
      </c>
      <c r="K5606">
        <v>1.10044599999999</v>
      </c>
      <c r="L5606">
        <v>118.39749999999999</v>
      </c>
      <c r="M5606">
        <v>0.30681029999999998</v>
      </c>
      <c r="N5606">
        <v>0</v>
      </c>
      <c r="O5606">
        <v>0.95165250000000001</v>
      </c>
      <c r="P5606">
        <v>0.63283330000000004</v>
      </c>
      <c r="Q5606">
        <v>0.13688220000000001</v>
      </c>
      <c r="R5606">
        <v>0.76209269999999996</v>
      </c>
      <c r="S5606">
        <v>1.684296</v>
      </c>
      <c r="T5606">
        <v>-0.35419270000000003</v>
      </c>
      <c r="U5606">
        <v>2.5999300000000001</v>
      </c>
      <c r="V5606">
        <v>0.37180829999999998</v>
      </c>
      <c r="W5606">
        <v>0.1421992</v>
      </c>
      <c r="X5606">
        <v>0.9173538</v>
      </c>
      <c r="Y5606">
        <v>0.25634119999999999</v>
      </c>
      <c r="Z5606">
        <v>-0.11271050000000001</v>
      </c>
      <c r="AA5606">
        <v>0.95999250000000003</v>
      </c>
      <c r="AB5606">
        <v>43</v>
      </c>
      <c r="AC5606">
        <v>5.0897999999999897</v>
      </c>
      <c r="AD5606">
        <v>-1.09932700899999</v>
      </c>
      <c r="AE5606">
        <v>7.6495000000000104</v>
      </c>
      <c r="AF5606">
        <v>2.46181450787974</v>
      </c>
      <c r="AG5606">
        <v>-1.09932700899999</v>
      </c>
      <c r="AH5606">
        <v>8.7174693584430507</v>
      </c>
      <c r="AI5606">
        <v>96.919566509171204</v>
      </c>
      <c r="AJ5606">
        <v>74.230313232632497</v>
      </c>
      <c r="AK5606">
        <v>9.12487383799456</v>
      </c>
      <c r="AL5606">
        <v>81.8248755567692</v>
      </c>
      <c r="AM5606">
        <v>67.937029683269202</v>
      </c>
      <c r="AN5606">
        <v>1.0000000094019801</v>
      </c>
    </row>
    <row r="5607" spans="1:40" x14ac:dyDescent="0.25">
      <c r="A5607" t="str">
        <f>"20190312164421068"</f>
        <v>20190312164421068</v>
      </c>
      <c r="B5607" t="str">
        <f>"1552380261060859"</f>
        <v>1552380261060859</v>
      </c>
      <c r="C5607" t="s">
        <v>40</v>
      </c>
      <c r="D5607">
        <v>5.2867540000000002</v>
      </c>
      <c r="E5607">
        <v>0.47119139999999998</v>
      </c>
      <c r="F5607" t="s">
        <v>49</v>
      </c>
      <c r="G5607">
        <v>-179.9366</v>
      </c>
      <c r="H5607">
        <v>2.5574030000000001E-2</v>
      </c>
      <c r="I5607">
        <v>126.1082</v>
      </c>
      <c r="J5607">
        <v>-184.8921</v>
      </c>
      <c r="K5607">
        <v>1.1007990000000001</v>
      </c>
      <c r="L5607">
        <v>118.8134</v>
      </c>
      <c r="M5607">
        <v>0.31380209999999997</v>
      </c>
      <c r="N5607">
        <v>0</v>
      </c>
      <c r="O5607">
        <v>0.94937059999999995</v>
      </c>
      <c r="P5607">
        <v>0.63694439999999997</v>
      </c>
      <c r="Q5607">
        <v>0.13593469999999999</v>
      </c>
      <c r="R5607">
        <v>0.75883049999999996</v>
      </c>
      <c r="S5607">
        <v>1.7070620000000001</v>
      </c>
      <c r="T5607">
        <v>-0.36016870000000001</v>
      </c>
      <c r="U5607">
        <v>2.5836939999999999</v>
      </c>
      <c r="V5607">
        <v>0.36981730000000002</v>
      </c>
      <c r="W5607">
        <v>0.14159269999999999</v>
      </c>
      <c r="X5607">
        <v>0.91825199999999996</v>
      </c>
      <c r="Y5607">
        <v>0.25777299999999997</v>
      </c>
      <c r="Z5607">
        <v>-0.1145008</v>
      </c>
      <c r="AA5607">
        <v>0.95939700000000006</v>
      </c>
      <c r="AB5607">
        <v>43</v>
      </c>
      <c r="AC5607">
        <v>4.9554999999999998</v>
      </c>
      <c r="AD5607">
        <v>-1.0752249700000001</v>
      </c>
      <c r="AE5607">
        <v>7.2947999999999897</v>
      </c>
      <c r="AF5607">
        <v>2.3803672433870902</v>
      </c>
      <c r="AG5607">
        <v>-1.0752249700000001</v>
      </c>
      <c r="AH5607">
        <v>8.3572290177475796</v>
      </c>
      <c r="AI5607">
        <v>97.0537408128164</v>
      </c>
      <c r="AJ5607">
        <v>74.101598433485904</v>
      </c>
      <c r="AK5607">
        <v>8.7558856664865097</v>
      </c>
      <c r="AL5607">
        <v>81.8599808389354</v>
      </c>
      <c r="AM5607">
        <v>68.063355649509205</v>
      </c>
      <c r="AN5607">
        <v>1.00000003178828</v>
      </c>
    </row>
    <row r="5608" spans="1:40" x14ac:dyDescent="0.25">
      <c r="A5608" t="str">
        <f>"20190312164421079"</f>
        <v>20190312164421079</v>
      </c>
      <c r="B5608" t="str">
        <f>"1552380261070620"</f>
        <v>1552380261070620</v>
      </c>
      <c r="C5608" t="s">
        <v>40</v>
      </c>
      <c r="D5608">
        <v>5.155335</v>
      </c>
      <c r="E5608">
        <v>0.4713889</v>
      </c>
      <c r="F5608" t="s">
        <v>49</v>
      </c>
      <c r="G5608">
        <v>-179.92830000000001</v>
      </c>
      <c r="H5608">
        <v>4.593676E-2</v>
      </c>
      <c r="I5608">
        <v>126.218</v>
      </c>
      <c r="J5608">
        <v>-184.82239999999999</v>
      </c>
      <c r="K5608">
        <v>1.1010059999999999</v>
      </c>
      <c r="L5608">
        <v>119.01949999999999</v>
      </c>
      <c r="M5608">
        <v>0.31708769999999997</v>
      </c>
      <c r="N5608">
        <v>0</v>
      </c>
      <c r="O5608">
        <v>0.94827850000000002</v>
      </c>
      <c r="P5608">
        <v>0.638988</v>
      </c>
      <c r="Q5608">
        <v>0.13605139999999999</v>
      </c>
      <c r="R5608">
        <v>0.75708959999999903</v>
      </c>
      <c r="S5608">
        <v>1.7241359999999999</v>
      </c>
      <c r="T5608">
        <v>-0.36639899999999997</v>
      </c>
      <c r="U5608">
        <v>2.57193</v>
      </c>
      <c r="V5608">
        <v>0.36904979999999998</v>
      </c>
      <c r="W5608">
        <v>0.1418953</v>
      </c>
      <c r="X5608">
        <v>0.91851400000000005</v>
      </c>
      <c r="Y5608">
        <v>0.26071820000000001</v>
      </c>
      <c r="Z5608">
        <v>-0.1164501</v>
      </c>
      <c r="AA5608">
        <v>0.95836600000000005</v>
      </c>
      <c r="AB5608">
        <v>43</v>
      </c>
      <c r="AC5608">
        <v>4.8940999999999804</v>
      </c>
      <c r="AD5608">
        <v>-1.0550692399999999</v>
      </c>
      <c r="AE5608">
        <v>7.1984999999999904</v>
      </c>
      <c r="AF5608">
        <v>2.3245269410277198</v>
      </c>
      <c r="AG5608">
        <v>-1.0550692399999999</v>
      </c>
      <c r="AH5608">
        <v>8.2576611425623607</v>
      </c>
      <c r="AI5608">
        <v>97.011510926789697</v>
      </c>
      <c r="AJ5608">
        <v>74.278119109262605</v>
      </c>
      <c r="AK5608">
        <v>8.6432380590923401</v>
      </c>
      <c r="AL5608">
        <v>81.842466034115603</v>
      </c>
      <c r="AM5608">
        <v>68.110228588169704</v>
      </c>
      <c r="AN5608">
        <v>0.99999999961906505</v>
      </c>
    </row>
    <row r="5609" spans="1:40" x14ac:dyDescent="0.25">
      <c r="A5609" t="str">
        <f>"20190312164421093"</f>
        <v>20190312164421093</v>
      </c>
      <c r="B5609" t="str">
        <f>"1552380261080379"</f>
        <v>1552380261080379</v>
      </c>
      <c r="C5609" t="s">
        <v>40</v>
      </c>
      <c r="D5609">
        <v>5.1145440000000004</v>
      </c>
      <c r="E5609">
        <v>0.47154410000000002</v>
      </c>
      <c r="F5609" t="s">
        <v>49</v>
      </c>
      <c r="G5609">
        <v>-179.90989999999999</v>
      </c>
      <c r="H5609">
        <v>6.2808669999999997E-2</v>
      </c>
      <c r="I5609">
        <v>126.29219999999999</v>
      </c>
      <c r="J5609">
        <v>-184.73740000000001</v>
      </c>
      <c r="K5609">
        <v>1.1013139999999999</v>
      </c>
      <c r="L5609">
        <v>119.26690000000001</v>
      </c>
      <c r="M5609">
        <v>0.32069120000000001</v>
      </c>
      <c r="N5609">
        <v>0</v>
      </c>
      <c r="O5609">
        <v>0.94706639999999997</v>
      </c>
      <c r="P5609">
        <v>0.64155819999999997</v>
      </c>
      <c r="Q5609">
        <v>0.13607420000000001</v>
      </c>
      <c r="R5609">
        <v>0.75490849999999998</v>
      </c>
      <c r="S5609">
        <v>1.7330319999999999</v>
      </c>
      <c r="T5609">
        <v>-0.36625590000000002</v>
      </c>
      <c r="U5609">
        <v>2.5656590000000001</v>
      </c>
      <c r="V5609">
        <v>0.3685755</v>
      </c>
      <c r="W5609">
        <v>0.14217750000000001</v>
      </c>
      <c r="X5609">
        <v>0.91866080000000006</v>
      </c>
      <c r="Y5609">
        <v>0.26042379999999998</v>
      </c>
      <c r="Z5609">
        <v>-0.11632290000000001</v>
      </c>
      <c r="AA5609">
        <v>0.95846149999999997</v>
      </c>
      <c r="AB5609">
        <v>43</v>
      </c>
      <c r="AC5609">
        <v>4.8275000000000103</v>
      </c>
      <c r="AD5609">
        <v>-1.03850533</v>
      </c>
      <c r="AE5609">
        <v>7.0252999999999801</v>
      </c>
      <c r="AF5609">
        <v>2.2853474320902998</v>
      </c>
      <c r="AG5609">
        <v>-1.03850533</v>
      </c>
      <c r="AH5609">
        <v>8.0825050716614708</v>
      </c>
      <c r="AI5609">
        <v>97.048314545240601</v>
      </c>
      <c r="AJ5609">
        <v>74.211624095323998</v>
      </c>
      <c r="AK5609">
        <v>8.4633441640543996</v>
      </c>
      <c r="AL5609">
        <v>81.826131585414103</v>
      </c>
      <c r="AM5609">
        <v>68.138871501646094</v>
      </c>
      <c r="AN5609">
        <v>1.0000000030815701</v>
      </c>
    </row>
    <row r="5610" spans="1:40" x14ac:dyDescent="0.25">
      <c r="A5610" t="str">
        <f>"20190312164421112"</f>
        <v>20190312164421112</v>
      </c>
      <c r="B5610" t="str">
        <f>"1552380261100875"</f>
        <v>1552380261100875</v>
      </c>
      <c r="C5610" t="s">
        <v>40</v>
      </c>
      <c r="D5610">
        <v>5.1188149999999997</v>
      </c>
      <c r="E5610">
        <v>0.4719198</v>
      </c>
      <c r="F5610" t="s">
        <v>49</v>
      </c>
      <c r="G5610">
        <v>-179.87090000000001</v>
      </c>
      <c r="H5610">
        <v>7.9988320000000002E-2</v>
      </c>
      <c r="I5610">
        <v>126.4105</v>
      </c>
      <c r="J5610">
        <v>-184.61279999999999</v>
      </c>
      <c r="K5610">
        <v>1.101861</v>
      </c>
      <c r="L5610">
        <v>119.62569999999999</v>
      </c>
      <c r="M5610">
        <v>0.32541110000000001</v>
      </c>
      <c r="N5610">
        <v>0</v>
      </c>
      <c r="O5610">
        <v>0.94545559999999995</v>
      </c>
      <c r="P5610">
        <v>0.64648149999999904</v>
      </c>
      <c r="Q5610">
        <v>0.13744029999999999</v>
      </c>
      <c r="R5610">
        <v>0.7504478</v>
      </c>
      <c r="S5610">
        <v>1.7430110000000001</v>
      </c>
      <c r="T5610">
        <v>-0.36580600000000002</v>
      </c>
      <c r="U5610">
        <v>2.558624</v>
      </c>
      <c r="V5610">
        <v>0.36992459999999999</v>
      </c>
      <c r="W5610">
        <v>0.1439463</v>
      </c>
      <c r="X5610">
        <v>0.91784270000000001</v>
      </c>
      <c r="Y5610">
        <v>0.25940469999999999</v>
      </c>
      <c r="Z5610">
        <v>-0.11605509999999999</v>
      </c>
      <c r="AA5610">
        <v>0.95877029999999996</v>
      </c>
      <c r="AB5610">
        <v>43</v>
      </c>
      <c r="AC5610">
        <v>4.7418999999999798</v>
      </c>
      <c r="AD5610">
        <v>-1.02187268</v>
      </c>
      <c r="AE5610">
        <v>6.7847999999999997</v>
      </c>
      <c r="AF5610">
        <v>2.2414983394276802</v>
      </c>
      <c r="AG5610">
        <v>-1.02187268</v>
      </c>
      <c r="AH5610">
        <v>7.8392062035133296</v>
      </c>
      <c r="AI5610">
        <v>97.1437057564236</v>
      </c>
      <c r="AJ5610">
        <v>74.042947564620803</v>
      </c>
      <c r="AK5610">
        <v>8.2171584188811497</v>
      </c>
      <c r="AL5610">
        <v>81.723733348364405</v>
      </c>
      <c r="AM5610">
        <v>68.048739802425899</v>
      </c>
      <c r="AN5610">
        <v>0.99999998445606997</v>
      </c>
    </row>
    <row r="5611" spans="1:40" x14ac:dyDescent="0.25">
      <c r="A5611" t="str">
        <f>"20190312164421135"</f>
        <v>20190312164421135</v>
      </c>
      <c r="B5611" t="str">
        <f>"1552380261131131"</f>
        <v>1552380261131131</v>
      </c>
      <c r="C5611" t="s">
        <v>40</v>
      </c>
      <c r="D5611">
        <v>5.235074</v>
      </c>
      <c r="E5611">
        <v>0.47257369999999999</v>
      </c>
      <c r="F5611" t="s">
        <v>49</v>
      </c>
      <c r="G5611">
        <v>-179.63159999999999</v>
      </c>
      <c r="H5611">
        <v>7.9988080000000003E-2</v>
      </c>
      <c r="I5611">
        <v>126.8314</v>
      </c>
      <c r="J5611">
        <v>-184.4717</v>
      </c>
      <c r="K5611">
        <v>1.1026370000000001</v>
      </c>
      <c r="L5611">
        <v>120.0274</v>
      </c>
      <c r="M5611">
        <v>0.32978610000000003</v>
      </c>
      <c r="N5611">
        <v>0</v>
      </c>
      <c r="O5611">
        <v>0.94393919999999998</v>
      </c>
      <c r="P5611">
        <v>0.65087629999999996</v>
      </c>
      <c r="Q5611">
        <v>0.13772909999999999</v>
      </c>
      <c r="R5611">
        <v>0.74658610000000003</v>
      </c>
      <c r="S5611">
        <v>1.7607269999999999</v>
      </c>
      <c r="T5611">
        <v>-0.36120219999999997</v>
      </c>
      <c r="U5611">
        <v>2.5469819999999999</v>
      </c>
      <c r="V5611">
        <v>0.37082029999999999</v>
      </c>
      <c r="W5611">
        <v>0.14484610000000001</v>
      </c>
      <c r="X5611">
        <v>0.91733960000000003</v>
      </c>
      <c r="Y5611">
        <v>0.2616001</v>
      </c>
      <c r="Z5611">
        <v>-0.1145341</v>
      </c>
      <c r="AA5611">
        <v>0.9583566</v>
      </c>
      <c r="AB5611">
        <v>43</v>
      </c>
      <c r="AC5611">
        <v>4.8400999999999996</v>
      </c>
      <c r="AD5611">
        <v>-1.02264892</v>
      </c>
      <c r="AE5611">
        <v>6.8040000000000003</v>
      </c>
      <c r="AF5611">
        <v>2.2907894669964199</v>
      </c>
      <c r="AG5611">
        <v>-1.02264892</v>
      </c>
      <c r="AH5611">
        <v>7.9011254529208799</v>
      </c>
      <c r="AI5611">
        <v>97.086164081069597</v>
      </c>
      <c r="AJ5611">
        <v>73.831432495511507</v>
      </c>
      <c r="AK5611">
        <v>8.2898317605650504</v>
      </c>
      <c r="AL5611">
        <v>81.671632838075794</v>
      </c>
      <c r="AM5611">
        <v>67.989742883371804</v>
      </c>
      <c r="AN5611">
        <v>1.0000000146527299</v>
      </c>
    </row>
    <row r="5612" spans="1:40" x14ac:dyDescent="0.25">
      <c r="A5612" t="str">
        <f>"20190312164421147"</f>
        <v>20190312164421147</v>
      </c>
      <c r="B5612" t="str">
        <f>"1552380261140893"</f>
        <v>1552380261140893</v>
      </c>
      <c r="C5612" t="s">
        <v>40</v>
      </c>
      <c r="D5612">
        <v>5.1754610000000003</v>
      </c>
      <c r="E5612">
        <v>0.47274110000000003</v>
      </c>
      <c r="F5612" t="s">
        <v>49</v>
      </c>
      <c r="G5612">
        <v>-179.41839999999999</v>
      </c>
      <c r="H5612">
        <v>7.9987939999999993E-2</v>
      </c>
      <c r="I5612">
        <v>127.2266</v>
      </c>
      <c r="J5612">
        <v>-184.39</v>
      </c>
      <c r="K5612">
        <v>1.1031420000000001</v>
      </c>
      <c r="L5612">
        <v>120.2581</v>
      </c>
      <c r="M5612">
        <v>0.331837099999999</v>
      </c>
      <c r="N5612">
        <v>0</v>
      </c>
      <c r="O5612">
        <v>0.94322059999999996</v>
      </c>
      <c r="P5612">
        <v>0.65308279999999996</v>
      </c>
      <c r="Q5612">
        <v>0.137456299999999</v>
      </c>
      <c r="R5612">
        <v>0.74470700000000001</v>
      </c>
      <c r="S5612">
        <v>1.778702</v>
      </c>
      <c r="T5612">
        <v>-0.35995509999999997</v>
      </c>
      <c r="U5612">
        <v>2.5339969999999998</v>
      </c>
      <c r="V5612">
        <v>0.37134499999999998</v>
      </c>
      <c r="W5612">
        <v>0.1449839</v>
      </c>
      <c r="X5612">
        <v>0.91710559999999997</v>
      </c>
      <c r="Y5612">
        <v>0.26638579999999901</v>
      </c>
      <c r="Z5612">
        <v>-0.11420370000000001</v>
      </c>
      <c r="AA5612">
        <v>0.95707679999999995</v>
      </c>
      <c r="AB5612">
        <v>43</v>
      </c>
      <c r="AC5612">
        <v>4.9715999999999898</v>
      </c>
      <c r="AD5612">
        <v>-1.02315406</v>
      </c>
      <c r="AE5612">
        <v>6.9684999999999997</v>
      </c>
      <c r="AF5612">
        <v>2.34368677467728</v>
      </c>
      <c r="AG5612">
        <v>-1.02315406</v>
      </c>
      <c r="AH5612">
        <v>8.10766730906162</v>
      </c>
      <c r="AI5612">
        <v>96.912365646024199</v>
      </c>
      <c r="AJ5612">
        <v>73.876982561115099</v>
      </c>
      <c r="AK5612">
        <v>8.50141053724135</v>
      </c>
      <c r="AL5612">
        <v>81.663653636505998</v>
      </c>
      <c r="AM5612">
        <v>67.956494930468097</v>
      </c>
      <c r="AN5612">
        <v>1.0000000609177799</v>
      </c>
    </row>
    <row r="5613" spans="1:40" x14ac:dyDescent="0.25">
      <c r="A5613" t="str">
        <f>"20190312164421159"</f>
        <v>20190312164421159</v>
      </c>
      <c r="B5613" t="str">
        <f>"1552380261150651"</f>
        <v>1552380261150651</v>
      </c>
      <c r="C5613" t="s">
        <v>40</v>
      </c>
      <c r="D5613">
        <v>5.1679440000000003</v>
      </c>
      <c r="E5613">
        <v>0.47289769999999998</v>
      </c>
      <c r="F5613" t="s">
        <v>49</v>
      </c>
      <c r="G5613">
        <v>-179.322</v>
      </c>
      <c r="H5613">
        <v>7.9987890000000006E-2</v>
      </c>
      <c r="I5613">
        <v>127.42059999999999</v>
      </c>
      <c r="J5613">
        <v>-184.3075</v>
      </c>
      <c r="K5613">
        <v>1.1036820000000001</v>
      </c>
      <c r="L5613">
        <v>120.4903</v>
      </c>
      <c r="M5613">
        <v>0.33363710000000002</v>
      </c>
      <c r="N5613">
        <v>0</v>
      </c>
      <c r="O5613">
        <v>0.94258580000000003</v>
      </c>
      <c r="P5613">
        <v>0.65562189999999998</v>
      </c>
      <c r="Q5613">
        <v>0.1367254</v>
      </c>
      <c r="R5613">
        <v>0.74260769999999998</v>
      </c>
      <c r="S5613">
        <v>1.7880400000000001</v>
      </c>
      <c r="T5613">
        <v>-0.36097780000000002</v>
      </c>
      <c r="U5613">
        <v>2.526993</v>
      </c>
      <c r="V5613">
        <v>0.37248429999999999</v>
      </c>
      <c r="W5613">
        <v>0.1446838</v>
      </c>
      <c r="X5613">
        <v>0.91669080000000003</v>
      </c>
      <c r="Y5613">
        <v>0.26813029999999999</v>
      </c>
      <c r="Z5613">
        <v>-0.1145279</v>
      </c>
      <c r="AA5613">
        <v>0.95655080000000003</v>
      </c>
      <c r="AB5613">
        <v>43</v>
      </c>
      <c r="AC5613">
        <v>4.9855</v>
      </c>
      <c r="AD5613">
        <v>-1.0236941100000001</v>
      </c>
      <c r="AE5613">
        <v>6.9302999999999804</v>
      </c>
      <c r="AF5613">
        <v>2.35347795621463</v>
      </c>
      <c r="AG5613">
        <v>-1.0236941100000001</v>
      </c>
      <c r="AH5613">
        <v>8.0804617698810901</v>
      </c>
      <c r="AI5613">
        <v>96.9350201684246</v>
      </c>
      <c r="AJ5613">
        <v>73.761515233524406</v>
      </c>
      <c r="AK5613">
        <v>8.4782469022638605</v>
      </c>
      <c r="AL5613">
        <v>81.681030729222599</v>
      </c>
      <c r="AM5613">
        <v>67.886331640986299</v>
      </c>
      <c r="AN5613">
        <v>0.99999998926678402</v>
      </c>
    </row>
    <row r="5614" spans="1:40" x14ac:dyDescent="0.25">
      <c r="A5614" t="str">
        <f>"20190312164421179"</f>
        <v>20190312164421179</v>
      </c>
      <c r="B5614" t="str">
        <f>"1552380261171147"</f>
        <v>1552380261171147</v>
      </c>
      <c r="C5614" t="s">
        <v>40</v>
      </c>
      <c r="D5614">
        <v>5.1612539999999996</v>
      </c>
      <c r="E5614">
        <v>0.47323559999999998</v>
      </c>
      <c r="F5614" t="s">
        <v>49</v>
      </c>
      <c r="G5614">
        <v>-179.24209999999999</v>
      </c>
      <c r="H5614">
        <v>7.9987840000000004E-2</v>
      </c>
      <c r="I5614">
        <v>127.5937</v>
      </c>
      <c r="J5614">
        <v>-184.1833</v>
      </c>
      <c r="K5614">
        <v>1.104522</v>
      </c>
      <c r="L5614">
        <v>120.8383</v>
      </c>
      <c r="M5614">
        <v>0.33560319999999999</v>
      </c>
      <c r="N5614">
        <v>0</v>
      </c>
      <c r="O5614">
        <v>0.94188799999999995</v>
      </c>
      <c r="P5614">
        <v>0.65967919999999902</v>
      </c>
      <c r="Q5614">
        <v>0.1352708</v>
      </c>
      <c r="R5614">
        <v>0.73927339999999997</v>
      </c>
      <c r="S5614">
        <v>1.797058</v>
      </c>
      <c r="T5614">
        <v>-0.36317500000000003</v>
      </c>
      <c r="U5614">
        <v>2.5200809999999998</v>
      </c>
      <c r="V5614">
        <v>0.3751929</v>
      </c>
      <c r="W5614">
        <v>0.143903799999999</v>
      </c>
      <c r="X5614">
        <v>0.91570839999999998</v>
      </c>
      <c r="Y5614">
        <v>0.26958070000000001</v>
      </c>
      <c r="Z5614">
        <v>-0.1152122</v>
      </c>
      <c r="AA5614">
        <v>0.95606089999999999</v>
      </c>
      <c r="AB5614">
        <v>43</v>
      </c>
      <c r="AC5614">
        <v>4.9412000000000003</v>
      </c>
      <c r="AD5614">
        <v>-1.02453416</v>
      </c>
      <c r="AE5614">
        <v>6.7553999999999901</v>
      </c>
      <c r="AF5614">
        <v>2.3519403278508801</v>
      </c>
      <c r="AG5614">
        <v>-1.02453416</v>
      </c>
      <c r="AH5614">
        <v>7.9035551137506701</v>
      </c>
      <c r="AI5614">
        <v>97.0824207336954</v>
      </c>
      <c r="AJ5614">
        <v>73.428044838968503</v>
      </c>
      <c r="AK5614">
        <v>8.3094811502808401</v>
      </c>
      <c r="AL5614">
        <v>81.726193708272007</v>
      </c>
      <c r="AM5614">
        <v>67.719631924032598</v>
      </c>
      <c r="AN5614">
        <v>0.99999994484770305</v>
      </c>
    </row>
    <row r="5615" spans="1:40" x14ac:dyDescent="0.25">
      <c r="A5615" t="str">
        <f>"20190312164421201"</f>
        <v>20190312164421201</v>
      </c>
      <c r="B5615" t="str">
        <f>"1552380261190667"</f>
        <v>1552380261190667</v>
      </c>
      <c r="C5615" t="s">
        <v>40</v>
      </c>
      <c r="D5615">
        <v>5.1818479999999996</v>
      </c>
      <c r="E5615">
        <v>0.47350989999999998</v>
      </c>
      <c r="F5615" t="s">
        <v>49</v>
      </c>
      <c r="G5615">
        <v>-179.12370000000001</v>
      </c>
      <c r="H5615">
        <v>7.9987849999999999E-2</v>
      </c>
      <c r="I5615">
        <v>127.85039999999999</v>
      </c>
      <c r="J5615">
        <v>-184.04349999999999</v>
      </c>
      <c r="K5615">
        <v>1.105469</v>
      </c>
      <c r="L5615">
        <v>121.22880000000001</v>
      </c>
      <c r="M5615">
        <v>0.33701009999999998</v>
      </c>
      <c r="N5615">
        <v>0</v>
      </c>
      <c r="O5615">
        <v>0.9413859</v>
      </c>
      <c r="P5615">
        <v>0.6624833</v>
      </c>
      <c r="Q5615">
        <v>0.13343079999999999</v>
      </c>
      <c r="R5615">
        <v>0.73709720000000001</v>
      </c>
      <c r="S5615">
        <v>1.810684</v>
      </c>
      <c r="T5615">
        <v>-0.36665530000000002</v>
      </c>
      <c r="U5615">
        <v>2.5094449999999999</v>
      </c>
      <c r="V5615">
        <v>0.37684689999999998</v>
      </c>
      <c r="W5615">
        <v>0.14286279999999901</v>
      </c>
      <c r="X5615">
        <v>0.91519209999999995</v>
      </c>
      <c r="Y5615">
        <v>0.273393099999999</v>
      </c>
      <c r="Z5615">
        <v>-0.1163729</v>
      </c>
      <c r="AA5615">
        <v>0.95483689999999999</v>
      </c>
      <c r="AB5615">
        <v>43</v>
      </c>
      <c r="AC5615">
        <v>4.91979999999998</v>
      </c>
      <c r="AD5615">
        <v>-1.0254811500000001</v>
      </c>
      <c r="AE5615">
        <v>6.6215999999999804</v>
      </c>
      <c r="AF5615">
        <v>2.3636182418870502</v>
      </c>
      <c r="AG5615">
        <v>-1.0254811500000001</v>
      </c>
      <c r="AH5615">
        <v>7.7722501248037199</v>
      </c>
      <c r="AI5615">
        <v>97.194576054817205</v>
      </c>
      <c r="AJ5615">
        <v>73.0849640284777</v>
      </c>
      <c r="AK5615">
        <v>8.1881728599790797</v>
      </c>
      <c r="AL5615">
        <v>81.786461583670302</v>
      </c>
      <c r="AM5615">
        <v>67.619699322305607</v>
      </c>
      <c r="AN5615">
        <v>0.99999997278292896</v>
      </c>
    </row>
    <row r="5616" spans="1:40" x14ac:dyDescent="0.25">
      <c r="A5616" t="str">
        <f>"20190312164421214"</f>
        <v>20190312164421214</v>
      </c>
      <c r="B5616" t="str">
        <f>"1552380261211163"</f>
        <v>1552380261211163</v>
      </c>
      <c r="C5616" t="s">
        <v>40</v>
      </c>
      <c r="D5616">
        <v>5.1851240000000001</v>
      </c>
      <c r="E5616">
        <v>0.47375040000000002</v>
      </c>
      <c r="F5616" t="s">
        <v>49</v>
      </c>
      <c r="G5616">
        <v>-179.03960000000001</v>
      </c>
      <c r="H5616">
        <v>7.9987829999999996E-2</v>
      </c>
      <c r="I5616">
        <v>128.09129999999999</v>
      </c>
      <c r="J5616">
        <v>-183.9599</v>
      </c>
      <c r="K5616">
        <v>1.106004</v>
      </c>
      <c r="L5616">
        <v>121.4622</v>
      </c>
      <c r="M5616">
        <v>0.33738980000000002</v>
      </c>
      <c r="N5616">
        <v>0</v>
      </c>
      <c r="O5616">
        <v>0.94125009999999998</v>
      </c>
      <c r="P5616">
        <v>0.66308029999999996</v>
      </c>
      <c r="Q5616">
        <v>0.1327815</v>
      </c>
      <c r="R5616">
        <v>0.73667729999999998</v>
      </c>
      <c r="S5616">
        <v>1.8226009999999999</v>
      </c>
      <c r="T5616">
        <v>-0.37351319999999999</v>
      </c>
      <c r="U5616">
        <v>2.4995270000000001</v>
      </c>
      <c r="V5616">
        <v>0.3769922</v>
      </c>
      <c r="W5616">
        <v>0.142678799999999</v>
      </c>
      <c r="X5616">
        <v>0.915161</v>
      </c>
      <c r="Y5616">
        <v>0.27761190000000002</v>
      </c>
      <c r="Z5616">
        <v>-0.11864130000000001</v>
      </c>
      <c r="AA5616">
        <v>0.9533393</v>
      </c>
      <c r="AB5616">
        <v>43</v>
      </c>
      <c r="AC5616">
        <v>4.9202999999999903</v>
      </c>
      <c r="AD5616">
        <v>-1.0260161699999999</v>
      </c>
      <c r="AE5616">
        <v>6.6290999999999896</v>
      </c>
      <c r="AF5616">
        <v>2.3584723725564301</v>
      </c>
      <c r="AG5616">
        <v>-1.0260161699999999</v>
      </c>
      <c r="AH5616">
        <v>7.7803793842145099</v>
      </c>
      <c r="AI5616">
        <v>97.192785058262999</v>
      </c>
      <c r="AJ5616">
        <v>73.136329320385897</v>
      </c>
      <c r="AK5616">
        <v>8.1944740206753792</v>
      </c>
      <c r="AL5616">
        <v>81.797113409877696</v>
      </c>
      <c r="AM5616">
        <v>67.611236267848099</v>
      </c>
      <c r="AN5616">
        <v>1.0000000073756301</v>
      </c>
    </row>
    <row r="5617" spans="1:40" x14ac:dyDescent="0.25">
      <c r="A5617" t="str">
        <f>"20190312164421236"</f>
        <v>20190312164421236</v>
      </c>
      <c r="B5617" t="str">
        <f>"1552380261230683"</f>
        <v>1552380261230683</v>
      </c>
      <c r="C5617" t="s">
        <v>40</v>
      </c>
      <c r="D5617">
        <v>5.2374210000000003</v>
      </c>
      <c r="E5617">
        <v>0.47396169999999999</v>
      </c>
      <c r="F5617" t="s">
        <v>49</v>
      </c>
      <c r="G5617">
        <v>-178.97810000000001</v>
      </c>
      <c r="H5617">
        <v>7.9987760000000005E-2</v>
      </c>
      <c r="I5617">
        <v>128.26650000000001</v>
      </c>
      <c r="J5617">
        <v>-183.81970000000001</v>
      </c>
      <c r="K5617">
        <v>1.1068450000000001</v>
      </c>
      <c r="L5617">
        <v>121.8533</v>
      </c>
      <c r="M5617">
        <v>0.33763379999999998</v>
      </c>
      <c r="N5617">
        <v>0</v>
      </c>
      <c r="O5617">
        <v>0.94116290000000002</v>
      </c>
      <c r="P5617">
        <v>0.66398230000000003</v>
      </c>
      <c r="Q5617">
        <v>0.1330597</v>
      </c>
      <c r="R5617">
        <v>0.73581430000000003</v>
      </c>
      <c r="S5617">
        <v>1.827118</v>
      </c>
      <c r="T5617">
        <v>-0.37630029999999998</v>
      </c>
      <c r="U5617">
        <v>2.4955440000000002</v>
      </c>
      <c r="V5617">
        <v>0.37761349999999999</v>
      </c>
      <c r="W5617">
        <v>0.14367170000000001</v>
      </c>
      <c r="X5617">
        <v>0.91474940000000005</v>
      </c>
      <c r="Y5617">
        <v>0.27914270000000002</v>
      </c>
      <c r="Z5617">
        <v>-0.1195629</v>
      </c>
      <c r="AA5617">
        <v>0.95277699999999999</v>
      </c>
      <c r="AB5617">
        <v>43</v>
      </c>
      <c r="AC5617">
        <v>4.8415999999999997</v>
      </c>
      <c r="AD5617">
        <v>-1.02685724</v>
      </c>
      <c r="AE5617">
        <v>6.4131999999999998</v>
      </c>
      <c r="AF5617">
        <v>2.3532505734765001</v>
      </c>
      <c r="AG5617">
        <v>-1.02685724</v>
      </c>
      <c r="AH5617">
        <v>7.5481202779343999</v>
      </c>
      <c r="AI5617">
        <v>97.399921837116395</v>
      </c>
      <c r="AJ5617">
        <v>72.6842740328985</v>
      </c>
      <c r="AK5617">
        <v>7.9728504177033397</v>
      </c>
      <c r="AL5617">
        <v>81.739632065136306</v>
      </c>
      <c r="AM5617">
        <v>67.568900030251299</v>
      </c>
      <c r="AN5617">
        <v>0.99999998878175</v>
      </c>
    </row>
    <row r="5618" spans="1:40" x14ac:dyDescent="0.25">
      <c r="A5618" t="str">
        <f>"20190312164421248"</f>
        <v>20190312164421248</v>
      </c>
      <c r="B5618" t="str">
        <f>"1552380261240443"</f>
        <v>1552380261240443</v>
      </c>
      <c r="C5618" t="s">
        <v>40</v>
      </c>
      <c r="D5618">
        <v>5.2581559999999996</v>
      </c>
      <c r="E5618">
        <v>0.47404629999999998</v>
      </c>
      <c r="F5618" t="s">
        <v>49</v>
      </c>
      <c r="G5618">
        <v>-178.82380000000001</v>
      </c>
      <c r="H5618">
        <v>7.9987660000000002E-2</v>
      </c>
      <c r="I5618">
        <v>128.63470000000001</v>
      </c>
      <c r="J5618">
        <v>-183.74350000000001</v>
      </c>
      <c r="K5618">
        <v>1.107253</v>
      </c>
      <c r="L5618">
        <v>122.06610000000001</v>
      </c>
      <c r="M5618">
        <v>0.33753840000000002</v>
      </c>
      <c r="N5618">
        <v>0</v>
      </c>
      <c r="O5618">
        <v>0.94119730000000001</v>
      </c>
      <c r="P5618">
        <v>0.66430219999999995</v>
      </c>
      <c r="Q5618">
        <v>0.13361589999999901</v>
      </c>
      <c r="R5618">
        <v>0.73542459999999998</v>
      </c>
      <c r="S5618">
        <v>1.8343659999999999</v>
      </c>
      <c r="T5618">
        <v>-0.3770385</v>
      </c>
      <c r="U5618">
        <v>2.4899749999999998</v>
      </c>
      <c r="V5618">
        <v>0.37800519999999999</v>
      </c>
      <c r="W5618">
        <v>0.14457100000000001</v>
      </c>
      <c r="X5618">
        <v>0.91444590000000003</v>
      </c>
      <c r="Y5618">
        <v>0.282032</v>
      </c>
      <c r="Z5618">
        <v>-0.1198674</v>
      </c>
      <c r="AA5618">
        <v>0.95188740000000005</v>
      </c>
      <c r="AB5618">
        <v>43</v>
      </c>
      <c r="AC5618">
        <v>4.9196999999999997</v>
      </c>
      <c r="AD5618">
        <v>-1.02726534</v>
      </c>
      <c r="AE5618">
        <v>6.5686</v>
      </c>
      <c r="AF5618">
        <v>2.37628085440473</v>
      </c>
      <c r="AG5618">
        <v>-1.02726534</v>
      </c>
      <c r="AH5618">
        <v>7.7227768693198504</v>
      </c>
      <c r="AI5618">
        <v>97.245443068011397</v>
      </c>
      <c r="AJ5618">
        <v>72.896987615505793</v>
      </c>
      <c r="AK5618">
        <v>8.1451376508367002</v>
      </c>
      <c r="AL5618">
        <v>81.687562494382206</v>
      </c>
      <c r="AM5618">
        <v>67.541229355498302</v>
      </c>
      <c r="AN5618">
        <v>1.00000000464742</v>
      </c>
    </row>
    <row r="5619" spans="1:40" x14ac:dyDescent="0.25">
      <c r="A5619" t="str">
        <f>"20190312164421259"</f>
        <v>20190312164421259</v>
      </c>
      <c r="B5619" t="str">
        <f>"1552380261251179"</f>
        <v>1552380261251179</v>
      </c>
      <c r="C5619" t="s">
        <v>40</v>
      </c>
      <c r="D5619">
        <v>5.2356439999999997</v>
      </c>
      <c r="E5619">
        <v>0.47406999999999999</v>
      </c>
      <c r="F5619" t="s">
        <v>49</v>
      </c>
      <c r="G5619">
        <v>-178.71729999999999</v>
      </c>
      <c r="H5619">
        <v>7.9987600000000006E-2</v>
      </c>
      <c r="I5619">
        <v>128.8742</v>
      </c>
      <c r="J5619">
        <v>-183.66650000000001</v>
      </c>
      <c r="K5619">
        <v>1.107637</v>
      </c>
      <c r="L5619">
        <v>122.2809</v>
      </c>
      <c r="M5619">
        <v>0.33734180000000002</v>
      </c>
      <c r="N5619">
        <v>0</v>
      </c>
      <c r="O5619">
        <v>0.94126799999999999</v>
      </c>
      <c r="P5619">
        <v>0.66460730000000001</v>
      </c>
      <c r="Q5619">
        <v>0.13358429999999999</v>
      </c>
      <c r="R5619">
        <v>0.73515469999999905</v>
      </c>
      <c r="S5619">
        <v>1.8369139999999999</v>
      </c>
      <c r="T5619">
        <v>-0.37543870000000001</v>
      </c>
      <c r="U5619">
        <v>2.4882049999999998</v>
      </c>
      <c r="V5619">
        <v>0.378444</v>
      </c>
      <c r="W5619">
        <v>0.14486270000000001</v>
      </c>
      <c r="X5619">
        <v>0.91421819999999998</v>
      </c>
      <c r="Y5619">
        <v>0.283223</v>
      </c>
      <c r="Z5619">
        <v>-0.1193932</v>
      </c>
      <c r="AA5619">
        <v>0.95159340000000003</v>
      </c>
      <c r="AB5619">
        <v>43</v>
      </c>
      <c r="AC5619">
        <v>4.94920000000001</v>
      </c>
      <c r="AD5619">
        <v>-1.0276494</v>
      </c>
      <c r="AE5619">
        <v>6.5932999999999904</v>
      </c>
      <c r="AF5619">
        <v>2.3973396741959401</v>
      </c>
      <c r="AG5619">
        <v>-1.0276494</v>
      </c>
      <c r="AH5619">
        <v>7.7559685770779598</v>
      </c>
      <c r="AI5619">
        <v>97.214620760979301</v>
      </c>
      <c r="AJ5619">
        <v>72.823824665948393</v>
      </c>
      <c r="AK5619">
        <v>8.1828081592699604</v>
      </c>
      <c r="AL5619">
        <v>81.670671383880503</v>
      </c>
      <c r="AM5619">
        <v>67.512710086274296</v>
      </c>
      <c r="AN5619">
        <v>0.99999999009926499</v>
      </c>
    </row>
    <row r="5620" spans="1:40" x14ac:dyDescent="0.25">
      <c r="A5620" t="str">
        <f>"20190312164421272"</f>
        <v>20190312164421272</v>
      </c>
      <c r="B5620" t="str">
        <f>"1552380261260940"</f>
        <v>1552380261260940</v>
      </c>
      <c r="C5620" t="s">
        <v>40</v>
      </c>
      <c r="D5620">
        <v>5.2794270000000001</v>
      </c>
      <c r="E5620">
        <v>0.47414000000000001</v>
      </c>
      <c r="F5620" t="s">
        <v>49</v>
      </c>
      <c r="G5620">
        <v>-178.26769999999999</v>
      </c>
      <c r="H5620" s="1">
        <v>-4.2727130000000003E-6</v>
      </c>
      <c r="I5620">
        <v>129.58850000000001</v>
      </c>
      <c r="J5620">
        <v>-183.58609999999999</v>
      </c>
      <c r="K5620">
        <v>1.107977</v>
      </c>
      <c r="L5620">
        <v>122.5057</v>
      </c>
      <c r="M5620">
        <v>0.33701399999999998</v>
      </c>
      <c r="N5620">
        <v>0</v>
      </c>
      <c r="O5620">
        <v>0.94138560000000004</v>
      </c>
      <c r="P5620">
        <v>0.66460259999999904</v>
      </c>
      <c r="Q5620">
        <v>0.1330807</v>
      </c>
      <c r="R5620">
        <v>0.73525030000000002</v>
      </c>
      <c r="S5620">
        <v>1.837936</v>
      </c>
      <c r="T5620">
        <v>-0.37707439999999998</v>
      </c>
      <c r="U5620">
        <v>2.4877470000000002</v>
      </c>
      <c r="V5620">
        <v>0.37860820000000001</v>
      </c>
      <c r="W5620">
        <v>0.1446461</v>
      </c>
      <c r="X5620">
        <v>0.91418449999999996</v>
      </c>
      <c r="Y5620">
        <v>0.28385440000000001</v>
      </c>
      <c r="Z5620">
        <v>-0.1199194</v>
      </c>
      <c r="AA5620">
        <v>0.95133909999999999</v>
      </c>
      <c r="AB5620">
        <v>43</v>
      </c>
      <c r="AC5620">
        <v>5.3183999999999898</v>
      </c>
      <c r="AD5620">
        <v>-1.1079812727130001</v>
      </c>
      <c r="AE5620">
        <v>7.0827999999999998</v>
      </c>
      <c r="AF5620">
        <v>2.5795779910388901</v>
      </c>
      <c r="AG5620">
        <v>-1.1079812727130001</v>
      </c>
      <c r="AH5620">
        <v>8.3305712680057002</v>
      </c>
      <c r="AI5620">
        <v>97.240646288795404</v>
      </c>
      <c r="AJ5620">
        <v>72.794756791501101</v>
      </c>
      <c r="AK5620">
        <v>8.7909193355335198</v>
      </c>
      <c r="AL5620">
        <v>81.683213680516701</v>
      </c>
      <c r="AM5620">
        <v>67.503178706907804</v>
      </c>
      <c r="AN5620">
        <v>0.99999998169634896</v>
      </c>
    </row>
    <row r="5621" spans="1:40" x14ac:dyDescent="0.25">
      <c r="A5621" t="str">
        <f>"20190312164421291"</f>
        <v>20190312164421291</v>
      </c>
      <c r="B5621" t="str">
        <f>"1552380261280459"</f>
        <v>1552380261280459</v>
      </c>
      <c r="C5621" t="s">
        <v>40</v>
      </c>
      <c r="D5621">
        <v>5.2363269999999904</v>
      </c>
      <c r="E5621">
        <v>0.47432259999999998</v>
      </c>
      <c r="F5621" t="s">
        <v>49</v>
      </c>
      <c r="G5621">
        <v>-178.2038</v>
      </c>
      <c r="H5621" s="1">
        <v>-4.3028770000000003E-6</v>
      </c>
      <c r="I5621">
        <v>129.7938</v>
      </c>
      <c r="J5621">
        <v>-183.46780000000001</v>
      </c>
      <c r="K5621">
        <v>1.108401</v>
      </c>
      <c r="L5621">
        <v>122.8365</v>
      </c>
      <c r="M5621">
        <v>0.33649020000000002</v>
      </c>
      <c r="N5621">
        <v>0</v>
      </c>
      <c r="O5621">
        <v>0.94157329999999995</v>
      </c>
      <c r="P5621">
        <v>0.66400559999999997</v>
      </c>
      <c r="Q5621">
        <v>0.131992</v>
      </c>
      <c r="R5621">
        <v>0.73598549999999996</v>
      </c>
      <c r="S5621">
        <v>1.8373409999999999</v>
      </c>
      <c r="T5621">
        <v>-0.37822990000000001</v>
      </c>
      <c r="U5621">
        <v>2.4879150000000001</v>
      </c>
      <c r="V5621">
        <v>0.37815759999999998</v>
      </c>
      <c r="W5621">
        <v>0.14392550000000001</v>
      </c>
      <c r="X5621">
        <v>0.91448470000000004</v>
      </c>
      <c r="Y5621">
        <v>0.28418070000000001</v>
      </c>
      <c r="Z5621">
        <v>-0.1203108</v>
      </c>
      <c r="AA5621">
        <v>0.95119229999999999</v>
      </c>
      <c r="AB5621">
        <v>43</v>
      </c>
      <c r="AC5621">
        <v>5.2640000000000002</v>
      </c>
      <c r="AD5621">
        <v>-1.108405302877</v>
      </c>
      <c r="AE5621">
        <v>6.9573</v>
      </c>
      <c r="AF5621">
        <v>2.5741094938924101</v>
      </c>
      <c r="AG5621">
        <v>-1.108405302877</v>
      </c>
      <c r="AH5621">
        <v>8.1907747599196998</v>
      </c>
      <c r="AI5621">
        <v>97.356111919511704</v>
      </c>
      <c r="AJ5621">
        <v>72.553664681266099</v>
      </c>
      <c r="AK5621">
        <v>8.6569852240679399</v>
      </c>
      <c r="AL5621">
        <v>81.724937714251894</v>
      </c>
      <c r="AM5621">
        <v>67.533933041644005</v>
      </c>
      <c r="AN5621">
        <v>0.99999999326105005</v>
      </c>
    </row>
    <row r="5622" spans="1:40" x14ac:dyDescent="0.25">
      <c r="A5622" t="str">
        <f>"20190312164421305"</f>
        <v>20190312164421305</v>
      </c>
      <c r="B5622" t="str">
        <f>"1552380261300956"</f>
        <v>1552380261300956</v>
      </c>
      <c r="C5622" t="s">
        <v>40</v>
      </c>
      <c r="D5622">
        <v>5.2491629999999896</v>
      </c>
      <c r="E5622">
        <v>0.47440080000000001</v>
      </c>
      <c r="F5622" t="s">
        <v>49</v>
      </c>
      <c r="G5622">
        <v>-178.14269999999999</v>
      </c>
      <c r="H5622" s="1">
        <v>-4.3587910000000001E-6</v>
      </c>
      <c r="I5622">
        <v>130.05099999999999</v>
      </c>
      <c r="J5622">
        <v>-183.3751</v>
      </c>
      <c r="K5622">
        <v>1.1086750000000001</v>
      </c>
      <c r="L5622">
        <v>123.096</v>
      </c>
      <c r="M5622">
        <v>0.3360822</v>
      </c>
      <c r="N5622">
        <v>0</v>
      </c>
      <c r="O5622">
        <v>0.94171930000000004</v>
      </c>
      <c r="P5622">
        <v>0.66300979999999998</v>
      </c>
      <c r="Q5622">
        <v>0.13148650000000001</v>
      </c>
      <c r="R5622">
        <v>0.73697319999999999</v>
      </c>
      <c r="S5622">
        <v>1.836395</v>
      </c>
      <c r="T5622">
        <v>-0.38223390000000002</v>
      </c>
      <c r="U5622">
        <v>2.487946</v>
      </c>
      <c r="V5622">
        <v>0.37719069999999999</v>
      </c>
      <c r="W5622">
        <v>0.14365520000000001</v>
      </c>
      <c r="X5622">
        <v>0.91492640000000003</v>
      </c>
      <c r="Y5622">
        <v>0.28425859999999997</v>
      </c>
      <c r="Z5622">
        <v>-0.1216</v>
      </c>
      <c r="AA5622">
        <v>0.95100499999999999</v>
      </c>
      <c r="AB5622">
        <v>43</v>
      </c>
      <c r="AC5622">
        <v>5.2324000000000099</v>
      </c>
      <c r="AD5622">
        <v>-1.108679358791</v>
      </c>
      <c r="AE5622">
        <v>6.9550000000000098</v>
      </c>
      <c r="AF5622">
        <v>2.5489165134029701</v>
      </c>
      <c r="AG5622">
        <v>-1.108679358791</v>
      </c>
      <c r="AH5622">
        <v>8.1763859167717694</v>
      </c>
      <c r="AI5622">
        <v>97.375972592425398</v>
      </c>
      <c r="AJ5622">
        <v>72.685590981742905</v>
      </c>
      <c r="AK5622">
        <v>8.6359383956169609</v>
      </c>
      <c r="AL5622">
        <v>81.740587274048593</v>
      </c>
      <c r="AM5622">
        <v>67.595436728864399</v>
      </c>
      <c r="AN5622">
        <v>0.99999997903524396</v>
      </c>
    </row>
    <row r="5623" spans="1:40" x14ac:dyDescent="0.25">
      <c r="A5623" t="str">
        <f>"20190312164421325"</f>
        <v>20190312164421325</v>
      </c>
      <c r="B5623" t="str">
        <f>"1552380261320475"</f>
        <v>1552380261320475</v>
      </c>
      <c r="C5623" t="s">
        <v>40</v>
      </c>
      <c r="D5623">
        <v>5.2022599999999999</v>
      </c>
      <c r="E5623">
        <v>0.47452</v>
      </c>
      <c r="F5623" t="s">
        <v>49</v>
      </c>
      <c r="G5623">
        <v>-178.08869999999999</v>
      </c>
      <c r="H5623" s="1">
        <v>-4.4062240000000001E-6</v>
      </c>
      <c r="I5623">
        <v>130.273</v>
      </c>
      <c r="J5623">
        <v>-183.2466</v>
      </c>
      <c r="K5623">
        <v>1.108954</v>
      </c>
      <c r="L5623">
        <v>123.4558</v>
      </c>
      <c r="M5623">
        <v>0.3356133</v>
      </c>
      <c r="N5623">
        <v>0</v>
      </c>
      <c r="O5623">
        <v>0.94188689999999997</v>
      </c>
      <c r="P5623">
        <v>0.66204069999999904</v>
      </c>
      <c r="Q5623">
        <v>0.1316763</v>
      </c>
      <c r="R5623">
        <v>0.73780999999999997</v>
      </c>
      <c r="S5623">
        <v>1.833771</v>
      </c>
      <c r="T5623">
        <v>-0.3845885</v>
      </c>
      <c r="U5623">
        <v>2.4895939999999999</v>
      </c>
      <c r="V5623">
        <v>0.37635960000000002</v>
      </c>
      <c r="W5623">
        <v>0.1440756</v>
      </c>
      <c r="X5623">
        <v>0.91520259999999998</v>
      </c>
      <c r="Y5623">
        <v>0.28372819999999999</v>
      </c>
      <c r="Z5623">
        <v>-0.122348</v>
      </c>
      <c r="AA5623">
        <v>0.95106740000000001</v>
      </c>
      <c r="AB5623">
        <v>43</v>
      </c>
      <c r="AC5623">
        <v>5.1579000000000104</v>
      </c>
      <c r="AD5623">
        <v>-1.1089584062240001</v>
      </c>
      <c r="AE5623">
        <v>6.8171999999999997</v>
      </c>
      <c r="AF5623">
        <v>2.5279476134973198</v>
      </c>
      <c r="AG5623">
        <v>-1.1089584062240001</v>
      </c>
      <c r="AH5623">
        <v>8.0180280253509792</v>
      </c>
      <c r="AI5623">
        <v>97.514355539348401</v>
      </c>
      <c r="AJ5623">
        <v>72.500824895710906</v>
      </c>
      <c r="AK5623">
        <v>8.4799222460253407</v>
      </c>
      <c r="AL5623">
        <v>81.716247622132201</v>
      </c>
      <c r="AM5623">
        <v>67.646020195959693</v>
      </c>
      <c r="AN5623">
        <v>1.00000006303713</v>
      </c>
    </row>
    <row r="5624" spans="1:40" x14ac:dyDescent="0.25">
      <c r="A5624" t="str">
        <f>"20190312164421347"</f>
        <v>20190312164421347</v>
      </c>
      <c r="B5624" t="str">
        <f>"1552380261340971"</f>
        <v>1552380261340971</v>
      </c>
      <c r="C5624" t="s">
        <v>40</v>
      </c>
      <c r="D5624">
        <v>5.2187910000000004</v>
      </c>
      <c r="E5624">
        <v>0.47484710000000002</v>
      </c>
      <c r="F5624" t="s">
        <v>49</v>
      </c>
      <c r="G5624">
        <v>-177.9623</v>
      </c>
      <c r="H5624" s="1">
        <v>-4.4570709999999999E-6</v>
      </c>
      <c r="I5624">
        <v>130.6343</v>
      </c>
      <c r="J5624">
        <v>-183.1018</v>
      </c>
      <c r="K5624">
        <v>1.1091569999999999</v>
      </c>
      <c r="L5624">
        <v>123.8614</v>
      </c>
      <c r="M5624">
        <v>0.33531949999999999</v>
      </c>
      <c r="N5624">
        <v>0</v>
      </c>
      <c r="O5624">
        <v>0.94199200000000005</v>
      </c>
      <c r="P5624">
        <v>0.66259029999999997</v>
      </c>
      <c r="Q5624">
        <v>0.13205149999999999</v>
      </c>
      <c r="R5624">
        <v>0.73724940000000005</v>
      </c>
      <c r="S5624">
        <v>1.8329770000000001</v>
      </c>
      <c r="T5624">
        <v>-0.3846657</v>
      </c>
      <c r="U5624">
        <v>2.490005</v>
      </c>
      <c r="V5624">
        <v>0.37728309999999998</v>
      </c>
      <c r="W5624">
        <v>0.1445989</v>
      </c>
      <c r="X5624">
        <v>0.91473970000000004</v>
      </c>
      <c r="Y5624">
        <v>0.28375299999999998</v>
      </c>
      <c r="Z5624">
        <v>-0.1223857</v>
      </c>
      <c r="AA5624">
        <v>0.95105519999999999</v>
      </c>
      <c r="AB5624">
        <v>43</v>
      </c>
      <c r="AC5624">
        <v>5.1394999999999902</v>
      </c>
      <c r="AD5624">
        <v>-1.109161457071</v>
      </c>
      <c r="AE5624">
        <v>6.7728999999999902</v>
      </c>
      <c r="AF5624">
        <v>2.5275388774138299</v>
      </c>
      <c r="AG5624">
        <v>-1.109161457071</v>
      </c>
      <c r="AH5624">
        <v>7.9686335063539602</v>
      </c>
      <c r="AI5624">
        <v>97.557677269115104</v>
      </c>
      <c r="AJ5624">
        <v>72.401702259762601</v>
      </c>
      <c r="AK5624">
        <v>8.4331377240785805</v>
      </c>
      <c r="AL5624">
        <v>81.685947338935094</v>
      </c>
      <c r="AM5624">
        <v>67.586369788722806</v>
      </c>
      <c r="AN5624">
        <v>1.00000004909145</v>
      </c>
    </row>
    <row r="5625" spans="1:40" x14ac:dyDescent="0.25">
      <c r="A5625" t="str">
        <f>"20190312164421370"</f>
        <v>20190312164421370</v>
      </c>
      <c r="B5625" t="str">
        <f>"1552380261360491"</f>
        <v>1552380261360491</v>
      </c>
      <c r="C5625" t="s">
        <v>40</v>
      </c>
      <c r="D5625">
        <v>5.2625299999999999</v>
      </c>
      <c r="E5625">
        <v>0.47498820000000003</v>
      </c>
      <c r="F5625" t="s">
        <v>49</v>
      </c>
      <c r="G5625">
        <v>-177.75530000000001</v>
      </c>
      <c r="H5625" s="1">
        <v>-4.4931990000000002E-6</v>
      </c>
      <c r="I5625">
        <v>131.10149999999999</v>
      </c>
      <c r="J5625">
        <v>-182.96039999999999</v>
      </c>
      <c r="K5625">
        <v>1.109253</v>
      </c>
      <c r="L5625">
        <v>124.25709999999999</v>
      </c>
      <c r="M5625">
        <v>0.33532689999999998</v>
      </c>
      <c r="N5625">
        <v>0</v>
      </c>
      <c r="O5625">
        <v>0.94198970000000004</v>
      </c>
      <c r="P5625">
        <v>0.66406430000000005</v>
      </c>
      <c r="Q5625">
        <v>0.13203860000000001</v>
      </c>
      <c r="R5625">
        <v>0.73592429999999998</v>
      </c>
      <c r="S5625">
        <v>1.8364720000000001</v>
      </c>
      <c r="T5625">
        <v>-0.38098880000000002</v>
      </c>
      <c r="U5625">
        <v>2.486923</v>
      </c>
      <c r="V5625">
        <v>0.3790753</v>
      </c>
      <c r="W5625">
        <v>0.14463899999999999</v>
      </c>
      <c r="X5625">
        <v>0.91399200000000003</v>
      </c>
      <c r="Y5625">
        <v>0.28525820000000002</v>
      </c>
      <c r="Z5625">
        <v>-0.1212806</v>
      </c>
      <c r="AA5625">
        <v>0.95074639999999999</v>
      </c>
      <c r="AB5625">
        <v>43</v>
      </c>
      <c r="AC5625">
        <v>5.2050999999999803</v>
      </c>
      <c r="AD5625">
        <v>-1.109257493199</v>
      </c>
      <c r="AE5625">
        <v>6.8443999999999896</v>
      </c>
      <c r="AF5625">
        <v>2.56561901198191</v>
      </c>
      <c r="AG5625">
        <v>-1.109257493199</v>
      </c>
      <c r="AH5625">
        <v>8.0595078304898493</v>
      </c>
      <c r="AI5625">
        <v>97.471620707663106</v>
      </c>
      <c r="AJ5625">
        <v>72.341934809449697</v>
      </c>
      <c r="AK5625">
        <v>8.5304466219881103</v>
      </c>
      <c r="AL5625">
        <v>81.683624536196405</v>
      </c>
      <c r="AM5625">
        <v>67.473924639627995</v>
      </c>
      <c r="AN5625">
        <v>0.99999994972754302</v>
      </c>
    </row>
    <row r="5626" spans="1:40" x14ac:dyDescent="0.25">
      <c r="A5626" t="str">
        <f>"20190312164421392"</f>
        <v>20190312164421392</v>
      </c>
      <c r="B5626" t="str">
        <f>"1552380261380988"</f>
        <v>1552380261380988</v>
      </c>
      <c r="C5626" t="s">
        <v>40</v>
      </c>
      <c r="D5626">
        <v>5.335858</v>
      </c>
      <c r="E5626">
        <v>0.47526049999999997</v>
      </c>
      <c r="F5626" t="s">
        <v>49</v>
      </c>
      <c r="G5626">
        <v>-177.5745</v>
      </c>
      <c r="H5626" s="1">
        <v>-4.5289059999999997E-6</v>
      </c>
      <c r="I5626">
        <v>131.5206</v>
      </c>
      <c r="J5626">
        <v>-182.8228</v>
      </c>
      <c r="K5626">
        <v>1.109264</v>
      </c>
      <c r="L5626">
        <v>124.6416</v>
      </c>
      <c r="M5626">
        <v>0.33565679999999998</v>
      </c>
      <c r="N5626">
        <v>0</v>
      </c>
      <c r="O5626">
        <v>0.94187240000000005</v>
      </c>
      <c r="P5626">
        <v>0.66503690000000004</v>
      </c>
      <c r="Q5626">
        <v>0.13155700000000001</v>
      </c>
      <c r="R5626">
        <v>0.7351318</v>
      </c>
      <c r="S5626">
        <v>1.8412170000000001</v>
      </c>
      <c r="T5626">
        <v>-0.37920730000000002</v>
      </c>
      <c r="U5626">
        <v>2.4830930000000002</v>
      </c>
      <c r="V5626">
        <v>0.37993549999999998</v>
      </c>
      <c r="W5626">
        <v>0.1441365</v>
      </c>
      <c r="X5626">
        <v>0.91371420000000003</v>
      </c>
      <c r="Y5626">
        <v>0.28683649999999999</v>
      </c>
      <c r="Z5626">
        <v>-0.1207573</v>
      </c>
      <c r="AA5626">
        <v>0.95033809999999996</v>
      </c>
      <c r="AB5626">
        <v>43</v>
      </c>
      <c r="AC5626">
        <v>5.2483000000000004</v>
      </c>
      <c r="AD5626">
        <v>-1.109268528906</v>
      </c>
      <c r="AE5626">
        <v>6.8789999999999996</v>
      </c>
      <c r="AF5626">
        <v>2.59192308218149</v>
      </c>
      <c r="AG5626">
        <v>-1.109268528906</v>
      </c>
      <c r="AH5626">
        <v>8.1083687857792093</v>
      </c>
      <c r="AI5626">
        <v>97.424355383638101</v>
      </c>
      <c r="AJ5626">
        <v>72.272988883617998</v>
      </c>
      <c r="AK5626">
        <v>8.5845318043190399</v>
      </c>
      <c r="AL5626">
        <v>81.712720786932096</v>
      </c>
      <c r="AM5626">
        <v>67.421756526415706</v>
      </c>
      <c r="AN5626">
        <v>0.999999977037069</v>
      </c>
    </row>
    <row r="5627" spans="1:40" x14ac:dyDescent="0.25">
      <c r="A5627" t="str">
        <f>"20190312164421407"</f>
        <v>20190312164421407</v>
      </c>
      <c r="B5627" t="str">
        <f>"1552380261400508"</f>
        <v>1552380261400508</v>
      </c>
      <c r="C5627" t="s">
        <v>40</v>
      </c>
      <c r="D5627">
        <v>5.2814069999999997</v>
      </c>
      <c r="E5627">
        <v>0.47552759999999999</v>
      </c>
      <c r="F5627" t="s">
        <v>49</v>
      </c>
      <c r="G5627">
        <v>-177.41329999999999</v>
      </c>
      <c r="H5627" s="1">
        <v>-4.5643079999999999E-6</v>
      </c>
      <c r="I5627">
        <v>131.90369999999999</v>
      </c>
      <c r="J5627">
        <v>-182.72649999999999</v>
      </c>
      <c r="K5627">
        <v>1.109224</v>
      </c>
      <c r="L5627">
        <v>124.9102</v>
      </c>
      <c r="M5627">
        <v>0.3360785</v>
      </c>
      <c r="N5627">
        <v>0</v>
      </c>
      <c r="O5627">
        <v>0.94172219999999995</v>
      </c>
      <c r="P5627">
        <v>0.66561999999999999</v>
      </c>
      <c r="Q5627">
        <v>0.13124040000000001</v>
      </c>
      <c r="R5627">
        <v>0.73466049999999905</v>
      </c>
      <c r="S5627">
        <v>1.846222</v>
      </c>
      <c r="T5627">
        <v>-0.37858019999999998</v>
      </c>
      <c r="U5627">
        <v>2.4784700000000002</v>
      </c>
      <c r="V5627">
        <v>0.38024940000000002</v>
      </c>
      <c r="W5627">
        <v>0.14376369999999999</v>
      </c>
      <c r="X5627">
        <v>0.91364230000000002</v>
      </c>
      <c r="Y5627">
        <v>0.28850179999999997</v>
      </c>
      <c r="Z5627">
        <v>-0.1206142</v>
      </c>
      <c r="AA5627">
        <v>0.94985200000000003</v>
      </c>
      <c r="AB5627">
        <v>42</v>
      </c>
      <c r="AC5627">
        <v>5.3131999999999904</v>
      </c>
      <c r="AD5627">
        <v>-1.109228564308</v>
      </c>
      <c r="AE5627">
        <v>6.9934999999999796</v>
      </c>
      <c r="AF5627">
        <v>2.6118136847283799</v>
      </c>
      <c r="AG5627">
        <v>-1.109228564308</v>
      </c>
      <c r="AH5627">
        <v>8.2410216063852406</v>
      </c>
      <c r="AI5627">
        <v>97.311597593323697</v>
      </c>
      <c r="AJ5627">
        <v>72.415113445500594</v>
      </c>
      <c r="AK5627">
        <v>8.7158703437189597</v>
      </c>
      <c r="AL5627">
        <v>81.734305068098607</v>
      </c>
      <c r="AM5627">
        <v>67.403377222448299</v>
      </c>
      <c r="AN5627">
        <v>0.99999992999366705</v>
      </c>
    </row>
    <row r="5628" spans="1:40" x14ac:dyDescent="0.25">
      <c r="A5628" t="str">
        <f>"20190312164421425"</f>
        <v>20190312164421425</v>
      </c>
      <c r="B5628" t="str">
        <f>"1552380261421005"</f>
        <v>1552380261421005</v>
      </c>
      <c r="C5628" t="s">
        <v>40</v>
      </c>
      <c r="D5628">
        <v>5.2643009999999997</v>
      </c>
      <c r="E5628">
        <v>0.47581370000000001</v>
      </c>
      <c r="F5628" t="s">
        <v>49</v>
      </c>
      <c r="G5628">
        <v>-177.29820000000001</v>
      </c>
      <c r="H5628" s="1">
        <v>-4.5861680000000002E-6</v>
      </c>
      <c r="I5628">
        <v>132.16820000000001</v>
      </c>
      <c r="J5628">
        <v>-182.6044</v>
      </c>
      <c r="K5628">
        <v>1.1091059999999999</v>
      </c>
      <c r="L5628">
        <v>125.2501</v>
      </c>
      <c r="M5628">
        <v>0.33684809999999998</v>
      </c>
      <c r="N5628">
        <v>0</v>
      </c>
      <c r="O5628">
        <v>0.94144740000000005</v>
      </c>
      <c r="P5628">
        <v>0.66713669999999903</v>
      </c>
      <c r="Q5628">
        <v>0.1309372</v>
      </c>
      <c r="R5628">
        <v>0.73333769999999998</v>
      </c>
      <c r="S5628">
        <v>1.850616</v>
      </c>
      <c r="T5628">
        <v>-0.37815490000000002</v>
      </c>
      <c r="U5628">
        <v>2.4743499999999998</v>
      </c>
      <c r="V5628">
        <v>0.381415</v>
      </c>
      <c r="W5628">
        <v>0.1433333</v>
      </c>
      <c r="X5628">
        <v>0.91322400000000004</v>
      </c>
      <c r="Y5628">
        <v>0.28956730000000003</v>
      </c>
      <c r="Z5628">
        <v>-0.1205104</v>
      </c>
      <c r="AA5628">
        <v>0.94954099999999997</v>
      </c>
      <c r="AB5628">
        <v>42</v>
      </c>
      <c r="AC5628">
        <v>5.3061999999999898</v>
      </c>
      <c r="AD5628">
        <v>-1.109110586168</v>
      </c>
      <c r="AE5628">
        <v>6.9181000000000097</v>
      </c>
      <c r="AF5628">
        <v>2.6229928734785801</v>
      </c>
      <c r="AG5628">
        <v>-1.109110586168</v>
      </c>
      <c r="AH5628">
        <v>8.1690867546477595</v>
      </c>
      <c r="AI5628">
        <v>97.365721912118403</v>
      </c>
      <c r="AJ5628">
        <v>72.198817036722104</v>
      </c>
      <c r="AK5628">
        <v>8.6512540311581905</v>
      </c>
      <c r="AL5628">
        <v>81.759223456916104</v>
      </c>
      <c r="AM5628">
        <v>67.331771653867193</v>
      </c>
      <c r="AN5628">
        <v>0.99999995564494404</v>
      </c>
    </row>
    <row r="5629" spans="1:40" x14ac:dyDescent="0.25">
      <c r="A5629" t="str">
        <f>"20190312164421448"</f>
        <v>20190312164421448</v>
      </c>
      <c r="B5629" t="str">
        <f>"1552380261440526"</f>
        <v>1552380261440526</v>
      </c>
      <c r="C5629" t="s">
        <v>40</v>
      </c>
      <c r="D5629">
        <v>5.3042239999999996</v>
      </c>
      <c r="E5629">
        <v>0.47601900000000003</v>
      </c>
      <c r="F5629" t="s">
        <v>49</v>
      </c>
      <c r="G5629">
        <v>-177.1422</v>
      </c>
      <c r="H5629" s="1">
        <v>-4.6079259999999998E-6</v>
      </c>
      <c r="I5629">
        <v>132.506</v>
      </c>
      <c r="J5629">
        <v>-182.45760000000001</v>
      </c>
      <c r="K5629">
        <v>1.1089070000000001</v>
      </c>
      <c r="L5629">
        <v>125.65649999999999</v>
      </c>
      <c r="M5629">
        <v>0.33809660000000002</v>
      </c>
      <c r="N5629">
        <v>0</v>
      </c>
      <c r="O5629">
        <v>0.9409999</v>
      </c>
      <c r="P5629">
        <v>0.67053689999999999</v>
      </c>
      <c r="Q5629">
        <v>0.13010539999999901</v>
      </c>
      <c r="R5629">
        <v>0.73037859999999999</v>
      </c>
      <c r="S5629">
        <v>1.8579410000000001</v>
      </c>
      <c r="T5629">
        <v>-0.37725930000000002</v>
      </c>
      <c r="U5629">
        <v>2.468048</v>
      </c>
      <c r="V5629">
        <v>0.38446950000000002</v>
      </c>
      <c r="W5629">
        <v>0.14228089999999999</v>
      </c>
      <c r="X5629">
        <v>0.91210709999999995</v>
      </c>
      <c r="Y5629">
        <v>0.29127999999999998</v>
      </c>
      <c r="Z5629">
        <v>-0.1202599</v>
      </c>
      <c r="AA5629">
        <v>0.94904880000000003</v>
      </c>
      <c r="AB5629">
        <v>42</v>
      </c>
      <c r="AC5629">
        <v>5.3154000000000101</v>
      </c>
      <c r="AD5629">
        <v>-1.108911607926</v>
      </c>
      <c r="AE5629">
        <v>6.8494999999999999</v>
      </c>
      <c r="AF5629">
        <v>2.6430428177981602</v>
      </c>
      <c r="AG5629">
        <v>-1.108911607926</v>
      </c>
      <c r="AH5629">
        <v>8.1106806838198793</v>
      </c>
      <c r="AI5629">
        <v>97.406590363862406</v>
      </c>
      <c r="AJ5629">
        <v>71.950666998264595</v>
      </c>
      <c r="AK5629">
        <v>8.6022381649078099</v>
      </c>
      <c r="AL5629">
        <v>81.820146381833098</v>
      </c>
      <c r="AM5629">
        <v>67.143704408403593</v>
      </c>
      <c r="AN5629">
        <v>1.0000000064027299</v>
      </c>
    </row>
    <row r="5630" spans="1:40" x14ac:dyDescent="0.25">
      <c r="A5630" t="str">
        <f>"20190312164421461"</f>
        <v>20190312164421461</v>
      </c>
      <c r="B5630" t="str">
        <f>"1552380261450283"</f>
        <v>1552380261450283</v>
      </c>
      <c r="C5630" t="s">
        <v>40</v>
      </c>
      <c r="D5630">
        <v>5.2489990000000004</v>
      </c>
      <c r="E5630">
        <v>0.4761359</v>
      </c>
      <c r="F5630" t="s">
        <v>49</v>
      </c>
      <c r="G5630">
        <v>-176.9699</v>
      </c>
      <c r="H5630" s="1">
        <v>-4.6342539999999998E-6</v>
      </c>
      <c r="I5630">
        <v>132.88489999999999</v>
      </c>
      <c r="J5630">
        <v>-182.37450000000001</v>
      </c>
      <c r="K5630">
        <v>1.1087800000000001</v>
      </c>
      <c r="L5630">
        <v>125.8861</v>
      </c>
      <c r="M5630">
        <v>0.3389122</v>
      </c>
      <c r="N5630">
        <v>0</v>
      </c>
      <c r="O5630">
        <v>0.9407065</v>
      </c>
      <c r="P5630">
        <v>0.67246130000000004</v>
      </c>
      <c r="Q5630">
        <v>0.12968840000000001</v>
      </c>
      <c r="R5630">
        <v>0.72868149999999998</v>
      </c>
      <c r="S5630">
        <v>1.867645</v>
      </c>
      <c r="T5630">
        <v>-0.3774016</v>
      </c>
      <c r="U5630">
        <v>2.460083</v>
      </c>
      <c r="V5630">
        <v>0.38610660000000002</v>
      </c>
      <c r="W5630">
        <v>0.1417244</v>
      </c>
      <c r="X5630">
        <v>0.91150200000000003</v>
      </c>
      <c r="Y5630">
        <v>0.29429620000000001</v>
      </c>
      <c r="Z5630">
        <v>-0.12037</v>
      </c>
      <c r="AA5630">
        <v>0.94810380000000005</v>
      </c>
      <c r="AB5630">
        <v>42</v>
      </c>
      <c r="AC5630">
        <v>5.4046000000000101</v>
      </c>
      <c r="AD5630">
        <v>-1.108784634254</v>
      </c>
      <c r="AE5630">
        <v>6.9987999999999797</v>
      </c>
      <c r="AF5630">
        <v>2.6704613411565101</v>
      </c>
      <c r="AG5630">
        <v>-1.108784634254</v>
      </c>
      <c r="AH5630">
        <v>8.2861045435308007</v>
      </c>
      <c r="AI5630">
        <v>97.258208438061004</v>
      </c>
      <c r="AJ5630">
        <v>72.136809414592804</v>
      </c>
      <c r="AK5630">
        <v>8.7761207629619093</v>
      </c>
      <c r="AL5630">
        <v>81.852357886810495</v>
      </c>
      <c r="AM5630">
        <v>67.042785245688705</v>
      </c>
      <c r="AN5630">
        <v>1.0000000040614601</v>
      </c>
    </row>
    <row r="5631" spans="1:40" x14ac:dyDescent="0.25">
      <c r="A5631" t="str">
        <f>"20190312164421474"</f>
        <v>20190312164421474</v>
      </c>
      <c r="B5631" t="str">
        <f>"1552380261470779"</f>
        <v>1552380261470779</v>
      </c>
      <c r="C5631" t="s">
        <v>40</v>
      </c>
      <c r="D5631">
        <v>5.2249470000000002</v>
      </c>
      <c r="E5631">
        <v>0.47643750000000001</v>
      </c>
      <c r="F5631" t="s">
        <v>49</v>
      </c>
      <c r="G5631">
        <v>-176.8828</v>
      </c>
      <c r="H5631" s="1">
        <v>-4.6502699999999998E-6</v>
      </c>
      <c r="I5631">
        <v>133.0838</v>
      </c>
      <c r="J5631">
        <v>-182.28630000000001</v>
      </c>
      <c r="K5631">
        <v>1.10863</v>
      </c>
      <c r="L5631">
        <v>126.128</v>
      </c>
      <c r="M5631">
        <v>0.33992660000000002</v>
      </c>
      <c r="N5631">
        <v>0</v>
      </c>
      <c r="O5631">
        <v>0.94034050000000002</v>
      </c>
      <c r="P5631">
        <v>0.67443560000000002</v>
      </c>
      <c r="Q5631">
        <v>0.12907179999999999</v>
      </c>
      <c r="R5631">
        <v>0.72696430000000001</v>
      </c>
      <c r="S5631">
        <v>1.8734440000000001</v>
      </c>
      <c r="T5631">
        <v>-0.3782547</v>
      </c>
      <c r="U5631">
        <v>2.455444</v>
      </c>
      <c r="V5631">
        <v>0.38761089999999998</v>
      </c>
      <c r="W5631">
        <v>0.14095260000000001</v>
      </c>
      <c r="X5631">
        <v>0.91098310000000005</v>
      </c>
      <c r="Y5631">
        <v>0.29552289999999998</v>
      </c>
      <c r="Z5631">
        <v>-0.12064709999999999</v>
      </c>
      <c r="AA5631">
        <v>0.9476869</v>
      </c>
      <c r="AB5631">
        <v>42</v>
      </c>
      <c r="AC5631">
        <v>5.4035000000000002</v>
      </c>
      <c r="AD5631">
        <v>-1.10863465027</v>
      </c>
      <c r="AE5631">
        <v>6.9558000000000098</v>
      </c>
      <c r="AF5631">
        <v>2.6745814072700198</v>
      </c>
      <c r="AG5631">
        <v>-1.10863465027</v>
      </c>
      <c r="AH5631">
        <v>8.2478265670943198</v>
      </c>
      <c r="AI5631">
        <v>97.286345629835495</v>
      </c>
      <c r="AJ5631">
        <v>72.033307730686801</v>
      </c>
      <c r="AK5631">
        <v>8.7412298661435894</v>
      </c>
      <c r="AL5631">
        <v>81.897027377016897</v>
      </c>
      <c r="AM5631">
        <v>66.950908161308803</v>
      </c>
      <c r="AN5631">
        <v>1.00000002686558</v>
      </c>
    </row>
    <row r="5632" spans="1:40" x14ac:dyDescent="0.25">
      <c r="A5632" t="str">
        <f>"20190312164421487"</f>
        <v>20190312164421487</v>
      </c>
      <c r="B5632" t="str">
        <f>"1552380261480540"</f>
        <v>1552380261480540</v>
      </c>
      <c r="C5632" t="s">
        <v>40</v>
      </c>
      <c r="D5632">
        <v>5.3447659999999999</v>
      </c>
      <c r="E5632">
        <v>0.47657359999999999</v>
      </c>
      <c r="F5632" t="s">
        <v>49</v>
      </c>
      <c r="G5632">
        <v>-176.7955</v>
      </c>
      <c r="H5632" s="1">
        <v>-4.6636779999999997E-6</v>
      </c>
      <c r="I5632">
        <v>133.27600000000001</v>
      </c>
      <c r="J5632">
        <v>-182.20500000000001</v>
      </c>
      <c r="K5632">
        <v>1.1084909999999999</v>
      </c>
      <c r="L5632">
        <v>126.3505</v>
      </c>
      <c r="M5632">
        <v>0.34093190000000001</v>
      </c>
      <c r="N5632">
        <v>0</v>
      </c>
      <c r="O5632">
        <v>0.93997649999999999</v>
      </c>
      <c r="P5632">
        <v>0.6763749</v>
      </c>
      <c r="Q5632">
        <v>0.12856680000000001</v>
      </c>
      <c r="R5632">
        <v>0.72525010000000001</v>
      </c>
      <c r="S5632">
        <v>1.881165</v>
      </c>
      <c r="T5632">
        <v>-0.37981939999999997</v>
      </c>
      <c r="U5632">
        <v>2.4489290000000001</v>
      </c>
      <c r="V5632">
        <v>0.3890882</v>
      </c>
      <c r="W5632">
        <v>0.1402997</v>
      </c>
      <c r="X5632">
        <v>0.91045390000000004</v>
      </c>
      <c r="Y5632">
        <v>0.29755670000000001</v>
      </c>
      <c r="Z5632">
        <v>-0.1211781</v>
      </c>
      <c r="AA5632">
        <v>0.94698249999999995</v>
      </c>
      <c r="AB5632">
        <v>42</v>
      </c>
      <c r="AC5632">
        <v>5.4095000000000004</v>
      </c>
      <c r="AD5632">
        <v>-1.1084956636779999</v>
      </c>
      <c r="AE5632">
        <v>6.9255000000000102</v>
      </c>
      <c r="AF5632">
        <v>2.6813012264998402</v>
      </c>
      <c r="AG5632">
        <v>-1.1084956636779999</v>
      </c>
      <c r="AH5632">
        <v>8.2240970892653795</v>
      </c>
      <c r="AI5632">
        <v>97.302512127065697</v>
      </c>
      <c r="AJ5632">
        <v>71.942485056637196</v>
      </c>
      <c r="AK5632">
        <v>8.7208893948545096</v>
      </c>
      <c r="AL5632">
        <v>81.934810785371198</v>
      </c>
      <c r="AM5632">
        <v>66.860254253695302</v>
      </c>
      <c r="AN5632">
        <v>0.99999996861226903</v>
      </c>
    </row>
    <row r="5633" spans="1:40" x14ac:dyDescent="0.25">
      <c r="A5633" t="str">
        <f>"20190312164421503"</f>
        <v>20190312164421503</v>
      </c>
      <c r="B5633" t="str">
        <f>"1552380261501036"</f>
        <v>1552380261501036</v>
      </c>
      <c r="C5633" t="s">
        <v>40</v>
      </c>
      <c r="D5633">
        <v>5.2084190000000001</v>
      </c>
      <c r="E5633">
        <v>0.47683170000000002</v>
      </c>
      <c r="F5633" t="s">
        <v>49</v>
      </c>
      <c r="G5633">
        <v>-176.7071</v>
      </c>
      <c r="H5633" s="1">
        <v>-4.6741449999999996E-6</v>
      </c>
      <c r="I5633">
        <v>133.4624</v>
      </c>
      <c r="J5633">
        <v>-182.09719999999999</v>
      </c>
      <c r="K5633">
        <v>1.108293</v>
      </c>
      <c r="L5633">
        <v>126.64409999999999</v>
      </c>
      <c r="M5633">
        <v>0.34238550000000001</v>
      </c>
      <c r="N5633">
        <v>0</v>
      </c>
      <c r="O5633">
        <v>0.93944799999999995</v>
      </c>
      <c r="P5633">
        <v>0.68124249999999997</v>
      </c>
      <c r="Q5633">
        <v>0.1277789</v>
      </c>
      <c r="R5633">
        <v>0.72082000000000002</v>
      </c>
      <c r="S5633">
        <v>1.888428</v>
      </c>
      <c r="T5633">
        <v>-0.38074970000000002</v>
      </c>
      <c r="U5633">
        <v>2.442825</v>
      </c>
      <c r="V5633">
        <v>0.39382850000000003</v>
      </c>
      <c r="W5633">
        <v>0.1392803</v>
      </c>
      <c r="X5633">
        <v>0.90857030000000005</v>
      </c>
      <c r="Y5633">
        <v>0.29896329999999999</v>
      </c>
      <c r="Z5633">
        <v>-0.121481199999999</v>
      </c>
      <c r="AA5633">
        <v>0.94650049999999997</v>
      </c>
      <c r="AB5633">
        <v>42</v>
      </c>
      <c r="AC5633">
        <v>5.3900999999999897</v>
      </c>
      <c r="AD5633">
        <v>-1.1082976741449999</v>
      </c>
      <c r="AE5633">
        <v>6.8182999999999998</v>
      </c>
      <c r="AF5633">
        <v>2.6858457037857799</v>
      </c>
      <c r="AG5633">
        <v>-1.1082976741449999</v>
      </c>
      <c r="AH5633">
        <v>8.1197674232485202</v>
      </c>
      <c r="AI5633">
        <v>97.383716236461197</v>
      </c>
      <c r="AJ5633">
        <v>71.696887317892504</v>
      </c>
      <c r="AK5633">
        <v>8.6239616120845302</v>
      </c>
      <c r="AL5633">
        <v>81.993797052932095</v>
      </c>
      <c r="AM5633">
        <v>66.565217644973899</v>
      </c>
      <c r="AN5633">
        <v>0.99999993971121304</v>
      </c>
    </row>
    <row r="5634" spans="1:40" x14ac:dyDescent="0.25">
      <c r="A5634" t="str">
        <f>"20190312164421527"</f>
        <v>20190312164421527</v>
      </c>
      <c r="B5634" t="str">
        <f>"1552380261520555"</f>
        <v>1552380261520555</v>
      </c>
      <c r="C5634" t="s">
        <v>40</v>
      </c>
      <c r="D5634">
        <v>5.3249510000000004</v>
      </c>
      <c r="E5634">
        <v>0.47704020000000003</v>
      </c>
      <c r="F5634" t="s">
        <v>49</v>
      </c>
      <c r="G5634">
        <v>-176.5566</v>
      </c>
      <c r="H5634" s="1">
        <v>-4.6645199999999997E-6</v>
      </c>
      <c r="I5634">
        <v>133.70760000000001</v>
      </c>
      <c r="J5634">
        <v>-181.9485</v>
      </c>
      <c r="K5634">
        <v>1.108012</v>
      </c>
      <c r="L5634">
        <v>127.0462</v>
      </c>
      <c r="M5634">
        <v>0.34466659999999999</v>
      </c>
      <c r="N5634">
        <v>0</v>
      </c>
      <c r="O5634">
        <v>0.93861349999999999</v>
      </c>
      <c r="P5634">
        <v>0.6884304</v>
      </c>
      <c r="Q5634">
        <v>0.12872359999999999</v>
      </c>
      <c r="R5634">
        <v>0.71378839999999999</v>
      </c>
      <c r="S5634">
        <v>1.9052119999999999</v>
      </c>
      <c r="T5634">
        <v>-0.3811021</v>
      </c>
      <c r="U5634">
        <v>2.4288940000000001</v>
      </c>
      <c r="V5634">
        <v>0.40088639999999998</v>
      </c>
      <c r="W5634">
        <v>0.13987279999999999</v>
      </c>
      <c r="X5634">
        <v>0.90538700000000005</v>
      </c>
      <c r="Y5634">
        <v>0.30331370000000002</v>
      </c>
      <c r="Z5634">
        <v>-0.12165910000000001</v>
      </c>
      <c r="AA5634">
        <v>0.9450925</v>
      </c>
      <c r="AB5634">
        <v>42</v>
      </c>
      <c r="AC5634">
        <v>5.3918999999999899</v>
      </c>
      <c r="AD5634">
        <v>-1.10801666452</v>
      </c>
      <c r="AE5634">
        <v>6.6614000000000102</v>
      </c>
      <c r="AF5634">
        <v>2.71977547848625</v>
      </c>
      <c r="AG5634">
        <v>-1.10801666452</v>
      </c>
      <c r="AH5634">
        <v>7.9783755218845203</v>
      </c>
      <c r="AI5634">
        <v>97.488571310268</v>
      </c>
      <c r="AJ5634">
        <v>71.176095916026696</v>
      </c>
      <c r="AK5634">
        <v>8.5017266217183902</v>
      </c>
      <c r="AL5634">
        <v>81.959513898135796</v>
      </c>
      <c r="AM5634">
        <v>66.117240707965706</v>
      </c>
      <c r="AN5634">
        <v>0.99999996282689896</v>
      </c>
    </row>
    <row r="5635" spans="1:40" x14ac:dyDescent="0.25">
      <c r="A5635" t="str">
        <f>"20190312164421549"</f>
        <v>20190312164421549</v>
      </c>
      <c r="B5635" t="str">
        <f>"1552380261541051"</f>
        <v>1552380261541051</v>
      </c>
      <c r="C5635" t="s">
        <v>40</v>
      </c>
      <c r="D5635">
        <v>5.1738770000000001</v>
      </c>
      <c r="E5635">
        <v>0.47726400000000002</v>
      </c>
      <c r="F5635" t="s">
        <v>49</v>
      </c>
      <c r="G5635">
        <v>-176.25460000000001</v>
      </c>
      <c r="H5635" s="1">
        <v>-4.6326640000000004E-6</v>
      </c>
      <c r="I5635">
        <v>134.16659999999999</v>
      </c>
      <c r="J5635">
        <v>-181.79679999999999</v>
      </c>
      <c r="K5635">
        <v>1.107728</v>
      </c>
      <c r="L5635">
        <v>127.453</v>
      </c>
      <c r="M5635">
        <v>0.34726600000000002</v>
      </c>
      <c r="N5635">
        <v>0</v>
      </c>
      <c r="O5635">
        <v>0.93765489999999996</v>
      </c>
      <c r="P5635">
        <v>0.69551949999999996</v>
      </c>
      <c r="Q5635">
        <v>0.130135</v>
      </c>
      <c r="R5635">
        <v>0.70662400000000003</v>
      </c>
      <c r="S5635">
        <v>1.92804</v>
      </c>
      <c r="T5635">
        <v>-0.3751872</v>
      </c>
      <c r="U5635">
        <v>2.411057</v>
      </c>
      <c r="V5635">
        <v>0.40761560000000002</v>
      </c>
      <c r="W5635">
        <v>0.14091099999999901</v>
      </c>
      <c r="X5635">
        <v>0.90221600000000002</v>
      </c>
      <c r="Y5635">
        <v>0.3096817</v>
      </c>
      <c r="Z5635">
        <v>-0.1198673</v>
      </c>
      <c r="AA5635">
        <v>0.9432545</v>
      </c>
      <c r="AB5635">
        <v>42</v>
      </c>
      <c r="AC5635">
        <v>5.5421999999999798</v>
      </c>
      <c r="AD5635">
        <v>-1.107732632664</v>
      </c>
      <c r="AE5635">
        <v>6.7135999999999996</v>
      </c>
      <c r="AF5635">
        <v>2.81990984376568</v>
      </c>
      <c r="AG5635">
        <v>-1.107732632664</v>
      </c>
      <c r="AH5635">
        <v>8.0895433514150206</v>
      </c>
      <c r="AI5635">
        <v>97.3676405636824</v>
      </c>
      <c r="AJ5635">
        <v>70.782108072212694</v>
      </c>
      <c r="AK5635">
        <v>8.6382680409245403</v>
      </c>
      <c r="AL5635">
        <v>81.899435090492304</v>
      </c>
      <c r="AM5635">
        <v>65.686842240601294</v>
      </c>
      <c r="AN5635">
        <v>1.0000000489701699</v>
      </c>
    </row>
    <row r="5636" spans="1:40" x14ac:dyDescent="0.25">
      <c r="A5636" t="str">
        <f>"20190312164421570"</f>
        <v>20190312164421570</v>
      </c>
      <c r="B5636" t="str">
        <f>"1552380261560571"</f>
        <v>1552380261560571</v>
      </c>
      <c r="C5636" t="s">
        <v>40</v>
      </c>
      <c r="D5636">
        <v>5.4167110000000003</v>
      </c>
      <c r="E5636">
        <v>0.49283640000000001</v>
      </c>
      <c r="F5636" t="s">
        <v>49</v>
      </c>
      <c r="G5636">
        <v>-175.92580000000001</v>
      </c>
      <c r="H5636" s="1">
        <v>-4.590357E-6</v>
      </c>
      <c r="I5636">
        <v>134.64619999999999</v>
      </c>
      <c r="J5636">
        <v>-181.66040000000001</v>
      </c>
      <c r="K5636">
        <v>1.107448</v>
      </c>
      <c r="L5636">
        <v>127.8151</v>
      </c>
      <c r="M5636">
        <v>0.34982429999999998</v>
      </c>
      <c r="N5636">
        <v>0</v>
      </c>
      <c r="O5636">
        <v>0.93670339999999996</v>
      </c>
      <c r="P5636">
        <v>0.702636699999999</v>
      </c>
      <c r="Q5636">
        <v>0.13072639999999999</v>
      </c>
      <c r="R5636">
        <v>0.69943719999999998</v>
      </c>
      <c r="S5636">
        <v>1.9522090000000001</v>
      </c>
      <c r="T5636">
        <v>-0.36834230000000001</v>
      </c>
      <c r="U5636">
        <v>2.3918759999999999</v>
      </c>
      <c r="V5636">
        <v>0.4144255</v>
      </c>
      <c r="W5636">
        <v>0.14114189999999999</v>
      </c>
      <c r="X5636">
        <v>0.89907209999999904</v>
      </c>
      <c r="Y5636">
        <v>0.31667319999999999</v>
      </c>
      <c r="Z5636">
        <v>-0.1177922</v>
      </c>
      <c r="AA5636">
        <v>0.94119240000000004</v>
      </c>
      <c r="AB5636">
        <v>42</v>
      </c>
      <c r="AC5636">
        <v>5.7346000000000004</v>
      </c>
      <c r="AD5636">
        <v>-1.1074525903569901</v>
      </c>
      <c r="AE5636">
        <v>6.8310999999999904</v>
      </c>
      <c r="AF5636">
        <v>2.9369667158389401</v>
      </c>
      <c r="AG5636">
        <v>-1.1074525903569901</v>
      </c>
      <c r="AH5636">
        <v>8.2780716721549705</v>
      </c>
      <c r="AI5636">
        <v>97.186012007828893</v>
      </c>
      <c r="AJ5636">
        <v>70.465887378350899</v>
      </c>
      <c r="AK5636">
        <v>8.8531743086403107</v>
      </c>
      <c r="AL5636">
        <v>81.886072244451796</v>
      </c>
      <c r="AM5636">
        <v>65.252754887328194</v>
      </c>
      <c r="AN5636">
        <v>1.0000000859921301</v>
      </c>
    </row>
    <row r="5637" spans="1:40" x14ac:dyDescent="0.25">
      <c r="A5637" t="str">
        <f>"20190312164421583"</f>
        <v>20190312164421583</v>
      </c>
      <c r="B5637" t="str">
        <f>"1552380261570332"</f>
        <v>1552380261570332</v>
      </c>
      <c r="C5637" t="s">
        <v>40</v>
      </c>
      <c r="D5637">
        <v>5.2044639999999998</v>
      </c>
      <c r="E5637">
        <v>0.49860880000000002</v>
      </c>
      <c r="F5637" t="s">
        <v>49</v>
      </c>
      <c r="G5637">
        <v>-173.97620000000001</v>
      </c>
      <c r="H5637" s="1">
        <v>-4.1035069999999997E-6</v>
      </c>
      <c r="I5637">
        <v>136.25040000000001</v>
      </c>
      <c r="J5637">
        <v>-181.57640000000001</v>
      </c>
      <c r="K5637">
        <v>1.1072709999999999</v>
      </c>
      <c r="L5637">
        <v>128.0367</v>
      </c>
      <c r="M5637">
        <v>0.35149029999999998</v>
      </c>
      <c r="N5637">
        <v>0</v>
      </c>
      <c r="O5637">
        <v>0.93607960000000001</v>
      </c>
      <c r="P5637">
        <v>0.70730789999999999</v>
      </c>
      <c r="Q5637">
        <v>0.1302788</v>
      </c>
      <c r="R5637">
        <v>0.69479709999999995</v>
      </c>
      <c r="S5637">
        <v>2.0666660000000001</v>
      </c>
      <c r="T5637">
        <v>-0.29785009999999901</v>
      </c>
      <c r="U5637">
        <v>2.2686769999999998</v>
      </c>
      <c r="V5637">
        <v>0.4188829</v>
      </c>
      <c r="W5637">
        <v>0.14046020000000001</v>
      </c>
      <c r="X5637">
        <v>0.89711090000000004</v>
      </c>
      <c r="Y5637">
        <v>0.3672513</v>
      </c>
      <c r="Z5637">
        <v>-9.6944390000000005E-2</v>
      </c>
      <c r="AA5637">
        <v>0.92505590000000004</v>
      </c>
      <c r="AB5637">
        <v>42</v>
      </c>
      <c r="AC5637">
        <v>7.6002000000000001</v>
      </c>
      <c r="AD5637">
        <v>-1.1072751035070001</v>
      </c>
      <c r="AE5637">
        <v>8.21370000000001</v>
      </c>
      <c r="AF5637">
        <v>4.1868078714226202</v>
      </c>
      <c r="AG5637">
        <v>-1.1072751035070001</v>
      </c>
      <c r="AH5637">
        <v>10.260700679853899</v>
      </c>
      <c r="AI5637">
        <v>95.705844392292093</v>
      </c>
      <c r="AJ5637">
        <v>67.802424624879293</v>
      </c>
      <c r="AK5637">
        <v>11.1372077626579</v>
      </c>
      <c r="AL5637">
        <v>81.925522764791097</v>
      </c>
      <c r="AM5637">
        <v>64.970985110152498</v>
      </c>
      <c r="AN5637">
        <v>0.99999995929762897</v>
      </c>
    </row>
    <row r="5638" spans="1:40" x14ac:dyDescent="0.25">
      <c r="A5638" t="str">
        <f>"20190312164421604"</f>
        <v>20190312164421604</v>
      </c>
      <c r="B5638" t="str">
        <f>"1552380261600588"</f>
        <v>1552380261600588</v>
      </c>
      <c r="C5638" t="s">
        <v>40</v>
      </c>
      <c r="D5638">
        <v>5.4490629999999998</v>
      </c>
      <c r="E5638">
        <v>0.53040699999999996</v>
      </c>
      <c r="F5638" t="s">
        <v>49</v>
      </c>
      <c r="G5638">
        <v>-174.1695</v>
      </c>
      <c r="H5638" s="1">
        <v>-4.0320539999999999E-6</v>
      </c>
      <c r="I5638">
        <v>135.83619999999999</v>
      </c>
      <c r="J5638">
        <v>-181.43039999999999</v>
      </c>
      <c r="K5638">
        <v>1.10693</v>
      </c>
      <c r="L5638">
        <v>128.4178</v>
      </c>
      <c r="M5638">
        <v>0.35464770000000001</v>
      </c>
      <c r="N5638">
        <v>0</v>
      </c>
      <c r="O5638">
        <v>0.93488780000000005</v>
      </c>
      <c r="P5638">
        <v>0.71717359999999997</v>
      </c>
      <c r="Q5638">
        <v>0.12878210000000001</v>
      </c>
      <c r="R5638">
        <v>0.684892099999999</v>
      </c>
      <c r="S5638">
        <v>2.1134949999999999</v>
      </c>
      <c r="T5638">
        <v>-0.3159515</v>
      </c>
      <c r="U5638">
        <v>2.2255250000000002</v>
      </c>
      <c r="V5638">
        <v>0.4286836</v>
      </c>
      <c r="W5638">
        <v>0.13849539999999999</v>
      </c>
      <c r="X5638">
        <v>0.89277619999999902</v>
      </c>
      <c r="Y5638">
        <v>0.38281419999999999</v>
      </c>
      <c r="Z5638">
        <v>-0.1030307</v>
      </c>
      <c r="AA5638">
        <v>0.91806209999999999</v>
      </c>
      <c r="AB5638">
        <v>42</v>
      </c>
      <c r="AC5638">
        <v>7.2608999999999897</v>
      </c>
      <c r="AD5638">
        <v>-1.106934032054</v>
      </c>
      <c r="AE5638">
        <v>7.4183999999999903</v>
      </c>
      <c r="AF5638">
        <v>4.1108979688088896</v>
      </c>
      <c r="AG5638">
        <v>-1.106934032054</v>
      </c>
      <c r="AH5638">
        <v>9.4044890662902407</v>
      </c>
      <c r="AI5638">
        <v>96.155513439625395</v>
      </c>
      <c r="AJ5638">
        <v>66.388859927499198</v>
      </c>
      <c r="AK5638">
        <v>10.3232359102778</v>
      </c>
      <c r="AL5638">
        <v>82.039208912889407</v>
      </c>
      <c r="AM5638">
        <v>64.351117354040696</v>
      </c>
      <c r="AN5638">
        <v>0.999999974008279</v>
      </c>
    </row>
    <row r="5639" spans="1:40" x14ac:dyDescent="0.25">
      <c r="A5639" t="str">
        <f>"20190312164421618"</f>
        <v>20190312164421618</v>
      </c>
      <c r="B5639" t="str">
        <f>"1552380261610347"</f>
        <v>1552380261610347</v>
      </c>
      <c r="C5639" t="s">
        <v>40</v>
      </c>
      <c r="D5639">
        <v>5.236688</v>
      </c>
      <c r="E5639">
        <v>0.53219949999999905</v>
      </c>
      <c r="F5639" t="s">
        <v>49</v>
      </c>
      <c r="G5639">
        <v>-171.3546</v>
      </c>
      <c r="H5639" s="1">
        <v>-3.27092E-6</v>
      </c>
      <c r="I5639">
        <v>137.1199</v>
      </c>
      <c r="J5639">
        <v>-181.33709999999999</v>
      </c>
      <c r="K5639">
        <v>1.106703</v>
      </c>
      <c r="L5639">
        <v>128.6593</v>
      </c>
      <c r="M5639">
        <v>0.35681760000000001</v>
      </c>
      <c r="N5639">
        <v>0</v>
      </c>
      <c r="O5639">
        <v>0.93406180000000005</v>
      </c>
      <c r="P5639">
        <v>0.72224370000000004</v>
      </c>
      <c r="Q5639">
        <v>0.1276989</v>
      </c>
      <c r="R5639">
        <v>0.67974780000000001</v>
      </c>
      <c r="S5639">
        <v>2.3174290000000002</v>
      </c>
      <c r="T5639">
        <v>-0.25459409999999999</v>
      </c>
      <c r="U5639">
        <v>2.0014799999999999</v>
      </c>
      <c r="V5639">
        <v>0.43324420000000002</v>
      </c>
      <c r="W5639">
        <v>0.13711499999999999</v>
      </c>
      <c r="X5639">
        <v>0.89078559999999996</v>
      </c>
      <c r="Y5639">
        <v>0.47088409999999897</v>
      </c>
      <c r="Z5639">
        <v>-8.4837070000000001E-2</v>
      </c>
      <c r="AA5639">
        <v>0.87810639999999995</v>
      </c>
      <c r="AB5639">
        <v>42</v>
      </c>
      <c r="AC5639">
        <v>9.9824999999999804</v>
      </c>
      <c r="AD5639">
        <v>-1.10670627092</v>
      </c>
      <c r="AE5639">
        <v>8.4605999999999995</v>
      </c>
      <c r="AF5639">
        <v>6.2612564413396097</v>
      </c>
      <c r="AG5639">
        <v>-1.10670627092</v>
      </c>
      <c r="AH5639">
        <v>11.384426329285599</v>
      </c>
      <c r="AI5639">
        <v>94.868675092565098</v>
      </c>
      <c r="AJ5639">
        <v>61.189894201895797</v>
      </c>
      <c r="AK5639">
        <v>13.039681508428099</v>
      </c>
      <c r="AL5639">
        <v>82.119062250232702</v>
      </c>
      <c r="AM5639">
        <v>64.063475774487202</v>
      </c>
      <c r="AN5639">
        <v>1.0000000226129899</v>
      </c>
    </row>
    <row r="5640" spans="1:40" x14ac:dyDescent="0.25">
      <c r="A5640" t="str">
        <f>"20190312164421630"</f>
        <v>20190312164421630</v>
      </c>
      <c r="B5640" t="str">
        <f>"1552380261621084"</f>
        <v>1552380261621084</v>
      </c>
      <c r="C5640" t="s">
        <v>40</v>
      </c>
      <c r="D5640">
        <v>5.121035</v>
      </c>
      <c r="E5640">
        <v>0.5325183</v>
      </c>
      <c r="F5640" t="s">
        <v>49</v>
      </c>
      <c r="G5640">
        <v>-172.26580000000001</v>
      </c>
      <c r="H5640" s="1">
        <v>-3.3785890000000001E-6</v>
      </c>
      <c r="I5640">
        <v>136.33879999999999</v>
      </c>
      <c r="J5640">
        <v>-181.2473</v>
      </c>
      <c r="K5640">
        <v>1.106471</v>
      </c>
      <c r="L5640">
        <v>128.88939999999999</v>
      </c>
      <c r="M5640">
        <v>0.3590276</v>
      </c>
      <c r="N5640">
        <v>0</v>
      </c>
      <c r="O5640">
        <v>0.9332144</v>
      </c>
      <c r="P5640">
        <v>0.73083669999999901</v>
      </c>
      <c r="Q5640">
        <v>0.1268263</v>
      </c>
      <c r="R5640">
        <v>0.67066599999999998</v>
      </c>
      <c r="S5640">
        <v>2.3398439999999998</v>
      </c>
      <c r="T5640">
        <v>-0.2854643</v>
      </c>
      <c r="U5640">
        <v>1.9808650000000001</v>
      </c>
      <c r="V5640">
        <v>0.44247750000000002</v>
      </c>
      <c r="W5640">
        <v>0.13586790000000001</v>
      </c>
      <c r="X5640">
        <v>0.88642739999999998</v>
      </c>
      <c r="Y5640">
        <v>0.47671799999999998</v>
      </c>
      <c r="Z5640">
        <v>-9.5029730000000007E-2</v>
      </c>
      <c r="AA5640">
        <v>0.87390460000000003</v>
      </c>
      <c r="AB5640">
        <v>42</v>
      </c>
      <c r="AC5640">
        <v>8.9814999999999792</v>
      </c>
      <c r="AD5640">
        <v>-1.1064743785890001</v>
      </c>
      <c r="AE5640">
        <v>7.44939999999999</v>
      </c>
      <c r="AF5640">
        <v>5.6568610117436204</v>
      </c>
      <c r="AG5640">
        <v>-1.1064743785890001</v>
      </c>
      <c r="AH5640">
        <v>10.086867097325699</v>
      </c>
      <c r="AI5640">
        <v>95.465190966001899</v>
      </c>
      <c r="AJ5640">
        <v>60.715661015749703</v>
      </c>
      <c r="AK5640">
        <v>11.617626689465</v>
      </c>
      <c r="AL5640">
        <v>82.191190517947106</v>
      </c>
      <c r="AM5640">
        <v>63.473029924042898</v>
      </c>
      <c r="AN5640">
        <v>0.99999997986370903</v>
      </c>
    </row>
    <row r="5641" spans="1:40" x14ac:dyDescent="0.25">
      <c r="A5641" t="str">
        <f>"20190312164421645"</f>
        <v>20190312164421645</v>
      </c>
      <c r="B5641" t="str">
        <f>"1552380261640604"</f>
        <v>1552380261640604</v>
      </c>
      <c r="C5641" t="s">
        <v>40</v>
      </c>
      <c r="D5641">
        <v>5.2829870000000003</v>
      </c>
      <c r="E5641">
        <v>0.53238399999999997</v>
      </c>
      <c r="F5641" t="s">
        <v>49</v>
      </c>
      <c r="G5641">
        <v>-172.57429999999999</v>
      </c>
      <c r="H5641" s="1">
        <v>-3.4090089999999999E-6</v>
      </c>
      <c r="I5641">
        <v>136.05850000000001</v>
      </c>
      <c r="J5641">
        <v>-181.14599999999999</v>
      </c>
      <c r="K5641">
        <v>1.106203</v>
      </c>
      <c r="L5641">
        <v>129.1474</v>
      </c>
      <c r="M5641">
        <v>0.36164220000000002</v>
      </c>
      <c r="N5641">
        <v>0</v>
      </c>
      <c r="O5641">
        <v>0.93220420000000004</v>
      </c>
      <c r="P5641">
        <v>0.73631599999999997</v>
      </c>
      <c r="Q5641">
        <v>0.1265329</v>
      </c>
      <c r="R5641">
        <v>0.66470149999999995</v>
      </c>
      <c r="S5641">
        <v>2.3640140000000001</v>
      </c>
      <c r="T5641">
        <v>-0.30159390000000003</v>
      </c>
      <c r="U5641">
        <v>1.954086</v>
      </c>
      <c r="V5641">
        <v>0.44733640000000002</v>
      </c>
      <c r="W5641">
        <v>0.135215</v>
      </c>
      <c r="X5641">
        <v>0.88408549999999997</v>
      </c>
      <c r="Y5641">
        <v>0.48408630000000002</v>
      </c>
      <c r="Z5641">
        <v>-0.1004377</v>
      </c>
      <c r="AA5641">
        <v>0.86923689999999998</v>
      </c>
      <c r="AB5641">
        <v>42</v>
      </c>
      <c r="AC5641">
        <v>8.5716999999999892</v>
      </c>
      <c r="AD5641">
        <v>-1.106206409009</v>
      </c>
      <c r="AE5641">
        <v>6.9111000000000002</v>
      </c>
      <c r="AF5641">
        <v>5.4369297754834296</v>
      </c>
      <c r="AG5641">
        <v>-1.106206409009</v>
      </c>
      <c r="AH5641">
        <v>9.4480852323979008</v>
      </c>
      <c r="AI5641">
        <v>95.794525997147602</v>
      </c>
      <c r="AJ5641">
        <v>60.081592544601598</v>
      </c>
      <c r="AK5641">
        <v>10.956742789785901</v>
      </c>
      <c r="AL5641">
        <v>82.228948001859905</v>
      </c>
      <c r="AM5641">
        <v>63.161150148648701</v>
      </c>
      <c r="AN5641">
        <v>1.0000000611501001</v>
      </c>
    </row>
    <row r="5642" spans="1:40" x14ac:dyDescent="0.25">
      <c r="A5642" t="str">
        <f>"20190312164421660"</f>
        <v>20190312164421660</v>
      </c>
      <c r="B5642" t="str">
        <f>"1552380261650363"</f>
        <v>1552380261650363</v>
      </c>
      <c r="C5642" t="s">
        <v>40</v>
      </c>
      <c r="D5642">
        <v>5.1327509999999998</v>
      </c>
      <c r="E5642">
        <v>0.53216549999999996</v>
      </c>
      <c r="F5642" t="s">
        <v>49</v>
      </c>
      <c r="G5642">
        <v>-172.4768</v>
      </c>
      <c r="H5642" s="1">
        <v>-3.4200420000000002E-6</v>
      </c>
      <c r="I5642">
        <v>136.20150000000001</v>
      </c>
      <c r="J5642">
        <v>-181.04650000000001</v>
      </c>
      <c r="K5642">
        <v>1.105925</v>
      </c>
      <c r="L5642">
        <v>129.39830000000001</v>
      </c>
      <c r="M5642">
        <v>0.36437219999999998</v>
      </c>
      <c r="N5642">
        <v>0</v>
      </c>
      <c r="O5642">
        <v>0.93114039999999998</v>
      </c>
      <c r="P5642">
        <v>0.74660590000000004</v>
      </c>
      <c r="Q5642">
        <v>0.12621940000000001</v>
      </c>
      <c r="R5642">
        <v>0.65318319999999996</v>
      </c>
      <c r="S5642">
        <v>2.3789829999999998</v>
      </c>
      <c r="T5642">
        <v>-0.30356470000000002</v>
      </c>
      <c r="U5642">
        <v>1.935791</v>
      </c>
      <c r="V5642">
        <v>0.45860699999999999</v>
      </c>
      <c r="W5642">
        <v>0.13440559999999999</v>
      </c>
      <c r="X5642">
        <v>0.87841610000000003</v>
      </c>
      <c r="Y5642">
        <v>0.48816310000000002</v>
      </c>
      <c r="Z5642">
        <v>-0.10114480000000001</v>
      </c>
      <c r="AA5642">
        <v>0.86687169999999902</v>
      </c>
      <c r="AB5642">
        <v>42</v>
      </c>
      <c r="AC5642">
        <v>8.5697000000000099</v>
      </c>
      <c r="AD5642">
        <v>-1.1059284200419901</v>
      </c>
      <c r="AE5642">
        <v>6.8032000000000004</v>
      </c>
      <c r="AF5642">
        <v>5.4456438565863499</v>
      </c>
      <c r="AG5642">
        <v>-1.1059284200419901</v>
      </c>
      <c r="AH5642">
        <v>9.36264258891085</v>
      </c>
      <c r="AI5642">
        <v>95.830046593285601</v>
      </c>
      <c r="AJ5642">
        <v>59.816204074825201</v>
      </c>
      <c r="AK5642">
        <v>10.8874786305517</v>
      </c>
      <c r="AL5642">
        <v>82.275750320254105</v>
      </c>
      <c r="AM5642">
        <v>62.431658498148003</v>
      </c>
      <c r="AN5642">
        <v>1.0000000452497799</v>
      </c>
    </row>
    <row r="5643" spans="1:40" x14ac:dyDescent="0.25">
      <c r="A5643" t="str">
        <f>"20190312164421681"</f>
        <v>20190312164421681</v>
      </c>
      <c r="B5643" t="str">
        <f>"1552380261670860"</f>
        <v>1552380261670860</v>
      </c>
      <c r="C5643" t="s">
        <v>40</v>
      </c>
      <c r="D5643">
        <v>5.2259500000000001</v>
      </c>
      <c r="E5643">
        <v>0.53202199999999999</v>
      </c>
      <c r="F5643" t="s">
        <v>49</v>
      </c>
      <c r="G5643">
        <v>-172.12780000000001</v>
      </c>
      <c r="H5643" s="1">
        <v>-3.3508160000000002E-6</v>
      </c>
      <c r="I5643">
        <v>136.42689999999999</v>
      </c>
      <c r="J5643">
        <v>-180.89570000000001</v>
      </c>
      <c r="K5643">
        <v>1.105453</v>
      </c>
      <c r="L5643">
        <v>129.77359999999999</v>
      </c>
      <c r="M5643">
        <v>0.36886809999999998</v>
      </c>
      <c r="N5643">
        <v>0</v>
      </c>
      <c r="O5643">
        <v>0.92936810000000003</v>
      </c>
      <c r="P5643">
        <v>0.75687969999999904</v>
      </c>
      <c r="Q5643">
        <v>0.1235057</v>
      </c>
      <c r="R5643">
        <v>0.64177839999999997</v>
      </c>
      <c r="S5643">
        <v>2.408264</v>
      </c>
      <c r="T5643">
        <v>-0.29863010000000001</v>
      </c>
      <c r="U5643">
        <v>1.897888</v>
      </c>
      <c r="V5643">
        <v>0.4682249</v>
      </c>
      <c r="W5643">
        <v>0.13101499999999999</v>
      </c>
      <c r="X5643">
        <v>0.87384240000000002</v>
      </c>
      <c r="Y5643">
        <v>0.49758419999999998</v>
      </c>
      <c r="Z5643">
        <v>-9.9692359999999994E-2</v>
      </c>
      <c r="AA5643">
        <v>0.86166779999999998</v>
      </c>
      <c r="AB5643">
        <v>42</v>
      </c>
      <c r="AC5643">
        <v>8.7678999999999903</v>
      </c>
      <c r="AD5643">
        <v>-1.105456350816</v>
      </c>
      <c r="AE5643">
        <v>6.6532999999999998</v>
      </c>
      <c r="AF5643">
        <v>5.6381428415981496</v>
      </c>
      <c r="AG5643">
        <v>-1.105456350816</v>
      </c>
      <c r="AH5643">
        <v>9.3244967674197401</v>
      </c>
      <c r="AI5643">
        <v>95.792842386679396</v>
      </c>
      <c r="AJ5643">
        <v>58.840357894434902</v>
      </c>
      <c r="AK5643">
        <v>10.952485033609699</v>
      </c>
      <c r="AL5643">
        <v>82.471750894336196</v>
      </c>
      <c r="AM5643">
        <v>61.816568007650197</v>
      </c>
      <c r="AN5643">
        <v>1.00000001362138</v>
      </c>
    </row>
    <row r="5644" spans="1:40" x14ac:dyDescent="0.25">
      <c r="A5644" t="str">
        <f>"20190312164421704"</f>
        <v>20190312164421704</v>
      </c>
      <c r="B5644" t="str">
        <f>"1552380261701116"</f>
        <v>1552380261701116</v>
      </c>
      <c r="C5644" t="s">
        <v>40</v>
      </c>
      <c r="D5644">
        <v>5.1481669999999999</v>
      </c>
      <c r="E5644">
        <v>0.53067759999999997</v>
      </c>
      <c r="F5644" t="s">
        <v>49</v>
      </c>
      <c r="G5644">
        <v>-172.19200000000001</v>
      </c>
      <c r="H5644" s="1">
        <v>-3.3801329999999999E-6</v>
      </c>
      <c r="I5644">
        <v>136.42920000000001</v>
      </c>
      <c r="J5644">
        <v>-180.73509999999999</v>
      </c>
      <c r="K5644">
        <v>1.1049009999999999</v>
      </c>
      <c r="L5644">
        <v>130.16569999999999</v>
      </c>
      <c r="M5644">
        <v>0.37415769999999998</v>
      </c>
      <c r="N5644">
        <v>0</v>
      </c>
      <c r="O5644">
        <v>0.92725069999999998</v>
      </c>
      <c r="P5644">
        <v>0.76608599999999905</v>
      </c>
      <c r="Q5644">
        <v>0.1201163</v>
      </c>
      <c r="R5644">
        <v>0.6314147</v>
      </c>
      <c r="S5644">
        <v>2.435165</v>
      </c>
      <c r="T5644">
        <v>-0.3092915</v>
      </c>
      <c r="U5644">
        <v>1.8621369999999999</v>
      </c>
      <c r="V5644">
        <v>0.47577409999999998</v>
      </c>
      <c r="W5644">
        <v>0.12688469999999999</v>
      </c>
      <c r="X5644">
        <v>0.87036729999999995</v>
      </c>
      <c r="Y5644">
        <v>0.50489499999999998</v>
      </c>
      <c r="Z5644">
        <v>-0.1033456</v>
      </c>
      <c r="AA5644">
        <v>0.85697190000000001</v>
      </c>
      <c r="AB5644">
        <v>42</v>
      </c>
      <c r="AC5644">
        <v>8.5430999999999795</v>
      </c>
      <c r="AD5644">
        <v>-1.1049043801330001</v>
      </c>
      <c r="AE5644">
        <v>6.2635000000000201</v>
      </c>
      <c r="AF5644">
        <v>5.5186127299985204</v>
      </c>
      <c r="AG5644">
        <v>-1.1049043801330001</v>
      </c>
      <c r="AH5644">
        <v>8.9083415982684606</v>
      </c>
      <c r="AI5644">
        <v>96.018905441333402</v>
      </c>
      <c r="AJ5644">
        <v>58.222272694642001</v>
      </c>
      <c r="AK5644">
        <v>10.537288559415</v>
      </c>
      <c r="AL5644">
        <v>82.710391964712997</v>
      </c>
      <c r="AM5644">
        <v>61.337395672142598</v>
      </c>
      <c r="AN5644">
        <v>0.99999997911709404</v>
      </c>
    </row>
    <row r="5645" spans="1:40" x14ac:dyDescent="0.25">
      <c r="A5645" t="str">
        <f>"20190312164421727"</f>
        <v>20190312164421727</v>
      </c>
      <c r="B5645" t="str">
        <f>"1552380261720635"</f>
        <v>1552380261720635</v>
      </c>
      <c r="C5645" t="s">
        <v>40</v>
      </c>
      <c r="D5645">
        <v>5.2199150000000003</v>
      </c>
      <c r="E5645">
        <v>0.52946559999999998</v>
      </c>
      <c r="F5645" t="s">
        <v>49</v>
      </c>
      <c r="G5645">
        <v>-172.59139999999999</v>
      </c>
      <c r="H5645" s="1">
        <v>-3.4969969999999999E-6</v>
      </c>
      <c r="I5645">
        <v>136.27029999999999</v>
      </c>
      <c r="J5645">
        <v>-180.56610000000001</v>
      </c>
      <c r="K5645">
        <v>1.1043149999999999</v>
      </c>
      <c r="L5645">
        <v>130.57069999999999</v>
      </c>
      <c r="M5645">
        <v>0.38017709999999999</v>
      </c>
      <c r="N5645">
        <v>0</v>
      </c>
      <c r="O5645">
        <v>0.92479840000000002</v>
      </c>
      <c r="P5645">
        <v>0.77572459999999999</v>
      </c>
      <c r="Q5645">
        <v>0.12029960000000001</v>
      </c>
      <c r="R5645">
        <v>0.61949919999999903</v>
      </c>
      <c r="S5645">
        <v>2.4527890000000001</v>
      </c>
      <c r="T5645">
        <v>-0.33278439999999998</v>
      </c>
      <c r="U5645">
        <v>1.838638</v>
      </c>
      <c r="V5645">
        <v>0.48371930000000002</v>
      </c>
      <c r="W5645">
        <v>0.12626309999999999</v>
      </c>
      <c r="X5645">
        <v>0.8660677</v>
      </c>
      <c r="Y5645">
        <v>0.5068009</v>
      </c>
      <c r="Z5645">
        <v>-0.1110877</v>
      </c>
      <c r="AA5645">
        <v>0.85487570000000002</v>
      </c>
      <c r="AB5645">
        <v>42</v>
      </c>
      <c r="AC5645">
        <v>7.9747000000000101</v>
      </c>
      <c r="AD5645">
        <v>-1.1043184969969999</v>
      </c>
      <c r="AE5645">
        <v>5.6996000000000002</v>
      </c>
      <c r="AF5645">
        <v>5.1434048389060401</v>
      </c>
      <c r="AG5645">
        <v>-1.1043184969969999</v>
      </c>
      <c r="AH5645">
        <v>8.1995909156128093</v>
      </c>
      <c r="AI5645">
        <v>96.508806826994999</v>
      </c>
      <c r="AJ5645">
        <v>57.900946966538001</v>
      </c>
      <c r="AK5645">
        <v>9.7420441316538895</v>
      </c>
      <c r="AL5645">
        <v>82.746295915918793</v>
      </c>
      <c r="AM5645">
        <v>60.815608341862699</v>
      </c>
      <c r="AN5645">
        <v>0.99999999629869496</v>
      </c>
    </row>
    <row r="5646" spans="1:40" x14ac:dyDescent="0.25">
      <c r="A5646" t="str">
        <f>"20190312164421749"</f>
        <v>20190312164421749</v>
      </c>
      <c r="B5646" t="str">
        <f>"1552380261741132"</f>
        <v>1552380261741132</v>
      </c>
      <c r="C5646" t="s">
        <v>40</v>
      </c>
      <c r="D5646">
        <v>5.3574409999999997</v>
      </c>
      <c r="E5646">
        <v>0.52858249999999996</v>
      </c>
      <c r="F5646" t="s">
        <v>49</v>
      </c>
      <c r="G5646">
        <v>-172.48179999999999</v>
      </c>
      <c r="H5646" s="1">
        <v>-3.5313660000000001E-6</v>
      </c>
      <c r="I5646">
        <v>136.48910000000001</v>
      </c>
      <c r="J5646">
        <v>-180.40100000000001</v>
      </c>
      <c r="K5646">
        <v>1.1037490000000001</v>
      </c>
      <c r="L5646">
        <v>130.95830000000001</v>
      </c>
      <c r="M5646">
        <v>0.38649929999999999</v>
      </c>
      <c r="N5646">
        <v>0</v>
      </c>
      <c r="O5646">
        <v>0.92217340000000003</v>
      </c>
      <c r="P5646">
        <v>0.78536379999999995</v>
      </c>
      <c r="Q5646">
        <v>0.1219867</v>
      </c>
      <c r="R5646">
        <v>0.60689630000000006</v>
      </c>
      <c r="S5646">
        <v>2.4735870000000002</v>
      </c>
      <c r="T5646">
        <v>-0.33789089999999999</v>
      </c>
      <c r="U5646">
        <v>1.8108519999999999</v>
      </c>
      <c r="V5646">
        <v>0.49172640000000001</v>
      </c>
      <c r="W5646">
        <v>0.1271282</v>
      </c>
      <c r="X5646">
        <v>0.8614195</v>
      </c>
      <c r="Y5646">
        <v>0.51042399999999999</v>
      </c>
      <c r="Z5646">
        <v>-0.11276890000000001</v>
      </c>
      <c r="AA5646">
        <v>0.85249660000000005</v>
      </c>
      <c r="AB5646">
        <v>42</v>
      </c>
      <c r="AC5646">
        <v>7.9191999999999796</v>
      </c>
      <c r="AD5646">
        <v>-1.1037525313659999</v>
      </c>
      <c r="AE5646">
        <v>5.5307999999999904</v>
      </c>
      <c r="AF5646">
        <v>5.0991987755269204</v>
      </c>
      <c r="AG5646">
        <v>-1.1037525313659999</v>
      </c>
      <c r="AH5646">
        <v>8.0567992070046603</v>
      </c>
      <c r="AI5646">
        <v>96.603141834187895</v>
      </c>
      <c r="AJ5646">
        <v>57.670023606759301</v>
      </c>
      <c r="AK5646">
        <v>9.5985473518039708</v>
      </c>
      <c r="AL5646">
        <v>82.696326643135905</v>
      </c>
      <c r="AM5646">
        <v>60.280863263037403</v>
      </c>
      <c r="AN5646">
        <v>0.99999999333622402</v>
      </c>
    </row>
    <row r="5647" spans="1:40" x14ac:dyDescent="0.25">
      <c r="A5647" t="str">
        <f>"20190312164421770"</f>
        <v>20190312164421770</v>
      </c>
      <c r="B5647" t="str">
        <f>"1552380261760652"</f>
        <v>1552380261760652</v>
      </c>
      <c r="C5647" t="s">
        <v>40</v>
      </c>
      <c r="D5647">
        <v>5.2141500000000001</v>
      </c>
      <c r="E5647">
        <v>0.52782819999999997</v>
      </c>
      <c r="F5647" t="s">
        <v>49</v>
      </c>
      <c r="G5647">
        <v>-172.12469999999999</v>
      </c>
      <c r="H5647" s="1">
        <v>-3.5138740000000001E-6</v>
      </c>
      <c r="I5647">
        <v>136.86019999999999</v>
      </c>
      <c r="J5647">
        <v>-180.24199999999999</v>
      </c>
      <c r="K5647">
        <v>1.1031879999999901</v>
      </c>
      <c r="L5647">
        <v>131.32390000000001</v>
      </c>
      <c r="M5647">
        <v>0.39302900000000002</v>
      </c>
      <c r="N5647">
        <v>0</v>
      </c>
      <c r="O5647">
        <v>0.91940869999999997</v>
      </c>
      <c r="P5647">
        <v>0.79479960000000005</v>
      </c>
      <c r="Q5647">
        <v>0.1239924</v>
      </c>
      <c r="R5647">
        <v>0.5940704</v>
      </c>
      <c r="S5647">
        <v>2.4960939999999998</v>
      </c>
      <c r="T5647">
        <v>-0.33288659999999998</v>
      </c>
      <c r="U5647">
        <v>1.779984</v>
      </c>
      <c r="V5647">
        <v>0.49951630000000002</v>
      </c>
      <c r="W5647">
        <v>0.1282992</v>
      </c>
      <c r="X5647">
        <v>0.85675129999999999</v>
      </c>
      <c r="Y5647">
        <v>0.51511399999999996</v>
      </c>
      <c r="Z5647">
        <v>-0.1111328</v>
      </c>
      <c r="AA5647">
        <v>0.84988649999999999</v>
      </c>
      <c r="AB5647">
        <v>42</v>
      </c>
      <c r="AC5647">
        <v>8.1173000000000197</v>
      </c>
      <c r="AD5647">
        <v>-1.1031915138739901</v>
      </c>
      <c r="AE5647">
        <v>5.5362999999999802</v>
      </c>
      <c r="AF5647">
        <v>5.2219310224059896</v>
      </c>
      <c r="AG5647">
        <v>-1.1031915138739901</v>
      </c>
      <c r="AH5647">
        <v>8.1782526051722595</v>
      </c>
      <c r="AI5647">
        <v>96.486300079732402</v>
      </c>
      <c r="AJ5647">
        <v>57.441187743163297</v>
      </c>
      <c r="AK5647">
        <v>9.76572633207876</v>
      </c>
      <c r="AL5647">
        <v>82.628679403799396</v>
      </c>
      <c r="AM5647">
        <v>59.756302735964802</v>
      </c>
      <c r="AN5647">
        <v>1.00000000436901</v>
      </c>
    </row>
    <row r="5648" spans="1:40" x14ac:dyDescent="0.25">
      <c r="A5648" t="str">
        <f>"20190312164421792"</f>
        <v>20190312164421792</v>
      </c>
      <c r="B5648" t="str">
        <f>"1552380261781147"</f>
        <v>1552380261781147</v>
      </c>
      <c r="C5648" t="s">
        <v>40</v>
      </c>
      <c r="D5648">
        <v>5.1504180000000002</v>
      </c>
      <c r="E5648">
        <v>0.52674200000000004</v>
      </c>
      <c r="F5648" t="s">
        <v>49</v>
      </c>
      <c r="G5648">
        <v>-171.81620000000001</v>
      </c>
      <c r="H5648" s="1">
        <v>-3.4898949999999999E-6</v>
      </c>
      <c r="I5648">
        <v>137.1575</v>
      </c>
      <c r="J5648">
        <v>-180.07149999999999</v>
      </c>
      <c r="K5648">
        <v>1.102573</v>
      </c>
      <c r="L5648">
        <v>131.7072</v>
      </c>
      <c r="M5648">
        <v>0.40051399999999998</v>
      </c>
      <c r="N5648">
        <v>0</v>
      </c>
      <c r="O5648">
        <v>0.91617199999999999</v>
      </c>
      <c r="P5648">
        <v>0.80559799999999904</v>
      </c>
      <c r="Q5648">
        <v>0.12798419999999999</v>
      </c>
      <c r="R5648">
        <v>0.57847380000000004</v>
      </c>
      <c r="S5648">
        <v>2.5212859999999999</v>
      </c>
      <c r="T5648">
        <v>-0.33011220000000002</v>
      </c>
      <c r="U5648">
        <v>1.7456210000000001</v>
      </c>
      <c r="V5648">
        <v>0.50890670000000005</v>
      </c>
      <c r="W5648">
        <v>0.13131099999999901</v>
      </c>
      <c r="X5648">
        <v>0.85074760000000005</v>
      </c>
      <c r="Y5648">
        <v>0.52002879999999996</v>
      </c>
      <c r="Z5648">
        <v>-0.11019760000000001</v>
      </c>
      <c r="AA5648">
        <v>0.84701029999999999</v>
      </c>
      <c r="AB5648">
        <v>42</v>
      </c>
      <c r="AC5648">
        <v>8.2552999999999699</v>
      </c>
      <c r="AD5648">
        <v>-1.1025764898949999</v>
      </c>
      <c r="AE5648">
        <v>5.4502999999999897</v>
      </c>
      <c r="AF5648">
        <v>5.3149103679365304</v>
      </c>
      <c r="AG5648">
        <v>-1.1025764898949999</v>
      </c>
      <c r="AH5648">
        <v>8.1988227570752201</v>
      </c>
      <c r="AI5648">
        <v>96.438236820703295</v>
      </c>
      <c r="AJ5648">
        <v>57.046560007954398</v>
      </c>
      <c r="AK5648">
        <v>9.8328348779587902</v>
      </c>
      <c r="AL5648">
        <v>82.454643776773096</v>
      </c>
      <c r="AM5648">
        <v>59.112657842612201</v>
      </c>
      <c r="AN5648">
        <v>1.0000000434658201</v>
      </c>
    </row>
    <row r="5649" spans="1:40" x14ac:dyDescent="0.25">
      <c r="A5649" t="str">
        <f>"20190312164421816"</f>
        <v>20190312164421816</v>
      </c>
      <c r="B5649" t="str">
        <f>"1552380261810431"</f>
        <v>1552380261810431</v>
      </c>
      <c r="C5649" t="s">
        <v>40</v>
      </c>
      <c r="D5649">
        <v>5.2834519999999996</v>
      </c>
      <c r="E5649">
        <v>0.52582499999999999</v>
      </c>
      <c r="F5649" t="s">
        <v>49</v>
      </c>
      <c r="G5649">
        <v>-171.28319999999999</v>
      </c>
      <c r="H5649" s="1">
        <v>-3.4131189999999999E-6</v>
      </c>
      <c r="I5649">
        <v>137.578</v>
      </c>
      <c r="J5649">
        <v>-179.8931</v>
      </c>
      <c r="K5649">
        <v>1.101891</v>
      </c>
      <c r="L5649">
        <v>132.09829999999999</v>
      </c>
      <c r="M5649">
        <v>0.40885280000000002</v>
      </c>
      <c r="N5649">
        <v>0</v>
      </c>
      <c r="O5649">
        <v>0.91248010000000002</v>
      </c>
      <c r="P5649">
        <v>0.81612659999999904</v>
      </c>
      <c r="Q5649">
        <v>0.1297854</v>
      </c>
      <c r="R5649">
        <v>0.56311040000000001</v>
      </c>
      <c r="S5649">
        <v>2.551056</v>
      </c>
      <c r="T5649">
        <v>-0.32005620000000001</v>
      </c>
      <c r="U5649">
        <v>1.7041930000000001</v>
      </c>
      <c r="V5649">
        <v>0.5172525</v>
      </c>
      <c r="W5649">
        <v>0.13207859999999999</v>
      </c>
      <c r="X5649">
        <v>0.84557969999999905</v>
      </c>
      <c r="Y5649">
        <v>0.52664519999999904</v>
      </c>
      <c r="Z5649">
        <v>-0.1068678</v>
      </c>
      <c r="AA5649">
        <v>0.84334100000000001</v>
      </c>
      <c r="AB5649">
        <v>42</v>
      </c>
      <c r="AC5649">
        <v>8.6099000000000103</v>
      </c>
      <c r="AD5649">
        <v>-1.101894413119</v>
      </c>
      <c r="AE5649">
        <v>5.4797000000000002</v>
      </c>
      <c r="AF5649">
        <v>5.5518695136569498</v>
      </c>
      <c r="AG5649">
        <v>-1.101894413119</v>
      </c>
      <c r="AH5649">
        <v>8.4230459439797407</v>
      </c>
      <c r="AI5649">
        <v>96.233506827593203</v>
      </c>
      <c r="AJ5649">
        <v>56.609985508590697</v>
      </c>
      <c r="AK5649">
        <v>10.1481589152284</v>
      </c>
      <c r="AL5649">
        <v>82.410276535080598</v>
      </c>
      <c r="AM5649">
        <v>58.545312456262103</v>
      </c>
      <c r="AN5649">
        <v>0.99999996719314899</v>
      </c>
    </row>
    <row r="5650" spans="1:40" x14ac:dyDescent="0.25">
      <c r="A5650" t="str">
        <f>"20190312164421837"</f>
        <v>20190312164421837</v>
      </c>
      <c r="B5650" t="str">
        <f>"1552380261830923"</f>
        <v>1552380261830923</v>
      </c>
      <c r="C5650" t="s">
        <v>40</v>
      </c>
      <c r="D5650">
        <v>5.2844829999999998</v>
      </c>
      <c r="E5650">
        <v>0.54483319999999902</v>
      </c>
      <c r="F5650" t="s">
        <v>49</v>
      </c>
      <c r="G5650">
        <v>-170.78280000000001</v>
      </c>
      <c r="H5650" s="1">
        <v>-3.338265E-6</v>
      </c>
      <c r="I5650">
        <v>137.9657</v>
      </c>
      <c r="J5650">
        <v>-179.71639999999999</v>
      </c>
      <c r="K5650">
        <v>1.1011949999999999</v>
      </c>
      <c r="L5650">
        <v>132.4759</v>
      </c>
      <c r="M5650">
        <v>0.41759499999999999</v>
      </c>
      <c r="N5650">
        <v>0</v>
      </c>
      <c r="O5650">
        <v>0.90851110000000002</v>
      </c>
      <c r="P5650">
        <v>0.82625199999999999</v>
      </c>
      <c r="Q5650">
        <v>0.1309651</v>
      </c>
      <c r="R5650">
        <v>0.54786480000000004</v>
      </c>
      <c r="S5650">
        <v>2.5793300000000001</v>
      </c>
      <c r="T5650">
        <v>-0.31196889999999999</v>
      </c>
      <c r="U5650">
        <v>1.6611939999999901</v>
      </c>
      <c r="V5650">
        <v>0.52490429999999999</v>
      </c>
      <c r="W5650">
        <v>0.13221949999999999</v>
      </c>
      <c r="X5650">
        <v>0.84082900000000005</v>
      </c>
      <c r="Y5650">
        <v>0.53288579999999997</v>
      </c>
      <c r="Z5650">
        <v>-0.1042114</v>
      </c>
      <c r="AA5650">
        <v>0.83974559999999998</v>
      </c>
      <c r="AB5650">
        <v>42</v>
      </c>
      <c r="AC5650">
        <v>8.9335999999999807</v>
      </c>
      <c r="AD5650">
        <v>-1.1011983382649999</v>
      </c>
      <c r="AE5650">
        <v>5.4897999999999998</v>
      </c>
      <c r="AF5650">
        <v>5.7608700055613804</v>
      </c>
      <c r="AG5650">
        <v>-1.1011983382649999</v>
      </c>
      <c r="AH5650">
        <v>8.6240220185077803</v>
      </c>
      <c r="AI5650">
        <v>96.060882314938297</v>
      </c>
      <c r="AJ5650">
        <v>56.256969580055198</v>
      </c>
      <c r="AK5650">
        <v>10.4294782600512</v>
      </c>
      <c r="AL5650">
        <v>82.402132105876106</v>
      </c>
      <c r="AM5650">
        <v>58.024704698078402</v>
      </c>
      <c r="AN5650">
        <v>0.999999963789869</v>
      </c>
    </row>
    <row r="5651" spans="1:40" x14ac:dyDescent="0.25">
      <c r="A5651" t="str">
        <f>"20190312164421859"</f>
        <v>20190312164421859</v>
      </c>
      <c r="B5651" t="str">
        <f>"1552380261850443"</f>
        <v>1552380261850443</v>
      </c>
      <c r="C5651" t="s">
        <v>40</v>
      </c>
      <c r="D5651">
        <v>5.3672139999999997</v>
      </c>
      <c r="E5651">
        <v>0.54379519999999903</v>
      </c>
      <c r="F5651" t="s">
        <v>42</v>
      </c>
      <c r="G5651">
        <v>-168.10120000000001</v>
      </c>
      <c r="H5651" s="1">
        <v>-1.0152100000000001E-6</v>
      </c>
      <c r="I5651">
        <v>138.84299999999999</v>
      </c>
      <c r="J5651">
        <v>-179.54429999999999</v>
      </c>
      <c r="K5651">
        <v>1.1005149999999999</v>
      </c>
      <c r="L5651">
        <v>132.8338</v>
      </c>
      <c r="M5651">
        <v>0.42652580000000001</v>
      </c>
      <c r="N5651">
        <v>0</v>
      </c>
      <c r="O5651">
        <v>0.90435129999999997</v>
      </c>
      <c r="P5651">
        <v>0.83598969999999995</v>
      </c>
      <c r="Q5651">
        <v>0.1311649</v>
      </c>
      <c r="R5651">
        <v>0.53283859999999905</v>
      </c>
      <c r="S5651">
        <v>2.692612</v>
      </c>
      <c r="T5651">
        <v>-0.25527749999999999</v>
      </c>
      <c r="U5651">
        <v>1.476013</v>
      </c>
      <c r="V5651">
        <v>0.53201119999999902</v>
      </c>
      <c r="W5651">
        <v>0.13140460000000001</v>
      </c>
      <c r="X5651">
        <v>0.83647890000000003</v>
      </c>
      <c r="Y5651">
        <v>0.5845709</v>
      </c>
      <c r="Z5651">
        <v>-8.6401210000000006E-2</v>
      </c>
      <c r="AA5651">
        <v>0.80672900000000003</v>
      </c>
      <c r="AB5651">
        <v>42</v>
      </c>
      <c r="AC5651">
        <v>11.4430999999999</v>
      </c>
      <c r="AD5651">
        <v>-1.10051601521</v>
      </c>
      <c r="AE5651">
        <v>6.0091999999999901</v>
      </c>
      <c r="AF5651">
        <v>7.73033317457653</v>
      </c>
      <c r="AG5651">
        <v>-1.10051601521</v>
      </c>
      <c r="AH5651">
        <v>10.242108660724901</v>
      </c>
      <c r="AI5651">
        <v>94.901906742372503</v>
      </c>
      <c r="AJ5651">
        <v>52.955957623131503</v>
      </c>
      <c r="AK5651">
        <v>12.879051840402999</v>
      </c>
      <c r="AL5651">
        <v>82.449233823085393</v>
      </c>
      <c r="AM5651">
        <v>57.543121739389598</v>
      </c>
      <c r="AN5651">
        <v>1.0000000179859001</v>
      </c>
    </row>
    <row r="5652" spans="1:40" x14ac:dyDescent="0.25">
      <c r="A5652" t="str">
        <f>"20190312164421882"</f>
        <v>20190312164421882</v>
      </c>
      <c r="B5652" t="str">
        <f>"1552380261870939"</f>
        <v>1552380261870939</v>
      </c>
      <c r="C5652" t="s">
        <v>40</v>
      </c>
      <c r="D5652">
        <v>5.5452089999999998</v>
      </c>
      <c r="E5652">
        <v>0.54321379999999997</v>
      </c>
      <c r="F5652" t="s">
        <v>42</v>
      </c>
      <c r="G5652">
        <v>-167.69409999999999</v>
      </c>
      <c r="H5652" s="1">
        <v>-1.1620869999999999E-6</v>
      </c>
      <c r="I5652">
        <v>139.09989999999999</v>
      </c>
      <c r="J5652">
        <v>-179.3562</v>
      </c>
      <c r="K5652">
        <v>1.09978</v>
      </c>
      <c r="L5652">
        <v>133.2139</v>
      </c>
      <c r="M5652">
        <v>0.43670009999999998</v>
      </c>
      <c r="N5652">
        <v>0</v>
      </c>
      <c r="O5652">
        <v>0.89948059999999996</v>
      </c>
      <c r="P5652">
        <v>0.84492230000000001</v>
      </c>
      <c r="Q5652">
        <v>0.1334687</v>
      </c>
      <c r="R5652">
        <v>0.51796940000000002</v>
      </c>
      <c r="S5652">
        <v>2.7135470000000002</v>
      </c>
      <c r="T5652">
        <v>-0.25200460000000002</v>
      </c>
      <c r="U5652">
        <v>1.4348749999999999</v>
      </c>
      <c r="V5652">
        <v>0.53733560000000002</v>
      </c>
      <c r="W5652">
        <v>0.13267370000000001</v>
      </c>
      <c r="X5652">
        <v>0.83286740000000004</v>
      </c>
      <c r="Y5652">
        <v>0.58764729999999998</v>
      </c>
      <c r="Z5652">
        <v>-8.5276690000000002E-2</v>
      </c>
      <c r="AA5652">
        <v>0.80461079999999996</v>
      </c>
      <c r="AB5652">
        <v>42</v>
      </c>
      <c r="AC5652">
        <v>11.662100000000001</v>
      </c>
      <c r="AD5652">
        <v>-1.0997811620869999</v>
      </c>
      <c r="AE5652">
        <v>5.8859999999999904</v>
      </c>
      <c r="AF5652">
        <v>7.8645755769700196</v>
      </c>
      <c r="AG5652">
        <v>-1.0997811620869999</v>
      </c>
      <c r="AH5652">
        <v>10.315253924152501</v>
      </c>
      <c r="AI5652">
        <v>94.846254188281094</v>
      </c>
      <c r="AJ5652">
        <v>52.677308972129701</v>
      </c>
      <c r="AK5652">
        <v>13.017892730012001</v>
      </c>
      <c r="AL5652">
        <v>82.3758771968308</v>
      </c>
      <c r="AM5652">
        <v>57.171371087216002</v>
      </c>
      <c r="AN5652">
        <v>0.999999981840904</v>
      </c>
    </row>
    <row r="5653" spans="1:40" x14ac:dyDescent="0.25">
      <c r="A5653" t="str">
        <f>"20190312164421905"</f>
        <v>20190312164421905</v>
      </c>
      <c r="B5653" t="str">
        <f>"1552380261901197"</f>
        <v>1552380261901197</v>
      </c>
      <c r="C5653" t="s">
        <v>40</v>
      </c>
      <c r="D5653">
        <v>5.3539629999999896</v>
      </c>
      <c r="E5653">
        <v>0.54163229999999996</v>
      </c>
      <c r="F5653" t="s">
        <v>42</v>
      </c>
      <c r="G5653">
        <v>-166.91370000000001</v>
      </c>
      <c r="H5653" s="1">
        <v>-1.4550930000000001E-6</v>
      </c>
      <c r="I5653">
        <v>139.52780000000001</v>
      </c>
      <c r="J5653">
        <v>-179.16149999999999</v>
      </c>
      <c r="K5653">
        <v>1.099054</v>
      </c>
      <c r="L5653">
        <v>133.5951</v>
      </c>
      <c r="M5653">
        <v>0.44764520000000002</v>
      </c>
      <c r="N5653">
        <v>0</v>
      </c>
      <c r="O5653">
        <v>0.89408209999999999</v>
      </c>
      <c r="P5653">
        <v>0.85349219999999903</v>
      </c>
      <c r="Q5653">
        <v>0.13601649999999901</v>
      </c>
      <c r="R5653">
        <v>0.50304150000000003</v>
      </c>
      <c r="S5653">
        <v>2.7372890000000001</v>
      </c>
      <c r="T5653">
        <v>-0.24194599999999999</v>
      </c>
      <c r="U5653">
        <v>1.3890229999999999</v>
      </c>
      <c r="V5653">
        <v>0.54175099999999998</v>
      </c>
      <c r="W5653">
        <v>0.13421569999999999</v>
      </c>
      <c r="X5653">
        <v>0.8297542</v>
      </c>
      <c r="Y5653">
        <v>0.59159349999999999</v>
      </c>
      <c r="Z5653">
        <v>-8.1842869999999998E-2</v>
      </c>
      <c r="AA5653">
        <v>0.8020716</v>
      </c>
      <c r="AB5653">
        <v>42</v>
      </c>
      <c r="AC5653">
        <v>12.2477999999999</v>
      </c>
      <c r="AD5653">
        <v>-1.0990554550930001</v>
      </c>
      <c r="AE5653">
        <v>5.9327000000000103</v>
      </c>
      <c r="AF5653">
        <v>8.2419973123278094</v>
      </c>
      <c r="AG5653">
        <v>-1.0990554550930001</v>
      </c>
      <c r="AH5653">
        <v>10.718330058547499</v>
      </c>
      <c r="AI5653">
        <v>94.647129396778894</v>
      </c>
      <c r="AJ5653">
        <v>52.4410543670405</v>
      </c>
      <c r="AK5653">
        <v>13.5654355563598</v>
      </c>
      <c r="AL5653">
        <v>82.286730049763605</v>
      </c>
      <c r="AM5653">
        <v>56.859263293799103</v>
      </c>
      <c r="AN5653">
        <v>1.00000001627256</v>
      </c>
    </row>
    <row r="5654" spans="1:40" x14ac:dyDescent="0.25">
      <c r="A5654" t="str">
        <f>"20190312164421918"</f>
        <v>20190312164421918</v>
      </c>
      <c r="B5654" t="str">
        <f>"1552380261910955"</f>
        <v>1552380261910955</v>
      </c>
      <c r="C5654" t="s">
        <v>40</v>
      </c>
      <c r="D5654">
        <v>5.2007469999999998</v>
      </c>
      <c r="E5654">
        <v>0.54109830000000003</v>
      </c>
      <c r="F5654" t="s">
        <v>42</v>
      </c>
      <c r="G5654">
        <v>-166.00899999999999</v>
      </c>
      <c r="H5654" s="1">
        <v>-1.9780170000000002E-6</v>
      </c>
      <c r="I5654">
        <v>140.0333</v>
      </c>
      <c r="J5654">
        <v>-179.03530000000001</v>
      </c>
      <c r="K5654">
        <v>1.0986049999999901</v>
      </c>
      <c r="L5654">
        <v>133.8365</v>
      </c>
      <c r="M5654">
        <v>0.45487030000000001</v>
      </c>
      <c r="N5654">
        <v>0</v>
      </c>
      <c r="O5654">
        <v>0.89042659999999996</v>
      </c>
      <c r="P5654">
        <v>0.85795659999999896</v>
      </c>
      <c r="Q5654">
        <v>0.1366861</v>
      </c>
      <c r="R5654">
        <v>0.49520429999999999</v>
      </c>
      <c r="S5654">
        <v>2.756424</v>
      </c>
      <c r="T5654">
        <v>-0.23033329999999999</v>
      </c>
      <c r="U5654">
        <v>1.349289</v>
      </c>
      <c r="V5654">
        <v>0.5427014</v>
      </c>
      <c r="W5654">
        <v>0.13433519999999999</v>
      </c>
      <c r="X5654">
        <v>0.82911349999999995</v>
      </c>
      <c r="Y5654">
        <v>0.59688819999999998</v>
      </c>
      <c r="Z5654">
        <v>-7.7976899999999905E-2</v>
      </c>
      <c r="AA5654">
        <v>0.79852609999999902</v>
      </c>
      <c r="AB5654">
        <v>41</v>
      </c>
      <c r="AC5654">
        <v>13.0262999999999</v>
      </c>
      <c r="AD5654">
        <v>-1.09860697801699</v>
      </c>
      <c r="AE5654">
        <v>6.1967999999999899</v>
      </c>
      <c r="AF5654">
        <v>8.7306094914707</v>
      </c>
      <c r="AG5654">
        <v>-1.09860697801699</v>
      </c>
      <c r="AH5654">
        <v>11.3784113786795</v>
      </c>
      <c r="AI5654">
        <v>94.380354157084298</v>
      </c>
      <c r="AJ5654">
        <v>52.501117665988197</v>
      </c>
      <c r="AK5654">
        <v>14.3839745858775</v>
      </c>
      <c r="AL5654">
        <v>82.279820317739194</v>
      </c>
      <c r="AM5654">
        <v>56.7929978016032</v>
      </c>
      <c r="AN5654">
        <v>0.99999997570162402</v>
      </c>
    </row>
    <row r="5655" spans="1:40" x14ac:dyDescent="0.25">
      <c r="A5655" t="str">
        <f>"20190312164421939"</f>
        <v>20190312164421939</v>
      </c>
      <c r="B5655" t="str">
        <f>"1552380261930476"</f>
        <v>1552380261930476</v>
      </c>
      <c r="C5655" t="s">
        <v>40</v>
      </c>
      <c r="D5655">
        <v>5.3949610000000003</v>
      </c>
      <c r="E5655">
        <v>0.540566199999999</v>
      </c>
      <c r="F5655" t="s">
        <v>42</v>
      </c>
      <c r="G5655">
        <v>-165.76580000000001</v>
      </c>
      <c r="H5655" s="1">
        <v>-2.1381739999999998E-6</v>
      </c>
      <c r="I5655">
        <v>140.20320000000001</v>
      </c>
      <c r="J5655">
        <v>-178.8629</v>
      </c>
      <c r="K5655">
        <v>1.0980209999999999</v>
      </c>
      <c r="L5655">
        <v>134.15780000000001</v>
      </c>
      <c r="M5655">
        <v>0.46489540000000001</v>
      </c>
      <c r="N5655">
        <v>0</v>
      </c>
      <c r="O5655">
        <v>0.88523200000000002</v>
      </c>
      <c r="P5655">
        <v>0.86595900000000003</v>
      </c>
      <c r="Q5655">
        <v>0.13735240000000001</v>
      </c>
      <c r="R5655">
        <v>0.48088379999999997</v>
      </c>
      <c r="S5655">
        <v>2.7669220000000001</v>
      </c>
      <c r="T5655">
        <v>-0.2290788</v>
      </c>
      <c r="U5655">
        <v>1.3275760000000001</v>
      </c>
      <c r="V5655">
        <v>0.54722630000000005</v>
      </c>
      <c r="W5655">
        <v>0.13416889999999901</v>
      </c>
      <c r="X5655">
        <v>0.82616109999999898</v>
      </c>
      <c r="Y5655">
        <v>0.59415819999999997</v>
      </c>
      <c r="Z5655">
        <v>-7.7351149999999994E-2</v>
      </c>
      <c r="AA5655">
        <v>0.80062029999999995</v>
      </c>
      <c r="AB5655">
        <v>41</v>
      </c>
      <c r="AC5655">
        <v>13.0970999999999</v>
      </c>
      <c r="AD5655">
        <v>-1.098023138174</v>
      </c>
      <c r="AE5655">
        <v>6.0453999999999999</v>
      </c>
      <c r="AF5655">
        <v>8.7339267258019806</v>
      </c>
      <c r="AG5655">
        <v>-1.098023138174</v>
      </c>
      <c r="AH5655">
        <v>11.375803287578201</v>
      </c>
      <c r="AI5655">
        <v>94.378050288961205</v>
      </c>
      <c r="AJ5655">
        <v>52.484261034194802</v>
      </c>
      <c r="AK5655">
        <v>14.383880954086001</v>
      </c>
      <c r="AL5655">
        <v>82.289436151574705</v>
      </c>
      <c r="AM5655">
        <v>56.480608462452203</v>
      </c>
      <c r="AN5655">
        <v>1.00000004014605</v>
      </c>
    </row>
    <row r="5656" spans="1:40" x14ac:dyDescent="0.25">
      <c r="A5656" t="str">
        <f>"20190312164421971"</f>
        <v>20190312164421971</v>
      </c>
      <c r="B5656" t="str">
        <f>"1552380261960732"</f>
        <v>1552380261960732</v>
      </c>
      <c r="C5656" t="s">
        <v>40</v>
      </c>
      <c r="D5656">
        <v>5.398066</v>
      </c>
      <c r="E5656">
        <v>0.53322000000000003</v>
      </c>
      <c r="F5656" t="s">
        <v>42</v>
      </c>
      <c r="G5656">
        <v>-165.44040000000001</v>
      </c>
      <c r="H5656" s="1">
        <v>-2.333554E-6</v>
      </c>
      <c r="I5656">
        <v>140.3595</v>
      </c>
      <c r="J5656">
        <v>-178.56469999999999</v>
      </c>
      <c r="K5656">
        <v>1.0970899999999999</v>
      </c>
      <c r="L5656">
        <v>134.69329999999999</v>
      </c>
      <c r="M5656">
        <v>0.48258620000000002</v>
      </c>
      <c r="N5656">
        <v>0</v>
      </c>
      <c r="O5656">
        <v>0.87571019999999899</v>
      </c>
      <c r="P5656">
        <v>0.87799470000000002</v>
      </c>
      <c r="Q5656">
        <v>0.1367804</v>
      </c>
      <c r="R5656">
        <v>0.45871190000000001</v>
      </c>
      <c r="S5656">
        <v>2.7857669999999999</v>
      </c>
      <c r="T5656">
        <v>-0.22788820000000001</v>
      </c>
      <c r="U5656">
        <v>1.2871250000000001</v>
      </c>
      <c r="V5656">
        <v>0.55199339999999997</v>
      </c>
      <c r="W5656">
        <v>0.13234660000000001</v>
      </c>
      <c r="X5656">
        <v>0.82327870000000003</v>
      </c>
      <c r="Y5656">
        <v>0.58970619999999996</v>
      </c>
      <c r="Z5656">
        <v>-7.6574760000000006E-2</v>
      </c>
      <c r="AA5656">
        <v>0.80397940000000001</v>
      </c>
      <c r="AB5656">
        <v>41</v>
      </c>
      <c r="AC5656">
        <v>13.1242999999999</v>
      </c>
      <c r="AD5656">
        <v>-1.0970923335539999</v>
      </c>
      <c r="AE5656">
        <v>5.6661999999999999</v>
      </c>
      <c r="AF5656">
        <v>8.70842292245365</v>
      </c>
      <c r="AG5656">
        <v>-1.0970923335539999</v>
      </c>
      <c r="AH5656">
        <v>11.230775640369901</v>
      </c>
      <c r="AI5656">
        <v>94.414333686313896</v>
      </c>
      <c r="AJ5656">
        <v>52.209746852546402</v>
      </c>
      <c r="AK5656">
        <v>14.253791175297399</v>
      </c>
      <c r="AL5656">
        <v>82.394786113976295</v>
      </c>
      <c r="AM5656">
        <v>56.1588658332671</v>
      </c>
      <c r="AN5656">
        <v>1.0000000770244</v>
      </c>
    </row>
    <row r="5657" spans="1:40" x14ac:dyDescent="0.25">
      <c r="A5657" t="str">
        <f>"20190312164421993"</f>
        <v>20190312164421993</v>
      </c>
      <c r="B5657" t="str">
        <f>"1552380261981227"</f>
        <v>1552380261981227</v>
      </c>
      <c r="C5657" t="s">
        <v>40</v>
      </c>
      <c r="D5657">
        <v>5.342765</v>
      </c>
      <c r="E5657">
        <v>0.5329024</v>
      </c>
      <c r="F5657" t="s">
        <v>42</v>
      </c>
      <c r="G5657">
        <v>-165.06469999999999</v>
      </c>
      <c r="H5657" s="1">
        <v>-2.6372010000000002E-6</v>
      </c>
      <c r="I5657">
        <v>140.83320000000001</v>
      </c>
      <c r="J5657">
        <v>-178.35740000000001</v>
      </c>
      <c r="K5657">
        <v>1.0964940000000001</v>
      </c>
      <c r="L5657">
        <v>135.0513</v>
      </c>
      <c r="M5657">
        <v>0.49501529999999999</v>
      </c>
      <c r="N5657">
        <v>0</v>
      </c>
      <c r="O5657">
        <v>0.86874280000000004</v>
      </c>
      <c r="P5657">
        <v>0.88642169999999898</v>
      </c>
      <c r="Q5657">
        <v>0.13714749999999901</v>
      </c>
      <c r="R5657">
        <v>0.4420943</v>
      </c>
      <c r="S5657">
        <v>2.7893829999999999</v>
      </c>
      <c r="T5657">
        <v>-0.22668289999999999</v>
      </c>
      <c r="U5657">
        <v>1.2686459999999999</v>
      </c>
      <c r="V5657">
        <v>0.55592079999999999</v>
      </c>
      <c r="W5657">
        <v>0.13187399999999999</v>
      </c>
      <c r="X5657">
        <v>0.82070779999999999</v>
      </c>
      <c r="Y5657">
        <v>0.58303700000000003</v>
      </c>
      <c r="Z5657">
        <v>-7.5900800000000004E-2</v>
      </c>
      <c r="AA5657">
        <v>0.80889239999999996</v>
      </c>
      <c r="AB5657">
        <v>41</v>
      </c>
      <c r="AC5657">
        <v>13.2927</v>
      </c>
      <c r="AD5657">
        <v>-1.0964966372010001</v>
      </c>
      <c r="AE5657">
        <v>5.7819000000000003</v>
      </c>
      <c r="AF5657">
        <v>8.6374541658233301</v>
      </c>
      <c r="AG5657">
        <v>-1.0964966372010001</v>
      </c>
      <c r="AH5657">
        <v>11.538479036379499</v>
      </c>
      <c r="AI5657">
        <v>94.350427478694897</v>
      </c>
      <c r="AJ5657">
        <v>53.182273405976701</v>
      </c>
      <c r="AK5657">
        <v>14.4549098169121</v>
      </c>
      <c r="AL5657">
        <v>82.422102873556895</v>
      </c>
      <c r="AM5657">
        <v>55.887563172933397</v>
      </c>
      <c r="AN5657">
        <v>0.99999999036473997</v>
      </c>
    </row>
    <row r="5658" spans="1:40" x14ac:dyDescent="0.25">
      <c r="A5658" t="str">
        <f>"20190312164422016"</f>
        <v>20190312164422016</v>
      </c>
      <c r="B5658" t="str">
        <f>"1552380262010507"</f>
        <v>1552380262010507</v>
      </c>
      <c r="C5658" t="s">
        <v>40</v>
      </c>
      <c r="D5658">
        <v>5.3526199999999999</v>
      </c>
      <c r="E5658">
        <v>0.53203330000000004</v>
      </c>
      <c r="F5658" t="s">
        <v>42</v>
      </c>
      <c r="G5658">
        <v>-164.72200000000001</v>
      </c>
      <c r="H5658" s="1">
        <v>-2.8341839999999999E-6</v>
      </c>
      <c r="I5658">
        <v>140.96459999999999</v>
      </c>
      <c r="J5658">
        <v>-178.1387</v>
      </c>
      <c r="K5658">
        <v>1.095912</v>
      </c>
      <c r="L5658">
        <v>135.4169</v>
      </c>
      <c r="M5658">
        <v>0.50816810000000001</v>
      </c>
      <c r="N5658">
        <v>0</v>
      </c>
      <c r="O5658">
        <v>0.86111280000000001</v>
      </c>
      <c r="P5658">
        <v>0.89521640000000002</v>
      </c>
      <c r="Q5658">
        <v>0.1374582</v>
      </c>
      <c r="R5658">
        <v>0.42390220000000001</v>
      </c>
      <c r="S5658">
        <v>2.8113100000000002</v>
      </c>
      <c r="T5658">
        <v>-0.22607250000000001</v>
      </c>
      <c r="U5658">
        <v>1.219193</v>
      </c>
      <c r="V5658">
        <v>0.56035140000000006</v>
      </c>
      <c r="W5658">
        <v>0.13134309999999999</v>
      </c>
      <c r="X5658">
        <v>0.81777460000000002</v>
      </c>
      <c r="Y5658">
        <v>0.58500399999999997</v>
      </c>
      <c r="Z5658">
        <v>-7.550047E-2</v>
      </c>
      <c r="AA5658">
        <v>0.80750849999999996</v>
      </c>
      <c r="AB5658">
        <v>41</v>
      </c>
      <c r="AC5658">
        <v>13.416699999999899</v>
      </c>
      <c r="AD5658">
        <v>-1.0959148341839999</v>
      </c>
      <c r="AE5658">
        <v>5.5476999999999901</v>
      </c>
      <c r="AF5658">
        <v>8.6857292347146799</v>
      </c>
      <c r="AG5658">
        <v>-1.0959148341839999</v>
      </c>
      <c r="AH5658">
        <v>11.530881940963001</v>
      </c>
      <c r="AI5658">
        <v>94.341253171100405</v>
      </c>
      <c r="AJ5658">
        <v>53.010819963659003</v>
      </c>
      <c r="AK5658">
        <v>14.477712526465901</v>
      </c>
      <c r="AL5658">
        <v>82.452788175793799</v>
      </c>
      <c r="AM5658">
        <v>55.580474115775701</v>
      </c>
      <c r="AN5658">
        <v>0.99999999890236502</v>
      </c>
    </row>
    <row r="5659" spans="1:40" x14ac:dyDescent="0.25">
      <c r="A5659" t="str">
        <f>"20190312164422038"</f>
        <v>20190312164422038</v>
      </c>
      <c r="B5659" t="str">
        <f>"1552380262031003"</f>
        <v>1552380262031003</v>
      </c>
      <c r="C5659" t="s">
        <v>40</v>
      </c>
      <c r="D5659">
        <v>5.3203909999999999</v>
      </c>
      <c r="E5659">
        <v>0.53149309999999905</v>
      </c>
      <c r="F5659" t="s">
        <v>42</v>
      </c>
      <c r="G5659">
        <v>-168.42140000000001</v>
      </c>
      <c r="H5659" s="1">
        <v>-7.4872320000000001E-7</v>
      </c>
      <c r="I5659">
        <v>139.4922</v>
      </c>
      <c r="J5659">
        <v>-177.92009999999999</v>
      </c>
      <c r="K5659">
        <v>1.095372</v>
      </c>
      <c r="L5659">
        <v>135.7704</v>
      </c>
      <c r="M5659">
        <v>0.52131609999999995</v>
      </c>
      <c r="N5659">
        <v>0</v>
      </c>
      <c r="O5659">
        <v>0.85321480000000005</v>
      </c>
      <c r="P5659">
        <v>0.90327610000000003</v>
      </c>
      <c r="Q5659">
        <v>0.13640239999999901</v>
      </c>
      <c r="R5659">
        <v>0.40680070000000002</v>
      </c>
      <c r="S5659">
        <v>2.8368989999999998</v>
      </c>
      <c r="T5659">
        <v>-0.31994119999999998</v>
      </c>
      <c r="U5659">
        <v>1.1897580000000001</v>
      </c>
      <c r="V5659">
        <v>0.5636274</v>
      </c>
      <c r="W5659">
        <v>0.1295509</v>
      </c>
      <c r="X5659">
        <v>0.81580680000000005</v>
      </c>
      <c r="Y5659">
        <v>0.57950009999999996</v>
      </c>
      <c r="Z5659">
        <v>-0.1056518</v>
      </c>
      <c r="AA5659">
        <v>0.80809489999999995</v>
      </c>
      <c r="AB5659">
        <v>41</v>
      </c>
      <c r="AC5659">
        <v>9.4986999999999799</v>
      </c>
      <c r="AD5659">
        <v>-1.0953727487231999</v>
      </c>
      <c r="AE5659">
        <v>3.7218</v>
      </c>
      <c r="AF5659">
        <v>6.0947179600630301</v>
      </c>
      <c r="AG5659">
        <v>-1.0953727487231999</v>
      </c>
      <c r="AH5659">
        <v>8.0357137166824195</v>
      </c>
      <c r="AI5659">
        <v>96.1984930033491</v>
      </c>
      <c r="AJ5659">
        <v>52.821361633456299</v>
      </c>
      <c r="AK5659">
        <v>10.144856992971199</v>
      </c>
      <c r="AL5659">
        <v>82.556358737619306</v>
      </c>
      <c r="AM5659">
        <v>55.360047708056698</v>
      </c>
      <c r="AN5659">
        <v>1.0000000083239</v>
      </c>
    </row>
    <row r="5660" spans="1:40" x14ac:dyDescent="0.25">
      <c r="A5660" t="str">
        <f>"20190312164422060"</f>
        <v>20190312164422060</v>
      </c>
      <c r="B5660" t="str">
        <f>"1552380262050524"</f>
        <v>1552380262050524</v>
      </c>
      <c r="C5660" t="s">
        <v>40</v>
      </c>
      <c r="D5660">
        <v>5.5468469999999996</v>
      </c>
      <c r="E5660">
        <v>0.53078099999999995</v>
      </c>
      <c r="F5660" t="s">
        <v>42</v>
      </c>
      <c r="G5660">
        <v>-168.0907</v>
      </c>
      <c r="H5660" s="1">
        <v>-9.019432E-7</v>
      </c>
      <c r="I5660">
        <v>139.6875</v>
      </c>
      <c r="J5660">
        <v>-177.70079999999999</v>
      </c>
      <c r="K5660">
        <v>1.094876</v>
      </c>
      <c r="L5660">
        <v>136.11359999999999</v>
      </c>
      <c r="M5660">
        <v>0.53444930000000002</v>
      </c>
      <c r="N5660">
        <v>0</v>
      </c>
      <c r="O5660">
        <v>0.84504789999999996</v>
      </c>
      <c r="P5660">
        <v>0.91120120000000004</v>
      </c>
      <c r="Q5660">
        <v>0.13499340000000001</v>
      </c>
      <c r="R5660">
        <v>0.38921620000000001</v>
      </c>
      <c r="S5660">
        <v>2.8566280000000002</v>
      </c>
      <c r="T5660">
        <v>-0.31833899999999998</v>
      </c>
      <c r="U5660">
        <v>1.138382</v>
      </c>
      <c r="V5660">
        <v>0.5671003</v>
      </c>
      <c r="W5660">
        <v>0.12744649999999999</v>
      </c>
      <c r="X5660">
        <v>0.81372880000000003</v>
      </c>
      <c r="Y5660">
        <v>0.58146209999999998</v>
      </c>
      <c r="Z5660">
        <v>-0.10483720000000001</v>
      </c>
      <c r="AA5660">
        <v>0.80679049999999997</v>
      </c>
      <c r="AB5660">
        <v>41</v>
      </c>
      <c r="AC5660">
        <v>9.6100999999999797</v>
      </c>
      <c r="AD5660">
        <v>-1.0948769019432001</v>
      </c>
      <c r="AE5660">
        <v>3.5739000000000001</v>
      </c>
      <c r="AF5660">
        <v>6.1416943789849698</v>
      </c>
      <c r="AG5660">
        <v>-1.0948769019432001</v>
      </c>
      <c r="AH5660">
        <v>8.06531188743784</v>
      </c>
      <c r="AI5660">
        <v>96.164180135422697</v>
      </c>
      <c r="AJ5660">
        <v>52.710910558737403</v>
      </c>
      <c r="AK5660">
        <v>10.196490627510499</v>
      </c>
      <c r="AL5660">
        <v>82.6779395925534</v>
      </c>
      <c r="AM5660">
        <v>55.126757613248003</v>
      </c>
      <c r="AN5660">
        <v>0.999999960285889</v>
      </c>
    </row>
    <row r="5661" spans="1:40" x14ac:dyDescent="0.25">
      <c r="A5661" t="str">
        <f>"20190312164422083"</f>
        <v>20190312164422083</v>
      </c>
      <c r="B5661" t="str">
        <f>"1552380262080780"</f>
        <v>1552380262080780</v>
      </c>
      <c r="C5661" t="s">
        <v>40</v>
      </c>
      <c r="D5661">
        <v>5.2974759999999996</v>
      </c>
      <c r="E5661">
        <v>0.56887889999999997</v>
      </c>
      <c r="F5661" t="s">
        <v>42</v>
      </c>
      <c r="G5661">
        <v>-167.8775</v>
      </c>
      <c r="H5661" s="1">
        <v>-1.039393E-6</v>
      </c>
      <c r="I5661">
        <v>139.8253</v>
      </c>
      <c r="J5661">
        <v>-177.47290000000001</v>
      </c>
      <c r="K5661">
        <v>1.0944069999999999</v>
      </c>
      <c r="L5661">
        <v>136.45769999999999</v>
      </c>
      <c r="M5661">
        <v>0.54798570000000002</v>
      </c>
      <c r="N5661">
        <v>0</v>
      </c>
      <c r="O5661">
        <v>0.83633099999999905</v>
      </c>
      <c r="P5661">
        <v>0.91915550000000001</v>
      </c>
      <c r="Q5661">
        <v>0.133438</v>
      </c>
      <c r="R5661">
        <v>0.3706045</v>
      </c>
      <c r="S5661">
        <v>2.8757169999999999</v>
      </c>
      <c r="T5661">
        <v>-0.32052049999999999</v>
      </c>
      <c r="U5661">
        <v>1.0865940000000001</v>
      </c>
      <c r="V5661">
        <v>0.57081879999999996</v>
      </c>
      <c r="W5661">
        <v>0.1252182</v>
      </c>
      <c r="X5661">
        <v>0.81147170000000002</v>
      </c>
      <c r="Y5661">
        <v>0.58282409999999996</v>
      </c>
      <c r="Z5661">
        <v>-0.1051875</v>
      </c>
      <c r="AA5661">
        <v>0.80576150000000002</v>
      </c>
      <c r="AB5661">
        <v>41</v>
      </c>
      <c r="AC5661">
        <v>9.5954000000000104</v>
      </c>
      <c r="AD5661">
        <v>-1.09440803939299</v>
      </c>
      <c r="AE5661">
        <v>3.3675999999999999</v>
      </c>
      <c r="AF5661">
        <v>6.1095823689281596</v>
      </c>
      <c r="AG5661">
        <v>-1.09440803939299</v>
      </c>
      <c r="AH5661">
        <v>7.9831672469422497</v>
      </c>
      <c r="AI5661">
        <v>96.213118858040701</v>
      </c>
      <c r="AJ5661">
        <v>52.572878040448998</v>
      </c>
      <c r="AK5661">
        <v>10.1121553079478</v>
      </c>
      <c r="AL5661">
        <v>82.806643345795905</v>
      </c>
      <c r="AM5661">
        <v>54.8760480236852</v>
      </c>
      <c r="AN5661">
        <v>1.0000000099727799</v>
      </c>
    </row>
    <row r="5662" spans="1:40" x14ac:dyDescent="0.25">
      <c r="A5662" t="str">
        <f>"20190312164422106"</f>
        <v>20190312164422106</v>
      </c>
      <c r="B5662" t="str">
        <f>"1552380262100303"</f>
        <v>1552380262100303</v>
      </c>
      <c r="C5662" t="s">
        <v>40</v>
      </c>
      <c r="D5662">
        <v>5.1830980000000002</v>
      </c>
      <c r="E5662">
        <v>0.56770159999999903</v>
      </c>
      <c r="F5662" t="s">
        <v>42</v>
      </c>
      <c r="G5662">
        <v>-167.71099999999899</v>
      </c>
      <c r="H5662" s="1">
        <v>-1.194878E-6</v>
      </c>
      <c r="I5662">
        <v>138.8699</v>
      </c>
      <c r="J5662">
        <v>-177.23410000000001</v>
      </c>
      <c r="K5662">
        <v>1.093955</v>
      </c>
      <c r="L5662">
        <v>136.80629999999999</v>
      </c>
      <c r="M5662">
        <v>0.56201099999999904</v>
      </c>
      <c r="N5662">
        <v>0</v>
      </c>
      <c r="O5662">
        <v>0.8269687</v>
      </c>
      <c r="P5662">
        <v>0.92675949999999996</v>
      </c>
      <c r="Q5662">
        <v>0.13026309999999999</v>
      </c>
      <c r="R5662">
        <v>0.35234690000000002</v>
      </c>
      <c r="S5662">
        <v>3.0127410000000001</v>
      </c>
      <c r="T5662">
        <v>-0.33775899999999998</v>
      </c>
      <c r="U5662">
        <v>0.74444580000000005</v>
      </c>
      <c r="V5662">
        <v>0.57357009999999997</v>
      </c>
      <c r="W5662">
        <v>0.1214515</v>
      </c>
      <c r="X5662">
        <v>0.81010300000000002</v>
      </c>
      <c r="Y5662">
        <v>0.66104350000000001</v>
      </c>
      <c r="Z5662">
        <v>-0.1127061</v>
      </c>
      <c r="AA5662">
        <v>0.74183480000000002</v>
      </c>
      <c r="AB5662">
        <v>41</v>
      </c>
      <c r="AC5662">
        <v>9.5231000000000208</v>
      </c>
      <c r="AD5662">
        <v>-1.0939561948780001</v>
      </c>
      <c r="AE5662">
        <v>2.0636000000000001</v>
      </c>
      <c r="AF5662">
        <v>6.6328330116713401</v>
      </c>
      <c r="AG5662">
        <v>-1.0939561948780001</v>
      </c>
      <c r="AH5662">
        <v>6.971687572075</v>
      </c>
      <c r="AI5662">
        <v>96.485733730852601</v>
      </c>
      <c r="AJ5662">
        <v>46.426799471004898</v>
      </c>
      <c r="AK5662">
        <v>9.6848149966663808</v>
      </c>
      <c r="AL5662">
        <v>83.024119820916695</v>
      </c>
      <c r="AM5662">
        <v>54.700697059897301</v>
      </c>
      <c r="AN5662">
        <v>0.99999999853763</v>
      </c>
    </row>
    <row r="5663" spans="1:40" x14ac:dyDescent="0.25">
      <c r="A5663" t="str">
        <f>"20190312164422128"</f>
        <v>20190312164422128</v>
      </c>
      <c r="B5663" t="str">
        <f>"1552380262120798"</f>
        <v>1552380262120798</v>
      </c>
      <c r="C5663" t="s">
        <v>40</v>
      </c>
      <c r="D5663">
        <v>5.0800850000000004</v>
      </c>
      <c r="E5663">
        <v>0.56541919999999901</v>
      </c>
      <c r="F5663" t="s">
        <v>42</v>
      </c>
      <c r="G5663">
        <v>-162.60159999999999</v>
      </c>
      <c r="H5663" s="1">
        <v>-3.5928390000000002E-6</v>
      </c>
      <c r="I5663">
        <v>140.0489</v>
      </c>
      <c r="J5663">
        <v>-176.98759999999999</v>
      </c>
      <c r="K5663">
        <v>1.09354</v>
      </c>
      <c r="L5663">
        <v>137.15369999999999</v>
      </c>
      <c r="M5663">
        <v>0.57625669999999996</v>
      </c>
      <c r="N5663">
        <v>0</v>
      </c>
      <c r="O5663">
        <v>0.81710319999999903</v>
      </c>
      <c r="P5663">
        <v>0.93339050000000001</v>
      </c>
      <c r="Q5663">
        <v>0.12743699999999999</v>
      </c>
      <c r="R5663">
        <v>0.33547290000000002</v>
      </c>
      <c r="S5663">
        <v>3.0147710000000001</v>
      </c>
      <c r="T5663">
        <v>-0.2253917</v>
      </c>
      <c r="U5663">
        <v>0.66809079999999998</v>
      </c>
      <c r="V5663">
        <v>0.57455310000000004</v>
      </c>
      <c r="W5663">
        <v>0.118168</v>
      </c>
      <c r="X5663">
        <v>0.80989199999999995</v>
      </c>
      <c r="Y5663">
        <v>0.6699408</v>
      </c>
      <c r="Z5663">
        <v>-7.5703229999999996E-2</v>
      </c>
      <c r="AA5663">
        <v>0.73854469999999905</v>
      </c>
      <c r="AB5663">
        <v>41</v>
      </c>
      <c r="AC5663">
        <v>14.3859999999999</v>
      </c>
      <c r="AD5663">
        <v>-1.0935435928389901</v>
      </c>
      <c r="AE5663">
        <v>2.8952000000000102</v>
      </c>
      <c r="AF5663">
        <v>10.032121965824899</v>
      </c>
      <c r="AG5663">
        <v>-1.0935435928389901</v>
      </c>
      <c r="AH5663">
        <v>10.5982927243746</v>
      </c>
      <c r="AI5663">
        <v>94.285400240142394</v>
      </c>
      <c r="AJ5663">
        <v>46.572002080481496</v>
      </c>
      <c r="AK5663">
        <v>14.6343130142196</v>
      </c>
      <c r="AL5663">
        <v>83.213615550089301</v>
      </c>
      <c r="AM5663">
        <v>54.647370896844798</v>
      </c>
      <c r="AN5663">
        <v>0.99999999630380498</v>
      </c>
    </row>
    <row r="5664" spans="1:40" x14ac:dyDescent="0.25">
      <c r="A5664" t="str">
        <f>"20190312164422150"</f>
        <v>20190312164422150</v>
      </c>
      <c r="B5664" t="str">
        <f>"1552380262140315"</f>
        <v>1552380262140315</v>
      </c>
      <c r="C5664" t="s">
        <v>40</v>
      </c>
      <c r="D5664">
        <v>5.0211629999999996</v>
      </c>
      <c r="E5664">
        <v>0.56797059999999999</v>
      </c>
      <c r="F5664" t="s">
        <v>42</v>
      </c>
      <c r="G5664">
        <v>-163.29050000000001</v>
      </c>
      <c r="H5664" s="1">
        <v>-3.2560599999999998E-6</v>
      </c>
      <c r="I5664">
        <v>140.00700000000001</v>
      </c>
      <c r="J5664">
        <v>-176.74860000000001</v>
      </c>
      <c r="K5664">
        <v>1.0931900000000001</v>
      </c>
      <c r="L5664">
        <v>137.4794</v>
      </c>
      <c r="M5664">
        <v>0.58982349999999995</v>
      </c>
      <c r="N5664">
        <v>0</v>
      </c>
      <c r="O5664">
        <v>0.80736219999999903</v>
      </c>
      <c r="P5664">
        <v>0.93883099999999997</v>
      </c>
      <c r="Q5664">
        <v>0.12546280000000001</v>
      </c>
      <c r="R5664">
        <v>0.32071119999999997</v>
      </c>
      <c r="S5664">
        <v>3.0208279999999998</v>
      </c>
      <c r="T5664">
        <v>-0.24117540000000001</v>
      </c>
      <c r="U5664">
        <v>0.62927250000000001</v>
      </c>
      <c r="V5664">
        <v>0.57402769999999903</v>
      </c>
      <c r="W5664">
        <v>0.11587409999999999</v>
      </c>
      <c r="X5664">
        <v>0.81059579999999998</v>
      </c>
      <c r="Y5664">
        <v>0.6665025</v>
      </c>
      <c r="Z5664">
        <v>-8.0572050000000006E-2</v>
      </c>
      <c r="AA5664">
        <v>0.74113600000000002</v>
      </c>
      <c r="AB5664">
        <v>41</v>
      </c>
      <c r="AC5664">
        <v>13.4581</v>
      </c>
      <c r="AD5664">
        <v>-1.09319325606</v>
      </c>
      <c r="AE5664">
        <v>2.5276000000000001</v>
      </c>
      <c r="AF5664">
        <v>9.3166317369220994</v>
      </c>
      <c r="AG5664">
        <v>-1.09319325606</v>
      </c>
      <c r="AH5664">
        <v>9.9167587864168194</v>
      </c>
      <c r="AI5664">
        <v>94.593413858096696</v>
      </c>
      <c r="AJ5664">
        <v>46.787183322352703</v>
      </c>
      <c r="AK5664">
        <v>13.6505239183151</v>
      </c>
      <c r="AL5664">
        <v>83.345956174825304</v>
      </c>
      <c r="AM5664">
        <v>54.695580202991799</v>
      </c>
      <c r="AN5664">
        <v>1.00000007919786</v>
      </c>
    </row>
    <row r="5665" spans="1:40" x14ac:dyDescent="0.25">
      <c r="A5665" t="str">
        <f>"20190312164422172"</f>
        <v>20190312164422172</v>
      </c>
      <c r="B5665" t="str">
        <f>"1552380262160812"</f>
        <v>1552380262160812</v>
      </c>
      <c r="C5665" t="s">
        <v>40</v>
      </c>
      <c r="D5665">
        <v>5.1039949999999896</v>
      </c>
      <c r="E5665">
        <v>0.56662860000000004</v>
      </c>
      <c r="F5665" t="s">
        <v>42</v>
      </c>
      <c r="G5665">
        <v>-164.21430000000001</v>
      </c>
      <c r="H5665" s="1">
        <v>-2.7637969999999998E-6</v>
      </c>
      <c r="I5665">
        <v>139.79820000000001</v>
      </c>
      <c r="J5665">
        <v>-176.5051</v>
      </c>
      <c r="K5665">
        <v>1.09287</v>
      </c>
      <c r="L5665">
        <v>137.8005</v>
      </c>
      <c r="M5665">
        <v>0.60338329999999996</v>
      </c>
      <c r="N5665">
        <v>0</v>
      </c>
      <c r="O5665">
        <v>0.79727680000000001</v>
      </c>
      <c r="P5665">
        <v>0.94391789999999998</v>
      </c>
      <c r="Q5665">
        <v>0.1243688</v>
      </c>
      <c r="R5665">
        <v>0.30586200000000002</v>
      </c>
      <c r="S5665">
        <v>3.038834</v>
      </c>
      <c r="T5665">
        <v>-0.26503490000000002</v>
      </c>
      <c r="U5665">
        <v>0.56216429999999995</v>
      </c>
      <c r="V5665">
        <v>0.57326899999999903</v>
      </c>
      <c r="W5665">
        <v>0.1145099</v>
      </c>
      <c r="X5665">
        <v>0.8113262</v>
      </c>
      <c r="Y5665">
        <v>0.66981880000000005</v>
      </c>
      <c r="Z5665">
        <v>-8.8093279999999996E-2</v>
      </c>
      <c r="AA5665">
        <v>0.73728039999999995</v>
      </c>
      <c r="AB5665">
        <v>41</v>
      </c>
      <c r="AC5665">
        <v>12.2907999999999</v>
      </c>
      <c r="AD5665">
        <v>-1.0928727637969999</v>
      </c>
      <c r="AE5665">
        <v>1.9977</v>
      </c>
      <c r="AF5665">
        <v>8.5292866409926908</v>
      </c>
      <c r="AG5665">
        <v>-1.0928727637969999</v>
      </c>
      <c r="AH5665">
        <v>8.94116419633154</v>
      </c>
      <c r="AI5665">
        <v>95.054217482441999</v>
      </c>
      <c r="AJ5665">
        <v>46.350536119491899</v>
      </c>
      <c r="AK5665">
        <v>12.405140816122399</v>
      </c>
      <c r="AL5665">
        <v>83.424642571510404</v>
      </c>
      <c r="AM5665">
        <v>54.755636373817403</v>
      </c>
      <c r="AN5665">
        <v>1.0000000331827199</v>
      </c>
    </row>
    <row r="5666" spans="1:40" x14ac:dyDescent="0.25">
      <c r="A5666" t="str">
        <f>"20190312164422194"</f>
        <v>20190312164422194</v>
      </c>
      <c r="B5666" t="str">
        <f>"1552380262191068"</f>
        <v>1552380262191068</v>
      </c>
      <c r="C5666" t="s">
        <v>40</v>
      </c>
      <c r="D5666">
        <v>4.9331659999999999</v>
      </c>
      <c r="E5666">
        <v>0.56641249999999999</v>
      </c>
      <c r="F5666" t="s">
        <v>42</v>
      </c>
      <c r="G5666">
        <v>-165.11699999999999</v>
      </c>
      <c r="H5666" s="1">
        <v>-2.3315060000000002E-6</v>
      </c>
      <c r="I5666">
        <v>139.77719999999999</v>
      </c>
      <c r="J5666">
        <v>-176.24680000000001</v>
      </c>
      <c r="K5666">
        <v>1.0925640000000001</v>
      </c>
      <c r="L5666">
        <v>138.12979999999999</v>
      </c>
      <c r="M5666">
        <v>0.61745190000000005</v>
      </c>
      <c r="N5666">
        <v>0</v>
      </c>
      <c r="O5666">
        <v>0.7864293</v>
      </c>
      <c r="P5666">
        <v>0.94935230000000004</v>
      </c>
      <c r="Q5666">
        <v>0.121805</v>
      </c>
      <c r="R5666">
        <v>0.28964420000000002</v>
      </c>
      <c r="S5666">
        <v>3.0454560000000002</v>
      </c>
      <c r="T5666">
        <v>-0.29226059999999998</v>
      </c>
      <c r="U5666">
        <v>0.52861020000000003</v>
      </c>
      <c r="V5666">
        <v>0.57298899999999997</v>
      </c>
      <c r="W5666">
        <v>0.11167630000000001</v>
      </c>
      <c r="X5666">
        <v>0.81191869999999999</v>
      </c>
      <c r="Y5666">
        <v>0.66389770000000004</v>
      </c>
      <c r="Z5666">
        <v>-9.6305829999999995E-2</v>
      </c>
      <c r="AA5666">
        <v>0.74159629999999999</v>
      </c>
      <c r="AB5666">
        <v>41</v>
      </c>
      <c r="AC5666">
        <v>11.1297999999999</v>
      </c>
      <c r="AD5666">
        <v>-1.0925663315059999</v>
      </c>
      <c r="AE5666">
        <v>1.6474</v>
      </c>
      <c r="AF5666">
        <v>7.6644268885877</v>
      </c>
      <c r="AG5666">
        <v>-1.0925663315059999</v>
      </c>
      <c r="AH5666">
        <v>8.0925201772276996</v>
      </c>
      <c r="AI5666">
        <v>95.598451384766904</v>
      </c>
      <c r="AJ5666">
        <v>46.556259998362997</v>
      </c>
      <c r="AK5666">
        <v>11.199376033426301</v>
      </c>
      <c r="AL5666">
        <v>83.588043940008902</v>
      </c>
      <c r="AM5666">
        <v>54.788534360807297</v>
      </c>
      <c r="AN5666">
        <v>0.99999998275618995</v>
      </c>
    </row>
    <row r="5667" spans="1:40" x14ac:dyDescent="0.25">
      <c r="A5667" t="str">
        <f>"20190312164422208"</f>
        <v>20190312164422208</v>
      </c>
      <c r="B5667" t="str">
        <f>"1552380262200828"</f>
        <v>1552380262200828</v>
      </c>
      <c r="C5667" t="s">
        <v>40</v>
      </c>
      <c r="D5667">
        <v>5.0026970000000004</v>
      </c>
      <c r="E5667">
        <v>0.56622340000000004</v>
      </c>
      <c r="F5667" t="s">
        <v>42</v>
      </c>
      <c r="G5667">
        <v>-165.38079999999999</v>
      </c>
      <c r="H5667" s="1">
        <v>-2.2229930000000002E-6</v>
      </c>
      <c r="I5667">
        <v>139.8381</v>
      </c>
      <c r="J5667">
        <v>-176.08240000000001</v>
      </c>
      <c r="K5667">
        <v>1.092395</v>
      </c>
      <c r="L5667">
        <v>138.33340000000001</v>
      </c>
      <c r="M5667">
        <v>0.62623070000000003</v>
      </c>
      <c r="N5667">
        <v>0</v>
      </c>
      <c r="O5667">
        <v>0.77945549999999997</v>
      </c>
      <c r="P5667">
        <v>0.95261669999999998</v>
      </c>
      <c r="Q5667">
        <v>0.1203171</v>
      </c>
      <c r="R5667">
        <v>0.279366</v>
      </c>
      <c r="S5667">
        <v>3.0529790000000001</v>
      </c>
      <c r="T5667">
        <v>-0.30697560000000002</v>
      </c>
      <c r="U5667">
        <v>0.47998049999999998</v>
      </c>
      <c r="V5667">
        <v>0.57278980000000002</v>
      </c>
      <c r="W5667">
        <v>0.1100394</v>
      </c>
      <c r="X5667">
        <v>0.81228259999999997</v>
      </c>
      <c r="Y5667">
        <v>0.66679129999999998</v>
      </c>
      <c r="Z5667">
        <v>-0.1009287</v>
      </c>
      <c r="AA5667">
        <v>0.73837849999999905</v>
      </c>
      <c r="AB5667">
        <v>41</v>
      </c>
      <c r="AC5667">
        <v>10.701599999999999</v>
      </c>
      <c r="AD5667">
        <v>-1.0923972229929999</v>
      </c>
      <c r="AE5667">
        <v>1.5046999999999799</v>
      </c>
      <c r="AF5667">
        <v>7.3253338902586203</v>
      </c>
      <c r="AG5667">
        <v>-1.0923972229929999</v>
      </c>
      <c r="AH5667">
        <v>7.7959779768072801</v>
      </c>
      <c r="AI5667">
        <v>95.830632821471895</v>
      </c>
      <c r="AJ5667">
        <v>46.7827300614507</v>
      </c>
      <c r="AK5667">
        <v>10.753191196637299</v>
      </c>
      <c r="AL5667">
        <v>83.682412703245703</v>
      </c>
      <c r="AM5667">
        <v>54.8100117944674</v>
      </c>
      <c r="AN5667">
        <v>0.999999923399577</v>
      </c>
    </row>
    <row r="5668" spans="1:40" x14ac:dyDescent="0.25">
      <c r="A5668" t="str">
        <f>"20190312164422220"</f>
        <v>20190312164422220</v>
      </c>
      <c r="B5668" t="str">
        <f>"1552380262210588"</f>
        <v>1552380262210588</v>
      </c>
      <c r="C5668" t="s">
        <v>40</v>
      </c>
      <c r="D5668">
        <v>4.8853140000000002</v>
      </c>
      <c r="E5668">
        <v>0.56565730000000003</v>
      </c>
      <c r="F5668" t="s">
        <v>42</v>
      </c>
      <c r="G5668">
        <v>-165.428</v>
      </c>
      <c r="H5668" s="1">
        <v>-2.2165869999999999E-6</v>
      </c>
      <c r="I5668">
        <v>139.89779999999999</v>
      </c>
      <c r="J5668">
        <v>-175.94470000000001</v>
      </c>
      <c r="K5668">
        <v>1.0922559999999999</v>
      </c>
      <c r="L5668">
        <v>138.50149999999999</v>
      </c>
      <c r="M5668">
        <v>0.633488099999999</v>
      </c>
      <c r="N5668">
        <v>0</v>
      </c>
      <c r="O5668">
        <v>0.77356759999999902</v>
      </c>
      <c r="P5668">
        <v>0.95507450000000005</v>
      </c>
      <c r="Q5668">
        <v>0.1192696</v>
      </c>
      <c r="R5668">
        <v>0.27130729999999997</v>
      </c>
      <c r="S5668">
        <v>3.057159</v>
      </c>
      <c r="T5668">
        <v>-0.31345220000000001</v>
      </c>
      <c r="U5668">
        <v>0.44891360000000002</v>
      </c>
      <c r="V5668">
        <v>0.57215169999999904</v>
      </c>
      <c r="W5668">
        <v>0.1089005</v>
      </c>
      <c r="X5668">
        <v>0.81288570000000004</v>
      </c>
      <c r="Y5668">
        <v>0.66710659999999999</v>
      </c>
      <c r="Z5668">
        <v>-0.10276879999999999</v>
      </c>
      <c r="AA5668">
        <v>0.73783969999999999</v>
      </c>
      <c r="AB5668">
        <v>40</v>
      </c>
      <c r="AC5668">
        <v>10.5167</v>
      </c>
      <c r="AD5668">
        <v>-1.0922582165869901</v>
      </c>
      <c r="AE5668">
        <v>1.3962999999999901</v>
      </c>
      <c r="AF5668">
        <v>7.1758129575205096</v>
      </c>
      <c r="AG5668">
        <v>-1.0922582165869901</v>
      </c>
      <c r="AH5668">
        <v>7.6622251205545302</v>
      </c>
      <c r="AI5668">
        <v>95.940094409450694</v>
      </c>
      <c r="AJ5668">
        <v>46.877565438006002</v>
      </c>
      <c r="AK5668">
        <v>10.554383611138899</v>
      </c>
      <c r="AL5668">
        <v>83.748062048514598</v>
      </c>
      <c r="AM5668">
        <v>54.860102294828003</v>
      </c>
      <c r="AN5668">
        <v>1.00000002398881</v>
      </c>
    </row>
    <row r="5669" spans="1:40" x14ac:dyDescent="0.25">
      <c r="A5669" t="str">
        <f>"20190312164422238"</f>
        <v>20190312164422238</v>
      </c>
      <c r="B5669" t="str">
        <f>"1552380262231087"</f>
        <v>1552380262231087</v>
      </c>
      <c r="C5669" t="s">
        <v>40</v>
      </c>
      <c r="D5669">
        <v>4.9565210000000004</v>
      </c>
      <c r="E5669">
        <v>0.56483760000000005</v>
      </c>
      <c r="F5669" t="s">
        <v>42</v>
      </c>
      <c r="G5669">
        <v>-165.48249999999999</v>
      </c>
      <c r="H5669" s="1">
        <v>-2.208328E-6</v>
      </c>
      <c r="I5669">
        <v>139.96360000000001</v>
      </c>
      <c r="J5669">
        <v>-175.72620000000001</v>
      </c>
      <c r="K5669">
        <v>1.0920609999999999</v>
      </c>
      <c r="L5669">
        <v>138.7602</v>
      </c>
      <c r="M5669">
        <v>0.64477369999999901</v>
      </c>
      <c r="N5669">
        <v>0</v>
      </c>
      <c r="O5669">
        <v>0.76418459999999999</v>
      </c>
      <c r="P5669">
        <v>0.95869170000000004</v>
      </c>
      <c r="Q5669">
        <v>0.1168266</v>
      </c>
      <c r="R5669">
        <v>0.25934940000000001</v>
      </c>
      <c r="S5669">
        <v>3.0595400000000001</v>
      </c>
      <c r="T5669">
        <v>-0.3194187</v>
      </c>
      <c r="U5669">
        <v>0.427597</v>
      </c>
      <c r="V5669">
        <v>0.57055059999999902</v>
      </c>
      <c r="W5669">
        <v>0.1063723</v>
      </c>
      <c r="X5669">
        <v>0.81434459999999997</v>
      </c>
      <c r="Y5669">
        <v>0.66114410000000001</v>
      </c>
      <c r="Z5669">
        <v>-0.10391350000000001</v>
      </c>
      <c r="AA5669">
        <v>0.74302789999999996</v>
      </c>
      <c r="AB5669">
        <v>40</v>
      </c>
      <c r="AC5669">
        <v>10.2437</v>
      </c>
      <c r="AD5669">
        <v>-1.092063208328</v>
      </c>
      <c r="AE5669">
        <v>1.20340000000001</v>
      </c>
      <c r="AF5669">
        <v>6.9749817818796398</v>
      </c>
      <c r="AG5669">
        <v>-1.092063208328</v>
      </c>
      <c r="AH5669">
        <v>7.4421438061090903</v>
      </c>
      <c r="AI5669">
        <v>96.1112146545847</v>
      </c>
      <c r="AJ5669">
        <v>46.855921284515198</v>
      </c>
      <c r="AK5669">
        <v>10.258093260413601</v>
      </c>
      <c r="AL5669">
        <v>83.8937641619235</v>
      </c>
      <c r="AM5669">
        <v>54.983933825833901</v>
      </c>
      <c r="AN5669">
        <v>1.0000000904584001</v>
      </c>
    </row>
    <row r="5670" spans="1:40" x14ac:dyDescent="0.25">
      <c r="A5670" t="str">
        <f>"20190312164422254"</f>
        <v>20190312164422254</v>
      </c>
      <c r="B5670" t="str">
        <f>"1552380262250604"</f>
        <v>1552380262250604</v>
      </c>
      <c r="C5670" t="s">
        <v>40</v>
      </c>
      <c r="D5670">
        <v>4.9597540000000002</v>
      </c>
      <c r="E5670">
        <v>0.56453819999999999</v>
      </c>
      <c r="F5670" t="s">
        <v>42</v>
      </c>
      <c r="G5670">
        <v>-165.5444</v>
      </c>
      <c r="H5670" s="1">
        <v>-2.2069649999999999E-6</v>
      </c>
      <c r="I5670">
        <v>140.0684</v>
      </c>
      <c r="J5670">
        <v>-175.5412</v>
      </c>
      <c r="K5670">
        <v>1.0919099999999999</v>
      </c>
      <c r="L5670">
        <v>138.9734</v>
      </c>
      <c r="M5670">
        <v>0.65412959999999998</v>
      </c>
      <c r="N5670">
        <v>0</v>
      </c>
      <c r="O5670">
        <v>0.75619009999999998</v>
      </c>
      <c r="P5670">
        <v>0.96163659999999995</v>
      </c>
      <c r="Q5670">
        <v>0.1161261</v>
      </c>
      <c r="R5670">
        <v>0.2485359</v>
      </c>
      <c r="S5670">
        <v>3.0628199999999999</v>
      </c>
      <c r="T5670">
        <v>-0.32850689999999999</v>
      </c>
      <c r="U5670">
        <v>0.39352419999999999</v>
      </c>
      <c r="V5670">
        <v>0.56976850000000001</v>
      </c>
      <c r="W5670">
        <v>0.1055857</v>
      </c>
      <c r="X5670">
        <v>0.814994199999999</v>
      </c>
      <c r="Y5670">
        <v>0.65984030000000005</v>
      </c>
      <c r="Z5670">
        <v>-0.1063598</v>
      </c>
      <c r="AA5670">
        <v>0.74384030000000001</v>
      </c>
      <c r="AB5670">
        <v>40</v>
      </c>
      <c r="AC5670">
        <v>9.9968000000000004</v>
      </c>
      <c r="AD5670">
        <v>-1.091912206965</v>
      </c>
      <c r="AE5670">
        <v>1.09499999999999</v>
      </c>
      <c r="AF5670">
        <v>6.7644595466088902</v>
      </c>
      <c r="AG5670">
        <v>-1.091912206965</v>
      </c>
      <c r="AH5670">
        <v>7.2824509173596201</v>
      </c>
      <c r="AI5670">
        <v>96.269189958547997</v>
      </c>
      <c r="AJ5670">
        <v>47.1118720572535</v>
      </c>
      <c r="AK5670">
        <v>9.9992137985533294</v>
      </c>
      <c r="AL5670">
        <v>83.939087807796497</v>
      </c>
      <c r="AM5670">
        <v>55.042316704496002</v>
      </c>
      <c r="AN5670">
        <v>1.00000001483519</v>
      </c>
    </row>
    <row r="5671" spans="1:40" x14ac:dyDescent="0.25">
      <c r="A5671" t="str">
        <f>"20190312164422267"</f>
        <v>20190312164422267</v>
      </c>
      <c r="B5671" t="str">
        <f>"1552380262261341"</f>
        <v>1552380262261341</v>
      </c>
      <c r="C5671" t="s">
        <v>40</v>
      </c>
      <c r="D5671">
        <v>4.8100430000000003</v>
      </c>
      <c r="E5671">
        <v>0.55308819999999903</v>
      </c>
      <c r="F5671" t="s">
        <v>42</v>
      </c>
      <c r="G5671">
        <v>-165.2927</v>
      </c>
      <c r="H5671" s="1">
        <v>-2.3545099999999999E-6</v>
      </c>
      <c r="I5671">
        <v>140.17570000000001</v>
      </c>
      <c r="J5671">
        <v>-175.392</v>
      </c>
      <c r="K5671">
        <v>1.0917950000000001</v>
      </c>
      <c r="L5671">
        <v>139.1422</v>
      </c>
      <c r="M5671">
        <v>0.66155069999999905</v>
      </c>
      <c r="N5671">
        <v>0</v>
      </c>
      <c r="O5671">
        <v>0.74970530000000002</v>
      </c>
      <c r="P5671">
        <v>0.9638601</v>
      </c>
      <c r="Q5671">
        <v>0.11554399999999999</v>
      </c>
      <c r="R5671">
        <v>0.2400494</v>
      </c>
      <c r="S5671">
        <v>3.0661619999999998</v>
      </c>
      <c r="T5671">
        <v>-0.32667879999999999</v>
      </c>
      <c r="U5671">
        <v>0.35971069999999999</v>
      </c>
      <c r="V5671">
        <v>0.56897299999999995</v>
      </c>
      <c r="W5671">
        <v>0.10495210000000001</v>
      </c>
      <c r="X5671">
        <v>0.81563160000000001</v>
      </c>
      <c r="Y5671">
        <v>0.66075119999999998</v>
      </c>
      <c r="Z5671">
        <v>-0.1054633</v>
      </c>
      <c r="AA5671">
        <v>0.74315900000000001</v>
      </c>
      <c r="AB5671">
        <v>40</v>
      </c>
      <c r="AC5671">
        <v>10.099299999999999</v>
      </c>
      <c r="AD5671">
        <v>-1.0917973545099999</v>
      </c>
      <c r="AE5671">
        <v>1.0335000000000001</v>
      </c>
      <c r="AF5671">
        <v>6.8100303936879598</v>
      </c>
      <c r="AG5671">
        <v>-1.0917973545099999</v>
      </c>
      <c r="AH5671">
        <v>7.3718489750571301</v>
      </c>
      <c r="AI5671">
        <v>96.208701877552997</v>
      </c>
      <c r="AJ5671">
        <v>47.2685999042397</v>
      </c>
      <c r="AK5671">
        <v>10.0951816594511</v>
      </c>
      <c r="AL5671">
        <v>83.975593533571399</v>
      </c>
      <c r="AM5671">
        <v>55.100920724127697</v>
      </c>
      <c r="AN5671">
        <v>1.0000000624709799</v>
      </c>
    </row>
    <row r="5672" spans="1:40" x14ac:dyDescent="0.25">
      <c r="A5672" t="str">
        <f>"20190312164422296"</f>
        <v>20190312164422296</v>
      </c>
      <c r="B5672" t="str">
        <f>"1552380262290623"</f>
        <v>1552380262290623</v>
      </c>
      <c r="C5672" t="s">
        <v>40</v>
      </c>
      <c r="D5672">
        <v>4.8240350000000003</v>
      </c>
      <c r="E5672">
        <v>0.55417859999999997</v>
      </c>
      <c r="F5672" t="s">
        <v>42</v>
      </c>
      <c r="G5672">
        <v>-161.4477</v>
      </c>
      <c r="H5672" s="1">
        <v>-4.3927210000000003E-6</v>
      </c>
      <c r="I5672">
        <v>141.0051</v>
      </c>
      <c r="J5672">
        <v>-175.0394</v>
      </c>
      <c r="K5672">
        <v>1.091558</v>
      </c>
      <c r="L5672">
        <v>139.52860000000001</v>
      </c>
      <c r="M5672">
        <v>0.67861470000000002</v>
      </c>
      <c r="N5672">
        <v>0</v>
      </c>
      <c r="O5672">
        <v>0.73429259999999996</v>
      </c>
      <c r="P5672">
        <v>0.96837470000000003</v>
      </c>
      <c r="Q5672">
        <v>0.11406860000000001</v>
      </c>
      <c r="R5672">
        <v>0.22189829999999999</v>
      </c>
      <c r="S5672">
        <v>3.0398860000000001</v>
      </c>
      <c r="T5672">
        <v>-0.23801520000000001</v>
      </c>
      <c r="U5672">
        <v>0.40611269999999999</v>
      </c>
      <c r="V5672">
        <v>0.56565189999999999</v>
      </c>
      <c r="W5672">
        <v>0.103469699999999</v>
      </c>
      <c r="X5672">
        <v>0.8181271</v>
      </c>
      <c r="Y5672">
        <v>0.634459</v>
      </c>
      <c r="Z5672">
        <v>-7.5723719999999994E-2</v>
      </c>
      <c r="AA5672">
        <v>0.76923839999999999</v>
      </c>
      <c r="AB5672">
        <v>40</v>
      </c>
      <c r="AC5672">
        <v>13.591699999999999</v>
      </c>
      <c r="AD5672">
        <v>-1.0915623927210001</v>
      </c>
      <c r="AE5672">
        <v>1.4764999999999799</v>
      </c>
      <c r="AF5672">
        <v>8.9227620689046994</v>
      </c>
      <c r="AG5672">
        <v>-1.0915623927210001</v>
      </c>
      <c r="AH5672">
        <v>10.2439374947513</v>
      </c>
      <c r="AI5672">
        <v>94.593857495409694</v>
      </c>
      <c r="AJ5672">
        <v>48.943204976314597</v>
      </c>
      <c r="AK5672">
        <v>13.6288461284093</v>
      </c>
      <c r="AL5672">
        <v>84.060993420583699</v>
      </c>
      <c r="AM5672">
        <v>55.340073861895299</v>
      </c>
      <c r="AN5672">
        <v>1.0000000012730501</v>
      </c>
    </row>
    <row r="5673" spans="1:40" x14ac:dyDescent="0.25">
      <c r="A5673" t="str">
        <f>"20190312164422312"</f>
        <v>20190312164422312</v>
      </c>
      <c r="B5673" t="str">
        <f>"1552380262301356"</f>
        <v>1552380262301356</v>
      </c>
      <c r="C5673" t="s">
        <v>40</v>
      </c>
      <c r="D5673">
        <v>4.8238649999999996</v>
      </c>
      <c r="E5673">
        <v>0.55405579999999999</v>
      </c>
      <c r="F5673" t="s">
        <v>42</v>
      </c>
      <c r="G5673">
        <v>-160.14869999999999</v>
      </c>
      <c r="H5673" s="1">
        <v>-4.9299930000000003E-6</v>
      </c>
      <c r="I5673">
        <v>141.1712</v>
      </c>
      <c r="J5673">
        <v>-174.8364</v>
      </c>
      <c r="K5673">
        <v>1.0914459999999999</v>
      </c>
      <c r="L5673">
        <v>139.7432</v>
      </c>
      <c r="M5673">
        <v>0.68813570000000002</v>
      </c>
      <c r="N5673">
        <v>0</v>
      </c>
      <c r="O5673">
        <v>0.72537620000000003</v>
      </c>
      <c r="P5673">
        <v>0.97088609999999997</v>
      </c>
      <c r="Q5673">
        <v>0.11400680000000001</v>
      </c>
      <c r="R5673">
        <v>0.210672</v>
      </c>
      <c r="S5673">
        <v>3.047256</v>
      </c>
      <c r="T5673">
        <v>-0.22337960000000001</v>
      </c>
      <c r="U5673">
        <v>0.33615109999999998</v>
      </c>
      <c r="V5673">
        <v>0.56447950000000002</v>
      </c>
      <c r="W5673">
        <v>0.1033805</v>
      </c>
      <c r="X5673">
        <v>0.81894769999999995</v>
      </c>
      <c r="Y5673">
        <v>0.64244259999999997</v>
      </c>
      <c r="Z5673">
        <v>-7.1003629999999998E-2</v>
      </c>
      <c r="AA5673">
        <v>0.76303730000000003</v>
      </c>
      <c r="AB5673">
        <v>40</v>
      </c>
      <c r="AC5673">
        <v>14.6877</v>
      </c>
      <c r="AD5673">
        <v>-1.091450929993</v>
      </c>
      <c r="AE5673">
        <v>1.4279999999999899</v>
      </c>
      <c r="AF5673">
        <v>9.6202684202922395</v>
      </c>
      <c r="AG5673">
        <v>-1.091450929993</v>
      </c>
      <c r="AH5673">
        <v>11.083998774163099</v>
      </c>
      <c r="AI5673">
        <v>94.253051857333801</v>
      </c>
      <c r="AJ5673">
        <v>49.043913572007199</v>
      </c>
      <c r="AK5673">
        <v>14.717196011357</v>
      </c>
      <c r="AL5673">
        <v>84.066131659986794</v>
      </c>
      <c r="AM5673">
        <v>55.422507390142002</v>
      </c>
      <c r="AN5673">
        <v>0.99999998451789396</v>
      </c>
    </row>
    <row r="5674" spans="1:40" x14ac:dyDescent="0.25">
      <c r="A5674" t="str">
        <f>"20190312164422329"</f>
        <v>20190312164422329</v>
      </c>
      <c r="B5674" t="str">
        <f>"1552380262320876"</f>
        <v>1552380262320876</v>
      </c>
      <c r="C5674" t="s">
        <v>40</v>
      </c>
      <c r="D5674">
        <v>4.836233</v>
      </c>
      <c r="E5674">
        <v>0.55301199999999995</v>
      </c>
      <c r="F5674" t="s">
        <v>42</v>
      </c>
      <c r="G5674">
        <v>-159.49619999999999</v>
      </c>
      <c r="H5674" s="1">
        <v>-6.3349359999999897E-7</v>
      </c>
      <c r="I5674">
        <v>141.25120000000001</v>
      </c>
      <c r="J5674">
        <v>-174.61</v>
      </c>
      <c r="K5674">
        <v>1.0913280000000001</v>
      </c>
      <c r="L5674">
        <v>139.97659999999999</v>
      </c>
      <c r="M5674">
        <v>0.69850599999999996</v>
      </c>
      <c r="N5674">
        <v>0</v>
      </c>
      <c r="O5674">
        <v>0.71539410000000003</v>
      </c>
      <c r="P5674">
        <v>0.97328040000000005</v>
      </c>
      <c r="Q5674">
        <v>0.1137527</v>
      </c>
      <c r="R5674">
        <v>0.19946359999999999</v>
      </c>
      <c r="S5674">
        <v>3.0503689999999999</v>
      </c>
      <c r="T5674">
        <v>-0.21703140000000001</v>
      </c>
      <c r="U5674">
        <v>0.29986570000000001</v>
      </c>
      <c r="V5674">
        <v>0.56216619999999995</v>
      </c>
      <c r="W5674">
        <v>0.1031652</v>
      </c>
      <c r="X5674">
        <v>0.82056459999999998</v>
      </c>
      <c r="Y5674">
        <v>0.64070009999999999</v>
      </c>
      <c r="Z5674">
        <v>-6.8504869999999995E-2</v>
      </c>
      <c r="AA5674">
        <v>0.76472899999999999</v>
      </c>
      <c r="AB5674">
        <v>40</v>
      </c>
      <c r="AC5674">
        <v>15.113799999999999</v>
      </c>
      <c r="AD5674">
        <v>-1.0913286334936001</v>
      </c>
      <c r="AE5674">
        <v>1.2746000000000199</v>
      </c>
      <c r="AF5674">
        <v>9.8723891892711499</v>
      </c>
      <c r="AG5674">
        <v>-1.0913286334936001</v>
      </c>
      <c r="AH5674">
        <v>11.4115670169209</v>
      </c>
      <c r="AI5674">
        <v>94.136686870472801</v>
      </c>
      <c r="AJ5674">
        <v>49.1362208043222</v>
      </c>
      <c r="AK5674">
        <v>15.128745099062201</v>
      </c>
      <c r="AL5674">
        <v>84.078534315278105</v>
      </c>
      <c r="AM5674">
        <v>55.585080977821697</v>
      </c>
      <c r="AN5674">
        <v>1.0000000788433101</v>
      </c>
    </row>
    <row r="5675" spans="1:40" x14ac:dyDescent="0.25">
      <c r="A5675" t="str">
        <f>"20190312164422352"</f>
        <v>20190312164422352</v>
      </c>
      <c r="B5675" t="str">
        <f>"1552380262340396"</f>
        <v>1552380262340396</v>
      </c>
      <c r="C5675" t="s">
        <v>40</v>
      </c>
      <c r="D5675">
        <v>4.8478469999999998</v>
      </c>
      <c r="E5675">
        <v>0.55198570000000002</v>
      </c>
      <c r="F5675" t="s">
        <v>42</v>
      </c>
      <c r="G5675">
        <v>-158.5986</v>
      </c>
      <c r="H5675" s="1">
        <v>-1.0559680000000001E-6</v>
      </c>
      <c r="I5675">
        <v>141.39189999999999</v>
      </c>
      <c r="J5675">
        <v>-174.3252</v>
      </c>
      <c r="K5675">
        <v>1.0912029999999999</v>
      </c>
      <c r="L5675">
        <v>140.261</v>
      </c>
      <c r="M5675">
        <v>0.71117359999999996</v>
      </c>
      <c r="N5675">
        <v>0</v>
      </c>
      <c r="O5675">
        <v>0.70280089999999995</v>
      </c>
      <c r="P5675">
        <v>0.9760778</v>
      </c>
      <c r="Q5675">
        <v>0.1133276</v>
      </c>
      <c r="R5675">
        <v>0.18555070000000001</v>
      </c>
      <c r="S5675">
        <v>3.0513919999999999</v>
      </c>
      <c r="T5675">
        <v>-0.20798179999999999</v>
      </c>
      <c r="U5675">
        <v>0.26972960000000001</v>
      </c>
      <c r="V5675">
        <v>0.55926049999999905</v>
      </c>
      <c r="W5675">
        <v>0.1028047</v>
      </c>
      <c r="X5675">
        <v>0.82259280000000001</v>
      </c>
      <c r="Y5675">
        <v>0.63478579999999996</v>
      </c>
      <c r="Z5675">
        <v>-6.4942440000000004E-2</v>
      </c>
      <c r="AA5675">
        <v>0.76995429999999998</v>
      </c>
      <c r="AB5675">
        <v>40</v>
      </c>
      <c r="AC5675">
        <v>15.7265999999999</v>
      </c>
      <c r="AD5675">
        <v>-1.0912040559680001</v>
      </c>
      <c r="AE5675">
        <v>1.13089999999999</v>
      </c>
      <c r="AF5675">
        <v>10.2010959129158</v>
      </c>
      <c r="AG5675">
        <v>-1.0912040559680001</v>
      </c>
      <c r="AH5675">
        <v>11.9238447145383</v>
      </c>
      <c r="AI5675">
        <v>93.977867904828301</v>
      </c>
      <c r="AJ5675">
        <v>49.452327262945097</v>
      </c>
      <c r="AK5675">
        <v>15.7299445928043</v>
      </c>
      <c r="AL5675">
        <v>84.099299469884102</v>
      </c>
      <c r="AM5675">
        <v>55.789185077897798</v>
      </c>
      <c r="AN5675">
        <v>1.0000000139070899</v>
      </c>
    </row>
    <row r="5676" spans="1:40" x14ac:dyDescent="0.25">
      <c r="A5676" t="str">
        <f>"20190312164422373"</f>
        <v>20190312164422373</v>
      </c>
      <c r="B5676" t="str">
        <f>"1552380262370653"</f>
        <v>1552380262370653</v>
      </c>
      <c r="C5676" t="s">
        <v>40</v>
      </c>
      <c r="D5676">
        <v>4.8120909999999997</v>
      </c>
      <c r="E5676">
        <v>0.55023569999999999</v>
      </c>
      <c r="F5676" t="s">
        <v>42</v>
      </c>
      <c r="G5676">
        <v>-158.25989999999999</v>
      </c>
      <c r="H5676" s="1">
        <v>-1.226475E-6</v>
      </c>
      <c r="I5676">
        <v>141.48660000000001</v>
      </c>
      <c r="J5676">
        <v>-174.0394</v>
      </c>
      <c r="K5676">
        <v>1.091086</v>
      </c>
      <c r="L5676">
        <v>140.5367</v>
      </c>
      <c r="M5676">
        <v>0.72347759999999905</v>
      </c>
      <c r="N5676">
        <v>0</v>
      </c>
      <c r="O5676">
        <v>0.69012680000000004</v>
      </c>
      <c r="P5676">
        <v>0.97856620000000005</v>
      </c>
      <c r="Q5676">
        <v>0.1126699</v>
      </c>
      <c r="R5676">
        <v>0.17237749999999999</v>
      </c>
      <c r="S5676">
        <v>3.0533139999999999</v>
      </c>
      <c r="T5676">
        <v>-0.20739109999999999</v>
      </c>
      <c r="U5676">
        <v>0.23295589999999999</v>
      </c>
      <c r="V5676">
        <v>0.55585719999999905</v>
      </c>
      <c r="W5676">
        <v>0.1022549</v>
      </c>
      <c r="X5676">
        <v>0.82496460000000005</v>
      </c>
      <c r="Y5676">
        <v>0.63045099999999998</v>
      </c>
      <c r="Z5676">
        <v>-6.4069119999999993E-2</v>
      </c>
      <c r="AA5676">
        <v>0.7735805</v>
      </c>
      <c r="AB5676">
        <v>40</v>
      </c>
      <c r="AC5676">
        <v>15.779500000000001</v>
      </c>
      <c r="AD5676">
        <v>-1.091087226475</v>
      </c>
      <c r="AE5676">
        <v>0.94990000000001296</v>
      </c>
      <c r="AF5676">
        <v>10.155800461587599</v>
      </c>
      <c r="AG5676">
        <v>-1.091087226475</v>
      </c>
      <c r="AH5676">
        <v>12.016264434428299</v>
      </c>
      <c r="AI5676">
        <v>93.967095137128794</v>
      </c>
      <c r="AJ5676">
        <v>49.796468236949501</v>
      </c>
      <c r="AK5676">
        <v>15.770902488743801</v>
      </c>
      <c r="AL5676">
        <v>84.130967154924505</v>
      </c>
      <c r="AM5676">
        <v>56.028098816302702</v>
      </c>
      <c r="AN5676">
        <v>0.99999994130950298</v>
      </c>
    </row>
    <row r="5677" spans="1:40" x14ac:dyDescent="0.25">
      <c r="A5677" t="str">
        <f>"20190312164422397"</f>
        <v>20190312164422397</v>
      </c>
      <c r="B5677" t="str">
        <f>"1552380262391148"</f>
        <v>1552380262391148</v>
      </c>
      <c r="C5677" t="s">
        <v>40</v>
      </c>
      <c r="D5677">
        <v>4.8465509999999998</v>
      </c>
      <c r="E5677">
        <v>0.54951450000000002</v>
      </c>
      <c r="F5677" t="s">
        <v>42</v>
      </c>
      <c r="G5677">
        <v>-157.99789999999999</v>
      </c>
      <c r="H5677" s="1">
        <v>-1.3701410000000001E-6</v>
      </c>
      <c r="I5677">
        <v>141.60409999999999</v>
      </c>
      <c r="J5677">
        <v>-173.7381</v>
      </c>
      <c r="K5677">
        <v>1.0909759999999999</v>
      </c>
      <c r="L5677">
        <v>140.81739999999999</v>
      </c>
      <c r="M5677">
        <v>0.73601450000000002</v>
      </c>
      <c r="N5677">
        <v>0</v>
      </c>
      <c r="O5677">
        <v>0.67673879999999997</v>
      </c>
      <c r="P5677">
        <v>0.98094539999999997</v>
      </c>
      <c r="Q5677">
        <v>0.1122021</v>
      </c>
      <c r="R5677">
        <v>0.15860829999999901</v>
      </c>
      <c r="S5677">
        <v>3.053833</v>
      </c>
      <c r="T5677">
        <v>-0.20771129999999999</v>
      </c>
      <c r="U5677">
        <v>0.2032013</v>
      </c>
      <c r="V5677">
        <v>0.5523496</v>
      </c>
      <c r="W5677">
        <v>0.1019082</v>
      </c>
      <c r="X5677">
        <v>0.82736010000000004</v>
      </c>
      <c r="Y5677">
        <v>0.62375290000000005</v>
      </c>
      <c r="Z5677">
        <v>-6.3355040000000001E-2</v>
      </c>
      <c r="AA5677">
        <v>0.77904969999999996</v>
      </c>
      <c r="AB5677">
        <v>40</v>
      </c>
      <c r="AC5677">
        <v>15.7402</v>
      </c>
      <c r="AD5677">
        <v>-1.0909773701409999</v>
      </c>
      <c r="AE5677">
        <v>0.78669999999999596</v>
      </c>
      <c r="AF5677">
        <v>10.0264812063403</v>
      </c>
      <c r="AG5677">
        <v>-1.0909773701409999</v>
      </c>
      <c r="AH5677">
        <v>12.0614678548485</v>
      </c>
      <c r="AI5677">
        <v>93.978905757598</v>
      </c>
      <c r="AJ5677">
        <v>50.263862268852101</v>
      </c>
      <c r="AK5677">
        <v>15.7225813343992</v>
      </c>
      <c r="AL5677">
        <v>84.150936548030003</v>
      </c>
      <c r="AM5677">
        <v>56.2727350568303</v>
      </c>
      <c r="AN5677">
        <v>1.0000000484597</v>
      </c>
    </row>
    <row r="5678" spans="1:40" x14ac:dyDescent="0.25">
      <c r="A5678" t="str">
        <f>"20190312164422418"</f>
        <v>20190312164422418</v>
      </c>
      <c r="B5678" t="str">
        <f>"1552380262410669"</f>
        <v>1552380262410669</v>
      </c>
      <c r="C5678" t="s">
        <v>40</v>
      </c>
      <c r="D5678">
        <v>4.8595730000000001</v>
      </c>
      <c r="E5678">
        <v>0.53887130000000005</v>
      </c>
      <c r="F5678" t="s">
        <v>42</v>
      </c>
      <c r="G5678">
        <v>-157.8766</v>
      </c>
      <c r="H5678" s="1">
        <v>-1.4392079999999999E-6</v>
      </c>
      <c r="I5678">
        <v>141.66810000000001</v>
      </c>
      <c r="J5678">
        <v>-173.43780000000001</v>
      </c>
      <c r="K5678">
        <v>1.090884</v>
      </c>
      <c r="L5678">
        <v>141.08750000000001</v>
      </c>
      <c r="M5678">
        <v>0.74808479999999999</v>
      </c>
      <c r="N5678">
        <v>0</v>
      </c>
      <c r="O5678">
        <v>0.66337040000000003</v>
      </c>
      <c r="P5678">
        <v>0.9831377</v>
      </c>
      <c r="Q5678">
        <v>0.1109827</v>
      </c>
      <c r="R5678">
        <v>0.1453381</v>
      </c>
      <c r="S5678">
        <v>3.0558320000000001</v>
      </c>
      <c r="T5678">
        <v>-0.2101845</v>
      </c>
      <c r="U5678">
        <v>0.1638947</v>
      </c>
      <c r="V5678">
        <v>0.54867469999999996</v>
      </c>
      <c r="W5678">
        <v>0.1008323</v>
      </c>
      <c r="X5678">
        <v>0.82993309999999998</v>
      </c>
      <c r="Y5678">
        <v>0.61967799999999995</v>
      </c>
      <c r="Z5678">
        <v>-6.3339469999999995E-2</v>
      </c>
      <c r="AA5678">
        <v>0.7822962</v>
      </c>
      <c r="AB5678">
        <v>40</v>
      </c>
      <c r="AC5678">
        <v>15.561199999999999</v>
      </c>
      <c r="AD5678">
        <v>-1.0908854392080001</v>
      </c>
      <c r="AE5678">
        <v>0.580600000000004</v>
      </c>
      <c r="AF5678">
        <v>9.8417296519830106</v>
      </c>
      <c r="AG5678">
        <v>-1.0908854392080001</v>
      </c>
      <c r="AH5678">
        <v>11.969366890925</v>
      </c>
      <c r="AI5678">
        <v>94.026862856149506</v>
      </c>
      <c r="AJ5678">
        <v>50.571483205695699</v>
      </c>
      <c r="AK5678">
        <v>15.534330283400401</v>
      </c>
      <c r="AL5678">
        <v>84.212900071337998</v>
      </c>
      <c r="AM5678">
        <v>56.531024499881397</v>
      </c>
      <c r="AN5678">
        <v>1.0000000148094901</v>
      </c>
    </row>
    <row r="5679" spans="1:40" x14ac:dyDescent="0.25">
      <c r="A5679" t="str">
        <f>"20190312164422439"</f>
        <v>20190312164422439</v>
      </c>
      <c r="B5679" t="str">
        <f>"1552380262431164"</f>
        <v>1552380262431164</v>
      </c>
      <c r="C5679" t="s">
        <v>40</v>
      </c>
      <c r="D5679">
        <v>4.9483030000000001</v>
      </c>
      <c r="E5679">
        <v>0.5391397</v>
      </c>
      <c r="F5679" t="s">
        <v>42</v>
      </c>
      <c r="G5679">
        <v>-157.11019999999999</v>
      </c>
      <c r="H5679" s="1">
        <v>-1.905102E-6</v>
      </c>
      <c r="I5679">
        <v>142.1833</v>
      </c>
      <c r="J5679">
        <v>-173.14599999999999</v>
      </c>
      <c r="K5679">
        <v>1.0908100000000001</v>
      </c>
      <c r="L5679">
        <v>141.3408</v>
      </c>
      <c r="M5679">
        <v>0.75941499999999995</v>
      </c>
      <c r="N5679">
        <v>0</v>
      </c>
      <c r="O5679">
        <v>0.6503681</v>
      </c>
      <c r="P5679">
        <v>0.98485350000000005</v>
      </c>
      <c r="Q5679">
        <v>0.1098428</v>
      </c>
      <c r="R5679">
        <v>0.134157</v>
      </c>
      <c r="S5679">
        <v>3.0442200000000001</v>
      </c>
      <c r="T5679">
        <v>-0.2033906</v>
      </c>
      <c r="U5679">
        <v>0.2043152</v>
      </c>
      <c r="V5679">
        <v>0.54382509999999995</v>
      </c>
      <c r="W5679">
        <v>9.991477E-2</v>
      </c>
      <c r="X5679">
        <v>0.83322949999999996</v>
      </c>
      <c r="Y5679">
        <v>0.59560749999999996</v>
      </c>
      <c r="Z5679">
        <v>-6.0019980000000001E-2</v>
      </c>
      <c r="AA5679">
        <v>0.80103019999999903</v>
      </c>
      <c r="AB5679">
        <v>40</v>
      </c>
      <c r="AC5679">
        <v>16.035799999999899</v>
      </c>
      <c r="AD5679">
        <v>-1.090811905102</v>
      </c>
      <c r="AE5679">
        <v>0.84250000000000103</v>
      </c>
      <c r="AF5679">
        <v>9.7459121180933899</v>
      </c>
      <c r="AG5679">
        <v>-1.090811905102</v>
      </c>
      <c r="AH5679">
        <v>12.6692744360642</v>
      </c>
      <c r="AI5679">
        <v>93.904000762904801</v>
      </c>
      <c r="AJ5679">
        <v>52.430509024639697</v>
      </c>
      <c r="AK5679">
        <v>16.021335411326401</v>
      </c>
      <c r="AL5679">
        <v>84.265737710768803</v>
      </c>
      <c r="AM5679">
        <v>56.868662773004303</v>
      </c>
      <c r="AN5679">
        <v>1.0000000501621999</v>
      </c>
    </row>
    <row r="5680" spans="1:40" x14ac:dyDescent="0.25">
      <c r="A5680" t="str">
        <f>"20190312164422462"</f>
        <v>20190312164422462</v>
      </c>
      <c r="B5680" t="str">
        <f>"1552380262451191"</f>
        <v>1552380262451191</v>
      </c>
      <c r="C5680" t="s">
        <v>40</v>
      </c>
      <c r="D5680">
        <v>4.956785</v>
      </c>
      <c r="E5680">
        <v>0.55468109999999904</v>
      </c>
      <c r="F5680" t="s">
        <v>42</v>
      </c>
      <c r="G5680">
        <v>-157.15469999999999</v>
      </c>
      <c r="H5680" s="1">
        <v>-1.892412E-6</v>
      </c>
      <c r="I5680">
        <v>142.20740000000001</v>
      </c>
      <c r="J5680">
        <v>-172.8382</v>
      </c>
      <c r="K5680">
        <v>1.090735</v>
      </c>
      <c r="L5680">
        <v>141.5985</v>
      </c>
      <c r="M5680">
        <v>0.77095409999999998</v>
      </c>
      <c r="N5680">
        <v>0</v>
      </c>
      <c r="O5680">
        <v>0.63664619999999905</v>
      </c>
      <c r="P5680">
        <v>0.9863944</v>
      </c>
      <c r="Q5680">
        <v>0.10862479999999999</v>
      </c>
      <c r="R5680">
        <v>0.1233973</v>
      </c>
      <c r="S5680">
        <v>3.0468289999999998</v>
      </c>
      <c r="T5680">
        <v>-0.2078315</v>
      </c>
      <c r="U5680">
        <v>0.1651154</v>
      </c>
      <c r="V5680">
        <v>0.53800760000000003</v>
      </c>
      <c r="W5680">
        <v>9.8981009999999994E-2</v>
      </c>
      <c r="X5680">
        <v>0.83710849999999903</v>
      </c>
      <c r="Y5680">
        <v>0.59145609999999904</v>
      </c>
      <c r="Z5680">
        <v>-6.0499709999999998E-2</v>
      </c>
      <c r="AA5680">
        <v>0.80406440000000001</v>
      </c>
      <c r="AB5680">
        <v>40</v>
      </c>
      <c r="AC5680">
        <v>15.6835</v>
      </c>
      <c r="AD5680">
        <v>-1.090736892412</v>
      </c>
      <c r="AE5680">
        <v>0.60890000000000499</v>
      </c>
      <c r="AF5680">
        <v>9.4711479119863302</v>
      </c>
      <c r="AG5680">
        <v>-1.090736892412</v>
      </c>
      <c r="AH5680">
        <v>12.4208695912873</v>
      </c>
      <c r="AI5680">
        <v>93.994482548671499</v>
      </c>
      <c r="AJ5680">
        <v>52.6737944842763</v>
      </c>
      <c r="AK5680">
        <v>15.6579165645675</v>
      </c>
      <c r="AL5680">
        <v>84.319504634257896</v>
      </c>
      <c r="AM5680">
        <v>57.2712434481084</v>
      </c>
      <c r="AN5680">
        <v>1.00000002938531</v>
      </c>
    </row>
    <row r="5681" spans="1:40" x14ac:dyDescent="0.25">
      <c r="A5681" t="str">
        <f>"20190312164422486"</f>
        <v>20190312164422486</v>
      </c>
      <c r="B5681" t="str">
        <f>"1552380262480474"</f>
        <v>1552380262480474</v>
      </c>
      <c r="C5681" t="s">
        <v>40</v>
      </c>
      <c r="D5681">
        <v>5.0094789999999998</v>
      </c>
      <c r="E5681">
        <v>0.55869840000000004</v>
      </c>
      <c r="F5681" t="s">
        <v>42</v>
      </c>
      <c r="G5681">
        <v>-162.35900000000001</v>
      </c>
      <c r="H5681" s="1">
        <v>-4.1362030000000002E-6</v>
      </c>
      <c r="I5681">
        <v>141.66</v>
      </c>
      <c r="J5681">
        <v>-172.51580000000001</v>
      </c>
      <c r="K5681">
        <v>1.0906769999999999</v>
      </c>
      <c r="L5681">
        <v>141.85810000000001</v>
      </c>
      <c r="M5681">
        <v>0.78259880000000004</v>
      </c>
      <c r="N5681">
        <v>0</v>
      </c>
      <c r="O5681">
        <v>0.62227540000000003</v>
      </c>
      <c r="P5681">
        <v>0.98772249999999995</v>
      </c>
      <c r="Q5681">
        <v>0.10956639999999999</v>
      </c>
      <c r="R5681">
        <v>0.1113536</v>
      </c>
      <c r="S5681">
        <v>3.0743559999999999</v>
      </c>
      <c r="T5681">
        <v>-0.31999889999999998</v>
      </c>
      <c r="U5681">
        <v>1.8066410000000001E-2</v>
      </c>
      <c r="V5681">
        <v>0.53271159999999995</v>
      </c>
      <c r="W5681">
        <v>0.1001823</v>
      </c>
      <c r="X5681">
        <v>0.84034629999999999</v>
      </c>
      <c r="Y5681">
        <v>0.61151339999999998</v>
      </c>
      <c r="Z5681">
        <v>-9.2369279999999998E-2</v>
      </c>
      <c r="AA5681">
        <v>0.78582390000000002</v>
      </c>
      <c r="AB5681">
        <v>39</v>
      </c>
      <c r="AC5681">
        <v>10.1568</v>
      </c>
      <c r="AD5681">
        <v>-1.090681136203</v>
      </c>
      <c r="AE5681">
        <v>-0.19810000000000999</v>
      </c>
      <c r="AF5681">
        <v>6.4025689698223598</v>
      </c>
      <c r="AG5681">
        <v>-1.090681136203</v>
      </c>
      <c r="AH5681">
        <v>7.7374597622473598</v>
      </c>
      <c r="AI5681">
        <v>96.198115903527906</v>
      </c>
      <c r="AJ5681">
        <v>50.393030082471697</v>
      </c>
      <c r="AK5681">
        <v>10.102017537432699</v>
      </c>
      <c r="AL5681">
        <v>84.250331917821299</v>
      </c>
      <c r="AM5681">
        <v>57.628607576605802</v>
      </c>
      <c r="AN5681">
        <v>1.00000002296576</v>
      </c>
    </row>
    <row r="5682" spans="1:40" x14ac:dyDescent="0.25">
      <c r="A5682" t="str">
        <f>"20190312164422504"</f>
        <v>20190312164422504</v>
      </c>
      <c r="B5682" t="str">
        <f>"1552380262500967"</f>
        <v>1552380262500967</v>
      </c>
      <c r="C5682" t="s">
        <v>40</v>
      </c>
      <c r="D5682">
        <v>5.0663519999999904</v>
      </c>
      <c r="E5682">
        <v>0.55878030000000001</v>
      </c>
      <c r="F5682" t="s">
        <v>42</v>
      </c>
      <c r="G5682">
        <v>-161.81890000000001</v>
      </c>
      <c r="H5682" s="1">
        <v>-4.3759809999999998E-6</v>
      </c>
      <c r="I5682">
        <v>141.66380000000001</v>
      </c>
      <c r="J5682">
        <v>-172.24090000000001</v>
      </c>
      <c r="K5682">
        <v>1.0906400000000001</v>
      </c>
      <c r="L5682">
        <v>142.07220000000001</v>
      </c>
      <c r="M5682">
        <v>0.79219759999999995</v>
      </c>
      <c r="N5682">
        <v>0</v>
      </c>
      <c r="O5682">
        <v>0.61000810000000005</v>
      </c>
      <c r="P5682">
        <v>0.98899780000000004</v>
      </c>
      <c r="Q5682">
        <v>0.1105449</v>
      </c>
      <c r="R5682">
        <v>9.8301799999999995E-2</v>
      </c>
      <c r="S5682">
        <v>3.0783999999999998</v>
      </c>
      <c r="T5682">
        <v>-0.31388270000000001</v>
      </c>
      <c r="U5682">
        <v>-5.5908199999999998E-2</v>
      </c>
      <c r="V5682">
        <v>0.53070099999999998</v>
      </c>
      <c r="W5682">
        <v>0.1012465</v>
      </c>
      <c r="X5682">
        <v>0.84149010000000002</v>
      </c>
      <c r="Y5682">
        <v>0.61837279999999994</v>
      </c>
      <c r="Z5682">
        <v>-8.9965589999999998E-2</v>
      </c>
      <c r="AA5682">
        <v>0.78071840000000003</v>
      </c>
      <c r="AB5682">
        <v>39</v>
      </c>
      <c r="AC5682">
        <v>10.421999999999899</v>
      </c>
      <c r="AD5682">
        <v>-1.0906443759810001</v>
      </c>
      <c r="AE5682">
        <v>-0.40839999999999999</v>
      </c>
      <c r="AF5682">
        <v>6.6098092415221004</v>
      </c>
      <c r="AG5682">
        <v>-1.0906443759810001</v>
      </c>
      <c r="AH5682">
        <v>7.9217892338902196</v>
      </c>
      <c r="AI5682">
        <v>96.034406913130397</v>
      </c>
      <c r="AJ5682">
        <v>50.1589412126648</v>
      </c>
      <c r="AK5682">
        <v>10.374672430026299</v>
      </c>
      <c r="AL5682">
        <v>84.189045979953704</v>
      </c>
      <c r="AM5682">
        <v>57.761675665136799</v>
      </c>
      <c r="AN5682">
        <v>0.99999999678063001</v>
      </c>
    </row>
    <row r="5683" spans="1:40" x14ac:dyDescent="0.25">
      <c r="A5683" t="str">
        <f>"20190312164422518"</f>
        <v>20190312164422518</v>
      </c>
      <c r="B5683" t="str">
        <f>"1552380262510727"</f>
        <v>1552380262510727</v>
      </c>
      <c r="C5683" t="s">
        <v>40</v>
      </c>
      <c r="D5683">
        <v>5.4381259999999996</v>
      </c>
      <c r="E5683">
        <v>0.55836359999999996</v>
      </c>
      <c r="F5683" t="s">
        <v>42</v>
      </c>
      <c r="G5683">
        <v>-161.5359</v>
      </c>
      <c r="H5683" s="1">
        <v>-4.497041E-6</v>
      </c>
      <c r="I5683">
        <v>141.73349999999999</v>
      </c>
      <c r="J5683">
        <v>-172.04769999999999</v>
      </c>
      <c r="K5683">
        <v>1.090624</v>
      </c>
      <c r="L5683">
        <v>142.21870000000001</v>
      </c>
      <c r="M5683">
        <v>0.79876420000000004</v>
      </c>
      <c r="N5683">
        <v>0</v>
      </c>
      <c r="O5683">
        <v>0.60138340000000001</v>
      </c>
      <c r="P5683">
        <v>0.98947050000000003</v>
      </c>
      <c r="Q5683">
        <v>0.1116219</v>
      </c>
      <c r="R5683">
        <v>9.2135679999999998E-2</v>
      </c>
      <c r="S5683">
        <v>3.0781100000000001</v>
      </c>
      <c r="T5683">
        <v>-0.31360270000000001</v>
      </c>
      <c r="U5683">
        <v>-9.7381590000000004E-2</v>
      </c>
      <c r="V5683">
        <v>0.52679580000000004</v>
      </c>
      <c r="W5683">
        <v>0.1025286</v>
      </c>
      <c r="X5683">
        <v>0.84378560000000002</v>
      </c>
      <c r="Y5683">
        <v>0.62043809999999999</v>
      </c>
      <c r="Z5683">
        <v>-8.9342519999999995E-2</v>
      </c>
      <c r="AA5683">
        <v>0.7791498</v>
      </c>
      <c r="AB5683">
        <v>39</v>
      </c>
      <c r="AC5683">
        <v>10.5117999999999</v>
      </c>
      <c r="AD5683">
        <v>-1.0906284970410001</v>
      </c>
      <c r="AE5683">
        <v>-0.48520000000002</v>
      </c>
      <c r="AF5683">
        <v>6.6389215315229899</v>
      </c>
      <c r="AG5683">
        <v>-1.0906284970410001</v>
      </c>
      <c r="AH5683">
        <v>8.0197835026279893</v>
      </c>
      <c r="AI5683">
        <v>95.980249918155806</v>
      </c>
      <c r="AJ5683">
        <v>50.381428762426701</v>
      </c>
      <c r="AK5683">
        <v>10.468126721114</v>
      </c>
      <c r="AL5683">
        <v>84.115202988033502</v>
      </c>
      <c r="AM5683">
        <v>58.022467714781797</v>
      </c>
      <c r="AN5683">
        <v>1.0000000337414701</v>
      </c>
    </row>
    <row r="5684" spans="1:40" x14ac:dyDescent="0.25">
      <c r="A5684" t="str">
        <f>"20190312164422540"</f>
        <v>20190312164422540</v>
      </c>
      <c r="B5684" t="str">
        <f>"1552380262531223"</f>
        <v>1552380262531223</v>
      </c>
      <c r="C5684" t="s">
        <v>40</v>
      </c>
      <c r="D5684">
        <v>5.0722239999999896</v>
      </c>
      <c r="E5684">
        <v>0.55760929999999997</v>
      </c>
      <c r="F5684" t="s">
        <v>42</v>
      </c>
      <c r="G5684">
        <v>-160.9522</v>
      </c>
      <c r="H5684" s="1">
        <v>-4.7338600000000003E-6</v>
      </c>
      <c r="I5684">
        <v>141.80500000000001</v>
      </c>
      <c r="J5684">
        <v>-171.73220000000001</v>
      </c>
      <c r="K5684">
        <v>1.0905929999999999</v>
      </c>
      <c r="L5684">
        <v>142.45099999999999</v>
      </c>
      <c r="M5684">
        <v>0.80918080000000003</v>
      </c>
      <c r="N5684">
        <v>0</v>
      </c>
      <c r="O5684">
        <v>0.58729209999999998</v>
      </c>
      <c r="P5684">
        <v>0.99073639999999996</v>
      </c>
      <c r="Q5684">
        <v>0.1117288</v>
      </c>
      <c r="R5684">
        <v>7.7187690000000003E-2</v>
      </c>
      <c r="S5684">
        <v>3.0767359999999999</v>
      </c>
      <c r="T5684">
        <v>-0.3024268</v>
      </c>
      <c r="U5684">
        <v>-0.1147156</v>
      </c>
      <c r="V5684">
        <v>0.52474809999999905</v>
      </c>
      <c r="W5684">
        <v>0.10273210000000001</v>
      </c>
      <c r="X5684">
        <v>0.8450358</v>
      </c>
      <c r="Y5684">
        <v>0.61162720000000004</v>
      </c>
      <c r="Z5684">
        <v>-8.4670889999999999E-2</v>
      </c>
      <c r="AA5684">
        <v>0.78660229999999998</v>
      </c>
      <c r="AB5684">
        <v>39</v>
      </c>
      <c r="AC5684">
        <v>10.78</v>
      </c>
      <c r="AD5684">
        <v>-1.0905977338599999</v>
      </c>
      <c r="AE5684">
        <v>-0.64599999999998603</v>
      </c>
      <c r="AF5684">
        <v>6.7856145129325203</v>
      </c>
      <c r="AG5684">
        <v>-1.0905977338599999</v>
      </c>
      <c r="AH5684">
        <v>8.2606444371951895</v>
      </c>
      <c r="AI5684">
        <v>95.825012639871602</v>
      </c>
      <c r="AJ5684">
        <v>50.598986671880397</v>
      </c>
      <c r="AK5684">
        <v>10.7457998424028</v>
      </c>
      <c r="AL5684">
        <v>84.103481072663499</v>
      </c>
      <c r="AM5684">
        <v>58.160655161392697</v>
      </c>
      <c r="AN5684">
        <v>0.99999997805282903</v>
      </c>
    </row>
    <row r="5685" spans="1:40" x14ac:dyDescent="0.25">
      <c r="A5685" t="str">
        <f>"20190312164422556"</f>
        <v>20190312164422556</v>
      </c>
      <c r="B5685" t="str">
        <f>"1552380262551249"</f>
        <v>1552380262551249</v>
      </c>
      <c r="C5685" t="s">
        <v>40</v>
      </c>
      <c r="D5685">
        <v>5.1624089999999896</v>
      </c>
      <c r="E5685">
        <v>0.55779219999999996</v>
      </c>
      <c r="F5685" t="s">
        <v>42</v>
      </c>
      <c r="G5685">
        <v>-160.48159999999999</v>
      </c>
      <c r="H5685" s="1">
        <v>-4.9278779999999997E-6</v>
      </c>
      <c r="I5685">
        <v>141.87989999999999</v>
      </c>
      <c r="J5685">
        <v>-171.5181</v>
      </c>
      <c r="K5685">
        <v>1.0905800000000001</v>
      </c>
      <c r="L5685">
        <v>142.60299999999901</v>
      </c>
      <c r="M5685">
        <v>0.81602919999999901</v>
      </c>
      <c r="N5685">
        <v>0</v>
      </c>
      <c r="O5685">
        <v>0.57773830000000004</v>
      </c>
      <c r="P5685">
        <v>0.99120960000000002</v>
      </c>
      <c r="Q5685">
        <v>0.1112517</v>
      </c>
      <c r="R5685">
        <v>7.1598670000000003E-2</v>
      </c>
      <c r="S5685">
        <v>3.0737920000000001</v>
      </c>
      <c r="T5685">
        <v>-0.2979618</v>
      </c>
      <c r="U5685">
        <v>-0.1560211</v>
      </c>
      <c r="V5685">
        <v>0.51957819999999999</v>
      </c>
      <c r="W5685">
        <v>0.10254099999999999</v>
      </c>
      <c r="X5685">
        <v>0.84824750000000004</v>
      </c>
      <c r="Y5685">
        <v>0.61312500000000003</v>
      </c>
      <c r="Z5685">
        <v>-8.2845619999999995E-2</v>
      </c>
      <c r="AA5685">
        <v>0.78562989999999999</v>
      </c>
      <c r="AB5685">
        <v>39</v>
      </c>
      <c r="AC5685">
        <v>11.0365</v>
      </c>
      <c r="AD5685">
        <v>-1.090584927878</v>
      </c>
      <c r="AE5685">
        <v>-0.72309999999998797</v>
      </c>
      <c r="AF5685">
        <v>6.9002854171702097</v>
      </c>
      <c r="AG5685">
        <v>-1.090584927878</v>
      </c>
      <c r="AH5685">
        <v>8.5069832637932805</v>
      </c>
      <c r="AI5685">
        <v>95.685830279072903</v>
      </c>
      <c r="AJ5685">
        <v>50.953389319089801</v>
      </c>
      <c r="AK5685">
        <v>11.0078189744283</v>
      </c>
      <c r="AL5685">
        <v>84.114488508999699</v>
      </c>
      <c r="AM5685">
        <v>58.511223786222303</v>
      </c>
      <c r="AN5685">
        <v>0.999999991926245</v>
      </c>
    </row>
    <row r="5686" spans="1:40" x14ac:dyDescent="0.25">
      <c r="A5686" t="str">
        <f>"20190312164422575"</f>
        <v>20190312164422575</v>
      </c>
      <c r="B5686" t="str">
        <f>"1552380262570769"</f>
        <v>1552380262570769</v>
      </c>
      <c r="C5686" t="s">
        <v>40</v>
      </c>
      <c r="D5686">
        <v>5.0843099999999897</v>
      </c>
      <c r="E5686">
        <v>0.55827680000000002</v>
      </c>
      <c r="F5686" t="s">
        <v>42</v>
      </c>
      <c r="G5686">
        <v>-160.24809999999999</v>
      </c>
      <c r="H5686" s="1">
        <v>-5.0302849999999997E-6</v>
      </c>
      <c r="I5686">
        <v>141.95179999999999</v>
      </c>
      <c r="J5686">
        <v>-171.2276</v>
      </c>
      <c r="K5686">
        <v>1.09057</v>
      </c>
      <c r="L5686">
        <v>142.8039</v>
      </c>
      <c r="M5686">
        <v>0.82506669999999904</v>
      </c>
      <c r="N5686">
        <v>0</v>
      </c>
      <c r="O5686">
        <v>0.56475629999999999</v>
      </c>
      <c r="P5686">
        <v>0.99182309999999996</v>
      </c>
      <c r="Q5686">
        <v>0.1114559</v>
      </c>
      <c r="R5686">
        <v>6.2165629999999999E-2</v>
      </c>
      <c r="S5686">
        <v>3.0728149999999999</v>
      </c>
      <c r="T5686">
        <v>-0.29735400000000001</v>
      </c>
      <c r="U5686">
        <v>-0.177536</v>
      </c>
      <c r="V5686">
        <v>0.5142137</v>
      </c>
      <c r="W5686">
        <v>0.10304140000000001</v>
      </c>
      <c r="X5686">
        <v>0.85144979999999904</v>
      </c>
      <c r="Y5686">
        <v>0.6062575</v>
      </c>
      <c r="Z5686">
        <v>-8.133485E-2</v>
      </c>
      <c r="AA5686">
        <v>0.79109819999999997</v>
      </c>
      <c r="AB5686">
        <v>39</v>
      </c>
      <c r="AC5686">
        <v>10.9795</v>
      </c>
      <c r="AD5686">
        <v>-1.0905750302849999</v>
      </c>
      <c r="AE5686">
        <v>-0.85210000000000696</v>
      </c>
      <c r="AF5686">
        <v>6.8378109382012404</v>
      </c>
      <c r="AG5686">
        <v>-1.0905750302849999</v>
      </c>
      <c r="AH5686">
        <v>8.4956264369661998</v>
      </c>
      <c r="AI5686">
        <v>95.710690028707901</v>
      </c>
      <c r="AJ5686">
        <v>51.170716535337398</v>
      </c>
      <c r="AK5686">
        <v>10.959958069251201</v>
      </c>
      <c r="AL5686">
        <v>84.085665132218907</v>
      </c>
      <c r="AM5686">
        <v>58.871079784241502</v>
      </c>
      <c r="AN5686">
        <v>1.00000001065084</v>
      </c>
    </row>
    <row r="5687" spans="1:40" x14ac:dyDescent="0.25">
      <c r="A5687" t="str">
        <f>"20190312164422598"</f>
        <v>20190312164422598</v>
      </c>
      <c r="B5687" t="str">
        <f>"1552380262591266"</f>
        <v>1552380262591266</v>
      </c>
      <c r="C5687" t="s">
        <v>40</v>
      </c>
      <c r="D5687">
        <v>5.1098850000000002</v>
      </c>
      <c r="E5687">
        <v>0.55865109999999996</v>
      </c>
      <c r="F5687" t="s">
        <v>42</v>
      </c>
      <c r="G5687">
        <v>-159.6874</v>
      </c>
      <c r="H5687" s="1">
        <v>-7.5094280000000002E-7</v>
      </c>
      <c r="I5687">
        <v>142.0009</v>
      </c>
      <c r="J5687">
        <v>-170.89179999999999</v>
      </c>
      <c r="K5687">
        <v>1.0905609999999999</v>
      </c>
      <c r="L5687">
        <v>143.02799999999999</v>
      </c>
      <c r="M5687">
        <v>0.83515069999999902</v>
      </c>
      <c r="N5687">
        <v>0</v>
      </c>
      <c r="O5687">
        <v>0.549734099999999</v>
      </c>
      <c r="P5687">
        <v>0.99243530000000002</v>
      </c>
      <c r="Q5687">
        <v>0.11226989999999901</v>
      </c>
      <c r="R5687">
        <v>4.9675289999999997E-2</v>
      </c>
      <c r="S5687">
        <v>3.0707399999999998</v>
      </c>
      <c r="T5687">
        <v>-0.29019010000000001</v>
      </c>
      <c r="U5687">
        <v>-0.21366879999999999</v>
      </c>
      <c r="V5687">
        <v>0.50950320000000004</v>
      </c>
      <c r="W5687">
        <v>0.1041189</v>
      </c>
      <c r="X5687">
        <v>0.85414619999999997</v>
      </c>
      <c r="Y5687">
        <v>0.60153999999999996</v>
      </c>
      <c r="Z5687">
        <v>-7.8026239999999997E-2</v>
      </c>
      <c r="AA5687">
        <v>0.79502299999999904</v>
      </c>
      <c r="AB5687">
        <v>39</v>
      </c>
      <c r="AC5687">
        <v>11.2043999999999</v>
      </c>
      <c r="AD5687">
        <v>-1.0905617509428001</v>
      </c>
      <c r="AE5687">
        <v>-1.0270999999999899</v>
      </c>
      <c r="AF5687">
        <v>6.9530096964010797</v>
      </c>
      <c r="AG5687">
        <v>-1.0905617509428001</v>
      </c>
      <c r="AH5687">
        <v>8.7122686814197206</v>
      </c>
      <c r="AI5687">
        <v>95.587895071757998</v>
      </c>
      <c r="AJ5687">
        <v>51.407644720096101</v>
      </c>
      <c r="AK5687">
        <v>11.199879211318001</v>
      </c>
      <c r="AL5687">
        <v>84.023594956740197</v>
      </c>
      <c r="AM5687">
        <v>59.1836765839588</v>
      </c>
      <c r="AN5687">
        <v>0.99999999356094504</v>
      </c>
    </row>
    <row r="5688" spans="1:40" x14ac:dyDescent="0.25">
      <c r="A5688" t="str">
        <f>"20190312164422619"</f>
        <v>20190312164422619</v>
      </c>
      <c r="B5688" t="str">
        <f>"1552380262610786"</f>
        <v>1552380262610786</v>
      </c>
      <c r="C5688" t="s">
        <v>40</v>
      </c>
      <c r="D5688">
        <v>5.1127890000000003</v>
      </c>
      <c r="E5688">
        <v>0.55872219999999995</v>
      </c>
      <c r="F5688" t="s">
        <v>42</v>
      </c>
      <c r="G5688">
        <v>-159.15520000000001</v>
      </c>
      <c r="H5688" s="1">
        <v>-9.9223359999999992E-7</v>
      </c>
      <c r="I5688">
        <v>142.0496</v>
      </c>
      <c r="J5688">
        <v>-170.57159999999999</v>
      </c>
      <c r="K5688">
        <v>1.0905579999999999</v>
      </c>
      <c r="L5688">
        <v>143.23339999999999</v>
      </c>
      <c r="M5688">
        <v>0.84441219999999995</v>
      </c>
      <c r="N5688">
        <v>0</v>
      </c>
      <c r="O5688">
        <v>0.53539879999999995</v>
      </c>
      <c r="P5688">
        <v>0.99274030000000002</v>
      </c>
      <c r="Q5688">
        <v>0.1129563</v>
      </c>
      <c r="R5688">
        <v>4.1326509999999997E-2</v>
      </c>
      <c r="S5688">
        <v>3.0679319999999999</v>
      </c>
      <c r="T5688">
        <v>-0.28507009999999899</v>
      </c>
      <c r="U5688">
        <v>-0.2557373</v>
      </c>
      <c r="V5688">
        <v>0.5020732</v>
      </c>
      <c r="W5688">
        <v>0.10522720000000001</v>
      </c>
      <c r="X5688">
        <v>0.85839949999999998</v>
      </c>
      <c r="Y5688">
        <v>0.59907379999999999</v>
      </c>
      <c r="Z5688">
        <v>-7.5473589999999993E-2</v>
      </c>
      <c r="AA5688">
        <v>0.79712890000000003</v>
      </c>
      <c r="AB5688">
        <v>39</v>
      </c>
      <c r="AC5688">
        <v>11.4163999999999</v>
      </c>
      <c r="AD5688">
        <v>-1.0905589922336001</v>
      </c>
      <c r="AE5688">
        <v>-1.18379999999999</v>
      </c>
      <c r="AF5688">
        <v>7.0494238075638798</v>
      </c>
      <c r="AG5688">
        <v>-1.0905589922336001</v>
      </c>
      <c r="AH5688">
        <v>8.9271712160630692</v>
      </c>
      <c r="AI5688">
        <v>95.4764374831705</v>
      </c>
      <c r="AJ5688">
        <v>51.703285667946197</v>
      </c>
      <c r="AK5688">
        <v>11.4270766539432</v>
      </c>
      <c r="AL5688">
        <v>83.959743211362195</v>
      </c>
      <c r="AM5688">
        <v>59.676866915751802</v>
      </c>
      <c r="AN5688">
        <v>0.99999998168916404</v>
      </c>
    </row>
    <row r="5689" spans="1:40" x14ac:dyDescent="0.25">
      <c r="A5689" t="str">
        <f>"20190312164422653"</f>
        <v>20190312164422653</v>
      </c>
      <c r="B5689" t="str">
        <f>"1552380262641041"</f>
        <v>1552380262641041</v>
      </c>
      <c r="C5689" t="s">
        <v>40</v>
      </c>
      <c r="D5689">
        <v>5.1325960000000004</v>
      </c>
      <c r="E5689">
        <v>0.55852869999999999</v>
      </c>
      <c r="F5689" t="s">
        <v>42</v>
      </c>
      <c r="G5689">
        <v>-158.70070000000001</v>
      </c>
      <c r="H5689" s="1">
        <v>-1.210457E-6</v>
      </c>
      <c r="I5689">
        <v>142.1371</v>
      </c>
      <c r="J5689">
        <v>-170.06790000000001</v>
      </c>
      <c r="K5689">
        <v>1.09056</v>
      </c>
      <c r="L5689">
        <v>143.54</v>
      </c>
      <c r="M5689">
        <v>0.85830769999999901</v>
      </c>
      <c r="N5689">
        <v>0</v>
      </c>
      <c r="O5689">
        <v>0.51282659999999902</v>
      </c>
      <c r="P5689">
        <v>0.99323810000000001</v>
      </c>
      <c r="Q5689">
        <v>0.113577</v>
      </c>
      <c r="R5689">
        <v>2.4054119999999998E-2</v>
      </c>
      <c r="S5689">
        <v>3.0657649999999999</v>
      </c>
      <c r="T5689">
        <v>-0.28164640000000002</v>
      </c>
      <c r="U5689">
        <v>-0.28312680000000001</v>
      </c>
      <c r="V5689">
        <v>0.49421130000000002</v>
      </c>
      <c r="W5689">
        <v>0.106304</v>
      </c>
      <c r="X5689">
        <v>0.86281790000000003</v>
      </c>
      <c r="Y5689">
        <v>0.58519969999999999</v>
      </c>
      <c r="Z5689">
        <v>-7.2177259999999993E-2</v>
      </c>
      <c r="AA5689">
        <v>0.80767069999999996</v>
      </c>
      <c r="AB5689">
        <v>39</v>
      </c>
      <c r="AC5689">
        <v>11.367199999999899</v>
      </c>
      <c r="AD5689">
        <v>-1.0905612104569999</v>
      </c>
      <c r="AE5689">
        <v>-1.4028999999999801</v>
      </c>
      <c r="AF5689">
        <v>6.9714318885242701</v>
      </c>
      <c r="AG5689">
        <v>-1.0905612104569999</v>
      </c>
      <c r="AH5689">
        <v>8.9573330658979398</v>
      </c>
      <c r="AI5689">
        <v>95.488140548322306</v>
      </c>
      <c r="AJ5689">
        <v>52.1066186520871</v>
      </c>
      <c r="AK5689">
        <v>11.402806759018301</v>
      </c>
      <c r="AL5689">
        <v>83.897699463020601</v>
      </c>
      <c r="AM5689">
        <v>60.196458338747803</v>
      </c>
      <c r="AN5689">
        <v>1.00000003901204</v>
      </c>
    </row>
    <row r="5690" spans="1:40" x14ac:dyDescent="0.25">
      <c r="A5690" t="str">
        <f>"20190312164422675"</f>
        <v>20190312164422675</v>
      </c>
      <c r="B5690" t="str">
        <f>"1552380262670832"</f>
        <v>1552380262670832</v>
      </c>
      <c r="C5690" t="s">
        <v>40</v>
      </c>
      <c r="D5690">
        <v>5.1090879999999999</v>
      </c>
      <c r="E5690">
        <v>0.55784979999999995</v>
      </c>
      <c r="F5690" t="s">
        <v>42</v>
      </c>
      <c r="G5690">
        <v>-158.04769999999999</v>
      </c>
      <c r="H5690" s="1">
        <v>-1.5113269999999999E-6</v>
      </c>
      <c r="I5690">
        <v>142.2149</v>
      </c>
      <c r="J5690">
        <v>-169.72579999999999</v>
      </c>
      <c r="K5690">
        <v>1.090565</v>
      </c>
      <c r="L5690">
        <v>143.73830000000001</v>
      </c>
      <c r="M5690">
        <v>0.86730419999999997</v>
      </c>
      <c r="N5690">
        <v>0</v>
      </c>
      <c r="O5690">
        <v>0.49745980000000001</v>
      </c>
      <c r="P5690">
        <v>0.99356949999999999</v>
      </c>
      <c r="Q5690">
        <v>0.11251129999999999</v>
      </c>
      <c r="R5690">
        <v>1.268526E-2</v>
      </c>
      <c r="S5690">
        <v>3.060349</v>
      </c>
      <c r="T5690">
        <v>-0.27765570000000001</v>
      </c>
      <c r="U5690">
        <v>-0.3373718</v>
      </c>
      <c r="V5690">
        <v>0.48871510000000001</v>
      </c>
      <c r="W5690">
        <v>0.1055629</v>
      </c>
      <c r="X5690">
        <v>0.86603359999999996</v>
      </c>
      <c r="Y5690">
        <v>0.5852811</v>
      </c>
      <c r="Z5690">
        <v>-7.0040959999999999E-2</v>
      </c>
      <c r="AA5690">
        <v>0.80779969999999901</v>
      </c>
      <c r="AB5690">
        <v>39</v>
      </c>
      <c r="AC5690">
        <v>11.678100000000001</v>
      </c>
      <c r="AD5690">
        <v>-1.090566511327</v>
      </c>
      <c r="AE5690">
        <v>-1.5234000000000001</v>
      </c>
      <c r="AF5690">
        <v>7.0711329689433402</v>
      </c>
      <c r="AG5690">
        <v>-1.090566511327</v>
      </c>
      <c r="AH5690">
        <v>9.2924391017658401</v>
      </c>
      <c r="AI5690">
        <v>95.335666583814799</v>
      </c>
      <c r="AJ5690">
        <v>52.7304785623623</v>
      </c>
      <c r="AK5690">
        <v>11.7277312912656</v>
      </c>
      <c r="AL5690">
        <v>83.940401923459504</v>
      </c>
      <c r="AM5690">
        <v>60.563343622876502</v>
      </c>
      <c r="AN5690">
        <v>1.00000008557668</v>
      </c>
    </row>
    <row r="5691" spans="1:40" x14ac:dyDescent="0.25">
      <c r="A5691" t="str">
        <f>"20190312164422698"</f>
        <v>20190312164422698</v>
      </c>
      <c r="B5691" t="str">
        <f>"1552380262691324"</f>
        <v>1552380262691324</v>
      </c>
      <c r="C5691" t="s">
        <v>40</v>
      </c>
      <c r="D5691">
        <v>5.1119890000000003</v>
      </c>
      <c r="E5691">
        <v>0.55715669999999995</v>
      </c>
      <c r="F5691" t="s">
        <v>42</v>
      </c>
      <c r="G5691">
        <v>-157.92500000000001</v>
      </c>
      <c r="H5691" s="1">
        <v>-1.5911999999999999E-6</v>
      </c>
      <c r="I5691">
        <v>142.31729999999999</v>
      </c>
      <c r="J5691">
        <v>-169.37870000000001</v>
      </c>
      <c r="K5691">
        <v>1.0905670000000001</v>
      </c>
      <c r="L5691">
        <v>143.93109999999999</v>
      </c>
      <c r="M5691">
        <v>0.87608149999999996</v>
      </c>
      <c r="N5691">
        <v>0</v>
      </c>
      <c r="O5691">
        <v>0.48183379999999998</v>
      </c>
      <c r="P5691">
        <v>0.99379340000000005</v>
      </c>
      <c r="Q5691">
        <v>0.1112233</v>
      </c>
      <c r="R5691">
        <v>2.0470150000000001E-3</v>
      </c>
      <c r="S5691">
        <v>3.0561219999999998</v>
      </c>
      <c r="T5691">
        <v>-0.28242840000000002</v>
      </c>
      <c r="U5691">
        <v>-0.367981</v>
      </c>
      <c r="V5691">
        <v>0.48245369999999999</v>
      </c>
      <c r="W5691">
        <v>0.1046448</v>
      </c>
      <c r="X5691">
        <v>0.86964819999999998</v>
      </c>
      <c r="Y5691">
        <v>0.57881359999999904</v>
      </c>
      <c r="Z5691">
        <v>-6.9733820000000002E-2</v>
      </c>
      <c r="AA5691">
        <v>0.8124728</v>
      </c>
      <c r="AB5691">
        <v>39</v>
      </c>
      <c r="AC5691">
        <v>11.4536999999999</v>
      </c>
      <c r="AD5691">
        <v>-1.0905685912</v>
      </c>
      <c r="AE5691">
        <v>-1.6137999999999899</v>
      </c>
      <c r="AF5691">
        <v>6.8726065573410402</v>
      </c>
      <c r="AG5691">
        <v>-1.0905685912</v>
      </c>
      <c r="AH5691">
        <v>9.1766845658696301</v>
      </c>
      <c r="AI5691">
        <v>95.4337548935124</v>
      </c>
      <c r="AJ5691">
        <v>53.169709922069401</v>
      </c>
      <c r="AK5691">
        <v>11.5166662001461</v>
      </c>
      <c r="AL5691">
        <v>83.993297936149006</v>
      </c>
      <c r="AM5691">
        <v>60.979853040683402</v>
      </c>
      <c r="AN5691">
        <v>1.0000000492869801</v>
      </c>
    </row>
    <row r="5692" spans="1:40" x14ac:dyDescent="0.25">
      <c r="A5692" t="str">
        <f>"20190312164422719"</f>
        <v>20190312164422719</v>
      </c>
      <c r="B5692" t="str">
        <f>"1552380262710844"</f>
        <v>1552380262710844</v>
      </c>
      <c r="C5692" t="s">
        <v>40</v>
      </c>
      <c r="D5692">
        <v>5.4592340000000004</v>
      </c>
      <c r="E5692">
        <v>0.55688490000000002</v>
      </c>
      <c r="F5692" t="s">
        <v>42</v>
      </c>
      <c r="G5692">
        <v>-157.76490000000001</v>
      </c>
      <c r="H5692" s="1">
        <v>-1.6874389999999999E-6</v>
      </c>
      <c r="I5692">
        <v>142.42089999999999</v>
      </c>
      <c r="J5692">
        <v>-169.0369</v>
      </c>
      <c r="K5692">
        <v>1.090579</v>
      </c>
      <c r="L5692">
        <v>144.1129</v>
      </c>
      <c r="M5692">
        <v>0.88438819999999996</v>
      </c>
      <c r="N5692">
        <v>0</v>
      </c>
      <c r="O5692">
        <v>0.46641139999999998</v>
      </c>
      <c r="P5692">
        <v>0.99384519999999998</v>
      </c>
      <c r="Q5692">
        <v>0.1105196</v>
      </c>
      <c r="R5692">
        <v>-7.5655999999999996E-3</v>
      </c>
      <c r="S5692">
        <v>3.0516200000000002</v>
      </c>
      <c r="T5692">
        <v>-0.28655389999999997</v>
      </c>
      <c r="U5692">
        <v>-0.39680480000000001</v>
      </c>
      <c r="V5692">
        <v>0.47560989999999997</v>
      </c>
      <c r="W5692">
        <v>0.1043451</v>
      </c>
      <c r="X5692">
        <v>0.87344560000000004</v>
      </c>
      <c r="Y5692">
        <v>0.57220719999999903</v>
      </c>
      <c r="Z5692">
        <v>-6.9216680000000003E-2</v>
      </c>
      <c r="AA5692">
        <v>0.81718299999999999</v>
      </c>
      <c r="AB5692">
        <v>39</v>
      </c>
      <c r="AC5692">
        <v>11.271999999999901</v>
      </c>
      <c r="AD5692">
        <v>-1.0905806874390001</v>
      </c>
      <c r="AE5692">
        <v>-1.6919999999999999</v>
      </c>
      <c r="AF5692">
        <v>6.6935713636950398</v>
      </c>
      <c r="AG5692">
        <v>-1.0905806874390001</v>
      </c>
      <c r="AH5692">
        <v>9.0978287551201902</v>
      </c>
      <c r="AI5692">
        <v>95.515113852931506</v>
      </c>
      <c r="AJ5692">
        <v>53.656861840046503</v>
      </c>
      <c r="AK5692">
        <v>11.3474116825902</v>
      </c>
      <c r="AL5692">
        <v>84.010563387210297</v>
      </c>
      <c r="AM5692">
        <v>61.430758234905603</v>
      </c>
      <c r="AN5692">
        <v>0.99999994651568802</v>
      </c>
    </row>
    <row r="5693" spans="1:40" x14ac:dyDescent="0.25">
      <c r="A5693" t="str">
        <f>"20190312164422743"</f>
        <v>20190312164422743</v>
      </c>
      <c r="B5693" t="str">
        <f>"1552380262731341"</f>
        <v>1552380262731341</v>
      </c>
      <c r="C5693" t="s">
        <v>40</v>
      </c>
      <c r="D5693">
        <v>5.2938369999999999</v>
      </c>
      <c r="E5693">
        <v>0.54399330000000001</v>
      </c>
      <c r="F5693" t="s">
        <v>42</v>
      </c>
      <c r="G5693">
        <v>-157.47909999999999</v>
      </c>
      <c r="H5693" s="1">
        <v>-1.830552E-6</v>
      </c>
      <c r="I5693">
        <v>142.49799999999999</v>
      </c>
      <c r="J5693">
        <v>-168.68620000000001</v>
      </c>
      <c r="K5693">
        <v>1.0905990000000001</v>
      </c>
      <c r="L5693">
        <v>144.2912</v>
      </c>
      <c r="M5693">
        <v>0.89257319999999996</v>
      </c>
      <c r="N5693">
        <v>0</v>
      </c>
      <c r="O5693">
        <v>0.4505497</v>
      </c>
      <c r="P5693">
        <v>0.99373509999999998</v>
      </c>
      <c r="Q5693">
        <v>0.1103088</v>
      </c>
      <c r="R5693">
        <v>-1.79676E-2</v>
      </c>
      <c r="S5693">
        <v>3.0473180000000002</v>
      </c>
      <c r="T5693">
        <v>-0.28754099999999999</v>
      </c>
      <c r="U5693">
        <v>-0.42576599999999998</v>
      </c>
      <c r="V5693">
        <v>0.46913830000000001</v>
      </c>
      <c r="W5693">
        <v>0.10451920000000001</v>
      </c>
      <c r="X5693">
        <v>0.87691790000000003</v>
      </c>
      <c r="Y5693">
        <v>0.56542780000000004</v>
      </c>
      <c r="Z5693">
        <v>-6.7846909999999996E-2</v>
      </c>
      <c r="AA5693">
        <v>0.82200260000000003</v>
      </c>
      <c r="AB5693">
        <v>39</v>
      </c>
      <c r="AC5693">
        <v>11.207100000000001</v>
      </c>
      <c r="AD5693">
        <v>-1.0906008305520001</v>
      </c>
      <c r="AE5693">
        <v>-1.7932000000000099</v>
      </c>
      <c r="AF5693">
        <v>6.5901256351103896</v>
      </c>
      <c r="AG5693">
        <v>-1.0906008305520001</v>
      </c>
      <c r="AH5693">
        <v>9.1125532472230599</v>
      </c>
      <c r="AI5693">
        <v>95.539129345286895</v>
      </c>
      <c r="AJ5693">
        <v>54.125846919502401</v>
      </c>
      <c r="AK5693">
        <v>11.298574810196801</v>
      </c>
      <c r="AL5693">
        <v>84.000533702604301</v>
      </c>
      <c r="AM5693">
        <v>61.853867810662798</v>
      </c>
      <c r="AN5693">
        <v>1.0000000055179601</v>
      </c>
    </row>
    <row r="5694" spans="1:40" x14ac:dyDescent="0.25">
      <c r="A5694" t="str">
        <f>"20190312164422766"</f>
        <v>20190312164422766</v>
      </c>
      <c r="B5694" t="str">
        <f>"1552380262761128"</f>
        <v>1552380262761128</v>
      </c>
      <c r="C5694" t="s">
        <v>40</v>
      </c>
      <c r="D5694">
        <v>5.2270589999999997</v>
      </c>
      <c r="E5694">
        <v>0.51531419999999994</v>
      </c>
      <c r="F5694" t="s">
        <v>42</v>
      </c>
      <c r="G5694">
        <v>-153.89060000000001</v>
      </c>
      <c r="H5694" s="1">
        <v>-3.3791750000000001E-6</v>
      </c>
      <c r="I5694">
        <v>142.5325</v>
      </c>
      <c r="J5694">
        <v>-168.32230000000001</v>
      </c>
      <c r="K5694">
        <v>1.090624</v>
      </c>
      <c r="L5694">
        <v>144.46719999999999</v>
      </c>
      <c r="M5694">
        <v>0.9007117</v>
      </c>
      <c r="N5694">
        <v>0</v>
      </c>
      <c r="O5694">
        <v>0.43405060000000001</v>
      </c>
      <c r="P5694">
        <v>0.99348190000000003</v>
      </c>
      <c r="Q5694">
        <v>0.1101352</v>
      </c>
      <c r="R5694">
        <v>-2.9402729999999998E-2</v>
      </c>
      <c r="S5694">
        <v>3.0372620000000001</v>
      </c>
      <c r="T5694">
        <v>-0.22388060000000001</v>
      </c>
      <c r="U5694">
        <v>-0.36100769999999999</v>
      </c>
      <c r="V5694">
        <v>0.46307470000000001</v>
      </c>
      <c r="W5694">
        <v>0.10470839999999899</v>
      </c>
      <c r="X5694">
        <v>0.88011249999999996</v>
      </c>
      <c r="Y5694">
        <v>0.53484619999999905</v>
      </c>
      <c r="Z5694">
        <v>-5.0836289999999999E-2</v>
      </c>
      <c r="AA5694">
        <v>0.84341880000000002</v>
      </c>
      <c r="AB5694">
        <v>38</v>
      </c>
      <c r="AC5694">
        <v>14.431699999999999</v>
      </c>
      <c r="AD5694">
        <v>-1.0906273791750001</v>
      </c>
      <c r="AE5694">
        <v>-1.9346999999999901</v>
      </c>
      <c r="AF5694">
        <v>7.9632943265458502</v>
      </c>
      <c r="AG5694">
        <v>-1.0906273791750001</v>
      </c>
      <c r="AH5694">
        <v>12.093134713973001</v>
      </c>
      <c r="AI5694">
        <v>94.307487777655794</v>
      </c>
      <c r="AJ5694">
        <v>56.635211416929899</v>
      </c>
      <c r="AK5694">
        <v>14.520586483393201</v>
      </c>
      <c r="AL5694">
        <v>83.989633616832194</v>
      </c>
      <c r="AM5694">
        <v>62.248719551065903</v>
      </c>
      <c r="AN5694">
        <v>1.00000001973344</v>
      </c>
    </row>
    <row r="5695" spans="1:40" x14ac:dyDescent="0.25">
      <c r="A5695" t="str">
        <f>"20190312164422787"</f>
        <v>20190312164422787</v>
      </c>
      <c r="B5695" t="str">
        <f>"1552380262780647"</f>
        <v>1552380262780647</v>
      </c>
      <c r="C5695" t="s">
        <v>40</v>
      </c>
      <c r="D5695">
        <v>5.3607250000000004</v>
      </c>
      <c r="E5695">
        <v>0.51168420000000003</v>
      </c>
      <c r="F5695" t="s">
        <v>42</v>
      </c>
      <c r="G5695">
        <v>-154.77379999999999</v>
      </c>
      <c r="H5695" s="1">
        <v>-3.3185399999999999E-6</v>
      </c>
      <c r="I5695">
        <v>143.7285</v>
      </c>
      <c r="J5695">
        <v>-167.9796</v>
      </c>
      <c r="K5695">
        <v>1.0906439999999999</v>
      </c>
      <c r="L5695">
        <v>144.62549999999999</v>
      </c>
      <c r="M5695">
        <v>0.90806039999999999</v>
      </c>
      <c r="N5695">
        <v>0</v>
      </c>
      <c r="O5695">
        <v>0.41845850000000001</v>
      </c>
      <c r="P5695">
        <v>0.99320889999999995</v>
      </c>
      <c r="Q5695">
        <v>0.1095063</v>
      </c>
      <c r="R5695">
        <v>-3.9300630000000003E-2</v>
      </c>
      <c r="S5695">
        <v>3.0419160000000001</v>
      </c>
      <c r="T5695">
        <v>-0.24486640000000001</v>
      </c>
      <c r="U5695">
        <v>-0.16584779999999999</v>
      </c>
      <c r="V5695">
        <v>0.4566499</v>
      </c>
      <c r="W5695">
        <v>0.10446130000000001</v>
      </c>
      <c r="X5695">
        <v>0.88349230000000001</v>
      </c>
      <c r="Y5695">
        <v>0.46454790000000001</v>
      </c>
      <c r="Z5695">
        <v>-5.1550749999999999E-2</v>
      </c>
      <c r="AA5695">
        <v>0.88404629999999995</v>
      </c>
      <c r="AB5695">
        <v>38</v>
      </c>
      <c r="AC5695">
        <v>13.2058</v>
      </c>
      <c r="AD5695">
        <v>-1.0906473185400001</v>
      </c>
      <c r="AE5695">
        <v>-0.89699999999999103</v>
      </c>
      <c r="AF5695">
        <v>6.2988540546690199</v>
      </c>
      <c r="AG5695">
        <v>-1.0906473185400001</v>
      </c>
      <c r="AH5695">
        <v>11.539808850157099</v>
      </c>
      <c r="AI5695">
        <v>94.742289518963602</v>
      </c>
      <c r="AJ5695">
        <v>61.372656914043503</v>
      </c>
      <c r="AK5695">
        <v>13.192128799917899</v>
      </c>
      <c r="AL5695">
        <v>84.003869169875401</v>
      </c>
      <c r="AM5695">
        <v>62.6669531542938</v>
      </c>
      <c r="AN5695">
        <v>0.99999996926349399</v>
      </c>
    </row>
    <row r="5696" spans="1:40" x14ac:dyDescent="0.25">
      <c r="A5696" t="str">
        <f>"20190312164422808"</f>
        <v>20190312164422808</v>
      </c>
      <c r="B5696" t="str">
        <f>"1552380262801143"</f>
        <v>1552380262801143</v>
      </c>
      <c r="C5696" t="s">
        <v>40</v>
      </c>
      <c r="D5696">
        <v>5.3514359999999996</v>
      </c>
      <c r="E5696">
        <v>0.50955870000000003</v>
      </c>
      <c r="F5696" t="s">
        <v>42</v>
      </c>
      <c r="G5696">
        <v>-154.85239999999999</v>
      </c>
      <c r="H5696" s="1">
        <v>-3.3316049999999999E-6</v>
      </c>
      <c r="I5696">
        <v>143.90440000000001</v>
      </c>
      <c r="J5696">
        <v>-167.63079999999999</v>
      </c>
      <c r="K5696">
        <v>1.0906640000000001</v>
      </c>
      <c r="L5696">
        <v>144.77930000000001</v>
      </c>
      <c r="M5696">
        <v>0.91523239999999995</v>
      </c>
      <c r="N5696">
        <v>0</v>
      </c>
      <c r="O5696">
        <v>0.40253</v>
      </c>
      <c r="P5696">
        <v>0.99283580000000005</v>
      </c>
      <c r="Q5696">
        <v>0.1089382</v>
      </c>
      <c r="R5696">
        <v>-4.9088899999999998E-2</v>
      </c>
      <c r="S5696">
        <v>3.041763</v>
      </c>
      <c r="T5696">
        <v>-0.25271729999999998</v>
      </c>
      <c r="U5696">
        <v>-0.167099</v>
      </c>
      <c r="V5696">
        <v>0.44989829999999997</v>
      </c>
      <c r="W5696">
        <v>0.1042925</v>
      </c>
      <c r="X5696">
        <v>0.88696929999999996</v>
      </c>
      <c r="Y5696">
        <v>0.44931720000000003</v>
      </c>
      <c r="Z5696">
        <v>-5.1339200000000002E-2</v>
      </c>
      <c r="AA5696">
        <v>0.89189589999999996</v>
      </c>
      <c r="AB5696">
        <v>38</v>
      </c>
      <c r="AC5696">
        <v>12.7784</v>
      </c>
      <c r="AD5696">
        <v>-1.090667331605</v>
      </c>
      <c r="AE5696">
        <v>-0.87489999999999601</v>
      </c>
      <c r="AF5696">
        <v>5.9025754590838204</v>
      </c>
      <c r="AG5696">
        <v>-1.090667331605</v>
      </c>
      <c r="AH5696">
        <v>11.263173517605299</v>
      </c>
      <c r="AI5696">
        <v>94.902290448072407</v>
      </c>
      <c r="AJ5696">
        <v>62.342777411078899</v>
      </c>
      <c r="AK5696">
        <v>12.7627986729438</v>
      </c>
      <c r="AL5696">
        <v>84.013593835167995</v>
      </c>
      <c r="AM5696">
        <v>63.1044650532303</v>
      </c>
      <c r="AN5696">
        <v>0.99999997252081396</v>
      </c>
    </row>
    <row r="5697" spans="1:40" x14ac:dyDescent="0.25">
      <c r="A5697" t="str">
        <f>"20190312164422831"</f>
        <v>20190312164422831</v>
      </c>
      <c r="B5697" t="str">
        <f>"1552380262820663"</f>
        <v>1552380262820663</v>
      </c>
      <c r="C5697" t="s">
        <v>40</v>
      </c>
      <c r="D5697">
        <v>5.2389099999999997</v>
      </c>
      <c r="E5697">
        <v>0.50808500000000001</v>
      </c>
      <c r="F5697" t="s">
        <v>42</v>
      </c>
      <c r="G5697">
        <v>-154.25659999999999</v>
      </c>
      <c r="H5697" s="1">
        <v>-3.6015390000000002E-6</v>
      </c>
      <c r="I5697">
        <v>143.97999999999999</v>
      </c>
      <c r="J5697">
        <v>-167.27420000000001</v>
      </c>
      <c r="K5697">
        <v>1.0906990000000001</v>
      </c>
      <c r="L5697">
        <v>144.9288</v>
      </c>
      <c r="M5697">
        <v>0.9222458</v>
      </c>
      <c r="N5697">
        <v>0</v>
      </c>
      <c r="O5697">
        <v>0.3861907</v>
      </c>
      <c r="P5697">
        <v>0.99223550000000005</v>
      </c>
      <c r="Q5697">
        <v>0.10915130000000001</v>
      </c>
      <c r="R5697">
        <v>-5.96222E-2</v>
      </c>
      <c r="S5697">
        <v>3.0398559999999999</v>
      </c>
      <c r="T5697">
        <v>-0.24790139999999999</v>
      </c>
      <c r="U5697">
        <v>-0.1816711</v>
      </c>
      <c r="V5697">
        <v>0.44351629999999997</v>
      </c>
      <c r="W5697">
        <v>0.1048829</v>
      </c>
      <c r="X5697">
        <v>0.89010829999999996</v>
      </c>
      <c r="Y5697">
        <v>0.43790079999999998</v>
      </c>
      <c r="Z5697">
        <v>-4.8684650000000003E-2</v>
      </c>
      <c r="AA5697">
        <v>0.89770409999999901</v>
      </c>
      <c r="AB5697">
        <v>38</v>
      </c>
      <c r="AC5697">
        <v>13.0176</v>
      </c>
      <c r="AD5697">
        <v>-1.090702601539</v>
      </c>
      <c r="AE5697">
        <v>-0.94880000000000497</v>
      </c>
      <c r="AF5697">
        <v>5.8623085418108101</v>
      </c>
      <c r="AG5697">
        <v>-1.090702601539</v>
      </c>
      <c r="AH5697">
        <v>11.5601426221899</v>
      </c>
      <c r="AI5697">
        <v>94.810030093965096</v>
      </c>
      <c r="AJ5697">
        <v>63.1098022405953</v>
      </c>
      <c r="AK5697">
        <v>13.0074283026954</v>
      </c>
      <c r="AL5697">
        <v>83.979579776244904</v>
      </c>
      <c r="AM5697">
        <v>63.514195982809703</v>
      </c>
      <c r="AN5697">
        <v>0.99999995840349398</v>
      </c>
    </row>
    <row r="5698" spans="1:40" x14ac:dyDescent="0.25">
      <c r="A5698" t="str">
        <f>"20190312164422854"</f>
        <v>20190312164422854</v>
      </c>
      <c r="B5698" t="str">
        <f>"1552380262841160"</f>
        <v>1552380262841160</v>
      </c>
      <c r="C5698" t="s">
        <v>40</v>
      </c>
      <c r="D5698">
        <v>5.2278120000000001</v>
      </c>
      <c r="E5698">
        <v>0.50699649999999996</v>
      </c>
      <c r="F5698" t="s">
        <v>42</v>
      </c>
      <c r="G5698">
        <v>-153.94460000000001</v>
      </c>
      <c r="H5698" s="1">
        <v>-3.7177340000000001E-6</v>
      </c>
      <c r="I5698">
        <v>144.03649999999999</v>
      </c>
      <c r="J5698">
        <v>-166.9135</v>
      </c>
      <c r="K5698">
        <v>1.0907199999999999</v>
      </c>
      <c r="L5698">
        <v>145.07239999999999</v>
      </c>
      <c r="M5698">
        <v>0.9290214</v>
      </c>
      <c r="N5698">
        <v>0</v>
      </c>
      <c r="O5698">
        <v>0.36959370000000002</v>
      </c>
      <c r="P5698">
        <v>0.99144739999999998</v>
      </c>
      <c r="Q5698">
        <v>0.1099391</v>
      </c>
      <c r="R5698">
        <v>-7.0326250000000007E-2</v>
      </c>
      <c r="S5698">
        <v>3.0386199999999999</v>
      </c>
      <c r="T5698">
        <v>-0.248637</v>
      </c>
      <c r="U5698">
        <v>-0.20341490000000001</v>
      </c>
      <c r="V5698">
        <v>0.4371447</v>
      </c>
      <c r="W5698">
        <v>0.1060456</v>
      </c>
      <c r="X5698">
        <v>0.89311749999999901</v>
      </c>
      <c r="Y5698">
        <v>0.42826370000000002</v>
      </c>
      <c r="Z5698">
        <v>-4.7174689999999998E-2</v>
      </c>
      <c r="AA5698">
        <v>0.90242160000000005</v>
      </c>
      <c r="AB5698">
        <v>38</v>
      </c>
      <c r="AC5698">
        <v>12.9688999999999</v>
      </c>
      <c r="AD5698">
        <v>-1.0907237177339999</v>
      </c>
      <c r="AE5698">
        <v>-1.0358999999999901</v>
      </c>
      <c r="AF5698">
        <v>5.7163401975509904</v>
      </c>
      <c r="AG5698">
        <v>-1.0907237177339999</v>
      </c>
      <c r="AH5698">
        <v>11.5859572826083</v>
      </c>
      <c r="AI5698">
        <v>94.825766642583105</v>
      </c>
      <c r="AJ5698">
        <v>63.738949061525602</v>
      </c>
      <c r="AK5698">
        <v>12.965362688216199</v>
      </c>
      <c r="AL5698">
        <v>83.912588698054293</v>
      </c>
      <c r="AM5698">
        <v>63.920131304703503</v>
      </c>
      <c r="AN5698">
        <v>1.0000000134118401</v>
      </c>
    </row>
    <row r="5699" spans="1:40" x14ac:dyDescent="0.25">
      <c r="A5699" t="str">
        <f>"20190312164422876"</f>
        <v>20190312164422876</v>
      </c>
      <c r="B5699" t="str">
        <f>"1552380262870947"</f>
        <v>1552380262870947</v>
      </c>
      <c r="C5699" t="s">
        <v>40</v>
      </c>
      <c r="D5699">
        <v>5.6224610000000004</v>
      </c>
      <c r="E5699">
        <v>0.50599649999999996</v>
      </c>
      <c r="F5699" t="s">
        <v>42</v>
      </c>
      <c r="G5699">
        <v>-153.8338</v>
      </c>
      <c r="H5699" s="1">
        <v>-3.7647979999999999E-6</v>
      </c>
      <c r="I5699">
        <v>144.0891</v>
      </c>
      <c r="J5699">
        <v>-166.5498</v>
      </c>
      <c r="K5699">
        <v>1.090741</v>
      </c>
      <c r="L5699">
        <v>145.20959999999999</v>
      </c>
      <c r="M5699">
        <v>0.93553149999999996</v>
      </c>
      <c r="N5699">
        <v>0</v>
      </c>
      <c r="O5699">
        <v>0.3527901</v>
      </c>
      <c r="P5699">
        <v>0.99052839999999998</v>
      </c>
      <c r="Q5699">
        <v>0.11052729999999999</v>
      </c>
      <c r="R5699">
        <v>-8.1470909999999994E-2</v>
      </c>
      <c r="S5699">
        <v>3.0377809999999998</v>
      </c>
      <c r="T5699">
        <v>-0.25332189999999999</v>
      </c>
      <c r="U5699">
        <v>-0.22836300000000001</v>
      </c>
      <c r="V5699">
        <v>0.43107420000000002</v>
      </c>
      <c r="W5699">
        <v>0.106991</v>
      </c>
      <c r="X5699">
        <v>0.89595089999999999</v>
      </c>
      <c r="Y5699">
        <v>0.41935240000000001</v>
      </c>
      <c r="Z5699">
        <v>-4.6371469999999998E-2</v>
      </c>
      <c r="AA5699">
        <v>0.90663839999999996</v>
      </c>
      <c r="AB5699">
        <v>38</v>
      </c>
      <c r="AC5699">
        <v>12.715999999999999</v>
      </c>
      <c r="AD5699">
        <v>-1.090744764798</v>
      </c>
      <c r="AE5699">
        <v>-1.1204999999999901</v>
      </c>
      <c r="AF5699">
        <v>5.4951074212188802</v>
      </c>
      <c r="AG5699">
        <v>-1.090744764798</v>
      </c>
      <c r="AH5699">
        <v>11.4193839487288</v>
      </c>
      <c r="AI5699">
        <v>94.919330255836897</v>
      </c>
      <c r="AJ5699">
        <v>64.302733337533297</v>
      </c>
      <c r="AK5699">
        <v>12.7196013884537</v>
      </c>
      <c r="AL5699">
        <v>83.858111418402601</v>
      </c>
      <c r="AM5699">
        <v>64.306119422926798</v>
      </c>
      <c r="AN5699">
        <v>1.00000002759872</v>
      </c>
    </row>
    <row r="5700" spans="1:40" x14ac:dyDescent="0.25">
      <c r="A5700" t="str">
        <f>"20190312164422898"</f>
        <v>20190312164422898</v>
      </c>
      <c r="B5700" t="str">
        <f>"1552380262890467"</f>
        <v>1552380262890467</v>
      </c>
      <c r="C5700" t="s">
        <v>40</v>
      </c>
      <c r="D5700">
        <v>5.3355750000000004</v>
      </c>
      <c r="E5700">
        <v>0.50544169999999999</v>
      </c>
      <c r="F5700" t="s">
        <v>42</v>
      </c>
      <c r="G5700">
        <v>-153.2166</v>
      </c>
      <c r="H5700" s="1">
        <v>-3.9744140000000004E-6</v>
      </c>
      <c r="I5700">
        <v>144.08680000000001</v>
      </c>
      <c r="J5700">
        <v>-166.19030000000001</v>
      </c>
      <c r="K5700">
        <v>1.0907709999999999</v>
      </c>
      <c r="L5700">
        <v>145.33779999999999</v>
      </c>
      <c r="M5700">
        <v>0.94165469999999896</v>
      </c>
      <c r="N5700">
        <v>0</v>
      </c>
      <c r="O5700">
        <v>0.33610440000000003</v>
      </c>
      <c r="P5700">
        <v>0.98954839999999999</v>
      </c>
      <c r="Q5700">
        <v>0.1106775</v>
      </c>
      <c r="R5700">
        <v>-9.2436599999999994E-2</v>
      </c>
      <c r="S5700">
        <v>3.0353850000000002</v>
      </c>
      <c r="T5700">
        <v>-0.2483139</v>
      </c>
      <c r="U5700">
        <v>-0.25559999999999999</v>
      </c>
      <c r="V5700">
        <v>0.42505169999999998</v>
      </c>
      <c r="W5700">
        <v>0.10749300000000001</v>
      </c>
      <c r="X5700">
        <v>0.8987638</v>
      </c>
      <c r="Y5700">
        <v>0.41153499999999998</v>
      </c>
      <c r="Z5700">
        <v>-4.386719E-2</v>
      </c>
      <c r="AA5700">
        <v>0.91033759999999997</v>
      </c>
      <c r="AB5700">
        <v>38</v>
      </c>
      <c r="AC5700">
        <v>12.973699999999999</v>
      </c>
      <c r="AD5700">
        <v>-1.0907749744139901</v>
      </c>
      <c r="AE5700">
        <v>-1.2509999999999699</v>
      </c>
      <c r="AF5700">
        <v>5.5008885843488304</v>
      </c>
      <c r="AG5700">
        <v>-1.0907749744139901</v>
      </c>
      <c r="AH5700">
        <v>11.7161130294628</v>
      </c>
      <c r="AI5700">
        <v>94.817151535880797</v>
      </c>
      <c r="AJ5700">
        <v>64.849249268866302</v>
      </c>
      <c r="AK5700">
        <v>12.9891058114627</v>
      </c>
      <c r="AL5700">
        <v>83.829182118374305</v>
      </c>
      <c r="AM5700">
        <v>64.689162885024999</v>
      </c>
      <c r="AN5700">
        <v>1.00000003045616</v>
      </c>
    </row>
    <row r="5701" spans="1:40" x14ac:dyDescent="0.25">
      <c r="A5701" t="str">
        <f>"20190312164422920"</f>
        <v>20190312164422920</v>
      </c>
      <c r="B5701" t="str">
        <f>"1552380262910963"</f>
        <v>1552380262910963</v>
      </c>
      <c r="C5701" t="s">
        <v>40</v>
      </c>
      <c r="D5701">
        <v>5.3809139999999998</v>
      </c>
      <c r="E5701">
        <v>0.50502079999999905</v>
      </c>
      <c r="F5701" t="s">
        <v>42</v>
      </c>
      <c r="G5701">
        <v>-153.09460000000001</v>
      </c>
      <c r="H5701" s="1">
        <v>-4.0196709999999997E-6</v>
      </c>
      <c r="I5701">
        <v>144.1079</v>
      </c>
      <c r="J5701">
        <v>-165.82550000000001</v>
      </c>
      <c r="K5701">
        <v>1.090802</v>
      </c>
      <c r="L5701">
        <v>145.46029999999999</v>
      </c>
      <c r="M5701">
        <v>0.94755020000000001</v>
      </c>
      <c r="N5701">
        <v>0</v>
      </c>
      <c r="O5701">
        <v>0.31910519999999998</v>
      </c>
      <c r="P5701">
        <v>0.98851359999999999</v>
      </c>
      <c r="Q5701">
        <v>0.1110044</v>
      </c>
      <c r="R5701">
        <v>-0.1025634</v>
      </c>
      <c r="S5701">
        <v>3.0333399999999999</v>
      </c>
      <c r="T5701">
        <v>-0.25265500000000002</v>
      </c>
      <c r="U5701">
        <v>-0.28486630000000002</v>
      </c>
      <c r="V5701">
        <v>0.41805930000000002</v>
      </c>
      <c r="W5701">
        <v>0.1082221</v>
      </c>
      <c r="X5701">
        <v>0.90195040000000004</v>
      </c>
      <c r="Y5701">
        <v>0.40389730000000001</v>
      </c>
      <c r="Z5701">
        <v>-4.2977979999999999E-2</v>
      </c>
      <c r="AA5701">
        <v>0.9137942</v>
      </c>
      <c r="AB5701">
        <v>38</v>
      </c>
      <c r="AC5701">
        <v>12.730899999999901</v>
      </c>
      <c r="AD5701">
        <v>-1.0908060196709899</v>
      </c>
      <c r="AE5701">
        <v>-1.3523999999999801</v>
      </c>
      <c r="AF5701">
        <v>5.3062990474987197</v>
      </c>
      <c r="AG5701">
        <v>-1.0908060196709899</v>
      </c>
      <c r="AH5701">
        <v>11.549629431228601</v>
      </c>
      <c r="AI5701">
        <v>94.905156087407605</v>
      </c>
      <c r="AJ5701">
        <v>65.324314264255705</v>
      </c>
      <c r="AK5701">
        <v>12.7569826899913</v>
      </c>
      <c r="AL5701">
        <v>83.787162840101999</v>
      </c>
      <c r="AM5701">
        <v>65.132000546197006</v>
      </c>
      <c r="AN5701">
        <v>1.0000000626525201</v>
      </c>
    </row>
    <row r="5702" spans="1:40" x14ac:dyDescent="0.25">
      <c r="A5702" t="str">
        <f>"20190312164422944"</f>
        <v>20190312164422944</v>
      </c>
      <c r="B5702" t="str">
        <f>"1552380262930483"</f>
        <v>1552380262930483</v>
      </c>
      <c r="C5702" t="s">
        <v>40</v>
      </c>
      <c r="D5702">
        <v>5.5036209999999999</v>
      </c>
      <c r="E5702">
        <v>0.50498799999999999</v>
      </c>
      <c r="F5702" t="s">
        <v>42</v>
      </c>
      <c r="G5702">
        <v>-152.8246</v>
      </c>
      <c r="H5702" s="1">
        <v>-4.1127459999999996E-6</v>
      </c>
      <c r="I5702">
        <v>144.1146</v>
      </c>
      <c r="J5702">
        <v>-165.45660000000001</v>
      </c>
      <c r="K5702">
        <v>1.0908359999999999</v>
      </c>
      <c r="L5702">
        <v>145.5762</v>
      </c>
      <c r="M5702">
        <v>0.95319310000000002</v>
      </c>
      <c r="N5702">
        <v>0</v>
      </c>
      <c r="O5702">
        <v>0.30183169999999998</v>
      </c>
      <c r="P5702">
        <v>0.98731420000000003</v>
      </c>
      <c r="Q5702">
        <v>0.1123734</v>
      </c>
      <c r="R5702">
        <v>-0.1121736</v>
      </c>
      <c r="S5702">
        <v>3.030869</v>
      </c>
      <c r="T5702">
        <v>-0.2542953</v>
      </c>
      <c r="U5702">
        <v>-0.31372070000000002</v>
      </c>
      <c r="V5702">
        <v>0.41042859999999998</v>
      </c>
      <c r="W5702">
        <v>0.1100228</v>
      </c>
      <c r="X5702">
        <v>0.90523109999999996</v>
      </c>
      <c r="Y5702">
        <v>0.39601049999999999</v>
      </c>
      <c r="Z5702">
        <v>-4.1553890000000003E-2</v>
      </c>
      <c r="AA5702">
        <v>0.91730529999999999</v>
      </c>
      <c r="AB5702">
        <v>38</v>
      </c>
      <c r="AC5702">
        <v>12.632</v>
      </c>
      <c r="AD5702">
        <v>-1.0908401127459999</v>
      </c>
      <c r="AE5702">
        <v>-1.4616</v>
      </c>
      <c r="AF5702">
        <v>5.1687244279954401</v>
      </c>
      <c r="AG5702">
        <v>-1.0908401127459999</v>
      </c>
      <c r="AH5702">
        <v>11.5166894454124</v>
      </c>
      <c r="AI5702">
        <v>94.938901532588702</v>
      </c>
      <c r="AJ5702">
        <v>65.829315371576698</v>
      </c>
      <c r="AK5702">
        <v>12.670429359189299</v>
      </c>
      <c r="AL5702">
        <v>83.683370098664597</v>
      </c>
      <c r="AM5702">
        <v>65.610627423868905</v>
      </c>
      <c r="AN5702">
        <v>0.99999999831250497</v>
      </c>
    </row>
    <row r="5703" spans="1:40" x14ac:dyDescent="0.25">
      <c r="A5703" t="str">
        <f>"20190312164422968"</f>
        <v>20190312164422968</v>
      </c>
      <c r="B5703" t="str">
        <f>"1552380262961246"</f>
        <v>1552380262961246</v>
      </c>
      <c r="C5703" t="s">
        <v>40</v>
      </c>
      <c r="D5703">
        <v>5.3089700000000004</v>
      </c>
      <c r="E5703">
        <v>0.50417420000000002</v>
      </c>
      <c r="F5703" t="s">
        <v>42</v>
      </c>
      <c r="G5703">
        <v>-152.41390000000001</v>
      </c>
      <c r="H5703" s="1">
        <v>-4.2481419999999999E-6</v>
      </c>
      <c r="I5703">
        <v>144.0899</v>
      </c>
      <c r="J5703">
        <v>-165.0616</v>
      </c>
      <c r="K5703">
        <v>1.0908690000000001</v>
      </c>
      <c r="L5703">
        <v>145.6919</v>
      </c>
      <c r="M5703">
        <v>0.9588797</v>
      </c>
      <c r="N5703">
        <v>0</v>
      </c>
      <c r="O5703">
        <v>0.28324739999999998</v>
      </c>
      <c r="P5703">
        <v>0.98576030000000003</v>
      </c>
      <c r="Q5703">
        <v>0.11382780000000001</v>
      </c>
      <c r="R5703">
        <v>-0.1237745</v>
      </c>
      <c r="S5703">
        <v>3.0281980000000002</v>
      </c>
      <c r="T5703">
        <v>-0.25326480000000001</v>
      </c>
      <c r="U5703">
        <v>-0.34506229999999999</v>
      </c>
      <c r="V5703">
        <v>0.40347110000000003</v>
      </c>
      <c r="W5703">
        <v>0.1118691</v>
      </c>
      <c r="X5703">
        <v>0.90812800000000005</v>
      </c>
      <c r="Y5703">
        <v>0.3877389</v>
      </c>
      <c r="Z5703">
        <v>-3.9558790000000003E-2</v>
      </c>
      <c r="AA5703">
        <v>0.92091999999999996</v>
      </c>
      <c r="AB5703">
        <v>38</v>
      </c>
      <c r="AC5703">
        <v>12.647699999999899</v>
      </c>
      <c r="AD5703">
        <v>-1.090873248142</v>
      </c>
      <c r="AE5703">
        <v>-1.6020000000000001</v>
      </c>
      <c r="AF5703">
        <v>5.0821640192944502</v>
      </c>
      <c r="AG5703">
        <v>-1.090873248142</v>
      </c>
      <c r="AH5703">
        <v>11.5908673128675</v>
      </c>
      <c r="AI5703">
        <v>94.926350809868893</v>
      </c>
      <c r="AJ5703">
        <v>66.324337226530503</v>
      </c>
      <c r="AK5703">
        <v>12.7030154147361</v>
      </c>
      <c r="AL5703">
        <v>83.576928053137294</v>
      </c>
      <c r="AM5703">
        <v>66.044958219621293</v>
      </c>
      <c r="AN5703">
        <v>1.0000000442270001</v>
      </c>
    </row>
    <row r="5704" spans="1:40" x14ac:dyDescent="0.25">
      <c r="A5704" t="str">
        <f>"20190312164422989"</f>
        <v>20190312164422989</v>
      </c>
      <c r="B5704" t="str">
        <f>"1552380262980767"</f>
        <v>1552380262980767</v>
      </c>
      <c r="C5704" t="s">
        <v>40</v>
      </c>
      <c r="D5704">
        <v>5.4624889999999997</v>
      </c>
      <c r="E5704">
        <v>0.50373509999999999</v>
      </c>
      <c r="F5704" t="s">
        <v>42</v>
      </c>
      <c r="G5704">
        <v>-151.7184</v>
      </c>
      <c r="H5704" s="1">
        <v>-4.4749960000000002E-6</v>
      </c>
      <c r="I5704">
        <v>144.03450000000001</v>
      </c>
      <c r="J5704">
        <v>-164.7088</v>
      </c>
      <c r="K5704">
        <v>1.0908979999999999</v>
      </c>
      <c r="L5704">
        <v>145.78829999999999</v>
      </c>
      <c r="M5704">
        <v>0.96364989999999995</v>
      </c>
      <c r="N5704">
        <v>0</v>
      </c>
      <c r="O5704">
        <v>0.2665672</v>
      </c>
      <c r="P5704">
        <v>0.9843982</v>
      </c>
      <c r="Q5704">
        <v>0.11509750000000001</v>
      </c>
      <c r="R5704">
        <v>-0.13309009999999999</v>
      </c>
      <c r="S5704">
        <v>3.0247039999999998</v>
      </c>
      <c r="T5704">
        <v>-0.247283</v>
      </c>
      <c r="U5704">
        <v>-0.37568659999999998</v>
      </c>
      <c r="V5704">
        <v>0.39629520000000001</v>
      </c>
      <c r="W5704">
        <v>0.1135359</v>
      </c>
      <c r="X5704">
        <v>0.91107610000000006</v>
      </c>
      <c r="Y5704">
        <v>0.38124400000000003</v>
      </c>
      <c r="Z5704">
        <v>-3.7066219999999997E-2</v>
      </c>
      <c r="AA5704">
        <v>0.92373110000000003</v>
      </c>
      <c r="AB5704">
        <v>38</v>
      </c>
      <c r="AC5704">
        <v>12.9903999999999</v>
      </c>
      <c r="AD5704">
        <v>-1.0909024749959999</v>
      </c>
      <c r="AE5704">
        <v>-1.75379999999998</v>
      </c>
      <c r="AF5704">
        <v>5.1182415454729204</v>
      </c>
      <c r="AG5704">
        <v>-1.0909024749959999</v>
      </c>
      <c r="AH5704">
        <v>11.9697232422591</v>
      </c>
      <c r="AI5704">
        <v>94.790135382363403</v>
      </c>
      <c r="AJ5704">
        <v>66.848497092511295</v>
      </c>
      <c r="AK5704">
        <v>13.063718430218699</v>
      </c>
      <c r="AL5704">
        <v>83.480814617376694</v>
      </c>
      <c r="AM5704">
        <v>66.492170958888593</v>
      </c>
      <c r="AN5704">
        <v>0.99999997306152899</v>
      </c>
    </row>
    <row r="5705" spans="1:40" x14ac:dyDescent="0.25">
      <c r="A5705" t="str">
        <f>"20190312164423011"</f>
        <v>20190312164423011</v>
      </c>
      <c r="B5705" t="str">
        <f>"1552380263001262"</f>
        <v>1552380263001262</v>
      </c>
      <c r="C5705" t="s">
        <v>40</v>
      </c>
      <c r="D5705">
        <v>5.4178550000000003</v>
      </c>
      <c r="E5705">
        <v>0.50339659999999997</v>
      </c>
      <c r="F5705" t="s">
        <v>42</v>
      </c>
      <c r="G5705">
        <v>-151.1703</v>
      </c>
      <c r="H5705" s="1">
        <v>-4.653491E-6</v>
      </c>
      <c r="I5705">
        <v>143.98929999999999</v>
      </c>
      <c r="J5705">
        <v>-164.34819999999999</v>
      </c>
      <c r="K5705">
        <v>1.090919</v>
      </c>
      <c r="L5705">
        <v>145.88</v>
      </c>
      <c r="M5705">
        <v>0.96822529999999996</v>
      </c>
      <c r="N5705">
        <v>0</v>
      </c>
      <c r="O5705">
        <v>0.2494374</v>
      </c>
      <c r="P5705">
        <v>0.98310640000000005</v>
      </c>
      <c r="Q5705">
        <v>0.11573990000000001</v>
      </c>
      <c r="R5705">
        <v>-0.14179629999999999</v>
      </c>
      <c r="S5705">
        <v>3.0217130000000001</v>
      </c>
      <c r="T5705">
        <v>-0.243481</v>
      </c>
      <c r="U5705">
        <v>-0.40153499999999998</v>
      </c>
      <c r="V5705">
        <v>0.38818360000000002</v>
      </c>
      <c r="W5705">
        <v>0.11462269999999899</v>
      </c>
      <c r="X5705">
        <v>0.91442610000000002</v>
      </c>
      <c r="Y5705">
        <v>0.37287769999999998</v>
      </c>
      <c r="Z5705">
        <v>-3.4837569999999998E-2</v>
      </c>
      <c r="AA5705">
        <v>0.92722629999999995</v>
      </c>
      <c r="AB5705">
        <v>37</v>
      </c>
      <c r="AC5705">
        <v>13.1778999999999</v>
      </c>
      <c r="AD5705">
        <v>-1.0909236534909901</v>
      </c>
      <c r="AE5705">
        <v>-1.8907</v>
      </c>
      <c r="AF5705">
        <v>5.0843640510372898</v>
      </c>
      <c r="AG5705">
        <v>-1.0909236534909901</v>
      </c>
      <c r="AH5705">
        <v>12.2075620132007</v>
      </c>
      <c r="AI5705">
        <v>94.715963286664902</v>
      </c>
      <c r="AJ5705">
        <v>67.388614292018502</v>
      </c>
      <c r="AK5705">
        <v>13.2689653902393</v>
      </c>
      <c r="AL5705">
        <v>83.418136429441603</v>
      </c>
      <c r="AM5705">
        <v>66.998261310022698</v>
      </c>
      <c r="AN5705">
        <v>0.99999998151272895</v>
      </c>
    </row>
    <row r="5706" spans="1:40" x14ac:dyDescent="0.25">
      <c r="A5706" t="str">
        <f>"20190312164423033"</f>
        <v>20190312164423033</v>
      </c>
      <c r="B5706" t="str">
        <f>"1552380263020782"</f>
        <v>1552380263020782</v>
      </c>
      <c r="C5706" t="s">
        <v>40</v>
      </c>
      <c r="D5706">
        <v>5.4964589999999998</v>
      </c>
      <c r="E5706">
        <v>0.50288169999999999</v>
      </c>
      <c r="F5706" t="s">
        <v>42</v>
      </c>
      <c r="G5706">
        <v>-150.87899999999999</v>
      </c>
      <c r="H5706" s="1">
        <v>-4.7506480000000004E-6</v>
      </c>
      <c r="I5706">
        <v>143.97819999999999</v>
      </c>
      <c r="J5706">
        <v>-163.98759999999999</v>
      </c>
      <c r="K5706">
        <v>1.0909450000000001</v>
      </c>
      <c r="L5706">
        <v>145.9648</v>
      </c>
      <c r="M5706">
        <v>0.97249600000000003</v>
      </c>
      <c r="N5706">
        <v>0</v>
      </c>
      <c r="O5706">
        <v>0.23222989999999999</v>
      </c>
      <c r="P5706">
        <v>0.98179760000000005</v>
      </c>
      <c r="Q5706">
        <v>0.11626649999999999</v>
      </c>
      <c r="R5706">
        <v>-0.15018589999999901</v>
      </c>
      <c r="S5706">
        <v>3.0188600000000001</v>
      </c>
      <c r="T5706">
        <v>-0.2445087</v>
      </c>
      <c r="U5706">
        <v>-0.42623899999999998</v>
      </c>
      <c r="V5706">
        <v>0.37975720000000002</v>
      </c>
      <c r="W5706">
        <v>0.115606</v>
      </c>
      <c r="X5706">
        <v>0.91783429999999999</v>
      </c>
      <c r="Y5706">
        <v>0.36404789999999998</v>
      </c>
      <c r="Z5706">
        <v>-3.3282590000000001E-2</v>
      </c>
      <c r="AA5706">
        <v>0.93078539999999998</v>
      </c>
      <c r="AB5706">
        <v>37</v>
      </c>
      <c r="AC5706">
        <v>13.1085999999999</v>
      </c>
      <c r="AD5706">
        <v>-1.0909497506479999</v>
      </c>
      <c r="AE5706">
        <v>-1.9866000000000099</v>
      </c>
      <c r="AF5706">
        <v>4.9434967434504697</v>
      </c>
      <c r="AG5706">
        <v>-1.0909497506479999</v>
      </c>
      <c r="AH5706">
        <v>12.2060406892685</v>
      </c>
      <c r="AI5706">
        <v>94.735657136714295</v>
      </c>
      <c r="AJ5706">
        <v>67.951849840756495</v>
      </c>
      <c r="AK5706">
        <v>13.2142256950236</v>
      </c>
      <c r="AL5706">
        <v>83.361420843685195</v>
      </c>
      <c r="AM5706">
        <v>67.5225005632077</v>
      </c>
      <c r="AN5706">
        <v>1.00000004022216</v>
      </c>
    </row>
    <row r="5707" spans="1:40" x14ac:dyDescent="0.25">
      <c r="A5707" t="str">
        <f>"20190312164423055"</f>
        <v>20190312164423055</v>
      </c>
      <c r="B5707" t="str">
        <f>"1552380263050569"</f>
        <v>1552380263050569</v>
      </c>
      <c r="C5707" t="s">
        <v>40</v>
      </c>
      <c r="D5707">
        <v>5.364655</v>
      </c>
      <c r="E5707">
        <v>0.50237319999999996</v>
      </c>
      <c r="F5707" t="s">
        <v>42</v>
      </c>
      <c r="G5707">
        <v>-150.5532</v>
      </c>
      <c r="H5707" s="1">
        <v>-4.8589780000000002E-6</v>
      </c>
      <c r="I5707">
        <v>143.96379999999999</v>
      </c>
      <c r="J5707">
        <v>-163.61779999999999</v>
      </c>
      <c r="K5707">
        <v>1.0909629999999999</v>
      </c>
      <c r="L5707">
        <v>146.0446</v>
      </c>
      <c r="M5707">
        <v>0.9765604</v>
      </c>
      <c r="N5707">
        <v>0</v>
      </c>
      <c r="O5707">
        <v>0.21449770000000001</v>
      </c>
      <c r="P5707">
        <v>0.98046369999999905</v>
      </c>
      <c r="Q5707">
        <v>0.1163305</v>
      </c>
      <c r="R5707">
        <v>-0.15861310000000001</v>
      </c>
      <c r="S5707">
        <v>3.0159150000000001</v>
      </c>
      <c r="T5707">
        <v>-0.24490799999999999</v>
      </c>
      <c r="U5707">
        <v>-0.44918819999999998</v>
      </c>
      <c r="V5707">
        <v>0.37091150000000001</v>
      </c>
      <c r="W5707">
        <v>0.116145</v>
      </c>
      <c r="X5707">
        <v>0.92137670000000005</v>
      </c>
      <c r="Y5707">
        <v>0.35423749999999998</v>
      </c>
      <c r="Z5707">
        <v>-3.1545610000000002E-2</v>
      </c>
      <c r="AA5707">
        <v>0.93462330000000005</v>
      </c>
      <c r="AB5707">
        <v>37</v>
      </c>
      <c r="AC5707">
        <v>13.064599999999899</v>
      </c>
      <c r="AD5707">
        <v>-1.0909678589780001</v>
      </c>
      <c r="AE5707">
        <v>-2.0808000000000102</v>
      </c>
      <c r="AF5707">
        <v>4.8024684237210504</v>
      </c>
      <c r="AG5707">
        <v>-1.0909678589780001</v>
      </c>
      <c r="AH5707">
        <v>12.2308397709403</v>
      </c>
      <c r="AI5707">
        <v>94.746214311802603</v>
      </c>
      <c r="AJ5707">
        <v>68.5624275167674</v>
      </c>
      <c r="AK5707">
        <v>13.185118707564801</v>
      </c>
      <c r="AL5707">
        <v>83.330328791468105</v>
      </c>
      <c r="AM5707">
        <v>68.072144238655696</v>
      </c>
      <c r="AN5707">
        <v>1.0000000125800601</v>
      </c>
    </row>
    <row r="5708" spans="1:40" x14ac:dyDescent="0.25">
      <c r="A5708" t="str">
        <f>"20190312164423077"</f>
        <v>20190312164423077</v>
      </c>
      <c r="B5708" t="str">
        <f>"1552380263071064"</f>
        <v>1552380263071064</v>
      </c>
      <c r="C5708" t="s">
        <v>40</v>
      </c>
      <c r="D5708">
        <v>5.3893959999999996</v>
      </c>
      <c r="E5708">
        <v>0.5019439</v>
      </c>
      <c r="F5708" t="s">
        <v>42</v>
      </c>
      <c r="G5708">
        <v>-150.4265</v>
      </c>
      <c r="H5708" s="1">
        <v>-4.9048659999999997E-6</v>
      </c>
      <c r="I5708">
        <v>143.9794</v>
      </c>
      <c r="J5708">
        <v>-163.23179999999999</v>
      </c>
      <c r="K5708">
        <v>1.090989</v>
      </c>
      <c r="L5708">
        <v>146.1206</v>
      </c>
      <c r="M5708">
        <v>0.98046</v>
      </c>
      <c r="N5708">
        <v>0</v>
      </c>
      <c r="O5708">
        <v>0.19590250000000001</v>
      </c>
      <c r="P5708">
        <v>0.97882089999999999</v>
      </c>
      <c r="Q5708">
        <v>0.116716899999999</v>
      </c>
      <c r="R5708">
        <v>-0.1681878</v>
      </c>
      <c r="S5708">
        <v>3.0130460000000001</v>
      </c>
      <c r="T5708">
        <v>-0.24918879999999999</v>
      </c>
      <c r="U5708">
        <v>-0.47171020000000002</v>
      </c>
      <c r="V5708">
        <v>0.36238700000000001</v>
      </c>
      <c r="W5708">
        <v>0.1169856</v>
      </c>
      <c r="X5708">
        <v>0.9246567</v>
      </c>
      <c r="Y5708">
        <v>0.34344479999999999</v>
      </c>
      <c r="Z5708">
        <v>-3.015456E-2</v>
      </c>
      <c r="AA5708">
        <v>0.93868859999999998</v>
      </c>
      <c r="AB5708">
        <v>37</v>
      </c>
      <c r="AC5708">
        <v>12.8052999999999</v>
      </c>
      <c r="AD5708">
        <v>-1.090993904866</v>
      </c>
      <c r="AE5708">
        <v>-2.1411999999999898</v>
      </c>
      <c r="AF5708">
        <v>4.5763741321789304</v>
      </c>
      <c r="AG5708">
        <v>-1.090993904866</v>
      </c>
      <c r="AH5708">
        <v>12.0524557402513</v>
      </c>
      <c r="AI5708">
        <v>94.837149788217204</v>
      </c>
      <c r="AJ5708">
        <v>69.207994820268794</v>
      </c>
      <c r="AK5708">
        <v>12.9381280434554</v>
      </c>
      <c r="AL5708">
        <v>83.281835231950197</v>
      </c>
      <c r="AM5708">
        <v>68.599033047112798</v>
      </c>
      <c r="AN5708">
        <v>0.99999999061562495</v>
      </c>
    </row>
    <row r="5709" spans="1:40" x14ac:dyDescent="0.25">
      <c r="A5709" t="str">
        <f>"20190312164423099"</f>
        <v>20190312164423099</v>
      </c>
      <c r="B5709" t="str">
        <f>"1552380263090584"</f>
        <v>1552380263090584</v>
      </c>
      <c r="C5709" t="s">
        <v>40</v>
      </c>
      <c r="D5709">
        <v>5.5031049999999997</v>
      </c>
      <c r="E5709">
        <v>0.5015136</v>
      </c>
      <c r="F5709" t="s">
        <v>42</v>
      </c>
      <c r="G5709">
        <v>-150.0222</v>
      </c>
      <c r="H5709" s="1">
        <v>-5.034352E-6</v>
      </c>
      <c r="I5709">
        <v>143.93379999999999</v>
      </c>
      <c r="J5709">
        <v>-162.874</v>
      </c>
      <c r="K5709">
        <v>1.091005</v>
      </c>
      <c r="L5709">
        <v>146.18389999999999</v>
      </c>
      <c r="M5709">
        <v>0.98376200000000003</v>
      </c>
      <c r="N5709">
        <v>0</v>
      </c>
      <c r="O5709">
        <v>0.17858299999999999</v>
      </c>
      <c r="P5709">
        <v>0.9774079</v>
      </c>
      <c r="Q5709">
        <v>0.1170378</v>
      </c>
      <c r="R5709">
        <v>-0.17599989999999999</v>
      </c>
      <c r="S5709">
        <v>3.0089570000000001</v>
      </c>
      <c r="T5709">
        <v>-0.24851100000000001</v>
      </c>
      <c r="U5709">
        <v>-0.49810789999999999</v>
      </c>
      <c r="V5709">
        <v>0.35344429999999999</v>
      </c>
      <c r="W5709">
        <v>0.1177783</v>
      </c>
      <c r="X5709">
        <v>0.92801149999999999</v>
      </c>
      <c r="Y5709">
        <v>0.33519549999999998</v>
      </c>
      <c r="Z5709">
        <v>-2.834764E-2</v>
      </c>
      <c r="AA5709">
        <v>0.94172199999999995</v>
      </c>
      <c r="AB5709">
        <v>37</v>
      </c>
      <c r="AC5709">
        <v>12.8517999999999</v>
      </c>
      <c r="AD5709">
        <v>-1.0910100343519999</v>
      </c>
      <c r="AE5709">
        <v>-2.2501000000000002</v>
      </c>
      <c r="AF5709">
        <v>4.4780865224055502</v>
      </c>
      <c r="AG5709">
        <v>-1.0910100343519999</v>
      </c>
      <c r="AH5709">
        <v>12.158231223441501</v>
      </c>
      <c r="AI5709">
        <v>94.813200731280403</v>
      </c>
      <c r="AJ5709">
        <v>69.780376436524506</v>
      </c>
      <c r="AK5709">
        <v>13.0025439157065</v>
      </c>
      <c r="AL5709">
        <v>83.236100573680602</v>
      </c>
      <c r="AM5709">
        <v>69.150065123073304</v>
      </c>
      <c r="AN5709">
        <v>0.99999997264281404</v>
      </c>
    </row>
    <row r="5710" spans="1:40" x14ac:dyDescent="0.25">
      <c r="A5710" t="str">
        <f>"20190312164423122"</f>
        <v>20190312164423122</v>
      </c>
      <c r="B5710" t="str">
        <f>"1552380263111081"</f>
        <v>1552380263111081</v>
      </c>
      <c r="C5710" t="s">
        <v>40</v>
      </c>
      <c r="D5710">
        <v>5.4011259999999996</v>
      </c>
      <c r="E5710">
        <v>0.50116130000000003</v>
      </c>
      <c r="F5710" t="s">
        <v>42</v>
      </c>
      <c r="G5710">
        <v>-149.64760000000001</v>
      </c>
      <c r="H5710" s="1">
        <v>-1.273186E-6</v>
      </c>
      <c r="I5710">
        <v>143.89940000000001</v>
      </c>
      <c r="J5710">
        <v>-162.5051</v>
      </c>
      <c r="K5710">
        <v>1.0910249999999999</v>
      </c>
      <c r="L5710">
        <v>146.2423</v>
      </c>
      <c r="M5710">
        <v>0.98685020000000001</v>
      </c>
      <c r="N5710">
        <v>0</v>
      </c>
      <c r="O5710">
        <v>0.1606447</v>
      </c>
      <c r="P5710">
        <v>0.97595799999999999</v>
      </c>
      <c r="Q5710">
        <v>0.1173598</v>
      </c>
      <c r="R5710">
        <v>-0.18366499999999999</v>
      </c>
      <c r="S5710">
        <v>3.0055689999999999</v>
      </c>
      <c r="T5710">
        <v>-0.24791940000000001</v>
      </c>
      <c r="U5710">
        <v>-0.51911929999999995</v>
      </c>
      <c r="V5710">
        <v>0.34380830000000001</v>
      </c>
      <c r="W5710">
        <v>0.1186036</v>
      </c>
      <c r="X5710">
        <v>0.93151969999999995</v>
      </c>
      <c r="Y5710">
        <v>0.32470549999999998</v>
      </c>
      <c r="Z5710">
        <v>-2.640789E-2</v>
      </c>
      <c r="AA5710">
        <v>0.94544640000000002</v>
      </c>
      <c r="AB5710">
        <v>37</v>
      </c>
      <c r="AC5710">
        <v>12.8574999999999</v>
      </c>
      <c r="AD5710">
        <v>-1.0910262731860001</v>
      </c>
      <c r="AE5710">
        <v>-2.3428999999999802</v>
      </c>
      <c r="AF5710">
        <v>4.34797994449396</v>
      </c>
      <c r="AG5710">
        <v>-1.0910262731860001</v>
      </c>
      <c r="AH5710">
        <v>12.228799515880899</v>
      </c>
      <c r="AI5710">
        <v>94.805122351236506</v>
      </c>
      <c r="AJ5710">
        <v>70.427030820376004</v>
      </c>
      <c r="AK5710">
        <v>13.024546269490999</v>
      </c>
      <c r="AL5710">
        <v>83.188480478266996</v>
      </c>
      <c r="AM5710">
        <v>69.741742050089698</v>
      </c>
      <c r="AN5710">
        <v>0.99999995628496896</v>
      </c>
    </row>
    <row r="5711" spans="1:40" x14ac:dyDescent="0.25">
      <c r="A5711" t="str">
        <f>"20190312164423146"</f>
        <v>20190312164423146</v>
      </c>
      <c r="B5711" t="str">
        <f>"1552380263141337"</f>
        <v>1552380263141337</v>
      </c>
      <c r="C5711" t="s">
        <v>40</v>
      </c>
      <c r="D5711">
        <v>5.5280440000000004</v>
      </c>
      <c r="E5711">
        <v>0.50074730000000001</v>
      </c>
      <c r="F5711" t="s">
        <v>42</v>
      </c>
      <c r="G5711">
        <v>-149.2775</v>
      </c>
      <c r="H5711" s="1">
        <v>-1.421721E-6</v>
      </c>
      <c r="I5711">
        <v>143.86099999999999</v>
      </c>
      <c r="J5711">
        <v>-162.10659999999999</v>
      </c>
      <c r="K5711">
        <v>1.0910359999999999</v>
      </c>
      <c r="L5711">
        <v>146.297</v>
      </c>
      <c r="M5711">
        <v>0.98982320000000001</v>
      </c>
      <c r="N5711">
        <v>0</v>
      </c>
      <c r="O5711">
        <v>0.14117460000000001</v>
      </c>
      <c r="P5711">
        <v>0.97439379999999998</v>
      </c>
      <c r="Q5711">
        <v>0.1177724</v>
      </c>
      <c r="R5711">
        <v>-0.19153800000000001</v>
      </c>
      <c r="S5711">
        <v>3.0019680000000002</v>
      </c>
      <c r="T5711">
        <v>-0.24760470000000001</v>
      </c>
      <c r="U5711">
        <v>-0.54042049999999997</v>
      </c>
      <c r="V5711">
        <v>0.33295150000000001</v>
      </c>
      <c r="W5711">
        <v>0.1195789</v>
      </c>
      <c r="X5711">
        <v>0.93533109999999997</v>
      </c>
      <c r="Y5711">
        <v>0.31286160000000002</v>
      </c>
      <c r="Z5711">
        <v>-2.4320000000000001E-2</v>
      </c>
      <c r="AA5711">
        <v>0.94948730000000003</v>
      </c>
      <c r="AB5711">
        <v>37</v>
      </c>
      <c r="AC5711">
        <v>12.829099999999899</v>
      </c>
      <c r="AD5711">
        <v>-1.0910374217209999</v>
      </c>
      <c r="AE5711">
        <v>-2.4359999999999999</v>
      </c>
      <c r="AF5711">
        <v>4.1937519407879096</v>
      </c>
      <c r="AG5711">
        <v>-1.0910374217209999</v>
      </c>
      <c r="AH5711">
        <v>12.2709543691038</v>
      </c>
      <c r="AI5711">
        <v>94.809216444119201</v>
      </c>
      <c r="AJ5711">
        <v>71.1314961447586</v>
      </c>
      <c r="AK5711">
        <v>13.013617449621201</v>
      </c>
      <c r="AL5711">
        <v>83.132199946852495</v>
      </c>
      <c r="AM5711">
        <v>70.405704258643794</v>
      </c>
      <c r="AN5711">
        <v>1.0000000406523299</v>
      </c>
    </row>
    <row r="5712" spans="1:40" x14ac:dyDescent="0.25">
      <c r="A5712" t="str">
        <f>"20190312164423172"</f>
        <v>20190312164423172</v>
      </c>
      <c r="B5712" t="str">
        <f>"1552380263161364"</f>
        <v>1552380263161364</v>
      </c>
      <c r="C5712" t="s">
        <v>40</v>
      </c>
      <c r="D5712">
        <v>5.5418789999999998</v>
      </c>
      <c r="E5712">
        <v>0.50044849999999996</v>
      </c>
      <c r="F5712" t="s">
        <v>42</v>
      </c>
      <c r="G5712">
        <v>-148.91329999999999</v>
      </c>
      <c r="H5712" s="1">
        <v>-1.567584E-6</v>
      </c>
      <c r="I5712">
        <v>143.82210000000001</v>
      </c>
      <c r="J5712">
        <v>-161.67850000000001</v>
      </c>
      <c r="K5712">
        <v>1.0910530000000001</v>
      </c>
      <c r="L5712">
        <v>146.34690000000001</v>
      </c>
      <c r="M5712">
        <v>0.99259390000000003</v>
      </c>
      <c r="N5712">
        <v>0</v>
      </c>
      <c r="O5712">
        <v>0.12015729999999999</v>
      </c>
      <c r="P5712">
        <v>0.9723231</v>
      </c>
      <c r="Q5712">
        <v>0.11793919999999999</v>
      </c>
      <c r="R5712">
        <v>-0.2016878</v>
      </c>
      <c r="S5712">
        <v>2.9982600000000001</v>
      </c>
      <c r="T5712">
        <v>-0.24794569999999999</v>
      </c>
      <c r="U5712">
        <v>-0.56242369999999997</v>
      </c>
      <c r="V5712">
        <v>0.32284429999999997</v>
      </c>
      <c r="W5712">
        <v>0.12026489999999999</v>
      </c>
      <c r="X5712">
        <v>0.93877999999999995</v>
      </c>
      <c r="Y5712">
        <v>0.29975659999999998</v>
      </c>
      <c r="Z5712">
        <v>-2.2112429999999999E-2</v>
      </c>
      <c r="AA5712">
        <v>0.95375940000000003</v>
      </c>
      <c r="AB5712">
        <v>37</v>
      </c>
      <c r="AC5712">
        <v>12.7652</v>
      </c>
      <c r="AD5712">
        <v>-1.091054567584</v>
      </c>
      <c r="AE5712">
        <v>-2.5247999999999902</v>
      </c>
      <c r="AF5712">
        <v>4.0123706773340704</v>
      </c>
      <c r="AG5712">
        <v>-1.091054567584</v>
      </c>
      <c r="AH5712">
        <v>12.282910921286099</v>
      </c>
      <c r="AI5712">
        <v>94.826388026729305</v>
      </c>
      <c r="AJ5712">
        <v>71.909708269299301</v>
      </c>
      <c r="AK5712">
        <v>12.9676296686028</v>
      </c>
      <c r="AL5712">
        <v>83.092608967119702</v>
      </c>
      <c r="AM5712">
        <v>71.022023309699193</v>
      </c>
      <c r="AN5712">
        <v>0.99999998830724901</v>
      </c>
    </row>
    <row r="5713" spans="1:40" x14ac:dyDescent="0.25">
      <c r="A5713" t="str">
        <f>"20190312164423196"</f>
        <v>20190312164423196</v>
      </c>
      <c r="B5713" t="str">
        <f>"1552380263190644"</f>
        <v>1552380263190644</v>
      </c>
      <c r="C5713" t="s">
        <v>40</v>
      </c>
      <c r="D5713">
        <v>5.458145</v>
      </c>
      <c r="E5713">
        <v>0.5000173</v>
      </c>
      <c r="F5713" t="s">
        <v>42</v>
      </c>
      <c r="G5713">
        <v>-148.5222</v>
      </c>
      <c r="H5713" s="1">
        <v>-1.715328E-6</v>
      </c>
      <c r="I5713">
        <v>143.74680000000001</v>
      </c>
      <c r="J5713">
        <v>-161.2747</v>
      </c>
      <c r="K5713">
        <v>1.0910690000000001</v>
      </c>
      <c r="L5713">
        <v>146.38570000000001</v>
      </c>
      <c r="M5713">
        <v>0.99480349999999995</v>
      </c>
      <c r="N5713">
        <v>0</v>
      </c>
      <c r="O5713">
        <v>0.1002352</v>
      </c>
      <c r="P5713">
        <v>0.97049589999999997</v>
      </c>
      <c r="Q5713">
        <v>0.1174487</v>
      </c>
      <c r="R5713">
        <v>-0.2105804</v>
      </c>
      <c r="S5713">
        <v>2.9927980000000001</v>
      </c>
      <c r="T5713">
        <v>-0.24819340000000001</v>
      </c>
      <c r="U5713">
        <v>-0.59144589999999997</v>
      </c>
      <c r="V5713">
        <v>0.31256790000000001</v>
      </c>
      <c r="W5713">
        <v>0.1202985</v>
      </c>
      <c r="X5713">
        <v>0.9422471</v>
      </c>
      <c r="Y5713">
        <v>0.28995100000000001</v>
      </c>
      <c r="Z5713">
        <v>-2.0118219999999999E-2</v>
      </c>
      <c r="AA5713">
        <v>0.95682999999999996</v>
      </c>
      <c r="AB5713">
        <v>37</v>
      </c>
      <c r="AC5713">
        <v>12.7524999999999</v>
      </c>
      <c r="AD5713">
        <v>-1.0910707153279999</v>
      </c>
      <c r="AE5713">
        <v>-2.6389</v>
      </c>
      <c r="AF5713">
        <v>3.8768454283598102</v>
      </c>
      <c r="AG5713">
        <v>-1.0910707153279999</v>
      </c>
      <c r="AH5713">
        <v>12.3371019500903</v>
      </c>
      <c r="AI5713">
        <v>94.822651696537406</v>
      </c>
      <c r="AJ5713">
        <v>72.555049511330793</v>
      </c>
      <c r="AK5713">
        <v>12.9778445940828</v>
      </c>
      <c r="AL5713">
        <v>83.090669895801398</v>
      </c>
      <c r="AM5713">
        <v>71.647973070496207</v>
      </c>
      <c r="AN5713">
        <v>1.0000000093355299</v>
      </c>
    </row>
    <row r="5714" spans="1:40" x14ac:dyDescent="0.25">
      <c r="A5714" t="str">
        <f>"20190312164423217"</f>
        <v>20190312164423217</v>
      </c>
      <c r="B5714" t="str">
        <f>"1552380263211139"</f>
        <v>1552380263211139</v>
      </c>
      <c r="C5714" t="s">
        <v>40</v>
      </c>
      <c r="D5714">
        <v>5.3958370000000002</v>
      </c>
      <c r="E5714">
        <v>0.49981680000000001</v>
      </c>
      <c r="F5714" t="s">
        <v>42</v>
      </c>
      <c r="G5714">
        <v>-148.32679999999999</v>
      </c>
      <c r="H5714" s="1">
        <v>-1.7916389999999999E-6</v>
      </c>
      <c r="I5714">
        <v>143.7184</v>
      </c>
      <c r="J5714">
        <v>-160.90819999999999</v>
      </c>
      <c r="K5714">
        <v>1.0910839999999999</v>
      </c>
      <c r="L5714">
        <v>146.41380000000001</v>
      </c>
      <c r="M5714">
        <v>0.99646599999999996</v>
      </c>
      <c r="N5714">
        <v>0</v>
      </c>
      <c r="O5714">
        <v>8.2079059999999995E-2</v>
      </c>
      <c r="P5714">
        <v>0.96909730000000005</v>
      </c>
      <c r="Q5714">
        <v>0.11682140000000001</v>
      </c>
      <c r="R5714">
        <v>-0.21726309999999999</v>
      </c>
      <c r="S5714">
        <v>2.9881289999999998</v>
      </c>
      <c r="T5714">
        <v>-0.2517971</v>
      </c>
      <c r="U5714">
        <v>-0.61553959999999996</v>
      </c>
      <c r="V5714">
        <v>0.30182219999999998</v>
      </c>
      <c r="W5714">
        <v>0.12021660000000001</v>
      </c>
      <c r="X5714">
        <v>0.94575430000000005</v>
      </c>
      <c r="Y5714">
        <v>0.28024500000000002</v>
      </c>
      <c r="Z5714">
        <v>-1.8507329999999999E-2</v>
      </c>
      <c r="AA5714">
        <v>0.95975010000000005</v>
      </c>
      <c r="AB5714">
        <v>37</v>
      </c>
      <c r="AC5714">
        <v>12.5814</v>
      </c>
      <c r="AD5714">
        <v>-1.091085791639</v>
      </c>
      <c r="AE5714">
        <v>-2.6953999999999998</v>
      </c>
      <c r="AF5714">
        <v>3.69258409430602</v>
      </c>
      <c r="AG5714">
        <v>-1.091085791639</v>
      </c>
      <c r="AH5714">
        <v>12.229723229423501</v>
      </c>
      <c r="AI5714">
        <v>94.881654681950806</v>
      </c>
      <c r="AJ5714">
        <v>73.199085652665602</v>
      </c>
      <c r="AK5714">
        <v>12.8215356243524</v>
      </c>
      <c r="AL5714">
        <v>83.095396198849897</v>
      </c>
      <c r="AM5714">
        <v>72.300357285577107</v>
      </c>
      <c r="AN5714">
        <v>0.99999993364844197</v>
      </c>
    </row>
    <row r="5715" spans="1:40" x14ac:dyDescent="0.25">
      <c r="A5715" t="str">
        <f>"20190312164423237"</f>
        <v>20190312164423237</v>
      </c>
      <c r="B5715" t="str">
        <f>"1552380263230660"</f>
        <v>1552380263230660</v>
      </c>
      <c r="C5715" t="s">
        <v>40</v>
      </c>
      <c r="D5715">
        <v>5.4928569999999999</v>
      </c>
      <c r="E5715">
        <v>0.49953209999999998</v>
      </c>
      <c r="F5715" t="s">
        <v>42</v>
      </c>
      <c r="G5715">
        <v>-148.1311</v>
      </c>
      <c r="H5715" s="1">
        <v>-1.8692259999999999E-6</v>
      </c>
      <c r="I5715">
        <v>143.69450000000001</v>
      </c>
      <c r="J5715">
        <v>-160.57399999999899</v>
      </c>
      <c r="K5715">
        <v>1.0910949999999999</v>
      </c>
      <c r="L5715">
        <v>146.4333</v>
      </c>
      <c r="M5715">
        <v>0.99769589999999997</v>
      </c>
      <c r="N5715">
        <v>0</v>
      </c>
      <c r="O5715">
        <v>6.5457749999999995E-2</v>
      </c>
      <c r="P5715">
        <v>0.96780869999999997</v>
      </c>
      <c r="Q5715">
        <v>0.1162662</v>
      </c>
      <c r="R5715">
        <v>-0.22322320000000001</v>
      </c>
      <c r="S5715">
        <v>2.9840239999999998</v>
      </c>
      <c r="T5715">
        <v>-0.25481549999999997</v>
      </c>
      <c r="U5715">
        <v>-0.63505549999999999</v>
      </c>
      <c r="V5715">
        <v>0.29182619999999998</v>
      </c>
      <c r="W5715">
        <v>0.12016540000000001</v>
      </c>
      <c r="X5715">
        <v>0.94889290000000004</v>
      </c>
      <c r="Y5715">
        <v>0.27057039999999999</v>
      </c>
      <c r="Z5715">
        <v>-1.6929909999999999E-2</v>
      </c>
      <c r="AA5715">
        <v>0.9625513</v>
      </c>
      <c r="AB5715">
        <v>37</v>
      </c>
      <c r="AC5715">
        <v>12.4428999999999</v>
      </c>
      <c r="AD5715">
        <v>-1.0910968692259999</v>
      </c>
      <c r="AE5715">
        <v>-2.7387999999999901</v>
      </c>
      <c r="AF5715">
        <v>3.5217102240602198</v>
      </c>
      <c r="AG5715">
        <v>-1.0910968692259999</v>
      </c>
      <c r="AH5715">
        <v>12.1478103925425</v>
      </c>
      <c r="AI5715">
        <v>94.930494079432094</v>
      </c>
      <c r="AJ5715">
        <v>73.832865211259602</v>
      </c>
      <c r="AK5715">
        <v>12.6949687913538</v>
      </c>
      <c r="AL5715">
        <v>83.098351589738598</v>
      </c>
      <c r="AM5715">
        <v>72.905040360093807</v>
      </c>
      <c r="AN5715">
        <v>0.99999999501700498</v>
      </c>
    </row>
    <row r="5716" spans="1:40" x14ac:dyDescent="0.25">
      <c r="A5716" t="str">
        <f>"20190312164423278"</f>
        <v>20190312164423278</v>
      </c>
      <c r="B5716" t="str">
        <f>"1552380263271186"</f>
        <v>1552380263271186</v>
      </c>
      <c r="C5716" t="s">
        <v>40</v>
      </c>
      <c r="D5716">
        <v>5.4549120000000002</v>
      </c>
      <c r="E5716">
        <v>0.51310579999999995</v>
      </c>
      <c r="F5716" t="s">
        <v>42</v>
      </c>
      <c r="G5716">
        <v>-147.97649999999999</v>
      </c>
      <c r="H5716" s="1">
        <v>-1.932282E-6</v>
      </c>
      <c r="I5716">
        <v>143.6823</v>
      </c>
      <c r="J5716">
        <v>-159.8871</v>
      </c>
      <c r="K5716">
        <v>1.091119</v>
      </c>
      <c r="L5716">
        <v>146.45570000000001</v>
      </c>
      <c r="M5716">
        <v>0.99935649999999998</v>
      </c>
      <c r="N5716">
        <v>0</v>
      </c>
      <c r="O5716">
        <v>3.1135659999999999E-2</v>
      </c>
      <c r="P5716">
        <v>0.96475929999999999</v>
      </c>
      <c r="Q5716">
        <v>0.1161842</v>
      </c>
      <c r="R5716">
        <v>-0.23609630000000001</v>
      </c>
      <c r="S5716">
        <v>2.980667</v>
      </c>
      <c r="T5716">
        <v>-0.25816119999999998</v>
      </c>
      <c r="U5716">
        <v>-0.65090939999999997</v>
      </c>
      <c r="V5716">
        <v>0.27175959999999899</v>
      </c>
      <c r="W5716">
        <v>0.1210823</v>
      </c>
      <c r="X5716">
        <v>0.95471760000000006</v>
      </c>
      <c r="Y5716">
        <v>0.24268909999999999</v>
      </c>
      <c r="Z5716">
        <v>-1.3031569999999999E-2</v>
      </c>
      <c r="AA5716">
        <v>0.97001660000000001</v>
      </c>
      <c r="AB5716">
        <v>37</v>
      </c>
      <c r="AC5716">
        <v>11.910600000000001</v>
      </c>
      <c r="AD5716">
        <v>-1.0911209322819999</v>
      </c>
      <c r="AE5716">
        <v>-2.7734000000000001</v>
      </c>
      <c r="AF5716">
        <v>3.1181358338150602</v>
      </c>
      <c r="AG5716">
        <v>-1.0911209322819999</v>
      </c>
      <c r="AH5716">
        <v>11.725118878165</v>
      </c>
      <c r="AI5716">
        <v>95.1389348504118</v>
      </c>
      <c r="AJ5716">
        <v>75.1076535986804</v>
      </c>
      <c r="AK5716">
        <v>12.181614370603199</v>
      </c>
      <c r="AL5716">
        <v>83.045430356875897</v>
      </c>
      <c r="AM5716">
        <v>74.111039279846693</v>
      </c>
      <c r="AN5716">
        <v>0.99999994965760297</v>
      </c>
    </row>
    <row r="5717" spans="1:40" x14ac:dyDescent="0.25">
      <c r="A5717" t="str">
        <f>"20190312164423303"</f>
        <v>20190312164423303</v>
      </c>
      <c r="B5717" t="str">
        <f>"1552380263290702"</f>
        <v>1552380263290702</v>
      </c>
      <c r="C5717" t="s">
        <v>40</v>
      </c>
      <c r="D5717">
        <v>5.4820719999999996</v>
      </c>
      <c r="E5717">
        <v>0.51228229999999997</v>
      </c>
      <c r="F5717" t="s">
        <v>42</v>
      </c>
      <c r="G5717">
        <v>-147.06630000000001</v>
      </c>
      <c r="H5717" s="1">
        <v>-2.1376769999999999E-6</v>
      </c>
      <c r="I5717">
        <v>142.98679999999999</v>
      </c>
      <c r="J5717">
        <v>-159.4949</v>
      </c>
      <c r="K5717">
        <v>1.0911409999999999</v>
      </c>
      <c r="L5717">
        <v>146.45769999999999</v>
      </c>
      <c r="M5717">
        <v>0.9997762</v>
      </c>
      <c r="N5717">
        <v>0</v>
      </c>
      <c r="O5717">
        <v>1.1444670000000001E-2</v>
      </c>
      <c r="P5717">
        <v>0.96271960000000001</v>
      </c>
      <c r="Q5717">
        <v>0.1155402</v>
      </c>
      <c r="R5717">
        <v>-0.24458450000000001</v>
      </c>
      <c r="S5717">
        <v>2.9447779999999999</v>
      </c>
      <c r="T5717">
        <v>-0.25061749999999999</v>
      </c>
      <c r="U5717">
        <v>-0.79676819999999904</v>
      </c>
      <c r="V5717">
        <v>0.26130179999999997</v>
      </c>
      <c r="W5717">
        <v>0.12095119999999999</v>
      </c>
      <c r="X5717">
        <v>0.95764930000000004</v>
      </c>
      <c r="Y5717">
        <v>0.27125739999999998</v>
      </c>
      <c r="Z5717">
        <v>-1.227518E-2</v>
      </c>
      <c r="AA5717">
        <v>0.96242859999999997</v>
      </c>
      <c r="AB5717">
        <v>36</v>
      </c>
      <c r="AC5717">
        <v>12.4285999999999</v>
      </c>
      <c r="AD5717">
        <v>-1.091143137677</v>
      </c>
      <c r="AE5717">
        <v>-3.4708999999999999</v>
      </c>
      <c r="AF5717">
        <v>3.58728735812837</v>
      </c>
      <c r="AG5717">
        <v>-1.091143137677</v>
      </c>
      <c r="AH5717">
        <v>12.3001107435043</v>
      </c>
      <c r="AI5717">
        <v>94.867682697397797</v>
      </c>
      <c r="AJ5717">
        <v>73.740846821931797</v>
      </c>
      <c r="AK5717">
        <v>12.858924847714</v>
      </c>
      <c r="AL5717">
        <v>83.052997818359103</v>
      </c>
      <c r="AM5717">
        <v>74.737936275891499</v>
      </c>
      <c r="AN5717">
        <v>1.0000000026275799</v>
      </c>
    </row>
    <row r="5718" spans="1:40" x14ac:dyDescent="0.25">
      <c r="A5718" t="str">
        <f>"20190312164423346"</f>
        <v>20190312164423346</v>
      </c>
      <c r="B5718" t="str">
        <f>"1552380263340482"</f>
        <v>1552380263340482</v>
      </c>
      <c r="C5718" t="s">
        <v>40</v>
      </c>
      <c r="D5718">
        <v>5.4480370000000002</v>
      </c>
      <c r="E5718">
        <v>0.50898060000000001</v>
      </c>
      <c r="F5718" t="s">
        <v>42</v>
      </c>
      <c r="G5718">
        <v>-146.8212</v>
      </c>
      <c r="H5718" s="1">
        <v>-2.2269370000000002E-6</v>
      </c>
      <c r="I5718">
        <v>142.92699999999999</v>
      </c>
      <c r="J5718">
        <v>-158.78100000000001</v>
      </c>
      <c r="K5718">
        <v>1.0911770000000001</v>
      </c>
      <c r="L5718">
        <v>146.4408</v>
      </c>
      <c r="M5718">
        <v>0.99954100000000001</v>
      </c>
      <c r="N5718">
        <v>0</v>
      </c>
      <c r="O5718">
        <v>-2.455419E-2</v>
      </c>
      <c r="P5718">
        <v>0.95883019999999997</v>
      </c>
      <c r="Q5718">
        <v>0.1147811</v>
      </c>
      <c r="R5718">
        <v>-0.25974999999999998</v>
      </c>
      <c r="S5718">
        <v>2.9385829999999999</v>
      </c>
      <c r="T5718">
        <v>-0.25299670000000002</v>
      </c>
      <c r="U5718">
        <v>-0.81863399999999997</v>
      </c>
      <c r="V5718">
        <v>0.241816</v>
      </c>
      <c r="W5718">
        <v>0.1211368</v>
      </c>
      <c r="X5718">
        <v>0.96273089999999995</v>
      </c>
      <c r="Y5718">
        <v>0.24387239999999999</v>
      </c>
      <c r="Z5718">
        <v>-8.2146359999999904E-3</v>
      </c>
      <c r="AA5718">
        <v>0.96977250000000004</v>
      </c>
      <c r="AB5718">
        <v>36</v>
      </c>
      <c r="AC5718">
        <v>11.9598</v>
      </c>
      <c r="AD5718">
        <v>-1.091179226937</v>
      </c>
      <c r="AE5718">
        <v>-3.5137999999999701</v>
      </c>
      <c r="AF5718">
        <v>3.1945516285263298</v>
      </c>
      <c r="AG5718">
        <v>-1.091179226937</v>
      </c>
      <c r="AH5718">
        <v>11.9509077803173</v>
      </c>
      <c r="AI5718">
        <v>95.0409078299854</v>
      </c>
      <c r="AJ5718">
        <v>75.034378934768</v>
      </c>
      <c r="AK5718">
        <v>12.4185357021779</v>
      </c>
      <c r="AL5718">
        <v>83.042284541529995</v>
      </c>
      <c r="AM5718">
        <v>75.900296009957103</v>
      </c>
      <c r="AN5718">
        <v>0.99999994399252301</v>
      </c>
    </row>
    <row r="5719" spans="1:40" x14ac:dyDescent="0.25">
      <c r="A5719" t="str">
        <f>"20190312164423377"</f>
        <v>20190312164423377</v>
      </c>
      <c r="B5719" t="str">
        <f>"1552380263371241"</f>
        <v>1552380263371241</v>
      </c>
      <c r="C5719" t="s">
        <v>40</v>
      </c>
      <c r="D5719">
        <v>5.4568640000000004</v>
      </c>
      <c r="E5719">
        <v>0.50918809999999903</v>
      </c>
      <c r="F5719" t="s">
        <v>42</v>
      </c>
      <c r="G5719">
        <v>-149.54159999999999</v>
      </c>
      <c r="H5719" s="1">
        <v>-1.296048E-6</v>
      </c>
      <c r="I5719">
        <v>143.81460000000001</v>
      </c>
      <c r="J5719">
        <v>-158.273</v>
      </c>
      <c r="K5719">
        <v>1.091213</v>
      </c>
      <c r="L5719">
        <v>146.41290000000001</v>
      </c>
      <c r="M5719">
        <v>0.99857870000000004</v>
      </c>
      <c r="N5719">
        <v>0</v>
      </c>
      <c r="O5719">
        <v>-5.0267590000000001E-2</v>
      </c>
      <c r="P5719">
        <v>0.95435729999999996</v>
      </c>
      <c r="Q5719">
        <v>0.1148906</v>
      </c>
      <c r="R5719">
        <v>-0.27568520000000002</v>
      </c>
      <c r="S5719">
        <v>2.9437410000000002</v>
      </c>
      <c r="T5719">
        <v>-0.34765800000000002</v>
      </c>
      <c r="U5719">
        <v>-0.83670040000000001</v>
      </c>
      <c r="V5719">
        <v>0.23305210000000001</v>
      </c>
      <c r="W5719">
        <v>0.121657399999999</v>
      </c>
      <c r="X5719">
        <v>0.96482440000000003</v>
      </c>
      <c r="Y5719">
        <v>0.22358449999999999</v>
      </c>
      <c r="Z5719">
        <v>-7.1127480000000003E-3</v>
      </c>
      <c r="AA5719">
        <v>0.97465860000000004</v>
      </c>
      <c r="AB5719">
        <v>36</v>
      </c>
      <c r="AC5719">
        <v>8.7314000000000007</v>
      </c>
      <c r="AD5719">
        <v>-1.091214296048</v>
      </c>
      <c r="AE5719">
        <v>-2.5982999999999898</v>
      </c>
      <c r="AF5719">
        <v>2.12554083934769</v>
      </c>
      <c r="AG5719">
        <v>-1.091214296048</v>
      </c>
      <c r="AH5719">
        <v>8.7257882321183402</v>
      </c>
      <c r="AI5719">
        <v>96.9276702298136</v>
      </c>
      <c r="AJ5719">
        <v>76.309774834241594</v>
      </c>
      <c r="AK5719">
        <v>9.0469913657198404</v>
      </c>
      <c r="AL5719">
        <v>83.012234241715007</v>
      </c>
      <c r="AM5719">
        <v>76.420393846756397</v>
      </c>
      <c r="AN5719">
        <v>0.99999996356226395</v>
      </c>
    </row>
    <row r="5720" spans="1:40" x14ac:dyDescent="0.25">
      <c r="A5720" t="str">
        <f>"20190312164423414"</f>
        <v>20190312164423414</v>
      </c>
      <c r="B5720" t="str">
        <f>"1552380263411258"</f>
        <v>1552380263411258</v>
      </c>
      <c r="C5720" t="s">
        <v>40</v>
      </c>
      <c r="D5720">
        <v>5.433478</v>
      </c>
      <c r="E5720">
        <v>0.50935200000000003</v>
      </c>
      <c r="F5720" t="s">
        <v>42</v>
      </c>
      <c r="G5720">
        <v>-148.75129999999999</v>
      </c>
      <c r="H5720" s="1">
        <v>-1.5581970000000001E-6</v>
      </c>
      <c r="I5720">
        <v>143.5257</v>
      </c>
      <c r="J5720">
        <v>-157.6789</v>
      </c>
      <c r="K5720">
        <v>1.0912520000000001</v>
      </c>
      <c r="L5720">
        <v>146.36320000000001</v>
      </c>
      <c r="M5720">
        <v>0.99660499999999996</v>
      </c>
      <c r="N5720">
        <v>0</v>
      </c>
      <c r="O5720">
        <v>-8.0415699999999896E-2</v>
      </c>
      <c r="P5720">
        <v>0.95141739999999997</v>
      </c>
      <c r="Q5720">
        <v>0.1135897</v>
      </c>
      <c r="R5720">
        <v>-0.28618670000000002</v>
      </c>
      <c r="S5720">
        <v>2.9274290000000001</v>
      </c>
      <c r="T5720">
        <v>-0.33549069999999998</v>
      </c>
      <c r="U5720">
        <v>-0.88766480000000003</v>
      </c>
      <c r="V5720">
        <v>0.21438280000000001</v>
      </c>
      <c r="W5720">
        <v>0.12124699999999999</v>
      </c>
      <c r="X5720">
        <v>0.96919509999999998</v>
      </c>
      <c r="Y5720">
        <v>0.21148700000000001</v>
      </c>
      <c r="Z5720">
        <v>-2.8626060000000002E-3</v>
      </c>
      <c r="AA5720">
        <v>0.97737660000000004</v>
      </c>
      <c r="AB5720">
        <v>36</v>
      </c>
      <c r="AC5720">
        <v>8.9276000000000106</v>
      </c>
      <c r="AD5720">
        <v>-1.091253558197</v>
      </c>
      <c r="AE5720">
        <v>-2.8374999999999999</v>
      </c>
      <c r="AF5720">
        <v>2.08202296345261</v>
      </c>
      <c r="AG5720">
        <v>-1.091253558197</v>
      </c>
      <c r="AH5720">
        <v>9.0046974897212895</v>
      </c>
      <c r="AI5720">
        <v>96.733858309346004</v>
      </c>
      <c r="AJ5720">
        <v>76.981125192125404</v>
      </c>
      <c r="AK5720">
        <v>9.30646177824927</v>
      </c>
      <c r="AL5720">
        <v>83.035923919158705</v>
      </c>
      <c r="AM5720">
        <v>77.527195064215803</v>
      </c>
      <c r="AN5720">
        <v>0.99999998090442399</v>
      </c>
    </row>
    <row r="5721" spans="1:40" x14ac:dyDescent="0.25">
      <c r="A5721" t="str">
        <f>"20190312164423443"</f>
        <v>20190312164423443</v>
      </c>
      <c r="B5721" t="str">
        <f>"1552380263430777"</f>
        <v>1552380263430777</v>
      </c>
      <c r="C5721" t="s">
        <v>40</v>
      </c>
      <c r="D5721">
        <v>5.39621</v>
      </c>
      <c r="E5721">
        <v>0.50936999999999999</v>
      </c>
      <c r="F5721" t="s">
        <v>42</v>
      </c>
      <c r="G5721">
        <v>-147.43430000000001</v>
      </c>
      <c r="H5721" s="1">
        <v>-2.01254E-6</v>
      </c>
      <c r="I5721">
        <v>143.10980000000001</v>
      </c>
      <c r="J5721">
        <v>-157.18950000000001</v>
      </c>
      <c r="K5721">
        <v>1.0912999999999999</v>
      </c>
      <c r="L5721">
        <v>146.309</v>
      </c>
      <c r="M5721">
        <v>0.99428810000000001</v>
      </c>
      <c r="N5721">
        <v>0</v>
      </c>
      <c r="O5721">
        <v>-0.1052662</v>
      </c>
      <c r="P5721">
        <v>0.94709829999999995</v>
      </c>
      <c r="Q5721">
        <v>0.1116727</v>
      </c>
      <c r="R5721">
        <v>-0.3008885</v>
      </c>
      <c r="S5721">
        <v>2.912048</v>
      </c>
      <c r="T5721">
        <v>-0.31019059999999998</v>
      </c>
      <c r="U5721">
        <v>-0.92477419999999999</v>
      </c>
      <c r="V5721">
        <v>0.20505519999999999</v>
      </c>
      <c r="W5721">
        <v>0.11976349999999999</v>
      </c>
      <c r="X5721">
        <v>0.97139540000000002</v>
      </c>
      <c r="Y5721">
        <v>0.20016110000000001</v>
      </c>
      <c r="Z5721">
        <v>4.8008840000000002E-4</v>
      </c>
      <c r="AA5721">
        <v>0.97976289999999999</v>
      </c>
      <c r="AB5721">
        <v>36</v>
      </c>
      <c r="AC5721">
        <v>9.7552000000000003</v>
      </c>
      <c r="AD5721">
        <v>-1.0913020125399999</v>
      </c>
      <c r="AE5721">
        <v>-3.1991999999999901</v>
      </c>
      <c r="AF5721">
        <v>2.1302968140423499</v>
      </c>
      <c r="AG5721">
        <v>-1.0913020125399999</v>
      </c>
      <c r="AH5721">
        <v>9.9256502998205001</v>
      </c>
      <c r="AI5721">
        <v>96.135710618923198</v>
      </c>
      <c r="AJ5721">
        <v>77.886635296814305</v>
      </c>
      <c r="AK5721">
        <v>10.2101732831925</v>
      </c>
      <c r="AL5721">
        <v>83.121546147322405</v>
      </c>
      <c r="AM5721">
        <v>78.080230552026407</v>
      </c>
      <c r="AN5721">
        <v>0.99999997706022403</v>
      </c>
    </row>
    <row r="5722" spans="1:40" x14ac:dyDescent="0.25">
      <c r="A5722" t="str">
        <f>"20190312164423466"</f>
        <v>20190312164423466</v>
      </c>
      <c r="B5722" t="str">
        <f>"1552380263460564"</f>
        <v>1552380263460564</v>
      </c>
      <c r="C5722" t="s">
        <v>40</v>
      </c>
      <c r="D5722">
        <v>5.4405619999999999</v>
      </c>
      <c r="E5722">
        <v>0.50934740000000001</v>
      </c>
      <c r="F5722" t="s">
        <v>41</v>
      </c>
      <c r="G5722">
        <v>-156.20779999999999</v>
      </c>
      <c r="H5722">
        <v>0.98667079999999996</v>
      </c>
      <c r="I5722">
        <v>145.9803</v>
      </c>
      <c r="J5722">
        <v>-156.81780000000001</v>
      </c>
      <c r="K5722">
        <v>1.091348</v>
      </c>
      <c r="L5722">
        <v>146.2587</v>
      </c>
      <c r="M5722">
        <v>0.99211009999999999</v>
      </c>
      <c r="N5722">
        <v>0</v>
      </c>
      <c r="O5722">
        <v>-0.12413299999999999</v>
      </c>
      <c r="P5722">
        <v>0.94449000000000005</v>
      </c>
      <c r="Q5722">
        <v>0.10910590000000001</v>
      </c>
      <c r="R5722">
        <v>-0.30989460000000002</v>
      </c>
      <c r="S5722">
        <v>2.8958740000000001</v>
      </c>
      <c r="T5722">
        <v>-0.3085849</v>
      </c>
      <c r="U5722">
        <v>-0.96968080000000001</v>
      </c>
      <c r="V5722">
        <v>0.19566749999999999</v>
      </c>
      <c r="W5722">
        <v>0.1176325</v>
      </c>
      <c r="X5722">
        <v>0.9735897</v>
      </c>
      <c r="Y5722">
        <v>0.19696749999999999</v>
      </c>
      <c r="Z5722">
        <v>2.566479E-3</v>
      </c>
      <c r="AA5722">
        <v>0.98040660000000002</v>
      </c>
      <c r="AB5722">
        <v>36</v>
      </c>
      <c r="AC5722">
        <v>0.61000000000001298</v>
      </c>
      <c r="AD5722">
        <v>-0.104677199999999</v>
      </c>
      <c r="AE5722">
        <v>-0.27840000000000398</v>
      </c>
      <c r="AF5722">
        <v>0.19574282940304599</v>
      </c>
      <c r="AG5722">
        <v>-0.104677199999999</v>
      </c>
      <c r="AH5722">
        <v>0.62462190946137697</v>
      </c>
      <c r="AI5722">
        <v>99.085606607618203</v>
      </c>
      <c r="AJ5722">
        <v>72.600151326932902</v>
      </c>
      <c r="AK5722">
        <v>0.662891470183262</v>
      </c>
      <c r="AL5722">
        <v>83.244513231158095</v>
      </c>
      <c r="AM5722">
        <v>78.636345280403802</v>
      </c>
      <c r="AN5722">
        <v>1.0000000397792901</v>
      </c>
    </row>
    <row r="5723" spans="1:40" x14ac:dyDescent="0.25">
      <c r="A5723" t="str">
        <f>"20190312164423487"</f>
        <v>20190312164423487</v>
      </c>
      <c r="B5723" t="str">
        <f>"1552380263481060"</f>
        <v>1552380263481060</v>
      </c>
      <c r="C5723" t="s">
        <v>40</v>
      </c>
      <c r="D5723">
        <v>5.4268519999999896</v>
      </c>
      <c r="E5723">
        <v>0.50928399999999996</v>
      </c>
      <c r="F5723" t="s">
        <v>41</v>
      </c>
      <c r="G5723">
        <v>-155.88990000000001</v>
      </c>
      <c r="H5723">
        <v>0.99149640000000006</v>
      </c>
      <c r="I5723">
        <v>145.93799999999999</v>
      </c>
      <c r="J5723">
        <v>-156.4727</v>
      </c>
      <c r="K5723">
        <v>1.0913999999999999</v>
      </c>
      <c r="L5723">
        <v>146.20570000000001</v>
      </c>
      <c r="M5723">
        <v>0.98976549999999996</v>
      </c>
      <c r="N5723">
        <v>0</v>
      </c>
      <c r="O5723">
        <v>-0.1416241</v>
      </c>
      <c r="P5723">
        <v>0.94200099999999998</v>
      </c>
      <c r="Q5723">
        <v>0.10860160000000001</v>
      </c>
      <c r="R5723">
        <v>-0.31755339999999999</v>
      </c>
      <c r="S5723">
        <v>2.884979</v>
      </c>
      <c r="T5723">
        <v>-0.3101138</v>
      </c>
      <c r="U5723">
        <v>-0.99708560000000002</v>
      </c>
      <c r="V5723">
        <v>0.1863226</v>
      </c>
      <c r="W5723">
        <v>0.1175557</v>
      </c>
      <c r="X5723">
        <v>0.97543040000000003</v>
      </c>
      <c r="Y5723">
        <v>0.18923889999999999</v>
      </c>
      <c r="Z5723">
        <v>4.7754809999999998E-3</v>
      </c>
      <c r="AA5723">
        <v>0.98191949999999995</v>
      </c>
      <c r="AB5723">
        <v>36</v>
      </c>
      <c r="AC5723">
        <v>0.58279999999999099</v>
      </c>
      <c r="AD5723">
        <v>-9.9903599999999898E-2</v>
      </c>
      <c r="AE5723">
        <v>-0.26770000000001898</v>
      </c>
      <c r="AF5723">
        <v>0.17812740311158801</v>
      </c>
      <c r="AG5723">
        <v>-9.9903599999999898E-2</v>
      </c>
      <c r="AH5723">
        <v>0.60027663476645599</v>
      </c>
      <c r="AI5723">
        <v>99.065285083081307</v>
      </c>
      <c r="AJ5723">
        <v>73.472155520191393</v>
      </c>
      <c r="AK5723">
        <v>0.63406792954602298</v>
      </c>
      <c r="AL5723">
        <v>83.248943746579101</v>
      </c>
      <c r="AM5723">
        <v>79.185871222581397</v>
      </c>
      <c r="AN5723">
        <v>0.99999995955870402</v>
      </c>
    </row>
    <row r="5724" spans="1:40" x14ac:dyDescent="0.25">
      <c r="A5724" t="str">
        <f>"20190312164423509"</f>
        <v>20190312164423509</v>
      </c>
      <c r="B5724" t="str">
        <f>"1552380263500580"</f>
        <v>1552380263500580</v>
      </c>
      <c r="C5724" t="s">
        <v>40</v>
      </c>
      <c r="D5724">
        <v>5.4567759999999996</v>
      </c>
      <c r="E5724">
        <v>0.50923030000000002</v>
      </c>
      <c r="F5724" t="s">
        <v>41</v>
      </c>
      <c r="G5724">
        <v>-155.57069999999999</v>
      </c>
      <c r="H5724">
        <v>0.99442019999999998</v>
      </c>
      <c r="I5724">
        <v>145.88570000000001</v>
      </c>
      <c r="J5724">
        <v>-156.11359999999999</v>
      </c>
      <c r="K5724">
        <v>1.0914649999999999</v>
      </c>
      <c r="L5724">
        <v>146.1438</v>
      </c>
      <c r="M5724">
        <v>0.98699809999999999</v>
      </c>
      <c r="N5724">
        <v>0</v>
      </c>
      <c r="O5724">
        <v>-0.15978010000000001</v>
      </c>
      <c r="P5724">
        <v>0.93875140000000001</v>
      </c>
      <c r="Q5724">
        <v>0.1095102</v>
      </c>
      <c r="R5724">
        <v>-0.32673140000000001</v>
      </c>
      <c r="S5724">
        <v>2.8762660000000002</v>
      </c>
      <c r="T5724">
        <v>-0.3091913</v>
      </c>
      <c r="U5724">
        <v>-1.0206599999999999</v>
      </c>
      <c r="V5724">
        <v>0.1779442</v>
      </c>
      <c r="W5724">
        <v>0.1188403</v>
      </c>
      <c r="X5724">
        <v>0.97683819999999999</v>
      </c>
      <c r="Y5724">
        <v>0.17941889999999999</v>
      </c>
      <c r="Z5724">
        <v>7.126065E-3</v>
      </c>
      <c r="AA5724">
        <v>0.98374689999999998</v>
      </c>
      <c r="AB5724">
        <v>36</v>
      </c>
      <c r="AC5724">
        <v>0.54290000000000205</v>
      </c>
      <c r="AD5724">
        <v>-9.7044799999999903E-2</v>
      </c>
      <c r="AE5724">
        <v>-0.25809999999998401</v>
      </c>
      <c r="AF5724">
        <v>0.16375736577628699</v>
      </c>
      <c r="AG5724">
        <v>-9.7044799999999903E-2</v>
      </c>
      <c r="AH5724">
        <v>0.56250841247624095</v>
      </c>
      <c r="AI5724">
        <v>99.405356264150896</v>
      </c>
      <c r="AJ5724">
        <v>73.768673422084106</v>
      </c>
      <c r="AK5724">
        <v>0.59384331448587502</v>
      </c>
      <c r="AL5724">
        <v>83.174822350091006</v>
      </c>
      <c r="AM5724">
        <v>79.676006265624395</v>
      </c>
      <c r="AN5724">
        <v>1.00000001209848</v>
      </c>
    </row>
    <row r="5725" spans="1:40" x14ac:dyDescent="0.25">
      <c r="A5725" t="str">
        <f>"20190312164423530"</f>
        <v>20190312164423530</v>
      </c>
      <c r="B5725" t="str">
        <f>"1552380263521076"</f>
        <v>1552380263521076</v>
      </c>
      <c r="C5725" t="s">
        <v>40</v>
      </c>
      <c r="D5725">
        <v>5.3709629999999997</v>
      </c>
      <c r="E5725">
        <v>0.50906010000000002</v>
      </c>
      <c r="F5725" t="s">
        <v>41</v>
      </c>
      <c r="G5725">
        <v>-155.25059999999999</v>
      </c>
      <c r="H5725">
        <v>1.000027</v>
      </c>
      <c r="I5725">
        <v>145.82810000000001</v>
      </c>
      <c r="J5725">
        <v>-155.78540000000001</v>
      </c>
      <c r="K5725">
        <v>1.0915490000000001</v>
      </c>
      <c r="L5725">
        <v>146.0813</v>
      </c>
      <c r="M5725">
        <v>0.98418099999999997</v>
      </c>
      <c r="N5725">
        <v>0</v>
      </c>
      <c r="O5725">
        <v>-0.1763081</v>
      </c>
      <c r="P5725">
        <v>0.9360077</v>
      </c>
      <c r="Q5725">
        <v>0.109509</v>
      </c>
      <c r="R5725">
        <v>-0.33451059999999999</v>
      </c>
      <c r="S5725">
        <v>2.8662570000000001</v>
      </c>
      <c r="T5725">
        <v>-0.30345559999999899</v>
      </c>
      <c r="U5725">
        <v>-1.04834</v>
      </c>
      <c r="V5725">
        <v>0.16963010000000001</v>
      </c>
      <c r="W5725">
        <v>0.1192115</v>
      </c>
      <c r="X5725">
        <v>0.97827109999999995</v>
      </c>
      <c r="Y5725">
        <v>0.17252120000000001</v>
      </c>
      <c r="Z5725">
        <v>9.0039479999999995E-3</v>
      </c>
      <c r="AA5725">
        <v>0.98496470000000003</v>
      </c>
      <c r="AB5725">
        <v>36</v>
      </c>
      <c r="AC5725">
        <v>0.53480000000001804</v>
      </c>
      <c r="AD5725">
        <v>-9.1521999999999798E-2</v>
      </c>
      <c r="AE5725">
        <v>-0.25319999999999199</v>
      </c>
      <c r="AF5725">
        <v>0.151308649954914</v>
      </c>
      <c r="AG5725">
        <v>-9.1521999999999798E-2</v>
      </c>
      <c r="AH5725">
        <v>0.55772482504488696</v>
      </c>
      <c r="AI5725">
        <v>98.999417570888497</v>
      </c>
      <c r="AJ5725">
        <v>74.821224553377405</v>
      </c>
      <c r="AK5725">
        <v>0.58508765540432395</v>
      </c>
      <c r="AL5725">
        <v>83.153402134633296</v>
      </c>
      <c r="AM5725">
        <v>80.162847673190797</v>
      </c>
      <c r="AN5725">
        <v>1.00000004882673</v>
      </c>
    </row>
    <row r="5726" spans="1:40" x14ac:dyDescent="0.25">
      <c r="A5726" t="str">
        <f>"20190312164423555"</f>
        <v>20190312164423555</v>
      </c>
      <c r="B5726" t="str">
        <f>"1552380263550863"</f>
        <v>1552380263550863</v>
      </c>
      <c r="C5726" t="s">
        <v>40</v>
      </c>
      <c r="D5726">
        <v>5.3358800000000004</v>
      </c>
      <c r="E5726">
        <v>0.50884050000000003</v>
      </c>
      <c r="F5726" t="s">
        <v>41</v>
      </c>
      <c r="G5726">
        <v>-154.93430000000001</v>
      </c>
      <c r="H5726">
        <v>1.001125</v>
      </c>
      <c r="I5726">
        <v>145.7629</v>
      </c>
      <c r="J5726">
        <v>-155.3886</v>
      </c>
      <c r="K5726">
        <v>1.091664</v>
      </c>
      <c r="L5726">
        <v>145.99799999999999</v>
      </c>
      <c r="M5726">
        <v>0.98041619999999996</v>
      </c>
      <c r="N5726">
        <v>0</v>
      </c>
      <c r="O5726">
        <v>-0.1961724</v>
      </c>
      <c r="P5726">
        <v>0.93231450000000005</v>
      </c>
      <c r="Q5726">
        <v>0.1080995</v>
      </c>
      <c r="R5726">
        <v>-0.34511510000000001</v>
      </c>
      <c r="S5726">
        <v>2.8584900000000002</v>
      </c>
      <c r="T5726">
        <v>-0.3035833</v>
      </c>
      <c r="U5726">
        <v>-1.0692900000000001</v>
      </c>
      <c r="V5726">
        <v>0.16080729999999999</v>
      </c>
      <c r="W5726">
        <v>0.1181907</v>
      </c>
      <c r="X5726">
        <v>0.97988370000000002</v>
      </c>
      <c r="Y5726">
        <v>0.15995500000000001</v>
      </c>
      <c r="Z5726">
        <v>1.163544E-2</v>
      </c>
      <c r="AA5726">
        <v>0.98705569999999998</v>
      </c>
      <c r="AB5726">
        <v>36</v>
      </c>
      <c r="AC5726">
        <v>0.45429999999998899</v>
      </c>
      <c r="AD5726">
        <v>-9.0538999999999897E-2</v>
      </c>
      <c r="AE5726">
        <v>-0.23509999999998801</v>
      </c>
      <c r="AF5726">
        <v>0.13710086963245099</v>
      </c>
      <c r="AG5726">
        <v>-9.0538999999999897E-2</v>
      </c>
      <c r="AH5726">
        <v>0.47666411773815998</v>
      </c>
      <c r="AI5726">
        <v>100.34500068421499</v>
      </c>
      <c r="AJ5726">
        <v>73.953402564229705</v>
      </c>
      <c r="AK5726">
        <v>0.50418512484411204</v>
      </c>
      <c r="AL5726">
        <v>83.212306105753797</v>
      </c>
      <c r="AM5726">
        <v>80.680344247504095</v>
      </c>
      <c r="AN5726">
        <v>1.00000004741273</v>
      </c>
    </row>
    <row r="5727" spans="1:40" x14ac:dyDescent="0.25">
      <c r="A5727" t="str">
        <f>"20190312164423592"</f>
        <v>20190312164423592</v>
      </c>
      <c r="B5727" t="str">
        <f>"1552380263581120"</f>
        <v>1552380263581120</v>
      </c>
      <c r="C5727" t="s">
        <v>40</v>
      </c>
      <c r="D5727">
        <v>5.3295510000000004</v>
      </c>
      <c r="E5727">
        <v>0.50866869999999997</v>
      </c>
      <c r="F5727" t="s">
        <v>41</v>
      </c>
      <c r="G5727">
        <v>-154.6157</v>
      </c>
      <c r="H5727">
        <v>1.0070969999999999</v>
      </c>
      <c r="I5727">
        <v>145.6995</v>
      </c>
      <c r="J5727">
        <v>-154.81010000000001</v>
      </c>
      <c r="K5727">
        <v>1.0918939999999999</v>
      </c>
      <c r="L5727">
        <v>145.86109999999999</v>
      </c>
      <c r="M5727">
        <v>0.97425709999999999</v>
      </c>
      <c r="N5727">
        <v>0</v>
      </c>
      <c r="O5727">
        <v>-0.2247825</v>
      </c>
      <c r="P5727">
        <v>0.92819459999999998</v>
      </c>
      <c r="Q5727">
        <v>0.1067096</v>
      </c>
      <c r="R5727">
        <v>-0.3564659</v>
      </c>
      <c r="S5727">
        <v>2.847</v>
      </c>
      <c r="T5727">
        <v>-0.31134590000000001</v>
      </c>
      <c r="U5727">
        <v>-1.0991519999999999</v>
      </c>
      <c r="V5727">
        <v>0.14387320000000001</v>
      </c>
      <c r="W5727">
        <v>0.1175406</v>
      </c>
      <c r="X5727">
        <v>0.98259079999999999</v>
      </c>
      <c r="Y5727">
        <v>0.14162359999999999</v>
      </c>
      <c r="Z5727">
        <v>1.5817600000000001E-2</v>
      </c>
      <c r="AA5727">
        <v>0.98979419999999996</v>
      </c>
      <c r="AB5727">
        <v>36</v>
      </c>
      <c r="AC5727">
        <v>0.19440000000000099</v>
      </c>
      <c r="AD5727">
        <v>-8.4797000000000206E-2</v>
      </c>
      <c r="AE5727">
        <v>-0.161599999999992</v>
      </c>
      <c r="AF5727">
        <v>0.10225373357447</v>
      </c>
      <c r="AG5727">
        <v>-8.4797000000000206E-2</v>
      </c>
      <c r="AH5727">
        <v>0.20292161557281399</v>
      </c>
      <c r="AI5727">
        <v>110.46449992320299</v>
      </c>
      <c r="AJ5727">
        <v>63.256120147478299</v>
      </c>
      <c r="AK5727">
        <v>0.24253564543299599</v>
      </c>
      <c r="AL5727">
        <v>83.2498151272668</v>
      </c>
      <c r="AM5727">
        <v>81.669815516100698</v>
      </c>
      <c r="AN5727">
        <v>0.99999998528561895</v>
      </c>
    </row>
    <row r="5728" spans="1:40" x14ac:dyDescent="0.25">
      <c r="A5728" t="str">
        <f>"20190312164423624"</f>
        <v>20190312164423624</v>
      </c>
      <c r="B5728" t="str">
        <f>"1552380263610399"</f>
        <v>1552380263610399</v>
      </c>
      <c r="C5728" t="s">
        <v>40</v>
      </c>
      <c r="D5728">
        <v>5.499142</v>
      </c>
      <c r="E5728">
        <v>0.50870009999999999</v>
      </c>
      <c r="F5728" t="s">
        <v>41</v>
      </c>
      <c r="G5728">
        <v>-153.99610000000001</v>
      </c>
      <c r="H5728">
        <v>1.001279</v>
      </c>
      <c r="I5728">
        <v>145.53559999999999</v>
      </c>
      <c r="J5728">
        <v>-154.3109</v>
      </c>
      <c r="K5728">
        <v>1.0921540000000001</v>
      </c>
      <c r="L5728">
        <v>145.72890000000001</v>
      </c>
      <c r="M5728">
        <v>0.96834580000000003</v>
      </c>
      <c r="N5728">
        <v>0</v>
      </c>
      <c r="O5728">
        <v>-0.2490281</v>
      </c>
      <c r="P5728">
        <v>0.92135160000000005</v>
      </c>
      <c r="Q5728">
        <v>0.1078108</v>
      </c>
      <c r="R5728">
        <v>-0.37348110000000001</v>
      </c>
      <c r="S5728">
        <v>2.8332060000000001</v>
      </c>
      <c r="T5728">
        <v>-0.3153224</v>
      </c>
      <c r="U5728">
        <v>-1.133011</v>
      </c>
      <c r="V5728">
        <v>0.13741110000000001</v>
      </c>
      <c r="W5728">
        <v>0.118891</v>
      </c>
      <c r="X5728">
        <v>0.98335300000000003</v>
      </c>
      <c r="Y5728">
        <v>0.12895770000000001</v>
      </c>
      <c r="Z5728">
        <v>1.92032E-2</v>
      </c>
      <c r="AA5728">
        <v>0.99146409999999996</v>
      </c>
      <c r="AB5728">
        <v>35</v>
      </c>
      <c r="AC5728">
        <v>0.31479999999999098</v>
      </c>
      <c r="AD5728">
        <v>-9.0874999999999997E-2</v>
      </c>
      <c r="AE5728">
        <v>-0.19330000000002201</v>
      </c>
      <c r="AF5728">
        <v>0.102594436191955</v>
      </c>
      <c r="AG5728">
        <v>-9.0874999999999997E-2</v>
      </c>
      <c r="AH5728">
        <v>0.33287927450419302</v>
      </c>
      <c r="AI5728">
        <v>104.62181947095701</v>
      </c>
      <c r="AJ5728">
        <v>72.870537897024093</v>
      </c>
      <c r="AK5728">
        <v>0.359989576733804</v>
      </c>
      <c r="AL5728">
        <v>83.171896639270301</v>
      </c>
      <c r="AM5728">
        <v>82.045152008313707</v>
      </c>
      <c r="AN5728">
        <v>1.0000000014466</v>
      </c>
    </row>
    <row r="5729" spans="1:40" x14ac:dyDescent="0.25">
      <c r="A5729" t="str">
        <f>"20190312164423645"</f>
        <v>20190312164423645</v>
      </c>
      <c r="B5729" t="str">
        <f>"1552380263640655"</f>
        <v>1552380263640655</v>
      </c>
      <c r="C5729" t="s">
        <v>40</v>
      </c>
      <c r="D5729">
        <v>5.424709</v>
      </c>
      <c r="E5729">
        <v>0.50852159999999902</v>
      </c>
      <c r="F5729" t="s">
        <v>41</v>
      </c>
      <c r="G5729">
        <v>-153.38939999999999</v>
      </c>
      <c r="H5729">
        <v>0.98963009999999996</v>
      </c>
      <c r="I5729">
        <v>145.3415</v>
      </c>
      <c r="J5729">
        <v>-153.97229999999999</v>
      </c>
      <c r="K5729">
        <v>1.092382</v>
      </c>
      <c r="L5729">
        <v>145.6311</v>
      </c>
      <c r="M5729">
        <v>0.96405879999999999</v>
      </c>
      <c r="N5729">
        <v>0</v>
      </c>
      <c r="O5729">
        <v>-0.26514650000000001</v>
      </c>
      <c r="P5729">
        <v>0.91853229999999997</v>
      </c>
      <c r="Q5729">
        <v>0.1077825</v>
      </c>
      <c r="R5729">
        <v>-0.3803704</v>
      </c>
      <c r="S5729">
        <v>2.8133539999999999</v>
      </c>
      <c r="T5729">
        <v>-0.31268200000000002</v>
      </c>
      <c r="U5729">
        <v>-1.182404</v>
      </c>
      <c r="V5729">
        <v>0.12828489999999901</v>
      </c>
      <c r="W5729">
        <v>0.119239899999999</v>
      </c>
      <c r="X5729">
        <v>0.98454299999999995</v>
      </c>
      <c r="Y5729">
        <v>0.129776</v>
      </c>
      <c r="Z5729">
        <v>2.067515E-2</v>
      </c>
      <c r="AA5729">
        <v>0.99132779999999998</v>
      </c>
      <c r="AB5729">
        <v>35</v>
      </c>
      <c r="AC5729">
        <v>0.58289999999999498</v>
      </c>
      <c r="AD5729">
        <v>-0.10275189999999999</v>
      </c>
      <c r="AE5729">
        <v>-0.28960000000000702</v>
      </c>
      <c r="AF5729">
        <v>0.121624365584904</v>
      </c>
      <c r="AG5729">
        <v>-0.10275189999999999</v>
      </c>
      <c r="AH5729">
        <v>0.62329456555243901</v>
      </c>
      <c r="AI5729">
        <v>99.190876807262995</v>
      </c>
      <c r="AJ5729">
        <v>78.958536140608999</v>
      </c>
      <c r="AK5729">
        <v>0.64330906623857298</v>
      </c>
      <c r="AL5729">
        <v>83.151763212033302</v>
      </c>
      <c r="AM5729">
        <v>82.576245699195297</v>
      </c>
      <c r="AN5729">
        <v>1.0000000440845001</v>
      </c>
    </row>
    <row r="5730" spans="1:40" x14ac:dyDescent="0.25">
      <c r="A5730" t="str">
        <f>"20190312164423680"</f>
        <v>20190312164423680</v>
      </c>
      <c r="B5730" t="str">
        <f>"1552380263670910"</f>
        <v>1552380263670910</v>
      </c>
      <c r="C5730" t="s">
        <v>40</v>
      </c>
      <c r="D5730">
        <v>5.4719980000000001</v>
      </c>
      <c r="E5730">
        <v>0.4889192</v>
      </c>
      <c r="F5730" t="s">
        <v>41</v>
      </c>
      <c r="G5730">
        <v>-153.0814</v>
      </c>
      <c r="H5730">
        <v>0.99252819999999997</v>
      </c>
      <c r="I5730">
        <v>145.249</v>
      </c>
      <c r="J5730">
        <v>-153.43979999999999</v>
      </c>
      <c r="K5730">
        <v>1.0927899999999999</v>
      </c>
      <c r="L5730">
        <v>145.4657</v>
      </c>
      <c r="M5730">
        <v>0.95690889999999995</v>
      </c>
      <c r="N5730">
        <v>0</v>
      </c>
      <c r="O5730">
        <v>-0.28990149999999998</v>
      </c>
      <c r="P5730">
        <v>0.91785030000000001</v>
      </c>
      <c r="Q5730">
        <v>0.103853</v>
      </c>
      <c r="R5730">
        <v>-0.3831002</v>
      </c>
      <c r="S5730">
        <v>2.80484</v>
      </c>
      <c r="T5730">
        <v>-0.31438759999999999</v>
      </c>
      <c r="U5730">
        <v>-1.203003</v>
      </c>
      <c r="V5730">
        <v>0.1053644</v>
      </c>
      <c r="W5730">
        <v>0.11625530000000001</v>
      </c>
      <c r="X5730">
        <v>0.98761480000000001</v>
      </c>
      <c r="Y5730">
        <v>0.11165899999999999</v>
      </c>
      <c r="Z5730">
        <v>2.4276229999999999E-2</v>
      </c>
      <c r="AA5730">
        <v>0.99345000000000006</v>
      </c>
      <c r="AB5730">
        <v>35</v>
      </c>
      <c r="AC5730">
        <v>0.35839999999998801</v>
      </c>
      <c r="AD5730">
        <v>-0.100261799999999</v>
      </c>
      <c r="AE5730">
        <v>-0.216700000000003</v>
      </c>
      <c r="AF5730">
        <v>9.7867453291067802E-2</v>
      </c>
      <c r="AG5730">
        <v>-0.100261799999999</v>
      </c>
      <c r="AH5730">
        <v>0.38383800077283098</v>
      </c>
      <c r="AI5730">
        <v>104.203871392072</v>
      </c>
      <c r="AJ5730">
        <v>75.6960230956999</v>
      </c>
      <c r="AK5730">
        <v>0.40860993354323</v>
      </c>
      <c r="AL5730">
        <v>83.323965694462998</v>
      </c>
      <c r="AM5730">
        <v>83.910392225237899</v>
      </c>
      <c r="AN5730">
        <v>0.99999997237224403</v>
      </c>
    </row>
    <row r="5731" spans="1:40" x14ac:dyDescent="0.25">
      <c r="A5731" t="str">
        <f>"20190312164423709"</f>
        <v>20190312164423709</v>
      </c>
      <c r="B5731" t="str">
        <f>"1552380263701167"</f>
        <v>1552380263701167</v>
      </c>
      <c r="C5731" t="s">
        <v>40</v>
      </c>
      <c r="D5731">
        <v>5.4000859999999999</v>
      </c>
      <c r="E5731">
        <v>0.47301379999999998</v>
      </c>
      <c r="F5731" t="s">
        <v>41</v>
      </c>
      <c r="G5731">
        <v>-152.7517</v>
      </c>
      <c r="H5731">
        <v>1.006845</v>
      </c>
      <c r="I5731">
        <v>145.20750000000001</v>
      </c>
      <c r="J5731">
        <v>-152.99340000000001</v>
      </c>
      <c r="K5731">
        <v>1.0932759999999999</v>
      </c>
      <c r="L5731">
        <v>145.31479999999999</v>
      </c>
      <c r="M5731">
        <v>0.95065489999999997</v>
      </c>
      <c r="N5731">
        <v>0</v>
      </c>
      <c r="O5731">
        <v>-0.30980350000000001</v>
      </c>
      <c r="P5731">
        <v>0.91389109999999996</v>
      </c>
      <c r="Q5731">
        <v>0.1029858</v>
      </c>
      <c r="R5731">
        <v>-0.392679</v>
      </c>
      <c r="S5731">
        <v>2.8609309999999999</v>
      </c>
      <c r="T5731">
        <v>-0.35707250000000001</v>
      </c>
      <c r="U5731">
        <v>-1.0732729999999999</v>
      </c>
      <c r="V5731">
        <v>9.4866950000000005E-2</v>
      </c>
      <c r="W5731">
        <v>0.1157784</v>
      </c>
      <c r="X5731">
        <v>0.98873440000000001</v>
      </c>
      <c r="Y5731">
        <v>4.5550559999999997E-2</v>
      </c>
      <c r="Z5731">
        <v>3.3550370000000003E-2</v>
      </c>
      <c r="AA5731">
        <v>0.99839849999999997</v>
      </c>
      <c r="AB5731">
        <v>35</v>
      </c>
      <c r="AC5731">
        <v>0.24170000000000799</v>
      </c>
      <c r="AD5731">
        <v>-8.6430999999999897E-2</v>
      </c>
      <c r="AE5731">
        <v>-0.10729999999997999</v>
      </c>
      <c r="AF5731">
        <v>2.45111818973472E-2</v>
      </c>
      <c r="AG5731">
        <v>-8.6430999999999897E-2</v>
      </c>
      <c r="AH5731">
        <v>0.23766384363229001</v>
      </c>
      <c r="AI5731">
        <v>109.88760638600699</v>
      </c>
      <c r="AJ5731">
        <v>84.111685249014201</v>
      </c>
      <c r="AK5731">
        <v>0.25407718978506999</v>
      </c>
      <c r="AL5731">
        <v>83.351476306443303</v>
      </c>
      <c r="AM5731">
        <v>84.519369679527799</v>
      </c>
      <c r="AN5731">
        <v>1.0000000449261099</v>
      </c>
    </row>
    <row r="5732" spans="1:40" x14ac:dyDescent="0.25">
      <c r="A5732" t="str">
        <f>"20190312164423734"</f>
        <v>20190312164423734</v>
      </c>
      <c r="B5732" t="str">
        <f>"1552380263730447"</f>
        <v>1552380263730447</v>
      </c>
      <c r="C5732" t="s">
        <v>40</v>
      </c>
      <c r="D5732">
        <v>5.323874</v>
      </c>
      <c r="E5732">
        <v>0.46829680000000001</v>
      </c>
      <c r="F5732" t="s">
        <v>41</v>
      </c>
      <c r="G5732">
        <v>-152.1473</v>
      </c>
      <c r="H5732">
        <v>0.98131139999999994</v>
      </c>
      <c r="I5732">
        <v>145.02760000000001</v>
      </c>
      <c r="J5732">
        <v>-152.6327</v>
      </c>
      <c r="K5732">
        <v>1.09375</v>
      </c>
      <c r="L5732">
        <v>145.1858</v>
      </c>
      <c r="M5732">
        <v>0.94549260000000002</v>
      </c>
      <c r="N5732">
        <v>0</v>
      </c>
      <c r="O5732">
        <v>-0.32522600000000002</v>
      </c>
      <c r="P5732">
        <v>0.91412309999999997</v>
      </c>
      <c r="Q5732">
        <v>0.1018661</v>
      </c>
      <c r="R5732">
        <v>-0.39243159999999999</v>
      </c>
      <c r="S5732">
        <v>2.9027400000000001</v>
      </c>
      <c r="T5732">
        <v>-0.3838937</v>
      </c>
      <c r="U5732">
        <v>-0.9848633</v>
      </c>
      <c r="V5732">
        <v>7.8265119999999994E-2</v>
      </c>
      <c r="W5732">
        <v>0.1152815</v>
      </c>
      <c r="X5732">
        <v>0.99024480000000004</v>
      </c>
      <c r="Y5732">
        <v>-1.781071E-3</v>
      </c>
      <c r="Z5732">
        <v>4.066674E-2</v>
      </c>
      <c r="AA5732">
        <v>0.99917120000000004</v>
      </c>
      <c r="AB5732">
        <v>35</v>
      </c>
      <c r="AC5732">
        <v>0.485399999999998</v>
      </c>
      <c r="AD5732">
        <v>-0.1124386</v>
      </c>
      <c r="AE5732">
        <v>-0.15819999999999301</v>
      </c>
      <c r="AF5732">
        <v>-7.9054418199805097E-3</v>
      </c>
      <c r="AG5732">
        <v>-0.1124386</v>
      </c>
      <c r="AH5732">
        <v>0.48684755296878901</v>
      </c>
      <c r="AI5732">
        <v>103.002923487563</v>
      </c>
      <c r="AJ5732">
        <v>90.930288433934294</v>
      </c>
      <c r="AK5732">
        <v>0.499725399206431</v>
      </c>
      <c r="AL5732">
        <v>83.380138258806994</v>
      </c>
      <c r="AM5732">
        <v>85.480957227180099</v>
      </c>
      <c r="AN5732">
        <v>1.00000000858895</v>
      </c>
    </row>
    <row r="5733" spans="1:40" x14ac:dyDescent="0.25">
      <c r="A5733" t="str">
        <f>"20190312164423771"</f>
        <v>20190312164423771</v>
      </c>
      <c r="B5733" t="str">
        <f>"1552380263760703"</f>
        <v>1552380263760703</v>
      </c>
      <c r="C5733" t="s">
        <v>40</v>
      </c>
      <c r="D5733">
        <v>5.3449119999999999</v>
      </c>
      <c r="E5733">
        <v>0.46672819999999998</v>
      </c>
      <c r="F5733" t="s">
        <v>41</v>
      </c>
      <c r="G5733">
        <v>-151.8381</v>
      </c>
      <c r="H5733">
        <v>0.98929</v>
      </c>
      <c r="I5733">
        <v>144.92699999999999</v>
      </c>
      <c r="J5733">
        <v>-152.08250000000001</v>
      </c>
      <c r="K5733">
        <v>1.0946359999999999</v>
      </c>
      <c r="L5733">
        <v>144.9769</v>
      </c>
      <c r="M5733">
        <v>0.93758889999999995</v>
      </c>
      <c r="N5733">
        <v>0</v>
      </c>
      <c r="O5733">
        <v>-0.3473656</v>
      </c>
      <c r="P5733">
        <v>0.91407499999999997</v>
      </c>
      <c r="Q5733">
        <v>0.102693699999999</v>
      </c>
      <c r="R5733">
        <v>-0.3923278</v>
      </c>
      <c r="S5733">
        <v>2.9167480000000001</v>
      </c>
      <c r="T5733">
        <v>-0.38342880000000001</v>
      </c>
      <c r="U5733">
        <v>-0.9499512</v>
      </c>
      <c r="V5733">
        <v>5.4636369999999997E-2</v>
      </c>
      <c r="W5733">
        <v>0.11691169999999999</v>
      </c>
      <c r="X5733">
        <v>0.99163829999999997</v>
      </c>
      <c r="Y5733">
        <v>-3.7119270000000003E-2</v>
      </c>
      <c r="Z5733">
        <v>4.540429E-2</v>
      </c>
      <c r="AA5733">
        <v>0.99827880000000002</v>
      </c>
      <c r="AB5733">
        <v>35</v>
      </c>
      <c r="AC5733">
        <v>0.244400000000013</v>
      </c>
      <c r="AD5733">
        <v>-0.105346</v>
      </c>
      <c r="AE5733">
        <v>-4.98999999999796E-2</v>
      </c>
      <c r="AF5733">
        <v>-3.2346239017086199E-2</v>
      </c>
      <c r="AG5733">
        <v>-0.105346</v>
      </c>
      <c r="AH5733">
        <v>0.20920000387670101</v>
      </c>
      <c r="AI5733">
        <v>116.457344795298</v>
      </c>
      <c r="AJ5733">
        <v>98.789399137924406</v>
      </c>
      <c r="AK5733">
        <v>0.23645020726690499</v>
      </c>
      <c r="AL5733">
        <v>83.286098697464496</v>
      </c>
      <c r="AM5733">
        <v>86.846358704232699</v>
      </c>
      <c r="AN5733">
        <v>0.99999999827527797</v>
      </c>
    </row>
    <row r="5734" spans="1:40" x14ac:dyDescent="0.25">
      <c r="A5734" t="str">
        <f>"20190312164423816"</f>
        <v>20190312164423816</v>
      </c>
      <c r="B5734" t="str">
        <f>"1552380263810479"</f>
        <v>1552380263810479</v>
      </c>
      <c r="C5734" t="s">
        <v>40</v>
      </c>
      <c r="D5734">
        <v>5.2995140000000003</v>
      </c>
      <c r="E5734">
        <v>0.4654778</v>
      </c>
      <c r="F5734" t="s">
        <v>41</v>
      </c>
      <c r="G5734">
        <v>-151.23929999999999</v>
      </c>
      <c r="H5734">
        <v>0.98459019999999997</v>
      </c>
      <c r="I5734">
        <v>144.7055</v>
      </c>
      <c r="J5734">
        <v>-151.42099999999999</v>
      </c>
      <c r="K5734">
        <v>1.09595</v>
      </c>
      <c r="L5734">
        <v>144.70760000000001</v>
      </c>
      <c r="M5734">
        <v>0.92833469999999996</v>
      </c>
      <c r="N5734">
        <v>0</v>
      </c>
      <c r="O5734">
        <v>-0.37140309999999999</v>
      </c>
      <c r="P5734">
        <v>0.91055940000000002</v>
      </c>
      <c r="Q5734">
        <v>0.1063658</v>
      </c>
      <c r="R5734">
        <v>-0.39945940000000002</v>
      </c>
      <c r="S5734">
        <v>2.9213260000000001</v>
      </c>
      <c r="T5734">
        <v>-0.38117889999999999</v>
      </c>
      <c r="U5734">
        <v>-0.94012450000000003</v>
      </c>
      <c r="V5734">
        <v>3.6720759999999998E-2</v>
      </c>
      <c r="W5734">
        <v>0.1210445</v>
      </c>
      <c r="X5734">
        <v>0.99196770000000001</v>
      </c>
      <c r="Y5734">
        <v>-6.600702E-2</v>
      </c>
      <c r="Z5734">
        <v>4.9732730000000003E-2</v>
      </c>
      <c r="AA5734">
        <v>0.99657899999999999</v>
      </c>
      <c r="AB5734">
        <v>35</v>
      </c>
      <c r="AC5734">
        <v>0.181700000000006</v>
      </c>
      <c r="AD5734">
        <v>-0.11135979999999999</v>
      </c>
      <c r="AE5734">
        <v>-2.1000000000128598E-3</v>
      </c>
      <c r="AF5734">
        <v>-4.7647779333816198E-2</v>
      </c>
      <c r="AG5734">
        <v>-0.11135979999999999</v>
      </c>
      <c r="AH5734">
        <v>0.12320719557138</v>
      </c>
      <c r="AI5734">
        <v>130.130831582545</v>
      </c>
      <c r="AJ5734">
        <v>111.14292510726401</v>
      </c>
      <c r="AK5734">
        <v>0.17277537142789801</v>
      </c>
      <c r="AL5734">
        <v>83.047612896964907</v>
      </c>
      <c r="AM5734">
        <v>87.879987102124005</v>
      </c>
      <c r="AN5734">
        <v>1.00000005151925</v>
      </c>
    </row>
    <row r="5735" spans="1:40" x14ac:dyDescent="0.25">
      <c r="A5735" t="str">
        <f>"20190312164423843"</f>
        <v>20190312164423843</v>
      </c>
      <c r="B5735" t="str">
        <f>"1552380263840735"</f>
        <v>1552380263840735</v>
      </c>
      <c r="C5735" t="s">
        <v>40</v>
      </c>
      <c r="D5735">
        <v>5.3427490000000004</v>
      </c>
      <c r="E5735">
        <v>0.46633659999999999</v>
      </c>
      <c r="F5735" t="s">
        <v>42</v>
      </c>
      <c r="G5735">
        <v>-142.59440000000001</v>
      </c>
      <c r="H5735" s="1">
        <v>-3.754308E-6</v>
      </c>
      <c r="I5735">
        <v>141.85249999999999</v>
      </c>
      <c r="J5735">
        <v>-151.0086</v>
      </c>
      <c r="K5735">
        <v>1.096859</v>
      </c>
      <c r="L5735">
        <v>144.53059999999999</v>
      </c>
      <c r="M5735">
        <v>0.92286089999999998</v>
      </c>
      <c r="N5735">
        <v>0</v>
      </c>
      <c r="O5735">
        <v>-0.38481100000000001</v>
      </c>
      <c r="P5735">
        <v>0.91037319999999999</v>
      </c>
      <c r="Q5735">
        <v>0.1028283</v>
      </c>
      <c r="R5735">
        <v>-0.40080830000000001</v>
      </c>
      <c r="S5735">
        <v>2.9223789999999998</v>
      </c>
      <c r="T5735">
        <v>-0.36285699999999999</v>
      </c>
      <c r="U5735">
        <v>-0.94525150000000002</v>
      </c>
      <c r="V5735">
        <v>2.326959E-2</v>
      </c>
      <c r="W5735">
        <v>0.1178223</v>
      </c>
      <c r="X5735">
        <v>0.99276200000000003</v>
      </c>
      <c r="Y5735">
        <v>-7.9105800000000004E-2</v>
      </c>
      <c r="Z5735">
        <v>4.9591570000000001E-2</v>
      </c>
      <c r="AA5735">
        <v>0.99563190000000001</v>
      </c>
      <c r="AB5735">
        <v>35</v>
      </c>
      <c r="AC5735">
        <v>8.4141999999999904</v>
      </c>
      <c r="AD5735">
        <v>-1.0968627543080001</v>
      </c>
      <c r="AE5735">
        <v>-2.6781000000000001</v>
      </c>
      <c r="AF5735">
        <v>-0.75481119542254604</v>
      </c>
      <c r="AG5735">
        <v>-1.0968627543080001</v>
      </c>
      <c r="AH5735">
        <v>8.6631168753617995</v>
      </c>
      <c r="AI5735">
        <v>97.189041779824805</v>
      </c>
      <c r="AJ5735">
        <v>94.979565007606496</v>
      </c>
      <c r="AK5735">
        <v>8.7648412329432297</v>
      </c>
      <c r="AL5735">
        <v>83.233561922458406</v>
      </c>
      <c r="AM5735">
        <v>88.657276147859093</v>
      </c>
      <c r="AN5735">
        <v>0.99999997842002897</v>
      </c>
    </row>
    <row r="5736" spans="1:40" x14ac:dyDescent="0.25">
      <c r="A5736" t="str">
        <f>"20190312164423881"</f>
        <v>20190312164423881</v>
      </c>
      <c r="B5736" t="str">
        <f>"1552380263870991"</f>
        <v>1552380263870991</v>
      </c>
      <c r="C5736" t="s">
        <v>40</v>
      </c>
      <c r="D5736">
        <v>5.4722410000000004</v>
      </c>
      <c r="E5736">
        <v>0.46694330000000001</v>
      </c>
      <c r="F5736" t="s">
        <v>42</v>
      </c>
      <c r="G5736">
        <v>-142.31799999999899</v>
      </c>
      <c r="H5736" s="1">
        <v>-3.8247309999999998E-6</v>
      </c>
      <c r="I5736">
        <v>141.67150000000001</v>
      </c>
      <c r="J5736">
        <v>-150.4622</v>
      </c>
      <c r="K5736">
        <v>1.098233</v>
      </c>
      <c r="L5736">
        <v>144.28639999999999</v>
      </c>
      <c r="M5736">
        <v>0.91623160000000003</v>
      </c>
      <c r="N5736">
        <v>0</v>
      </c>
      <c r="O5736">
        <v>-0.40034900000000001</v>
      </c>
      <c r="P5736">
        <v>0.91459080000000004</v>
      </c>
      <c r="Q5736">
        <v>9.5904980000000001E-2</v>
      </c>
      <c r="R5736">
        <v>-0.39284400000000003</v>
      </c>
      <c r="S5736">
        <v>2.9147340000000002</v>
      </c>
      <c r="T5736">
        <v>-0.36787350000000002</v>
      </c>
      <c r="U5736">
        <v>-0.9588776</v>
      </c>
      <c r="V5736">
        <v>-3.1017459999999998E-3</v>
      </c>
      <c r="W5736">
        <v>0.1114668</v>
      </c>
      <c r="X5736">
        <v>0.99376330000000002</v>
      </c>
      <c r="Y5736">
        <v>-9.0704519999999997E-2</v>
      </c>
      <c r="Z5736">
        <v>5.2781639999999998E-2</v>
      </c>
      <c r="AA5736">
        <v>0.99447819999999998</v>
      </c>
      <c r="AB5736">
        <v>35</v>
      </c>
      <c r="AC5736">
        <v>8.1442000000000103</v>
      </c>
      <c r="AD5736">
        <v>-1.0982368247309999</v>
      </c>
      <c r="AE5736">
        <v>-2.6148999999999698</v>
      </c>
      <c r="AF5736">
        <v>-0.85074780428949903</v>
      </c>
      <c r="AG5736">
        <v>-1.0982368247309999</v>
      </c>
      <c r="AH5736">
        <v>8.3718599647851892</v>
      </c>
      <c r="AI5736">
        <v>97.435634658930596</v>
      </c>
      <c r="AJ5736">
        <v>95.802474381409496</v>
      </c>
      <c r="AK5736">
        <v>8.4863381513861302</v>
      </c>
      <c r="AL5736">
        <v>83.6001228192887</v>
      </c>
      <c r="AM5736">
        <v>90.178831697468397</v>
      </c>
      <c r="AN5736">
        <v>0.99999998237868903</v>
      </c>
    </row>
    <row r="5737" spans="1:40" x14ac:dyDescent="0.25">
      <c r="A5737" t="str">
        <f>"20190312164423913"</f>
        <v>20190312164423913</v>
      </c>
      <c r="B5737" t="str">
        <f>"1552380263911007"</f>
        <v>1552380263911007</v>
      </c>
      <c r="C5737" t="s">
        <v>40</v>
      </c>
      <c r="D5737">
        <v>5.3181409999999998</v>
      </c>
      <c r="E5737">
        <v>0.46741480000000002</v>
      </c>
      <c r="F5737" t="s">
        <v>42</v>
      </c>
      <c r="G5737">
        <v>-142.267</v>
      </c>
      <c r="H5737" s="1">
        <v>-3.8351440000000003E-6</v>
      </c>
      <c r="I5737">
        <v>141.6285</v>
      </c>
      <c r="J5737">
        <v>-149.9949</v>
      </c>
      <c r="K5737">
        <v>1.0996319999999999</v>
      </c>
      <c r="L5737">
        <v>144.06989999999999</v>
      </c>
      <c r="M5737">
        <v>0.91136879999999998</v>
      </c>
      <c r="N5737">
        <v>0</v>
      </c>
      <c r="O5737">
        <v>-0.41130640000000002</v>
      </c>
      <c r="P5737">
        <v>0.91389509999999996</v>
      </c>
      <c r="Q5737">
        <v>9.6013280000000006E-2</v>
      </c>
      <c r="R5737">
        <v>-0.39443309999999998</v>
      </c>
      <c r="S5737">
        <v>2.9150390000000002</v>
      </c>
      <c r="T5737">
        <v>-0.39064569999999998</v>
      </c>
      <c r="U5737">
        <v>-0.94538880000000003</v>
      </c>
      <c r="V5737">
        <v>-1.3668309999999999E-2</v>
      </c>
      <c r="W5737">
        <v>0.1116033</v>
      </c>
      <c r="X5737">
        <v>0.99365879999999995</v>
      </c>
      <c r="Y5737">
        <v>-0.1062018</v>
      </c>
      <c r="Z5737">
        <v>5.8354959999999997E-2</v>
      </c>
      <c r="AA5737">
        <v>0.99263080000000004</v>
      </c>
      <c r="AB5737">
        <v>35</v>
      </c>
      <c r="AC5737">
        <v>7.7279</v>
      </c>
      <c r="AD5737">
        <v>-1.0996358351440001</v>
      </c>
      <c r="AE5737">
        <v>-2.4413999999999798</v>
      </c>
      <c r="AF5737">
        <v>-0.93639133478425196</v>
      </c>
      <c r="AG5737">
        <v>-1.0996358351440001</v>
      </c>
      <c r="AH5737">
        <v>7.9025836333920401</v>
      </c>
      <c r="AI5737">
        <v>97.867436161398899</v>
      </c>
      <c r="AJ5737">
        <v>96.757571293665507</v>
      </c>
      <c r="AK5737">
        <v>8.0334834153402994</v>
      </c>
      <c r="AL5737">
        <v>83.592252728965306</v>
      </c>
      <c r="AM5737">
        <v>90.788084489380097</v>
      </c>
      <c r="AN5737">
        <v>0.99999996504329203</v>
      </c>
    </row>
    <row r="5738" spans="1:40" x14ac:dyDescent="0.25">
      <c r="A5738" t="str">
        <f>"20190312164423949"</f>
        <v>20190312164423949</v>
      </c>
      <c r="B5738" t="str">
        <f>"1552380263941266"</f>
        <v>1552380263941266</v>
      </c>
      <c r="C5738" t="s">
        <v>40</v>
      </c>
      <c r="D5738">
        <v>5.268529</v>
      </c>
      <c r="E5738">
        <v>0.46838829999999998</v>
      </c>
      <c r="F5738" t="s">
        <v>42</v>
      </c>
      <c r="G5738">
        <v>-141.75380000000001</v>
      </c>
      <c r="H5738" s="1">
        <v>-3.9869129999999996E-6</v>
      </c>
      <c r="I5738">
        <v>141.37139999999999</v>
      </c>
      <c r="J5738">
        <v>-149.49299999999999</v>
      </c>
      <c r="K5738">
        <v>1.101297</v>
      </c>
      <c r="L5738">
        <v>143.8321</v>
      </c>
      <c r="M5738">
        <v>0.90702320000000003</v>
      </c>
      <c r="N5738">
        <v>0</v>
      </c>
      <c r="O5738">
        <v>-0.42080990000000001</v>
      </c>
      <c r="P5738">
        <v>0.91774929999999999</v>
      </c>
      <c r="Q5738">
        <v>9.839734E-2</v>
      </c>
      <c r="R5738">
        <v>-0.38477830000000002</v>
      </c>
      <c r="S5738">
        <v>2.9119570000000001</v>
      </c>
      <c r="T5738">
        <v>-0.38855309999999998</v>
      </c>
      <c r="U5738">
        <v>-0.95349119999999998</v>
      </c>
      <c r="V5738">
        <v>-3.4831040000000001E-2</v>
      </c>
      <c r="W5738">
        <v>0.1141461</v>
      </c>
      <c r="X5738">
        <v>0.99285319999999999</v>
      </c>
      <c r="Y5738">
        <v>-0.11370180000000001</v>
      </c>
      <c r="Z5738">
        <v>5.9655600000000003E-2</v>
      </c>
      <c r="AA5738">
        <v>0.99172229999999995</v>
      </c>
      <c r="AB5738">
        <v>35</v>
      </c>
      <c r="AC5738">
        <v>7.7391999999999799</v>
      </c>
      <c r="AD5738">
        <v>-1.1013009869129999</v>
      </c>
      <c r="AE5738">
        <v>-2.4607000000000001</v>
      </c>
      <c r="AF5738">
        <v>-1.0064280103651499</v>
      </c>
      <c r="AG5738">
        <v>-1.1013009869129999</v>
      </c>
      <c r="AH5738">
        <v>7.9105592701046401</v>
      </c>
      <c r="AI5738">
        <v>97.8631434942384</v>
      </c>
      <c r="AJ5738">
        <v>97.250554272127303</v>
      </c>
      <c r="AK5738">
        <v>8.0500129918939596</v>
      </c>
      <c r="AL5738">
        <v>83.445624167115</v>
      </c>
      <c r="AM5738">
        <v>92.009212924015998</v>
      </c>
      <c r="AN5738">
        <v>1.0000000051214599</v>
      </c>
    </row>
    <row r="5739" spans="1:40" x14ac:dyDescent="0.25">
      <c r="A5739" t="str">
        <f>"20190312164423994"</f>
        <v>20190312164423994</v>
      </c>
      <c r="B5739" t="str">
        <f>"1552380263991041"</f>
        <v>1552380263991041</v>
      </c>
      <c r="C5739" t="s">
        <v>40</v>
      </c>
      <c r="D5739">
        <v>5.3365749999999998</v>
      </c>
      <c r="E5739">
        <v>0.48043770000000002</v>
      </c>
      <c r="F5739" t="s">
        <v>42</v>
      </c>
      <c r="G5739">
        <v>-141.04060000000001</v>
      </c>
      <c r="H5739" s="1">
        <v>-4.1916340000000003E-6</v>
      </c>
      <c r="I5739">
        <v>141.1369</v>
      </c>
      <c r="J5739">
        <v>-148.8629</v>
      </c>
      <c r="K5739">
        <v>1.103718</v>
      </c>
      <c r="L5739">
        <v>143.52850000000001</v>
      </c>
      <c r="M5739">
        <v>0.90331669999999997</v>
      </c>
      <c r="N5739">
        <v>0</v>
      </c>
      <c r="O5739">
        <v>-0.42871680000000001</v>
      </c>
      <c r="P5739">
        <v>0.92203679999999999</v>
      </c>
      <c r="Q5739">
        <v>9.6194940000000007E-2</v>
      </c>
      <c r="R5739">
        <v>-0.3749594</v>
      </c>
      <c r="S5739">
        <v>2.9193419999999999</v>
      </c>
      <c r="T5739">
        <v>-0.38037159999999998</v>
      </c>
      <c r="U5739">
        <v>-0.93089290000000002</v>
      </c>
      <c r="V5739">
        <v>-5.4906480000000001E-2</v>
      </c>
      <c r="W5739">
        <v>0.1117942</v>
      </c>
      <c r="X5739">
        <v>0.99221340000000002</v>
      </c>
      <c r="Y5739">
        <v>-0.1300567</v>
      </c>
      <c r="Z5739">
        <v>6.0283299999999998E-2</v>
      </c>
      <c r="AA5739">
        <v>0.9896722</v>
      </c>
      <c r="AB5739">
        <v>35</v>
      </c>
      <c r="AC5739">
        <v>7.8222999999999798</v>
      </c>
      <c r="AD5739">
        <v>-1.1037221916340001</v>
      </c>
      <c r="AE5739">
        <v>-2.3916000000000102</v>
      </c>
      <c r="AF5739">
        <v>-1.17197276049427</v>
      </c>
      <c r="AG5739">
        <v>-1.1037221916340001</v>
      </c>
      <c r="AH5739">
        <v>7.9475255766525397</v>
      </c>
      <c r="AI5739">
        <v>97.822914511106205</v>
      </c>
      <c r="AJ5739">
        <v>98.388600152399903</v>
      </c>
      <c r="AK5739">
        <v>8.1089386247025104</v>
      </c>
      <c r="AL5739">
        <v>83.581246620134195</v>
      </c>
      <c r="AM5739">
        <v>93.167367320932101</v>
      </c>
      <c r="AN5739">
        <v>1.0000000479195901</v>
      </c>
    </row>
    <row r="5740" spans="1:40" x14ac:dyDescent="0.25">
      <c r="A5740" t="str">
        <f>"20190312164424038"</f>
        <v>20190312164424038</v>
      </c>
      <c r="B5740" t="str">
        <f>"1552380264031055"</f>
        <v>1552380264031055</v>
      </c>
      <c r="C5740" t="s">
        <v>40</v>
      </c>
      <c r="D5740">
        <v>5.3741110000000001</v>
      </c>
      <c r="E5740">
        <v>0.48017460000000001</v>
      </c>
      <c r="F5740" t="s">
        <v>42</v>
      </c>
      <c r="G5740">
        <v>-139.49809999999999</v>
      </c>
      <c r="H5740" s="1">
        <v>-3.8713089999999998E-7</v>
      </c>
      <c r="I5740">
        <v>140.32849999999999</v>
      </c>
      <c r="J5740">
        <v>-148.23259999999999</v>
      </c>
      <c r="K5740">
        <v>1.1062069999999999</v>
      </c>
      <c r="L5740">
        <v>143.22319999999999</v>
      </c>
      <c r="M5740">
        <v>0.90162039999999999</v>
      </c>
      <c r="N5740">
        <v>0</v>
      </c>
      <c r="O5740">
        <v>-0.43227949999999998</v>
      </c>
      <c r="P5740">
        <v>0.92676389999999997</v>
      </c>
      <c r="Q5740">
        <v>9.3965800000000002E-2</v>
      </c>
      <c r="R5740">
        <v>-0.36370239999999998</v>
      </c>
      <c r="S5740">
        <v>2.8878629999999998</v>
      </c>
      <c r="T5740">
        <v>-0.34035749999999998</v>
      </c>
      <c r="U5740">
        <v>-0.98678589999999999</v>
      </c>
      <c r="V5740">
        <v>-7.1702299999999997E-2</v>
      </c>
      <c r="W5740">
        <v>0.109192899999999</v>
      </c>
      <c r="X5740">
        <v>0.99143110000000001</v>
      </c>
      <c r="Y5740">
        <v>-0.1144013</v>
      </c>
      <c r="Z5740">
        <v>5.3794580000000002E-2</v>
      </c>
      <c r="AA5740">
        <v>0.991977</v>
      </c>
      <c r="AB5740">
        <v>35</v>
      </c>
      <c r="AC5740">
        <v>8.7344999999999899</v>
      </c>
      <c r="AD5740">
        <v>-1.1062073871308999</v>
      </c>
      <c r="AE5740">
        <v>-2.8946999999999998</v>
      </c>
      <c r="AF5740">
        <v>-1.1493394215339201</v>
      </c>
      <c r="AG5740">
        <v>-1.1062073871308999</v>
      </c>
      <c r="AH5740">
        <v>8.9974696093451101</v>
      </c>
      <c r="AI5740">
        <v>96.953200003121694</v>
      </c>
      <c r="AJ5740">
        <v>97.279555689726493</v>
      </c>
      <c r="AK5740">
        <v>9.1377861246761292</v>
      </c>
      <c r="AL5740">
        <v>83.731207902852603</v>
      </c>
      <c r="AM5740">
        <v>94.136544522416401</v>
      </c>
      <c r="AN5740">
        <v>0.99999996764145405</v>
      </c>
    </row>
    <row r="5741" spans="1:40" x14ac:dyDescent="0.25">
      <c r="A5741" t="str">
        <f>"20190312164424069"</f>
        <v>20190312164424069</v>
      </c>
      <c r="B5741" t="str">
        <f>"1552380264061311"</f>
        <v>1552380264061311</v>
      </c>
      <c r="C5741" t="s">
        <v>40</v>
      </c>
      <c r="D5741">
        <v>5.3697269999999904</v>
      </c>
      <c r="E5741">
        <v>0.48195329999999897</v>
      </c>
      <c r="F5741" t="s">
        <v>42</v>
      </c>
      <c r="G5741">
        <v>-138.99719999999999</v>
      </c>
      <c r="H5741" s="1">
        <v>-5.6693610000000001E-7</v>
      </c>
      <c r="I5741">
        <v>140.19649999999999</v>
      </c>
      <c r="J5741">
        <v>-147.81489999999999</v>
      </c>
      <c r="K5741">
        <v>1.1078570000000001</v>
      </c>
      <c r="L5741">
        <v>143.02209999999999</v>
      </c>
      <c r="M5741">
        <v>0.90173570000000003</v>
      </c>
      <c r="N5741">
        <v>0</v>
      </c>
      <c r="O5741">
        <v>-0.43204189999999998</v>
      </c>
      <c r="P5741">
        <v>0.93038050000000005</v>
      </c>
      <c r="Q5741">
        <v>9.1920139999999997E-2</v>
      </c>
      <c r="R5741">
        <v>-0.35488500000000001</v>
      </c>
      <c r="S5741">
        <v>2.899384</v>
      </c>
      <c r="T5741">
        <v>-0.34728300000000001</v>
      </c>
      <c r="U5741">
        <v>-0.95018009999999997</v>
      </c>
      <c r="V5741">
        <v>-8.1392400000000004E-2</v>
      </c>
      <c r="W5741">
        <v>0.1068118</v>
      </c>
      <c r="X5741">
        <v>0.9909422</v>
      </c>
      <c r="Y5741">
        <v>-0.12640870000000001</v>
      </c>
      <c r="Z5741">
        <v>5.548881E-2</v>
      </c>
      <c r="AA5741">
        <v>0.99042509999999995</v>
      </c>
      <c r="AB5741">
        <v>35</v>
      </c>
      <c r="AC5741">
        <v>8.8177000000000003</v>
      </c>
      <c r="AD5741">
        <v>-1.1078575669360999</v>
      </c>
      <c r="AE5741">
        <v>-2.8256000000000001</v>
      </c>
      <c r="AF5741">
        <v>-1.2439971611943099</v>
      </c>
      <c r="AG5741">
        <v>-1.1078575669360999</v>
      </c>
      <c r="AH5741">
        <v>9.0435250164323193</v>
      </c>
      <c r="AI5741">
        <v>96.9195799810539</v>
      </c>
      <c r="AJ5741">
        <v>97.832263032661004</v>
      </c>
      <c r="AK5741">
        <v>9.1956632196114203</v>
      </c>
      <c r="AL5741">
        <v>83.868437602860197</v>
      </c>
      <c r="AM5741">
        <v>94.695527276628098</v>
      </c>
      <c r="AN5741">
        <v>0.99999996356891896</v>
      </c>
    </row>
    <row r="5742" spans="1:40" x14ac:dyDescent="0.25">
      <c r="A5742" t="str">
        <f>"20190312164424106"</f>
        <v>20190312164424106</v>
      </c>
      <c r="B5742" t="str">
        <f>"1552380264101328"</f>
        <v>1552380264101328</v>
      </c>
      <c r="C5742" t="s">
        <v>40</v>
      </c>
      <c r="D5742">
        <v>5.299105</v>
      </c>
      <c r="E5742">
        <v>0.48296280000000003</v>
      </c>
      <c r="F5742" t="s">
        <v>42</v>
      </c>
      <c r="G5742">
        <v>-139.80289999999999</v>
      </c>
      <c r="H5742" s="1">
        <v>-2.8573159999999999E-7</v>
      </c>
      <c r="I5742">
        <v>140.43870000000001</v>
      </c>
      <c r="J5742">
        <v>-147.30350000000001</v>
      </c>
      <c r="K5742">
        <v>1.109834</v>
      </c>
      <c r="L5742">
        <v>142.7792</v>
      </c>
      <c r="M5742">
        <v>0.90308770000000005</v>
      </c>
      <c r="N5742">
        <v>0</v>
      </c>
      <c r="O5742">
        <v>-0.42921140000000002</v>
      </c>
      <c r="P5742">
        <v>0.93923020000000002</v>
      </c>
      <c r="Q5742">
        <v>8.3669960000000002E-2</v>
      </c>
      <c r="R5742">
        <v>-0.33293590000000001</v>
      </c>
      <c r="S5742">
        <v>2.9067080000000001</v>
      </c>
      <c r="T5742">
        <v>-0.40192250000000002</v>
      </c>
      <c r="U5742">
        <v>-0.93721010000000005</v>
      </c>
      <c r="V5742">
        <v>-0.1024156</v>
      </c>
      <c r="W5742">
        <v>9.808654E-2</v>
      </c>
      <c r="X5742">
        <v>0.98989400000000005</v>
      </c>
      <c r="Y5742">
        <v>-0.12693090000000001</v>
      </c>
      <c r="Z5742">
        <v>6.3749860000000005E-2</v>
      </c>
      <c r="AA5742">
        <v>0.98986079999999999</v>
      </c>
      <c r="AB5742">
        <v>35</v>
      </c>
      <c r="AC5742">
        <v>7.5006000000000101</v>
      </c>
      <c r="AD5742">
        <v>-1.1098342857315999</v>
      </c>
      <c r="AE5742">
        <v>-2.3404999999999898</v>
      </c>
      <c r="AF5742">
        <v>-1.0841522328839299</v>
      </c>
      <c r="AG5742">
        <v>-1.1098342857315999</v>
      </c>
      <c r="AH5742">
        <v>7.6269194836864402</v>
      </c>
      <c r="AI5742">
        <v>98.198033585923994</v>
      </c>
      <c r="AJ5742">
        <v>98.090286627573605</v>
      </c>
      <c r="AK5742">
        <v>7.7831239882510097</v>
      </c>
      <c r="AL5742">
        <v>84.3710045956458</v>
      </c>
      <c r="AM5742">
        <v>95.906872561703693</v>
      </c>
      <c r="AN5742">
        <v>1.00000002784426</v>
      </c>
    </row>
    <row r="5743" spans="1:40" x14ac:dyDescent="0.25">
      <c r="A5743" t="str">
        <f>"20190312164424134"</f>
        <v>20190312164424134</v>
      </c>
      <c r="B5743" t="str">
        <f>"1552380264130607"</f>
        <v>1552380264130607</v>
      </c>
      <c r="C5743" t="s">
        <v>40</v>
      </c>
      <c r="D5743">
        <v>5.4578170000000004</v>
      </c>
      <c r="E5743">
        <v>0.48371429999999999</v>
      </c>
      <c r="F5743" t="s">
        <v>42</v>
      </c>
      <c r="G5743">
        <v>-139.38030000000001</v>
      </c>
      <c r="H5743" s="1">
        <v>-4.5509739999999998E-7</v>
      </c>
      <c r="I5743">
        <v>140.3939</v>
      </c>
      <c r="J5743">
        <v>-146.9016</v>
      </c>
      <c r="K5743">
        <v>1.1112489999999999</v>
      </c>
      <c r="L5743">
        <v>142.59190000000001</v>
      </c>
      <c r="M5743">
        <v>0.90494810000000003</v>
      </c>
      <c r="N5743">
        <v>0</v>
      </c>
      <c r="O5743">
        <v>-0.42527680000000001</v>
      </c>
      <c r="P5743">
        <v>0.94430270000000005</v>
      </c>
      <c r="Q5743">
        <v>8.2430180000000006E-2</v>
      </c>
      <c r="R5743">
        <v>-0.31858789999999998</v>
      </c>
      <c r="S5743">
        <v>2.9190369999999999</v>
      </c>
      <c r="T5743">
        <v>-0.40887810000000002</v>
      </c>
      <c r="U5743">
        <v>-0.87875369999999997</v>
      </c>
      <c r="V5743">
        <v>-0.11356960000000001</v>
      </c>
      <c r="W5743">
        <v>9.6413170000000006E-2</v>
      </c>
      <c r="X5743">
        <v>0.98884090000000002</v>
      </c>
      <c r="Y5743">
        <v>-0.14164209999999999</v>
      </c>
      <c r="Z5743">
        <v>6.5354239999999994E-2</v>
      </c>
      <c r="AA5743">
        <v>0.98775820000000003</v>
      </c>
      <c r="AB5743">
        <v>35</v>
      </c>
      <c r="AC5743">
        <v>7.5212999999999903</v>
      </c>
      <c r="AD5743">
        <v>-1.1112494550973999</v>
      </c>
      <c r="AE5743">
        <v>-2.198</v>
      </c>
      <c r="AF5743">
        <v>-1.1858355887280301</v>
      </c>
      <c r="AG5743">
        <v>-1.1112494550973999</v>
      </c>
      <c r="AH5743">
        <v>7.5893186796490602</v>
      </c>
      <c r="AI5743">
        <v>98.231727603761698</v>
      </c>
      <c r="AJ5743">
        <v>98.880692645621806</v>
      </c>
      <c r="AK5743">
        <v>7.7613683984345396</v>
      </c>
      <c r="AL5743">
        <v>84.467337774251305</v>
      </c>
      <c r="AM5743">
        <v>96.551783986328303</v>
      </c>
      <c r="AN5743">
        <v>0.99999993945320698</v>
      </c>
    </row>
    <row r="5744" spans="1:40" x14ac:dyDescent="0.25">
      <c r="A5744" t="str">
        <f>"20190312164424173"</f>
        <v>20190312164424173</v>
      </c>
      <c r="B5744" t="str">
        <f>"1552380264160864"</f>
        <v>1552380264160864</v>
      </c>
      <c r="C5744" t="s">
        <v>40</v>
      </c>
      <c r="D5744">
        <v>5.4078879999999998</v>
      </c>
      <c r="E5744">
        <v>0.48450140000000003</v>
      </c>
      <c r="F5744" t="s">
        <v>42</v>
      </c>
      <c r="G5744">
        <v>-138.8809</v>
      </c>
      <c r="H5744" s="1">
        <v>-6.3983340000000003E-7</v>
      </c>
      <c r="I5744">
        <v>140.28299999999999</v>
      </c>
      <c r="J5744">
        <v>-146.3646</v>
      </c>
      <c r="K5744">
        <v>1.112784</v>
      </c>
      <c r="L5744">
        <v>142.34739999999999</v>
      </c>
      <c r="M5744">
        <v>0.90818489999999996</v>
      </c>
      <c r="N5744">
        <v>0</v>
      </c>
      <c r="O5744">
        <v>-0.41832180000000002</v>
      </c>
      <c r="P5744">
        <v>0.95268960000000003</v>
      </c>
      <c r="Q5744">
        <v>8.4543149999999997E-2</v>
      </c>
      <c r="R5744">
        <v>-0.29195130000000002</v>
      </c>
      <c r="S5744">
        <v>2.9280089999999999</v>
      </c>
      <c r="T5744">
        <v>-0.40566590000000002</v>
      </c>
      <c r="U5744">
        <v>-0.84284969999999904</v>
      </c>
      <c r="V5744">
        <v>-0.13403380000000001</v>
      </c>
      <c r="W5744">
        <v>9.7886749999999995E-2</v>
      </c>
      <c r="X5744">
        <v>0.98613039999999996</v>
      </c>
      <c r="Y5744">
        <v>-0.14612539999999999</v>
      </c>
      <c r="Z5744">
        <v>6.4263329999999994E-2</v>
      </c>
      <c r="AA5744">
        <v>0.98717659999999996</v>
      </c>
      <c r="AB5744">
        <v>35</v>
      </c>
      <c r="AC5744">
        <v>7.48369999999999</v>
      </c>
      <c r="AD5744">
        <v>-1.1127846398334</v>
      </c>
      <c r="AE5744">
        <v>-2.0644</v>
      </c>
      <c r="AF5744">
        <v>-1.2305837195618801</v>
      </c>
      <c r="AG5744">
        <v>-1.1127846398334</v>
      </c>
      <c r="AH5744">
        <v>7.5067227592146599</v>
      </c>
      <c r="AI5744">
        <v>98.322530467538201</v>
      </c>
      <c r="AJ5744">
        <v>99.309742692935401</v>
      </c>
      <c r="AK5744">
        <v>7.6878808867731099</v>
      </c>
      <c r="AL5744">
        <v>84.382507031254505</v>
      </c>
      <c r="AM5744">
        <v>97.740150519815998</v>
      </c>
      <c r="AN5744">
        <v>1.00000002058608</v>
      </c>
    </row>
    <row r="5745" spans="1:40" x14ac:dyDescent="0.25">
      <c r="A5745" t="str">
        <f>"20190312164424218"</f>
        <v>20190312164424218</v>
      </c>
      <c r="B5745" t="str">
        <f>"1552380264210639"</f>
        <v>1552380264210639</v>
      </c>
      <c r="C5745" t="s">
        <v>40</v>
      </c>
      <c r="D5745">
        <v>5.4785820000000003</v>
      </c>
      <c r="E5745">
        <v>0.48596040000000001</v>
      </c>
      <c r="F5745" t="s">
        <v>42</v>
      </c>
      <c r="G5745">
        <v>-138.1491</v>
      </c>
      <c r="H5745" s="1">
        <v>-9.3079539999999999E-7</v>
      </c>
      <c r="I5745">
        <v>140.19669999999999</v>
      </c>
      <c r="J5745">
        <v>-145.72720000000001</v>
      </c>
      <c r="K5745">
        <v>1.114077</v>
      </c>
      <c r="L5745">
        <v>142.06620000000001</v>
      </c>
      <c r="M5745">
        <v>0.91273150000000003</v>
      </c>
      <c r="N5745">
        <v>0</v>
      </c>
      <c r="O5745">
        <v>-0.40830889999999997</v>
      </c>
      <c r="P5745">
        <v>0.96078629999999998</v>
      </c>
      <c r="Q5745">
        <v>8.6777610000000005E-2</v>
      </c>
      <c r="R5745">
        <v>-0.2633626</v>
      </c>
      <c r="S5745">
        <v>2.9478909999999998</v>
      </c>
      <c r="T5745">
        <v>-0.39929039999999999</v>
      </c>
      <c r="U5745">
        <v>-0.77171330000000005</v>
      </c>
      <c r="V5745">
        <v>-0.15288660000000001</v>
      </c>
      <c r="W5745">
        <v>9.9427959999999996E-2</v>
      </c>
      <c r="X5745">
        <v>0.98322929999999997</v>
      </c>
      <c r="Y5745">
        <v>-0.1592953</v>
      </c>
      <c r="Z5745">
        <v>6.2795459999999997E-2</v>
      </c>
      <c r="AA5745">
        <v>0.98523179999999999</v>
      </c>
      <c r="AB5745">
        <v>35</v>
      </c>
      <c r="AC5745">
        <v>7.5781000000000001</v>
      </c>
      <c r="AD5745">
        <v>-1.1140779307953901</v>
      </c>
      <c r="AE5745">
        <v>-1.8695000000000099</v>
      </c>
      <c r="AF5745">
        <v>-1.3602835500414401</v>
      </c>
      <c r="AG5745">
        <v>-1.1140779307953901</v>
      </c>
      <c r="AH5745">
        <v>7.5275340235492001</v>
      </c>
      <c r="AI5745">
        <v>98.286382612831503</v>
      </c>
      <c r="AJ5745">
        <v>100.243245961063</v>
      </c>
      <c r="AK5745">
        <v>7.7301558488874997</v>
      </c>
      <c r="AL5745">
        <v>84.293769419534996</v>
      </c>
      <c r="AM5745">
        <v>98.838390508471093</v>
      </c>
      <c r="AN5745">
        <v>1.0000000440339001</v>
      </c>
    </row>
    <row r="5746" spans="1:40" x14ac:dyDescent="0.25">
      <c r="A5746" t="str">
        <f>"20190312164424262"</f>
        <v>20190312164424262</v>
      </c>
      <c r="B5746" t="str">
        <f>"1552380264250655"</f>
        <v>1552380264250655</v>
      </c>
      <c r="C5746" t="s">
        <v>40</v>
      </c>
      <c r="D5746">
        <v>5.5781400000000003</v>
      </c>
      <c r="E5746">
        <v>0.49670429999999999</v>
      </c>
      <c r="F5746" t="s">
        <v>42</v>
      </c>
      <c r="G5746">
        <v>-137.28880000000001</v>
      </c>
      <c r="H5746" s="1">
        <v>-1.270755E-6</v>
      </c>
      <c r="I5746">
        <v>140.0874</v>
      </c>
      <c r="J5746">
        <v>-145.11609999999999</v>
      </c>
      <c r="K5746">
        <v>1.11493</v>
      </c>
      <c r="L5746">
        <v>141.80609999999999</v>
      </c>
      <c r="M5746">
        <v>0.91745920000000003</v>
      </c>
      <c r="N5746">
        <v>0</v>
      </c>
      <c r="O5746">
        <v>-0.39757340000000002</v>
      </c>
      <c r="P5746">
        <v>0.9681227</v>
      </c>
      <c r="Q5746">
        <v>8.7607470000000007E-2</v>
      </c>
      <c r="R5746">
        <v>-0.23465649999999999</v>
      </c>
      <c r="S5746">
        <v>2.9670869999999998</v>
      </c>
      <c r="T5746">
        <v>-0.39173010000000003</v>
      </c>
      <c r="U5746">
        <v>-0.69577029999999995</v>
      </c>
      <c r="V5746">
        <v>-0.1707919</v>
      </c>
      <c r="W5746">
        <v>9.9648589999999995E-2</v>
      </c>
      <c r="X5746">
        <v>0.98025519999999999</v>
      </c>
      <c r="Y5746">
        <v>-0.17318249999999999</v>
      </c>
      <c r="Z5746">
        <v>6.1121229999999999E-2</v>
      </c>
      <c r="AA5746">
        <v>0.98299130000000001</v>
      </c>
      <c r="AB5746">
        <v>35</v>
      </c>
      <c r="AC5746">
        <v>7.8272999999999797</v>
      </c>
      <c r="AD5746">
        <v>-1.1149312707550001</v>
      </c>
      <c r="AE5746">
        <v>-1.7186999999999799</v>
      </c>
      <c r="AF5746">
        <v>-1.50609337458252</v>
      </c>
      <c r="AG5746">
        <v>-1.1149312707550001</v>
      </c>
      <c r="AH5746">
        <v>7.71598724261814</v>
      </c>
      <c r="AI5746">
        <v>98.071851070578404</v>
      </c>
      <c r="AJ5746">
        <v>101.044766319697</v>
      </c>
      <c r="AK5746">
        <v>7.9402675093295496</v>
      </c>
      <c r="AL5746">
        <v>84.281064825704604</v>
      </c>
      <c r="AM5746">
        <v>99.883548651263595</v>
      </c>
      <c r="AN5746">
        <v>0.99999998586081895</v>
      </c>
    </row>
    <row r="5747" spans="1:40" x14ac:dyDescent="0.25">
      <c r="A5747" t="str">
        <f>"20190312164424290"</f>
        <v>20190312164424290</v>
      </c>
      <c r="B5747" t="str">
        <f>"1552380264281887"</f>
        <v>1552380264281887</v>
      </c>
      <c r="C5747" t="s">
        <v>40</v>
      </c>
      <c r="D5747">
        <v>5.3920199999999996</v>
      </c>
      <c r="E5747">
        <v>0.49612440000000002</v>
      </c>
      <c r="F5747" t="s">
        <v>42</v>
      </c>
      <c r="G5747">
        <v>-136.63210000000001</v>
      </c>
      <c r="H5747" s="1">
        <v>-1.4795129999999999E-6</v>
      </c>
      <c r="I5747">
        <v>139.81319999999999</v>
      </c>
      <c r="J5747">
        <v>-144.70699999999999</v>
      </c>
      <c r="K5747">
        <v>1.1153839999999999</v>
      </c>
      <c r="L5747">
        <v>141.6378</v>
      </c>
      <c r="M5747">
        <v>0.92077439999999999</v>
      </c>
      <c r="N5747">
        <v>0</v>
      </c>
      <c r="O5747">
        <v>-0.38983489999999998</v>
      </c>
      <c r="P5747">
        <v>0.97193660000000004</v>
      </c>
      <c r="Q5747">
        <v>8.3672120000000003E-2</v>
      </c>
      <c r="R5747">
        <v>-0.21985950000000001</v>
      </c>
      <c r="S5747">
        <v>2.9652099999999999</v>
      </c>
      <c r="T5747">
        <v>-0.38967619999999997</v>
      </c>
      <c r="U5747">
        <v>-0.69651790000000002</v>
      </c>
      <c r="V5747">
        <v>-0.17769789999999999</v>
      </c>
      <c r="W5747">
        <v>9.5404569999999994E-2</v>
      </c>
      <c r="X5747">
        <v>0.97944960000000003</v>
      </c>
      <c r="Y5747">
        <v>-0.1646773</v>
      </c>
      <c r="Z5747">
        <v>5.9378340000000002E-2</v>
      </c>
      <c r="AA5747">
        <v>0.98455859999999995</v>
      </c>
      <c r="AB5747">
        <v>34</v>
      </c>
      <c r="AC5747">
        <v>8.07489999999998</v>
      </c>
      <c r="AD5747">
        <v>-1.1153854795129901</v>
      </c>
      <c r="AE5747">
        <v>-1.8246</v>
      </c>
      <c r="AF5747">
        <v>-1.4418088596062799</v>
      </c>
      <c r="AG5747">
        <v>-1.1153854795129901</v>
      </c>
      <c r="AH5747">
        <v>8.0020210647969297</v>
      </c>
      <c r="AI5747">
        <v>97.811024788221005</v>
      </c>
      <c r="AJ5747">
        <v>100.213995609497</v>
      </c>
      <c r="AK5747">
        <v>8.2070237404921293</v>
      </c>
      <c r="AL5747">
        <v>84.525394527716799</v>
      </c>
      <c r="AM5747">
        <v>100.28310933720201</v>
      </c>
      <c r="AN5747">
        <v>1.00000004729072</v>
      </c>
    </row>
    <row r="5748" spans="1:40" x14ac:dyDescent="0.25">
      <c r="A5748" t="str">
        <f>"20190312164424315"</f>
        <v>20190312164424315</v>
      </c>
      <c r="B5748" t="str">
        <f>"1552380264311168"</f>
        <v>1552380264311168</v>
      </c>
      <c r="C5748" t="s">
        <v>40</v>
      </c>
      <c r="D5748">
        <v>5.3450670000000002</v>
      </c>
      <c r="E5748">
        <v>0.496587</v>
      </c>
      <c r="F5748" t="s">
        <v>42</v>
      </c>
      <c r="G5748">
        <v>-136.17410000000001</v>
      </c>
      <c r="H5748" s="1">
        <v>-1.6707120000000001E-6</v>
      </c>
      <c r="I5748">
        <v>139.79329999999999</v>
      </c>
      <c r="J5748">
        <v>-144.35890000000001</v>
      </c>
      <c r="K5748">
        <v>1.1157440000000001</v>
      </c>
      <c r="L5748">
        <v>141.49789999999999</v>
      </c>
      <c r="M5748">
        <v>0.92365129999999995</v>
      </c>
      <c r="N5748">
        <v>0</v>
      </c>
      <c r="O5748">
        <v>-0.38296910000000001</v>
      </c>
      <c r="P5748">
        <v>0.97507900000000003</v>
      </c>
      <c r="Q5748">
        <v>8.0292489999999994E-2</v>
      </c>
      <c r="R5748">
        <v>-0.20681920000000001</v>
      </c>
      <c r="S5748">
        <v>2.97464</v>
      </c>
      <c r="T5748">
        <v>-0.38883129999999999</v>
      </c>
      <c r="U5748">
        <v>-0.64297490000000002</v>
      </c>
      <c r="V5748">
        <v>-0.1836798</v>
      </c>
      <c r="W5748">
        <v>9.1768500000000003E-2</v>
      </c>
      <c r="X5748">
        <v>0.97869309999999998</v>
      </c>
      <c r="Y5748">
        <v>-0.17487900000000001</v>
      </c>
      <c r="Z5748">
        <v>5.907229E-2</v>
      </c>
      <c r="AA5748">
        <v>0.98281629999999998</v>
      </c>
      <c r="AB5748">
        <v>34</v>
      </c>
      <c r="AC5748">
        <v>8.1847999999999903</v>
      </c>
      <c r="AD5748">
        <v>-1.1157456707119999</v>
      </c>
      <c r="AE5748">
        <v>-1.7045999999999899</v>
      </c>
      <c r="AF5748">
        <v>-1.5329257516827699</v>
      </c>
      <c r="AG5748">
        <v>-1.1157456707119999</v>
      </c>
      <c r="AH5748">
        <v>8.0698169044882793</v>
      </c>
      <c r="AI5748">
        <v>97.735293702583704</v>
      </c>
      <c r="AJ5748">
        <v>100.75564087553199</v>
      </c>
      <c r="AK5748">
        <v>8.2895533434467801</v>
      </c>
      <c r="AL5748">
        <v>84.734643982428096</v>
      </c>
      <c r="AM5748">
        <v>100.629543225942</v>
      </c>
      <c r="AN5748">
        <v>0.99999995525394803</v>
      </c>
    </row>
    <row r="5749" spans="1:40" x14ac:dyDescent="0.25">
      <c r="A5749" t="str">
        <f>"20190312164424351"</f>
        <v>20190312164424351</v>
      </c>
      <c r="B5749" t="str">
        <f>"1552380264340447"</f>
        <v>1552380264340447</v>
      </c>
      <c r="C5749" t="s">
        <v>40</v>
      </c>
      <c r="D5749">
        <v>5.4184289999999997</v>
      </c>
      <c r="E5749">
        <v>0.49695859999999897</v>
      </c>
      <c r="F5749" t="s">
        <v>42</v>
      </c>
      <c r="G5749">
        <v>-136.08170000000001</v>
      </c>
      <c r="H5749" s="1">
        <v>-1.716262E-6</v>
      </c>
      <c r="I5749">
        <v>139.81540000000001</v>
      </c>
      <c r="J5749">
        <v>-143.84710000000001</v>
      </c>
      <c r="K5749">
        <v>1.1162970000000001</v>
      </c>
      <c r="L5749">
        <v>141.29859999999999</v>
      </c>
      <c r="M5749">
        <v>0.92806330000000004</v>
      </c>
      <c r="N5749">
        <v>0</v>
      </c>
      <c r="O5749">
        <v>-0.37214920000000001</v>
      </c>
      <c r="P5749">
        <v>0.98007299999999997</v>
      </c>
      <c r="Q5749">
        <v>7.1965959999999995E-2</v>
      </c>
      <c r="R5749">
        <v>-0.18514369999999999</v>
      </c>
      <c r="S5749">
        <v>2.9812319999999999</v>
      </c>
      <c r="T5749">
        <v>-0.4018584</v>
      </c>
      <c r="U5749">
        <v>-0.60595699999999997</v>
      </c>
      <c r="V5749">
        <v>-0.19419439999999999</v>
      </c>
      <c r="W5749">
        <v>8.3021159999999997E-2</v>
      </c>
      <c r="X5749">
        <v>0.97744359999999997</v>
      </c>
      <c r="Y5749">
        <v>-0.175306399999999</v>
      </c>
      <c r="Z5749">
        <v>5.9713080000000002E-2</v>
      </c>
      <c r="AA5749">
        <v>0.98270139999999995</v>
      </c>
      <c r="AB5749">
        <v>34</v>
      </c>
      <c r="AC5749">
        <v>7.7653999999999996</v>
      </c>
      <c r="AD5749">
        <v>-1.1162987162619999</v>
      </c>
      <c r="AE5749">
        <v>-1.4831999999999801</v>
      </c>
      <c r="AF5749">
        <v>-1.48395155948238</v>
      </c>
      <c r="AG5749">
        <v>-1.1162987162619999</v>
      </c>
      <c r="AH5749">
        <v>7.6078618724019602</v>
      </c>
      <c r="AI5749">
        <v>98.195136627652005</v>
      </c>
      <c r="AJ5749">
        <v>101.037245251835</v>
      </c>
      <c r="AK5749">
        <v>7.8312066327205203</v>
      </c>
      <c r="AL5749">
        <v>85.237756489184704</v>
      </c>
      <c r="AM5749">
        <v>101.236961587772</v>
      </c>
      <c r="AN5749">
        <v>0.99999998459003203</v>
      </c>
    </row>
    <row r="5750" spans="1:40" x14ac:dyDescent="0.25">
      <c r="A5750" t="str">
        <f>"20190312164424397"</f>
        <v>20190312164424397</v>
      </c>
      <c r="B5750" t="str">
        <f>"1552380264391200"</f>
        <v>1552380264391200</v>
      </c>
      <c r="C5750" t="s">
        <v>40</v>
      </c>
      <c r="D5750">
        <v>5.3776659999999996</v>
      </c>
      <c r="E5750">
        <v>0.498664</v>
      </c>
      <c r="F5750" t="s">
        <v>42</v>
      </c>
      <c r="G5750">
        <v>-136.24619999999999</v>
      </c>
      <c r="H5750" s="1">
        <v>-1.6716279999999999E-6</v>
      </c>
      <c r="I5750">
        <v>139.91290000000001</v>
      </c>
      <c r="J5750">
        <v>-143.2081</v>
      </c>
      <c r="K5750">
        <v>1.116973</v>
      </c>
      <c r="L5750">
        <v>141.06100000000001</v>
      </c>
      <c r="M5750">
        <v>0.9338457</v>
      </c>
      <c r="N5750">
        <v>0</v>
      </c>
      <c r="O5750">
        <v>-0.35738979999999998</v>
      </c>
      <c r="P5750">
        <v>0.98435159999999999</v>
      </c>
      <c r="Q5750">
        <v>6.3971230000000004E-2</v>
      </c>
      <c r="R5750">
        <v>-0.1641946</v>
      </c>
      <c r="S5750">
        <v>2.990265</v>
      </c>
      <c r="T5750">
        <v>-0.4391582</v>
      </c>
      <c r="U5750">
        <v>-0.54512019999999906</v>
      </c>
      <c r="V5750">
        <v>-0.19976289999999999</v>
      </c>
      <c r="W5750">
        <v>7.4632630000000005E-2</v>
      </c>
      <c r="X5750">
        <v>0.97699780000000003</v>
      </c>
      <c r="Y5750">
        <v>-0.17878350000000001</v>
      </c>
      <c r="Z5750">
        <v>6.3447939999999994E-2</v>
      </c>
      <c r="AA5750">
        <v>0.98184059999999995</v>
      </c>
      <c r="AB5750">
        <v>34</v>
      </c>
      <c r="AC5750">
        <v>6.9619000000000097</v>
      </c>
      <c r="AD5750">
        <v>-1.116974671628</v>
      </c>
      <c r="AE5750">
        <v>-1.1480999999999899</v>
      </c>
      <c r="AF5750">
        <v>-1.3814889225427101</v>
      </c>
      <c r="AG5750">
        <v>-1.116974671628</v>
      </c>
      <c r="AH5750">
        <v>6.7433794438060399</v>
      </c>
      <c r="AI5750">
        <v>99.217044080279294</v>
      </c>
      <c r="AJ5750">
        <v>101.57775599275</v>
      </c>
      <c r="AK5750">
        <v>6.9734719030991004</v>
      </c>
      <c r="AL5750">
        <v>85.719885490543504</v>
      </c>
      <c r="AM5750">
        <v>101.555764952571</v>
      </c>
      <c r="AN5750">
        <v>0.99999997344098301</v>
      </c>
    </row>
    <row r="5751" spans="1:40" x14ac:dyDescent="0.25">
      <c r="A5751" t="str">
        <f>"20190312164424441"</f>
        <v>20190312164424441</v>
      </c>
      <c r="B5751" t="str">
        <f>"1552380264431215"</f>
        <v>1552380264431215</v>
      </c>
      <c r="C5751" t="s">
        <v>40</v>
      </c>
      <c r="D5751">
        <v>5.4156760000000004</v>
      </c>
      <c r="E5751">
        <v>0.49953330000000001</v>
      </c>
      <c r="F5751" t="s">
        <v>42</v>
      </c>
      <c r="G5751">
        <v>-135.8683</v>
      </c>
      <c r="H5751" s="1">
        <v>-1.817784E-6</v>
      </c>
      <c r="I5751">
        <v>139.85299999999901</v>
      </c>
      <c r="J5751">
        <v>-142.5669</v>
      </c>
      <c r="K5751">
        <v>1.117588</v>
      </c>
      <c r="L5751">
        <v>140.8356</v>
      </c>
      <c r="M5751">
        <v>0.93986709999999996</v>
      </c>
      <c r="N5751">
        <v>0</v>
      </c>
      <c r="O5751">
        <v>-0.34123829999999999</v>
      </c>
      <c r="P5751">
        <v>0.98737900000000001</v>
      </c>
      <c r="Q5751">
        <v>5.7200479999999998E-2</v>
      </c>
      <c r="R5751">
        <v>-0.14768619999999999</v>
      </c>
      <c r="S5751">
        <v>2.9950709999999998</v>
      </c>
      <c r="T5751">
        <v>-0.45579229999999998</v>
      </c>
      <c r="U5751">
        <v>-0.49293520000000002</v>
      </c>
      <c r="V5751">
        <v>-0.1994166</v>
      </c>
      <c r="W5751">
        <v>6.7621870000000001E-2</v>
      </c>
      <c r="X5751">
        <v>0.97757879999999997</v>
      </c>
      <c r="Y5751">
        <v>-0.1784675</v>
      </c>
      <c r="Z5751">
        <v>6.3563679999999997E-2</v>
      </c>
      <c r="AA5751">
        <v>0.98189059999999995</v>
      </c>
      <c r="AB5751">
        <v>34</v>
      </c>
      <c r="AC5751">
        <v>6.6985999999999901</v>
      </c>
      <c r="AD5751">
        <v>-1.117589817784</v>
      </c>
      <c r="AE5751">
        <v>-0.98260000000001901</v>
      </c>
      <c r="AF5751">
        <v>-1.3263054366252001</v>
      </c>
      <c r="AG5751">
        <v>-1.117589817784</v>
      </c>
      <c r="AH5751">
        <v>6.4558624565772798</v>
      </c>
      <c r="AI5751">
        <v>99.624147898866894</v>
      </c>
      <c r="AJ5751">
        <v>101.609428702752</v>
      </c>
      <c r="AK5751">
        <v>6.6847777203344698</v>
      </c>
      <c r="AL5751">
        <v>86.122593376495402</v>
      </c>
      <c r="AM5751">
        <v>101.52959723510401</v>
      </c>
      <c r="AN5751">
        <v>1.0000000039336401</v>
      </c>
    </row>
    <row r="5752" spans="1:40" x14ac:dyDescent="0.25">
      <c r="A5752" t="str">
        <f>"20190312164424485"</f>
        <v>20190312164424485</v>
      </c>
      <c r="B5752" t="str">
        <f>"1552380264480991"</f>
        <v>1552380264480991</v>
      </c>
      <c r="C5752" t="s">
        <v>40</v>
      </c>
      <c r="D5752">
        <v>5.3774290000000002</v>
      </c>
      <c r="E5752">
        <v>0.4842224</v>
      </c>
      <c r="F5752" t="s">
        <v>42</v>
      </c>
      <c r="G5752">
        <v>-135.39859999999999</v>
      </c>
      <c r="H5752" s="1">
        <v>-1.9974999999999999E-6</v>
      </c>
      <c r="I5752">
        <v>139.77099999999999</v>
      </c>
      <c r="J5752">
        <v>-141.9402</v>
      </c>
      <c r="K5752">
        <v>1.118125</v>
      </c>
      <c r="L5752">
        <v>140.62909999999999</v>
      </c>
      <c r="M5752">
        <v>0.94588050000000001</v>
      </c>
      <c r="N5752">
        <v>0</v>
      </c>
      <c r="O5752">
        <v>-0.32419360000000003</v>
      </c>
      <c r="P5752">
        <v>0.98944290000000001</v>
      </c>
      <c r="Q5752">
        <v>5.1073680000000003E-2</v>
      </c>
      <c r="R5752">
        <v>-0.13562630000000001</v>
      </c>
      <c r="S5752">
        <v>2.9988250000000001</v>
      </c>
      <c r="T5752">
        <v>-0.46753230000000001</v>
      </c>
      <c r="U5752">
        <v>-0.44535829999999998</v>
      </c>
      <c r="V5752">
        <v>-0.19374659999999999</v>
      </c>
      <c r="W5752">
        <v>6.1430199999999997E-2</v>
      </c>
      <c r="X5752">
        <v>0.97912650000000001</v>
      </c>
      <c r="Y5752">
        <v>-0.17600929999999901</v>
      </c>
      <c r="Z5752">
        <v>6.2549869999999994E-2</v>
      </c>
      <c r="AA5752">
        <v>0.98239920000000003</v>
      </c>
      <c r="AB5752">
        <v>34</v>
      </c>
      <c r="AC5752">
        <v>6.5416000000000096</v>
      </c>
      <c r="AD5752">
        <v>-1.1181269975000001</v>
      </c>
      <c r="AE5752">
        <v>-0.85809999999997899</v>
      </c>
      <c r="AF5752">
        <v>-1.2726685835560201</v>
      </c>
      <c r="AG5752">
        <v>-1.1181269975000001</v>
      </c>
      <c r="AH5752">
        <v>6.2858973725430403</v>
      </c>
      <c r="AI5752">
        <v>99.889620616574206</v>
      </c>
      <c r="AJ5752">
        <v>101.445620612255</v>
      </c>
      <c r="AK5752">
        <v>6.5101765785769903</v>
      </c>
      <c r="AL5752">
        <v>86.478091552985504</v>
      </c>
      <c r="AM5752">
        <v>101.192923533477</v>
      </c>
      <c r="AN5752">
        <v>1.0000000587429201</v>
      </c>
    </row>
    <row r="5753" spans="1:40" x14ac:dyDescent="0.25">
      <c r="A5753" t="str">
        <f>"20190312164424529"</f>
        <v>20190312164424529</v>
      </c>
      <c r="B5753" t="str">
        <f>"1552380264521007"</f>
        <v>1552380264521007</v>
      </c>
      <c r="C5753" t="s">
        <v>40</v>
      </c>
      <c r="D5753">
        <v>5.3539620000000001</v>
      </c>
      <c r="E5753">
        <v>0.48638379999999998</v>
      </c>
      <c r="F5753" t="s">
        <v>42</v>
      </c>
      <c r="G5753">
        <v>-133.75190000000001</v>
      </c>
      <c r="H5753" s="1">
        <v>-2.7265059999999998E-6</v>
      </c>
      <c r="I5753">
        <v>139.85599999999999</v>
      </c>
      <c r="J5753">
        <v>-141.30070000000001</v>
      </c>
      <c r="K5753">
        <v>1.118568</v>
      </c>
      <c r="L5753">
        <v>140.4323</v>
      </c>
      <c r="M5753">
        <v>0.95196670000000005</v>
      </c>
      <c r="N5753">
        <v>0</v>
      </c>
      <c r="O5753">
        <v>-0.30585800000000002</v>
      </c>
      <c r="P5753">
        <v>0.99042390000000002</v>
      </c>
      <c r="Q5753">
        <v>5.6551909999999997E-2</v>
      </c>
      <c r="R5753">
        <v>-0.12594620000000001</v>
      </c>
      <c r="S5753">
        <v>3.0142359999999999</v>
      </c>
      <c r="T5753">
        <v>-0.41159800000000002</v>
      </c>
      <c r="U5753">
        <v>-0.2846069</v>
      </c>
      <c r="V5753">
        <v>-0.1844769</v>
      </c>
      <c r="W5753">
        <v>6.6977209999999995E-2</v>
      </c>
      <c r="X5753">
        <v>0.98055210000000004</v>
      </c>
      <c r="Y5753">
        <v>-0.2103931</v>
      </c>
      <c r="Z5753">
        <v>5.509373E-2</v>
      </c>
      <c r="AA5753">
        <v>0.97606329999999997</v>
      </c>
      <c r="AB5753">
        <v>34</v>
      </c>
      <c r="AC5753">
        <v>7.5488</v>
      </c>
      <c r="AD5753">
        <v>-1.1185707265060001</v>
      </c>
      <c r="AE5753">
        <v>-0.57630000000000303</v>
      </c>
      <c r="AF5753">
        <v>-1.7228189937437599</v>
      </c>
      <c r="AG5753">
        <v>-1.1185707265060001</v>
      </c>
      <c r="AH5753">
        <v>7.2059430505314799</v>
      </c>
      <c r="AI5753">
        <v>98.585334988732598</v>
      </c>
      <c r="AJ5753">
        <v>103.446048064895</v>
      </c>
      <c r="AK5753">
        <v>7.4929914588836599</v>
      </c>
      <c r="AL5753">
        <v>86.159613771743295</v>
      </c>
      <c r="AM5753">
        <v>100.65483964158901</v>
      </c>
      <c r="AN5753">
        <v>1.0000000470537</v>
      </c>
    </row>
    <row r="5754" spans="1:40" x14ac:dyDescent="0.25">
      <c r="A5754" t="str">
        <f>"20190312164424560"</f>
        <v>20190312164424560</v>
      </c>
      <c r="B5754" t="str">
        <f>"1552380264551263"</f>
        <v>1552380264551263</v>
      </c>
      <c r="C5754" t="s">
        <v>40</v>
      </c>
      <c r="D5754">
        <v>5.3394389999999996</v>
      </c>
      <c r="E5754">
        <v>0.4875931</v>
      </c>
      <c r="F5754" t="s">
        <v>42</v>
      </c>
      <c r="G5754">
        <v>-131.8526</v>
      </c>
      <c r="H5754" s="1">
        <v>-3.4838520000000002E-6</v>
      </c>
      <c r="I5754">
        <v>139.5806</v>
      </c>
      <c r="J5754">
        <v>-140.86179999999999</v>
      </c>
      <c r="K5754">
        <v>1.118763</v>
      </c>
      <c r="L5754">
        <v>140.30500000000001</v>
      </c>
      <c r="M5754">
        <v>0.95602450000000005</v>
      </c>
      <c r="N5754">
        <v>0</v>
      </c>
      <c r="O5754">
        <v>-0.29292669999999998</v>
      </c>
      <c r="P5754">
        <v>0.99163009999999996</v>
      </c>
      <c r="Q5754">
        <v>5.5904200000000001E-2</v>
      </c>
      <c r="R5754">
        <v>-0.1163821</v>
      </c>
      <c r="S5754">
        <v>3.0148160000000002</v>
      </c>
      <c r="T5754">
        <v>-0.35692699999999999</v>
      </c>
      <c r="U5754">
        <v>-0.27175899999999997</v>
      </c>
      <c r="V5754">
        <v>-0.1806789</v>
      </c>
      <c r="W5754">
        <v>6.6355380000000005E-2</v>
      </c>
      <c r="X5754">
        <v>0.98130119999999998</v>
      </c>
      <c r="Y5754">
        <v>-0.20257169999999999</v>
      </c>
      <c r="Z5754">
        <v>4.5918790000000001E-2</v>
      </c>
      <c r="AA5754">
        <v>0.97819020000000001</v>
      </c>
      <c r="AB5754">
        <v>34</v>
      </c>
      <c r="AC5754">
        <v>9.0091999999999892</v>
      </c>
      <c r="AD5754">
        <v>-1.1187664838519999</v>
      </c>
      <c r="AE5754">
        <v>-0.72440000000000204</v>
      </c>
      <c r="AF5754">
        <v>-1.91731991798052</v>
      </c>
      <c r="AG5754">
        <v>-1.1187664838519999</v>
      </c>
      <c r="AH5754">
        <v>8.6929526634743706</v>
      </c>
      <c r="AI5754">
        <v>97.163233448168697</v>
      </c>
      <c r="AJ5754">
        <v>102.438033634058</v>
      </c>
      <c r="AK5754">
        <v>8.9719106171808001</v>
      </c>
      <c r="AL5754">
        <v>86.195321161828005</v>
      </c>
      <c r="AM5754">
        <v>100.432556029767</v>
      </c>
      <c r="AN5754">
        <v>0.99999997324079604</v>
      </c>
    </row>
    <row r="5755" spans="1:40" x14ac:dyDescent="0.25">
      <c r="A5755" t="str">
        <f>"20190312164424585"</f>
        <v>20190312164424585</v>
      </c>
      <c r="B5755" t="str">
        <f>"1552380264580543"</f>
        <v>1552380264580543</v>
      </c>
      <c r="C5755" t="s">
        <v>40</v>
      </c>
      <c r="D5755">
        <v>5.3526429999999996</v>
      </c>
      <c r="E5755">
        <v>0.4884173</v>
      </c>
      <c r="F5755" t="s">
        <v>42</v>
      </c>
      <c r="G5755">
        <v>-131.0806</v>
      </c>
      <c r="H5755" s="1">
        <v>-3.8317549999999997E-6</v>
      </c>
      <c r="I5755">
        <v>139.4862</v>
      </c>
      <c r="J5755">
        <v>-140.50360000000001</v>
      </c>
      <c r="K5755">
        <v>1.1188499999999999</v>
      </c>
      <c r="L5755">
        <v>140.2063</v>
      </c>
      <c r="M5755">
        <v>0.95922989999999997</v>
      </c>
      <c r="N5755">
        <v>0</v>
      </c>
      <c r="O5755">
        <v>-0.28225240000000001</v>
      </c>
      <c r="P5755">
        <v>0.9926952</v>
      </c>
      <c r="Q5755">
        <v>5.1905390000000003E-2</v>
      </c>
      <c r="R5755">
        <v>-0.1089142</v>
      </c>
      <c r="S5755">
        <v>3.0151370000000002</v>
      </c>
      <c r="T5755">
        <v>-0.3448678</v>
      </c>
      <c r="U5755">
        <v>-0.25241089999999999</v>
      </c>
      <c r="V5755">
        <v>-0.1771189</v>
      </c>
      <c r="W5755">
        <v>6.2415350000000001E-2</v>
      </c>
      <c r="X5755">
        <v>0.98220830000000003</v>
      </c>
      <c r="Y5755">
        <v>-0.19821340000000001</v>
      </c>
      <c r="Z5755">
        <v>4.2977630000000003E-2</v>
      </c>
      <c r="AA5755">
        <v>0.97921619999999998</v>
      </c>
      <c r="AB5755">
        <v>34</v>
      </c>
      <c r="AC5755">
        <v>9.423</v>
      </c>
      <c r="AD5755">
        <v>-1.1188538317550001</v>
      </c>
      <c r="AE5755">
        <v>-0.72010000000000196</v>
      </c>
      <c r="AF5755">
        <v>-1.9419124335421101</v>
      </c>
      <c r="AG5755">
        <v>-1.1188538317550001</v>
      </c>
      <c r="AH5755">
        <v>9.1152868023805205</v>
      </c>
      <c r="AI5755">
        <v>96.845637848409197</v>
      </c>
      <c r="AJ5755">
        <v>102.02644931093501</v>
      </c>
      <c r="AK5755">
        <v>9.3867625561761603</v>
      </c>
      <c r="AL5755">
        <v>86.421537743100799</v>
      </c>
      <c r="AM5755">
        <v>100.222133068638</v>
      </c>
      <c r="AN5755">
        <v>0.99999996262085999</v>
      </c>
    </row>
    <row r="5756" spans="1:40" x14ac:dyDescent="0.25">
      <c r="A5756" t="str">
        <f>"20190312164424619"</f>
        <v>20190312164424619</v>
      </c>
      <c r="B5756" t="str">
        <f>"1552380264610800"</f>
        <v>1552380264610800</v>
      </c>
      <c r="C5756" t="s">
        <v>40</v>
      </c>
      <c r="D5756">
        <v>5.4744999999999999</v>
      </c>
      <c r="E5756">
        <v>0.48892099999999999</v>
      </c>
      <c r="F5756" t="s">
        <v>42</v>
      </c>
      <c r="G5756">
        <v>-130.83240000000001</v>
      </c>
      <c r="H5756" s="1">
        <v>-3.9439620000000001E-6</v>
      </c>
      <c r="I5756">
        <v>139.45400000000001</v>
      </c>
      <c r="J5756">
        <v>-139.9982</v>
      </c>
      <c r="K5756">
        <v>1.1188880000000001</v>
      </c>
      <c r="L5756">
        <v>140.07409999999999</v>
      </c>
      <c r="M5756">
        <v>0.96353719999999998</v>
      </c>
      <c r="N5756">
        <v>0</v>
      </c>
      <c r="O5756">
        <v>-0.2671772</v>
      </c>
      <c r="P5756">
        <v>0.99412630000000002</v>
      </c>
      <c r="Q5756">
        <v>4.628256E-2</v>
      </c>
      <c r="R5756">
        <v>-9.7830410000000007E-2</v>
      </c>
      <c r="S5756">
        <v>3.0145870000000001</v>
      </c>
      <c r="T5756">
        <v>-0.34875319999999999</v>
      </c>
      <c r="U5756">
        <v>-0.23448179999999999</v>
      </c>
      <c r="V5756">
        <v>-0.17263809999999999</v>
      </c>
      <c r="W5756">
        <v>5.6890099999999902E-2</v>
      </c>
      <c r="X5756">
        <v>0.98334100000000002</v>
      </c>
      <c r="Y5756">
        <v>-0.18869839999999999</v>
      </c>
      <c r="Z5756">
        <v>4.1261640000000002E-2</v>
      </c>
      <c r="AA5756">
        <v>0.98116789999999998</v>
      </c>
      <c r="AB5756">
        <v>34</v>
      </c>
      <c r="AC5756">
        <v>9.1657999999999902</v>
      </c>
      <c r="AD5756">
        <v>-1.118891943962</v>
      </c>
      <c r="AE5756">
        <v>-0.620099999999979</v>
      </c>
      <c r="AF5756">
        <v>-1.82453523635677</v>
      </c>
      <c r="AG5756">
        <v>-1.118891943962</v>
      </c>
      <c r="AH5756">
        <v>8.8666948055865493</v>
      </c>
      <c r="AI5756">
        <v>97.046064547152895</v>
      </c>
      <c r="AJ5756">
        <v>101.627678026018</v>
      </c>
      <c r="AK5756">
        <v>9.1213554248470192</v>
      </c>
      <c r="AL5756">
        <v>86.738676423109894</v>
      </c>
      <c r="AM5756">
        <v>99.957530426165505</v>
      </c>
      <c r="AN5756">
        <v>0.99999995966530897</v>
      </c>
    </row>
    <row r="5757" spans="1:40" x14ac:dyDescent="0.25">
      <c r="A5757" t="str">
        <f>"20190312164424652"</f>
        <v>20190312164424652</v>
      </c>
      <c r="B5757" t="str">
        <f>"1552380264641056"</f>
        <v>1552380264641056</v>
      </c>
      <c r="C5757" t="s">
        <v>40</v>
      </c>
      <c r="D5757">
        <v>5.3006089999999997</v>
      </c>
      <c r="E5757">
        <v>0.4890697</v>
      </c>
      <c r="F5757" t="s">
        <v>42</v>
      </c>
      <c r="G5757">
        <v>-130.81620000000001</v>
      </c>
      <c r="H5757" s="1">
        <v>-3.951361E-6</v>
      </c>
      <c r="I5757">
        <v>139.45140000000001</v>
      </c>
      <c r="J5757">
        <v>-139.52109999999999</v>
      </c>
      <c r="K5757">
        <v>1.1188659999999999</v>
      </c>
      <c r="L5757">
        <v>139.9572</v>
      </c>
      <c r="M5757">
        <v>0.96733530000000001</v>
      </c>
      <c r="N5757">
        <v>0</v>
      </c>
      <c r="O5757">
        <v>-0.25308069999999999</v>
      </c>
      <c r="P5757">
        <v>0.99524579999999996</v>
      </c>
      <c r="Q5757">
        <v>4.4107559999999997E-2</v>
      </c>
      <c r="R5757">
        <v>-8.6834899999999896E-2</v>
      </c>
      <c r="S5757">
        <v>3.0147249999999999</v>
      </c>
      <c r="T5757">
        <v>-0.36736479999999999</v>
      </c>
      <c r="U5757">
        <v>-0.20443729999999999</v>
      </c>
      <c r="V5757">
        <v>-0.1691231</v>
      </c>
      <c r="W5757">
        <v>5.481577E-2</v>
      </c>
      <c r="X5757">
        <v>0.98406939999999998</v>
      </c>
      <c r="Y5757">
        <v>-0.18390000000000001</v>
      </c>
      <c r="Z5757">
        <v>4.1525010000000001E-2</v>
      </c>
      <c r="AA5757">
        <v>0.98206749999999998</v>
      </c>
      <c r="AB5757">
        <v>34</v>
      </c>
      <c r="AC5757">
        <v>8.7048999999999808</v>
      </c>
      <c r="AD5757">
        <v>-1.1188699513610001</v>
      </c>
      <c r="AE5757">
        <v>-0.50579999999999303</v>
      </c>
      <c r="AF5757">
        <v>-1.68618278265527</v>
      </c>
      <c r="AG5757">
        <v>-1.1188699513610001</v>
      </c>
      <c r="AH5757">
        <v>8.4109852084195005</v>
      </c>
      <c r="AI5757">
        <v>97.431120885256803</v>
      </c>
      <c r="AJ5757">
        <v>101.336036764266</v>
      </c>
      <c r="AK5757">
        <v>8.6509973136531002</v>
      </c>
      <c r="AL5757">
        <v>86.857712707054603</v>
      </c>
      <c r="AM5757">
        <v>99.751642922181006</v>
      </c>
      <c r="AN5757">
        <v>0.99999998780533095</v>
      </c>
    </row>
    <row r="5758" spans="1:40" x14ac:dyDescent="0.25">
      <c r="A5758" t="str">
        <f>"20190312164424685"</f>
        <v>20190312164424685</v>
      </c>
      <c r="B5758" t="str">
        <f>"1552380264681072"</f>
        <v>1552380264681072</v>
      </c>
      <c r="C5758" t="s">
        <v>40</v>
      </c>
      <c r="D5758">
        <v>5.3853059999999999</v>
      </c>
      <c r="E5758">
        <v>0.48917149999999998</v>
      </c>
      <c r="F5758" t="s">
        <v>42</v>
      </c>
      <c r="G5758">
        <v>-130.54259999999999</v>
      </c>
      <c r="H5758" s="1">
        <v>-4.0688940000000004E-6</v>
      </c>
      <c r="I5758">
        <v>139.45050000000001</v>
      </c>
      <c r="J5758">
        <v>-139.0341</v>
      </c>
      <c r="K5758">
        <v>1.1187590000000001</v>
      </c>
      <c r="L5758">
        <v>139.8449</v>
      </c>
      <c r="M5758">
        <v>0.97091859999999997</v>
      </c>
      <c r="N5758">
        <v>0</v>
      </c>
      <c r="O5758">
        <v>-0.2389657</v>
      </c>
      <c r="P5758">
        <v>0.99615370000000003</v>
      </c>
      <c r="Q5758">
        <v>4.2105679999999999E-2</v>
      </c>
      <c r="R5758">
        <v>-7.6844330000000002E-2</v>
      </c>
      <c r="S5758">
        <v>3.0161289999999998</v>
      </c>
      <c r="T5758">
        <v>-0.37585790000000002</v>
      </c>
      <c r="U5758">
        <v>-0.17022709999999999</v>
      </c>
      <c r="V5758">
        <v>-0.16462570000000001</v>
      </c>
      <c r="W5758">
        <v>5.2958810000000002E-2</v>
      </c>
      <c r="X5758">
        <v>0.98493339999999996</v>
      </c>
      <c r="Y5758">
        <v>-0.1806972</v>
      </c>
      <c r="Z5758">
        <v>4.0582460000000001E-2</v>
      </c>
      <c r="AA5758">
        <v>0.98270119999999905</v>
      </c>
      <c r="AB5758">
        <v>34</v>
      </c>
      <c r="AC5758">
        <v>8.4915000000000003</v>
      </c>
      <c r="AD5758">
        <v>-1.118763068894</v>
      </c>
      <c r="AE5758">
        <v>-0.39439999999998998</v>
      </c>
      <c r="AF5758">
        <v>-1.61838982178127</v>
      </c>
      <c r="AG5758">
        <v>-1.118763068894</v>
      </c>
      <c r="AH5758">
        <v>8.1976975114630797</v>
      </c>
      <c r="AI5758">
        <v>97.625902441750497</v>
      </c>
      <c r="AJ5758">
        <v>101.167727152056</v>
      </c>
      <c r="AK5758">
        <v>8.4304840257848994</v>
      </c>
      <c r="AL5758">
        <v>86.964263637094405</v>
      </c>
      <c r="AM5758">
        <v>99.488929700168896</v>
      </c>
      <c r="AN5758">
        <v>1.00000002954633</v>
      </c>
    </row>
    <row r="5759" spans="1:40" x14ac:dyDescent="0.25">
      <c r="A5759" t="str">
        <f>"20190312164424719"</f>
        <v>20190312164424719</v>
      </c>
      <c r="B5759" t="str">
        <f>"1552380264711328"</f>
        <v>1552380264711328</v>
      </c>
      <c r="C5759" t="s">
        <v>40</v>
      </c>
      <c r="D5759">
        <v>5.347912</v>
      </c>
      <c r="E5759">
        <v>0.48952299999999899</v>
      </c>
      <c r="F5759" t="s">
        <v>42</v>
      </c>
      <c r="G5759">
        <v>-130.18199999999999</v>
      </c>
      <c r="H5759" s="1">
        <v>-4.225884E-6</v>
      </c>
      <c r="I5759">
        <v>139.4375</v>
      </c>
      <c r="J5759">
        <v>-138.5471</v>
      </c>
      <c r="K5759">
        <v>1.118609</v>
      </c>
      <c r="L5759">
        <v>139.7396</v>
      </c>
      <c r="M5759">
        <v>0.97419940000000005</v>
      </c>
      <c r="N5759">
        <v>0</v>
      </c>
      <c r="O5759">
        <v>-0.2252189</v>
      </c>
      <c r="P5759">
        <v>0.99694269999999996</v>
      </c>
      <c r="Q5759">
        <v>4.0084359999999999E-2</v>
      </c>
      <c r="R5759">
        <v>-6.7070060000000001E-2</v>
      </c>
      <c r="S5759">
        <v>3.0169830000000002</v>
      </c>
      <c r="T5759">
        <v>-0.38129770000000002</v>
      </c>
      <c r="U5759">
        <v>-0.13883970000000001</v>
      </c>
      <c r="V5759">
        <v>-0.16031609999999999</v>
      </c>
      <c r="W5759">
        <v>5.1090709999999998E-2</v>
      </c>
      <c r="X5759">
        <v>0.98574260000000002</v>
      </c>
      <c r="Y5759">
        <v>-0.1770534</v>
      </c>
      <c r="Z5759">
        <v>3.9256039999999999E-2</v>
      </c>
      <c r="AA5759">
        <v>0.98341800000000001</v>
      </c>
      <c r="AB5759">
        <v>34</v>
      </c>
      <c r="AC5759">
        <v>8.3650999999999804</v>
      </c>
      <c r="AD5759">
        <v>-1.118613225884</v>
      </c>
      <c r="AE5759">
        <v>-0.30209999999999498</v>
      </c>
      <c r="AF5759">
        <v>-1.5619470403000699</v>
      </c>
      <c r="AG5759">
        <v>-1.118613225884</v>
      </c>
      <c r="AH5759">
        <v>8.0739935052784695</v>
      </c>
      <c r="AI5759">
        <v>97.746021301605893</v>
      </c>
      <c r="AJ5759">
        <v>100.948854635749</v>
      </c>
      <c r="AK5759">
        <v>8.2994183669160595</v>
      </c>
      <c r="AL5759">
        <v>87.071442931131401</v>
      </c>
      <c r="AM5759">
        <v>99.237413650434405</v>
      </c>
      <c r="AN5759">
        <v>0.99999999301113696</v>
      </c>
    </row>
    <row r="5760" spans="1:40" x14ac:dyDescent="0.25">
      <c r="A5760" t="str">
        <f>"20190312164424753"</f>
        <v>20190312164424753</v>
      </c>
      <c r="B5760" t="str">
        <f>"1552380264740608"</f>
        <v>1552380264740608</v>
      </c>
      <c r="C5760" t="s">
        <v>40</v>
      </c>
      <c r="D5760">
        <v>5.334829</v>
      </c>
      <c r="E5760">
        <v>0.4900294</v>
      </c>
      <c r="F5760" t="s">
        <v>42</v>
      </c>
      <c r="G5760">
        <v>-129.79929999999999</v>
      </c>
      <c r="H5760" s="1">
        <v>-1.0906380000000001E-7</v>
      </c>
      <c r="I5760">
        <v>139.41069999999999</v>
      </c>
      <c r="J5760">
        <v>-138.05950000000001</v>
      </c>
      <c r="K5760">
        <v>1.11842</v>
      </c>
      <c r="L5760">
        <v>139.6413</v>
      </c>
      <c r="M5760">
        <v>0.97717560000000003</v>
      </c>
      <c r="N5760">
        <v>0</v>
      </c>
      <c r="O5760">
        <v>-0.2119345</v>
      </c>
      <c r="P5760">
        <v>0.99740260000000003</v>
      </c>
      <c r="Q5760">
        <v>4.0927690000000003E-2</v>
      </c>
      <c r="R5760">
        <v>-5.9272859999999997E-2</v>
      </c>
      <c r="S5760">
        <v>3.0170590000000002</v>
      </c>
      <c r="T5760">
        <v>-0.38580160000000002</v>
      </c>
      <c r="U5760">
        <v>-0.1134491</v>
      </c>
      <c r="V5760">
        <v>-0.15458050000000001</v>
      </c>
      <c r="W5760">
        <v>5.2128349999999997E-2</v>
      </c>
      <c r="X5760">
        <v>0.98660400000000004</v>
      </c>
      <c r="Y5760">
        <v>-0.17198920000000001</v>
      </c>
      <c r="Z5760">
        <v>3.7749980000000002E-2</v>
      </c>
      <c r="AA5760">
        <v>0.98437520000000001</v>
      </c>
      <c r="AB5760">
        <v>34</v>
      </c>
      <c r="AC5760">
        <v>8.2602000000000206</v>
      </c>
      <c r="AD5760">
        <v>-1.1184201090638</v>
      </c>
      <c r="AE5760">
        <v>-0.23060000000000899</v>
      </c>
      <c r="AF5760">
        <v>-1.4980048382864699</v>
      </c>
      <c r="AG5760">
        <v>-1.1184201090638</v>
      </c>
      <c r="AH5760">
        <v>7.9753015843697899</v>
      </c>
      <c r="AI5760">
        <v>97.847366966067497</v>
      </c>
      <c r="AJ5760">
        <v>100.637946998619</v>
      </c>
      <c r="AK5760">
        <v>8.1914783401739601</v>
      </c>
      <c r="AL5760">
        <v>87.011911143964198</v>
      </c>
      <c r="AM5760">
        <v>98.904672754479705</v>
      </c>
      <c r="AN5760">
        <v>0.999999974334986</v>
      </c>
    </row>
    <row r="5761" spans="1:40" x14ac:dyDescent="0.25">
      <c r="A5761" t="str">
        <f>"20190312164424788"</f>
        <v>20190312164424788</v>
      </c>
      <c r="B5761" t="str">
        <f>"1552380264780625"</f>
        <v>1552380264780625</v>
      </c>
      <c r="C5761" t="s">
        <v>40</v>
      </c>
      <c r="D5761">
        <v>5.3575679999999997</v>
      </c>
      <c r="E5761">
        <v>0.49045680000000003</v>
      </c>
      <c r="F5761" t="s">
        <v>42</v>
      </c>
      <c r="G5761">
        <v>-129.10679999999999</v>
      </c>
      <c r="H5761" s="1">
        <v>-4.0976370000000001E-7</v>
      </c>
      <c r="I5761">
        <v>139.36670000000001</v>
      </c>
      <c r="J5761">
        <v>-137.5455</v>
      </c>
      <c r="K5761">
        <v>1.1181939999999999</v>
      </c>
      <c r="L5761">
        <v>139.5445</v>
      </c>
      <c r="M5761">
        <v>0.98000030000000005</v>
      </c>
      <c r="N5761">
        <v>0</v>
      </c>
      <c r="O5761">
        <v>-0.19846620000000001</v>
      </c>
      <c r="P5761">
        <v>0.99751330000000005</v>
      </c>
      <c r="Q5761">
        <v>4.496551E-2</v>
      </c>
      <c r="R5761">
        <v>-5.4274070000000001E-2</v>
      </c>
      <c r="S5761">
        <v>3.017776</v>
      </c>
      <c r="T5761">
        <v>-0.37699450000000001</v>
      </c>
      <c r="U5761">
        <v>-9.2559810000000006E-2</v>
      </c>
      <c r="V5761">
        <v>-0.1459464</v>
      </c>
      <c r="W5761">
        <v>5.6427360000000003E-2</v>
      </c>
      <c r="X5761">
        <v>0.9876819</v>
      </c>
      <c r="Y5761">
        <v>-0.16553960000000001</v>
      </c>
      <c r="Z5761">
        <v>3.4848520000000001E-2</v>
      </c>
      <c r="AA5761">
        <v>0.9855872</v>
      </c>
      <c r="AB5761">
        <v>34</v>
      </c>
      <c r="AC5761">
        <v>8.4387000000000096</v>
      </c>
      <c r="AD5761">
        <v>-1.1181944097637</v>
      </c>
      <c r="AE5761">
        <v>-0.17779999999998999</v>
      </c>
      <c r="AF5761">
        <v>-1.4748266639943499</v>
      </c>
      <c r="AG5761">
        <v>-1.1181944097637</v>
      </c>
      <c r="AH5761">
        <v>8.1628282703978599</v>
      </c>
      <c r="AI5761">
        <v>97.677394197135797</v>
      </c>
      <c r="AJ5761">
        <v>100.241482334842</v>
      </c>
      <c r="AK5761">
        <v>8.3700201791191695</v>
      </c>
      <c r="AL5761">
        <v>86.765232156524903</v>
      </c>
      <c r="AM5761">
        <v>98.405576453937996</v>
      </c>
      <c r="AN5761">
        <v>0.99999996710856898</v>
      </c>
    </row>
    <row r="5762" spans="1:40" x14ac:dyDescent="0.25">
      <c r="A5762" t="str">
        <f>"20190312164424826"</f>
        <v>20190312164424826</v>
      </c>
      <c r="B5762" t="str">
        <f>"1552380264820642"</f>
        <v>1552380264820642</v>
      </c>
      <c r="C5762" t="s">
        <v>40</v>
      </c>
      <c r="D5762">
        <v>5.3666330000000002</v>
      </c>
      <c r="E5762">
        <v>0.4908691</v>
      </c>
      <c r="F5762" t="s">
        <v>42</v>
      </c>
      <c r="G5762">
        <v>-128.1704</v>
      </c>
      <c r="H5762" s="1">
        <v>-8.2267480000000004E-7</v>
      </c>
      <c r="I5762">
        <v>139.30350000000001</v>
      </c>
      <c r="J5762">
        <v>-137.0154</v>
      </c>
      <c r="K5762">
        <v>1.1179250000000001</v>
      </c>
      <c r="L5762">
        <v>139.45169999999999</v>
      </c>
      <c r="M5762">
        <v>0.98261050000000005</v>
      </c>
      <c r="N5762">
        <v>0</v>
      </c>
      <c r="O5762">
        <v>-0.18511369999999999</v>
      </c>
      <c r="P5762">
        <v>0.99759969999999998</v>
      </c>
      <c r="Q5762">
        <v>4.872742E-2</v>
      </c>
      <c r="R5762">
        <v>-4.9204379999999999E-2</v>
      </c>
      <c r="S5762">
        <v>3.019501</v>
      </c>
      <c r="T5762">
        <v>-0.36014220000000002</v>
      </c>
      <c r="U5762">
        <v>-7.76062E-2</v>
      </c>
      <c r="V5762">
        <v>-0.13751540000000001</v>
      </c>
      <c r="W5762">
        <v>6.0436900000000002E-2</v>
      </c>
      <c r="X5762">
        <v>0.98865409999999998</v>
      </c>
      <c r="Y5762">
        <v>-0.1574111</v>
      </c>
      <c r="Z5762">
        <v>3.1243090000000001E-2</v>
      </c>
      <c r="AA5762">
        <v>0.98703879999999999</v>
      </c>
      <c r="AB5762">
        <v>34</v>
      </c>
      <c r="AC5762">
        <v>8.84499999999999</v>
      </c>
      <c r="AD5762">
        <v>-1.1179258226747999</v>
      </c>
      <c r="AE5762">
        <v>-0.14819999999997399</v>
      </c>
      <c r="AF5762">
        <v>-1.4684133497009499</v>
      </c>
      <c r="AG5762">
        <v>-1.1179258226747999</v>
      </c>
      <c r="AH5762">
        <v>8.5824740356016402</v>
      </c>
      <c r="AI5762">
        <v>97.316245994517701</v>
      </c>
      <c r="AJ5762">
        <v>99.708978191612104</v>
      </c>
      <c r="AK5762">
        <v>8.7786591505969405</v>
      </c>
      <c r="AL5762">
        <v>86.535109253375396</v>
      </c>
      <c r="AM5762">
        <v>97.918666197802594</v>
      </c>
      <c r="AN5762">
        <v>1.0000000167827801</v>
      </c>
    </row>
    <row r="5763" spans="1:40" x14ac:dyDescent="0.25">
      <c r="A5763" t="str">
        <f>"20190312164424853"</f>
        <v>20190312164424853</v>
      </c>
      <c r="B5763" t="str">
        <f>"1552380264841136"</f>
        <v>1552380264841136</v>
      </c>
      <c r="C5763" t="s">
        <v>40</v>
      </c>
      <c r="D5763">
        <v>5.4013299999999997</v>
      </c>
      <c r="E5763">
        <v>0.49110209999999999</v>
      </c>
      <c r="F5763" t="s">
        <v>42</v>
      </c>
      <c r="G5763">
        <v>-127.2243</v>
      </c>
      <c r="H5763" s="1">
        <v>-1.239225E-6</v>
      </c>
      <c r="I5763">
        <v>139.24340000000001</v>
      </c>
      <c r="J5763">
        <v>-136.58850000000001</v>
      </c>
      <c r="K5763">
        <v>1.1177220000000001</v>
      </c>
      <c r="L5763">
        <v>139.38220000000001</v>
      </c>
      <c r="M5763">
        <v>0.98450510000000002</v>
      </c>
      <c r="N5763">
        <v>0</v>
      </c>
      <c r="O5763">
        <v>-0.17475889999999999</v>
      </c>
      <c r="P5763">
        <v>0.99759810000000004</v>
      </c>
      <c r="Q5763">
        <v>5.0817830000000001E-2</v>
      </c>
      <c r="R5763">
        <v>-4.706929E-2</v>
      </c>
      <c r="S5763">
        <v>3.020905</v>
      </c>
      <c r="T5763">
        <v>-0.34492080000000003</v>
      </c>
      <c r="U5763">
        <v>-6.4254759999999994E-2</v>
      </c>
      <c r="V5763">
        <v>-0.12920029999999999</v>
      </c>
      <c r="W5763">
        <v>6.2746579999999996E-2</v>
      </c>
      <c r="X5763">
        <v>0.98963129999999999</v>
      </c>
      <c r="Y5763">
        <v>-0.151690299999999</v>
      </c>
      <c r="Z5763">
        <v>2.8433119999999999E-2</v>
      </c>
      <c r="AA5763">
        <v>0.98801899999999998</v>
      </c>
      <c r="AB5763">
        <v>34</v>
      </c>
      <c r="AC5763">
        <v>9.3642000000000092</v>
      </c>
      <c r="AD5763">
        <v>-1.1177232392249901</v>
      </c>
      <c r="AE5763">
        <v>-0.138800000000003</v>
      </c>
      <c r="AF5763">
        <v>-1.47891905162378</v>
      </c>
      <c r="AG5763">
        <v>-1.1177232392249901</v>
      </c>
      <c r="AH5763">
        <v>9.1144985701922092</v>
      </c>
      <c r="AI5763">
        <v>96.901971032790996</v>
      </c>
      <c r="AJ5763">
        <v>99.216491664007705</v>
      </c>
      <c r="AK5763">
        <v>9.3011069764192804</v>
      </c>
      <c r="AL5763">
        <v>86.402522453049102</v>
      </c>
      <c r="AM5763">
        <v>97.438122846024498</v>
      </c>
      <c r="AN5763">
        <v>0.99999998038073801</v>
      </c>
    </row>
    <row r="5764" spans="1:40" x14ac:dyDescent="0.25">
      <c r="A5764" t="str">
        <f>"20190312164424887"</f>
        <v>20190312164424887</v>
      </c>
      <c r="B5764" t="str">
        <f>"1552380264881152"</f>
        <v>1552380264881152</v>
      </c>
      <c r="C5764" t="s">
        <v>40</v>
      </c>
      <c r="D5764">
        <v>5.7331500000000002</v>
      </c>
      <c r="E5764">
        <v>0.49151210000000001</v>
      </c>
      <c r="F5764" t="s">
        <v>42</v>
      </c>
      <c r="G5764">
        <v>-126.5471</v>
      </c>
      <c r="H5764" s="1">
        <v>-1.539982E-6</v>
      </c>
      <c r="I5764">
        <v>139.18559999999999</v>
      </c>
      <c r="J5764">
        <v>-136.0958</v>
      </c>
      <c r="K5764">
        <v>1.117502</v>
      </c>
      <c r="L5764">
        <v>139.30719999999999</v>
      </c>
      <c r="M5764">
        <v>0.98648690000000006</v>
      </c>
      <c r="N5764">
        <v>0</v>
      </c>
      <c r="O5764">
        <v>-0.1632035</v>
      </c>
      <c r="P5764">
        <v>0.99737699999999996</v>
      </c>
      <c r="Q5764">
        <v>5.595497E-2</v>
      </c>
      <c r="R5764">
        <v>-4.5916319999999997E-2</v>
      </c>
      <c r="S5764">
        <v>3.021576</v>
      </c>
      <c r="T5764">
        <v>-0.3363372</v>
      </c>
      <c r="U5764">
        <v>-5.9158330000000002E-2</v>
      </c>
      <c r="V5764">
        <v>-0.1187323</v>
      </c>
      <c r="W5764">
        <v>6.8139000000000005E-2</v>
      </c>
      <c r="X5764">
        <v>0.99058559999999996</v>
      </c>
      <c r="Y5764">
        <v>-0.14200079999999901</v>
      </c>
      <c r="Z5764">
        <v>2.5920309999999998E-2</v>
      </c>
      <c r="AA5764">
        <v>0.98952709999999999</v>
      </c>
      <c r="AB5764">
        <v>34</v>
      </c>
      <c r="AC5764">
        <v>9.5486999999999895</v>
      </c>
      <c r="AD5764">
        <v>-1.1175035399819999</v>
      </c>
      <c r="AE5764">
        <v>-0.1216</v>
      </c>
      <c r="AF5764">
        <v>-1.4191401381706601</v>
      </c>
      <c r="AG5764">
        <v>-1.1175035399819999</v>
      </c>
      <c r="AH5764">
        <v>9.3129616659078494</v>
      </c>
      <c r="AI5764">
        <v>96.765100757186403</v>
      </c>
      <c r="AJ5764">
        <v>98.6642687336725</v>
      </c>
      <c r="AK5764">
        <v>9.4865182171494595</v>
      </c>
      <c r="AL5764">
        <v>86.092895716907407</v>
      </c>
      <c r="AM5764">
        <v>96.834906225251004</v>
      </c>
      <c r="AN5764">
        <v>1.00000005665582</v>
      </c>
    </row>
    <row r="5765" spans="1:40" x14ac:dyDescent="0.25">
      <c r="A5765" t="str">
        <f>"20190312164424920"</f>
        <v>20190312164424920</v>
      </c>
      <c r="B5765" t="str">
        <f>"1552380264911408"</f>
        <v>1552380264911408</v>
      </c>
      <c r="C5765" t="s">
        <v>40</v>
      </c>
      <c r="D5765">
        <v>5.4495529999999999</v>
      </c>
      <c r="E5765">
        <v>0.49148429999999999</v>
      </c>
      <c r="F5765" t="s">
        <v>42</v>
      </c>
      <c r="G5765">
        <v>-125.47239999999999</v>
      </c>
      <c r="H5765" s="1">
        <v>-2.0139790000000002E-6</v>
      </c>
      <c r="I5765">
        <v>139.11250000000001</v>
      </c>
      <c r="J5765">
        <v>-135.60499999999999</v>
      </c>
      <c r="K5765">
        <v>1.1172550000000001</v>
      </c>
      <c r="L5765">
        <v>139.2379</v>
      </c>
      <c r="M5765">
        <v>0.98825499999999999</v>
      </c>
      <c r="N5765">
        <v>0</v>
      </c>
      <c r="O5765">
        <v>-0.1521354</v>
      </c>
      <c r="P5765">
        <v>0.99707869999999998</v>
      </c>
      <c r="Q5765">
        <v>6.1750350000000002E-2</v>
      </c>
      <c r="R5765">
        <v>-4.495652E-2</v>
      </c>
      <c r="S5765">
        <v>3.0231780000000001</v>
      </c>
      <c r="T5765">
        <v>-0.31801590000000002</v>
      </c>
      <c r="U5765">
        <v>-5.5389399999999998E-2</v>
      </c>
      <c r="V5765">
        <v>-0.10856739999999999</v>
      </c>
      <c r="W5765">
        <v>7.4170899999999998E-2</v>
      </c>
      <c r="X5765">
        <v>0.99131820000000004</v>
      </c>
      <c r="Y5765">
        <v>-0.13245660000000001</v>
      </c>
      <c r="Z5765">
        <v>2.28544E-2</v>
      </c>
      <c r="AA5765">
        <v>0.99092530000000001</v>
      </c>
      <c r="AB5765">
        <v>33</v>
      </c>
      <c r="AC5765">
        <v>10.132599999999901</v>
      </c>
      <c r="AD5765">
        <v>-1.1172570139789999</v>
      </c>
      <c r="AE5765">
        <v>-0.125399999999984</v>
      </c>
      <c r="AF5765">
        <v>-1.4007192086797899</v>
      </c>
      <c r="AG5765">
        <v>-1.1172570139789999</v>
      </c>
      <c r="AH5765">
        <v>9.91320143923428</v>
      </c>
      <c r="AI5765">
        <v>96.367602253841099</v>
      </c>
      <c r="AJ5765">
        <v>98.042558455627301</v>
      </c>
      <c r="AK5765">
        <v>10.0738195492914</v>
      </c>
      <c r="AL5765">
        <v>85.746414263021094</v>
      </c>
      <c r="AM5765">
        <v>96.250022848116103</v>
      </c>
      <c r="AN5765">
        <v>0.99999998820040403</v>
      </c>
    </row>
    <row r="5766" spans="1:40" x14ac:dyDescent="0.25">
      <c r="A5766" t="str">
        <f>"20190312164424954"</f>
        <v>20190312164424954</v>
      </c>
      <c r="B5766" t="str">
        <f>"1552380264951423"</f>
        <v>1552380264951423</v>
      </c>
      <c r="C5766" t="s">
        <v>40</v>
      </c>
      <c r="D5766">
        <v>5.4049449999999997</v>
      </c>
      <c r="E5766">
        <v>0.4815373</v>
      </c>
      <c r="F5766" t="s">
        <v>42</v>
      </c>
      <c r="G5766">
        <v>-124.29649999999999</v>
      </c>
      <c r="H5766" s="1">
        <v>-2.5306750000000001E-6</v>
      </c>
      <c r="I5766">
        <v>139.0437</v>
      </c>
      <c r="J5766">
        <v>-135.1105</v>
      </c>
      <c r="K5766">
        <v>1.116986</v>
      </c>
      <c r="L5766">
        <v>139.17349999999999</v>
      </c>
      <c r="M5766">
        <v>0.98983790000000005</v>
      </c>
      <c r="N5766">
        <v>0</v>
      </c>
      <c r="O5766">
        <v>-0.14147319999999999</v>
      </c>
      <c r="P5766">
        <v>0.99691700000000005</v>
      </c>
      <c r="Q5766">
        <v>6.4405279999999995E-2</v>
      </c>
      <c r="R5766">
        <v>-4.4816179999999997E-2</v>
      </c>
      <c r="S5766">
        <v>3.0249790000000001</v>
      </c>
      <c r="T5766">
        <v>-0.29886020000000002</v>
      </c>
      <c r="U5766">
        <v>-5.1925659999999998E-2</v>
      </c>
      <c r="V5766">
        <v>-9.7968990000000006E-2</v>
      </c>
      <c r="W5766">
        <v>7.70594E-2</v>
      </c>
      <c r="X5766">
        <v>0.99220160000000002</v>
      </c>
      <c r="Y5766">
        <v>-0.1231926</v>
      </c>
      <c r="Z5766">
        <v>1.9974459999999999E-2</v>
      </c>
      <c r="AA5766">
        <v>0.99218170000000006</v>
      </c>
      <c r="AB5766">
        <v>33</v>
      </c>
      <c r="AC5766">
        <v>10.814</v>
      </c>
      <c r="AD5766">
        <v>-1.116988530675</v>
      </c>
      <c r="AE5766">
        <v>-0.12979999999998801</v>
      </c>
      <c r="AF5766">
        <v>-1.3867615181578501</v>
      </c>
      <c r="AG5766">
        <v>-1.116988530675</v>
      </c>
      <c r="AH5766">
        <v>10.6103900795455</v>
      </c>
      <c r="AI5766">
        <v>95.959255312553296</v>
      </c>
      <c r="AJ5766">
        <v>97.446261675859603</v>
      </c>
      <c r="AK5766">
        <v>10.7587707720733</v>
      </c>
      <c r="AL5766">
        <v>85.580440421620096</v>
      </c>
      <c r="AM5766">
        <v>95.639049394402903</v>
      </c>
      <c r="AN5766">
        <v>1.00000004458626</v>
      </c>
    </row>
    <row r="5767" spans="1:40" x14ac:dyDescent="0.25">
      <c r="A5767" t="str">
        <f>"20190312164424988"</f>
        <v>20190312164424988</v>
      </c>
      <c r="B5767" t="str">
        <f>"1552380264980703"</f>
        <v>1552380264980703</v>
      </c>
      <c r="C5767" t="s">
        <v>40</v>
      </c>
      <c r="D5767">
        <v>5.3418659999999996</v>
      </c>
      <c r="E5767">
        <v>0.4801356</v>
      </c>
      <c r="F5767" t="s">
        <v>42</v>
      </c>
      <c r="G5767">
        <v>-119.29300000000001</v>
      </c>
      <c r="H5767" s="1">
        <v>-3.4006770000000002E-7</v>
      </c>
      <c r="I5767">
        <v>139.30930000000001</v>
      </c>
      <c r="J5767">
        <v>-134.6138</v>
      </c>
      <c r="K5767">
        <v>1.1166700000000001</v>
      </c>
      <c r="L5767">
        <v>139.11369999999999</v>
      </c>
      <c r="M5767">
        <v>0.99124619999999997</v>
      </c>
      <c r="N5767">
        <v>0</v>
      </c>
      <c r="O5767">
        <v>-0.13124769999999999</v>
      </c>
      <c r="P5767">
        <v>0.99691410000000003</v>
      </c>
      <c r="Q5767">
        <v>6.5173170000000002E-2</v>
      </c>
      <c r="R5767">
        <v>-4.375979E-2</v>
      </c>
      <c r="S5767">
        <v>3.0242309999999999</v>
      </c>
      <c r="T5767">
        <v>-0.2135619</v>
      </c>
      <c r="U5767">
        <v>2.5970460000000001E-2</v>
      </c>
      <c r="V5767">
        <v>-8.8709670000000004E-2</v>
      </c>
      <c r="W5767">
        <v>7.8023029999999993E-2</v>
      </c>
      <c r="X5767">
        <v>0.99299700000000002</v>
      </c>
      <c r="Y5767">
        <v>-0.1390971</v>
      </c>
      <c r="Z5767">
        <v>1.414384E-2</v>
      </c>
      <c r="AA5767">
        <v>0.9901778</v>
      </c>
      <c r="AB5767">
        <v>33</v>
      </c>
      <c r="AC5767">
        <v>15.3208</v>
      </c>
      <c r="AD5767">
        <v>-1.1166703400677001</v>
      </c>
      <c r="AE5767">
        <v>0.19560000000001301</v>
      </c>
      <c r="AF5767">
        <v>-2.19328394590086</v>
      </c>
      <c r="AG5767">
        <v>-1.1166703400677001</v>
      </c>
      <c r="AH5767">
        <v>15.082456761902799</v>
      </c>
      <c r="AI5767">
        <v>94.190406164589007</v>
      </c>
      <c r="AJ5767">
        <v>98.273928787242298</v>
      </c>
      <c r="AK5767">
        <v>15.281948471657699</v>
      </c>
      <c r="AL5767">
        <v>85.525061644368094</v>
      </c>
      <c r="AM5767">
        <v>95.104982969977797</v>
      </c>
      <c r="AN5767">
        <v>1.00000002038544</v>
      </c>
    </row>
    <row r="5768" spans="1:40" x14ac:dyDescent="0.25">
      <c r="A5768" t="str">
        <f>"20190312164425020"</f>
        <v>20190312164425020</v>
      </c>
      <c r="B5768" t="str">
        <f>"1552380265010960"</f>
        <v>1552380265010960</v>
      </c>
      <c r="C5768" t="s">
        <v>40</v>
      </c>
      <c r="D5768">
        <v>5.3028729999999999</v>
      </c>
      <c r="E5768">
        <v>0.48057529999999998</v>
      </c>
      <c r="F5768" t="s">
        <v>42</v>
      </c>
      <c r="G5768">
        <v>-119.9007</v>
      </c>
      <c r="H5768" s="1">
        <v>-9.8196519999999995E-8</v>
      </c>
      <c r="I5768">
        <v>139.3218</v>
      </c>
      <c r="J5768">
        <v>-134.1266</v>
      </c>
      <c r="K5768">
        <v>1.116347</v>
      </c>
      <c r="L5768">
        <v>139.05940000000001</v>
      </c>
      <c r="M5768">
        <v>0.99246699999999999</v>
      </c>
      <c r="N5768">
        <v>0</v>
      </c>
      <c r="O5768">
        <v>-0.12167699999999999</v>
      </c>
      <c r="P5768">
        <v>0.99688529999999997</v>
      </c>
      <c r="Q5768">
        <v>6.5497009999999994E-2</v>
      </c>
      <c r="R5768">
        <v>-4.3932449999999998E-2</v>
      </c>
      <c r="S5768">
        <v>3.0261689999999999</v>
      </c>
      <c r="T5768">
        <v>-0.22967470000000001</v>
      </c>
      <c r="U5768">
        <v>4.2816159999999999E-2</v>
      </c>
      <c r="V5768">
        <v>-7.8885739999999996E-2</v>
      </c>
      <c r="W5768">
        <v>7.8534999999999994E-2</v>
      </c>
      <c r="X5768">
        <v>0.99378529999999998</v>
      </c>
      <c r="Y5768">
        <v>-0.1349822</v>
      </c>
      <c r="Z5768">
        <v>1.4321510000000001E-2</v>
      </c>
      <c r="AA5768">
        <v>0.99074450000000003</v>
      </c>
      <c r="AB5768">
        <v>33</v>
      </c>
      <c r="AC5768">
        <v>14.2258999999999</v>
      </c>
      <c r="AD5768">
        <v>-1.11634709819652</v>
      </c>
      <c r="AE5768">
        <v>0.26239999999998498</v>
      </c>
      <c r="AF5768">
        <v>-1.97940627078497</v>
      </c>
      <c r="AG5768">
        <v>-1.11634709819652</v>
      </c>
      <c r="AH5768">
        <v>14.0020498941575</v>
      </c>
      <c r="AI5768">
        <v>94.513711558338002</v>
      </c>
      <c r="AJ5768">
        <v>98.046327315916798</v>
      </c>
      <c r="AK5768">
        <v>14.185262819805301</v>
      </c>
      <c r="AL5768">
        <v>85.495637383609505</v>
      </c>
      <c r="AM5768">
        <v>94.538568355089794</v>
      </c>
      <c r="AN5768">
        <v>0.99999996434821803</v>
      </c>
    </row>
    <row r="5769" spans="1:40" x14ac:dyDescent="0.25">
      <c r="A5769" t="str">
        <f>"20190312164425054"</f>
        <v>20190312164425054</v>
      </c>
      <c r="B5769" t="str">
        <f>"1552380265050975"</f>
        <v>1552380265050975</v>
      </c>
      <c r="C5769" t="s">
        <v>40</v>
      </c>
      <c r="D5769">
        <v>5.653435</v>
      </c>
      <c r="E5769">
        <v>0.48116829999999999</v>
      </c>
      <c r="F5769" t="s">
        <v>42</v>
      </c>
      <c r="G5769">
        <v>-119.66800000000001</v>
      </c>
      <c r="H5769" s="1">
        <v>-1.945937E-7</v>
      </c>
      <c r="I5769">
        <v>139.25720000000001</v>
      </c>
      <c r="J5769">
        <v>-133.63890000000001</v>
      </c>
      <c r="K5769">
        <v>1.116015</v>
      </c>
      <c r="L5769">
        <v>139.00960000000001</v>
      </c>
      <c r="M5769">
        <v>0.99353400000000003</v>
      </c>
      <c r="N5769">
        <v>0</v>
      </c>
      <c r="O5769">
        <v>-0.1126369</v>
      </c>
      <c r="P5769">
        <v>0.99684079999999997</v>
      </c>
      <c r="Q5769">
        <v>6.5582100000000004E-2</v>
      </c>
      <c r="R5769">
        <v>-4.4805810000000001E-2</v>
      </c>
      <c r="S5769">
        <v>3.0265499999999999</v>
      </c>
      <c r="T5769">
        <v>-0.23367789999999999</v>
      </c>
      <c r="U5769">
        <v>4.1412350000000001E-2</v>
      </c>
      <c r="V5769">
        <v>-6.8895040000000005E-2</v>
      </c>
      <c r="W5769">
        <v>7.8795039999999997E-2</v>
      </c>
      <c r="X5769">
        <v>0.99450729999999998</v>
      </c>
      <c r="Y5769">
        <v>-0.12552449999999901</v>
      </c>
      <c r="Z5769">
        <v>1.3510370000000001E-2</v>
      </c>
      <c r="AA5769">
        <v>0.99199850000000001</v>
      </c>
      <c r="AB5769">
        <v>33</v>
      </c>
      <c r="AC5769">
        <v>13.9709</v>
      </c>
      <c r="AD5769">
        <v>-1.1160151945937</v>
      </c>
      <c r="AE5769">
        <v>0.24760000000000501</v>
      </c>
      <c r="AF5769">
        <v>-1.8082875830201199</v>
      </c>
      <c r="AG5769">
        <v>-1.1160151945937</v>
      </c>
      <c r="AH5769">
        <v>13.7662668400417</v>
      </c>
      <c r="AI5769">
        <v>94.595460879645202</v>
      </c>
      <c r="AJ5769">
        <v>97.483324603991704</v>
      </c>
      <c r="AK5769">
        <v>13.9293035220251</v>
      </c>
      <c r="AL5769">
        <v>85.480691932669998</v>
      </c>
      <c r="AM5769">
        <v>93.962865322245804</v>
      </c>
      <c r="AN5769">
        <v>0.99999997730924595</v>
      </c>
    </row>
    <row r="5770" spans="1:40" x14ac:dyDescent="0.25">
      <c r="A5770" t="str">
        <f>"20190312164425088"</f>
        <v>20190312164425088</v>
      </c>
      <c r="B5770" t="str">
        <f>"1552380265080767"</f>
        <v>1552380265080767</v>
      </c>
      <c r="C5770" t="s">
        <v>40</v>
      </c>
      <c r="D5770">
        <v>5.2898059999999996</v>
      </c>
      <c r="E5770">
        <v>0.48158319999999999</v>
      </c>
      <c r="F5770" t="s">
        <v>42</v>
      </c>
      <c r="G5770">
        <v>-119.995</v>
      </c>
      <c r="H5770" s="1">
        <v>-4.3522210000000004E-6</v>
      </c>
      <c r="I5770">
        <v>139.17769999999999</v>
      </c>
      <c r="J5770">
        <v>-133.13759999999999</v>
      </c>
      <c r="K5770">
        <v>1.1156839999999999</v>
      </c>
      <c r="L5770">
        <v>138.96250000000001</v>
      </c>
      <c r="M5770">
        <v>0.99449089999999996</v>
      </c>
      <c r="N5770">
        <v>0</v>
      </c>
      <c r="O5770">
        <v>-0.10385750000000001</v>
      </c>
      <c r="P5770">
        <v>0.99675369999999996</v>
      </c>
      <c r="Q5770">
        <v>6.6840529999999995E-2</v>
      </c>
      <c r="R5770">
        <v>-4.4885799999999997E-2</v>
      </c>
      <c r="S5770">
        <v>3.0274809999999999</v>
      </c>
      <c r="T5770">
        <v>-0.24763579999999999</v>
      </c>
      <c r="U5770">
        <v>3.7292480000000003E-2</v>
      </c>
      <c r="V5770">
        <v>-5.9963750000000003E-2</v>
      </c>
      <c r="W5770">
        <v>8.0195359999999993E-2</v>
      </c>
      <c r="X5770">
        <v>0.99497389999999997</v>
      </c>
      <c r="Y5770">
        <v>-0.1153791</v>
      </c>
      <c r="Z5770">
        <v>1.3182060000000001E-2</v>
      </c>
      <c r="AA5770">
        <v>0.99323399999999995</v>
      </c>
      <c r="AB5770">
        <v>33</v>
      </c>
      <c r="AC5770">
        <v>13.1425999999999</v>
      </c>
      <c r="AD5770">
        <v>-1.1156883522209999</v>
      </c>
      <c r="AE5770">
        <v>0.21519999999998099</v>
      </c>
      <c r="AF5770">
        <v>-1.56783555468691</v>
      </c>
      <c r="AG5770">
        <v>-1.1156883522209999</v>
      </c>
      <c r="AH5770">
        <v>12.955819702209901</v>
      </c>
      <c r="AI5770">
        <v>94.886399776490194</v>
      </c>
      <c r="AJ5770">
        <v>96.900039663971398</v>
      </c>
      <c r="AK5770">
        <v>13.0979438455809</v>
      </c>
      <c r="AL5770">
        <v>85.400204901109703</v>
      </c>
      <c r="AM5770">
        <v>93.448853592088398</v>
      </c>
      <c r="AN5770">
        <v>1.0000000043804</v>
      </c>
    </row>
    <row r="5771" spans="1:40" x14ac:dyDescent="0.25">
      <c r="A5771" t="str">
        <f>"20190312164425121"</f>
        <v>20190312164425121</v>
      </c>
      <c r="B5771" t="str">
        <f>"1552380265111020"</f>
        <v>1552380265111020</v>
      </c>
      <c r="C5771" t="s">
        <v>40</v>
      </c>
      <c r="D5771">
        <v>5.3246699999999896</v>
      </c>
      <c r="E5771">
        <v>0.48118309999999997</v>
      </c>
      <c r="F5771" t="s">
        <v>42</v>
      </c>
      <c r="G5771">
        <v>-119.6343</v>
      </c>
      <c r="H5771" s="1">
        <v>-2.4096019999999999E-7</v>
      </c>
      <c r="I5771">
        <v>139.126</v>
      </c>
      <c r="J5771">
        <v>-132.65199999999999</v>
      </c>
      <c r="K5771">
        <v>1.1153949999999999</v>
      </c>
      <c r="L5771">
        <v>138.9205</v>
      </c>
      <c r="M5771">
        <v>0.99530090000000004</v>
      </c>
      <c r="N5771">
        <v>0</v>
      </c>
      <c r="O5771">
        <v>-9.5785990000000001E-2</v>
      </c>
      <c r="P5771">
        <v>0.99661140000000004</v>
      </c>
      <c r="Q5771">
        <v>6.920345E-2</v>
      </c>
      <c r="R5771">
        <v>-4.4456019999999999E-2</v>
      </c>
      <c r="S5771">
        <v>3.0282140000000002</v>
      </c>
      <c r="T5771">
        <v>-0.25020019999999998</v>
      </c>
      <c r="U5771">
        <v>3.6666869999999997E-2</v>
      </c>
      <c r="V5771">
        <v>-5.2266449999999999E-2</v>
      </c>
      <c r="W5771">
        <v>8.2667149999999995E-2</v>
      </c>
      <c r="X5771">
        <v>0.99520569999999997</v>
      </c>
      <c r="Y5771">
        <v>-0.1071496</v>
      </c>
      <c r="Z5771">
        <v>1.231202E-2</v>
      </c>
      <c r="AA5771">
        <v>0.99416669999999996</v>
      </c>
      <c r="AB5771">
        <v>33</v>
      </c>
      <c r="AC5771">
        <v>13.0177</v>
      </c>
      <c r="AD5771">
        <v>-1.1153952409601999</v>
      </c>
      <c r="AE5771">
        <v>0.20549999999999999</v>
      </c>
      <c r="AF5771">
        <v>-1.4410169337929899</v>
      </c>
      <c r="AG5771">
        <v>-1.1153952409601999</v>
      </c>
      <c r="AH5771">
        <v>12.843875165408001</v>
      </c>
      <c r="AI5771">
        <v>94.932468209231303</v>
      </c>
      <c r="AJ5771">
        <v>96.401522113003907</v>
      </c>
      <c r="AK5771">
        <v>12.972500360825601</v>
      </c>
      <c r="AL5771">
        <v>85.258109864652695</v>
      </c>
      <c r="AM5771">
        <v>93.006311457685101</v>
      </c>
      <c r="AN5771">
        <v>1.0000000123985999</v>
      </c>
    </row>
    <row r="5772" spans="1:40" x14ac:dyDescent="0.25">
      <c r="A5772" t="str">
        <f>"20190312164425154"</f>
        <v>20190312164425154</v>
      </c>
      <c r="B5772" t="str">
        <f>"1552380265151036"</f>
        <v>1552380265151036</v>
      </c>
      <c r="C5772" t="s">
        <v>40</v>
      </c>
      <c r="D5772">
        <v>5.3305959999999999</v>
      </c>
      <c r="E5772">
        <v>0.48077500000000001</v>
      </c>
      <c r="F5772" t="s">
        <v>42</v>
      </c>
      <c r="G5772">
        <v>-119.18940000000001</v>
      </c>
      <c r="H5772" s="1">
        <v>-4.190078E-7</v>
      </c>
      <c r="I5772">
        <v>139.11490000000001</v>
      </c>
      <c r="J5772">
        <v>-132.15899999999999</v>
      </c>
      <c r="K5772">
        <v>1.115164</v>
      </c>
      <c r="L5772">
        <v>138.8817</v>
      </c>
      <c r="M5772">
        <v>0.99601850000000003</v>
      </c>
      <c r="N5772">
        <v>0</v>
      </c>
      <c r="O5772">
        <v>-8.8018189999999996E-2</v>
      </c>
      <c r="P5772">
        <v>0.99645479999999997</v>
      </c>
      <c r="Q5772">
        <v>7.0608420000000005E-2</v>
      </c>
      <c r="R5772">
        <v>-4.5740599999999999E-2</v>
      </c>
      <c r="S5772">
        <v>3.0295869999999998</v>
      </c>
      <c r="T5772">
        <v>-0.25100450000000002</v>
      </c>
      <c r="U5772">
        <v>4.3762210000000003E-2</v>
      </c>
      <c r="V5772">
        <v>-4.3163640000000003E-2</v>
      </c>
      <c r="W5772">
        <v>8.4185800000000005E-2</v>
      </c>
      <c r="X5772">
        <v>0.99551480000000003</v>
      </c>
      <c r="Y5772">
        <v>-0.1017554</v>
      </c>
      <c r="Z5772">
        <v>1.148219E-2</v>
      </c>
      <c r="AA5772">
        <v>0.99474320000000005</v>
      </c>
      <c r="AB5772">
        <v>33</v>
      </c>
      <c r="AC5772">
        <v>12.9695999999999</v>
      </c>
      <c r="AD5772">
        <v>-1.1151644190078001</v>
      </c>
      <c r="AE5772">
        <v>0.23320000000001001</v>
      </c>
      <c r="AF5772">
        <v>-1.36388953002199</v>
      </c>
      <c r="AG5772">
        <v>-1.1151644190078001</v>
      </c>
      <c r="AH5772">
        <v>12.8040943498711</v>
      </c>
      <c r="AI5772">
        <v>94.949717577188096</v>
      </c>
      <c r="AJ5772">
        <v>96.080207676408094</v>
      </c>
      <c r="AK5772">
        <v>12.924728950810801</v>
      </c>
      <c r="AL5772">
        <v>85.170793329288699</v>
      </c>
      <c r="AM5772">
        <v>92.482681725635203</v>
      </c>
      <c r="AN5772">
        <v>1.0000000328793599</v>
      </c>
    </row>
    <row r="5773" spans="1:40" x14ac:dyDescent="0.25">
      <c r="A5773" t="str">
        <f>"20190312164425189"</f>
        <v>20190312164425189</v>
      </c>
      <c r="B5773" t="str">
        <f>"1552380265180826"</f>
        <v>1552380265180826</v>
      </c>
      <c r="C5773" t="s">
        <v>40</v>
      </c>
      <c r="D5773">
        <v>5.3022299999999998</v>
      </c>
      <c r="E5773">
        <v>0.48062529999999998</v>
      </c>
      <c r="F5773" t="s">
        <v>42</v>
      </c>
      <c r="G5773">
        <v>-118.93989999999999</v>
      </c>
      <c r="H5773" s="1">
        <v>-5.3076030000000005E-7</v>
      </c>
      <c r="I5773">
        <v>139.0882</v>
      </c>
      <c r="J5773">
        <v>-131.66299999999899</v>
      </c>
      <c r="K5773">
        <v>1.114933</v>
      </c>
      <c r="L5773">
        <v>138.84610000000001</v>
      </c>
      <c r="M5773">
        <v>0.99665139999999997</v>
      </c>
      <c r="N5773">
        <v>0</v>
      </c>
      <c r="O5773">
        <v>-8.0540639999999997E-2</v>
      </c>
      <c r="P5773">
        <v>0.99620120000000001</v>
      </c>
      <c r="Q5773">
        <v>7.2648859999999996E-2</v>
      </c>
      <c r="R5773">
        <v>-4.8015530000000001E-2</v>
      </c>
      <c r="S5773">
        <v>3.0309750000000002</v>
      </c>
      <c r="T5773">
        <v>-0.255693</v>
      </c>
      <c r="U5773">
        <v>4.7363280000000001E-2</v>
      </c>
      <c r="V5773">
        <v>-3.3370599999999903E-2</v>
      </c>
      <c r="W5773">
        <v>8.6333740000000006E-2</v>
      </c>
      <c r="X5773">
        <v>0.99570720000000001</v>
      </c>
      <c r="Y5773">
        <v>-9.5487710000000003E-2</v>
      </c>
      <c r="Z5773">
        <v>1.0798449999999999E-2</v>
      </c>
      <c r="AA5773">
        <v>0.99537209999999998</v>
      </c>
      <c r="AB5773">
        <v>33</v>
      </c>
      <c r="AC5773">
        <v>12.723099999999899</v>
      </c>
      <c r="AD5773">
        <v>-1.1149335307603001</v>
      </c>
      <c r="AE5773">
        <v>0.24209999999999299</v>
      </c>
      <c r="AF5773">
        <v>-1.2564967193550101</v>
      </c>
      <c r="AG5773">
        <v>-1.1149335307603001</v>
      </c>
      <c r="AH5773">
        <v>12.5657982287949</v>
      </c>
      <c r="AI5773">
        <v>95.045410722743895</v>
      </c>
      <c r="AJ5773">
        <v>95.710217965080204</v>
      </c>
      <c r="AK5773">
        <v>12.677584387829899</v>
      </c>
      <c r="AL5773">
        <v>85.047275341578697</v>
      </c>
      <c r="AM5773">
        <v>91.919519270851495</v>
      </c>
      <c r="AN5773">
        <v>0.99999996986929296</v>
      </c>
    </row>
    <row r="5774" spans="1:40" x14ac:dyDescent="0.25">
      <c r="A5774" t="str">
        <f>"20190312164425222"</f>
        <v>20190312164425222</v>
      </c>
      <c r="B5774" t="str">
        <f>"1552380265211078"</f>
        <v>1552380265211078</v>
      </c>
      <c r="C5774" t="s">
        <v>40</v>
      </c>
      <c r="D5774">
        <v>5.43689</v>
      </c>
      <c r="E5774">
        <v>0.48058190000000001</v>
      </c>
      <c r="F5774" t="s">
        <v>42</v>
      </c>
      <c r="G5774">
        <v>-118.3353</v>
      </c>
      <c r="H5774" s="1">
        <v>-7.9997109999999995E-7</v>
      </c>
      <c r="I5774">
        <v>139.03280000000001</v>
      </c>
      <c r="J5774">
        <v>-131.17740000000001</v>
      </c>
      <c r="K5774">
        <v>1.1147089999999999</v>
      </c>
      <c r="L5774">
        <v>138.81450000000001</v>
      </c>
      <c r="M5774">
        <v>0.99719440000000004</v>
      </c>
      <c r="N5774">
        <v>0</v>
      </c>
      <c r="O5774">
        <v>-7.3519580000000001E-2</v>
      </c>
      <c r="P5774">
        <v>0.9958437</v>
      </c>
      <c r="Q5774">
        <v>7.6374830000000005E-2</v>
      </c>
      <c r="R5774">
        <v>-4.9622659999999999E-2</v>
      </c>
      <c r="S5774">
        <v>3.0319820000000002</v>
      </c>
      <c r="T5774">
        <v>-0.25364100000000001</v>
      </c>
      <c r="U5774">
        <v>4.2480469999999999E-2</v>
      </c>
      <c r="V5774">
        <v>-2.4715150000000002E-2</v>
      </c>
      <c r="W5774">
        <v>9.0142100000000003E-2</v>
      </c>
      <c r="X5774">
        <v>0.99562220000000001</v>
      </c>
      <c r="Y5774">
        <v>-8.693099E-2</v>
      </c>
      <c r="Z5774">
        <v>9.7660980000000008E-3</v>
      </c>
      <c r="AA5774">
        <v>0.99616649999999995</v>
      </c>
      <c r="AB5774">
        <v>33</v>
      </c>
      <c r="AC5774">
        <v>12.8421</v>
      </c>
      <c r="AD5774">
        <v>-1.1147097999711</v>
      </c>
      <c r="AE5774">
        <v>0.21829999999999899</v>
      </c>
      <c r="AF5774">
        <v>-1.15326180751364</v>
      </c>
      <c r="AG5774">
        <v>-1.1147097999711</v>
      </c>
      <c r="AH5774">
        <v>12.695661368230301</v>
      </c>
      <c r="AI5774">
        <v>94.9973686380131</v>
      </c>
      <c r="AJ5774">
        <v>95.1904486818664</v>
      </c>
      <c r="AK5774">
        <v>12.7965779922446</v>
      </c>
      <c r="AL5774">
        <v>84.828217955563105</v>
      </c>
      <c r="AM5774">
        <v>91.422008288369199</v>
      </c>
      <c r="AN5774">
        <v>1.00000000098238</v>
      </c>
    </row>
    <row r="5775" spans="1:40" x14ac:dyDescent="0.25">
      <c r="A5775" t="str">
        <f>"20190312164425256"</f>
        <v>20190312164425256</v>
      </c>
      <c r="B5775" t="str">
        <f>"1552380265251094"</f>
        <v>1552380265251094</v>
      </c>
      <c r="C5775" t="s">
        <v>40</v>
      </c>
      <c r="D5775">
        <v>5.7076849999999997</v>
      </c>
      <c r="E5775">
        <v>0.4804079</v>
      </c>
      <c r="F5775" t="s">
        <v>42</v>
      </c>
      <c r="G5775">
        <v>-117.5003</v>
      </c>
      <c r="H5775" s="1">
        <v>-1.1663439999999999E-6</v>
      </c>
      <c r="I5775">
        <v>138.98679999999999</v>
      </c>
      <c r="J5775">
        <v>-130.68719999999999</v>
      </c>
      <c r="K5775">
        <v>1.1144989999999999</v>
      </c>
      <c r="L5775">
        <v>138.786</v>
      </c>
      <c r="M5775">
        <v>0.99767349999999999</v>
      </c>
      <c r="N5775">
        <v>0</v>
      </c>
      <c r="O5775">
        <v>-6.6707859999999994E-2</v>
      </c>
      <c r="P5775">
        <v>0.99578350000000004</v>
      </c>
      <c r="Q5775">
        <v>7.6055830000000005E-2</v>
      </c>
      <c r="R5775">
        <v>-5.1291879999999998E-2</v>
      </c>
      <c r="S5775">
        <v>3.033401</v>
      </c>
      <c r="T5775">
        <v>-0.24722710000000001</v>
      </c>
      <c r="U5775">
        <v>3.8208010000000001E-2</v>
      </c>
      <c r="V5775">
        <v>-1.6190099999999999E-2</v>
      </c>
      <c r="W5775">
        <v>8.9899419999999994E-2</v>
      </c>
      <c r="X5775">
        <v>0.99581929999999996</v>
      </c>
      <c r="Y5775">
        <v>-7.8793619999999995E-2</v>
      </c>
      <c r="Z5775">
        <v>8.6311210000000003E-3</v>
      </c>
      <c r="AA5775">
        <v>0.99685360000000001</v>
      </c>
      <c r="AB5775">
        <v>33</v>
      </c>
      <c r="AC5775">
        <v>13.1868999999999</v>
      </c>
      <c r="AD5775">
        <v>-1.114500166344</v>
      </c>
      <c r="AE5775">
        <v>0.20079999999998599</v>
      </c>
      <c r="AF5775">
        <v>-1.07245082614599</v>
      </c>
      <c r="AG5775">
        <v>-1.114500166344</v>
      </c>
      <c r="AH5775">
        <v>13.0509248623039</v>
      </c>
      <c r="AI5775">
        <v>94.864685339122701</v>
      </c>
      <c r="AJ5775">
        <v>94.697686580435203</v>
      </c>
      <c r="AK5775">
        <v>13.142256319094701</v>
      </c>
      <c r="AL5775">
        <v>84.8421794415341</v>
      </c>
      <c r="AM5775">
        <v>90.931436739037807</v>
      </c>
      <c r="AN5775">
        <v>1.00000005165341</v>
      </c>
    </row>
    <row r="5776" spans="1:40" x14ac:dyDescent="0.25">
      <c r="A5776" t="str">
        <f>"20190312164425289"</f>
        <v>20190312164425289</v>
      </c>
      <c r="B5776" t="str">
        <f>"1552380265280881"</f>
        <v>1552380265280881</v>
      </c>
      <c r="C5776" t="s">
        <v>40</v>
      </c>
      <c r="D5776">
        <v>5.4844160000000004</v>
      </c>
      <c r="E5776">
        <v>0.4802266</v>
      </c>
      <c r="F5776" t="s">
        <v>42</v>
      </c>
      <c r="G5776">
        <v>-117.3066</v>
      </c>
      <c r="H5776" s="1">
        <v>-1.2573279999999999E-6</v>
      </c>
      <c r="I5776">
        <v>138.94220000000001</v>
      </c>
      <c r="J5776">
        <v>-130.1942</v>
      </c>
      <c r="K5776">
        <v>1.11429</v>
      </c>
      <c r="L5776">
        <v>138.7604</v>
      </c>
      <c r="M5776">
        <v>0.99809380000000003</v>
      </c>
      <c r="N5776">
        <v>0</v>
      </c>
      <c r="O5776">
        <v>-6.009838E-2</v>
      </c>
      <c r="P5776">
        <v>0.99562470000000003</v>
      </c>
      <c r="Q5776">
        <v>7.5790440000000001E-2</v>
      </c>
      <c r="R5776">
        <v>-5.4656070000000001E-2</v>
      </c>
      <c r="S5776">
        <v>3.0338289999999999</v>
      </c>
      <c r="T5776">
        <v>-0.25269520000000001</v>
      </c>
      <c r="U5776">
        <v>3.541565E-2</v>
      </c>
      <c r="V5776">
        <v>-6.1765219999999899E-3</v>
      </c>
      <c r="W5776">
        <v>8.9717069999999996E-2</v>
      </c>
      <c r="X5776">
        <v>0.9959481</v>
      </c>
      <c r="Y5776">
        <v>-7.1297059999999995E-2</v>
      </c>
      <c r="Z5776">
        <v>7.9596140000000003E-3</v>
      </c>
      <c r="AA5776">
        <v>0.99742339999999996</v>
      </c>
      <c r="AB5776">
        <v>33</v>
      </c>
      <c r="AC5776">
        <v>12.8875999999999</v>
      </c>
      <c r="AD5776">
        <v>-1.1142912573279999</v>
      </c>
      <c r="AE5776">
        <v>0.18180000000000901</v>
      </c>
      <c r="AF5776">
        <v>-0.94897859713917299</v>
      </c>
      <c r="AG5776">
        <v>-1.1142912573279999</v>
      </c>
      <c r="AH5776">
        <v>12.758017117737699</v>
      </c>
      <c r="AI5776">
        <v>94.977891222377295</v>
      </c>
      <c r="AJ5776">
        <v>94.253993537266197</v>
      </c>
      <c r="AK5776">
        <v>12.841697946941199</v>
      </c>
      <c r="AL5776">
        <v>84.852669243685597</v>
      </c>
      <c r="AM5776">
        <v>90.355323842544294</v>
      </c>
      <c r="AN5776">
        <v>0.99999995998350399</v>
      </c>
    </row>
    <row r="5777" spans="1:40" x14ac:dyDescent="0.25">
      <c r="A5777" t="str">
        <f>"20190312164425322"</f>
        <v>20190312164425322</v>
      </c>
      <c r="B5777" t="str">
        <f>"1552380265311138"</f>
        <v>1552380265311138</v>
      </c>
      <c r="C5777" t="s">
        <v>40</v>
      </c>
      <c r="D5777">
        <v>5.4602879999999896</v>
      </c>
      <c r="E5777">
        <v>0.48005249999999999</v>
      </c>
      <c r="F5777" t="s">
        <v>42</v>
      </c>
      <c r="G5777">
        <v>-116.9374</v>
      </c>
      <c r="H5777" s="1">
        <v>-1.4247049999999901E-6</v>
      </c>
      <c r="I5777">
        <v>138.89160000000001</v>
      </c>
      <c r="J5777">
        <v>-129.71350000000001</v>
      </c>
      <c r="K5777">
        <v>1.114115</v>
      </c>
      <c r="L5777">
        <v>138.73820000000001</v>
      </c>
      <c r="M5777">
        <v>0.99844869999999997</v>
      </c>
      <c r="N5777">
        <v>0</v>
      </c>
      <c r="O5777">
        <v>-5.3889760000000002E-2</v>
      </c>
      <c r="P5777">
        <v>0.99538349999999998</v>
      </c>
      <c r="Q5777">
        <v>7.7631279999999997E-2</v>
      </c>
      <c r="R5777">
        <v>-5.6441190000000002E-2</v>
      </c>
      <c r="S5777">
        <v>3.0342410000000002</v>
      </c>
      <c r="T5777">
        <v>-0.25504100000000002</v>
      </c>
      <c r="U5777">
        <v>3.0029299999999998E-2</v>
      </c>
      <c r="V5777">
        <v>1.840298E-3</v>
      </c>
      <c r="W5777">
        <v>9.1611810000000002E-2</v>
      </c>
      <c r="X5777">
        <v>0.99579309999999999</v>
      </c>
      <c r="Y5777">
        <v>-6.3360990000000006E-2</v>
      </c>
      <c r="Z5777">
        <v>7.1788109999999898E-3</v>
      </c>
      <c r="AA5777">
        <v>0.99796490000000004</v>
      </c>
      <c r="AB5777">
        <v>33</v>
      </c>
      <c r="AC5777">
        <v>12.7761</v>
      </c>
      <c r="AD5777">
        <v>-1.1141164247049999</v>
      </c>
      <c r="AE5777">
        <v>0.15340000000000401</v>
      </c>
      <c r="AF5777">
        <v>-0.83539377829380301</v>
      </c>
      <c r="AG5777">
        <v>-1.1141164247049999</v>
      </c>
      <c r="AH5777">
        <v>12.6530588303459</v>
      </c>
      <c r="AI5777">
        <v>95.021106272639699</v>
      </c>
      <c r="AJ5777">
        <v>93.777361016001393</v>
      </c>
      <c r="AK5777">
        <v>12.729455445414899</v>
      </c>
      <c r="AL5777">
        <v>84.743659894300905</v>
      </c>
      <c r="AM5777">
        <v>89.894113357075696</v>
      </c>
      <c r="AN5777">
        <v>1.0000000042179</v>
      </c>
    </row>
    <row r="5778" spans="1:40" x14ac:dyDescent="0.25">
      <c r="A5778" t="str">
        <f>"20190312164425358"</f>
        <v>20190312164425358</v>
      </c>
      <c r="B5778" t="str">
        <f>"1552380265351153"</f>
        <v>1552380265351153</v>
      </c>
      <c r="C5778" t="s">
        <v>40</v>
      </c>
      <c r="D5778">
        <v>5.3420310000000004</v>
      </c>
      <c r="E5778">
        <v>0.47980660000000003</v>
      </c>
      <c r="F5778" t="s">
        <v>42</v>
      </c>
      <c r="G5778">
        <v>-116.2924</v>
      </c>
      <c r="H5778" s="1">
        <v>-1.7058940000000001E-6</v>
      </c>
      <c r="I5778">
        <v>138.86619999999999</v>
      </c>
      <c r="J5778">
        <v>-129.19</v>
      </c>
      <c r="K5778">
        <v>1.1139429999999999</v>
      </c>
      <c r="L5778">
        <v>138.71729999999999</v>
      </c>
      <c r="M5778">
        <v>0.99877780000000005</v>
      </c>
      <c r="N5778">
        <v>0</v>
      </c>
      <c r="O5778">
        <v>-4.7406289999999997E-2</v>
      </c>
      <c r="P5778">
        <v>0.99536409999999997</v>
      </c>
      <c r="Q5778">
        <v>7.8787739999999995E-2</v>
      </c>
      <c r="R5778">
        <v>-5.516037E-2</v>
      </c>
      <c r="S5778">
        <v>3.0351870000000001</v>
      </c>
      <c r="T5778">
        <v>-0.25195849999999997</v>
      </c>
      <c r="U5778">
        <v>2.896118E-2</v>
      </c>
      <c r="V5778">
        <v>7.064814E-3</v>
      </c>
      <c r="W5778">
        <v>9.2789319999999995E-2</v>
      </c>
      <c r="X5778">
        <v>0.99566069999999995</v>
      </c>
      <c r="Y5778">
        <v>-5.6581800000000002E-2</v>
      </c>
      <c r="Z5778">
        <v>6.2723830000000003E-3</v>
      </c>
      <c r="AA5778">
        <v>0.99837830000000005</v>
      </c>
      <c r="AB5778">
        <v>33</v>
      </c>
      <c r="AC5778">
        <v>12.897599999999899</v>
      </c>
      <c r="AD5778">
        <v>-1.113944705894</v>
      </c>
      <c r="AE5778">
        <v>0.14889999999999701</v>
      </c>
      <c r="AF5778">
        <v>-0.75459159189633995</v>
      </c>
      <c r="AG5778">
        <v>-1.113944705894</v>
      </c>
      <c r="AH5778">
        <v>12.780711814098201</v>
      </c>
      <c r="AI5778">
        <v>94.972597094594505</v>
      </c>
      <c r="AJ5778">
        <v>93.378902639343394</v>
      </c>
      <c r="AK5778">
        <v>12.851337508344301</v>
      </c>
      <c r="AL5778">
        <v>84.675904906863394</v>
      </c>
      <c r="AM5778">
        <v>89.593458663027107</v>
      </c>
      <c r="AN5778">
        <v>0.999999999513703</v>
      </c>
    </row>
    <row r="5779" spans="1:40" x14ac:dyDescent="0.25">
      <c r="A5779" t="str">
        <f>"20190312164425390"</f>
        <v>20190312164425390</v>
      </c>
      <c r="B5779" t="str">
        <f>"1552380265380941"</f>
        <v>1552380265380941</v>
      </c>
      <c r="C5779" t="s">
        <v>40</v>
      </c>
      <c r="D5779">
        <v>5.4112640000000001</v>
      </c>
      <c r="E5779">
        <v>0.47963660000000002</v>
      </c>
      <c r="F5779" t="s">
        <v>42</v>
      </c>
      <c r="G5779">
        <v>-115.7419</v>
      </c>
      <c r="H5779" s="1">
        <v>-1.940934E-6</v>
      </c>
      <c r="I5779">
        <v>138.87270000000001</v>
      </c>
      <c r="J5779">
        <v>-128.7277</v>
      </c>
      <c r="K5779">
        <v>1.113783</v>
      </c>
      <c r="L5779">
        <v>138.70140000000001</v>
      </c>
      <c r="M5779">
        <v>0.99902270000000004</v>
      </c>
      <c r="N5779">
        <v>0</v>
      </c>
      <c r="O5779">
        <v>-4.193562E-2</v>
      </c>
      <c r="P5779">
        <v>0.99493209999999999</v>
      </c>
      <c r="Q5779">
        <v>8.1407670000000001E-2</v>
      </c>
      <c r="R5779">
        <v>-5.9015369999999998E-2</v>
      </c>
      <c r="S5779">
        <v>3.035828</v>
      </c>
      <c r="T5779">
        <v>-0.25146560000000001</v>
      </c>
      <c r="U5779">
        <v>3.5095210000000002E-2</v>
      </c>
      <c r="V5779">
        <v>1.640811E-2</v>
      </c>
      <c r="W5779">
        <v>9.5462950000000005E-2</v>
      </c>
      <c r="X5779">
        <v>0.99529769999999895</v>
      </c>
      <c r="Y5779">
        <v>-5.3160680000000002E-2</v>
      </c>
      <c r="Z5779">
        <v>5.6652500000000001E-3</v>
      </c>
      <c r="AA5779">
        <v>0.99856990000000001</v>
      </c>
      <c r="AB5779">
        <v>33</v>
      </c>
      <c r="AC5779">
        <v>12.9857999999999</v>
      </c>
      <c r="AD5779">
        <v>-1.1137849409339999</v>
      </c>
      <c r="AE5779">
        <v>0.17130000000000201</v>
      </c>
      <c r="AF5779">
        <v>-0.71054383669013998</v>
      </c>
      <c r="AG5779">
        <v>-1.1137849409339999</v>
      </c>
      <c r="AH5779">
        <v>12.8725112334076</v>
      </c>
      <c r="AI5779">
        <v>94.937681522589202</v>
      </c>
      <c r="AJ5779">
        <v>93.159437219362204</v>
      </c>
      <c r="AK5779">
        <v>12.9401288592006</v>
      </c>
      <c r="AL5779">
        <v>84.522033763107501</v>
      </c>
      <c r="AM5779">
        <v>89.055528511992307</v>
      </c>
      <c r="AN5779">
        <v>0.99999995626088101</v>
      </c>
    </row>
    <row r="5780" spans="1:40" x14ac:dyDescent="0.25">
      <c r="A5780" t="str">
        <f>"20190312164425424"</f>
        <v>20190312164425424</v>
      </c>
      <c r="B5780" t="str">
        <f>"1552380265420957"</f>
        <v>1552380265420957</v>
      </c>
      <c r="C5780" t="s">
        <v>40</v>
      </c>
      <c r="D5780">
        <v>5.3617210000000002</v>
      </c>
      <c r="E5780">
        <v>0.47477439999999999</v>
      </c>
      <c r="F5780" t="s">
        <v>42</v>
      </c>
      <c r="G5780">
        <v>-114.8771</v>
      </c>
      <c r="H5780" s="1">
        <v>-2.3204560000000001E-6</v>
      </c>
      <c r="I5780">
        <v>138.8245</v>
      </c>
      <c r="J5780">
        <v>-128.23310000000001</v>
      </c>
      <c r="K5780">
        <v>1.113594</v>
      </c>
      <c r="L5780">
        <v>138.68680000000001</v>
      </c>
      <c r="M5780">
        <v>0.99924009999999996</v>
      </c>
      <c r="N5780">
        <v>0</v>
      </c>
      <c r="O5780">
        <v>-3.6403199999999997E-2</v>
      </c>
      <c r="P5780">
        <v>0.99471779999999999</v>
      </c>
      <c r="Q5780">
        <v>8.3777030000000002E-2</v>
      </c>
      <c r="R5780">
        <v>-5.9314800000000001E-2</v>
      </c>
      <c r="S5780">
        <v>3.0368650000000001</v>
      </c>
      <c r="T5780">
        <v>-0.2442067</v>
      </c>
      <c r="U5780">
        <v>2.6992800000000001E-2</v>
      </c>
      <c r="V5780">
        <v>2.2261039999999999E-2</v>
      </c>
      <c r="W5780">
        <v>9.7845950000000001E-2</v>
      </c>
      <c r="X5780">
        <v>0.99495259999999996</v>
      </c>
      <c r="Y5780">
        <v>-4.5024599999999998E-2</v>
      </c>
      <c r="Z5780">
        <v>4.7298239999999997E-3</v>
      </c>
      <c r="AA5780">
        <v>0.99897469999999999</v>
      </c>
      <c r="AB5780">
        <v>33</v>
      </c>
      <c r="AC5780">
        <v>13.356</v>
      </c>
      <c r="AD5780">
        <v>-1.113596320456</v>
      </c>
      <c r="AE5780">
        <v>0.13769999999999499</v>
      </c>
      <c r="AF5780">
        <v>-0.61955043989575198</v>
      </c>
      <c r="AG5780">
        <v>-1.113596320456</v>
      </c>
      <c r="AH5780">
        <v>13.250029573227801</v>
      </c>
      <c r="AI5780">
        <v>94.7989045645228</v>
      </c>
      <c r="AJ5780">
        <v>92.677110191637695</v>
      </c>
      <c r="AK5780">
        <v>13.3111691148418</v>
      </c>
      <c r="AL5780">
        <v>84.384856028213704</v>
      </c>
      <c r="AM5780">
        <v>88.718279771895695</v>
      </c>
      <c r="AN5780">
        <v>1.00000003004002</v>
      </c>
    </row>
    <row r="5781" spans="1:40" x14ac:dyDescent="0.25">
      <c r="A5781" t="str">
        <f>"20190312164425457"</f>
        <v>20190312164425457</v>
      </c>
      <c r="B5781" t="str">
        <f>"1552380265451212"</f>
        <v>1552380265451212</v>
      </c>
      <c r="C5781" t="s">
        <v>40</v>
      </c>
      <c r="D5781">
        <v>5.4105650000000001</v>
      </c>
      <c r="E5781">
        <v>0.47405029999999998</v>
      </c>
      <c r="F5781" t="s">
        <v>42</v>
      </c>
      <c r="G5781">
        <v>-116.8768</v>
      </c>
      <c r="H5781" s="1">
        <v>-1.4399449999999999E-6</v>
      </c>
      <c r="I5781">
        <v>138.95230000000001</v>
      </c>
      <c r="J5781">
        <v>-127.74339999999999</v>
      </c>
      <c r="K5781">
        <v>1.1133759999999999</v>
      </c>
      <c r="L5781">
        <v>138.6747</v>
      </c>
      <c r="M5781">
        <v>0.99941329999999995</v>
      </c>
      <c r="N5781">
        <v>0</v>
      </c>
      <c r="O5781">
        <v>-3.1290520000000002E-2</v>
      </c>
      <c r="P5781">
        <v>0.99415629999999999</v>
      </c>
      <c r="Q5781">
        <v>8.7487919999999997E-2</v>
      </c>
      <c r="R5781">
        <v>-6.3240039999999997E-2</v>
      </c>
      <c r="S5781">
        <v>3.045334</v>
      </c>
      <c r="T5781">
        <v>-0.298622</v>
      </c>
      <c r="U5781">
        <v>7.1197510000000006E-2</v>
      </c>
      <c r="V5781">
        <v>3.1322179999999998E-2</v>
      </c>
      <c r="W5781">
        <v>0.1015856</v>
      </c>
      <c r="X5781">
        <v>0.99433360000000004</v>
      </c>
      <c r="Y5781">
        <v>-5.4236359999999997E-2</v>
      </c>
      <c r="Z5781">
        <v>5.7132149999999998E-3</v>
      </c>
      <c r="AA5781">
        <v>0.99851179999999995</v>
      </c>
      <c r="AB5781">
        <v>33</v>
      </c>
      <c r="AC5781">
        <v>10.866599999999901</v>
      </c>
      <c r="AD5781">
        <v>-1.1133774399449901</v>
      </c>
      <c r="AE5781">
        <v>0.27760000000000601</v>
      </c>
      <c r="AF5781">
        <v>-0.61110749807602105</v>
      </c>
      <c r="AG5781">
        <v>-1.1133774399449901</v>
      </c>
      <c r="AH5781">
        <v>10.7399190694896</v>
      </c>
      <c r="AI5781">
        <v>95.909061703631593</v>
      </c>
      <c r="AJ5781">
        <v>93.256650783726101</v>
      </c>
      <c r="AK5781">
        <v>10.8147548893708</v>
      </c>
      <c r="AL5781">
        <v>84.169516368619199</v>
      </c>
      <c r="AM5781">
        <v>88.195740872671905</v>
      </c>
      <c r="AN5781">
        <v>1.0000000105881299</v>
      </c>
    </row>
    <row r="5782" spans="1:40" x14ac:dyDescent="0.25">
      <c r="A5782" t="str">
        <f>"20190312164425501"</f>
        <v>20190312164425501</v>
      </c>
      <c r="B5782" t="str">
        <f>"1552380265490763"</f>
        <v>1552380265490763</v>
      </c>
      <c r="C5782" t="s">
        <v>40</v>
      </c>
      <c r="D5782">
        <v>5.4493989999999997</v>
      </c>
      <c r="E5782">
        <v>0.48086590000000001</v>
      </c>
      <c r="F5782" t="s">
        <v>42</v>
      </c>
      <c r="G5782">
        <v>-115.1617</v>
      </c>
      <c r="H5782" s="1">
        <v>-2.178208E-6</v>
      </c>
      <c r="I5782">
        <v>138.9383</v>
      </c>
      <c r="J5782">
        <v>-127.1121</v>
      </c>
      <c r="K5782">
        <v>1.1130719999999901</v>
      </c>
      <c r="L5782">
        <v>138.66210000000001</v>
      </c>
      <c r="M5782">
        <v>0.99958369999999996</v>
      </c>
      <c r="N5782">
        <v>0</v>
      </c>
      <c r="O5782">
        <v>-2.5283179999999999E-2</v>
      </c>
      <c r="P5782">
        <v>0.99396499999999999</v>
      </c>
      <c r="Q5782">
        <v>8.853142E-2</v>
      </c>
      <c r="R5782">
        <v>-6.4774609999999996E-2</v>
      </c>
      <c r="S5782">
        <v>3.0453950000000001</v>
      </c>
      <c r="T5782">
        <v>-0.26949050000000002</v>
      </c>
      <c r="U5782">
        <v>6.3812259999999996E-2</v>
      </c>
      <c r="V5782">
        <v>3.8912139999999998E-2</v>
      </c>
      <c r="W5782">
        <v>0.10262780000000001</v>
      </c>
      <c r="X5782">
        <v>0.99395849999999997</v>
      </c>
      <c r="Y5782">
        <v>-4.5944230000000003E-2</v>
      </c>
      <c r="Z5782">
        <v>4.2615589999999998E-3</v>
      </c>
      <c r="AA5782">
        <v>0.99893489999999996</v>
      </c>
      <c r="AB5782">
        <v>33</v>
      </c>
      <c r="AC5782">
        <v>11.9504</v>
      </c>
      <c r="AD5782">
        <v>-1.11307417820799</v>
      </c>
      <c r="AE5782">
        <v>0.27619999999998801</v>
      </c>
      <c r="AF5782">
        <v>-0.573313991540229</v>
      </c>
      <c r="AG5782">
        <v>-1.11307417820799</v>
      </c>
      <c r="AH5782">
        <v>11.8369610927975</v>
      </c>
      <c r="AI5782">
        <v>95.365689119315505</v>
      </c>
      <c r="AJ5782">
        <v>92.772909513176899</v>
      </c>
      <c r="AK5782">
        <v>11.9029942019431</v>
      </c>
      <c r="AL5782">
        <v>84.109489260165105</v>
      </c>
      <c r="AM5782">
        <v>87.758092063958003</v>
      </c>
      <c r="AN5782">
        <v>1.0000000598472301</v>
      </c>
    </row>
    <row r="5783" spans="1:40" x14ac:dyDescent="0.25">
      <c r="A5783" t="str">
        <f>"20190312164425528"</f>
        <v>20190312164425528</v>
      </c>
      <c r="B5783" t="str">
        <f>"1552380265521016"</f>
        <v>1552380265521016</v>
      </c>
      <c r="C5783" t="s">
        <v>40</v>
      </c>
      <c r="D5783">
        <v>5.3797180000000004</v>
      </c>
      <c r="E5783">
        <v>0.48310009999999998</v>
      </c>
      <c r="F5783" t="s">
        <v>41</v>
      </c>
      <c r="G5783">
        <v>-126.3724</v>
      </c>
      <c r="H5783">
        <v>1.033352</v>
      </c>
      <c r="I5783">
        <v>138.6653</v>
      </c>
      <c r="J5783">
        <v>-126.70950000000001</v>
      </c>
      <c r="K5783">
        <v>1.1128670000000001</v>
      </c>
      <c r="L5783">
        <v>138.6558</v>
      </c>
      <c r="M5783">
        <v>0.99966480000000002</v>
      </c>
      <c r="N5783">
        <v>0</v>
      </c>
      <c r="O5783">
        <v>-2.1855619999999999E-2</v>
      </c>
      <c r="P5783">
        <v>0.99383200000000005</v>
      </c>
      <c r="Q5783">
        <v>9.0525949999999994E-2</v>
      </c>
      <c r="R5783">
        <v>-6.4055189999999998E-2</v>
      </c>
      <c r="S5783">
        <v>3.0483699999999998</v>
      </c>
      <c r="T5783">
        <v>-0.32861800000000002</v>
      </c>
      <c r="U5783">
        <v>1.350403E-2</v>
      </c>
      <c r="V5783">
        <v>4.1647190000000001E-2</v>
      </c>
      <c r="W5783">
        <v>0.1046002</v>
      </c>
      <c r="X5783">
        <v>0.99364189999999997</v>
      </c>
      <c r="Y5783">
        <v>-2.6009000000000001E-2</v>
      </c>
      <c r="Z5783">
        <v>3.7472040000000001E-3</v>
      </c>
      <c r="AA5783">
        <v>0.99965470000000001</v>
      </c>
      <c r="AB5783">
        <v>33</v>
      </c>
      <c r="AC5783">
        <v>0.33710000000000601</v>
      </c>
      <c r="AD5783">
        <v>-7.9515000000000002E-2</v>
      </c>
      <c r="AE5783">
        <v>9.5000000000027198E-3</v>
      </c>
      <c r="AF5783">
        <v>-1.59776896614514E-2</v>
      </c>
      <c r="AG5783">
        <v>-7.9515000000000002E-2</v>
      </c>
      <c r="AH5783">
        <v>0.319072950452918</v>
      </c>
      <c r="AI5783">
        <v>103.976611897458</v>
      </c>
      <c r="AJ5783">
        <v>92.8667116792938</v>
      </c>
      <c r="AK5783">
        <v>0.32921948530220402</v>
      </c>
      <c r="AL5783">
        <v>83.995866878160797</v>
      </c>
      <c r="AM5783">
        <v>87.599927743068505</v>
      </c>
      <c r="AN5783">
        <v>0.99999995785527196</v>
      </c>
    </row>
    <row r="5784" spans="1:40" x14ac:dyDescent="0.25">
      <c r="A5784" t="str">
        <f>"20190312164425553"</f>
        <v>20190312164425553</v>
      </c>
      <c r="B5784" t="str">
        <f>"1552380265540535"</f>
        <v>1552380265540535</v>
      </c>
      <c r="C5784" t="s">
        <v>40</v>
      </c>
      <c r="D5784">
        <v>5.6819689999999996</v>
      </c>
      <c r="E5784">
        <v>0.4842842</v>
      </c>
      <c r="F5784" t="s">
        <v>41</v>
      </c>
      <c r="G5784">
        <v>-125.80719999999999</v>
      </c>
      <c r="H5784">
        <v>1.020017</v>
      </c>
      <c r="I5784">
        <v>138.65469999999999</v>
      </c>
      <c r="J5784">
        <v>-126.3591</v>
      </c>
      <c r="K5784">
        <v>1.1126959999999999</v>
      </c>
      <c r="L5784">
        <v>138.65110000000001</v>
      </c>
      <c r="M5784">
        <v>0.99972139999999998</v>
      </c>
      <c r="N5784">
        <v>0</v>
      </c>
      <c r="O5784">
        <v>-1.9101480000000001E-2</v>
      </c>
      <c r="P5784">
        <v>0.99365570000000003</v>
      </c>
      <c r="Q5784">
        <v>9.2601820000000001E-2</v>
      </c>
      <c r="R5784">
        <v>-6.3823260000000007E-2</v>
      </c>
      <c r="S5784">
        <v>3.0469819999999999</v>
      </c>
      <c r="T5784">
        <v>-0.31361990000000001</v>
      </c>
      <c r="U5784">
        <v>-3.326416E-3</v>
      </c>
      <c r="V5784">
        <v>4.4194009999999999E-2</v>
      </c>
      <c r="W5784">
        <v>0.106654399999999</v>
      </c>
      <c r="X5784">
        <v>0.99331349999999996</v>
      </c>
      <c r="Y5784">
        <v>-1.7816749999999999E-2</v>
      </c>
      <c r="Z5784">
        <v>2.875496E-3</v>
      </c>
      <c r="AA5784">
        <v>0.99983719999999998</v>
      </c>
      <c r="AB5784">
        <v>33</v>
      </c>
      <c r="AC5784">
        <v>0.55190000000000305</v>
      </c>
      <c r="AD5784">
        <v>-9.26789999999999E-2</v>
      </c>
      <c r="AE5784">
        <v>3.5999999999773899E-3</v>
      </c>
      <c r="AF5784">
        <v>-1.3754606450463299E-2</v>
      </c>
      <c r="AG5784">
        <v>-9.26789999999999E-2</v>
      </c>
      <c r="AH5784">
        <v>0.53659930937540001</v>
      </c>
      <c r="AI5784">
        <v>99.796036486208394</v>
      </c>
      <c r="AJ5784">
        <v>91.468336523704494</v>
      </c>
      <c r="AK5784">
        <v>0.544717729711236</v>
      </c>
      <c r="AL5784">
        <v>83.877507935375704</v>
      </c>
      <c r="AM5784">
        <v>87.452504717158504</v>
      </c>
      <c r="AN5784">
        <v>0.99999999042074506</v>
      </c>
    </row>
    <row r="5785" spans="1:40" x14ac:dyDescent="0.25">
      <c r="A5785" t="str">
        <f>"20190312164425578"</f>
        <v>20190312164425578</v>
      </c>
      <c r="B5785" t="str">
        <f>"1552380265571298"</f>
        <v>1552380265571298</v>
      </c>
      <c r="C5785" t="s">
        <v>40</v>
      </c>
      <c r="D5785">
        <v>5.5896739999999996</v>
      </c>
      <c r="E5785">
        <v>0.48493389999999997</v>
      </c>
      <c r="F5785" t="s">
        <v>41</v>
      </c>
      <c r="G5785">
        <v>-125.5103</v>
      </c>
      <c r="H5785">
        <v>1.031272</v>
      </c>
      <c r="I5785">
        <v>138.64709999999999</v>
      </c>
      <c r="J5785">
        <v>-125.99769999999999</v>
      </c>
      <c r="K5785">
        <v>1.112533</v>
      </c>
      <c r="L5785">
        <v>138.64699999999999</v>
      </c>
      <c r="M5785">
        <v>0.9997684</v>
      </c>
      <c r="N5785">
        <v>0</v>
      </c>
      <c r="O5785">
        <v>-1.6465540000000001E-2</v>
      </c>
      <c r="P5785">
        <v>0.99348970000000003</v>
      </c>
      <c r="Q5785">
        <v>9.438655E-2</v>
      </c>
      <c r="R5785">
        <v>-6.3793870000000003E-2</v>
      </c>
      <c r="S5785">
        <v>3.0455019999999999</v>
      </c>
      <c r="T5785">
        <v>-0.29229309999999997</v>
      </c>
      <c r="U5785">
        <v>-1.3870240000000001E-2</v>
      </c>
      <c r="V5785">
        <v>4.6826430000000002E-2</v>
      </c>
      <c r="W5785">
        <v>0.108417899999999</v>
      </c>
      <c r="X5785">
        <v>0.99300189999999999</v>
      </c>
      <c r="Y5785">
        <v>-1.1783470000000001E-2</v>
      </c>
      <c r="Z5785">
        <v>2.1408999999999998E-3</v>
      </c>
      <c r="AA5785">
        <v>0.99992829999999999</v>
      </c>
      <c r="AB5785">
        <v>33</v>
      </c>
      <c r="AC5785">
        <v>0.48739999999999301</v>
      </c>
      <c r="AD5785">
        <v>-8.1261E-2</v>
      </c>
      <c r="AE5785" s="1">
        <v>9.9999999974897906E-5</v>
      </c>
      <c r="AF5785">
        <v>-7.9062924585752304E-3</v>
      </c>
      <c r="AG5785">
        <v>-8.1261E-2</v>
      </c>
      <c r="AH5785">
        <v>0.474152393286362</v>
      </c>
      <c r="AI5785">
        <v>99.7236387066215</v>
      </c>
      <c r="AJ5785">
        <v>90.955294582205994</v>
      </c>
      <c r="AK5785">
        <v>0.48113028551591502</v>
      </c>
      <c r="AL5785">
        <v>83.775877314269707</v>
      </c>
      <c r="AM5785">
        <v>87.300135342569305</v>
      </c>
      <c r="AN5785">
        <v>0.99999996449528095</v>
      </c>
    </row>
    <row r="5786" spans="1:40" x14ac:dyDescent="0.25">
      <c r="A5786" t="str">
        <f>"20190312164425615"</f>
        <v>20190312164425615</v>
      </c>
      <c r="B5786" t="str">
        <f>"1552380265611314"</f>
        <v>1552380265611314</v>
      </c>
      <c r="C5786" t="s">
        <v>40</v>
      </c>
      <c r="D5786">
        <v>5.4447679999999998</v>
      </c>
      <c r="E5786">
        <v>0.48568620000000001</v>
      </c>
      <c r="F5786" t="s">
        <v>41</v>
      </c>
      <c r="G5786">
        <v>-125.20610000000001</v>
      </c>
      <c r="H5786">
        <v>1.0398579999999999</v>
      </c>
      <c r="I5786">
        <v>138.642</v>
      </c>
      <c r="J5786">
        <v>-125.4713</v>
      </c>
      <c r="K5786">
        <v>1.11232</v>
      </c>
      <c r="L5786">
        <v>138.64250000000001</v>
      </c>
      <c r="M5786">
        <v>0.99981960000000003</v>
      </c>
      <c r="N5786">
        <v>0</v>
      </c>
      <c r="O5786">
        <v>-1.3005030000000001E-2</v>
      </c>
      <c r="P5786">
        <v>0.99325859999999999</v>
      </c>
      <c r="Q5786">
        <v>9.5779630000000004E-2</v>
      </c>
      <c r="R5786">
        <v>-6.5297729999999998E-2</v>
      </c>
      <c r="S5786">
        <v>3.0449830000000002</v>
      </c>
      <c r="T5786">
        <v>-0.27959790000000001</v>
      </c>
      <c r="U5786">
        <v>-1.921082E-2</v>
      </c>
      <c r="V5786">
        <v>5.1830399999999999E-2</v>
      </c>
      <c r="W5786">
        <v>0.1097858</v>
      </c>
      <c r="X5786">
        <v>0.99260300000000001</v>
      </c>
      <c r="Y5786">
        <v>-6.6151359999999998E-3</v>
      </c>
      <c r="Z5786">
        <v>1.4947809999999999E-3</v>
      </c>
      <c r="AA5786">
        <v>0.999977</v>
      </c>
      <c r="AB5786">
        <v>33</v>
      </c>
      <c r="AC5786">
        <v>0.265199999999993</v>
      </c>
      <c r="AD5786">
        <v>-7.2461999999999999E-2</v>
      </c>
      <c r="AE5786">
        <v>-5.0000000001659795E-4</v>
      </c>
      <c r="AF5786">
        <v>-2.7444161737527699E-3</v>
      </c>
      <c r="AG5786">
        <v>-7.2461999999999999E-2</v>
      </c>
      <c r="AH5786">
        <v>0.24676153121091399</v>
      </c>
      <c r="AI5786">
        <v>106.364020255254</v>
      </c>
      <c r="AJ5786">
        <v>90.637202161897605</v>
      </c>
      <c r="AK5786">
        <v>0.25719550258449198</v>
      </c>
      <c r="AL5786">
        <v>83.697032058464401</v>
      </c>
      <c r="AM5786">
        <v>87.010921213151803</v>
      </c>
      <c r="AN5786">
        <v>1.0000000139273999</v>
      </c>
    </row>
    <row r="5787" spans="1:40" x14ac:dyDescent="0.25">
      <c r="A5787" t="str">
        <f>"20190312164425659"</f>
        <v>20190312164425659</v>
      </c>
      <c r="B5787" t="str">
        <f>"1552380265651330"</f>
        <v>1552380265651330</v>
      </c>
      <c r="C5787" t="s">
        <v>40</v>
      </c>
      <c r="D5787">
        <v>5.4228269999999998</v>
      </c>
      <c r="E5787">
        <v>0.48587029999999998</v>
      </c>
      <c r="F5787" t="s">
        <v>41</v>
      </c>
      <c r="G5787">
        <v>-124.636</v>
      </c>
      <c r="H5787">
        <v>1.0382690000000001</v>
      </c>
      <c r="I5787">
        <v>138.6344</v>
      </c>
      <c r="J5787">
        <v>-124.8214</v>
      </c>
      <c r="K5787">
        <v>1.1120909999999999</v>
      </c>
      <c r="L5787">
        <v>138.63890000000001</v>
      </c>
      <c r="M5787">
        <v>0.99986249999999999</v>
      </c>
      <c r="N5787">
        <v>0</v>
      </c>
      <c r="O5787">
        <v>-9.163427E-3</v>
      </c>
      <c r="P5787">
        <v>0.99295029999999995</v>
      </c>
      <c r="Q5787">
        <v>9.8095730000000006E-2</v>
      </c>
      <c r="R5787">
        <v>-6.6533679999999998E-2</v>
      </c>
      <c r="S5787">
        <v>3.0444640000000001</v>
      </c>
      <c r="T5787">
        <v>-0.2699435</v>
      </c>
      <c r="U5787">
        <v>-2.9373170000000001E-2</v>
      </c>
      <c r="V5787">
        <v>5.6940209999999998E-2</v>
      </c>
      <c r="W5787">
        <v>0.1120691</v>
      </c>
      <c r="X5787">
        <v>0.9920677</v>
      </c>
      <c r="Y5787">
        <v>5.1724810000000003E-4</v>
      </c>
      <c r="Z5787">
        <v>7.8805809999999896E-4</v>
      </c>
      <c r="AA5787">
        <v>0.99999959999999999</v>
      </c>
      <c r="AB5787">
        <v>33</v>
      </c>
      <c r="AC5787">
        <v>0.18539999999998699</v>
      </c>
      <c r="AD5787">
        <v>-7.3821999999999804E-2</v>
      </c>
      <c r="AE5787">
        <v>-4.5000000000072699E-3</v>
      </c>
      <c r="AF5787">
        <v>2.4176664855568501E-3</v>
      </c>
      <c r="AG5787">
        <v>-7.3821999999999804E-2</v>
      </c>
      <c r="AH5787">
        <v>0.160070104393044</v>
      </c>
      <c r="AI5787">
        <v>114.755978242171</v>
      </c>
      <c r="AJ5787">
        <v>89.134681929379497</v>
      </c>
      <c r="AK5787">
        <v>0.17628945264999599</v>
      </c>
      <c r="AL5787">
        <v>83.5653960716011</v>
      </c>
      <c r="AM5787">
        <v>86.715084700057105</v>
      </c>
      <c r="AN5787">
        <v>0.99999999603647205</v>
      </c>
    </row>
    <row r="5788" spans="1:40" x14ac:dyDescent="0.25">
      <c r="A5788" t="str">
        <f>"20190312164425686"</f>
        <v>20190312164425686</v>
      </c>
      <c r="B5788" t="str">
        <f>"1552380265681115"</f>
        <v>1552380265681115</v>
      </c>
      <c r="C5788" t="s">
        <v>40</v>
      </c>
      <c r="D5788">
        <v>5.4180960000000002</v>
      </c>
      <c r="E5788">
        <v>0.48599759999999997</v>
      </c>
      <c r="F5788" t="s">
        <v>42</v>
      </c>
      <c r="G5788">
        <v>-111.8934</v>
      </c>
      <c r="H5788" s="1">
        <v>-3.658968E-6</v>
      </c>
      <c r="I5788">
        <v>138.49469999999999</v>
      </c>
      <c r="J5788">
        <v>-124.4179</v>
      </c>
      <c r="K5788">
        <v>1.1119939999999999</v>
      </c>
      <c r="L5788">
        <v>138.6377</v>
      </c>
      <c r="M5788">
        <v>0.99988060000000001</v>
      </c>
      <c r="N5788">
        <v>0</v>
      </c>
      <c r="O5788">
        <v>-6.932311E-3</v>
      </c>
      <c r="P5788">
        <v>0.9927414</v>
      </c>
      <c r="Q5788">
        <v>0.1001972</v>
      </c>
      <c r="R5788">
        <v>-6.6518649999999999E-2</v>
      </c>
      <c r="S5788">
        <v>3.0449069999999998</v>
      </c>
      <c r="T5788">
        <v>-0.26192900000000002</v>
      </c>
      <c r="U5788">
        <v>-3.3950809999999998E-2</v>
      </c>
      <c r="V5788">
        <v>5.9161850000000002E-2</v>
      </c>
      <c r="W5788">
        <v>0.1141508</v>
      </c>
      <c r="X5788">
        <v>0.99170029999999998</v>
      </c>
      <c r="Y5788">
        <v>4.2265219999999999E-3</v>
      </c>
      <c r="Z5788">
        <v>4.1381509999999997E-4</v>
      </c>
      <c r="AA5788">
        <v>0.99999099999999996</v>
      </c>
      <c r="AB5788">
        <v>32</v>
      </c>
      <c r="AC5788">
        <v>12.5245</v>
      </c>
      <c r="AD5788">
        <v>-1.1119976589680001</v>
      </c>
      <c r="AE5788">
        <v>-0.14299999999999999</v>
      </c>
      <c r="AF5788">
        <v>5.5725332126994702E-2</v>
      </c>
      <c r="AG5788">
        <v>-1.1119976589680001</v>
      </c>
      <c r="AH5788">
        <v>12.427240275286101</v>
      </c>
      <c r="AI5788">
        <v>95.113195141892803</v>
      </c>
      <c r="AJ5788">
        <v>89.743080131021799</v>
      </c>
      <c r="AK5788">
        <v>12.4770166692958</v>
      </c>
      <c r="AL5788">
        <v>83.445353119738797</v>
      </c>
      <c r="AM5788">
        <v>86.585952847548</v>
      </c>
      <c r="AN5788">
        <v>1.0000000073280699</v>
      </c>
    </row>
    <row r="5789" spans="1:40" x14ac:dyDescent="0.25">
      <c r="A5789" t="str">
        <f>"20190312164425732"</f>
        <v>20190312164425732</v>
      </c>
      <c r="B5789" t="str">
        <f>"1552380265721132"</f>
        <v>1552380265721132</v>
      </c>
      <c r="C5789" t="s">
        <v>40</v>
      </c>
      <c r="D5789">
        <v>5.443505</v>
      </c>
      <c r="E5789">
        <v>0.48605599999999999</v>
      </c>
      <c r="F5789" t="s">
        <v>41</v>
      </c>
      <c r="G5789">
        <v>-123.4841</v>
      </c>
      <c r="H5789">
        <v>1.033137</v>
      </c>
      <c r="I5789">
        <v>138.62719999999999</v>
      </c>
      <c r="J5789">
        <v>-123.7535</v>
      </c>
      <c r="K5789">
        <v>1.1118859999999999</v>
      </c>
      <c r="L5789">
        <v>138.63759999999999</v>
      </c>
      <c r="M5789">
        <v>0.99989919999999999</v>
      </c>
      <c r="N5789">
        <v>0</v>
      </c>
      <c r="O5789">
        <v>-3.3735890000000002E-3</v>
      </c>
      <c r="P5789">
        <v>0.99247410000000003</v>
      </c>
      <c r="Q5789">
        <v>0.1025267</v>
      </c>
      <c r="R5789">
        <v>-6.6961229999999997E-2</v>
      </c>
      <c r="S5789">
        <v>3.0456089999999998</v>
      </c>
      <c r="T5789">
        <v>-0.25721939999999999</v>
      </c>
      <c r="U5789">
        <v>-3.4194950000000002E-2</v>
      </c>
      <c r="V5789">
        <v>6.3160060000000004E-2</v>
      </c>
      <c r="W5789">
        <v>0.11645990000000001</v>
      </c>
      <c r="X5789">
        <v>0.99118510000000004</v>
      </c>
      <c r="Y5789">
        <v>7.8372689999999991E-3</v>
      </c>
      <c r="Z5789" s="1">
        <v>-4.5923749999999999E-5</v>
      </c>
      <c r="AA5789">
        <v>0.99996929999999995</v>
      </c>
      <c r="AB5789">
        <v>32</v>
      </c>
      <c r="AC5789">
        <v>0.26940000000000403</v>
      </c>
      <c r="AD5789">
        <v>-7.8749000000000097E-2</v>
      </c>
      <c r="AE5789">
        <v>-1.04000000000041E-2</v>
      </c>
      <c r="AF5789">
        <v>8.7448992778299296E-3</v>
      </c>
      <c r="AG5789">
        <v>-7.8749000000000097E-2</v>
      </c>
      <c r="AH5789">
        <v>0.248252760438227</v>
      </c>
      <c r="AI5789">
        <v>107.589467028248</v>
      </c>
      <c r="AJ5789">
        <v>87.982545159922395</v>
      </c>
      <c r="AK5789">
        <v>0.26059031319214299</v>
      </c>
      <c r="AL5789">
        <v>83.312163004017407</v>
      </c>
      <c r="AM5789">
        <v>86.353941597128696</v>
      </c>
      <c r="AN5789">
        <v>1.00000000197461</v>
      </c>
    </row>
    <row r="5790" spans="1:40" x14ac:dyDescent="0.25">
      <c r="A5790" t="str">
        <f>"20190312164425770"</f>
        <v>20190312164425770</v>
      </c>
      <c r="B5790" t="str">
        <f>"1552380265760680"</f>
        <v>1552380265760680</v>
      </c>
      <c r="C5790" t="s">
        <v>40</v>
      </c>
      <c r="D5790">
        <v>5.6097599999999996</v>
      </c>
      <c r="E5790">
        <v>0.48587000000000002</v>
      </c>
      <c r="F5790" t="s">
        <v>41</v>
      </c>
      <c r="G5790">
        <v>-122.9008</v>
      </c>
      <c r="H5790">
        <v>1.041258</v>
      </c>
      <c r="I5790">
        <v>138.62729999999999</v>
      </c>
      <c r="J5790">
        <v>-123.2213</v>
      </c>
      <c r="K5790">
        <v>1.111828</v>
      </c>
      <c r="L5790">
        <v>138.63910000000001</v>
      </c>
      <c r="M5790">
        <v>0.99990489999999999</v>
      </c>
      <c r="N5790">
        <v>0</v>
      </c>
      <c r="O5790">
        <v>-5.5162880000000003E-4</v>
      </c>
      <c r="P5790">
        <v>0.99234900000000004</v>
      </c>
      <c r="Q5790">
        <v>0.103116899999999</v>
      </c>
      <c r="R5790">
        <v>-6.7901920000000004E-2</v>
      </c>
      <c r="S5790">
        <v>3.0463710000000002</v>
      </c>
      <c r="T5790">
        <v>-0.25244</v>
      </c>
      <c r="U5790">
        <v>-3.6468510000000003E-2</v>
      </c>
      <c r="V5790">
        <v>6.6914260000000003E-2</v>
      </c>
      <c r="W5790">
        <v>0.1170424</v>
      </c>
      <c r="X5790">
        <v>0.99087009999999998</v>
      </c>
      <c r="Y5790">
        <v>1.1381509999999999E-2</v>
      </c>
      <c r="Z5790">
        <v>-4.2510989999999999E-4</v>
      </c>
      <c r="AA5790">
        <v>0.99993520000000002</v>
      </c>
      <c r="AB5790">
        <v>32</v>
      </c>
      <c r="AC5790">
        <v>0.32049999999999501</v>
      </c>
      <c r="AD5790">
        <v>-7.0569999999999994E-2</v>
      </c>
      <c r="AE5790">
        <v>-1.1800000000022201E-2</v>
      </c>
      <c r="AF5790">
        <v>1.10864158705835E-2</v>
      </c>
      <c r="AG5790">
        <v>-7.0569999999999994E-2</v>
      </c>
      <c r="AH5790">
        <v>0.305705200797244</v>
      </c>
      <c r="AI5790">
        <v>102.990397010244</v>
      </c>
      <c r="AJ5790">
        <v>87.923075586942403</v>
      </c>
      <c r="AK5790">
        <v>0.31394060475086499</v>
      </c>
      <c r="AL5790">
        <v>83.2785583722289</v>
      </c>
      <c r="AM5790">
        <v>86.136635343937499</v>
      </c>
      <c r="AN5790">
        <v>0.99999999833155795</v>
      </c>
    </row>
    <row r="5791" spans="1:40" x14ac:dyDescent="0.25">
      <c r="A5791" t="str">
        <f>"20190312164425796"</f>
        <v>20190312164425796</v>
      </c>
      <c r="B5791" t="str">
        <f>"1552380265790934"</f>
        <v>1552380265790934</v>
      </c>
      <c r="C5791" t="s">
        <v>40</v>
      </c>
      <c r="D5791">
        <v>5.6951749999999999</v>
      </c>
      <c r="E5791">
        <v>0.48927150000000003</v>
      </c>
      <c r="F5791" t="s">
        <v>41</v>
      </c>
      <c r="G5791">
        <v>-122.33920000000001</v>
      </c>
      <c r="H5791">
        <v>1.0157849999999999</v>
      </c>
      <c r="I5791">
        <v>138.6301</v>
      </c>
      <c r="J5791">
        <v>-122.8287</v>
      </c>
      <c r="K5791">
        <v>1.111804</v>
      </c>
      <c r="L5791">
        <v>138.6412</v>
      </c>
      <c r="M5791">
        <v>0.99990400000000002</v>
      </c>
      <c r="N5791">
        <v>0</v>
      </c>
      <c r="O5791">
        <v>1.532395E-3</v>
      </c>
      <c r="P5791">
        <v>0.99221429999999999</v>
      </c>
      <c r="Q5791">
        <v>0.1047708</v>
      </c>
      <c r="R5791">
        <v>-6.7337190000000005E-2</v>
      </c>
      <c r="S5791">
        <v>3.0555880000000002</v>
      </c>
      <c r="T5791">
        <v>-0.33275070000000001</v>
      </c>
      <c r="U5791">
        <v>-3.1219480000000001E-2</v>
      </c>
      <c r="V5791">
        <v>6.8417930000000002E-2</v>
      </c>
      <c r="W5791">
        <v>0.1186879</v>
      </c>
      <c r="X5791">
        <v>0.9905716</v>
      </c>
      <c r="Y5791">
        <v>1.1671040000000001E-2</v>
      </c>
      <c r="Z5791">
        <v>-7.9998979999999905E-4</v>
      </c>
      <c r="AA5791">
        <v>0.99993160000000003</v>
      </c>
      <c r="AB5791">
        <v>32</v>
      </c>
      <c r="AC5791">
        <v>0.489499999999992</v>
      </c>
      <c r="AD5791">
        <v>-9.6018999999999993E-2</v>
      </c>
      <c r="AE5791">
        <v>-1.1099999999999E-2</v>
      </c>
      <c r="AF5791">
        <v>1.14113102843355E-2</v>
      </c>
      <c r="AG5791">
        <v>-9.6018999999999993E-2</v>
      </c>
      <c r="AH5791">
        <v>0.47135508160943301</v>
      </c>
      <c r="AI5791">
        <v>101.51080805720299</v>
      </c>
      <c r="AJ5791">
        <v>88.613163933231206</v>
      </c>
      <c r="AK5791">
        <v>0.481170946049781</v>
      </c>
      <c r="AL5791">
        <v>83.183616129116999</v>
      </c>
      <c r="AM5791">
        <v>86.048904685943597</v>
      </c>
      <c r="AN5791">
        <v>0.99999996273922598</v>
      </c>
    </row>
    <row r="5792" spans="1:40" x14ac:dyDescent="0.25">
      <c r="A5792" t="str">
        <f>"20190312164425821"</f>
        <v>20190312164425821</v>
      </c>
      <c r="B5792" t="str">
        <f>"1552380265812405"</f>
        <v>1552380265812405</v>
      </c>
      <c r="C5792" t="s">
        <v>40</v>
      </c>
      <c r="D5792">
        <v>5.9481020000000004</v>
      </c>
      <c r="E5792">
        <v>0.48923949999999999</v>
      </c>
      <c r="F5792" t="s">
        <v>41</v>
      </c>
      <c r="G5792">
        <v>-122.0364</v>
      </c>
      <c r="H5792">
        <v>1.0429820000000001</v>
      </c>
      <c r="I5792">
        <v>138.62479999999999</v>
      </c>
      <c r="J5792">
        <v>-122.48220000000001</v>
      </c>
      <c r="K5792">
        <v>1.1117969999999999</v>
      </c>
      <c r="L5792">
        <v>138.6437</v>
      </c>
      <c r="M5792">
        <v>0.99989939999999999</v>
      </c>
      <c r="N5792">
        <v>0</v>
      </c>
      <c r="O5792">
        <v>3.37135E-3</v>
      </c>
      <c r="P5792">
        <v>0.99214380000000002</v>
      </c>
      <c r="Q5792">
        <v>0.1060126</v>
      </c>
      <c r="R5792">
        <v>-6.6423640000000006E-2</v>
      </c>
      <c r="S5792">
        <v>3.047256</v>
      </c>
      <c r="T5792">
        <v>-0.26490340000000001</v>
      </c>
      <c r="U5792">
        <v>-6.2728880000000001E-2</v>
      </c>
      <c r="V5792">
        <v>6.9329219999999997E-2</v>
      </c>
      <c r="W5792">
        <v>0.1199221</v>
      </c>
      <c r="X5792">
        <v>0.99035960000000001</v>
      </c>
      <c r="Y5792">
        <v>2.3849229999999999E-2</v>
      </c>
      <c r="Z5792">
        <v>-1.3270929999999999E-3</v>
      </c>
      <c r="AA5792">
        <v>0.99971469999999996</v>
      </c>
      <c r="AB5792">
        <v>32</v>
      </c>
      <c r="AC5792">
        <v>0.44580000000000503</v>
      </c>
      <c r="AD5792">
        <v>-6.8814999999999807E-2</v>
      </c>
      <c r="AE5792">
        <v>-1.8900000000002099E-2</v>
      </c>
      <c r="AF5792">
        <v>1.9928969210894501E-2</v>
      </c>
      <c r="AG5792">
        <v>-6.8814999999999807E-2</v>
      </c>
      <c r="AH5792">
        <v>0.43537819837810898</v>
      </c>
      <c r="AI5792">
        <v>98.972510367560403</v>
      </c>
      <c r="AJ5792">
        <v>87.379176664957299</v>
      </c>
      <c r="AK5792">
        <v>0.44123332111455199</v>
      </c>
      <c r="AL5792">
        <v>83.112393186817698</v>
      </c>
      <c r="AM5792">
        <v>85.995594010286894</v>
      </c>
      <c r="AN5792">
        <v>0.99999999406318896</v>
      </c>
    </row>
    <row r="5793" spans="1:40" x14ac:dyDescent="0.25">
      <c r="A5793" t="str">
        <f>"20190312164425859"</f>
        <v>20190312164425859</v>
      </c>
      <c r="B5793" t="str">
        <f>"1552380265851447"</f>
        <v>1552380265851447</v>
      </c>
      <c r="C5793" t="s">
        <v>40</v>
      </c>
      <c r="D5793">
        <v>5.4792589999999999</v>
      </c>
      <c r="E5793">
        <v>0.48953180000000002</v>
      </c>
      <c r="F5793" t="s">
        <v>41</v>
      </c>
      <c r="G5793">
        <v>-121.7436</v>
      </c>
      <c r="H5793">
        <v>1.047679</v>
      </c>
      <c r="I5793">
        <v>138.62899999999999</v>
      </c>
      <c r="J5793">
        <v>-121.9327</v>
      </c>
      <c r="K5793">
        <v>1.1117619999999999</v>
      </c>
      <c r="L5793">
        <v>138.649</v>
      </c>
      <c r="M5793">
        <v>0.99988589999999999</v>
      </c>
      <c r="N5793">
        <v>0</v>
      </c>
      <c r="O5793">
        <v>6.2289329999999999E-3</v>
      </c>
      <c r="P5793">
        <v>0.99199769999999998</v>
      </c>
      <c r="Q5793">
        <v>0.1084701</v>
      </c>
      <c r="R5793">
        <v>-6.4612500000000003E-2</v>
      </c>
      <c r="S5793">
        <v>3.0479889999999998</v>
      </c>
      <c r="T5793">
        <v>-0.26468709999999901</v>
      </c>
      <c r="U5793">
        <v>-6.0424800000000001E-2</v>
      </c>
      <c r="V5793">
        <v>7.0355909999999994E-2</v>
      </c>
      <c r="W5793">
        <v>0.1223635</v>
      </c>
      <c r="X5793">
        <v>0.98998850000000005</v>
      </c>
      <c r="Y5793">
        <v>2.5927530000000001E-2</v>
      </c>
      <c r="Z5793">
        <v>-1.663456E-3</v>
      </c>
      <c r="AA5793">
        <v>0.99966250000000001</v>
      </c>
      <c r="AB5793">
        <v>32</v>
      </c>
      <c r="AC5793">
        <v>0.18909999999999599</v>
      </c>
      <c r="AD5793">
        <v>-6.4083000000000098E-2</v>
      </c>
      <c r="AE5793">
        <v>-2.0000000000010201E-2</v>
      </c>
      <c r="AF5793">
        <v>1.9017731575928499E-2</v>
      </c>
      <c r="AG5793">
        <v>-6.4083000000000098E-2</v>
      </c>
      <c r="AH5793">
        <v>0.16969870693856901</v>
      </c>
      <c r="AI5793">
        <v>110.57005156376501</v>
      </c>
      <c r="AJ5793">
        <v>83.605677913445604</v>
      </c>
      <c r="AK5793">
        <v>0.1823895724539</v>
      </c>
      <c r="AL5793">
        <v>82.971473449733793</v>
      </c>
      <c r="AM5793">
        <v>85.934972229063604</v>
      </c>
      <c r="AN5793">
        <v>1.0000000051682101</v>
      </c>
    </row>
    <row r="5794" spans="1:40" x14ac:dyDescent="0.25">
      <c r="A5794" t="str">
        <f>"20190312164425903"</f>
        <v>20190312164425903</v>
      </c>
      <c r="B5794" t="str">
        <f>"1552380265900751"</f>
        <v>1552380265900751</v>
      </c>
      <c r="C5794" t="s">
        <v>40</v>
      </c>
      <c r="D5794">
        <v>5.5675039999999996</v>
      </c>
      <c r="E5794">
        <v>0.48954330000000001</v>
      </c>
      <c r="F5794" t="s">
        <v>41</v>
      </c>
      <c r="G5794">
        <v>-121.17189999999999</v>
      </c>
      <c r="H5794">
        <v>1.0460510000000001</v>
      </c>
      <c r="I5794">
        <v>138.63460000000001</v>
      </c>
      <c r="J5794">
        <v>-121.3049</v>
      </c>
      <c r="K5794">
        <v>1.111691</v>
      </c>
      <c r="L5794">
        <v>138.6567</v>
      </c>
      <c r="M5794">
        <v>0.99986209999999998</v>
      </c>
      <c r="N5794">
        <v>0</v>
      </c>
      <c r="O5794">
        <v>9.3130260000000003E-3</v>
      </c>
      <c r="P5794">
        <v>0.9916431</v>
      </c>
      <c r="Q5794">
        <v>0.112667</v>
      </c>
      <c r="R5794">
        <v>-6.2852379999999999E-2</v>
      </c>
      <c r="S5794">
        <v>3.049255</v>
      </c>
      <c r="T5794">
        <v>-0.26340730000000001</v>
      </c>
      <c r="U5794">
        <v>-5.7601930000000003E-2</v>
      </c>
      <c r="V5794">
        <v>7.1664909999999998E-2</v>
      </c>
      <c r="W5794">
        <v>0.12653130000000001</v>
      </c>
      <c r="X5794">
        <v>0.98937050000000004</v>
      </c>
      <c r="Y5794">
        <v>2.8059400000000002E-2</v>
      </c>
      <c r="Z5794">
        <v>-2.0125999999999998E-3</v>
      </c>
      <c r="AA5794">
        <v>0.99960420000000005</v>
      </c>
      <c r="AB5794">
        <v>32</v>
      </c>
      <c r="AC5794">
        <v>0.133000000000009</v>
      </c>
      <c r="AD5794">
        <v>-6.5639999999999907E-2</v>
      </c>
      <c r="AE5794">
        <v>-2.20999999999946E-2</v>
      </c>
      <c r="AF5794">
        <v>1.8865971048547901E-2</v>
      </c>
      <c r="AG5794">
        <v>-6.5639999999999907E-2</v>
      </c>
      <c r="AH5794">
        <v>0.10734443530978099</v>
      </c>
      <c r="AI5794">
        <v>121.058823153286</v>
      </c>
      <c r="AJ5794">
        <v>80.031968297307202</v>
      </c>
      <c r="AK5794">
        <v>0.12722956517877601</v>
      </c>
      <c r="AL5794">
        <v>82.730805029295496</v>
      </c>
      <c r="AM5794">
        <v>85.857024134098296</v>
      </c>
      <c r="AN5794">
        <v>1.0000000077376201</v>
      </c>
    </row>
    <row r="5795" spans="1:40" x14ac:dyDescent="0.25">
      <c r="A5795" t="str">
        <f>"20190312164425931"</f>
        <v>20190312164425931</v>
      </c>
      <c r="B5795" t="str">
        <f>"1552380265921248"</f>
        <v>1552380265921248</v>
      </c>
      <c r="C5795" t="s">
        <v>40</v>
      </c>
      <c r="D5795">
        <v>5.5302249999999997</v>
      </c>
      <c r="E5795">
        <v>0.49150349999999998</v>
      </c>
      <c r="F5795" t="s">
        <v>41</v>
      </c>
      <c r="G5795">
        <v>-120.3228</v>
      </c>
      <c r="H5795">
        <v>1.029855</v>
      </c>
      <c r="I5795">
        <v>138.6396</v>
      </c>
      <c r="J5795">
        <v>-120.90940000000001</v>
      </c>
      <c r="K5795">
        <v>1.111621</v>
      </c>
      <c r="L5795">
        <v>138.66239999999999</v>
      </c>
      <c r="M5795">
        <v>0.99984379999999995</v>
      </c>
      <c r="N5795">
        <v>0</v>
      </c>
      <c r="O5795">
        <v>1.110206E-2</v>
      </c>
      <c r="P5795">
        <v>0.99147830000000003</v>
      </c>
      <c r="Q5795">
        <v>0.1149153</v>
      </c>
      <c r="R5795">
        <v>-6.1363519999999998E-2</v>
      </c>
      <c r="S5795">
        <v>3.050827</v>
      </c>
      <c r="T5795">
        <v>-0.25433549999999999</v>
      </c>
      <c r="U5795">
        <v>-5.2688600000000002E-2</v>
      </c>
      <c r="V5795">
        <v>7.1964790000000001E-2</v>
      </c>
      <c r="W5795">
        <v>0.12875739999999999</v>
      </c>
      <c r="X5795">
        <v>0.98906150000000004</v>
      </c>
      <c r="Y5795">
        <v>2.823167E-2</v>
      </c>
      <c r="Z5795">
        <v>-2.0986160000000002E-3</v>
      </c>
      <c r="AA5795">
        <v>0.99959920000000002</v>
      </c>
      <c r="AB5795">
        <v>32</v>
      </c>
      <c r="AC5795">
        <v>0.58660000000000401</v>
      </c>
      <c r="AD5795">
        <v>-8.1765999999999894E-2</v>
      </c>
      <c r="AE5795">
        <v>-2.2799999999989402E-2</v>
      </c>
      <c r="AF5795">
        <v>2.8753849000709202E-2</v>
      </c>
      <c r="AG5795">
        <v>-8.1765999999999894E-2</v>
      </c>
      <c r="AH5795">
        <v>0.57515262516881605</v>
      </c>
      <c r="AI5795">
        <v>98.081219919111305</v>
      </c>
      <c r="AJ5795">
        <v>87.137970616836697</v>
      </c>
      <c r="AK5795">
        <v>0.58164680419214598</v>
      </c>
      <c r="AL5795">
        <v>82.602207063312903</v>
      </c>
      <c r="AM5795">
        <v>85.838453530551803</v>
      </c>
      <c r="AN5795">
        <v>1.00000002491837</v>
      </c>
    </row>
    <row r="5796" spans="1:40" x14ac:dyDescent="0.25">
      <c r="A5796" t="str">
        <f>"20190312164425955"</f>
        <v>20190312164425955</v>
      </c>
      <c r="B5796" t="str">
        <f>"1552380265951504"</f>
        <v>1552380265951504</v>
      </c>
      <c r="C5796" t="s">
        <v>40</v>
      </c>
      <c r="D5796">
        <v>5.3876710000000001</v>
      </c>
      <c r="E5796">
        <v>0.49035909999999999</v>
      </c>
      <c r="F5796" t="s">
        <v>41</v>
      </c>
      <c r="G5796">
        <v>-120.0393</v>
      </c>
      <c r="H5796">
        <v>1.0244279999999999</v>
      </c>
      <c r="I5796">
        <v>138.64510000000001</v>
      </c>
      <c r="J5796">
        <v>-120.5635</v>
      </c>
      <c r="K5796">
        <v>1.111548</v>
      </c>
      <c r="L5796">
        <v>138.6678</v>
      </c>
      <c r="M5796">
        <v>0.99982669999999996</v>
      </c>
      <c r="N5796">
        <v>0</v>
      </c>
      <c r="O5796">
        <v>1.2558659999999999E-2</v>
      </c>
      <c r="P5796">
        <v>0.9912531</v>
      </c>
      <c r="Q5796">
        <v>0.1174018</v>
      </c>
      <c r="R5796">
        <v>-6.0287939999999998E-2</v>
      </c>
      <c r="S5796">
        <v>3.0575559999999999</v>
      </c>
      <c r="T5796">
        <v>-0.30646380000000001</v>
      </c>
      <c r="U5796">
        <v>-6.0775759999999998E-2</v>
      </c>
      <c r="V5796">
        <v>7.2346369999999993E-2</v>
      </c>
      <c r="W5796">
        <v>0.13122210000000001</v>
      </c>
      <c r="X5796">
        <v>0.98870959999999997</v>
      </c>
      <c r="Y5796">
        <v>3.2204869999999997E-2</v>
      </c>
      <c r="Z5796">
        <v>-2.8654209999999999E-3</v>
      </c>
      <c r="AA5796">
        <v>0.99947719999999995</v>
      </c>
      <c r="AB5796">
        <v>32</v>
      </c>
      <c r="AC5796">
        <v>0.52420000000000699</v>
      </c>
      <c r="AD5796">
        <v>-8.7119999999999795E-2</v>
      </c>
      <c r="AE5796">
        <v>-2.2699999999986099E-2</v>
      </c>
      <c r="AF5796">
        <v>2.84964494017899E-2</v>
      </c>
      <c r="AG5796">
        <v>-8.7119999999999795E-2</v>
      </c>
      <c r="AH5796">
        <v>0.509818139481374</v>
      </c>
      <c r="AI5796">
        <v>99.682463969417896</v>
      </c>
      <c r="AJ5796">
        <v>86.800762924388906</v>
      </c>
      <c r="AK5796">
        <v>0.51799273872590001</v>
      </c>
      <c r="AL5796">
        <v>82.459781159099705</v>
      </c>
      <c r="AM5796">
        <v>85.814982130707705</v>
      </c>
      <c r="AN5796">
        <v>0.99999995495637195</v>
      </c>
    </row>
    <row r="5797" spans="1:40" x14ac:dyDescent="0.25">
      <c r="A5797" t="str">
        <f>"20190312164425978"</f>
        <v>20190312164425978</v>
      </c>
      <c r="B5797" t="str">
        <f>"1552380265970554"</f>
        <v>1552380265970554</v>
      </c>
      <c r="C5797" t="s">
        <v>40</v>
      </c>
      <c r="D5797">
        <v>5.351451</v>
      </c>
      <c r="E5797">
        <v>0.48304160000000002</v>
      </c>
      <c r="F5797" t="s">
        <v>41</v>
      </c>
      <c r="G5797">
        <v>-119.7462</v>
      </c>
      <c r="H5797">
        <v>1.0386869999999999</v>
      </c>
      <c r="I5797">
        <v>138.654</v>
      </c>
      <c r="J5797">
        <v>-120.2358</v>
      </c>
      <c r="K5797">
        <v>1.1114539999999999</v>
      </c>
      <c r="L5797">
        <v>138.67339999999999</v>
      </c>
      <c r="M5797">
        <v>0.99981050000000005</v>
      </c>
      <c r="N5797">
        <v>0</v>
      </c>
      <c r="O5797">
        <v>1.3783689999999999E-2</v>
      </c>
      <c r="P5797">
        <v>0.99116439999999995</v>
      </c>
      <c r="Q5797">
        <v>0.1186152</v>
      </c>
      <c r="R5797">
        <v>-5.9358540000000001E-2</v>
      </c>
      <c r="S5797">
        <v>3.055634</v>
      </c>
      <c r="T5797">
        <v>-0.27253379999999999</v>
      </c>
      <c r="U5797">
        <v>-5.1452640000000001E-2</v>
      </c>
      <c r="V5797">
        <v>7.2657230000000003E-2</v>
      </c>
      <c r="W5797">
        <v>0.13241229999999901</v>
      </c>
      <c r="X5797">
        <v>0.98852810000000002</v>
      </c>
      <c r="Y5797">
        <v>3.0442139999999999E-2</v>
      </c>
      <c r="Z5797">
        <v>-2.581767E-3</v>
      </c>
      <c r="AA5797">
        <v>0.99953320000000001</v>
      </c>
      <c r="AB5797">
        <v>32</v>
      </c>
      <c r="AC5797">
        <v>0.48959999999999498</v>
      </c>
      <c r="AD5797">
        <v>-7.2766999999999998E-2</v>
      </c>
      <c r="AE5797">
        <v>-1.93999999999903E-2</v>
      </c>
      <c r="AF5797">
        <v>2.55830576452712E-2</v>
      </c>
      <c r="AG5797">
        <v>-7.2766999999999998E-2</v>
      </c>
      <c r="AH5797">
        <v>0.47872776513665</v>
      </c>
      <c r="AI5797">
        <v>98.630717822488606</v>
      </c>
      <c r="AJ5797">
        <v>86.941041698158898</v>
      </c>
      <c r="AK5797">
        <v>0.48490184804784198</v>
      </c>
      <c r="AL5797">
        <v>82.390987365597894</v>
      </c>
      <c r="AM5797">
        <v>85.796295205613205</v>
      </c>
      <c r="AN5797">
        <v>0.999999947376085</v>
      </c>
    </row>
    <row r="5798" spans="1:40" x14ac:dyDescent="0.25">
      <c r="A5798" t="str">
        <f>"20190312164426037"</f>
        <v>20190312164426037</v>
      </c>
      <c r="B5798" t="str">
        <f>"1552380266031066"</f>
        <v>1552380266031066</v>
      </c>
      <c r="C5798" t="s">
        <v>40</v>
      </c>
      <c r="D5798">
        <v>5.453271</v>
      </c>
      <c r="E5798">
        <v>0.48205340000000002</v>
      </c>
      <c r="F5798" t="s">
        <v>42</v>
      </c>
      <c r="G5798">
        <v>-105.8905</v>
      </c>
      <c r="H5798" s="1">
        <v>-2.0842549999999999E-6</v>
      </c>
      <c r="I5798">
        <v>138.70750000000001</v>
      </c>
      <c r="J5798">
        <v>-119.38039999999999</v>
      </c>
      <c r="K5798">
        <v>1.1111089999999999</v>
      </c>
      <c r="L5798">
        <v>138.68860000000001</v>
      </c>
      <c r="M5798">
        <v>0.99977590000000005</v>
      </c>
      <c r="N5798">
        <v>0</v>
      </c>
      <c r="O5798">
        <v>1.611421E-2</v>
      </c>
      <c r="P5798">
        <v>0.99096629999999997</v>
      </c>
      <c r="Q5798">
        <v>0.12137539999999999</v>
      </c>
      <c r="R5798">
        <v>-5.7044480000000002E-2</v>
      </c>
      <c r="S5798">
        <v>3.0555110000000001</v>
      </c>
      <c r="T5798">
        <v>-0.236737</v>
      </c>
      <c r="U5798">
        <v>7.27844199999999E-3</v>
      </c>
      <c r="V5798">
        <v>7.276349E-2</v>
      </c>
      <c r="W5798">
        <v>0.135090299999999</v>
      </c>
      <c r="X5798">
        <v>0.98815790000000003</v>
      </c>
      <c r="Y5798">
        <v>1.3644750000000001E-2</v>
      </c>
      <c r="Z5798">
        <v>-1.7745059999999999E-3</v>
      </c>
      <c r="AA5798">
        <v>0.9999053</v>
      </c>
      <c r="AB5798">
        <v>32</v>
      </c>
      <c r="AC5798">
        <v>13.489899999999899</v>
      </c>
      <c r="AD5798">
        <v>-1.111111084255</v>
      </c>
      <c r="AE5798">
        <v>1.8900000000002099E-2</v>
      </c>
      <c r="AF5798">
        <v>0.19716442811413501</v>
      </c>
      <c r="AG5798">
        <v>-1.111111084255</v>
      </c>
      <c r="AH5798">
        <v>13.397561378972901</v>
      </c>
      <c r="AI5798">
        <v>94.740398018533696</v>
      </c>
      <c r="AJ5798">
        <v>89.156870876294803</v>
      </c>
      <c r="AK5798">
        <v>13.445002512332</v>
      </c>
      <c r="AL5798">
        <v>82.236158273951304</v>
      </c>
      <c r="AM5798">
        <v>85.788597960712806</v>
      </c>
      <c r="AN5798">
        <v>0.99999997498173898</v>
      </c>
    </row>
    <row r="5799" spans="1:40" x14ac:dyDescent="0.25">
      <c r="A5799" t="str">
        <f>"20190312164426069"</f>
        <v>20190312164426069</v>
      </c>
      <c r="B5799" t="str">
        <f>"1552380266060853"</f>
        <v>1552380266060853</v>
      </c>
      <c r="C5799" t="s">
        <v>40</v>
      </c>
      <c r="D5799">
        <v>5.4299759999999999</v>
      </c>
      <c r="E5799">
        <v>0.48389159999999998</v>
      </c>
      <c r="F5799" t="s">
        <v>41</v>
      </c>
      <c r="G5799">
        <v>-118.6056</v>
      </c>
      <c r="H5799">
        <v>1.0344610000000001</v>
      </c>
      <c r="I5799">
        <v>138.6951</v>
      </c>
      <c r="J5799">
        <v>-118.9327</v>
      </c>
      <c r="K5799">
        <v>1.1109230000000001</v>
      </c>
      <c r="L5799">
        <v>138.6968</v>
      </c>
      <c r="M5799">
        <v>0.99976370000000003</v>
      </c>
      <c r="N5799">
        <v>0</v>
      </c>
      <c r="O5799">
        <v>1.685913E-2</v>
      </c>
      <c r="P5799">
        <v>0.99097469999999999</v>
      </c>
      <c r="Q5799">
        <v>0.121759199999999</v>
      </c>
      <c r="R5799">
        <v>-5.6070380000000003E-2</v>
      </c>
      <c r="S5799">
        <v>3.0660099999999999</v>
      </c>
      <c r="T5799">
        <v>-0.30337619999999998</v>
      </c>
      <c r="U5799">
        <v>2.624512E-2</v>
      </c>
      <c r="V5799">
        <v>7.2587860000000004E-2</v>
      </c>
      <c r="W5799">
        <v>0.13543469999999999</v>
      </c>
      <c r="X5799">
        <v>0.98812370000000005</v>
      </c>
      <c r="Y5799">
        <v>8.1793460000000005E-3</v>
      </c>
      <c r="Z5799">
        <v>-2.0678279999999999E-3</v>
      </c>
      <c r="AA5799">
        <v>0.99996439999999998</v>
      </c>
      <c r="AB5799">
        <v>32</v>
      </c>
      <c r="AC5799">
        <v>0.327100000000001</v>
      </c>
      <c r="AD5799">
        <v>-7.6461999999999794E-2</v>
      </c>
      <c r="AE5799">
        <v>-1.6999999999995901E-3</v>
      </c>
      <c r="AF5799">
        <v>6.8410949388092298E-3</v>
      </c>
      <c r="AG5799">
        <v>-7.6461999999999794E-2</v>
      </c>
      <c r="AH5799">
        <v>0.31008167208482701</v>
      </c>
      <c r="AI5799">
        <v>103.848789413006</v>
      </c>
      <c r="AJ5799">
        <v>88.7361320399081</v>
      </c>
      <c r="AK5799">
        <v>0.31944308004225702</v>
      </c>
      <c r="AL5799">
        <v>82.216242780934905</v>
      </c>
      <c r="AM5799">
        <v>85.798581735075501</v>
      </c>
      <c r="AN5799">
        <v>1.00000000094257</v>
      </c>
    </row>
    <row r="5800" spans="1:40" x14ac:dyDescent="0.25">
      <c r="A5800" t="str">
        <f>"20190312164426090"</f>
        <v>20190312164426090</v>
      </c>
      <c r="B5800" t="str">
        <f>"1552380266081349"</f>
        <v>1552380266081349</v>
      </c>
      <c r="C5800" t="s">
        <v>40</v>
      </c>
      <c r="D5800">
        <v>5.3464340000000004</v>
      </c>
      <c r="E5800">
        <v>0.48353069999999998</v>
      </c>
      <c r="F5800" t="s">
        <v>41</v>
      </c>
      <c r="G5800">
        <v>-118.0391</v>
      </c>
      <c r="H5800">
        <v>1.0274179999999999</v>
      </c>
      <c r="I5800">
        <v>138.7004</v>
      </c>
      <c r="J5800">
        <v>-118.63460000000001</v>
      </c>
      <c r="K5800">
        <v>1.110795</v>
      </c>
      <c r="L5800">
        <v>138.70230000000001</v>
      </c>
      <c r="M5800">
        <v>0.99975840000000005</v>
      </c>
      <c r="N5800">
        <v>0</v>
      </c>
      <c r="O5800">
        <v>1.718182E-2</v>
      </c>
      <c r="P5800">
        <v>0.99108770000000002</v>
      </c>
      <c r="Q5800">
        <v>0.1214721</v>
      </c>
      <c r="R5800">
        <v>-5.4681399999999998E-2</v>
      </c>
      <c r="S5800">
        <v>3.063202</v>
      </c>
      <c r="T5800">
        <v>-0.2862731</v>
      </c>
      <c r="U5800">
        <v>1.237488E-2</v>
      </c>
      <c r="V5800">
        <v>7.1558759999999999E-2</v>
      </c>
      <c r="W5800">
        <v>0.1351243</v>
      </c>
      <c r="X5800">
        <v>0.98824129999999999</v>
      </c>
      <c r="Y5800">
        <v>1.30125E-2</v>
      </c>
      <c r="Z5800">
        <v>-2.2090360000000002E-3</v>
      </c>
      <c r="AA5800">
        <v>0.99991289999999999</v>
      </c>
      <c r="AB5800">
        <v>32</v>
      </c>
      <c r="AC5800">
        <v>0.59550000000000103</v>
      </c>
      <c r="AD5800">
        <v>-8.3377000000000007E-2</v>
      </c>
      <c r="AE5800">
        <v>-1.90000000000623E-3</v>
      </c>
      <c r="AF5800">
        <v>1.1899193838870401E-2</v>
      </c>
      <c r="AG5800">
        <v>-8.3377000000000007E-2</v>
      </c>
      <c r="AH5800">
        <v>0.58393254485438195</v>
      </c>
      <c r="AI5800">
        <v>98.124405794020305</v>
      </c>
      <c r="AJ5800">
        <v>88.832606185006</v>
      </c>
      <c r="AK5800">
        <v>0.58997502649106204</v>
      </c>
      <c r="AL5800">
        <v>82.234192774967994</v>
      </c>
      <c r="AM5800">
        <v>85.858428899027601</v>
      </c>
      <c r="AN5800">
        <v>1.0000000498044499</v>
      </c>
    </row>
    <row r="5801" spans="1:40" x14ac:dyDescent="0.25">
      <c r="A5801" t="str">
        <f>"20190312164426200"</f>
        <v>20190312164426200</v>
      </c>
      <c r="B5801" t="str">
        <f>"1552380266190661"</f>
        <v>1552380266190661</v>
      </c>
      <c r="C5801" t="s">
        <v>40</v>
      </c>
      <c r="D5801">
        <v>5.2727339999999998</v>
      </c>
      <c r="E5801">
        <v>0.48555219999999999</v>
      </c>
      <c r="F5801" t="s">
        <v>41</v>
      </c>
      <c r="G5801">
        <v>-116.61409999999999</v>
      </c>
      <c r="H5801">
        <v>1.033652</v>
      </c>
      <c r="I5801">
        <v>138.72579999999999</v>
      </c>
      <c r="J5801">
        <v>-117.0676</v>
      </c>
      <c r="K5801">
        <v>1.1104069999999999</v>
      </c>
      <c r="L5801">
        <v>138.73060000000001</v>
      </c>
      <c r="M5801">
        <v>0.99975199999999997</v>
      </c>
      <c r="N5801">
        <v>0</v>
      </c>
      <c r="O5801">
        <v>1.7557570000000002E-2</v>
      </c>
      <c r="P5801">
        <v>0.99099570000000003</v>
      </c>
      <c r="Q5801">
        <v>0.1223578</v>
      </c>
      <c r="R5801">
        <v>-5.4372030000000002E-2</v>
      </c>
      <c r="S5801">
        <v>3.061096</v>
      </c>
      <c r="T5801">
        <v>-0.27114700000000003</v>
      </c>
      <c r="U5801">
        <v>9.2010500000000005E-3</v>
      </c>
      <c r="V5801">
        <v>7.1750250000000002E-2</v>
      </c>
      <c r="W5801">
        <v>0.13592309999999999</v>
      </c>
      <c r="X5801">
        <v>0.98811780000000005</v>
      </c>
      <c r="Y5801">
        <v>1.442858E-2</v>
      </c>
      <c r="Z5801">
        <v>-2.1900349999999999E-3</v>
      </c>
      <c r="AA5801">
        <v>0.99989349999999999</v>
      </c>
      <c r="AB5801">
        <v>32</v>
      </c>
      <c r="AC5801">
        <v>0.45350000000000501</v>
      </c>
      <c r="AD5801">
        <v>-7.6754999999999907E-2</v>
      </c>
      <c r="AE5801">
        <v>-4.8000000000172297E-3</v>
      </c>
      <c r="AF5801">
        <v>1.2406998414265199E-2</v>
      </c>
      <c r="AG5801">
        <v>-7.6754999999999907E-2</v>
      </c>
      <c r="AH5801">
        <v>0.44072242859662297</v>
      </c>
      <c r="AI5801">
        <v>99.875551458559997</v>
      </c>
      <c r="AJ5801">
        <v>88.387463629675196</v>
      </c>
      <c r="AK5801">
        <v>0.44752823676585701</v>
      </c>
      <c r="AL5801">
        <v>82.187998232808695</v>
      </c>
      <c r="AM5801">
        <v>85.846867646437701</v>
      </c>
      <c r="AN5801">
        <v>0.99999998708275595</v>
      </c>
    </row>
    <row r="5802" spans="1:40" x14ac:dyDescent="0.25">
      <c r="A5802" t="str">
        <f>"20190312164426224"</f>
        <v>20190312164426224</v>
      </c>
      <c r="B5802" t="str">
        <f>"1552380266220916"</f>
        <v>1552380266220916</v>
      </c>
      <c r="C5802" t="s">
        <v>40</v>
      </c>
      <c r="D5802">
        <v>5.5195919999999896</v>
      </c>
      <c r="E5802">
        <v>0.48590549999999999</v>
      </c>
      <c r="F5802" t="s">
        <v>41</v>
      </c>
      <c r="G5802">
        <v>-116.3203</v>
      </c>
      <c r="H5802">
        <v>1.0449569999999999</v>
      </c>
      <c r="I5802">
        <v>138.7311</v>
      </c>
      <c r="J5802">
        <v>-116.7346</v>
      </c>
      <c r="K5802">
        <v>1.110384</v>
      </c>
      <c r="L5802">
        <v>138.73650000000001</v>
      </c>
      <c r="M5802">
        <v>0.99975239999999999</v>
      </c>
      <c r="N5802">
        <v>0</v>
      </c>
      <c r="O5802">
        <v>1.7532389999999998E-2</v>
      </c>
      <c r="P5802">
        <v>0.99100619999999995</v>
      </c>
      <c r="Q5802">
        <v>0.12220350000000001</v>
      </c>
      <c r="R5802">
        <v>-5.4528720000000003E-2</v>
      </c>
      <c r="S5802">
        <v>3.0605009999999999</v>
      </c>
      <c r="T5802">
        <v>-0.26813749999999997</v>
      </c>
      <c r="U5802">
        <v>2.5176999999999999E-3</v>
      </c>
      <c r="V5802">
        <v>7.1891399999999994E-2</v>
      </c>
      <c r="W5802">
        <v>0.1357611</v>
      </c>
      <c r="X5802">
        <v>0.98812979999999995</v>
      </c>
      <c r="Y5802">
        <v>1.6580839999999999E-2</v>
      </c>
      <c r="Z5802">
        <v>-2.2581519999999998E-3</v>
      </c>
      <c r="AA5802">
        <v>0.99985999999999997</v>
      </c>
      <c r="AB5802">
        <v>32</v>
      </c>
      <c r="AC5802">
        <v>0.414299999999997</v>
      </c>
      <c r="AD5802">
        <v>-6.5427000000000096E-2</v>
      </c>
      <c r="AE5802">
        <v>-5.4000000000087303E-3</v>
      </c>
      <c r="AF5802">
        <v>1.23554374629286E-2</v>
      </c>
      <c r="AG5802">
        <v>-6.5427000000000096E-2</v>
      </c>
      <c r="AH5802">
        <v>0.40406621043214502</v>
      </c>
      <c r="AI5802">
        <v>99.193365994317006</v>
      </c>
      <c r="AJ5802">
        <v>88.248569434974399</v>
      </c>
      <c r="AK5802">
        <v>0.40951538625171902</v>
      </c>
      <c r="AL5802">
        <v>82.197366903242397</v>
      </c>
      <c r="AM5802">
        <v>85.838776466360102</v>
      </c>
      <c r="AN5802">
        <v>0.99999997565760401</v>
      </c>
    </row>
    <row r="5803" spans="1:40" x14ac:dyDescent="0.25">
      <c r="A5803" t="str">
        <f>"20190312164426260"</f>
        <v>20190312164426260</v>
      </c>
      <c r="B5803" t="str">
        <f>"1552380266251173"</f>
        <v>1552380266251173</v>
      </c>
      <c r="C5803" t="s">
        <v>40</v>
      </c>
      <c r="D5803">
        <v>5.3919100000000002</v>
      </c>
      <c r="E5803">
        <v>0.48622749999999998</v>
      </c>
      <c r="F5803" t="s">
        <v>41</v>
      </c>
      <c r="G5803">
        <v>-115.76739999999999</v>
      </c>
      <c r="H5803">
        <v>1.025944</v>
      </c>
      <c r="I5803">
        <v>138.73580000000001</v>
      </c>
      <c r="J5803">
        <v>-116.2097</v>
      </c>
      <c r="K5803">
        <v>1.1103590000000001</v>
      </c>
      <c r="L5803">
        <v>138.7457</v>
      </c>
      <c r="M5803">
        <v>0.99975320000000001</v>
      </c>
      <c r="N5803">
        <v>0</v>
      </c>
      <c r="O5803">
        <v>1.7496290000000001E-2</v>
      </c>
      <c r="P5803">
        <v>0.9908245</v>
      </c>
      <c r="Q5803">
        <v>0.12350839999999901</v>
      </c>
      <c r="R5803">
        <v>-5.4891009999999997E-2</v>
      </c>
      <c r="S5803">
        <v>3.0600890000000001</v>
      </c>
      <c r="T5803">
        <v>-0.26723930000000001</v>
      </c>
      <c r="U5803">
        <v>-1.846313E-3</v>
      </c>
      <c r="V5803">
        <v>7.2222049999999996E-2</v>
      </c>
      <c r="W5803">
        <v>0.13705499999999901</v>
      </c>
      <c r="X5803">
        <v>0.98792709999999995</v>
      </c>
      <c r="Y5803">
        <v>1.796621E-2</v>
      </c>
      <c r="Z5803">
        <v>-2.3081550000000001E-3</v>
      </c>
      <c r="AA5803">
        <v>0.9998359</v>
      </c>
      <c r="AB5803">
        <v>32</v>
      </c>
      <c r="AC5803">
        <v>0.44230000000000202</v>
      </c>
      <c r="AD5803">
        <v>-8.4415000000000101E-2</v>
      </c>
      <c r="AE5803">
        <v>-9.8999999999875802E-3</v>
      </c>
      <c r="AF5803">
        <v>1.7018231684490098E-2</v>
      </c>
      <c r="AG5803">
        <v>-8.4415000000000101E-2</v>
      </c>
      <c r="AH5803">
        <v>0.42653026141547201</v>
      </c>
      <c r="AI5803">
        <v>101.186119420209</v>
      </c>
      <c r="AJ5803">
        <v>87.7151540933435</v>
      </c>
      <c r="AK5803">
        <v>0.43513627329587001</v>
      </c>
      <c r="AL5803">
        <v>82.122532789634803</v>
      </c>
      <c r="AM5803">
        <v>85.818850790584406</v>
      </c>
      <c r="AN5803">
        <v>1.0000000262227999</v>
      </c>
    </row>
    <row r="5804" spans="1:40" x14ac:dyDescent="0.25">
      <c r="A5804" t="str">
        <f>"20190312164426289"</f>
        <v>20190312164426289</v>
      </c>
      <c r="B5804" t="str">
        <f>"1552380266281428"</f>
        <v>1552380266281428</v>
      </c>
      <c r="C5804" t="s">
        <v>40</v>
      </c>
      <c r="D5804">
        <v>5.5130889999999999</v>
      </c>
      <c r="E5804">
        <v>0.48661769999999999</v>
      </c>
      <c r="F5804" t="s">
        <v>41</v>
      </c>
      <c r="G5804">
        <v>-115.4614</v>
      </c>
      <c r="H5804">
        <v>1.0459940000000001</v>
      </c>
      <c r="I5804">
        <v>138.74420000000001</v>
      </c>
      <c r="J5804">
        <v>-115.8197</v>
      </c>
      <c r="K5804">
        <v>1.1103559999999999</v>
      </c>
      <c r="L5804">
        <v>138.7526</v>
      </c>
      <c r="M5804">
        <v>0.99975340000000001</v>
      </c>
      <c r="N5804">
        <v>0</v>
      </c>
      <c r="O5804">
        <v>1.7481670000000001E-2</v>
      </c>
      <c r="P5804">
        <v>0.99066639999999995</v>
      </c>
      <c r="Q5804">
        <v>0.1246115</v>
      </c>
      <c r="R5804">
        <v>-5.5246480000000001E-2</v>
      </c>
      <c r="S5804">
        <v>3.0602719999999999</v>
      </c>
      <c r="T5804">
        <v>-0.26332080000000002</v>
      </c>
      <c r="U5804">
        <v>-5.9204100000000001E-3</v>
      </c>
      <c r="V5804">
        <v>7.2562390000000004E-2</v>
      </c>
      <c r="W5804">
        <v>0.1381521</v>
      </c>
      <c r="X5804">
        <v>0.98774930000000005</v>
      </c>
      <c r="Y5804">
        <v>1.9281739999999999E-2</v>
      </c>
      <c r="Z5804">
        <v>-2.3295400000000002E-3</v>
      </c>
      <c r="AA5804">
        <v>0.99981140000000002</v>
      </c>
      <c r="AB5804">
        <v>32</v>
      </c>
      <c r="AC5804">
        <v>0.35829999999999901</v>
      </c>
      <c r="AD5804">
        <v>-6.4361999999999794E-2</v>
      </c>
      <c r="AE5804">
        <v>-8.3999999999946305E-3</v>
      </c>
      <c r="AF5804">
        <v>1.42048815002116E-2</v>
      </c>
      <c r="AG5804">
        <v>-6.4361999999999794E-2</v>
      </c>
      <c r="AH5804">
        <v>0.34691058444515099</v>
      </c>
      <c r="AI5804">
        <v>100.501921736965</v>
      </c>
      <c r="AJ5804">
        <v>87.6552305103544</v>
      </c>
      <c r="AK5804">
        <v>0.35311641041236103</v>
      </c>
      <c r="AL5804">
        <v>82.059069611984398</v>
      </c>
      <c r="AM5804">
        <v>85.798464410184494</v>
      </c>
      <c r="AN5804">
        <v>0.99999999141370599</v>
      </c>
    </row>
    <row r="5805" spans="1:40" x14ac:dyDescent="0.25">
      <c r="A5805" t="str">
        <f>"20190312164426312"</f>
        <v>20190312164426312</v>
      </c>
      <c r="B5805" t="str">
        <f>"1552380266300949"</f>
        <v>1552380266300949</v>
      </c>
      <c r="C5805" t="s">
        <v>40</v>
      </c>
      <c r="D5805">
        <v>5.5699779999999999</v>
      </c>
      <c r="E5805">
        <v>0.48677749999999997</v>
      </c>
      <c r="F5805" t="s">
        <v>41</v>
      </c>
      <c r="G5805">
        <v>-114.9157</v>
      </c>
      <c r="H5805">
        <v>1.0328299999999999</v>
      </c>
      <c r="I5805">
        <v>138.74969999999999</v>
      </c>
      <c r="J5805">
        <v>-115.4851</v>
      </c>
      <c r="K5805">
        <v>1.1103540000000001</v>
      </c>
      <c r="L5805">
        <v>138.75839999999999</v>
      </c>
      <c r="M5805">
        <v>0.99975360000000002</v>
      </c>
      <c r="N5805">
        <v>0</v>
      </c>
      <c r="O5805">
        <v>1.7476459999999999E-2</v>
      </c>
      <c r="P5805">
        <v>0.99068389999999995</v>
      </c>
      <c r="Q5805">
        <v>0.1242601</v>
      </c>
      <c r="R5805">
        <v>-5.572589E-2</v>
      </c>
      <c r="S5805">
        <v>3.0607600000000001</v>
      </c>
      <c r="T5805">
        <v>-0.26253349999999998</v>
      </c>
      <c r="U5805">
        <v>-9.3383790000000008E-3</v>
      </c>
      <c r="V5805">
        <v>7.3037560000000001E-2</v>
      </c>
      <c r="W5805">
        <v>0.1377979</v>
      </c>
      <c r="X5805">
        <v>0.98776379999999997</v>
      </c>
      <c r="Y5805">
        <v>2.0389500000000001E-2</v>
      </c>
      <c r="Z5805">
        <v>-2.3692069999999999E-3</v>
      </c>
      <c r="AA5805">
        <v>0.99978929999999999</v>
      </c>
      <c r="AB5805">
        <v>32</v>
      </c>
      <c r="AC5805">
        <v>0.56940000000000102</v>
      </c>
      <c r="AD5805">
        <v>-7.7524000000000107E-2</v>
      </c>
      <c r="AE5805">
        <v>-8.7000000000045895E-3</v>
      </c>
      <c r="AF5805">
        <v>1.83113429287593E-2</v>
      </c>
      <c r="AG5805">
        <v>-7.7524000000000107E-2</v>
      </c>
      <c r="AH5805">
        <v>0.55880486300707199</v>
      </c>
      <c r="AI5805">
        <v>97.894148131358307</v>
      </c>
      <c r="AJ5805">
        <v>88.123159888472898</v>
      </c>
      <c r="AK5805">
        <v>0.564453851768422</v>
      </c>
      <c r="AL5805">
        <v>82.079560102419407</v>
      </c>
      <c r="AM5805">
        <v>85.771112280426905</v>
      </c>
      <c r="AN5805">
        <v>1.0000000355028</v>
      </c>
    </row>
    <row r="5806" spans="1:40" x14ac:dyDescent="0.25">
      <c r="A5806" t="str">
        <f>"20190312164426336"</f>
        <v>20190312164426336</v>
      </c>
      <c r="B5806" t="str">
        <f>"1552380266331205"</f>
        <v>1552380266331205</v>
      </c>
      <c r="C5806" t="s">
        <v>40</v>
      </c>
      <c r="D5806">
        <v>5.3554659999999998</v>
      </c>
      <c r="E5806">
        <v>0.48693979999999998</v>
      </c>
      <c r="F5806" t="s">
        <v>41</v>
      </c>
      <c r="G5806">
        <v>-114.6313</v>
      </c>
      <c r="H5806">
        <v>1.0370649999999999</v>
      </c>
      <c r="I5806">
        <v>138.75479999999999</v>
      </c>
      <c r="J5806">
        <v>-115.164</v>
      </c>
      <c r="K5806">
        <v>1.1103499999999999</v>
      </c>
      <c r="L5806">
        <v>138.76400000000001</v>
      </c>
      <c r="M5806">
        <v>0.99975369999999997</v>
      </c>
      <c r="N5806">
        <v>0</v>
      </c>
      <c r="O5806">
        <v>1.747479E-2</v>
      </c>
      <c r="P5806">
        <v>0.99065689999999995</v>
      </c>
      <c r="Q5806">
        <v>0.124171</v>
      </c>
      <c r="R5806">
        <v>-5.64003E-2</v>
      </c>
      <c r="S5806">
        <v>3.0604710000000002</v>
      </c>
      <c r="T5806">
        <v>-0.26282450000000002</v>
      </c>
      <c r="U5806">
        <v>-1.2451169999999999E-2</v>
      </c>
      <c r="V5806">
        <v>7.3710159999999997E-2</v>
      </c>
      <c r="W5806">
        <v>0.13770579999999999</v>
      </c>
      <c r="X5806">
        <v>0.98772660000000001</v>
      </c>
      <c r="Y5806">
        <v>2.140092E-2</v>
      </c>
      <c r="Z5806">
        <v>-2.4152520000000001E-3</v>
      </c>
      <c r="AA5806">
        <v>0.99976810000000005</v>
      </c>
      <c r="AB5806">
        <v>32</v>
      </c>
      <c r="AC5806">
        <v>0.53270000000000495</v>
      </c>
      <c r="AD5806">
        <v>-7.3285000000000003E-2</v>
      </c>
      <c r="AE5806">
        <v>-9.2000000000211895E-3</v>
      </c>
      <c r="AF5806">
        <v>1.8164601412721498E-2</v>
      </c>
      <c r="AG5806">
        <v>-7.3285000000000003E-2</v>
      </c>
      <c r="AH5806">
        <v>0.52257050472147804</v>
      </c>
      <c r="AI5806">
        <v>97.978309278386604</v>
      </c>
      <c r="AJ5806">
        <v>88.009194696878794</v>
      </c>
      <c r="AK5806">
        <v>0.52799675792029499</v>
      </c>
      <c r="AL5806">
        <v>82.084887198256396</v>
      </c>
      <c r="AM5806">
        <v>85.732151712375099</v>
      </c>
      <c r="AN5806">
        <v>0.99999995569421096</v>
      </c>
    </row>
    <row r="5807" spans="1:40" x14ac:dyDescent="0.25">
      <c r="A5807" t="str">
        <f>"20190312164426358"</f>
        <v>20190312164426358</v>
      </c>
      <c r="B5807" t="str">
        <f>"1552380266350725"</f>
        <v>1552380266350725</v>
      </c>
      <c r="C5807" t="s">
        <v>40</v>
      </c>
      <c r="D5807">
        <v>5.262734</v>
      </c>
      <c r="E5807">
        <v>0.48679620000000001</v>
      </c>
      <c r="F5807" t="s">
        <v>41</v>
      </c>
      <c r="G5807">
        <v>-114.346</v>
      </c>
      <c r="H5807">
        <v>1.040646</v>
      </c>
      <c r="I5807">
        <v>138.75960000000001</v>
      </c>
      <c r="J5807">
        <v>-114.83669999999999</v>
      </c>
      <c r="K5807">
        <v>1.1103499999999999</v>
      </c>
      <c r="L5807">
        <v>138.7697</v>
      </c>
      <c r="M5807">
        <v>0.99975400000000003</v>
      </c>
      <c r="N5807">
        <v>0</v>
      </c>
      <c r="O5807">
        <v>1.7462559999999999E-2</v>
      </c>
      <c r="P5807">
        <v>0.99068000000000001</v>
      </c>
      <c r="Q5807">
        <v>0.123642</v>
      </c>
      <c r="R5807">
        <v>-5.7152380000000003E-2</v>
      </c>
      <c r="S5807">
        <v>3.0600589999999999</v>
      </c>
      <c r="T5807">
        <v>-0.26078669999999998</v>
      </c>
      <c r="U5807">
        <v>-1.6281130000000001E-2</v>
      </c>
      <c r="V5807">
        <v>7.445214E-2</v>
      </c>
      <c r="W5807">
        <v>0.13717399999999999</v>
      </c>
      <c r="X5807">
        <v>0.98774499999999998</v>
      </c>
      <c r="Y5807">
        <v>2.2638220000000001E-2</v>
      </c>
      <c r="Z5807">
        <v>-2.4484979999999999E-3</v>
      </c>
      <c r="AA5807">
        <v>0.99974070000000004</v>
      </c>
      <c r="AB5807">
        <v>32</v>
      </c>
      <c r="AC5807">
        <v>0.49069999999998898</v>
      </c>
      <c r="AD5807">
        <v>-6.9703999999999905E-2</v>
      </c>
      <c r="AE5807">
        <v>-1.00999999999942E-2</v>
      </c>
      <c r="AF5807">
        <v>1.82990528132214E-2</v>
      </c>
      <c r="AG5807">
        <v>-6.9703999999999905E-2</v>
      </c>
      <c r="AH5807">
        <v>0.480752150349264</v>
      </c>
      <c r="AI5807">
        <v>98.243908715272298</v>
      </c>
      <c r="AJ5807">
        <v>87.820181165466906</v>
      </c>
      <c r="AK5807">
        <v>0.48612357792571897</v>
      </c>
      <c r="AL5807">
        <v>82.115649422894293</v>
      </c>
      <c r="AM5807">
        <v>85.689431894699993</v>
      </c>
      <c r="AN5807">
        <v>1.0000000062257799</v>
      </c>
    </row>
    <row r="5808" spans="1:40" x14ac:dyDescent="0.25">
      <c r="A5808" t="str">
        <f>"20190312164426396"</f>
        <v>20190312164426396</v>
      </c>
      <c r="B5808" t="str">
        <f>"1552380266390741"</f>
        <v>1552380266390741</v>
      </c>
      <c r="C5808" t="s">
        <v>40</v>
      </c>
      <c r="D5808">
        <v>5.1627900000000002</v>
      </c>
      <c r="E5808">
        <v>0.48629660000000002</v>
      </c>
      <c r="F5808" t="s">
        <v>41</v>
      </c>
      <c r="G5808">
        <v>-114.0612</v>
      </c>
      <c r="H5808">
        <v>1.0438780000000001</v>
      </c>
      <c r="I5808">
        <v>138.76509999999999</v>
      </c>
      <c r="J5808">
        <v>-114.3094</v>
      </c>
      <c r="K5808">
        <v>1.110314</v>
      </c>
      <c r="L5808">
        <v>138.77889999999999</v>
      </c>
      <c r="M5808">
        <v>0.99975590000000003</v>
      </c>
      <c r="N5808">
        <v>0</v>
      </c>
      <c r="O5808">
        <v>1.734836E-2</v>
      </c>
      <c r="P5808">
        <v>0.99043230000000004</v>
      </c>
      <c r="Q5808">
        <v>0.12518609999999999</v>
      </c>
      <c r="R5808">
        <v>-5.8070829999999997E-2</v>
      </c>
      <c r="S5808">
        <v>3.0599370000000001</v>
      </c>
      <c r="T5808">
        <v>-0.26242470000000001</v>
      </c>
      <c r="U5808">
        <v>-1.7715450000000001E-2</v>
      </c>
      <c r="V5808">
        <v>7.5268089999999996E-2</v>
      </c>
      <c r="W5808">
        <v>0.13870279999999999</v>
      </c>
      <c r="X5808">
        <v>0.98746959999999995</v>
      </c>
      <c r="Y5808">
        <v>2.2990139999999999E-2</v>
      </c>
      <c r="Z5808">
        <v>-2.4692049999999999E-3</v>
      </c>
      <c r="AA5808">
        <v>0.99973259999999997</v>
      </c>
      <c r="AB5808">
        <v>32</v>
      </c>
      <c r="AC5808">
        <v>0.24819999999999701</v>
      </c>
      <c r="AD5808">
        <v>-6.6435999999999898E-2</v>
      </c>
      <c r="AE5808">
        <v>-1.3800000000003299E-2</v>
      </c>
      <c r="AF5808">
        <v>1.6897266385432999E-2</v>
      </c>
      <c r="AG5808">
        <v>-6.6435999999999898E-2</v>
      </c>
      <c r="AH5808">
        <v>0.231395318752908</v>
      </c>
      <c r="AI5808">
        <v>105.978956018193</v>
      </c>
      <c r="AJ5808">
        <v>85.823482104520707</v>
      </c>
      <c r="AK5808">
        <v>0.24133597586779401</v>
      </c>
      <c r="AL5808">
        <v>82.027210021046599</v>
      </c>
      <c r="AM5808">
        <v>85.641161046140994</v>
      </c>
      <c r="AN5808">
        <v>0.99999998151212299</v>
      </c>
    </row>
    <row r="5809" spans="1:40" x14ac:dyDescent="0.25">
      <c r="A5809" t="str">
        <f>"20190312164426440"</f>
        <v>20190312164426440</v>
      </c>
      <c r="B5809" t="str">
        <f>"1552380266430757"</f>
        <v>1552380266430757</v>
      </c>
      <c r="C5809" t="s">
        <v>40</v>
      </c>
      <c r="D5809">
        <v>5.2187619999999999</v>
      </c>
      <c r="E5809">
        <v>0.48581980000000002</v>
      </c>
      <c r="F5809" t="s">
        <v>41</v>
      </c>
      <c r="G5809">
        <v>-113.49930000000001</v>
      </c>
      <c r="H5809">
        <v>1.042611</v>
      </c>
      <c r="I5809">
        <v>138.774</v>
      </c>
      <c r="J5809">
        <v>-113.68129999999999</v>
      </c>
      <c r="K5809">
        <v>1.110217</v>
      </c>
      <c r="L5809">
        <v>138.7894</v>
      </c>
      <c r="M5809">
        <v>0.99976200000000004</v>
      </c>
      <c r="N5809">
        <v>0</v>
      </c>
      <c r="O5809">
        <v>1.6990160000000001E-2</v>
      </c>
      <c r="P5809">
        <v>0.99000630000000001</v>
      </c>
      <c r="Q5809">
        <v>0.12817890000000001</v>
      </c>
      <c r="R5809">
        <v>-5.8801569999999997E-2</v>
      </c>
      <c r="S5809">
        <v>3.0602420000000001</v>
      </c>
      <c r="T5809">
        <v>-0.25585279999999999</v>
      </c>
      <c r="U5809">
        <v>-1.8280029999999999E-2</v>
      </c>
      <c r="V5809">
        <v>7.5673069999999995E-2</v>
      </c>
      <c r="W5809">
        <v>0.14166679999999901</v>
      </c>
      <c r="X5809">
        <v>0.98701779999999995</v>
      </c>
      <c r="Y5809">
        <v>2.282497E-2</v>
      </c>
      <c r="Z5809">
        <v>-2.3705589999999999E-3</v>
      </c>
      <c r="AA5809">
        <v>0.99973670000000003</v>
      </c>
      <c r="AB5809">
        <v>32</v>
      </c>
      <c r="AC5809">
        <v>0.18199999999998701</v>
      </c>
      <c r="AD5809">
        <v>-6.7605999999999999E-2</v>
      </c>
      <c r="AE5809">
        <v>-1.53999999999996E-2</v>
      </c>
      <c r="AF5809">
        <v>1.6262295874899701E-2</v>
      </c>
      <c r="AG5809">
        <v>-6.7605999999999999E-2</v>
      </c>
      <c r="AH5809">
        <v>0.15981671891913601</v>
      </c>
      <c r="AI5809">
        <v>112.82373806208101</v>
      </c>
      <c r="AJ5809">
        <v>84.189814072535597</v>
      </c>
      <c r="AK5809">
        <v>0.17428831615802901</v>
      </c>
      <c r="AL5809">
        <v>81.855691864635901</v>
      </c>
      <c r="AM5809">
        <v>85.615801322523197</v>
      </c>
      <c r="AN5809">
        <v>1.00000001663115</v>
      </c>
    </row>
    <row r="5810" spans="1:40" x14ac:dyDescent="0.25">
      <c r="A5810" t="str">
        <f>"20190312164426473"</f>
        <v>20190312164426473</v>
      </c>
      <c r="B5810" t="str">
        <f>"1552380266461012"</f>
        <v>1552380266461012</v>
      </c>
      <c r="C5810" t="s">
        <v>40</v>
      </c>
      <c r="D5810">
        <v>5.09429</v>
      </c>
      <c r="E5810">
        <v>0.4855139</v>
      </c>
      <c r="F5810" t="s">
        <v>42</v>
      </c>
      <c r="G5810">
        <v>-99.782570000000007</v>
      </c>
      <c r="H5810" s="1">
        <v>-3.0086699999999999E-7</v>
      </c>
      <c r="I5810">
        <v>138.71129999999999</v>
      </c>
      <c r="J5810">
        <v>-113.226</v>
      </c>
      <c r="K5810">
        <v>1.110128</v>
      </c>
      <c r="L5810">
        <v>138.79660000000001</v>
      </c>
      <c r="M5810">
        <v>0.9997703</v>
      </c>
      <c r="N5810">
        <v>0</v>
      </c>
      <c r="O5810">
        <v>1.6499860000000002E-2</v>
      </c>
      <c r="P5810">
        <v>0.98985069999999997</v>
      </c>
      <c r="Q5810">
        <v>0.12925029999999901</v>
      </c>
      <c r="R5810">
        <v>-5.9076910000000003E-2</v>
      </c>
      <c r="S5810">
        <v>3.0609280000000001</v>
      </c>
      <c r="T5810">
        <v>-0.24450350000000001</v>
      </c>
      <c r="U5810">
        <v>-1.7196659999999999E-2</v>
      </c>
      <c r="V5810">
        <v>7.5495469999999995E-2</v>
      </c>
      <c r="W5810">
        <v>0.14271600000000001</v>
      </c>
      <c r="X5810">
        <v>0.98688019999999999</v>
      </c>
      <c r="Y5810">
        <v>2.1995790000000001E-2</v>
      </c>
      <c r="Z5810">
        <v>-2.1930729999999998E-3</v>
      </c>
      <c r="AA5810">
        <v>0.99975570000000002</v>
      </c>
      <c r="AB5810">
        <v>31</v>
      </c>
      <c r="AC5810">
        <v>13.443429999999999</v>
      </c>
      <c r="AD5810">
        <v>-1.110128300867</v>
      </c>
      <c r="AE5810">
        <v>-8.5300000000017903E-2</v>
      </c>
      <c r="AF5810">
        <v>0.30504381629740801</v>
      </c>
      <c r="AG5810">
        <v>-1.110128300867</v>
      </c>
      <c r="AH5810">
        <v>13.349166557093801</v>
      </c>
      <c r="AI5810">
        <v>94.752593265568095</v>
      </c>
      <c r="AJ5810">
        <v>88.690953328468296</v>
      </c>
      <c r="AK5810">
        <v>13.398719503865999</v>
      </c>
      <c r="AL5810">
        <v>81.794959709320906</v>
      </c>
      <c r="AM5810">
        <v>85.625443298895505</v>
      </c>
      <c r="AN5810">
        <v>0.99999997589928002</v>
      </c>
    </row>
    <row r="5811" spans="1:40" x14ac:dyDescent="0.25">
      <c r="A5811" t="str">
        <f>"20190312164426494"</f>
        <v>20190312164426494</v>
      </c>
      <c r="B5811" t="str">
        <f>"1552380266481509"</f>
        <v>1552380266481509</v>
      </c>
      <c r="C5811" t="s">
        <v>40</v>
      </c>
      <c r="D5811">
        <v>5.0488730000000004</v>
      </c>
      <c r="E5811">
        <v>0.48546050000000002</v>
      </c>
      <c r="F5811" t="s">
        <v>41</v>
      </c>
      <c r="G5811">
        <v>-112.37479999999999</v>
      </c>
      <c r="H5811">
        <v>1.04331</v>
      </c>
      <c r="I5811">
        <v>138.7921</v>
      </c>
      <c r="J5811">
        <v>-112.93519999999999</v>
      </c>
      <c r="K5811">
        <v>1.1100669999999999</v>
      </c>
      <c r="L5811">
        <v>138.80099999999999</v>
      </c>
      <c r="M5811">
        <v>0.99977729999999998</v>
      </c>
      <c r="N5811">
        <v>0</v>
      </c>
      <c r="O5811">
        <v>1.6079980000000001E-2</v>
      </c>
      <c r="P5811">
        <v>0.98965919999999996</v>
      </c>
      <c r="Q5811">
        <v>0.13063330000000001</v>
      </c>
      <c r="R5811">
        <v>-5.9243669999999998E-2</v>
      </c>
      <c r="S5811">
        <v>3.061188</v>
      </c>
      <c r="T5811">
        <v>-0.24036840000000001</v>
      </c>
      <c r="U5811">
        <v>-1.6052250000000001E-2</v>
      </c>
      <c r="V5811">
        <v>7.5269550000000005E-2</v>
      </c>
      <c r="W5811">
        <v>0.14408270000000001</v>
      </c>
      <c r="X5811">
        <v>0.98669890000000005</v>
      </c>
      <c r="Y5811">
        <v>2.1209539999999999E-2</v>
      </c>
      <c r="Z5811">
        <v>-2.0921770000000002E-3</v>
      </c>
      <c r="AA5811">
        <v>0.99977280000000002</v>
      </c>
      <c r="AB5811">
        <v>31</v>
      </c>
      <c r="AC5811">
        <v>0.56040000000000101</v>
      </c>
      <c r="AD5811">
        <v>-6.67569999999999E-2</v>
      </c>
      <c r="AE5811">
        <v>-8.9000000000112305E-3</v>
      </c>
      <c r="AF5811">
        <v>1.7660365547084E-2</v>
      </c>
      <c r="AG5811">
        <v>-6.67569999999999E-2</v>
      </c>
      <c r="AH5811">
        <v>0.55234829041337097</v>
      </c>
      <c r="AI5811">
        <v>96.887876370702401</v>
      </c>
      <c r="AJ5811">
        <v>88.168692048623697</v>
      </c>
      <c r="AK5811">
        <v>0.55664802117930001</v>
      </c>
      <c r="AL5811">
        <v>81.715836210802394</v>
      </c>
      <c r="AM5811">
        <v>85.637685250977697</v>
      </c>
      <c r="AN5811">
        <v>1.0000000244288501</v>
      </c>
    </row>
    <row r="5812" spans="1:40" x14ac:dyDescent="0.25">
      <c r="A5812" t="str">
        <f>"20190312164426513"</f>
        <v>20190312164426513</v>
      </c>
      <c r="B5812" t="str">
        <f>"1552380266501029"</f>
        <v>1552380266501029</v>
      </c>
      <c r="C5812" t="s">
        <v>40</v>
      </c>
      <c r="D5812">
        <v>5.0354890000000001</v>
      </c>
      <c r="E5812">
        <v>0.48531000000000002</v>
      </c>
      <c r="F5812" t="s">
        <v>41</v>
      </c>
      <c r="G5812">
        <v>-112.09269999999999</v>
      </c>
      <c r="H5812">
        <v>1.0450330000000001</v>
      </c>
      <c r="I5812">
        <v>138.79640000000001</v>
      </c>
      <c r="J5812">
        <v>-112.6555</v>
      </c>
      <c r="K5812">
        <v>1.1100080000000001</v>
      </c>
      <c r="L5812">
        <v>138.80510000000001</v>
      </c>
      <c r="M5812">
        <v>0.99978480000000003</v>
      </c>
      <c r="N5812">
        <v>0</v>
      </c>
      <c r="O5812">
        <v>1.559579E-2</v>
      </c>
      <c r="P5812">
        <v>0.98943820000000005</v>
      </c>
      <c r="Q5812">
        <v>0.13214690000000001</v>
      </c>
      <c r="R5812">
        <v>-5.9581759999999998E-2</v>
      </c>
      <c r="S5812">
        <v>3.0615389999999998</v>
      </c>
      <c r="T5812">
        <v>-0.2363595</v>
      </c>
      <c r="U5812">
        <v>-1.6799930000000001E-2</v>
      </c>
      <c r="V5812">
        <v>7.5151319999999994E-2</v>
      </c>
      <c r="W5812">
        <v>0.14557970000000001</v>
      </c>
      <c r="X5812">
        <v>0.98648809999999998</v>
      </c>
      <c r="Y5812">
        <v>2.097485E-2</v>
      </c>
      <c r="Z5812">
        <v>-2.0107800000000002E-3</v>
      </c>
      <c r="AA5812">
        <v>0.99977800000000006</v>
      </c>
      <c r="AB5812">
        <v>31</v>
      </c>
      <c r="AC5812">
        <v>0.56280000000000996</v>
      </c>
      <c r="AD5812">
        <v>-6.49749999999997E-2</v>
      </c>
      <c r="AE5812">
        <v>-8.7000000000045895E-3</v>
      </c>
      <c r="AF5812">
        <v>1.7247246983222199E-2</v>
      </c>
      <c r="AG5812">
        <v>-6.49749999999997E-2</v>
      </c>
      <c r="AH5812">
        <v>0.55519760581945099</v>
      </c>
      <c r="AI5812">
        <v>96.671795476742304</v>
      </c>
      <c r="AJ5812">
        <v>88.220675391578993</v>
      </c>
      <c r="AK5812">
        <v>0.55925271538111498</v>
      </c>
      <c r="AL5812">
        <v>81.629149987268207</v>
      </c>
      <c r="AM5812">
        <v>85.643583859537998</v>
      </c>
      <c r="AN5812">
        <v>0.99999997069572</v>
      </c>
    </row>
    <row r="5813" spans="1:40" x14ac:dyDescent="0.25">
      <c r="A5813" t="str">
        <f>"20190312164426539"</f>
        <v>20190312164426539</v>
      </c>
      <c r="B5813" t="str">
        <f>"1552380266531285"</f>
        <v>1552380266531285</v>
      </c>
      <c r="C5813" t="s">
        <v>40</v>
      </c>
      <c r="D5813">
        <v>4.9887589999999999</v>
      </c>
      <c r="E5813">
        <v>0.48505320000000002</v>
      </c>
      <c r="F5813" t="s">
        <v>41</v>
      </c>
      <c r="G5813">
        <v>-111.81140000000001</v>
      </c>
      <c r="H5813">
        <v>1.0461180000000001</v>
      </c>
      <c r="I5813">
        <v>138.8004</v>
      </c>
      <c r="J5813">
        <v>-112.3061</v>
      </c>
      <c r="K5813">
        <v>1.1099239999999999</v>
      </c>
      <c r="L5813">
        <v>138.8098</v>
      </c>
      <c r="M5813">
        <v>0.99979580000000001</v>
      </c>
      <c r="N5813">
        <v>0</v>
      </c>
      <c r="O5813">
        <v>1.4882899999999999E-2</v>
      </c>
      <c r="P5813">
        <v>0.98921530000000002</v>
      </c>
      <c r="Q5813">
        <v>0.13351170000000001</v>
      </c>
      <c r="R5813">
        <v>-6.0230819999999997E-2</v>
      </c>
      <c r="S5813">
        <v>3.0619809999999998</v>
      </c>
      <c r="T5813">
        <v>-0.23185</v>
      </c>
      <c r="U5813">
        <v>-1.672363E-2</v>
      </c>
      <c r="V5813">
        <v>7.5126020000000002E-2</v>
      </c>
      <c r="W5813">
        <v>0.14692459999999999</v>
      </c>
      <c r="X5813">
        <v>0.98629060000000002</v>
      </c>
      <c r="Y5813">
        <v>2.024453E-2</v>
      </c>
      <c r="Z5813">
        <v>-1.89073E-3</v>
      </c>
      <c r="AA5813">
        <v>0.9997933</v>
      </c>
      <c r="AB5813">
        <v>31</v>
      </c>
      <c r="AC5813">
        <v>0.49469999999999398</v>
      </c>
      <c r="AD5813">
        <v>-6.3805999999999793E-2</v>
      </c>
      <c r="AE5813">
        <v>-9.3999999999994002E-3</v>
      </c>
      <c r="AF5813">
        <v>1.6488027589299199E-2</v>
      </c>
      <c r="AG5813">
        <v>-6.3805999999999793E-2</v>
      </c>
      <c r="AH5813">
        <v>0.48641636469379401</v>
      </c>
      <c r="AI5813">
        <v>97.468903266381204</v>
      </c>
      <c r="AJ5813">
        <v>88.058591584634897</v>
      </c>
      <c r="AK5813">
        <v>0.49086040839704298</v>
      </c>
      <c r="AL5813">
        <v>81.551255153647304</v>
      </c>
      <c r="AM5813">
        <v>85.644176118642207</v>
      </c>
      <c r="AN5813">
        <v>0.99999995230727901</v>
      </c>
    </row>
    <row r="5814" spans="1:40" x14ac:dyDescent="0.25">
      <c r="A5814" t="str">
        <f>"20190312164426574"</f>
        <v>20190312164426574</v>
      </c>
      <c r="B5814" t="str">
        <f>"1552380266571301"</f>
        <v>1552380266571301</v>
      </c>
      <c r="C5814" t="s">
        <v>40</v>
      </c>
      <c r="D5814">
        <v>5.0247919999999997</v>
      </c>
      <c r="E5814">
        <v>0.48479800000000001</v>
      </c>
      <c r="F5814" t="s">
        <v>42</v>
      </c>
      <c r="G5814">
        <v>-97.303280000000001</v>
      </c>
      <c r="H5814" s="1">
        <v>-1.297044E-6</v>
      </c>
      <c r="I5814">
        <v>138.72649999999999</v>
      </c>
      <c r="J5814">
        <v>-111.8169</v>
      </c>
      <c r="K5814">
        <v>1.1098049999999999</v>
      </c>
      <c r="L5814">
        <v>138.8158</v>
      </c>
      <c r="M5814">
        <v>0.99981299999999995</v>
      </c>
      <c r="N5814">
        <v>0</v>
      </c>
      <c r="O5814">
        <v>1.3680929999999999E-2</v>
      </c>
      <c r="P5814">
        <v>0.98886830000000003</v>
      </c>
      <c r="Q5814">
        <v>0.1356733</v>
      </c>
      <c r="R5814">
        <v>-6.1095919999999998E-2</v>
      </c>
      <c r="S5814">
        <v>3.0622560000000001</v>
      </c>
      <c r="T5814">
        <v>-0.22654820000000001</v>
      </c>
      <c r="U5814">
        <v>-1.6998289999999999E-2</v>
      </c>
      <c r="V5814">
        <v>7.484304E-2</v>
      </c>
      <c r="W5814">
        <v>0.14905950000000001</v>
      </c>
      <c r="X5814">
        <v>0.98599179999999997</v>
      </c>
      <c r="Y5814">
        <v>1.9142590000000001E-2</v>
      </c>
      <c r="Z5814">
        <v>-1.7179389999999999E-3</v>
      </c>
      <c r="AA5814">
        <v>0.99981529999999996</v>
      </c>
      <c r="AB5814">
        <v>31</v>
      </c>
      <c r="AC5814">
        <v>14.51362</v>
      </c>
      <c r="AD5814">
        <v>-1.1098062970439999</v>
      </c>
      <c r="AE5814">
        <v>-8.9300000000008595E-2</v>
      </c>
      <c r="AF5814">
        <v>0.286196641978059</v>
      </c>
      <c r="AG5814">
        <v>-1.1098062970439999</v>
      </c>
      <c r="AH5814">
        <v>14.4266880687184</v>
      </c>
      <c r="AI5814">
        <v>94.398084489419105</v>
      </c>
      <c r="AJ5814">
        <v>88.863515380631398</v>
      </c>
      <c r="AK5814">
        <v>14.472142452551401</v>
      </c>
      <c r="AL5814">
        <v>81.427573042248795</v>
      </c>
      <c r="AM5814">
        <v>85.659210541338197</v>
      </c>
      <c r="AN5814">
        <v>1.0000000224219601</v>
      </c>
    </row>
    <row r="5815" spans="1:40" x14ac:dyDescent="0.25">
      <c r="A5815" t="str">
        <f>"20190312164426603"</f>
        <v>20190312164426603</v>
      </c>
      <c r="B5815" t="str">
        <f>"1552380266601557"</f>
        <v>1552380266601557</v>
      </c>
      <c r="C5815" t="s">
        <v>40</v>
      </c>
      <c r="D5815">
        <v>5.0603420000000003</v>
      </c>
      <c r="E5815">
        <v>0.48472340000000003</v>
      </c>
      <c r="F5815" t="s">
        <v>42</v>
      </c>
      <c r="G5815">
        <v>-96.271739999999994</v>
      </c>
      <c r="H5815" s="1">
        <v>-1.7413609999999999E-6</v>
      </c>
      <c r="I5815">
        <v>138.71639999999999</v>
      </c>
      <c r="J5815">
        <v>-111.4058</v>
      </c>
      <c r="K5815">
        <v>1.109723</v>
      </c>
      <c r="L5815">
        <v>138.8203</v>
      </c>
      <c r="M5815">
        <v>0.99982789999999999</v>
      </c>
      <c r="N5815">
        <v>0</v>
      </c>
      <c r="O5815">
        <v>1.2539299999999899E-2</v>
      </c>
      <c r="P5815">
        <v>0.98876419999999998</v>
      </c>
      <c r="Q5815">
        <v>0.135999799999999</v>
      </c>
      <c r="R5815">
        <v>-6.2044790000000002E-2</v>
      </c>
      <c r="S5815">
        <v>3.0625460000000002</v>
      </c>
      <c r="T5815">
        <v>-0.21864220000000001</v>
      </c>
      <c r="U5815">
        <v>-1.9577029999999999E-2</v>
      </c>
      <c r="V5815">
        <v>7.4692629999999996E-2</v>
      </c>
      <c r="W5815">
        <v>0.14936969999999999</v>
      </c>
      <c r="X5815">
        <v>0.98595630000000001</v>
      </c>
      <c r="Y5815">
        <v>1.8852089999999998E-2</v>
      </c>
      <c r="Z5815">
        <v>-1.5662229999999901E-3</v>
      </c>
      <c r="AA5815">
        <v>0.99982110000000002</v>
      </c>
      <c r="AB5815">
        <v>31</v>
      </c>
      <c r="AC5815">
        <v>15.1340599999999</v>
      </c>
      <c r="AD5815">
        <v>-1.1097247413609901</v>
      </c>
      <c r="AE5815">
        <v>-0.10390000000001</v>
      </c>
      <c r="AF5815">
        <v>0.29210956307667602</v>
      </c>
      <c r="AG5815">
        <v>-1.1097247413609901</v>
      </c>
      <c r="AH5815">
        <v>15.050647266182301</v>
      </c>
      <c r="AI5815">
        <v>94.216150157739094</v>
      </c>
      <c r="AJ5815">
        <v>88.888117979005102</v>
      </c>
      <c r="AK5815">
        <v>15.0943300656064</v>
      </c>
      <c r="AL5815">
        <v>81.409598998560696</v>
      </c>
      <c r="AM5815">
        <v>85.667745477969007</v>
      </c>
      <c r="AN5815">
        <v>1.0000000608820401</v>
      </c>
    </row>
    <row r="5816" spans="1:40" x14ac:dyDescent="0.25">
      <c r="A5816" t="str">
        <f>"20190312164426735"</f>
        <v>20190312164426735</v>
      </c>
      <c r="B5816" t="str">
        <f>"1552380266731365"</f>
        <v>1552380266731365</v>
      </c>
      <c r="C5816" t="s">
        <v>40</v>
      </c>
      <c r="D5816">
        <v>4.8962180000000002</v>
      </c>
      <c r="E5816">
        <v>0.48640519999999998</v>
      </c>
      <c r="F5816" t="s">
        <v>41</v>
      </c>
      <c r="G5816">
        <v>-109.0215</v>
      </c>
      <c r="H5816">
        <v>1.0441210000000001</v>
      </c>
      <c r="I5816">
        <v>138.82130000000001</v>
      </c>
      <c r="J5816">
        <v>-109.5596</v>
      </c>
      <c r="K5816">
        <v>1.109572</v>
      </c>
      <c r="L5816">
        <v>138.8329</v>
      </c>
      <c r="M5816">
        <v>0.9998842</v>
      </c>
      <c r="N5816">
        <v>0</v>
      </c>
      <c r="O5816">
        <v>6.7035940000000002E-3</v>
      </c>
      <c r="P5816">
        <v>0.98913169999999995</v>
      </c>
      <c r="Q5816">
        <v>0.13199359999999999</v>
      </c>
      <c r="R5816">
        <v>-6.4776719999999996E-2</v>
      </c>
      <c r="S5816">
        <v>3.0619510000000001</v>
      </c>
      <c r="T5816">
        <v>-0.2267817</v>
      </c>
      <c r="U5816">
        <v>-3.4683230000000002E-2</v>
      </c>
      <c r="V5816">
        <v>7.1703970000000006E-2</v>
      </c>
      <c r="W5816">
        <v>0.1453458</v>
      </c>
      <c r="X5816">
        <v>0.98677919999999997</v>
      </c>
      <c r="Y5816">
        <v>1.796242E-2</v>
      </c>
      <c r="Z5816">
        <v>-1.1601090000000001E-3</v>
      </c>
      <c r="AA5816">
        <v>0.999838</v>
      </c>
      <c r="AB5816">
        <v>31</v>
      </c>
      <c r="AC5816">
        <v>0.53810000000000002</v>
      </c>
      <c r="AD5816">
        <v>-6.5451000000000106E-2</v>
      </c>
      <c r="AE5816">
        <v>-1.15999999999871E-2</v>
      </c>
      <c r="AF5816">
        <v>1.4985674138927801E-2</v>
      </c>
      <c r="AG5816">
        <v>-6.5451000000000106E-2</v>
      </c>
      <c r="AH5816">
        <v>0.53017006670001299</v>
      </c>
      <c r="AI5816">
        <v>97.034936225078795</v>
      </c>
      <c r="AJ5816">
        <v>88.380920803115998</v>
      </c>
      <c r="AK5816">
        <v>0.53440499946678399</v>
      </c>
      <c r="AL5816">
        <v>81.642696003702596</v>
      </c>
      <c r="AM5816">
        <v>85.843926584818405</v>
      </c>
      <c r="AN5816">
        <v>1.00000002522202</v>
      </c>
    </row>
    <row r="5817" spans="1:40" x14ac:dyDescent="0.25">
      <c r="A5817" t="str">
        <f>"20190312164426758"</f>
        <v>20190312164426758</v>
      </c>
      <c r="B5817" t="str">
        <f>"1552380266750885"</f>
        <v>1552380266750885</v>
      </c>
      <c r="C5817" t="s">
        <v>40</v>
      </c>
      <c r="D5817">
        <v>4.9540100000000002</v>
      </c>
      <c r="E5817">
        <v>0.48697269999999998</v>
      </c>
      <c r="F5817" t="s">
        <v>41</v>
      </c>
      <c r="G5817">
        <v>-108.7354</v>
      </c>
      <c r="H5817">
        <v>1.046327</v>
      </c>
      <c r="I5817">
        <v>138.8202</v>
      </c>
      <c r="J5817">
        <v>-109.233</v>
      </c>
      <c r="K5817">
        <v>1.1095740000000001</v>
      </c>
      <c r="L5817">
        <v>138.834</v>
      </c>
      <c r="M5817">
        <v>0.99989070000000002</v>
      </c>
      <c r="N5817">
        <v>0</v>
      </c>
      <c r="O5817">
        <v>5.6541999999999999E-3</v>
      </c>
      <c r="P5817">
        <v>0.98927909999999997</v>
      </c>
      <c r="Q5817">
        <v>0.13056580000000001</v>
      </c>
      <c r="R5817">
        <v>-6.5420980000000004E-2</v>
      </c>
      <c r="S5817">
        <v>3.0612339999999998</v>
      </c>
      <c r="T5817">
        <v>-0.2349532</v>
      </c>
      <c r="U5817">
        <v>-4.7027590000000001E-2</v>
      </c>
      <c r="V5817">
        <v>7.1309419999999998E-2</v>
      </c>
      <c r="W5817">
        <v>0.14391899999999999</v>
      </c>
      <c r="X5817">
        <v>0.98701689999999997</v>
      </c>
      <c r="Y5817">
        <v>2.0936119999999999E-2</v>
      </c>
      <c r="Z5817">
        <v>-1.2355560000000001E-3</v>
      </c>
      <c r="AA5817">
        <v>0.99978009999999995</v>
      </c>
      <c r="AB5817">
        <v>31</v>
      </c>
      <c r="AC5817">
        <v>0.49759999999999099</v>
      </c>
      <c r="AD5817">
        <v>-6.3246999999999998E-2</v>
      </c>
      <c r="AE5817">
        <v>-1.3800000000003299E-2</v>
      </c>
      <c r="AF5817">
        <v>1.6349639035114698E-2</v>
      </c>
      <c r="AG5817">
        <v>-6.3246999999999998E-2</v>
      </c>
      <c r="AH5817">
        <v>0.48961021371094998</v>
      </c>
      <c r="AI5817">
        <v>97.356552463025395</v>
      </c>
      <c r="AJ5817">
        <v>88.087422764283701</v>
      </c>
      <c r="AK5817">
        <v>0.49394904097048398</v>
      </c>
      <c r="AL5817">
        <v>81.725314414482298</v>
      </c>
      <c r="AM5817">
        <v>85.8677077955779</v>
      </c>
      <c r="AN5817">
        <v>1.0000000364136701</v>
      </c>
    </row>
    <row r="5818" spans="1:40" x14ac:dyDescent="0.25">
      <c r="A5818" t="str">
        <f>"20190312164426782"</f>
        <v>20190312164426782</v>
      </c>
      <c r="B5818" t="str">
        <f>"1552380266771381"</f>
        <v>1552380266771381</v>
      </c>
      <c r="C5818" t="s">
        <v>40</v>
      </c>
      <c r="D5818">
        <v>4.9512769999999904</v>
      </c>
      <c r="E5818">
        <v>0.48743150000000002</v>
      </c>
      <c r="F5818" t="s">
        <v>42</v>
      </c>
      <c r="G5818">
        <v>-95.154610000000005</v>
      </c>
      <c r="H5818" s="1">
        <v>-2.243715E-6</v>
      </c>
      <c r="I5818">
        <v>138.58609999999999</v>
      </c>
      <c r="J5818">
        <v>-108.9173</v>
      </c>
      <c r="K5818">
        <v>1.109569</v>
      </c>
      <c r="L5818">
        <v>138.8347</v>
      </c>
      <c r="M5818">
        <v>0.99989600000000001</v>
      </c>
      <c r="N5818">
        <v>0</v>
      </c>
      <c r="O5818">
        <v>4.6431659999999998E-3</v>
      </c>
      <c r="P5818">
        <v>0.98921970000000004</v>
      </c>
      <c r="Q5818">
        <v>0.13051769999999999</v>
      </c>
      <c r="R5818">
        <v>-6.6403169999999997E-2</v>
      </c>
      <c r="S5818">
        <v>3.060791</v>
      </c>
      <c r="T5818">
        <v>-0.24123259999999999</v>
      </c>
      <c r="U5818">
        <v>-5.3894039999999997E-2</v>
      </c>
      <c r="V5818">
        <v>7.1291980000000005E-2</v>
      </c>
      <c r="W5818">
        <v>0.14386940000000001</v>
      </c>
      <c r="X5818">
        <v>0.98702540000000005</v>
      </c>
      <c r="Y5818">
        <v>2.2164730000000001E-2</v>
      </c>
      <c r="Z5818">
        <v>-1.237412E-3</v>
      </c>
      <c r="AA5818">
        <v>0.99975360000000002</v>
      </c>
      <c r="AB5818">
        <v>31</v>
      </c>
      <c r="AC5818">
        <v>13.762689999999999</v>
      </c>
      <c r="AD5818">
        <v>-1.109571243715</v>
      </c>
      <c r="AE5818">
        <v>-0.24860000000001001</v>
      </c>
      <c r="AF5818">
        <v>0.31048826079272601</v>
      </c>
      <c r="AG5818">
        <v>-1.109571243715</v>
      </c>
      <c r="AH5818">
        <v>13.6725466220778</v>
      </c>
      <c r="AI5818">
        <v>94.638379295547907</v>
      </c>
      <c r="AJ5818">
        <v>88.699100440841903</v>
      </c>
      <c r="AK5818">
        <v>13.7210087981118</v>
      </c>
      <c r="AL5818">
        <v>81.728186246518106</v>
      </c>
      <c r="AM5818">
        <v>85.868750376574098</v>
      </c>
      <c r="AN5818">
        <v>1.00000004545691</v>
      </c>
    </row>
    <row r="5819" spans="1:40" x14ac:dyDescent="0.25">
      <c r="A5819" t="str">
        <f>"20190312164426819"</f>
        <v>20190312164426819</v>
      </c>
      <c r="B5819" t="str">
        <f>"1552380266811400"</f>
        <v>1552380266811400</v>
      </c>
      <c r="C5819" t="s">
        <v>40</v>
      </c>
      <c r="D5819">
        <v>5.0360269999999998</v>
      </c>
      <c r="E5819">
        <v>0.48847889999999999</v>
      </c>
      <c r="F5819" t="s">
        <v>41</v>
      </c>
      <c r="G5819">
        <v>-107.92100000000001</v>
      </c>
      <c r="H5819">
        <v>1.0306919999999999</v>
      </c>
      <c r="I5819">
        <v>138.81479999999999</v>
      </c>
      <c r="J5819">
        <v>-108.3982</v>
      </c>
      <c r="K5819">
        <v>1.109577</v>
      </c>
      <c r="L5819">
        <v>138.83519999999999</v>
      </c>
      <c r="M5819">
        <v>0.99990239999999997</v>
      </c>
      <c r="N5819">
        <v>0</v>
      </c>
      <c r="O5819">
        <v>2.9866229999999999E-3</v>
      </c>
      <c r="P5819">
        <v>0.98917639999999996</v>
      </c>
      <c r="Q5819">
        <v>0.12985039999999901</v>
      </c>
      <c r="R5819">
        <v>-6.8332859999999995E-2</v>
      </c>
      <c r="S5819">
        <v>3.0605769999999999</v>
      </c>
      <c r="T5819">
        <v>-0.24236940000000001</v>
      </c>
      <c r="U5819">
        <v>-6.0821529999999999E-2</v>
      </c>
      <c r="V5819">
        <v>7.1581249999999999E-2</v>
      </c>
      <c r="W5819">
        <v>0.1432002</v>
      </c>
      <c r="X5819">
        <v>0.98710169999999997</v>
      </c>
      <c r="Y5819">
        <v>2.2774249999999999E-2</v>
      </c>
      <c r="Z5819">
        <v>-1.136401E-3</v>
      </c>
      <c r="AA5819">
        <v>0.99973999999999996</v>
      </c>
      <c r="AB5819">
        <v>31</v>
      </c>
      <c r="AC5819">
        <v>0.47719999999999602</v>
      </c>
      <c r="AD5819">
        <v>-7.8885000000000094E-2</v>
      </c>
      <c r="AE5819">
        <v>-2.0399999999994999E-2</v>
      </c>
      <c r="AF5819">
        <v>2.1245740284464899E-2</v>
      </c>
      <c r="AG5819">
        <v>-7.8885000000000094E-2</v>
      </c>
      <c r="AH5819">
        <v>0.46446769880226701</v>
      </c>
      <c r="AI5819">
        <v>99.6292322439988</v>
      </c>
      <c r="AJ5819">
        <v>87.380994799604196</v>
      </c>
      <c r="AK5819">
        <v>0.47159778194549301</v>
      </c>
      <c r="AL5819">
        <v>81.766929129136102</v>
      </c>
      <c r="AM5819">
        <v>85.852365566006696</v>
      </c>
      <c r="AN5819">
        <v>0.999999969387245</v>
      </c>
    </row>
    <row r="5820" spans="1:40" x14ac:dyDescent="0.25">
      <c r="A5820" t="str">
        <f>"20190312164426850"</f>
        <v>20190312164426850</v>
      </c>
      <c r="B5820" t="str">
        <f>"1552380266840677"</f>
        <v>1552380266840677</v>
      </c>
      <c r="C5820" t="s">
        <v>40</v>
      </c>
      <c r="D5820">
        <v>4.9304550000000003</v>
      </c>
      <c r="E5820">
        <v>0.48904930000000002</v>
      </c>
      <c r="F5820" t="s">
        <v>41</v>
      </c>
      <c r="G5820">
        <v>-107.6228</v>
      </c>
      <c r="H5820">
        <v>1.0472969999999999</v>
      </c>
      <c r="I5820">
        <v>138.8158</v>
      </c>
      <c r="J5820">
        <v>-107.9671</v>
      </c>
      <c r="K5820">
        <v>1.1095809999999999</v>
      </c>
      <c r="L5820">
        <v>138.8349</v>
      </c>
      <c r="M5820">
        <v>0.9999055</v>
      </c>
      <c r="N5820">
        <v>0</v>
      </c>
      <c r="O5820">
        <v>1.6128469999999999E-3</v>
      </c>
      <c r="P5820">
        <v>0.98910540000000002</v>
      </c>
      <c r="Q5820">
        <v>0.12971359999999901</v>
      </c>
      <c r="R5820">
        <v>-6.9608249999999997E-2</v>
      </c>
      <c r="S5820">
        <v>3.0598139999999998</v>
      </c>
      <c r="T5820">
        <v>-0.24580859999999999</v>
      </c>
      <c r="U5820">
        <v>-7.6477050000000005E-2</v>
      </c>
      <c r="V5820">
        <v>7.1496889999999994E-2</v>
      </c>
      <c r="W5820">
        <v>0.14306199999999999</v>
      </c>
      <c r="X5820">
        <v>0.98712789999999995</v>
      </c>
      <c r="Y5820">
        <v>2.6508130000000001E-2</v>
      </c>
      <c r="Z5820">
        <v>-1.192233E-3</v>
      </c>
      <c r="AA5820">
        <v>0.99964790000000003</v>
      </c>
      <c r="AB5820">
        <v>31</v>
      </c>
      <c r="AC5820">
        <v>0.34430000000000399</v>
      </c>
      <c r="AD5820">
        <v>-6.2283999999999999E-2</v>
      </c>
      <c r="AE5820">
        <v>-1.91000000000087E-2</v>
      </c>
      <c r="AF5820">
        <v>1.9034343328072099E-2</v>
      </c>
      <c r="AG5820">
        <v>-6.2283999999999999E-2</v>
      </c>
      <c r="AH5820">
        <v>0.33339198187235702</v>
      </c>
      <c r="AI5820">
        <v>100.565147725252</v>
      </c>
      <c r="AJ5820">
        <v>86.732360263855099</v>
      </c>
      <c r="AK5820">
        <v>0.33969370977206598</v>
      </c>
      <c r="AL5820">
        <v>81.774930169338703</v>
      </c>
      <c r="AM5820">
        <v>85.857346184142898</v>
      </c>
      <c r="AN5820">
        <v>1.0000000160410401</v>
      </c>
    </row>
    <row r="5821" spans="1:40" x14ac:dyDescent="0.25">
      <c r="A5821" t="str">
        <f>"20190312164426887"</f>
        <v>20190312164426887</v>
      </c>
      <c r="B5821" t="str">
        <f>"1552380266880693"</f>
        <v>1552380266880693</v>
      </c>
      <c r="C5821" t="s">
        <v>40</v>
      </c>
      <c r="D5821">
        <v>5.1065740000000002</v>
      </c>
      <c r="E5821">
        <v>0.4899715</v>
      </c>
      <c r="F5821" t="s">
        <v>41</v>
      </c>
      <c r="G5821">
        <v>-107.08669999999999</v>
      </c>
      <c r="H5821">
        <v>1.038594</v>
      </c>
      <c r="I5821">
        <v>138.81039999999999</v>
      </c>
      <c r="J5821">
        <v>-107.4686</v>
      </c>
      <c r="K5821">
        <v>1.1095699999999999</v>
      </c>
      <c r="L5821">
        <v>138.8338</v>
      </c>
      <c r="M5821">
        <v>0.99990690000000004</v>
      </c>
      <c r="N5821">
        <v>0</v>
      </c>
      <c r="O5821" s="1">
        <v>2.422162E-5</v>
      </c>
      <c r="P5821">
        <v>0.98925830000000003</v>
      </c>
      <c r="Q5821">
        <v>0.1281882</v>
      </c>
      <c r="R5821">
        <v>-7.0257890000000003E-2</v>
      </c>
      <c r="S5821">
        <v>3.059418</v>
      </c>
      <c r="T5821">
        <v>-0.24672810000000001</v>
      </c>
      <c r="U5821">
        <v>-8.4945679999999996E-2</v>
      </c>
      <c r="V5821">
        <v>7.0571079999999994E-2</v>
      </c>
      <c r="W5821">
        <v>0.14153979999999999</v>
      </c>
      <c r="X5821">
        <v>0.98741389999999996</v>
      </c>
      <c r="Y5821">
        <v>2.7688919999999999E-2</v>
      </c>
      <c r="Z5821">
        <v>-1.116419E-3</v>
      </c>
      <c r="AA5821">
        <v>0.99961599999999995</v>
      </c>
      <c r="AB5821">
        <v>31</v>
      </c>
      <c r="AC5821">
        <v>0.38190000000000102</v>
      </c>
      <c r="AD5821">
        <v>-7.0976000000000095E-2</v>
      </c>
      <c r="AE5821">
        <v>-2.3400000000009399E-2</v>
      </c>
      <c r="AF5821">
        <v>2.26305142609666E-2</v>
      </c>
      <c r="AG5821">
        <v>-7.0976000000000095E-2</v>
      </c>
      <c r="AH5821">
        <v>0.36919509010537199</v>
      </c>
      <c r="AI5821">
        <v>100.862175735261</v>
      </c>
      <c r="AJ5821">
        <v>86.492335107676396</v>
      </c>
      <c r="AK5821">
        <v>0.37663609400803599</v>
      </c>
      <c r="AL5821">
        <v>81.863042370167094</v>
      </c>
      <c r="AM5821">
        <v>85.911986460524403</v>
      </c>
      <c r="AN5821">
        <v>1.0000000011148</v>
      </c>
    </row>
    <row r="5822" spans="1:40" x14ac:dyDescent="0.25">
      <c r="A5822" t="str">
        <f>"20190312164426914"</f>
        <v>20190312164426914</v>
      </c>
      <c r="B5822" t="str">
        <f>"1552380266910950"</f>
        <v>1552380266910950</v>
      </c>
      <c r="C5822" t="s">
        <v>40</v>
      </c>
      <c r="D5822">
        <v>4.8858370000000004</v>
      </c>
      <c r="E5822">
        <v>0.49064530000000001</v>
      </c>
      <c r="F5822" t="s">
        <v>41</v>
      </c>
      <c r="G5822">
        <v>-106.5372</v>
      </c>
      <c r="H5822">
        <v>1.0328790000000001</v>
      </c>
      <c r="I5822">
        <v>138.80510000000001</v>
      </c>
      <c r="J5822">
        <v>-107.0766</v>
      </c>
      <c r="K5822">
        <v>1.1095729999999999</v>
      </c>
      <c r="L5822">
        <v>138.83250000000001</v>
      </c>
      <c r="M5822">
        <v>0.99990610000000002</v>
      </c>
      <c r="N5822">
        <v>0</v>
      </c>
      <c r="O5822">
        <v>-1.228467E-3</v>
      </c>
      <c r="P5822">
        <v>0.9892415</v>
      </c>
      <c r="Q5822">
        <v>0.12808050000000001</v>
      </c>
      <c r="R5822">
        <v>-7.0688290000000001E-2</v>
      </c>
      <c r="S5822">
        <v>3.058487</v>
      </c>
      <c r="T5822">
        <v>-0.25180859999999999</v>
      </c>
      <c r="U5822">
        <v>-9.4665529999999998E-2</v>
      </c>
      <c r="V5822">
        <v>6.9762039999999997E-2</v>
      </c>
      <c r="W5822">
        <v>0.14143310000000001</v>
      </c>
      <c r="X5822">
        <v>0.98748670000000005</v>
      </c>
      <c r="Y5822">
        <v>2.9612980000000001E-2</v>
      </c>
      <c r="Z5822">
        <v>-1.115731E-3</v>
      </c>
      <c r="AA5822">
        <v>0.99956080000000003</v>
      </c>
      <c r="AB5822">
        <v>31</v>
      </c>
      <c r="AC5822">
        <v>0.53939999999999999</v>
      </c>
      <c r="AD5822">
        <v>-7.6693999999999804E-2</v>
      </c>
      <c r="AE5822">
        <v>-2.7400000000000001E-2</v>
      </c>
      <c r="AF5822">
        <v>2.6208802105616599E-2</v>
      </c>
      <c r="AG5822">
        <v>-7.6693999999999804E-2</v>
      </c>
      <c r="AH5822">
        <v>0.528770994581373</v>
      </c>
      <c r="AI5822">
        <v>98.242764152350901</v>
      </c>
      <c r="AJ5822">
        <v>87.162427879692999</v>
      </c>
      <c r="AK5822">
        <v>0.53494638577560805</v>
      </c>
      <c r="AL5822">
        <v>81.869218136953805</v>
      </c>
      <c r="AM5822">
        <v>85.958992976096198</v>
      </c>
      <c r="AN5822">
        <v>1.0000000233387301</v>
      </c>
    </row>
    <row r="5823" spans="1:40" x14ac:dyDescent="0.25">
      <c r="A5823" t="str">
        <f>"20190312164426936"</f>
        <v>20190312164426936</v>
      </c>
      <c r="B5823" t="str">
        <f>"1552380266931445"</f>
        <v>1552380266931445</v>
      </c>
      <c r="C5823" t="s">
        <v>40</v>
      </c>
      <c r="D5823">
        <v>4.9102899999999998</v>
      </c>
      <c r="E5823">
        <v>0.49098150000000002</v>
      </c>
      <c r="F5823" t="s">
        <v>41</v>
      </c>
      <c r="G5823">
        <v>-106.25530000000001</v>
      </c>
      <c r="H5823">
        <v>1.042122</v>
      </c>
      <c r="I5823">
        <v>138.8049</v>
      </c>
      <c r="J5823">
        <v>-106.786</v>
      </c>
      <c r="K5823">
        <v>1.1095740000000001</v>
      </c>
      <c r="L5823">
        <v>138.83109999999999</v>
      </c>
      <c r="M5823">
        <v>0.99990449999999997</v>
      </c>
      <c r="N5823">
        <v>0</v>
      </c>
      <c r="O5823">
        <v>-2.1626839999999998E-3</v>
      </c>
      <c r="P5823">
        <v>0.98919219999999997</v>
      </c>
      <c r="Q5823">
        <v>0.12818350000000001</v>
      </c>
      <c r="R5823">
        <v>-7.1187860000000006E-2</v>
      </c>
      <c r="S5823">
        <v>3.0578310000000002</v>
      </c>
      <c r="T5823">
        <v>-0.25117329999999999</v>
      </c>
      <c r="U5823">
        <v>-0.1025085</v>
      </c>
      <c r="V5823">
        <v>6.933802E-2</v>
      </c>
      <c r="W5823">
        <v>0.1415351</v>
      </c>
      <c r="X5823">
        <v>0.98750190000000004</v>
      </c>
      <c r="Y5823">
        <v>3.1244890000000001E-2</v>
      </c>
      <c r="Z5823">
        <v>-1.1034160000000001E-3</v>
      </c>
      <c r="AA5823">
        <v>0.99951109999999999</v>
      </c>
      <c r="AB5823">
        <v>31</v>
      </c>
      <c r="AC5823">
        <v>0.53069999999999595</v>
      </c>
      <c r="AD5823">
        <v>-6.7451999999999998E-2</v>
      </c>
      <c r="AE5823">
        <v>-2.61999999999886E-2</v>
      </c>
      <c r="AF5823">
        <v>2.4654779972141098E-2</v>
      </c>
      <c r="AG5823">
        <v>-6.7451999999999998E-2</v>
      </c>
      <c r="AH5823">
        <v>0.52233787446583102</v>
      </c>
      <c r="AI5823">
        <v>97.350065130210893</v>
      </c>
      <c r="AJ5823">
        <v>87.297597507402102</v>
      </c>
      <c r="AK5823">
        <v>0.52725182368670498</v>
      </c>
      <c r="AL5823">
        <v>81.863314176967904</v>
      </c>
      <c r="AM5823">
        <v>85.983535571339502</v>
      </c>
      <c r="AN5823">
        <v>0.99999997402656904</v>
      </c>
    </row>
    <row r="5824" spans="1:40" x14ac:dyDescent="0.25">
      <c r="A5824" t="str">
        <f>"20190312164426976"</f>
        <v>20190312164426976</v>
      </c>
      <c r="B5824" t="str">
        <f>"1552380266970885"</f>
        <v>1552380266970885</v>
      </c>
      <c r="C5824" t="s">
        <v>40</v>
      </c>
      <c r="D5824">
        <v>5.1035469999999998</v>
      </c>
      <c r="E5824">
        <v>0.49149209999999899</v>
      </c>
      <c r="F5824" t="s">
        <v>41</v>
      </c>
      <c r="G5824">
        <v>-105.9786</v>
      </c>
      <c r="H5824">
        <v>1.04335</v>
      </c>
      <c r="I5824">
        <v>138.80279999999999</v>
      </c>
      <c r="J5824">
        <v>-106.2341</v>
      </c>
      <c r="K5824">
        <v>1.109561</v>
      </c>
      <c r="L5824">
        <v>138.82769999999999</v>
      </c>
      <c r="M5824">
        <v>0.99989899999999998</v>
      </c>
      <c r="N5824">
        <v>0</v>
      </c>
      <c r="O5824">
        <v>-3.9724599999999997E-3</v>
      </c>
      <c r="P5824">
        <v>0.9893554</v>
      </c>
      <c r="Q5824">
        <v>0.12742609999999999</v>
      </c>
      <c r="R5824">
        <v>-7.0276450000000004E-2</v>
      </c>
      <c r="S5824">
        <v>3.0575709999999998</v>
      </c>
      <c r="T5824">
        <v>-0.25081120000000001</v>
      </c>
      <c r="U5824">
        <v>-0.1073151</v>
      </c>
      <c r="V5824">
        <v>6.6638439999999993E-2</v>
      </c>
      <c r="W5824">
        <v>0.14078209999999999</v>
      </c>
      <c r="X5824">
        <v>0.98779539999999999</v>
      </c>
      <c r="Y5824">
        <v>3.1015170000000002E-2</v>
      </c>
      <c r="Z5824">
        <v>-9.4432160000000002E-4</v>
      </c>
      <c r="AA5824">
        <v>0.99951849999999998</v>
      </c>
      <c r="AB5824">
        <v>31</v>
      </c>
      <c r="AC5824">
        <v>0.25549999999999701</v>
      </c>
      <c r="AD5824">
        <v>-6.6211000000000006E-2</v>
      </c>
      <c r="AE5824">
        <v>-2.4900000000002299E-2</v>
      </c>
      <c r="AF5824">
        <v>2.2394960876512E-2</v>
      </c>
      <c r="AG5824">
        <v>-6.6211000000000006E-2</v>
      </c>
      <c r="AH5824">
        <v>0.23965433276624301</v>
      </c>
      <c r="AI5824">
        <v>105.38044091989499</v>
      </c>
      <c r="AJ5824">
        <v>84.661388969477201</v>
      </c>
      <c r="AK5824">
        <v>0.24963899937167999</v>
      </c>
      <c r="AL5824">
        <v>81.906894617481498</v>
      </c>
      <c r="AM5824">
        <v>86.140572275104901</v>
      </c>
      <c r="AN5824">
        <v>1.0000000168136001</v>
      </c>
    </row>
    <row r="5825" spans="1:40" x14ac:dyDescent="0.25">
      <c r="A5825" t="str">
        <f>"20190312164427007"</f>
        <v>20190312164427007</v>
      </c>
      <c r="B5825" t="str">
        <f>"1552380267001141"</f>
        <v>1552380267001141</v>
      </c>
      <c r="C5825" t="s">
        <v>40</v>
      </c>
      <c r="D5825">
        <v>5.0546189999999998</v>
      </c>
      <c r="E5825">
        <v>0.49108790000000002</v>
      </c>
      <c r="F5825" t="s">
        <v>41</v>
      </c>
      <c r="G5825">
        <v>-105.4285</v>
      </c>
      <c r="H5825">
        <v>1.0426550000000001</v>
      </c>
      <c r="I5825">
        <v>138.79859999999999</v>
      </c>
      <c r="J5825">
        <v>-105.80159999999999</v>
      </c>
      <c r="K5825">
        <v>1.1095389999999901</v>
      </c>
      <c r="L5825">
        <v>138.8244</v>
      </c>
      <c r="M5825">
        <v>0.99989229999999996</v>
      </c>
      <c r="N5825">
        <v>0</v>
      </c>
      <c r="O5825">
        <v>-5.4347500000000003E-3</v>
      </c>
      <c r="P5825">
        <v>0.98945559999999999</v>
      </c>
      <c r="Q5825">
        <v>0.1265877</v>
      </c>
      <c r="R5825">
        <v>-7.0379209999999998E-2</v>
      </c>
      <c r="S5825">
        <v>3.0571139999999999</v>
      </c>
      <c r="T5825">
        <v>-0.25392969999999998</v>
      </c>
      <c r="U5825">
        <v>-0.11054990000000001</v>
      </c>
      <c r="V5825">
        <v>6.5298590000000004E-2</v>
      </c>
      <c r="W5825">
        <v>0.13994419999999999</v>
      </c>
      <c r="X5825">
        <v>0.98800390000000005</v>
      </c>
      <c r="Y5825">
        <v>3.0619070000000002E-2</v>
      </c>
      <c r="Z5825">
        <v>-8.1851359999999998E-4</v>
      </c>
      <c r="AA5825">
        <v>0.99953080000000005</v>
      </c>
      <c r="AB5825">
        <v>31</v>
      </c>
      <c r="AC5825">
        <v>0.37309999999999299</v>
      </c>
      <c r="AD5825">
        <v>-6.6883999999999902E-2</v>
      </c>
      <c r="AE5825">
        <v>-2.5800000000003799E-2</v>
      </c>
      <c r="AF5825">
        <v>2.3034991936816501E-2</v>
      </c>
      <c r="AG5825">
        <v>-6.6883999999999902E-2</v>
      </c>
      <c r="AH5825">
        <v>0.361667428358456</v>
      </c>
      <c r="AI5825">
        <v>100.456750182837</v>
      </c>
      <c r="AJ5825">
        <v>86.355691934991796</v>
      </c>
      <c r="AK5825">
        <v>0.36852056800801197</v>
      </c>
      <c r="AL5825">
        <v>81.955382609293494</v>
      </c>
      <c r="AM5825">
        <v>86.218739247950396</v>
      </c>
      <c r="AN5825">
        <v>0.99999999569241904</v>
      </c>
    </row>
    <row r="5826" spans="1:40" x14ac:dyDescent="0.25">
      <c r="A5826" t="str">
        <f>"20190312164427051"</f>
        <v>20190312164427051</v>
      </c>
      <c r="B5826" t="str">
        <f>"1552380267041157"</f>
        <v>1552380267041157</v>
      </c>
      <c r="C5826" t="s">
        <v>40</v>
      </c>
      <c r="D5826">
        <v>4.8382370000000003</v>
      </c>
      <c r="E5826">
        <v>0.49040089999999997</v>
      </c>
      <c r="F5826" t="s">
        <v>41</v>
      </c>
      <c r="G5826">
        <v>-104.8853</v>
      </c>
      <c r="H5826">
        <v>1.032859</v>
      </c>
      <c r="I5826">
        <v>138.7919</v>
      </c>
      <c r="J5826">
        <v>-105.1895</v>
      </c>
      <c r="K5826">
        <v>1.1094980000000001</v>
      </c>
      <c r="L5826">
        <v>138.8184</v>
      </c>
      <c r="M5826">
        <v>0.99987809999999999</v>
      </c>
      <c r="N5826">
        <v>0</v>
      </c>
      <c r="O5826">
        <v>-7.60238699999999E-3</v>
      </c>
      <c r="P5826">
        <v>0.98956219999999995</v>
      </c>
      <c r="Q5826">
        <v>0.1258531</v>
      </c>
      <c r="R5826">
        <v>-7.0197919999999997E-2</v>
      </c>
      <c r="S5826">
        <v>3.0569609999999998</v>
      </c>
      <c r="T5826">
        <v>-0.25580229999999998</v>
      </c>
      <c r="U5826">
        <v>-0.1085815</v>
      </c>
      <c r="V5826">
        <v>6.2982789999999997E-2</v>
      </c>
      <c r="W5826">
        <v>0.13920950000000001</v>
      </c>
      <c r="X5826">
        <v>0.98825799999999997</v>
      </c>
      <c r="Y5826">
        <v>2.782714E-2</v>
      </c>
      <c r="Z5826">
        <v>-5.2699140000000001E-4</v>
      </c>
      <c r="AA5826">
        <v>0.99961259999999996</v>
      </c>
      <c r="AB5826">
        <v>31</v>
      </c>
      <c r="AC5826">
        <v>0.30419999999999398</v>
      </c>
      <c r="AD5826">
        <v>-7.6638999999999902E-2</v>
      </c>
      <c r="AE5826">
        <v>-2.6499999999998601E-2</v>
      </c>
      <c r="AF5826">
        <v>2.2753070150047301E-2</v>
      </c>
      <c r="AG5826">
        <v>-7.6638999999999902E-2</v>
      </c>
      <c r="AH5826">
        <v>0.28635414929522401</v>
      </c>
      <c r="AI5826">
        <v>104.938347610886</v>
      </c>
      <c r="AJ5826">
        <v>85.456948396764204</v>
      </c>
      <c r="AK5826">
        <v>0.29730445227215202</v>
      </c>
      <c r="AL5826">
        <v>81.997893952603306</v>
      </c>
      <c r="AM5826">
        <v>86.353407485137097</v>
      </c>
      <c r="AN5826">
        <v>0.99999999564521702</v>
      </c>
    </row>
    <row r="5827" spans="1:40" x14ac:dyDescent="0.25">
      <c r="A5827" t="str">
        <f>"20190312164427088"</f>
        <v>20190312164427088</v>
      </c>
      <c r="B5827" t="str">
        <f>"1552380267081176"</f>
        <v>1552380267081176</v>
      </c>
      <c r="C5827" t="s">
        <v>40</v>
      </c>
      <c r="D5827">
        <v>4.818454</v>
      </c>
      <c r="E5827">
        <v>0.48959760000000002</v>
      </c>
      <c r="F5827" t="s">
        <v>41</v>
      </c>
      <c r="G5827">
        <v>-104.33410000000001</v>
      </c>
      <c r="H5827">
        <v>1.0375920000000001</v>
      </c>
      <c r="I5827">
        <v>138.7893</v>
      </c>
      <c r="J5827">
        <v>-104.6978</v>
      </c>
      <c r="K5827">
        <v>1.1094469999999901</v>
      </c>
      <c r="L5827">
        <v>138.8125</v>
      </c>
      <c r="M5827">
        <v>0.99986240000000004</v>
      </c>
      <c r="N5827">
        <v>0</v>
      </c>
      <c r="O5827">
        <v>-9.4448610000000006E-3</v>
      </c>
      <c r="P5827">
        <v>0.98985400000000001</v>
      </c>
      <c r="Q5827">
        <v>0.1242051</v>
      </c>
      <c r="R5827">
        <v>-6.9009529999999999E-2</v>
      </c>
      <c r="S5827">
        <v>3.0569609999999998</v>
      </c>
      <c r="T5827">
        <v>-0.25700430000000002</v>
      </c>
      <c r="U5827">
        <v>-0.10392759999999999</v>
      </c>
      <c r="V5827">
        <v>5.9976910000000001E-2</v>
      </c>
      <c r="W5827">
        <v>0.13756599999999999</v>
      </c>
      <c r="X5827">
        <v>0.98867510000000003</v>
      </c>
      <c r="Y5827">
        <v>2.4482629999999998E-2</v>
      </c>
      <c r="Z5827">
        <v>-2.345882E-4</v>
      </c>
      <c r="AA5827">
        <v>0.99970020000000004</v>
      </c>
      <c r="AB5827">
        <v>31</v>
      </c>
      <c r="AC5827">
        <v>0.36369999999999397</v>
      </c>
      <c r="AD5827">
        <v>-7.1854999999999697E-2</v>
      </c>
      <c r="AE5827">
        <v>-2.3200000000002701E-2</v>
      </c>
      <c r="AF5827">
        <v>1.9024002693448401E-2</v>
      </c>
      <c r="AG5827">
        <v>-7.1854999999999697E-2</v>
      </c>
      <c r="AH5827">
        <v>0.35028576311591397</v>
      </c>
      <c r="AI5827">
        <v>101.57581460770101</v>
      </c>
      <c r="AJ5827">
        <v>86.891323032500196</v>
      </c>
      <c r="AK5827">
        <v>0.35808542213441003</v>
      </c>
      <c r="AL5827">
        <v>82.092974813151002</v>
      </c>
      <c r="AM5827">
        <v>86.528467622393507</v>
      </c>
      <c r="AN5827">
        <v>1.00000004372457</v>
      </c>
    </row>
    <row r="5828" spans="1:40" x14ac:dyDescent="0.25">
      <c r="A5828" t="str">
        <f>"20190312164427131"</f>
        <v>20190312164427131</v>
      </c>
      <c r="B5828" t="str">
        <f>"1552380267121193"</f>
        <v>1552380267121193</v>
      </c>
      <c r="C5828" t="s">
        <v>40</v>
      </c>
      <c r="D5828">
        <v>4.8359269999999999</v>
      </c>
      <c r="E5828">
        <v>0.4888422</v>
      </c>
      <c r="F5828" t="s">
        <v>41</v>
      </c>
      <c r="G5828">
        <v>-103.78879999999999</v>
      </c>
      <c r="H5828">
        <v>1.031903</v>
      </c>
      <c r="I5828">
        <v>138.7843</v>
      </c>
      <c r="J5828">
        <v>-104.0988</v>
      </c>
      <c r="K5828">
        <v>1.1093980000000001</v>
      </c>
      <c r="L5828">
        <v>138.804</v>
      </c>
      <c r="M5828">
        <v>0.99983730000000004</v>
      </c>
      <c r="N5828">
        <v>0</v>
      </c>
      <c r="O5828">
        <v>-1.1804220000000001E-2</v>
      </c>
      <c r="P5828">
        <v>0.99004460000000005</v>
      </c>
      <c r="Q5828">
        <v>0.1224668</v>
      </c>
      <c r="R5828">
        <v>-6.9381999999999999E-2</v>
      </c>
      <c r="S5828">
        <v>3.056854</v>
      </c>
      <c r="T5828">
        <v>-0.26076090000000002</v>
      </c>
      <c r="U5828">
        <v>-9.4909670000000002E-2</v>
      </c>
      <c r="V5828">
        <v>5.8021179999999999E-2</v>
      </c>
      <c r="W5828">
        <v>0.1358277</v>
      </c>
      <c r="X5828">
        <v>0.98903200000000002</v>
      </c>
      <c r="Y5828">
        <v>1.9204559999999999E-2</v>
      </c>
      <c r="Z5828">
        <v>1.874783E-4</v>
      </c>
      <c r="AA5828">
        <v>0.99981560000000003</v>
      </c>
      <c r="AB5828">
        <v>31</v>
      </c>
      <c r="AC5828">
        <v>0.310000000000002</v>
      </c>
      <c r="AD5828">
        <v>-7.74949999999998E-2</v>
      </c>
      <c r="AE5828">
        <v>-1.97000000000002E-2</v>
      </c>
      <c r="AF5828">
        <v>1.50991958179177E-2</v>
      </c>
      <c r="AG5828">
        <v>-7.74949999999998E-2</v>
      </c>
      <c r="AH5828">
        <v>0.29203456087757601</v>
      </c>
      <c r="AI5828">
        <v>104.842679298462</v>
      </c>
      <c r="AJ5828">
        <v>87.040245741710606</v>
      </c>
      <c r="AK5828">
        <v>0.30251883492818499</v>
      </c>
      <c r="AL5828">
        <v>82.193515198113701</v>
      </c>
      <c r="AM5828">
        <v>86.642613235891204</v>
      </c>
      <c r="AN5828">
        <v>0.99999995921994</v>
      </c>
    </row>
    <row r="5829" spans="1:40" x14ac:dyDescent="0.25">
      <c r="A5829" t="str">
        <f>"20190312164427159"</f>
        <v>20190312164427159</v>
      </c>
      <c r="B5829" t="str">
        <f>"1552380267151446"</f>
        <v>1552380267151446</v>
      </c>
      <c r="C5829" t="s">
        <v>40</v>
      </c>
      <c r="D5829">
        <v>4.8149220000000001</v>
      </c>
      <c r="E5829">
        <v>0.48824269999999997</v>
      </c>
      <c r="F5829" t="s">
        <v>41</v>
      </c>
      <c r="G5829">
        <v>-103.2403</v>
      </c>
      <c r="H5829">
        <v>1.0345660000000001</v>
      </c>
      <c r="I5829">
        <v>138.77850000000001</v>
      </c>
      <c r="J5829">
        <v>-103.7242</v>
      </c>
      <c r="K5829">
        <v>1.1093869999999999</v>
      </c>
      <c r="L5829">
        <v>138.7979</v>
      </c>
      <c r="M5829">
        <v>0.99981799999999998</v>
      </c>
      <c r="N5829">
        <v>0</v>
      </c>
      <c r="O5829">
        <v>-1.3320490000000001E-2</v>
      </c>
      <c r="P5829">
        <v>0.99000100000000002</v>
      </c>
      <c r="Q5829">
        <v>0.1222628</v>
      </c>
      <c r="R5829">
        <v>-7.0356150000000006E-2</v>
      </c>
      <c r="S5829">
        <v>3.056778</v>
      </c>
      <c r="T5829">
        <v>-0.26646550000000002</v>
      </c>
      <c r="U5829">
        <v>-9.0728760000000006E-2</v>
      </c>
      <c r="V5829">
        <v>5.7499889999999998E-2</v>
      </c>
      <c r="W5829">
        <v>0.13564590000000001</v>
      </c>
      <c r="X5829">
        <v>0.98908750000000001</v>
      </c>
      <c r="Y5829">
        <v>1.6338180000000001E-2</v>
      </c>
      <c r="Z5829">
        <v>4.4813539999999998E-4</v>
      </c>
      <c r="AA5829">
        <v>0.99986640000000004</v>
      </c>
      <c r="AB5829">
        <v>31</v>
      </c>
      <c r="AC5829">
        <v>0.483899999999991</v>
      </c>
      <c r="AD5829">
        <v>-7.4821000000000207E-2</v>
      </c>
      <c r="AE5829">
        <v>-1.93999999999903E-2</v>
      </c>
      <c r="AF5829">
        <v>1.26499476788448E-2</v>
      </c>
      <c r="AG5829">
        <v>-7.4821000000000207E-2</v>
      </c>
      <c r="AH5829">
        <v>0.47282942964894498</v>
      </c>
      <c r="AI5829">
        <v>98.988818402062805</v>
      </c>
      <c r="AJ5829">
        <v>88.467490142244102</v>
      </c>
      <c r="AK5829">
        <v>0.47887981034850902</v>
      </c>
      <c r="AL5829">
        <v>82.204029706620005</v>
      </c>
      <c r="AM5829">
        <v>86.672895807650406</v>
      </c>
      <c r="AN5829">
        <v>1.0000000650965299</v>
      </c>
    </row>
    <row r="5830" spans="1:40" x14ac:dyDescent="0.25">
      <c r="A5830" t="str">
        <f>"20190312164427182"</f>
        <v>20190312164427182</v>
      </c>
      <c r="B5830" t="str">
        <f>"1552380267170966"</f>
        <v>1552380267170966</v>
      </c>
      <c r="C5830" t="s">
        <v>40</v>
      </c>
      <c r="D5830">
        <v>4.9107839999999996</v>
      </c>
      <c r="E5830">
        <v>0.48797049999999997</v>
      </c>
      <c r="F5830" t="s">
        <v>41</v>
      </c>
      <c r="G5830">
        <v>-102.9603</v>
      </c>
      <c r="H5830">
        <v>1.0425899999999999</v>
      </c>
      <c r="I5830">
        <v>138.7757</v>
      </c>
      <c r="J5830">
        <v>-103.4051</v>
      </c>
      <c r="K5830">
        <v>1.10938799999999</v>
      </c>
      <c r="L5830">
        <v>138.79230000000001</v>
      </c>
      <c r="M5830">
        <v>0.99979899999999999</v>
      </c>
      <c r="N5830">
        <v>0</v>
      </c>
      <c r="O5830">
        <v>-1.4626699999999999E-2</v>
      </c>
      <c r="P5830">
        <v>0.99004610000000004</v>
      </c>
      <c r="Q5830">
        <v>0.1216759</v>
      </c>
      <c r="R5830">
        <v>-7.0737120000000001E-2</v>
      </c>
      <c r="S5830">
        <v>3.0570219999999999</v>
      </c>
      <c r="T5830">
        <v>-0.26740259999999999</v>
      </c>
      <c r="U5830">
        <v>-8.8699340000000002E-2</v>
      </c>
      <c r="V5830">
        <v>5.6587640000000002E-2</v>
      </c>
      <c r="W5830">
        <v>0.13510629999999901</v>
      </c>
      <c r="X5830">
        <v>0.98921389999999998</v>
      </c>
      <c r="Y5830">
        <v>1.437867E-2</v>
      </c>
      <c r="Z5830">
        <v>6.4920129999999996E-4</v>
      </c>
      <c r="AA5830">
        <v>0.99989640000000002</v>
      </c>
      <c r="AB5830">
        <v>31</v>
      </c>
      <c r="AC5830">
        <v>0.44479999999999997</v>
      </c>
      <c r="AD5830">
        <v>-6.6797999999999899E-2</v>
      </c>
      <c r="AE5830">
        <v>-1.6600000000010998E-2</v>
      </c>
      <c r="AF5830">
        <v>9.8693849034695701E-3</v>
      </c>
      <c r="AG5830">
        <v>-6.6797999999999899E-2</v>
      </c>
      <c r="AH5830">
        <v>0.43519410965578997</v>
      </c>
      <c r="AI5830">
        <v>98.724025557907794</v>
      </c>
      <c r="AJ5830">
        <v>88.700862033432898</v>
      </c>
      <c r="AK5830">
        <v>0.44040128365102299</v>
      </c>
      <c r="AL5830">
        <v>82.235233306505094</v>
      </c>
      <c r="AM5830">
        <v>86.725982849405497</v>
      </c>
      <c r="AN5830">
        <v>1.00000000662683</v>
      </c>
    </row>
    <row r="5831" spans="1:40" x14ac:dyDescent="0.25">
      <c r="A5831" t="str">
        <f>"20190312164427221"</f>
        <v>20190312164427221</v>
      </c>
      <c r="B5831" t="str">
        <f>"1552380267210982"</f>
        <v>1552380267210982</v>
      </c>
      <c r="C5831" t="s">
        <v>40</v>
      </c>
      <c r="D5831">
        <v>4.8013469999999998</v>
      </c>
      <c r="E5831">
        <v>0.48735289999999998</v>
      </c>
      <c r="F5831" t="s">
        <v>41</v>
      </c>
      <c r="G5831">
        <v>-102.42740000000001</v>
      </c>
      <c r="H5831">
        <v>1.0232810000000001</v>
      </c>
      <c r="I5831">
        <v>138.76419999999999</v>
      </c>
      <c r="J5831">
        <v>-102.8763</v>
      </c>
      <c r="K5831">
        <v>1.109432</v>
      </c>
      <c r="L5831">
        <v>138.78190000000001</v>
      </c>
      <c r="M5831">
        <v>0.99976220000000005</v>
      </c>
      <c r="N5831">
        <v>0</v>
      </c>
      <c r="O5831">
        <v>-1.6793880000000001E-2</v>
      </c>
      <c r="P5831">
        <v>0.99036109999999999</v>
      </c>
      <c r="Q5831">
        <v>0.1188584</v>
      </c>
      <c r="R5831">
        <v>-7.1117139999999995E-2</v>
      </c>
      <c r="S5831">
        <v>3.0569760000000001</v>
      </c>
      <c r="T5831">
        <v>-0.26924150000000002</v>
      </c>
      <c r="U5831">
        <v>-8.7875369999999994E-2</v>
      </c>
      <c r="V5831">
        <v>5.4809070000000001E-2</v>
      </c>
      <c r="W5831">
        <v>0.1325144</v>
      </c>
      <c r="X5831">
        <v>0.98966460000000001</v>
      </c>
      <c r="Y5831">
        <v>1.196005E-2</v>
      </c>
      <c r="Z5831">
        <v>9.5039050000000002E-4</v>
      </c>
      <c r="AA5831">
        <v>0.99992800000000004</v>
      </c>
      <c r="AB5831">
        <v>30</v>
      </c>
      <c r="AC5831">
        <v>0.44889999999999403</v>
      </c>
      <c r="AD5831">
        <v>-8.6151000000000005E-2</v>
      </c>
      <c r="AE5831">
        <v>-1.77000000000191E-2</v>
      </c>
      <c r="AF5831">
        <v>9.7976957394617804E-3</v>
      </c>
      <c r="AG5831">
        <v>-8.6151000000000005E-2</v>
      </c>
      <c r="AH5831">
        <v>0.43320313307207198</v>
      </c>
      <c r="AI5831">
        <v>101.24484894998</v>
      </c>
      <c r="AJ5831">
        <v>88.704370111552095</v>
      </c>
      <c r="AK5831">
        <v>0.44179513821030397</v>
      </c>
      <c r="AL5831">
        <v>82.385086323997797</v>
      </c>
      <c r="AM5831">
        <v>86.830114250814603</v>
      </c>
      <c r="AN5831">
        <v>1.00000006042739</v>
      </c>
    </row>
    <row r="5832" spans="1:40" x14ac:dyDescent="0.25">
      <c r="A5832" t="str">
        <f>"20190312164427267"</f>
        <v>20190312164427267</v>
      </c>
      <c r="B5832" t="str">
        <f>"1552380267260758"</f>
        <v>1552380267260758</v>
      </c>
      <c r="C5832" t="s">
        <v>40</v>
      </c>
      <c r="D5832">
        <v>4.8066570000000004</v>
      </c>
      <c r="E5832">
        <v>0.48663800000000001</v>
      </c>
      <c r="F5832" t="s">
        <v>41</v>
      </c>
      <c r="G5832">
        <v>-101.886</v>
      </c>
      <c r="H5832">
        <v>1.019701</v>
      </c>
      <c r="I5832">
        <v>138.7542</v>
      </c>
      <c r="J5832">
        <v>-102.25530000000001</v>
      </c>
      <c r="K5832">
        <v>1.1095159999999999</v>
      </c>
      <c r="L5832">
        <v>138.76820000000001</v>
      </c>
      <c r="M5832">
        <v>0.9997106</v>
      </c>
      <c r="N5832">
        <v>0</v>
      </c>
      <c r="O5832">
        <v>-1.9337529999999999E-2</v>
      </c>
      <c r="P5832">
        <v>0.99044960000000004</v>
      </c>
      <c r="Q5832">
        <v>0.1179317</v>
      </c>
      <c r="R5832">
        <v>-7.1427439999999995E-2</v>
      </c>
      <c r="S5832">
        <v>3.0563199999999999</v>
      </c>
      <c r="T5832">
        <v>-0.27700330000000001</v>
      </c>
      <c r="U5832">
        <v>-8.5205080000000002E-2</v>
      </c>
      <c r="V5832">
        <v>5.2592449999999999E-2</v>
      </c>
      <c r="W5832">
        <v>0.1319747</v>
      </c>
      <c r="X5832">
        <v>0.98985690000000004</v>
      </c>
      <c r="Y5832">
        <v>8.5743590000000001E-3</v>
      </c>
      <c r="Z5832">
        <v>1.3609850000000001E-3</v>
      </c>
      <c r="AA5832">
        <v>0.99996229999999997</v>
      </c>
      <c r="AB5832">
        <v>30</v>
      </c>
      <c r="AC5832">
        <v>0.36929999999999502</v>
      </c>
      <c r="AD5832">
        <v>-8.9814999999999895E-2</v>
      </c>
      <c r="AE5832">
        <v>-1.4000000000009999E-2</v>
      </c>
      <c r="AF5832">
        <v>6.4729865566308699E-3</v>
      </c>
      <c r="AG5832">
        <v>-8.9814999999999895E-2</v>
      </c>
      <c r="AH5832">
        <v>0.34889490747503199</v>
      </c>
      <c r="AI5832">
        <v>104.433667180199</v>
      </c>
      <c r="AJ5832">
        <v>88.937123303413102</v>
      </c>
      <c r="AK5832">
        <v>0.36032803144076098</v>
      </c>
      <c r="AL5832">
        <v>82.416282273573799</v>
      </c>
      <c r="AM5832">
        <v>86.958656618817798</v>
      </c>
      <c r="AN5832">
        <v>0.99999998485735098</v>
      </c>
    </row>
    <row r="5833" spans="1:40" x14ac:dyDescent="0.25">
      <c r="A5833" t="str">
        <f>"20190312164427295"</f>
        <v>20190312164427295</v>
      </c>
      <c r="B5833" t="str">
        <f>"1552380267291013"</f>
        <v>1552380267291013</v>
      </c>
      <c r="C5833" t="s">
        <v>40</v>
      </c>
      <c r="D5833">
        <v>4.8001379999999996</v>
      </c>
      <c r="E5833">
        <v>0.48624980000000001</v>
      </c>
      <c r="F5833" t="s">
        <v>41</v>
      </c>
      <c r="G5833">
        <v>-101.3421</v>
      </c>
      <c r="H5833">
        <v>1.026214</v>
      </c>
      <c r="I5833">
        <v>138.74350000000001</v>
      </c>
      <c r="J5833">
        <v>-101.8663</v>
      </c>
      <c r="K5833">
        <v>1.109578</v>
      </c>
      <c r="L5833">
        <v>138.75890000000001</v>
      </c>
      <c r="M5833">
        <v>0.99967430000000002</v>
      </c>
      <c r="N5833">
        <v>0</v>
      </c>
      <c r="O5833">
        <v>-2.092399E-2</v>
      </c>
      <c r="P5833">
        <v>0.99038789999999999</v>
      </c>
      <c r="Q5833">
        <v>0.118586999999999</v>
      </c>
      <c r="R5833">
        <v>-7.1201630000000002E-2</v>
      </c>
      <c r="S5833">
        <v>3.0561980000000002</v>
      </c>
      <c r="T5833">
        <v>-0.27884779999999998</v>
      </c>
      <c r="U5833">
        <v>-8.2336430000000002E-2</v>
      </c>
      <c r="V5833">
        <v>5.0794520000000003E-2</v>
      </c>
      <c r="W5833">
        <v>0.13294400000000001</v>
      </c>
      <c r="X5833">
        <v>0.98982110000000001</v>
      </c>
      <c r="Y5833">
        <v>6.0681509999999999E-3</v>
      </c>
      <c r="Z5833">
        <v>1.6285659999999999E-3</v>
      </c>
      <c r="AA5833">
        <v>0.99998030000000004</v>
      </c>
      <c r="AB5833">
        <v>30</v>
      </c>
      <c r="AC5833">
        <v>0.524199999999993</v>
      </c>
      <c r="AD5833">
        <v>-8.3364000000000202E-2</v>
      </c>
      <c r="AE5833">
        <v>-1.53999999999996E-2</v>
      </c>
      <c r="AF5833">
        <v>4.3179898671022402E-3</v>
      </c>
      <c r="AG5833">
        <v>-8.3364000000000202E-2</v>
      </c>
      <c r="AH5833">
        <v>0.51148280687450198</v>
      </c>
      <c r="AI5833">
        <v>99.256630807136304</v>
      </c>
      <c r="AJ5833">
        <v>89.516314693463301</v>
      </c>
      <c r="AK5833">
        <v>0.51824980777681995</v>
      </c>
      <c r="AL5833">
        <v>82.360251872869</v>
      </c>
      <c r="AM5833">
        <v>87.062336865336604</v>
      </c>
      <c r="AN5833">
        <v>1.0000000002016201</v>
      </c>
    </row>
    <row r="5834" spans="1:40" x14ac:dyDescent="0.25">
      <c r="A5834" t="str">
        <f>"20190312164427319"</f>
        <v>20190312164427319</v>
      </c>
      <c r="B5834" t="str">
        <f>"1552380267311510"</f>
        <v>1552380267311510</v>
      </c>
      <c r="C5834" t="s">
        <v>40</v>
      </c>
      <c r="D5834">
        <v>4.8410270000000004</v>
      </c>
      <c r="E5834">
        <v>0.48602970000000001</v>
      </c>
      <c r="F5834" t="s">
        <v>41</v>
      </c>
      <c r="G5834">
        <v>-101.0652</v>
      </c>
      <c r="H5834">
        <v>1.0371939999999999</v>
      </c>
      <c r="I5834">
        <v>138.7381</v>
      </c>
      <c r="J5834">
        <v>-101.55840000000001</v>
      </c>
      <c r="K5834">
        <v>1.1096379999999999</v>
      </c>
      <c r="L5834">
        <v>138.75110000000001</v>
      </c>
      <c r="M5834">
        <v>0.99964280000000005</v>
      </c>
      <c r="N5834">
        <v>0</v>
      </c>
      <c r="O5834">
        <v>-2.2177639999999998E-2</v>
      </c>
      <c r="P5834">
        <v>0.99037489999999995</v>
      </c>
      <c r="Q5834">
        <v>0.1188623</v>
      </c>
      <c r="R5834">
        <v>-7.0917389999999997E-2</v>
      </c>
      <c r="S5834">
        <v>3.0565030000000002</v>
      </c>
      <c r="T5834">
        <v>-0.27620329999999998</v>
      </c>
      <c r="U5834">
        <v>-7.9238890000000006E-2</v>
      </c>
      <c r="V5834">
        <v>4.9265919999999998E-2</v>
      </c>
      <c r="W5834">
        <v>0.1335239</v>
      </c>
      <c r="X5834">
        <v>0.98982029999999999</v>
      </c>
      <c r="Y5834">
        <v>3.8117170000000001E-3</v>
      </c>
      <c r="Z5834">
        <v>1.8278019999999999E-3</v>
      </c>
      <c r="AA5834">
        <v>0.99999110000000002</v>
      </c>
      <c r="AB5834">
        <v>30</v>
      </c>
      <c r="AC5834">
        <v>0.49320000000000103</v>
      </c>
      <c r="AD5834">
        <v>-7.2443999999999897E-2</v>
      </c>
      <c r="AE5834">
        <v>-1.30000000000052E-2</v>
      </c>
      <c r="AF5834">
        <v>2.0141473434478301E-3</v>
      </c>
      <c r="AG5834">
        <v>-7.2443999999999897E-2</v>
      </c>
      <c r="AH5834">
        <v>0.482954315274844</v>
      </c>
      <c r="AI5834">
        <v>98.530791450406895</v>
      </c>
      <c r="AJ5834">
        <v>89.761050953687899</v>
      </c>
      <c r="AK5834">
        <v>0.48836160840929599</v>
      </c>
      <c r="AL5834">
        <v>82.3267271202877</v>
      </c>
      <c r="AM5834">
        <v>87.150592059462895</v>
      </c>
      <c r="AN5834">
        <v>0.99999999451837296</v>
      </c>
    </row>
    <row r="5835" spans="1:40" x14ac:dyDescent="0.25">
      <c r="A5835" t="str">
        <f>"20190312164427355"</f>
        <v>20190312164427355</v>
      </c>
      <c r="B5835" t="str">
        <f>"1552380267351525"</f>
        <v>1552380267351525</v>
      </c>
      <c r="C5835" t="s">
        <v>40</v>
      </c>
      <c r="D5835">
        <v>4.8706690000000004</v>
      </c>
      <c r="E5835">
        <v>0.48648010000000003</v>
      </c>
      <c r="F5835" t="s">
        <v>41</v>
      </c>
      <c r="G5835">
        <v>-100.7906</v>
      </c>
      <c r="H5835">
        <v>1.040478</v>
      </c>
      <c r="I5835">
        <v>138.73179999999999</v>
      </c>
      <c r="J5835">
        <v>-101.07340000000001</v>
      </c>
      <c r="K5835">
        <v>1.109782</v>
      </c>
      <c r="L5835">
        <v>138.7379</v>
      </c>
      <c r="M5835">
        <v>0.99958780000000003</v>
      </c>
      <c r="N5835">
        <v>0</v>
      </c>
      <c r="O5835">
        <v>-2.410899E-2</v>
      </c>
      <c r="P5835">
        <v>0.99048270000000005</v>
      </c>
      <c r="Q5835">
        <v>0.11851159999999999</v>
      </c>
      <c r="R5835">
        <v>-6.9995859999999993E-2</v>
      </c>
      <c r="S5835">
        <v>3.0567630000000001</v>
      </c>
      <c r="T5835">
        <v>-0.27545320000000001</v>
      </c>
      <c r="U5835">
        <v>-7.6217649999999998E-2</v>
      </c>
      <c r="V5835">
        <v>4.6416239999999998E-2</v>
      </c>
      <c r="W5835">
        <v>0.133849</v>
      </c>
      <c r="X5835">
        <v>0.98991410000000002</v>
      </c>
      <c r="Y5835">
        <v>9.0862110000000001E-4</v>
      </c>
      <c r="Z5835">
        <v>2.126892E-3</v>
      </c>
      <c r="AA5835">
        <v>0.99999729999999998</v>
      </c>
      <c r="AB5835">
        <v>30</v>
      </c>
      <c r="AC5835">
        <v>0.28280000000000799</v>
      </c>
      <c r="AD5835">
        <v>-6.9304000000000004E-2</v>
      </c>
      <c r="AE5835">
        <v>-6.1000000000035401E-3</v>
      </c>
      <c r="AF5835">
        <v>-6.7981616478679497E-4</v>
      </c>
      <c r="AG5835">
        <v>-6.9304000000000004E-2</v>
      </c>
      <c r="AH5835">
        <v>0.266846529300234</v>
      </c>
      <c r="AI5835">
        <v>104.558865241904</v>
      </c>
      <c r="AJ5835">
        <v>90.145965971239903</v>
      </c>
      <c r="AK5835">
        <v>0.27570015735504899</v>
      </c>
      <c r="AL5835">
        <v>82.307931386426205</v>
      </c>
      <c r="AM5835">
        <v>87.315415347453893</v>
      </c>
      <c r="AN5835">
        <v>0.99999997375777305</v>
      </c>
    </row>
    <row r="5836" spans="1:40" x14ac:dyDescent="0.25">
      <c r="A5836" t="str">
        <f>"20190312164427384"</f>
        <v>20190312164427384</v>
      </c>
      <c r="B5836" t="str">
        <f>"1552380267380806"</f>
        <v>1552380267380806</v>
      </c>
      <c r="C5836" t="s">
        <v>40</v>
      </c>
      <c r="D5836">
        <v>4.8806529999999997</v>
      </c>
      <c r="E5836">
        <v>0.48681799999999997</v>
      </c>
      <c r="F5836" t="s">
        <v>41</v>
      </c>
      <c r="G5836">
        <v>-100.2634</v>
      </c>
      <c r="H5836">
        <v>1.0366799999999901</v>
      </c>
      <c r="I5836">
        <v>138.71780000000001</v>
      </c>
      <c r="J5836">
        <v>-100.68859999999999</v>
      </c>
      <c r="K5836">
        <v>1.1099250000000001</v>
      </c>
      <c r="L5836">
        <v>138.7269</v>
      </c>
      <c r="M5836">
        <v>0.99954100000000001</v>
      </c>
      <c r="N5836">
        <v>0</v>
      </c>
      <c r="O5836">
        <v>-2.558593E-2</v>
      </c>
      <c r="P5836">
        <v>0.99060800000000004</v>
      </c>
      <c r="Q5836">
        <v>0.11757529999999999</v>
      </c>
      <c r="R5836">
        <v>-6.979842E-2</v>
      </c>
      <c r="S5836">
        <v>3.0564879999999999</v>
      </c>
      <c r="T5836">
        <v>-0.27589910000000001</v>
      </c>
      <c r="U5836">
        <v>-7.5698849999999998E-2</v>
      </c>
      <c r="V5836">
        <v>4.4737260000000001E-2</v>
      </c>
      <c r="W5836">
        <v>0.1335461</v>
      </c>
      <c r="X5836">
        <v>0.99003229999999998</v>
      </c>
      <c r="Y5836">
        <v>-7.2365839999999999E-4</v>
      </c>
      <c r="Z5836">
        <v>2.337043E-3</v>
      </c>
      <c r="AA5836">
        <v>0.99999700000000002</v>
      </c>
      <c r="AB5836">
        <v>30</v>
      </c>
      <c r="AC5836">
        <v>0.42519999999998898</v>
      </c>
      <c r="AD5836">
        <v>-7.3245000000000199E-2</v>
      </c>
      <c r="AE5836">
        <v>-9.0999999999894499E-3</v>
      </c>
      <c r="AF5836">
        <v>-1.7321728420687801E-3</v>
      </c>
      <c r="AG5836">
        <v>-7.3245000000000199E-2</v>
      </c>
      <c r="AH5836">
        <v>0.41304279349202899</v>
      </c>
      <c r="AI5836">
        <v>100.055656011818</v>
      </c>
      <c r="AJ5836">
        <v>90.240279247071996</v>
      </c>
      <c r="AK5836">
        <v>0.41949038094270202</v>
      </c>
      <c r="AL5836">
        <v>82.325443463564696</v>
      </c>
      <c r="AM5836">
        <v>87.412696879299702</v>
      </c>
      <c r="AN5836">
        <v>0.99999996915040301</v>
      </c>
    </row>
    <row r="5837" spans="1:40" x14ac:dyDescent="0.25">
      <c r="A5837" t="str">
        <f>"20190312164427423"</f>
        <v>20190312164427423</v>
      </c>
      <c r="B5837" t="str">
        <f>"1552380267411062"</f>
        <v>1552380267411062</v>
      </c>
      <c r="C5837" t="s">
        <v>40</v>
      </c>
      <c r="D5837">
        <v>4.8967700000000001</v>
      </c>
      <c r="E5837">
        <v>0.48711680000000002</v>
      </c>
      <c r="F5837" t="s">
        <v>41</v>
      </c>
      <c r="G5837">
        <v>-99.744669999999999</v>
      </c>
      <c r="H5837">
        <v>1.023776</v>
      </c>
      <c r="I5837">
        <v>138.70269999999999</v>
      </c>
      <c r="J5837">
        <v>-100.1827</v>
      </c>
      <c r="K5837">
        <v>1.110112</v>
      </c>
      <c r="L5837">
        <v>138.7116</v>
      </c>
      <c r="M5837">
        <v>0.99947940000000002</v>
      </c>
      <c r="N5837">
        <v>0</v>
      </c>
      <c r="O5837">
        <v>-2.7387350000000001E-2</v>
      </c>
      <c r="P5837">
        <v>0.99066080000000001</v>
      </c>
      <c r="Q5837">
        <v>0.1162827</v>
      </c>
      <c r="R5837">
        <v>-7.1199520000000002E-2</v>
      </c>
      <c r="S5837">
        <v>3.0560299999999998</v>
      </c>
      <c r="T5837">
        <v>-0.27897680000000002</v>
      </c>
      <c r="U5837">
        <v>-7.8277589999999994E-2</v>
      </c>
      <c r="V5837">
        <v>4.4324839999999997E-2</v>
      </c>
      <c r="W5837">
        <v>0.13309289999999999</v>
      </c>
      <c r="X5837">
        <v>0.99011190000000004</v>
      </c>
      <c r="Y5837">
        <v>-1.665522E-3</v>
      </c>
      <c r="Z5837">
        <v>2.5702849999999998E-3</v>
      </c>
      <c r="AA5837">
        <v>0.99999530000000003</v>
      </c>
      <c r="AB5837">
        <v>30</v>
      </c>
      <c r="AC5837">
        <v>0.43802999999999698</v>
      </c>
      <c r="AD5837">
        <v>-8.6335999999999899E-2</v>
      </c>
      <c r="AE5837">
        <v>-8.9000000000112305E-3</v>
      </c>
      <c r="AF5837">
        <v>-2.98562564048504E-3</v>
      </c>
      <c r="AG5837">
        <v>-8.6335999999999899E-2</v>
      </c>
      <c r="AH5837">
        <v>0.42173244538231902</v>
      </c>
      <c r="AI5837">
        <v>101.569308442894</v>
      </c>
      <c r="AJ5837">
        <v>90.405614726953999</v>
      </c>
      <c r="AK5837">
        <v>0.43048934289319601</v>
      </c>
      <c r="AL5837">
        <v>82.351643982864204</v>
      </c>
      <c r="AM5837">
        <v>87.436722337383102</v>
      </c>
      <c r="AN5837">
        <v>0.99999999299652198</v>
      </c>
    </row>
    <row r="5838" spans="1:40" x14ac:dyDescent="0.25">
      <c r="A5838" t="str">
        <f>"20190312164427468"</f>
        <v>20190312164427468</v>
      </c>
      <c r="B5838" t="str">
        <f>"1552380267460837"</f>
        <v>1552380267460837</v>
      </c>
      <c r="C5838" t="s">
        <v>40</v>
      </c>
      <c r="D5838">
        <v>4.969964</v>
      </c>
      <c r="E5838">
        <v>0.4876105</v>
      </c>
      <c r="F5838" t="s">
        <v>41</v>
      </c>
      <c r="G5838">
        <v>-99.223529999999997</v>
      </c>
      <c r="H5838">
        <v>1.0212300000000001</v>
      </c>
      <c r="I5838">
        <v>138.68510000000001</v>
      </c>
      <c r="J5838">
        <v>-99.604200000000006</v>
      </c>
      <c r="K5838">
        <v>1.1103320000000001</v>
      </c>
      <c r="L5838">
        <v>138.69319999999999</v>
      </c>
      <c r="M5838">
        <v>0.99941170000000001</v>
      </c>
      <c r="N5838">
        <v>0</v>
      </c>
      <c r="O5838">
        <v>-2.9200340000000002E-2</v>
      </c>
      <c r="P5838">
        <v>0.99032960000000003</v>
      </c>
      <c r="Q5838">
        <v>0.1174531</v>
      </c>
      <c r="R5838">
        <v>-7.3838290000000001E-2</v>
      </c>
      <c r="S5838">
        <v>3.055466</v>
      </c>
      <c r="T5838">
        <v>-0.28321540000000001</v>
      </c>
      <c r="U5838">
        <v>-8.415222E-2</v>
      </c>
      <c r="V5838">
        <v>4.5137339999999998E-2</v>
      </c>
      <c r="W5838">
        <v>0.13519139999999999</v>
      </c>
      <c r="X5838">
        <v>0.98979090000000003</v>
      </c>
      <c r="Y5838">
        <v>-1.5429910000000001E-3</v>
      </c>
      <c r="Z5838">
        <v>2.7715460000000002E-3</v>
      </c>
      <c r="AA5838">
        <v>0.99999499999999997</v>
      </c>
      <c r="AB5838">
        <v>29</v>
      </c>
      <c r="AC5838">
        <v>0.38066999999999401</v>
      </c>
      <c r="AD5838">
        <v>-8.9102000000000001E-2</v>
      </c>
      <c r="AE5838">
        <v>-8.0999999999846698E-3</v>
      </c>
      <c r="AF5838">
        <v>-2.8641028590225201E-3</v>
      </c>
      <c r="AG5838">
        <v>-8.9102000000000001E-2</v>
      </c>
      <c r="AH5838">
        <v>0.36097631975553102</v>
      </c>
      <c r="AI5838">
        <v>103.86508453701801</v>
      </c>
      <c r="AJ5838">
        <v>90.454593704588802</v>
      </c>
      <c r="AK5838">
        <v>0.37182156058173199</v>
      </c>
      <c r="AL5838">
        <v>82.230312703400003</v>
      </c>
      <c r="AM5838">
        <v>87.388955027491406</v>
      </c>
      <c r="AN5838">
        <v>1.00000005990952</v>
      </c>
    </row>
    <row r="5839" spans="1:40" x14ac:dyDescent="0.25">
      <c r="A5839" t="str">
        <f>"20190312164427511"</f>
        <v>20190312164427511</v>
      </c>
      <c r="B5839" t="str">
        <f>"1552380267500853"</f>
        <v>1552380267500853</v>
      </c>
      <c r="C5839" t="s">
        <v>40</v>
      </c>
      <c r="D5839">
        <v>4.9539499999999999</v>
      </c>
      <c r="E5839">
        <v>0.48793160000000002</v>
      </c>
      <c r="F5839" t="s">
        <v>41</v>
      </c>
      <c r="G5839">
        <v>-98.703869999999995</v>
      </c>
      <c r="H5839">
        <v>1.0277179999999999</v>
      </c>
      <c r="I5839">
        <v>138.66480000000001</v>
      </c>
      <c r="J5839">
        <v>-99.04195</v>
      </c>
      <c r="K5839">
        <v>1.110581</v>
      </c>
      <c r="L5839">
        <v>138.6747</v>
      </c>
      <c r="M5839">
        <v>0.99935370000000001</v>
      </c>
      <c r="N5839">
        <v>0</v>
      </c>
      <c r="O5839">
        <v>-3.0621240000000001E-2</v>
      </c>
      <c r="P5839">
        <v>0.99013510000000005</v>
      </c>
      <c r="Q5839">
        <v>0.11814280000000001</v>
      </c>
      <c r="R5839">
        <v>-7.5333339999999999E-2</v>
      </c>
      <c r="S5839">
        <v>3.0554049999999999</v>
      </c>
      <c r="T5839">
        <v>-0.28044819999999998</v>
      </c>
      <c r="U5839">
        <v>-9.605408E-2</v>
      </c>
      <c r="V5839">
        <v>4.5175729999999997E-2</v>
      </c>
      <c r="W5839">
        <v>0.1367352</v>
      </c>
      <c r="X5839">
        <v>0.98957700000000004</v>
      </c>
      <c r="Y5839">
        <v>9.2031749999999999E-4</v>
      </c>
      <c r="Z5839">
        <v>2.7617589999999999E-3</v>
      </c>
      <c r="AA5839">
        <v>0.99999579999999999</v>
      </c>
      <c r="AB5839">
        <v>29</v>
      </c>
      <c r="AC5839">
        <v>0.33808000000000499</v>
      </c>
      <c r="AD5839">
        <v>-8.2862999999999895E-2</v>
      </c>
      <c r="AE5839">
        <v>-9.8999999999875802E-3</v>
      </c>
      <c r="AF5839">
        <v>-4.3292362298374899E-4</v>
      </c>
      <c r="AG5839">
        <v>-8.2862999999999895E-2</v>
      </c>
      <c r="AH5839">
        <v>0.31907321215166601</v>
      </c>
      <c r="AI5839">
        <v>104.558049153957</v>
      </c>
      <c r="AJ5839">
        <v>90.077739779719593</v>
      </c>
      <c r="AK5839">
        <v>0.32965766926411</v>
      </c>
      <c r="AL5839">
        <v>82.141029916038505</v>
      </c>
      <c r="AM5839">
        <v>87.386173289783798</v>
      </c>
      <c r="AN5839">
        <v>1.0000000002145299</v>
      </c>
    </row>
    <row r="5840" spans="1:40" x14ac:dyDescent="0.25">
      <c r="A5840" t="str">
        <f>"20190312164427540"</f>
        <v>20190312164427540</v>
      </c>
      <c r="B5840" t="str">
        <f>"1552380267531109"</f>
        <v>1552380267531109</v>
      </c>
      <c r="C5840" t="s">
        <v>40</v>
      </c>
      <c r="D5840">
        <v>4.9541870000000001</v>
      </c>
      <c r="E5840">
        <v>0.48829</v>
      </c>
      <c r="F5840" t="s">
        <v>41</v>
      </c>
      <c r="G5840">
        <v>-98.189539999999994</v>
      </c>
      <c r="H5840">
        <v>1.0327770000000001</v>
      </c>
      <c r="I5840">
        <v>138.64580000000001</v>
      </c>
      <c r="J5840">
        <v>-98.675510000000003</v>
      </c>
      <c r="K5840">
        <v>1.1107590000000001</v>
      </c>
      <c r="L5840">
        <v>138.6626</v>
      </c>
      <c r="M5840">
        <v>0.99932270000000001</v>
      </c>
      <c r="N5840">
        <v>0</v>
      </c>
      <c r="O5840">
        <v>-3.1307809999999998E-2</v>
      </c>
      <c r="P5840">
        <v>0.99023589999999995</v>
      </c>
      <c r="Q5840">
        <v>0.1167335</v>
      </c>
      <c r="R5840">
        <v>-7.6200270000000001E-2</v>
      </c>
      <c r="S5840">
        <v>3.0553279999999998</v>
      </c>
      <c r="T5840">
        <v>-0.27900039999999998</v>
      </c>
      <c r="U5840">
        <v>-0.103134199999999</v>
      </c>
      <c r="V5840">
        <v>4.5312150000000002E-2</v>
      </c>
      <c r="W5840">
        <v>0.1358509</v>
      </c>
      <c r="X5840">
        <v>0.98969260000000003</v>
      </c>
      <c r="Y5840">
        <v>2.543408E-3</v>
      </c>
      <c r="Z5840">
        <v>2.7361170000000001E-3</v>
      </c>
      <c r="AA5840">
        <v>0.99999300000000002</v>
      </c>
      <c r="AB5840">
        <v>29</v>
      </c>
      <c r="AC5840">
        <v>0.48596999999999402</v>
      </c>
      <c r="AD5840">
        <v>-7.7981999999999996E-2</v>
      </c>
      <c r="AE5840">
        <v>-1.6799999999989199E-2</v>
      </c>
      <c r="AF5840">
        <v>1.53478641672321E-3</v>
      </c>
      <c r="AG5840">
        <v>-7.7981999999999996E-2</v>
      </c>
      <c r="AH5840">
        <v>0.47406534990851601</v>
      </c>
      <c r="AI5840">
        <v>99.341240204565295</v>
      </c>
      <c r="AJ5840">
        <v>89.814505580469998</v>
      </c>
      <c r="AK5840">
        <v>0.48043886591035501</v>
      </c>
      <c r="AL5840">
        <v>82.192174214649498</v>
      </c>
      <c r="AM5840">
        <v>87.378596947548999</v>
      </c>
      <c r="AN5840">
        <v>1.00000005023159</v>
      </c>
    </row>
    <row r="5841" spans="1:40" x14ac:dyDescent="0.25">
      <c r="A5841" t="str">
        <f>"20190312164427579"</f>
        <v>20190312164427579</v>
      </c>
      <c r="B5841" t="str">
        <f>"1552380267571550"</f>
        <v>1552380267571550</v>
      </c>
      <c r="C5841" t="s">
        <v>40</v>
      </c>
      <c r="D5841">
        <v>5.0071370000000002</v>
      </c>
      <c r="E5841">
        <v>0.48866369999999998</v>
      </c>
      <c r="F5841" t="s">
        <v>42</v>
      </c>
      <c r="G5841">
        <v>-86.694140000000004</v>
      </c>
      <c r="H5841" s="1">
        <v>-1.645149E-6</v>
      </c>
      <c r="I5841">
        <v>138.2373</v>
      </c>
      <c r="J5841">
        <v>-98.188999999999993</v>
      </c>
      <c r="K5841">
        <v>1.111038</v>
      </c>
      <c r="L5841">
        <v>138.6464</v>
      </c>
      <c r="M5841">
        <v>0.9992955</v>
      </c>
      <c r="N5841">
        <v>0</v>
      </c>
      <c r="O5841">
        <v>-3.178947E-2</v>
      </c>
      <c r="P5841">
        <v>0.99005880000000002</v>
      </c>
      <c r="Q5841">
        <v>0.11752219999999999</v>
      </c>
      <c r="R5841">
        <v>-7.7280970000000004E-2</v>
      </c>
      <c r="S5841">
        <v>3.0546259999999998</v>
      </c>
      <c r="T5841">
        <v>-0.28318539999999998</v>
      </c>
      <c r="U5841">
        <v>-0.1084137</v>
      </c>
      <c r="V5841">
        <v>4.5847409999999998E-2</v>
      </c>
      <c r="W5841">
        <v>0.1372661</v>
      </c>
      <c r="X5841">
        <v>0.98947260000000004</v>
      </c>
      <c r="Y5841">
        <v>3.7954239999999999E-3</v>
      </c>
      <c r="Z5841">
        <v>2.764182E-3</v>
      </c>
      <c r="AA5841">
        <v>0.99998900000000002</v>
      </c>
      <c r="AB5841">
        <v>28</v>
      </c>
      <c r="AC5841">
        <v>11.4948599999999</v>
      </c>
      <c r="AD5841">
        <v>-1.1110396451490001</v>
      </c>
      <c r="AE5841">
        <v>-0.40909999999999502</v>
      </c>
      <c r="AF5841">
        <v>4.3003675818363403E-2</v>
      </c>
      <c r="AG5841">
        <v>-1.1110396451490001</v>
      </c>
      <c r="AH5841">
        <v>11.395728566385401</v>
      </c>
      <c r="AI5841">
        <v>95.568479084321694</v>
      </c>
      <c r="AJ5841">
        <v>89.783785879263405</v>
      </c>
      <c r="AK5841">
        <v>11.4498422682568</v>
      </c>
      <c r="AL5841">
        <v>82.110322012404197</v>
      </c>
      <c r="AM5841">
        <v>87.347086117010093</v>
      </c>
      <c r="AN5841">
        <v>0.99999999668183903</v>
      </c>
    </row>
    <row r="5842" spans="1:40" x14ac:dyDescent="0.25">
      <c r="A5842" t="str">
        <f>"20190312164427606"</f>
        <v>20190312164427606</v>
      </c>
      <c r="B5842" t="str">
        <f>"1552380267600829"</f>
        <v>1552380267600829</v>
      </c>
      <c r="C5842" t="s">
        <v>40</v>
      </c>
      <c r="D5842">
        <v>5.0029849999999998</v>
      </c>
      <c r="E5842">
        <v>0.48898370000000002</v>
      </c>
      <c r="F5842" t="s">
        <v>42</v>
      </c>
      <c r="G5842">
        <v>-86.090680000000006</v>
      </c>
      <c r="H5842" s="1">
        <v>-1.9122640000000002E-6</v>
      </c>
      <c r="I5842">
        <v>138.1908</v>
      </c>
      <c r="J5842">
        <v>-97.8506</v>
      </c>
      <c r="K5842">
        <v>1.111232</v>
      </c>
      <c r="L5842">
        <v>138.6354</v>
      </c>
      <c r="M5842">
        <v>0.99928570000000005</v>
      </c>
      <c r="N5842">
        <v>0</v>
      </c>
      <c r="O5842">
        <v>-3.185118E-2</v>
      </c>
      <c r="P5842">
        <v>0.989923</v>
      </c>
      <c r="Q5842">
        <v>0.1184945</v>
      </c>
      <c r="R5842">
        <v>-7.7533930000000001E-2</v>
      </c>
      <c r="S5842">
        <v>3.054443</v>
      </c>
      <c r="T5842">
        <v>-0.28050170000000002</v>
      </c>
      <c r="U5842">
        <v>-0.1150055</v>
      </c>
      <c r="V5842">
        <v>4.5992390000000001E-2</v>
      </c>
      <c r="W5842">
        <v>0.13862910000000001</v>
      </c>
      <c r="X5842">
        <v>0.98927580000000004</v>
      </c>
      <c r="Y5842">
        <v>5.8799869999999997E-3</v>
      </c>
      <c r="Z5842">
        <v>2.6483190000000001E-3</v>
      </c>
      <c r="AA5842">
        <v>0.99997919999999996</v>
      </c>
      <c r="AB5842">
        <v>28</v>
      </c>
      <c r="AC5842">
        <v>11.7599199999999</v>
      </c>
      <c r="AD5842">
        <v>-1.111233912264</v>
      </c>
      <c r="AE5842">
        <v>-0.44460000000000799</v>
      </c>
      <c r="AF5842">
        <v>6.9113283905318706E-2</v>
      </c>
      <c r="AG5842">
        <v>-1.111233912264</v>
      </c>
      <c r="AH5842">
        <v>11.664114684949601</v>
      </c>
      <c r="AI5842">
        <v>95.442018006640794</v>
      </c>
      <c r="AJ5842">
        <v>89.660509756532406</v>
      </c>
      <c r="AK5842">
        <v>11.7171322787376</v>
      </c>
      <c r="AL5842">
        <v>82.031473803338898</v>
      </c>
      <c r="AM5842">
        <v>87.338180379905197</v>
      </c>
      <c r="AN5842">
        <v>0.99999996788517997</v>
      </c>
    </row>
    <row r="5843" spans="1:40" x14ac:dyDescent="0.25">
      <c r="A5843" t="str">
        <f>"20190312164427629"</f>
        <v>20190312164427629</v>
      </c>
      <c r="B5843" t="str">
        <f>"1552380267621326"</f>
        <v>1552380267621326</v>
      </c>
      <c r="C5843" t="s">
        <v>40</v>
      </c>
      <c r="D5843">
        <v>4.982907</v>
      </c>
      <c r="E5843">
        <v>0.48914079999999899</v>
      </c>
      <c r="F5843" t="s">
        <v>41</v>
      </c>
      <c r="G5843">
        <v>-96.944940000000003</v>
      </c>
      <c r="H5843">
        <v>1.029072</v>
      </c>
      <c r="I5843">
        <v>138.60040000000001</v>
      </c>
      <c r="J5843">
        <v>-97.573549999999997</v>
      </c>
      <c r="K5843">
        <v>1.1113789999999999</v>
      </c>
      <c r="L5843">
        <v>138.6266</v>
      </c>
      <c r="M5843">
        <v>0.99928399999999995</v>
      </c>
      <c r="N5843">
        <v>0</v>
      </c>
      <c r="O5843">
        <v>-3.1726369999999997E-2</v>
      </c>
      <c r="P5843">
        <v>0.9901143</v>
      </c>
      <c r="Q5843">
        <v>0.117327399999999</v>
      </c>
      <c r="R5843">
        <v>-7.6864109999999999E-2</v>
      </c>
      <c r="S5843">
        <v>3.054459</v>
      </c>
      <c r="T5843">
        <v>-0.27713890000000002</v>
      </c>
      <c r="U5843">
        <v>-0.118103</v>
      </c>
      <c r="V5843">
        <v>4.5399309999999998E-2</v>
      </c>
      <c r="W5843">
        <v>0.13775780000000001</v>
      </c>
      <c r="X5843">
        <v>0.98942490000000005</v>
      </c>
      <c r="Y5843">
        <v>7.00938E-3</v>
      </c>
      <c r="Z5843">
        <v>2.5542379999999999E-3</v>
      </c>
      <c r="AA5843">
        <v>0.99997219999999998</v>
      </c>
      <c r="AB5843">
        <v>28</v>
      </c>
      <c r="AC5843">
        <v>0.62860999999999401</v>
      </c>
      <c r="AD5843">
        <v>-8.2307000000000102E-2</v>
      </c>
      <c r="AE5843">
        <v>-2.61999999999886E-2</v>
      </c>
      <c r="AF5843">
        <v>6.13407316271662E-3</v>
      </c>
      <c r="AG5843">
        <v>-8.2307000000000102E-2</v>
      </c>
      <c r="AH5843">
        <v>0.61853901107653897</v>
      </c>
      <c r="AI5843">
        <v>97.579269370884802</v>
      </c>
      <c r="AJ5843">
        <v>89.431814362228806</v>
      </c>
      <c r="AK5843">
        <v>0.62402129557099895</v>
      </c>
      <c r="AL5843">
        <v>82.081879269737101</v>
      </c>
      <c r="AM5843">
        <v>87.372851995585293</v>
      </c>
      <c r="AN5843">
        <v>0.99999997077466196</v>
      </c>
    </row>
    <row r="5844" spans="1:40" x14ac:dyDescent="0.25">
      <c r="A5844" t="str">
        <f>"20190312164427655"</f>
        <v>20190312164427655</v>
      </c>
      <c r="B5844" t="str">
        <f>"1552380267651581"</f>
        <v>1552380267651581</v>
      </c>
      <c r="C5844" t="s">
        <v>40</v>
      </c>
      <c r="D5844">
        <v>4.9845949999999997</v>
      </c>
      <c r="E5844">
        <v>0.4893245</v>
      </c>
      <c r="F5844" t="s">
        <v>41</v>
      </c>
      <c r="G5844">
        <v>-96.698350000000005</v>
      </c>
      <c r="H5844">
        <v>1.031091</v>
      </c>
      <c r="I5844">
        <v>138.59289999999999</v>
      </c>
      <c r="J5844">
        <v>-97.25806</v>
      </c>
      <c r="K5844">
        <v>1.1115299999999999</v>
      </c>
      <c r="L5844">
        <v>138.61680000000001</v>
      </c>
      <c r="M5844">
        <v>0.99928799999999995</v>
      </c>
      <c r="N5844">
        <v>0</v>
      </c>
      <c r="O5844">
        <v>-3.1403500000000001E-2</v>
      </c>
      <c r="P5844">
        <v>0.99034659999999997</v>
      </c>
      <c r="Q5844">
        <v>0.11641550000000001</v>
      </c>
      <c r="R5844">
        <v>-7.5244199999999997E-2</v>
      </c>
      <c r="S5844">
        <v>3.0540470000000002</v>
      </c>
      <c r="T5844">
        <v>-0.28021109999999999</v>
      </c>
      <c r="U5844">
        <v>-0.117477399999999</v>
      </c>
      <c r="V5844">
        <v>4.4049310000000001E-2</v>
      </c>
      <c r="W5844">
        <v>0.1371589</v>
      </c>
      <c r="X5844">
        <v>0.98956909999999998</v>
      </c>
      <c r="Y5844">
        <v>7.1333630000000002E-3</v>
      </c>
      <c r="Z5844">
        <v>2.5476000000000001E-3</v>
      </c>
      <c r="AA5844">
        <v>0.99997130000000001</v>
      </c>
      <c r="AB5844">
        <v>28</v>
      </c>
      <c r="AC5844">
        <v>0.55970999999999504</v>
      </c>
      <c r="AD5844">
        <v>-8.0438999999999899E-2</v>
      </c>
      <c r="AE5844">
        <v>-2.3900000000026001E-2</v>
      </c>
      <c r="AF5844">
        <v>6.1800972452898204E-3</v>
      </c>
      <c r="AG5844">
        <v>-8.0438999999999899E-2</v>
      </c>
      <c r="AH5844">
        <v>0.54886875018064796</v>
      </c>
      <c r="AI5844">
        <v>98.337060164391403</v>
      </c>
      <c r="AJ5844">
        <v>89.354893995936493</v>
      </c>
      <c r="AK5844">
        <v>0.55476619511991498</v>
      </c>
      <c r="AL5844">
        <v>82.116522435293902</v>
      </c>
      <c r="AM5844">
        <v>87.451239567224107</v>
      </c>
      <c r="AN5844">
        <v>0.99999995461774605</v>
      </c>
    </row>
    <row r="5845" spans="1:40" x14ac:dyDescent="0.25">
      <c r="A5845" t="str">
        <f>"20190312164427690"</f>
        <v>20190312164427690</v>
      </c>
      <c r="B5845" t="str">
        <f>"1552380267681367"</f>
        <v>1552380267681367</v>
      </c>
      <c r="C5845" t="s">
        <v>40</v>
      </c>
      <c r="D5845">
        <v>4.9745350000000004</v>
      </c>
      <c r="E5845">
        <v>0.48950979999999999</v>
      </c>
      <c r="F5845" t="s">
        <v>41</v>
      </c>
      <c r="G5845">
        <v>-96.450199999999995</v>
      </c>
      <c r="H5845">
        <v>1.036564</v>
      </c>
      <c r="I5845">
        <v>138.5866</v>
      </c>
      <c r="J5845">
        <v>-96.831209999999999</v>
      </c>
      <c r="K5845">
        <v>1.111753</v>
      </c>
      <c r="L5845">
        <v>138.60409999999999</v>
      </c>
      <c r="M5845">
        <v>0.99930450000000004</v>
      </c>
      <c r="N5845">
        <v>0</v>
      </c>
      <c r="O5845">
        <v>-3.0625449999999999E-2</v>
      </c>
      <c r="P5845">
        <v>0.99044589999999999</v>
      </c>
      <c r="Q5845">
        <v>0.11731809999999999</v>
      </c>
      <c r="R5845">
        <v>-7.2481219999999999E-2</v>
      </c>
      <c r="S5845">
        <v>3.0538940000000001</v>
      </c>
      <c r="T5845">
        <v>-0.28346539999999998</v>
      </c>
      <c r="U5845">
        <v>-0.1140289</v>
      </c>
      <c r="V5845">
        <v>4.1993349999999999E-2</v>
      </c>
      <c r="W5845">
        <v>0.13843079999999999</v>
      </c>
      <c r="X5845">
        <v>0.98948139999999996</v>
      </c>
      <c r="Y5845">
        <v>6.7866009999999997E-3</v>
      </c>
      <c r="Z5845">
        <v>2.5213240000000001E-3</v>
      </c>
      <c r="AA5845">
        <v>0.99997380000000002</v>
      </c>
      <c r="AB5845">
        <v>27</v>
      </c>
      <c r="AC5845">
        <v>0.38101000000000301</v>
      </c>
      <c r="AD5845">
        <v>-7.5188999999999895E-2</v>
      </c>
      <c r="AE5845">
        <v>-1.7499999999984001E-2</v>
      </c>
      <c r="AF5845">
        <v>5.6028092643676799E-3</v>
      </c>
      <c r="AG5845">
        <v>-7.5188999999999895E-2</v>
      </c>
      <c r="AH5845">
        <v>0.36710112971207898</v>
      </c>
      <c r="AI5845">
        <v>101.573819158973</v>
      </c>
      <c r="AJ5845">
        <v>89.125602249453706</v>
      </c>
      <c r="AK5845">
        <v>0.37476394787724399</v>
      </c>
      <c r="AL5845">
        <v>82.0429463027412</v>
      </c>
      <c r="AM5845">
        <v>87.569839364331997</v>
      </c>
      <c r="AN5845">
        <v>0.99999998438941096</v>
      </c>
    </row>
    <row r="5846" spans="1:40" x14ac:dyDescent="0.25">
      <c r="A5846" t="str">
        <f>"20190312164427736"</f>
        <v>20190312164427736</v>
      </c>
      <c r="B5846" t="str">
        <f>"1552380267731144"</f>
        <v>1552380267731144</v>
      </c>
      <c r="C5846" t="s">
        <v>40</v>
      </c>
      <c r="D5846">
        <v>5.0142810000000004</v>
      </c>
      <c r="E5846">
        <v>0.48992429999999898</v>
      </c>
      <c r="F5846" t="s">
        <v>41</v>
      </c>
      <c r="G5846">
        <v>-95.972340000000003</v>
      </c>
      <c r="H5846">
        <v>1.03264</v>
      </c>
      <c r="I5846">
        <v>138.57419999999999</v>
      </c>
      <c r="J5846">
        <v>-96.292680000000004</v>
      </c>
      <c r="K5846">
        <v>1.1120509999999999</v>
      </c>
      <c r="L5846">
        <v>138.58930000000001</v>
      </c>
      <c r="M5846">
        <v>0.9993417</v>
      </c>
      <c r="N5846">
        <v>0</v>
      </c>
      <c r="O5846">
        <v>-2.9085969999999999E-2</v>
      </c>
      <c r="P5846">
        <v>0.99049379999999998</v>
      </c>
      <c r="Q5846">
        <v>0.1184615</v>
      </c>
      <c r="R5846">
        <v>-6.9923009999999994E-2</v>
      </c>
      <c r="S5846">
        <v>3.0544739999999999</v>
      </c>
      <c r="T5846">
        <v>-0.2813927</v>
      </c>
      <c r="U5846">
        <v>-0.106308</v>
      </c>
      <c r="V5846">
        <v>4.0879470000000001E-2</v>
      </c>
      <c r="W5846">
        <v>0.14000789999999999</v>
      </c>
      <c r="X5846">
        <v>0.98930620000000002</v>
      </c>
      <c r="Y5846">
        <v>5.7915390000000001E-3</v>
      </c>
      <c r="Z5846">
        <v>2.406952E-3</v>
      </c>
      <c r="AA5846">
        <v>0.99998030000000004</v>
      </c>
      <c r="AB5846">
        <v>27</v>
      </c>
      <c r="AC5846">
        <v>0.32034000000000101</v>
      </c>
      <c r="AD5846">
        <v>-7.9411000000000107E-2</v>
      </c>
      <c r="AE5846">
        <v>-1.5100000000018101E-2</v>
      </c>
      <c r="AF5846">
        <v>5.4404311434966797E-3</v>
      </c>
      <c r="AG5846">
        <v>-7.9411000000000107E-2</v>
      </c>
      <c r="AH5846">
        <v>0.30211892792630601</v>
      </c>
      <c r="AI5846">
        <v>104.724609292846</v>
      </c>
      <c r="AJ5846">
        <v>88.968353096911798</v>
      </c>
      <c r="AK5846">
        <v>0.31242847473200602</v>
      </c>
      <c r="AL5846">
        <v>81.951697020703804</v>
      </c>
      <c r="AM5846">
        <v>87.633807020123498</v>
      </c>
      <c r="AN5846">
        <v>1.0000000502441599</v>
      </c>
    </row>
    <row r="5847" spans="1:40" x14ac:dyDescent="0.25">
      <c r="A5847" t="str">
        <f>"20190312164427765"</f>
        <v>20190312164427765</v>
      </c>
      <c r="B5847" t="str">
        <f>"1552380267761400"</f>
        <v>1552380267761400</v>
      </c>
      <c r="C5847" t="s">
        <v>40</v>
      </c>
      <c r="D5847">
        <v>4.9888500000000002</v>
      </c>
      <c r="E5847">
        <v>0.48986960000000002</v>
      </c>
      <c r="F5847" t="s">
        <v>42</v>
      </c>
      <c r="G5847">
        <v>-84.060329999999993</v>
      </c>
      <c r="H5847" s="1">
        <v>-2.7849729999999999E-6</v>
      </c>
      <c r="I5847">
        <v>138.18129999999999</v>
      </c>
      <c r="J5847">
        <v>-95.949200000000005</v>
      </c>
      <c r="K5847">
        <v>1.1122209999999999</v>
      </c>
      <c r="L5847">
        <v>138.58080000000001</v>
      </c>
      <c r="M5847">
        <v>0.99937370000000003</v>
      </c>
      <c r="N5847">
        <v>0</v>
      </c>
      <c r="O5847">
        <v>-2.7764E-2</v>
      </c>
      <c r="P5847">
        <v>0.9908458</v>
      </c>
      <c r="Q5847">
        <v>0.116435999999999</v>
      </c>
      <c r="R5847">
        <v>-6.8319820000000003E-2</v>
      </c>
      <c r="S5847">
        <v>3.0548250000000001</v>
      </c>
      <c r="T5847">
        <v>-0.27771630000000003</v>
      </c>
      <c r="U5847">
        <v>-0.10189819999999999</v>
      </c>
      <c r="V5847">
        <v>4.0533890000000003E-2</v>
      </c>
      <c r="W5847">
        <v>0.13826169999999999</v>
      </c>
      <c r="X5847">
        <v>0.9895659</v>
      </c>
      <c r="Y5847">
        <v>5.6608600000000002E-3</v>
      </c>
      <c r="Z5847">
        <v>2.2615119999999998E-3</v>
      </c>
      <c r="AA5847">
        <v>0.99998140000000002</v>
      </c>
      <c r="AB5847">
        <v>27</v>
      </c>
      <c r="AC5847">
        <v>11.888869999999899</v>
      </c>
      <c r="AD5847">
        <v>-1.1122237849729999</v>
      </c>
      <c r="AE5847">
        <v>-0.39950000000001701</v>
      </c>
      <c r="AF5847">
        <v>6.8584292874509498E-2</v>
      </c>
      <c r="AG5847">
        <v>-1.1122237849729999</v>
      </c>
      <c r="AH5847">
        <v>11.7922903452938</v>
      </c>
      <c r="AI5847">
        <v>95.387986198661196</v>
      </c>
      <c r="AJ5847">
        <v>89.666769889414894</v>
      </c>
      <c r="AK5847">
        <v>11.8448240654219</v>
      </c>
      <c r="AL5847">
        <v>82.052729073631099</v>
      </c>
      <c r="AM5847">
        <v>87.654402544636099</v>
      </c>
      <c r="AN5847">
        <v>0.99999998218411501</v>
      </c>
    </row>
    <row r="5848" spans="1:40" x14ac:dyDescent="0.25">
      <c r="A5848" t="str">
        <f>"20190312164427801"</f>
        <v>20190312164427801</v>
      </c>
      <c r="B5848" t="str">
        <f>"1552380267791188"</f>
        <v>1552380267791188</v>
      </c>
      <c r="C5848" t="s">
        <v>40</v>
      </c>
      <c r="D5848">
        <v>4.9391290000000003</v>
      </c>
      <c r="E5848">
        <v>0.48965370000000003</v>
      </c>
      <c r="F5848" t="s">
        <v>41</v>
      </c>
      <c r="G5848">
        <v>-95.035420000000002</v>
      </c>
      <c r="H5848">
        <v>1.0274810000000001</v>
      </c>
      <c r="I5848">
        <v>138.55199999999999</v>
      </c>
      <c r="J5848">
        <v>-95.522769999999994</v>
      </c>
      <c r="K5848">
        <v>1.1124339999999999</v>
      </c>
      <c r="L5848">
        <v>138.57130000000001</v>
      </c>
      <c r="M5848">
        <v>0.99942149999999996</v>
      </c>
      <c r="N5848">
        <v>0</v>
      </c>
      <c r="O5848">
        <v>-2.5714150000000002E-2</v>
      </c>
      <c r="P5848">
        <v>0.99147779999999996</v>
      </c>
      <c r="Q5848">
        <v>0.112607</v>
      </c>
      <c r="R5848">
        <v>-6.5512130000000002E-2</v>
      </c>
      <c r="S5848">
        <v>3.0543670000000001</v>
      </c>
      <c r="T5848">
        <v>-0.28324539999999998</v>
      </c>
      <c r="U5848">
        <v>-9.6221920000000002E-2</v>
      </c>
      <c r="V5848">
        <v>3.9693050000000001E-2</v>
      </c>
      <c r="W5848">
        <v>0.13476850000000001</v>
      </c>
      <c r="X5848">
        <v>0.99008180000000001</v>
      </c>
      <c r="Y5848">
        <v>5.8543759999999997E-3</v>
      </c>
      <c r="Z5848">
        <v>2.108249E-3</v>
      </c>
      <c r="AA5848">
        <v>0.9999806</v>
      </c>
      <c r="AB5848">
        <v>26</v>
      </c>
      <c r="AC5848">
        <v>0.48734999999999201</v>
      </c>
      <c r="AD5848">
        <v>-8.4953000000000001E-2</v>
      </c>
      <c r="AE5848">
        <v>-1.9299999999986901E-2</v>
      </c>
      <c r="AF5848">
        <v>6.5597064226799199E-3</v>
      </c>
      <c r="AG5848">
        <v>-8.4953000000000001E-2</v>
      </c>
      <c r="AH5848">
        <v>0.47332517449452799</v>
      </c>
      <c r="AI5848">
        <v>100.174225817495</v>
      </c>
      <c r="AJ5848">
        <v>89.206001595339401</v>
      </c>
      <c r="AK5848">
        <v>0.48093322069454397</v>
      </c>
      <c r="AL5848">
        <v>82.254766641049301</v>
      </c>
      <c r="AM5848">
        <v>87.704202845763305</v>
      </c>
      <c r="AN5848">
        <v>1.0000000287508899</v>
      </c>
    </row>
    <row r="5849" spans="1:40" x14ac:dyDescent="0.25">
      <c r="A5849" t="str">
        <f>"20190312164427833"</f>
        <v>20190312164427833</v>
      </c>
      <c r="B5849" t="str">
        <f>"1552380267821444"</f>
        <v>1552380267821444</v>
      </c>
      <c r="C5849" t="s">
        <v>40</v>
      </c>
      <c r="D5849">
        <v>4.9393330000000004</v>
      </c>
      <c r="E5849">
        <v>0.4894326</v>
      </c>
      <c r="F5849" t="s">
        <v>41</v>
      </c>
      <c r="G5849">
        <v>-94.578440000000001</v>
      </c>
      <c r="H5849">
        <v>1.0212139999999901</v>
      </c>
      <c r="I5849">
        <v>138.54509999999999</v>
      </c>
      <c r="J5849">
        <v>-95.16574</v>
      </c>
      <c r="K5849">
        <v>1.1126039999999999</v>
      </c>
      <c r="L5849">
        <v>138.56460000000001</v>
      </c>
      <c r="M5849">
        <v>0.99946679999999999</v>
      </c>
      <c r="N5849">
        <v>0</v>
      </c>
      <c r="O5849">
        <v>-2.3673039999999999E-2</v>
      </c>
      <c r="P5849">
        <v>0.99160530000000002</v>
      </c>
      <c r="Q5849">
        <v>0.112252</v>
      </c>
      <c r="R5849">
        <v>-6.4175609999999994E-2</v>
      </c>
      <c r="S5849">
        <v>3.053696</v>
      </c>
      <c r="T5849">
        <v>-0.2950469</v>
      </c>
      <c r="U5849">
        <v>-8.4793090000000002E-2</v>
      </c>
      <c r="V5849">
        <v>4.033639E-2</v>
      </c>
      <c r="W5849">
        <v>0.1346579</v>
      </c>
      <c r="X5849">
        <v>0.99007080000000003</v>
      </c>
      <c r="Y5849">
        <v>4.1697349999999999E-3</v>
      </c>
      <c r="Z5849">
        <v>2.0808269999999999E-3</v>
      </c>
      <c r="AA5849">
        <v>0.99998920000000002</v>
      </c>
      <c r="AB5849">
        <v>26</v>
      </c>
      <c r="AC5849">
        <v>0.58729999999999905</v>
      </c>
      <c r="AD5849">
        <v>-9.1390000000000304E-2</v>
      </c>
      <c r="AE5849">
        <v>-1.9500000000022E-2</v>
      </c>
      <c r="AF5849">
        <v>5.4558729650969204E-3</v>
      </c>
      <c r="AG5849">
        <v>-9.1390000000000304E-2</v>
      </c>
      <c r="AH5849">
        <v>0.57371996672164005</v>
      </c>
      <c r="AI5849">
        <v>99.050414556792802</v>
      </c>
      <c r="AJ5849">
        <v>89.455153925270494</v>
      </c>
      <c r="AK5849">
        <v>0.58097891430316995</v>
      </c>
      <c r="AL5849">
        <v>82.261161482416597</v>
      </c>
      <c r="AM5849">
        <v>87.667007747978801</v>
      </c>
      <c r="AN5849">
        <v>0.99999998170164095</v>
      </c>
    </row>
    <row r="5850" spans="1:40" x14ac:dyDescent="0.25">
      <c r="A5850" t="str">
        <f>"20190312164427870"</f>
        <v>20190312164427870</v>
      </c>
      <c r="B5850" t="str">
        <f>"1552380267861460"</f>
        <v>1552380267861460</v>
      </c>
      <c r="C5850" t="s">
        <v>40</v>
      </c>
      <c r="D5850">
        <v>5.1048359999999997</v>
      </c>
      <c r="E5850">
        <v>0.48920669999999999</v>
      </c>
      <c r="F5850" t="s">
        <v>41</v>
      </c>
      <c r="G5850">
        <v>-94.343040000000002</v>
      </c>
      <c r="H5850">
        <v>1.03294</v>
      </c>
      <c r="I5850">
        <v>138.54329999999999</v>
      </c>
      <c r="J5850">
        <v>-94.751530000000002</v>
      </c>
      <c r="K5850">
        <v>1.1127590000000001</v>
      </c>
      <c r="L5850">
        <v>138.5581</v>
      </c>
      <c r="M5850">
        <v>0.99952019999999997</v>
      </c>
      <c r="N5850">
        <v>0</v>
      </c>
      <c r="O5850">
        <v>-2.1023989999999999E-2</v>
      </c>
      <c r="P5850">
        <v>0.99178529999999998</v>
      </c>
      <c r="Q5850">
        <v>0.1122099</v>
      </c>
      <c r="R5850">
        <v>-6.1407059999999999E-2</v>
      </c>
      <c r="S5850">
        <v>3.0538180000000001</v>
      </c>
      <c r="T5850">
        <v>-0.29590860000000002</v>
      </c>
      <c r="U5850">
        <v>-7.8491210000000006E-2</v>
      </c>
      <c r="V5850">
        <v>4.0157560000000002E-2</v>
      </c>
      <c r="W5850">
        <v>0.1348781</v>
      </c>
      <c r="X5850">
        <v>0.99004809999999999</v>
      </c>
      <c r="Y5850">
        <v>4.7422030000000004E-3</v>
      </c>
      <c r="Z5850">
        <v>1.803184E-3</v>
      </c>
      <c r="AA5850">
        <v>0.99998710000000002</v>
      </c>
      <c r="AB5850">
        <v>26</v>
      </c>
      <c r="AC5850">
        <v>0.40849000000000002</v>
      </c>
      <c r="AD5850">
        <v>-7.9819000000000001E-2</v>
      </c>
      <c r="AE5850">
        <v>-1.48000000000081E-2</v>
      </c>
      <c r="AF5850">
        <v>5.9784497638235498E-3</v>
      </c>
      <c r="AG5850">
        <v>-7.9819000000000001E-2</v>
      </c>
      <c r="AH5850">
        <v>0.39369871327187</v>
      </c>
      <c r="AI5850">
        <v>101.45959183465401</v>
      </c>
      <c r="AJ5850">
        <v>89.130010837464198</v>
      </c>
      <c r="AK5850">
        <v>0.40175302295627502</v>
      </c>
      <c r="AL5850">
        <v>82.248428826215601</v>
      </c>
      <c r="AM5850">
        <v>87.677286439909295</v>
      </c>
      <c r="AN5850">
        <v>0.99999998589918604</v>
      </c>
    </row>
    <row r="5851" spans="1:40" x14ac:dyDescent="0.25">
      <c r="A5851" t="str">
        <f>"20190312164427914"</f>
        <v>20190312164427914</v>
      </c>
      <c r="B5851" t="str">
        <f>"1552380267910767"</f>
        <v>1552380267910767</v>
      </c>
      <c r="C5851" t="s">
        <v>40</v>
      </c>
      <c r="D5851">
        <v>5.0823260000000001</v>
      </c>
      <c r="E5851">
        <v>0.488929</v>
      </c>
      <c r="F5851" t="s">
        <v>41</v>
      </c>
      <c r="G5851">
        <v>-93.896389999999997</v>
      </c>
      <c r="H5851">
        <v>1.029982</v>
      </c>
      <c r="I5851">
        <v>138.53829999999999</v>
      </c>
      <c r="J5851">
        <v>-94.259219999999999</v>
      </c>
      <c r="K5851">
        <v>1.1128610000000001</v>
      </c>
      <c r="L5851">
        <v>138.5522</v>
      </c>
      <c r="M5851">
        <v>0.99958080000000005</v>
      </c>
      <c r="N5851">
        <v>0</v>
      </c>
      <c r="O5851">
        <v>-1.7569850000000001E-2</v>
      </c>
      <c r="P5851">
        <v>0.99203059999999998</v>
      </c>
      <c r="Q5851">
        <v>0.1128026</v>
      </c>
      <c r="R5851">
        <v>-5.6135230000000001E-2</v>
      </c>
      <c r="S5851">
        <v>3.0539550000000002</v>
      </c>
      <c r="T5851">
        <v>-0.29575180000000001</v>
      </c>
      <c r="U5851">
        <v>-7.0266720000000005E-2</v>
      </c>
      <c r="V5851">
        <v>3.8287040000000001E-2</v>
      </c>
      <c r="W5851">
        <v>0.13574129999999901</v>
      </c>
      <c r="X5851">
        <v>0.9900042</v>
      </c>
      <c r="Y5851">
        <v>5.4854589999999998E-3</v>
      </c>
      <c r="Z5851">
        <v>1.4326499999999999E-3</v>
      </c>
      <c r="AA5851">
        <v>0.99998390000000004</v>
      </c>
      <c r="AB5851">
        <v>25</v>
      </c>
      <c r="AC5851">
        <v>0.36283000000000198</v>
      </c>
      <c r="AD5851">
        <v>-8.2879000000000105E-2</v>
      </c>
      <c r="AE5851">
        <v>-1.39000000000066E-2</v>
      </c>
      <c r="AF5851">
        <v>7.1488349227333903E-3</v>
      </c>
      <c r="AG5851">
        <v>-8.2879000000000105E-2</v>
      </c>
      <c r="AH5851">
        <v>0.34504126854721701</v>
      </c>
      <c r="AI5851">
        <v>103.503789656686</v>
      </c>
      <c r="AJ5851">
        <v>88.813071035771799</v>
      </c>
      <c r="AK5851">
        <v>0.35492747355259102</v>
      </c>
      <c r="AL5851">
        <v>82.198511812977102</v>
      </c>
      <c r="AM5851">
        <v>87.785268869004796</v>
      </c>
      <c r="AN5851">
        <v>0.99999995698764399</v>
      </c>
    </row>
    <row r="5852" spans="1:40" x14ac:dyDescent="0.25">
      <c r="A5852" t="str">
        <f>"20190312164427941"</f>
        <v>20190312164427941</v>
      </c>
      <c r="B5852" t="str">
        <f>"1552380267931263"</f>
        <v>1552380267931263</v>
      </c>
      <c r="C5852" t="s">
        <v>40</v>
      </c>
      <c r="D5852">
        <v>5.1452299999999997</v>
      </c>
      <c r="E5852">
        <v>0.48880230000000002</v>
      </c>
      <c r="F5852" t="s">
        <v>41</v>
      </c>
      <c r="G5852">
        <v>-93.449219999999997</v>
      </c>
      <c r="H5852">
        <v>1.035236</v>
      </c>
      <c r="I5852">
        <v>138.53790000000001</v>
      </c>
      <c r="J5852">
        <v>-93.955150000000003</v>
      </c>
      <c r="K5852">
        <v>1.1128990000000001</v>
      </c>
      <c r="L5852">
        <v>138.54949999999999</v>
      </c>
      <c r="M5852">
        <v>0.99961330000000004</v>
      </c>
      <c r="N5852">
        <v>0</v>
      </c>
      <c r="O5852">
        <v>-1.536743E-2</v>
      </c>
      <c r="P5852">
        <v>0.99227920000000003</v>
      </c>
      <c r="Q5852">
        <v>0.11242539999999999</v>
      </c>
      <c r="R5852">
        <v>-5.2373549999999998E-2</v>
      </c>
      <c r="S5852">
        <v>3.0543819999999999</v>
      </c>
      <c r="T5852">
        <v>-0.29288649999999999</v>
      </c>
      <c r="U5852">
        <v>-5.3543090000000002E-2</v>
      </c>
      <c r="V5852">
        <v>3.6708079999999997E-2</v>
      </c>
      <c r="W5852">
        <v>0.1355249</v>
      </c>
      <c r="X5852">
        <v>0.99009369999999997</v>
      </c>
      <c r="Y5852">
        <v>2.2162779999999999E-3</v>
      </c>
      <c r="Z5852">
        <v>1.3644009999999999E-3</v>
      </c>
      <c r="AA5852">
        <v>0.99999660000000001</v>
      </c>
      <c r="AB5852">
        <v>25</v>
      </c>
      <c r="AC5852">
        <v>0.50593000000000599</v>
      </c>
      <c r="AD5852">
        <v>-7.7662999999999996E-2</v>
      </c>
      <c r="AE5852">
        <v>-1.15999999999871E-2</v>
      </c>
      <c r="AF5852">
        <v>3.73376105713662E-3</v>
      </c>
      <c r="AG5852">
        <v>-7.7662999999999996E-2</v>
      </c>
      <c r="AH5852">
        <v>0.49440454885035401</v>
      </c>
      <c r="AI5852">
        <v>98.927043613409197</v>
      </c>
      <c r="AJ5852">
        <v>89.567308424035502</v>
      </c>
      <c r="AK5852">
        <v>0.50048110899868503</v>
      </c>
      <c r="AL5852">
        <v>82.211026666112105</v>
      </c>
      <c r="AM5852">
        <v>87.876710891155398</v>
      </c>
      <c r="AN5852">
        <v>1.0000000082184901</v>
      </c>
    </row>
    <row r="5853" spans="1:40" x14ac:dyDescent="0.25">
      <c r="A5853" t="str">
        <f>"20190312164427968"</f>
        <v>20190312164427968</v>
      </c>
      <c r="B5853" t="str">
        <f>"1552380267961519"</f>
        <v>1552380267961519</v>
      </c>
      <c r="C5853" t="s">
        <v>40</v>
      </c>
      <c r="D5853">
        <v>5.1655569999999997</v>
      </c>
      <c r="E5853">
        <v>0.48865389999999997</v>
      </c>
      <c r="F5853" t="s">
        <v>41</v>
      </c>
      <c r="G5853">
        <v>-93.023669999999996</v>
      </c>
      <c r="H5853">
        <v>1.02332</v>
      </c>
      <c r="I5853">
        <v>138.5369</v>
      </c>
      <c r="J5853">
        <v>-93.666489999999996</v>
      </c>
      <c r="K5853">
        <v>1.1129100000000001</v>
      </c>
      <c r="L5853">
        <v>138.54769999999999</v>
      </c>
      <c r="M5853">
        <v>0.99963990000000003</v>
      </c>
      <c r="N5853">
        <v>0</v>
      </c>
      <c r="O5853">
        <v>-1.3265819999999999E-2</v>
      </c>
      <c r="P5853">
        <v>0.99253769999999997</v>
      </c>
      <c r="Q5853">
        <v>0.1120024</v>
      </c>
      <c r="R5853">
        <v>-4.8214010000000002E-2</v>
      </c>
      <c r="S5853">
        <v>3.0544739999999999</v>
      </c>
      <c r="T5853">
        <v>-0.29391840000000002</v>
      </c>
      <c r="U5853">
        <v>-4.1076660000000001E-2</v>
      </c>
      <c r="V5853">
        <v>3.4640780000000003E-2</v>
      </c>
      <c r="W5853">
        <v>0.13524620000000001</v>
      </c>
      <c r="X5853">
        <v>0.99020629999999998</v>
      </c>
      <c r="Y5853">
        <v>2.3758340000000001E-4</v>
      </c>
      <c r="Z5853">
        <v>1.2623980000000001E-3</v>
      </c>
      <c r="AA5853">
        <v>0.99999919999999998</v>
      </c>
      <c r="AB5853">
        <v>24</v>
      </c>
      <c r="AC5853">
        <v>0.64281999999999995</v>
      </c>
      <c r="AD5853">
        <v>-8.9590000000000003E-2</v>
      </c>
      <c r="AE5853">
        <v>-1.0799999999989001E-2</v>
      </c>
      <c r="AF5853">
        <v>2.22596873360866E-3</v>
      </c>
      <c r="AG5853">
        <v>-8.9590000000000003E-2</v>
      </c>
      <c r="AH5853">
        <v>0.63066018135544699</v>
      </c>
      <c r="AI5853">
        <v>98.085147026530294</v>
      </c>
      <c r="AJ5853">
        <v>89.797770514273395</v>
      </c>
      <c r="AK5853">
        <v>0.63699575146470899</v>
      </c>
      <c r="AL5853">
        <v>82.227143458418496</v>
      </c>
      <c r="AM5853">
        <v>87.996416092434799</v>
      </c>
      <c r="AN5853">
        <v>1.00000001740656</v>
      </c>
    </row>
    <row r="5854" spans="1:40" x14ac:dyDescent="0.25">
      <c r="A5854" t="str">
        <f>"20190312164427991"</f>
        <v>20190312164427991</v>
      </c>
      <c r="B5854" t="str">
        <f>"1552380267981546"</f>
        <v>1552380267981546</v>
      </c>
      <c r="C5854" t="s">
        <v>40</v>
      </c>
      <c r="D5854">
        <v>5.2063490000000003</v>
      </c>
      <c r="E5854">
        <v>0.4885486</v>
      </c>
      <c r="F5854" t="s">
        <v>41</v>
      </c>
      <c r="G5854">
        <v>-92.803899999999999</v>
      </c>
      <c r="H5854">
        <v>1.029698</v>
      </c>
      <c r="I5854">
        <v>138.54</v>
      </c>
      <c r="J5854">
        <v>-93.432950000000005</v>
      </c>
      <c r="K5854">
        <v>1.1129070000000001</v>
      </c>
      <c r="L5854">
        <v>138.54679999999999</v>
      </c>
      <c r="M5854">
        <v>0.99965800000000005</v>
      </c>
      <c r="N5854">
        <v>0</v>
      </c>
      <c r="O5854">
        <v>-1.15721E-2</v>
      </c>
      <c r="P5854">
        <v>0.99274180000000001</v>
      </c>
      <c r="Q5854">
        <v>0.11156389999999999</v>
      </c>
      <c r="R5854">
        <v>-4.4921969999999999E-2</v>
      </c>
      <c r="S5854">
        <v>3.0544889999999998</v>
      </c>
      <c r="T5854">
        <v>-0.29470170000000001</v>
      </c>
      <c r="U5854">
        <v>-2.7252200000000001E-2</v>
      </c>
      <c r="V5854">
        <v>3.3038890000000001E-2</v>
      </c>
      <c r="W5854">
        <v>0.1349244</v>
      </c>
      <c r="X5854">
        <v>0.99030490000000004</v>
      </c>
      <c r="Y5854">
        <v>-2.5879980000000002E-3</v>
      </c>
      <c r="Z5854">
        <v>1.2387139999999999E-3</v>
      </c>
      <c r="AA5854">
        <v>0.99999590000000005</v>
      </c>
      <c r="AB5854">
        <v>24</v>
      </c>
      <c r="AC5854">
        <v>0.62905000000000599</v>
      </c>
      <c r="AD5854">
        <v>-8.3208999999999797E-2</v>
      </c>
      <c r="AE5854">
        <v>-6.7999999999983603E-3</v>
      </c>
      <c r="AF5854">
        <v>-4.7360186394251598E-4</v>
      </c>
      <c r="AG5854">
        <v>-8.3208999999999797E-2</v>
      </c>
      <c r="AH5854">
        <v>0.61826979911485702</v>
      </c>
      <c r="AI5854">
        <v>97.665015566631496</v>
      </c>
      <c r="AJ5854">
        <v>90.043889225553002</v>
      </c>
      <c r="AK5854">
        <v>0.62384413636520697</v>
      </c>
      <c r="AL5854">
        <v>82.245751500818599</v>
      </c>
      <c r="AM5854">
        <v>88.089187382948793</v>
      </c>
      <c r="AN5854">
        <v>0.99999997846590005</v>
      </c>
    </row>
    <row r="5855" spans="1:40" x14ac:dyDescent="0.25">
      <c r="A5855" t="str">
        <f>"20190312164428026"</f>
        <v>20190312164428026</v>
      </c>
      <c r="B5855" t="str">
        <f>"1552380268021561"</f>
        <v>1552380268021561</v>
      </c>
      <c r="C5855" t="s">
        <v>40</v>
      </c>
      <c r="D5855">
        <v>5.004035</v>
      </c>
      <c r="E5855">
        <v>0.48837059999999999</v>
      </c>
      <c r="F5855" t="s">
        <v>41</v>
      </c>
      <c r="G5855">
        <v>-92.589349999999996</v>
      </c>
      <c r="H5855">
        <v>1.031317</v>
      </c>
      <c r="I5855">
        <v>138.5421</v>
      </c>
      <c r="J5855">
        <v>-93.060730000000007</v>
      </c>
      <c r="K5855">
        <v>1.112878</v>
      </c>
      <c r="L5855">
        <v>138.54599999999999</v>
      </c>
      <c r="M5855">
        <v>0.99968049999999997</v>
      </c>
      <c r="N5855">
        <v>0</v>
      </c>
      <c r="O5855">
        <v>-8.8991569999999996E-3</v>
      </c>
      <c r="P5855">
        <v>0.99310960000000004</v>
      </c>
      <c r="Q5855">
        <v>0.10991380000000001</v>
      </c>
      <c r="R5855">
        <v>-4.0646010000000003E-2</v>
      </c>
      <c r="S5855">
        <v>3.0543819999999999</v>
      </c>
      <c r="T5855">
        <v>-0.29552719999999999</v>
      </c>
      <c r="U5855">
        <v>-1.6693119999999999E-2</v>
      </c>
      <c r="V5855">
        <v>3.1437010000000001E-2</v>
      </c>
      <c r="W5855">
        <v>0.1334719</v>
      </c>
      <c r="X5855">
        <v>0.99055389999999999</v>
      </c>
      <c r="Y5855">
        <v>-3.3791670000000002E-3</v>
      </c>
      <c r="Z5855">
        <v>1.022348E-3</v>
      </c>
      <c r="AA5855">
        <v>0.99999369999999999</v>
      </c>
      <c r="AB5855">
        <v>24</v>
      </c>
      <c r="AC5855">
        <v>0.47138000000001001</v>
      </c>
      <c r="AD5855">
        <v>-8.1560999999999995E-2</v>
      </c>
      <c r="AE5855">
        <v>-3.8999999999873498E-3</v>
      </c>
      <c r="AF5855">
        <v>-2.8760388830970102E-4</v>
      </c>
      <c r="AG5855">
        <v>-8.1560999999999995E-2</v>
      </c>
      <c r="AH5855">
        <v>0.45769451964379898</v>
      </c>
      <c r="AI5855">
        <v>100.10402490368</v>
      </c>
      <c r="AJ5855">
        <v>90.036003242546201</v>
      </c>
      <c r="AK5855">
        <v>0.46490488570132799</v>
      </c>
      <c r="AL5855">
        <v>82.3297336932565</v>
      </c>
      <c r="AM5855">
        <v>88.182225501818493</v>
      </c>
      <c r="AN5855">
        <v>1.00000003124627</v>
      </c>
    </row>
    <row r="5856" spans="1:40" x14ac:dyDescent="0.25">
      <c r="A5856" t="str">
        <f>"20190312164428055"</f>
        <v>20190312164428055</v>
      </c>
      <c r="B5856" t="str">
        <f>"1552380268050842"</f>
        <v>1552380268050842</v>
      </c>
      <c r="C5856" t="s">
        <v>40</v>
      </c>
      <c r="D5856">
        <v>5.3671569999999997</v>
      </c>
      <c r="E5856">
        <v>0.488315</v>
      </c>
      <c r="F5856" t="s">
        <v>41</v>
      </c>
      <c r="G5856">
        <v>-92.173929999999999</v>
      </c>
      <c r="H5856">
        <v>1.025928</v>
      </c>
      <c r="I5856">
        <v>138.54519999999999</v>
      </c>
      <c r="J5856">
        <v>-92.753169999999997</v>
      </c>
      <c r="K5856">
        <v>1.1128750000000001</v>
      </c>
      <c r="L5856">
        <v>138.5461</v>
      </c>
      <c r="M5856">
        <v>0.99969209999999997</v>
      </c>
      <c r="N5856">
        <v>0</v>
      </c>
      <c r="O5856">
        <v>-6.7219480000000002E-3</v>
      </c>
      <c r="P5856">
        <v>0.99327240000000006</v>
      </c>
      <c r="Q5856">
        <v>0.1094565</v>
      </c>
      <c r="R5856">
        <v>-3.7811869999999997E-2</v>
      </c>
      <c r="S5856">
        <v>3.0538789999999998</v>
      </c>
      <c r="T5856">
        <v>-0.29962689999999997</v>
      </c>
      <c r="U5856">
        <v>-2.0751950000000002E-3</v>
      </c>
      <c r="V5856">
        <v>3.078142E-2</v>
      </c>
      <c r="W5856">
        <v>0.13324179999999999</v>
      </c>
      <c r="X5856">
        <v>0.99060539999999997</v>
      </c>
      <c r="Y5856">
        <v>-5.9833380000000004E-3</v>
      </c>
      <c r="Z5856">
        <v>9.5093860000000001E-4</v>
      </c>
      <c r="AA5856">
        <v>0.99998160000000003</v>
      </c>
      <c r="AB5856">
        <v>24</v>
      </c>
      <c r="AC5856">
        <v>0.57923999999999798</v>
      </c>
      <c r="AD5856">
        <v>-8.6946999999999802E-2</v>
      </c>
      <c r="AE5856">
        <v>-9.0000000000145497E-4</v>
      </c>
      <c r="AF5856">
        <v>-2.9287631036916699E-3</v>
      </c>
      <c r="AG5856">
        <v>-8.6946999999999802E-2</v>
      </c>
      <c r="AH5856">
        <v>0.56646952126357697</v>
      </c>
      <c r="AI5856">
        <v>98.726071868479295</v>
      </c>
      <c r="AJ5856">
        <v>90.296228240980895</v>
      </c>
      <c r="AK5856">
        <v>0.57311087669220195</v>
      </c>
      <c r="AL5856">
        <v>82.343035765053003</v>
      </c>
      <c r="AM5856">
        <v>88.220201352379306</v>
      </c>
      <c r="AN5856">
        <v>0.99999996579680706</v>
      </c>
    </row>
    <row r="5857" spans="1:40" x14ac:dyDescent="0.25">
      <c r="A5857" t="str">
        <f>"20190312164428094"</f>
        <v>20190312164428094</v>
      </c>
      <c r="B5857" t="str">
        <f>"1552380268091365"</f>
        <v>1552380268091365</v>
      </c>
      <c r="C5857" t="s">
        <v>40</v>
      </c>
      <c r="D5857">
        <v>5.1052879999999998</v>
      </c>
      <c r="E5857">
        <v>0.48850959999999899</v>
      </c>
      <c r="F5857" t="s">
        <v>42</v>
      </c>
      <c r="G5857">
        <v>-81.505740000000003</v>
      </c>
      <c r="H5857" s="1">
        <v>-3.8123669999999998E-6</v>
      </c>
      <c r="I5857">
        <v>138.5675</v>
      </c>
      <c r="J5857">
        <v>-92.363919999999993</v>
      </c>
      <c r="K5857">
        <v>1.1128910000000001</v>
      </c>
      <c r="L5857">
        <v>138.5471</v>
      </c>
      <c r="M5857">
        <v>0.99969819999999998</v>
      </c>
      <c r="N5857">
        <v>0</v>
      </c>
      <c r="O5857">
        <v>-3.9865279999999996E-3</v>
      </c>
      <c r="P5857">
        <v>0.99336670000000005</v>
      </c>
      <c r="Q5857">
        <v>0.10950409999999999</v>
      </c>
      <c r="R5857">
        <v>-3.5092280000000003E-2</v>
      </c>
      <c r="S5857">
        <v>3.053833</v>
      </c>
      <c r="T5857">
        <v>-0.30216100000000001</v>
      </c>
      <c r="U5857">
        <v>5.8441159999999999E-3</v>
      </c>
      <c r="V5857">
        <v>3.0796460000000001E-2</v>
      </c>
      <c r="W5857">
        <v>0.13363349999999999</v>
      </c>
      <c r="X5857">
        <v>0.99055219999999999</v>
      </c>
      <c r="Y5857">
        <v>-5.8533169999999898E-3</v>
      </c>
      <c r="Z5857">
        <v>6.8247259999999895E-4</v>
      </c>
      <c r="AA5857">
        <v>0.9999827</v>
      </c>
      <c r="AB5857">
        <v>23</v>
      </c>
      <c r="AC5857">
        <v>10.8581799999999</v>
      </c>
      <c r="AD5857">
        <v>-1.1128948123669999</v>
      </c>
      <c r="AE5857">
        <v>2.0399999999994999E-2</v>
      </c>
      <c r="AF5857">
        <v>-6.3036803526151305E-2</v>
      </c>
      <c r="AG5857">
        <v>-1.1128948123669999</v>
      </c>
      <c r="AH5857">
        <v>10.7451355602949</v>
      </c>
      <c r="AI5857">
        <v>95.913051865448494</v>
      </c>
      <c r="AJ5857">
        <v>90.336124318052697</v>
      </c>
      <c r="AK5857">
        <v>10.8027980963779</v>
      </c>
      <c r="AL5857">
        <v>82.320390741084296</v>
      </c>
      <c r="AM5857">
        <v>88.219236717529895</v>
      </c>
      <c r="AN5857">
        <v>0.99999999759781</v>
      </c>
    </row>
    <row r="5858" spans="1:40" x14ac:dyDescent="0.25">
      <c r="A5858" t="str">
        <f>"20190312164428138"</f>
        <v>20190312164428138</v>
      </c>
      <c r="B5858" t="str">
        <f>"1552380268131384"</f>
        <v>1552380268131384</v>
      </c>
      <c r="C5858" t="s">
        <v>40</v>
      </c>
      <c r="D5858">
        <v>5.1543109999999999</v>
      </c>
      <c r="E5858">
        <v>0.48871439999999999</v>
      </c>
      <c r="F5858" t="s">
        <v>41</v>
      </c>
      <c r="G5858">
        <v>-91.554349999999999</v>
      </c>
      <c r="H5858">
        <v>1.032117</v>
      </c>
      <c r="I5858">
        <v>138.55000000000001</v>
      </c>
      <c r="J5858">
        <v>-91.925290000000004</v>
      </c>
      <c r="K5858">
        <v>1.1129359999999999</v>
      </c>
      <c r="L5858">
        <v>138.5496</v>
      </c>
      <c r="M5858">
        <v>0.99969410000000003</v>
      </c>
      <c r="N5858">
        <v>0</v>
      </c>
      <c r="O5858">
        <v>-9.166631E-4</v>
      </c>
      <c r="P5858">
        <v>0.99341060000000003</v>
      </c>
      <c r="Q5858">
        <v>0.1101347</v>
      </c>
      <c r="R5858">
        <v>-3.1714480000000003E-2</v>
      </c>
      <c r="S5858">
        <v>3.0540310000000002</v>
      </c>
      <c r="T5858">
        <v>-0.30476029999999998</v>
      </c>
      <c r="U5858">
        <v>1.109314E-2</v>
      </c>
      <c r="V5858">
        <v>3.0483840000000002E-2</v>
      </c>
      <c r="W5858">
        <v>0.1347255</v>
      </c>
      <c r="X5858">
        <v>0.99041400000000002</v>
      </c>
      <c r="Y5858">
        <v>-4.5221920000000004E-3</v>
      </c>
      <c r="Z5858">
        <v>3.163485E-4</v>
      </c>
      <c r="AA5858">
        <v>0.99998969999999998</v>
      </c>
      <c r="AB5858">
        <v>23</v>
      </c>
      <c r="AC5858">
        <v>0.37094000000000399</v>
      </c>
      <c r="AD5858">
        <v>-8.0819000000000196E-2</v>
      </c>
      <c r="AE5858">
        <v>4.0000000001327803E-4</v>
      </c>
      <c r="AF5858">
        <v>-7.0658897637517696E-4</v>
      </c>
      <c r="AG5858">
        <v>-8.0819000000000196E-2</v>
      </c>
      <c r="AH5858">
        <v>0.35412897954101102</v>
      </c>
      <c r="AI5858">
        <v>102.855791173312</v>
      </c>
      <c r="AJ5858">
        <v>90.114321376703003</v>
      </c>
      <c r="AK5858">
        <v>0.36323483337882001</v>
      </c>
      <c r="AL5858">
        <v>82.257253264143102</v>
      </c>
      <c r="AM5858">
        <v>88.237056272590905</v>
      </c>
      <c r="AN5858">
        <v>1.0000000581236901</v>
      </c>
    </row>
    <row r="5859" spans="1:40" x14ac:dyDescent="0.25">
      <c r="A5859" t="str">
        <f>"20190312164428182"</f>
        <v>20190312164428182</v>
      </c>
      <c r="B5859" t="str">
        <f>"1552380268171397"</f>
        <v>1552380268171397</v>
      </c>
      <c r="C5859" t="s">
        <v>40</v>
      </c>
      <c r="D5859">
        <v>5.2362970000000004</v>
      </c>
      <c r="E5859">
        <v>0.50873349999999995</v>
      </c>
      <c r="F5859" t="s">
        <v>42</v>
      </c>
      <c r="G5859">
        <v>-80.794790000000006</v>
      </c>
      <c r="H5859" s="1">
        <v>-4.1073030000000003E-6</v>
      </c>
      <c r="I5859">
        <v>138.6242</v>
      </c>
      <c r="J5859">
        <v>-91.494450000000001</v>
      </c>
      <c r="K5859">
        <v>1.1129599999999999</v>
      </c>
      <c r="L5859">
        <v>138.55340000000001</v>
      </c>
      <c r="M5859">
        <v>0.9996794</v>
      </c>
      <c r="N5859">
        <v>0</v>
      </c>
      <c r="O5859">
        <v>2.112531E-3</v>
      </c>
      <c r="P5859">
        <v>0.99383489999999997</v>
      </c>
      <c r="Q5859">
        <v>0.10718859999999999</v>
      </c>
      <c r="R5859">
        <v>-2.8338530000000001E-2</v>
      </c>
      <c r="S5859">
        <v>3.0544129999999998</v>
      </c>
      <c r="T5859">
        <v>-0.30540990000000001</v>
      </c>
      <c r="U5859">
        <v>2.0492549999999998E-2</v>
      </c>
      <c r="V5859">
        <v>3.0140110000000001E-2</v>
      </c>
      <c r="W5859">
        <v>0.13230029999999901</v>
      </c>
      <c r="X5859">
        <v>0.9907513</v>
      </c>
      <c r="Y5859">
        <v>-4.5835229999999999E-3</v>
      </c>
      <c r="Z5859" s="1">
        <v>1.7809829999999999E-5</v>
      </c>
      <c r="AA5859">
        <v>0.99998949999999998</v>
      </c>
      <c r="AB5859">
        <v>22</v>
      </c>
      <c r="AC5859">
        <v>10.6996599999999</v>
      </c>
      <c r="AD5859">
        <v>-1.1129641073030001</v>
      </c>
      <c r="AE5859">
        <v>7.07999999999913E-2</v>
      </c>
      <c r="AF5859">
        <v>-4.7673481334140899E-2</v>
      </c>
      <c r="AG5859">
        <v>-1.1129641073030001</v>
      </c>
      <c r="AH5859">
        <v>10.585259522707901</v>
      </c>
      <c r="AI5859">
        <v>96.002126528419595</v>
      </c>
      <c r="AJ5859">
        <v>90.258044765092393</v>
      </c>
      <c r="AK5859">
        <v>10.643715564972799</v>
      </c>
      <c r="AL5859">
        <v>82.397461601243293</v>
      </c>
      <c r="AM5859">
        <v>88.2575156213382</v>
      </c>
      <c r="AN5859">
        <v>0.99999996703129501</v>
      </c>
    </row>
    <row r="5860" spans="1:40" x14ac:dyDescent="0.25">
      <c r="A5860" t="str">
        <f>"20190312164428210"</f>
        <v>20190312164428210</v>
      </c>
      <c r="B5860" t="str">
        <f>"1552380268200678"</f>
        <v>1552380268200678</v>
      </c>
      <c r="C5860" t="s">
        <v>40</v>
      </c>
      <c r="D5860">
        <v>5.2456300000000002</v>
      </c>
      <c r="E5860">
        <v>0.5133759</v>
      </c>
      <c r="F5860" t="s">
        <v>41</v>
      </c>
      <c r="G5860">
        <v>-90.617099999999994</v>
      </c>
      <c r="H5860">
        <v>0.95854709999999999</v>
      </c>
      <c r="I5860">
        <v>138.51840000000001</v>
      </c>
      <c r="J5860">
        <v>-91.221689999999995</v>
      </c>
      <c r="K5860">
        <v>1.1129830000000001</v>
      </c>
      <c r="L5860">
        <v>138.5565</v>
      </c>
      <c r="M5860">
        <v>0.99966390000000005</v>
      </c>
      <c r="N5860">
        <v>0</v>
      </c>
      <c r="O5860">
        <v>4.0387460000000002E-3</v>
      </c>
      <c r="P5860">
        <v>0.99400679999999997</v>
      </c>
      <c r="Q5860">
        <v>0.1061786</v>
      </c>
      <c r="R5860">
        <v>-2.6013749999999999E-2</v>
      </c>
      <c r="S5860">
        <v>3.0734710000000001</v>
      </c>
      <c r="T5860">
        <v>-0.54100239999999999</v>
      </c>
      <c r="U5860">
        <v>-0.122253399999999</v>
      </c>
      <c r="V5860">
        <v>2.9742049999999999E-2</v>
      </c>
      <c r="W5860">
        <v>0.13166029999999901</v>
      </c>
      <c r="X5860">
        <v>0.99084859999999997</v>
      </c>
      <c r="Y5860">
        <v>4.3059119999999999E-2</v>
      </c>
      <c r="Z5860">
        <v>-4.4648029999999998E-3</v>
      </c>
      <c r="AA5860">
        <v>0.99906249999999996</v>
      </c>
      <c r="AB5860">
        <v>22</v>
      </c>
      <c r="AC5860">
        <v>0.60459000000000096</v>
      </c>
      <c r="AD5860">
        <v>-0.15443589999999999</v>
      </c>
      <c r="AE5860">
        <v>-3.8099999999985798E-2</v>
      </c>
      <c r="AF5860">
        <v>3.8068185471036499E-2</v>
      </c>
      <c r="AG5860">
        <v>-0.15443589999999999</v>
      </c>
      <c r="AH5860">
        <v>0.56754576325263595</v>
      </c>
      <c r="AI5860">
        <v>105.189741475464</v>
      </c>
      <c r="AJ5860">
        <v>86.1626281758749</v>
      </c>
      <c r="AK5860">
        <v>0.58941312111275901</v>
      </c>
      <c r="AL5860">
        <v>82.434454648707998</v>
      </c>
      <c r="AM5860">
        <v>88.280683429820698</v>
      </c>
      <c r="AN5860">
        <v>0.99999998612812602</v>
      </c>
    </row>
    <row r="5861" spans="1:40" x14ac:dyDescent="0.25">
      <c r="A5861" t="str">
        <f>"20190312164428232"</f>
        <v>20190312164428232</v>
      </c>
      <c r="B5861" t="str">
        <f>"1552380268221173"</f>
        <v>1552380268221173</v>
      </c>
      <c r="C5861" t="s">
        <v>40</v>
      </c>
      <c r="D5861">
        <v>5.2381960000000003</v>
      </c>
      <c r="E5861">
        <v>0.51504309999999998</v>
      </c>
      <c r="F5861" t="s">
        <v>41</v>
      </c>
      <c r="G5861">
        <v>-90.426400000000001</v>
      </c>
      <c r="H5861">
        <v>0.96275169999999999</v>
      </c>
      <c r="I5861">
        <v>138.51769999999999</v>
      </c>
      <c r="J5861">
        <v>-91.007800000000003</v>
      </c>
      <c r="K5861">
        <v>1.1129990000000001</v>
      </c>
      <c r="L5861">
        <v>138.55930000000001</v>
      </c>
      <c r="M5861">
        <v>0.99964940000000002</v>
      </c>
      <c r="N5861">
        <v>0</v>
      </c>
      <c r="O5861">
        <v>5.553718E-3</v>
      </c>
      <c r="P5861">
        <v>0.9940736</v>
      </c>
      <c r="Q5861">
        <v>0.1059297</v>
      </c>
      <c r="R5861">
        <v>-2.442886E-2</v>
      </c>
      <c r="S5861">
        <v>3.0762330000000002</v>
      </c>
      <c r="T5861">
        <v>-0.58115859999999997</v>
      </c>
      <c r="U5861">
        <v>-0.1502686</v>
      </c>
      <c r="V5861">
        <v>2.9671260000000001E-2</v>
      </c>
      <c r="W5861">
        <v>0.13169239999999999</v>
      </c>
      <c r="X5861">
        <v>0.99084649999999996</v>
      </c>
      <c r="Y5861">
        <v>5.3299579999999999E-2</v>
      </c>
      <c r="Z5861">
        <v>-6.027396E-3</v>
      </c>
      <c r="AA5861">
        <v>0.99856040000000001</v>
      </c>
      <c r="AB5861">
        <v>21</v>
      </c>
      <c r="AC5861">
        <v>0.58140000000000203</v>
      </c>
      <c r="AD5861">
        <v>-0.1502473</v>
      </c>
      <c r="AE5861">
        <v>-4.16000000000167E-2</v>
      </c>
      <c r="AF5861">
        <v>4.2036373196685302E-2</v>
      </c>
      <c r="AG5861">
        <v>-0.1502473</v>
      </c>
      <c r="AH5861">
        <v>0.54495197805705897</v>
      </c>
      <c r="AI5861">
        <v>105.37043394278101</v>
      </c>
      <c r="AJ5861">
        <v>85.589066944681093</v>
      </c>
      <c r="AK5861">
        <v>0.56684562820676598</v>
      </c>
      <c r="AL5861">
        <v>82.432599627229706</v>
      </c>
      <c r="AM5861">
        <v>88.284769549453003</v>
      </c>
      <c r="AN5861">
        <v>1.00000002922499</v>
      </c>
    </row>
    <row r="5862" spans="1:40" x14ac:dyDescent="0.25">
      <c r="A5862" t="str">
        <f>"20190312164428257"</f>
        <v>20190312164428257</v>
      </c>
      <c r="B5862" t="str">
        <f>"1552380268251430"</f>
        <v>1552380268251430</v>
      </c>
      <c r="C5862" t="s">
        <v>40</v>
      </c>
      <c r="D5862">
        <v>5.2194149999999997</v>
      </c>
      <c r="E5862">
        <v>0.51602570000000003</v>
      </c>
      <c r="F5862" t="s">
        <v>41</v>
      </c>
      <c r="G5862">
        <v>-90.24051</v>
      </c>
      <c r="H5862">
        <v>0.96213970000000004</v>
      </c>
      <c r="I5862">
        <v>138.52010000000001</v>
      </c>
      <c r="J5862">
        <v>-90.784059999999997</v>
      </c>
      <c r="K5862">
        <v>1.113043</v>
      </c>
      <c r="L5862">
        <v>138.5626</v>
      </c>
      <c r="M5862">
        <v>0.9996275</v>
      </c>
      <c r="N5862">
        <v>0</v>
      </c>
      <c r="O5862">
        <v>7.1166069999999996E-3</v>
      </c>
      <c r="P5862">
        <v>0.99413200000000002</v>
      </c>
      <c r="Q5862">
        <v>0.1056999</v>
      </c>
      <c r="R5862">
        <v>-2.3007860000000002E-2</v>
      </c>
      <c r="S5862">
        <v>3.0785369999999999</v>
      </c>
      <c r="T5862">
        <v>-0.60538130000000001</v>
      </c>
      <c r="U5862">
        <v>-0.15693660000000001</v>
      </c>
      <c r="V5862">
        <v>2.981495E-2</v>
      </c>
      <c r="W5862">
        <v>0.13191549999999999</v>
      </c>
      <c r="X5862">
        <v>0.99081249999999998</v>
      </c>
      <c r="Y5862">
        <v>5.679903E-2</v>
      </c>
      <c r="Z5862">
        <v>-6.914023E-3</v>
      </c>
      <c r="AA5862">
        <v>0.99836170000000002</v>
      </c>
      <c r="AB5862">
        <v>21</v>
      </c>
      <c r="AC5862">
        <v>0.54354999999999598</v>
      </c>
      <c r="AD5862">
        <v>-0.15090329999999999</v>
      </c>
      <c r="AE5862">
        <v>-4.2499999999989699E-2</v>
      </c>
      <c r="AF5862">
        <v>4.3069082250720203E-2</v>
      </c>
      <c r="AG5862">
        <v>-0.15090329999999999</v>
      </c>
      <c r="AH5862">
        <v>0.50457910744096701</v>
      </c>
      <c r="AI5862">
        <v>106.593221399716</v>
      </c>
      <c r="AJ5862">
        <v>85.121261008493903</v>
      </c>
      <c r="AK5862">
        <v>0.52841917779612402</v>
      </c>
      <c r="AL5862">
        <v>82.419704370736895</v>
      </c>
      <c r="AM5862">
        <v>88.276409035902503</v>
      </c>
      <c r="AN5862">
        <v>1.0000000202699999</v>
      </c>
    </row>
    <row r="5863" spans="1:40" x14ac:dyDescent="0.25">
      <c r="A5863" t="str">
        <f>"20190312164428294"</f>
        <v>20190312164428294</v>
      </c>
      <c r="B5863" t="str">
        <f>"1552380268291445"</f>
        <v>1552380268291445</v>
      </c>
      <c r="C5863" t="s">
        <v>40</v>
      </c>
      <c r="D5863">
        <v>5.2030440000000002</v>
      </c>
      <c r="E5863">
        <v>0.51523289999999999</v>
      </c>
      <c r="F5863" t="s">
        <v>41</v>
      </c>
      <c r="G5863">
        <v>-90.054199999999994</v>
      </c>
      <c r="H5863">
        <v>0.96864589999999995</v>
      </c>
      <c r="I5863">
        <v>138.5247</v>
      </c>
      <c r="J5863">
        <v>-90.455799999999996</v>
      </c>
      <c r="K5863">
        <v>1.1130719999999901</v>
      </c>
      <c r="L5863">
        <v>138.56809999999999</v>
      </c>
      <c r="M5863">
        <v>0.99959290000000001</v>
      </c>
      <c r="N5863">
        <v>0</v>
      </c>
      <c r="O5863">
        <v>9.4249940000000008E-3</v>
      </c>
      <c r="P5863">
        <v>0.99429829999999997</v>
      </c>
      <c r="Q5863">
        <v>0.1045952</v>
      </c>
      <c r="R5863">
        <v>-2.0763449999999999E-2</v>
      </c>
      <c r="S5863">
        <v>3.0787960000000001</v>
      </c>
      <c r="T5863">
        <v>-0.60921899999999996</v>
      </c>
      <c r="U5863">
        <v>-0.15956119999999999</v>
      </c>
      <c r="V5863">
        <v>2.9885780000000001E-2</v>
      </c>
      <c r="W5863">
        <v>0.13138849999999999</v>
      </c>
      <c r="X5863">
        <v>0.99088039999999999</v>
      </c>
      <c r="Y5863">
        <v>5.9830359999999999E-2</v>
      </c>
      <c r="Z5863">
        <v>-7.7054589999999996E-3</v>
      </c>
      <c r="AA5863">
        <v>0.99817880000000003</v>
      </c>
      <c r="AB5863">
        <v>21</v>
      </c>
      <c r="AC5863">
        <v>0.40160000000000201</v>
      </c>
      <c r="AD5863">
        <v>-0.144426099999999</v>
      </c>
      <c r="AE5863">
        <v>-4.3399999999991203E-2</v>
      </c>
      <c r="AF5863">
        <v>4.1836242737590103E-2</v>
      </c>
      <c r="AG5863">
        <v>-0.144426099999999</v>
      </c>
      <c r="AH5863">
        <v>0.35570073743022201</v>
      </c>
      <c r="AI5863">
        <v>111.96190267852801</v>
      </c>
      <c r="AJ5863">
        <v>83.291895437455494</v>
      </c>
      <c r="AK5863">
        <v>0.38617636408254202</v>
      </c>
      <c r="AL5863">
        <v>82.450164462688605</v>
      </c>
      <c r="AM5863">
        <v>88.272435176694302</v>
      </c>
      <c r="AN5863">
        <v>1.0000000324413001</v>
      </c>
    </row>
    <row r="5864" spans="1:40" x14ac:dyDescent="0.25">
      <c r="A5864" t="str">
        <f>"20190312164428339"</f>
        <v>20190312164428339</v>
      </c>
      <c r="B5864" t="str">
        <f>"1552380268331465"</f>
        <v>1552380268331465</v>
      </c>
      <c r="C5864" t="s">
        <v>40</v>
      </c>
      <c r="D5864">
        <v>5.2413749999999997</v>
      </c>
      <c r="E5864">
        <v>0.51628079999999998</v>
      </c>
      <c r="F5864" t="s">
        <v>41</v>
      </c>
      <c r="G5864">
        <v>-89.698409999999996</v>
      </c>
      <c r="H5864">
        <v>0.96330550000000004</v>
      </c>
      <c r="I5864">
        <v>138.5317</v>
      </c>
      <c r="J5864">
        <v>-90.062269999999998</v>
      </c>
      <c r="K5864">
        <v>1.11291299999999</v>
      </c>
      <c r="L5864">
        <v>138.57570000000001</v>
      </c>
      <c r="M5864">
        <v>0.99956829999999997</v>
      </c>
      <c r="N5864">
        <v>0</v>
      </c>
      <c r="O5864">
        <v>1.2190309999999999E-2</v>
      </c>
      <c r="P5864">
        <v>0.99432659999999995</v>
      </c>
      <c r="Q5864">
        <v>0.1048538</v>
      </c>
      <c r="R5864">
        <v>-1.790311E-2</v>
      </c>
      <c r="S5864">
        <v>3.0781399999999999</v>
      </c>
      <c r="T5864">
        <v>-0.60869779999999996</v>
      </c>
      <c r="U5864">
        <v>-0.14775089999999999</v>
      </c>
      <c r="V5864">
        <v>2.9787589999999999E-2</v>
      </c>
      <c r="W5864">
        <v>0.131444799999999</v>
      </c>
      <c r="X5864">
        <v>0.99087579999999997</v>
      </c>
      <c r="Y5864">
        <v>5.8751009999999999E-2</v>
      </c>
      <c r="Z5864">
        <v>-8.1371880000000001E-3</v>
      </c>
      <c r="AA5864">
        <v>0.99823949999999995</v>
      </c>
      <c r="AB5864">
        <v>20</v>
      </c>
      <c r="AC5864">
        <v>0.36386000000000202</v>
      </c>
      <c r="AD5864">
        <v>-0.14960749999999901</v>
      </c>
      <c r="AE5864">
        <v>-4.40000000000111E-2</v>
      </c>
      <c r="AF5864">
        <v>4.1516329543792203E-2</v>
      </c>
      <c r="AG5864">
        <v>-0.14960749999999901</v>
      </c>
      <c r="AH5864">
        <v>0.311408710923752</v>
      </c>
      <c r="AI5864">
        <v>115.464180028972</v>
      </c>
      <c r="AJ5864">
        <v>82.406230123292303</v>
      </c>
      <c r="AK5864">
        <v>0.34796751991275199</v>
      </c>
      <c r="AL5864">
        <v>82.446909813689501</v>
      </c>
      <c r="AM5864">
        <v>88.278099695149805</v>
      </c>
      <c r="AN5864">
        <v>0.99999994349534205</v>
      </c>
    </row>
    <row r="5865" spans="1:40" x14ac:dyDescent="0.25">
      <c r="A5865" t="str">
        <f>"20190312164428368"</f>
        <v>20190312164428368</v>
      </c>
      <c r="B5865" t="str">
        <f>"1552380268360742"</f>
        <v>1552380268360742</v>
      </c>
      <c r="C5865" t="s">
        <v>40</v>
      </c>
      <c r="D5865">
        <v>4.9705709999999996</v>
      </c>
      <c r="E5865">
        <v>0.51657350000000002</v>
      </c>
      <c r="F5865" t="s">
        <v>41</v>
      </c>
      <c r="G5865">
        <v>-89.344800000000006</v>
      </c>
      <c r="H5865">
        <v>0.96771399999999996</v>
      </c>
      <c r="I5865">
        <v>138.5412</v>
      </c>
      <c r="J5865">
        <v>-89.81183</v>
      </c>
      <c r="K5865">
        <v>1.1128229999999999</v>
      </c>
      <c r="L5865">
        <v>138.58099999999999</v>
      </c>
      <c r="M5865">
        <v>0.99954659999999995</v>
      </c>
      <c r="N5865">
        <v>0</v>
      </c>
      <c r="O5865">
        <v>1.394158E-2</v>
      </c>
      <c r="P5865">
        <v>0.99431179999999997</v>
      </c>
      <c r="Q5865">
        <v>0.10530539999999899</v>
      </c>
      <c r="R5865">
        <v>-1.597438E-2</v>
      </c>
      <c r="S5865">
        <v>3.0802</v>
      </c>
      <c r="T5865">
        <v>-0.62342719999999996</v>
      </c>
      <c r="U5865">
        <v>-0.14761350000000001</v>
      </c>
      <c r="V5865">
        <v>2.962064E-2</v>
      </c>
      <c r="W5865">
        <v>0.13184560000000001</v>
      </c>
      <c r="X5865">
        <v>0.99082760000000003</v>
      </c>
      <c r="Y5865">
        <v>6.0292159999999997E-2</v>
      </c>
      <c r="Z5865">
        <v>-8.8299480000000007E-3</v>
      </c>
      <c r="AA5865">
        <v>0.99814170000000002</v>
      </c>
      <c r="AB5865">
        <v>20</v>
      </c>
      <c r="AC5865">
        <v>0.46702999999999401</v>
      </c>
      <c r="AD5865">
        <v>-0.14510899999999899</v>
      </c>
      <c r="AE5865">
        <v>-3.9800000000013797E-2</v>
      </c>
      <c r="AF5865">
        <v>4.2259357533893101E-2</v>
      </c>
      <c r="AG5865">
        <v>-0.14510899999999899</v>
      </c>
      <c r="AH5865">
        <v>0.42563566786290402</v>
      </c>
      <c r="AI5865">
        <v>108.739762931092</v>
      </c>
      <c r="AJ5865">
        <v>84.329954571797401</v>
      </c>
      <c r="AK5865">
        <v>0.45167266569638498</v>
      </c>
      <c r="AL5865">
        <v>82.4237443945634</v>
      </c>
      <c r="AM5865">
        <v>88.287661394355595</v>
      </c>
      <c r="AN5865">
        <v>0.99999998873756402</v>
      </c>
    </row>
    <row r="5866" spans="1:40" x14ac:dyDescent="0.25">
      <c r="A5866" t="str">
        <f>"20190312164428392"</f>
        <v>20190312164428392</v>
      </c>
      <c r="B5866" t="str">
        <f>"1552380268381238"</f>
        <v>1552380268381238</v>
      </c>
      <c r="C5866" t="s">
        <v>40</v>
      </c>
      <c r="D5866">
        <v>5.2597199999999997</v>
      </c>
      <c r="E5866">
        <v>0.53679140000000003</v>
      </c>
      <c r="F5866" t="s">
        <v>41</v>
      </c>
      <c r="G5866">
        <v>-89.011759999999995</v>
      </c>
      <c r="H5866">
        <v>0.94994429999999996</v>
      </c>
      <c r="I5866">
        <v>138.54339999999999</v>
      </c>
      <c r="J5866">
        <v>-89.600719999999995</v>
      </c>
      <c r="K5866">
        <v>1.112779</v>
      </c>
      <c r="L5866">
        <v>138.58580000000001</v>
      </c>
      <c r="M5866">
        <v>0.99952459999999999</v>
      </c>
      <c r="N5866">
        <v>0</v>
      </c>
      <c r="O5866">
        <v>1.5401700000000001E-2</v>
      </c>
      <c r="P5866">
        <v>0.99426789999999998</v>
      </c>
      <c r="Q5866">
        <v>0.1059479</v>
      </c>
      <c r="R5866">
        <v>-1.438979E-2</v>
      </c>
      <c r="S5866">
        <v>3.0812680000000001</v>
      </c>
      <c r="T5866">
        <v>-0.62733859999999997</v>
      </c>
      <c r="U5866">
        <v>-0.14479059999999999</v>
      </c>
      <c r="V5866">
        <v>2.9505409999999999E-2</v>
      </c>
      <c r="W5866">
        <v>0.13250870000000001</v>
      </c>
      <c r="X5866">
        <v>0.99074260000000003</v>
      </c>
      <c r="Y5866">
        <v>6.0763900000000003E-2</v>
      </c>
      <c r="Z5866">
        <v>-9.2231489999999999E-3</v>
      </c>
      <c r="AA5866">
        <v>0.99810960000000004</v>
      </c>
      <c r="AB5866">
        <v>19</v>
      </c>
      <c r="AC5866">
        <v>0.58896000000000004</v>
      </c>
      <c r="AD5866">
        <v>-0.1628347</v>
      </c>
      <c r="AE5866">
        <v>-4.2400000000014801E-2</v>
      </c>
      <c r="AF5866">
        <v>4.7831767374005997E-2</v>
      </c>
      <c r="AG5866">
        <v>-0.1628347</v>
      </c>
      <c r="AH5866">
        <v>0.54666504867604204</v>
      </c>
      <c r="AI5866">
        <v>106.52749367169601</v>
      </c>
      <c r="AJ5866">
        <v>84.999503557490499</v>
      </c>
      <c r="AK5866">
        <v>0.57240343547029005</v>
      </c>
      <c r="AL5866">
        <v>82.385415445570501</v>
      </c>
      <c r="AM5866">
        <v>88.294172527829204</v>
      </c>
      <c r="AN5866">
        <v>1.00000001212485</v>
      </c>
    </row>
    <row r="5867" spans="1:40" x14ac:dyDescent="0.25">
      <c r="A5867" t="str">
        <f>"20190312164428430"</f>
        <v>20190312164428430</v>
      </c>
      <c r="B5867" t="str">
        <f>"1552380268421254"</f>
        <v>1552380268421254</v>
      </c>
      <c r="C5867" t="s">
        <v>40</v>
      </c>
      <c r="D5867">
        <v>5.1420589999999997</v>
      </c>
      <c r="E5867">
        <v>0.54031680000000004</v>
      </c>
      <c r="F5867" t="s">
        <v>41</v>
      </c>
      <c r="G5867">
        <v>-88.836559999999906</v>
      </c>
      <c r="H5867">
        <v>0.96361010000000002</v>
      </c>
      <c r="I5867">
        <v>138.51089999999999</v>
      </c>
      <c r="J5867">
        <v>-89.300489999999996</v>
      </c>
      <c r="K5867">
        <v>1.1127309999999999</v>
      </c>
      <c r="L5867">
        <v>138.59299999999999</v>
      </c>
      <c r="M5867">
        <v>0.99949440000000001</v>
      </c>
      <c r="N5867">
        <v>0</v>
      </c>
      <c r="O5867">
        <v>1.7331099999999999E-2</v>
      </c>
      <c r="P5867">
        <v>0.99409320000000001</v>
      </c>
      <c r="Q5867">
        <v>0.1077563</v>
      </c>
      <c r="R5867">
        <v>-1.294119E-2</v>
      </c>
      <c r="S5867">
        <v>3.0769500000000001</v>
      </c>
      <c r="T5867">
        <v>-0.60072780000000003</v>
      </c>
      <c r="U5867">
        <v>-0.30104059999999999</v>
      </c>
      <c r="V5867">
        <v>2.998673E-2</v>
      </c>
      <c r="W5867">
        <v>0.1342487</v>
      </c>
      <c r="X5867">
        <v>0.99049379999999998</v>
      </c>
      <c r="Y5867">
        <v>0.1121892</v>
      </c>
      <c r="Z5867">
        <v>-1.417007E-2</v>
      </c>
      <c r="AA5867">
        <v>0.99358579999999996</v>
      </c>
      <c r="AB5867">
        <v>19</v>
      </c>
      <c r="AC5867">
        <v>0.46393000000000401</v>
      </c>
      <c r="AD5867">
        <v>-0.149120899999999</v>
      </c>
      <c r="AE5867">
        <v>-8.2099999999996898E-2</v>
      </c>
      <c r="AF5867">
        <v>8.1923827817844394E-2</v>
      </c>
      <c r="AG5867">
        <v>-0.149120899999999</v>
      </c>
      <c r="AH5867">
        <v>0.42032848298757902</v>
      </c>
      <c r="AI5867">
        <v>109.19913453149999</v>
      </c>
      <c r="AJ5867">
        <v>78.971073558622905</v>
      </c>
      <c r="AK5867">
        <v>0.45345847659049998</v>
      </c>
      <c r="AL5867">
        <v>82.2848214496331</v>
      </c>
      <c r="AM5867">
        <v>88.265927107805993</v>
      </c>
      <c r="AN5867">
        <v>0.99999994263310898</v>
      </c>
    </row>
    <row r="5868" spans="1:40" x14ac:dyDescent="0.25">
      <c r="A5868" t="str">
        <f>"20190312164428473"</f>
        <v>20190312164428473</v>
      </c>
      <c r="B5868" t="str">
        <f>"1552380268461270"</f>
        <v>1552380268461270</v>
      </c>
      <c r="C5868" t="s">
        <v>40</v>
      </c>
      <c r="D5868">
        <v>5.3203930000000001</v>
      </c>
      <c r="E5868">
        <v>0.54150739999999997</v>
      </c>
      <c r="F5868" t="s">
        <v>41</v>
      </c>
      <c r="G5868">
        <v>-88.509379999999993</v>
      </c>
      <c r="H5868">
        <v>0.95907589999999998</v>
      </c>
      <c r="I5868">
        <v>138.5094</v>
      </c>
      <c r="J5868">
        <v>-88.94847</v>
      </c>
      <c r="K5868">
        <v>1.11264599999999</v>
      </c>
      <c r="L5868">
        <v>138.602</v>
      </c>
      <c r="M5868">
        <v>0.99945830000000002</v>
      </c>
      <c r="N5868">
        <v>0</v>
      </c>
      <c r="O5868">
        <v>1.938403E-2</v>
      </c>
      <c r="P5868">
        <v>0.99416309999999997</v>
      </c>
      <c r="Q5868">
        <v>0.1072497</v>
      </c>
      <c r="R5868">
        <v>-1.1724460000000001E-2</v>
      </c>
      <c r="S5868">
        <v>3.0784150000000001</v>
      </c>
      <c r="T5868">
        <v>-0.59797500000000003</v>
      </c>
      <c r="U5868">
        <v>-0.32484439999999998</v>
      </c>
      <c r="V5868">
        <v>3.084365E-2</v>
      </c>
      <c r="W5868">
        <v>0.1336841</v>
      </c>
      <c r="X5868">
        <v>0.99054390000000003</v>
      </c>
      <c r="Y5868">
        <v>0.12159689999999999</v>
      </c>
      <c r="Z5868">
        <v>-1.539157E-2</v>
      </c>
      <c r="AA5868">
        <v>0.99246029999999996</v>
      </c>
      <c r="AB5868">
        <v>19</v>
      </c>
      <c r="AC5868">
        <v>0.43908999999999299</v>
      </c>
      <c r="AD5868">
        <v>-0.15357009999999899</v>
      </c>
      <c r="AE5868">
        <v>-9.2600000000004401E-2</v>
      </c>
      <c r="AF5868">
        <v>9.0498327813908805E-2</v>
      </c>
      <c r="AG5868">
        <v>-0.15357009999999899</v>
      </c>
      <c r="AH5868">
        <v>0.39137626632476602</v>
      </c>
      <c r="AI5868">
        <v>110.92173448547599</v>
      </c>
      <c r="AJ5868">
        <v>76.980265727898299</v>
      </c>
      <c r="AK5868">
        <v>0.43005709480653598</v>
      </c>
      <c r="AL5868">
        <v>82.317465295048194</v>
      </c>
      <c r="AM5868">
        <v>88.216494846469899</v>
      </c>
      <c r="AN5868">
        <v>0.999999993582671</v>
      </c>
    </row>
    <row r="5869" spans="1:40" x14ac:dyDescent="0.25">
      <c r="A5869" t="str">
        <f>"20190312164428506"</f>
        <v>20190312164428506</v>
      </c>
      <c r="B5869" t="str">
        <f>"1552380268501286"</f>
        <v>1552380268501286</v>
      </c>
      <c r="C5869" t="s">
        <v>40</v>
      </c>
      <c r="D5869">
        <v>4.8454290000000002</v>
      </c>
      <c r="E5869">
        <v>0.5418695</v>
      </c>
      <c r="F5869" t="s">
        <v>41</v>
      </c>
      <c r="G5869">
        <v>-88.186689999999999</v>
      </c>
      <c r="H5869">
        <v>0.96406610000000004</v>
      </c>
      <c r="I5869">
        <v>138.52019999999999</v>
      </c>
      <c r="J5869">
        <v>-88.691990000000004</v>
      </c>
      <c r="K5869">
        <v>1.112595</v>
      </c>
      <c r="L5869">
        <v>138.60890000000001</v>
      </c>
      <c r="M5869">
        <v>0.99942810000000004</v>
      </c>
      <c r="N5869">
        <v>0</v>
      </c>
      <c r="O5869">
        <v>2.0791210000000001E-2</v>
      </c>
      <c r="P5869">
        <v>0.99412780000000001</v>
      </c>
      <c r="Q5869">
        <v>0.10772329999999999</v>
      </c>
      <c r="R5869">
        <v>-1.029415E-2</v>
      </c>
      <c r="S5869">
        <v>3.078506</v>
      </c>
      <c r="T5869">
        <v>-0.60051940000000004</v>
      </c>
      <c r="U5869">
        <v>-0.33012390000000003</v>
      </c>
      <c r="V5869">
        <v>3.084015E-2</v>
      </c>
      <c r="W5869">
        <v>0.13421810000000001</v>
      </c>
      <c r="X5869">
        <v>0.99047180000000001</v>
      </c>
      <c r="Y5869">
        <v>0.12457020000000001</v>
      </c>
      <c r="Z5869">
        <v>-1.601195E-2</v>
      </c>
      <c r="AA5869">
        <v>0.99208160000000001</v>
      </c>
      <c r="AB5869">
        <v>18</v>
      </c>
      <c r="AC5869">
        <v>0.50530000000000497</v>
      </c>
      <c r="AD5869">
        <v>-0.14852889999999899</v>
      </c>
      <c r="AE5869">
        <v>-8.8700000000017099E-2</v>
      </c>
      <c r="AF5869">
        <v>9.1519284829685604E-2</v>
      </c>
      <c r="AG5869">
        <v>-0.14852889999999899</v>
      </c>
      <c r="AH5869">
        <v>0.46441870101923299</v>
      </c>
      <c r="AI5869">
        <v>107.420928891903</v>
      </c>
      <c r="AJ5869">
        <v>78.852018370785899</v>
      </c>
      <c r="AK5869">
        <v>0.49610618166612203</v>
      </c>
      <c r="AL5869">
        <v>82.286591157343395</v>
      </c>
      <c r="AM5869">
        <v>88.216567370808704</v>
      </c>
      <c r="AN5869">
        <v>0.99999999990743604</v>
      </c>
    </row>
    <row r="5870" spans="1:40" x14ac:dyDescent="0.25">
      <c r="A5870" t="str">
        <f>"20190312164428529"</f>
        <v>20190312164428529</v>
      </c>
      <c r="B5870" t="str">
        <f>"1552380268520806"</f>
        <v>1552380268520806</v>
      </c>
      <c r="C5870" t="s">
        <v>40</v>
      </c>
      <c r="D5870">
        <v>4.9246470000000002</v>
      </c>
      <c r="E5870">
        <v>0.54205080000000005</v>
      </c>
      <c r="F5870" t="s">
        <v>41</v>
      </c>
      <c r="G5870">
        <v>-87.880619999999993</v>
      </c>
      <c r="H5870">
        <v>0.95416250000000002</v>
      </c>
      <c r="I5870">
        <v>138.5224</v>
      </c>
      <c r="J5870">
        <v>-88.510329999999996</v>
      </c>
      <c r="K5870">
        <v>1.1125750000000001</v>
      </c>
      <c r="L5870">
        <v>138.6138</v>
      </c>
      <c r="M5870">
        <v>0.99940660000000003</v>
      </c>
      <c r="N5870">
        <v>0</v>
      </c>
      <c r="O5870">
        <v>2.1694680000000001E-2</v>
      </c>
      <c r="P5870">
        <v>0.99416769999999999</v>
      </c>
      <c r="Q5870">
        <v>0.10741879999999999</v>
      </c>
      <c r="R5870">
        <v>-9.5849520000000007E-3</v>
      </c>
      <c r="S5870">
        <v>3.0794980000000001</v>
      </c>
      <c r="T5870">
        <v>-0.60137839999999998</v>
      </c>
      <c r="U5870">
        <v>-0.32804870000000003</v>
      </c>
      <c r="V5870">
        <v>3.104734E-2</v>
      </c>
      <c r="W5870">
        <v>0.133997799999999</v>
      </c>
      <c r="X5870">
        <v>0.99049509999999996</v>
      </c>
      <c r="Y5870">
        <v>0.1247456</v>
      </c>
      <c r="Z5870">
        <v>-1.6221309999999999E-2</v>
      </c>
      <c r="AA5870">
        <v>0.9920561</v>
      </c>
      <c r="AB5870">
        <v>18</v>
      </c>
      <c r="AC5870">
        <v>0.62971000000001698</v>
      </c>
      <c r="AD5870">
        <v>-0.15841250000000001</v>
      </c>
      <c r="AE5870">
        <v>-9.1399999999993001E-2</v>
      </c>
      <c r="AF5870">
        <v>9.8914140194258093E-2</v>
      </c>
      <c r="AG5870">
        <v>-0.15841250000000001</v>
      </c>
      <c r="AH5870">
        <v>0.59095160066165497</v>
      </c>
      <c r="AI5870">
        <v>104.809319882286</v>
      </c>
      <c r="AJ5870">
        <v>80.497853663016301</v>
      </c>
      <c r="AK5870">
        <v>0.61975989028912704</v>
      </c>
      <c r="AL5870">
        <v>82.299328055166598</v>
      </c>
      <c r="AM5870">
        <v>88.204635953185203</v>
      </c>
      <c r="AN5870">
        <v>0.99999994542496096</v>
      </c>
    </row>
    <row r="5871" spans="1:40" x14ac:dyDescent="0.25">
      <c r="A5871" t="str">
        <f>"20190312164428562"</f>
        <v>20190312164428562</v>
      </c>
      <c r="B5871" t="str">
        <f>"1552380268551061"</f>
        <v>1552380268551061</v>
      </c>
      <c r="C5871" t="s">
        <v>40</v>
      </c>
      <c r="D5871">
        <v>5.4125160000000001</v>
      </c>
      <c r="E5871">
        <v>0.54197899999999999</v>
      </c>
      <c r="F5871" t="s">
        <v>41</v>
      </c>
      <c r="G5871">
        <v>-87.72654</v>
      </c>
      <c r="H5871">
        <v>0.9589763</v>
      </c>
      <c r="I5871">
        <v>138.53049999999999</v>
      </c>
      <c r="J5871">
        <v>-88.268979999999999</v>
      </c>
      <c r="K5871">
        <v>1.1127400000000001</v>
      </c>
      <c r="L5871">
        <v>138.6206</v>
      </c>
      <c r="M5871">
        <v>0.99935969999999996</v>
      </c>
      <c r="N5871">
        <v>0</v>
      </c>
      <c r="O5871">
        <v>2.2763370000000002E-2</v>
      </c>
      <c r="P5871">
        <v>0.99439370000000005</v>
      </c>
      <c r="Q5871">
        <v>0.1054194</v>
      </c>
      <c r="R5871">
        <v>-8.2555240000000002E-3</v>
      </c>
      <c r="S5871">
        <v>3.0796359999999998</v>
      </c>
      <c r="T5871">
        <v>-0.60355780000000003</v>
      </c>
      <c r="U5871">
        <v>-0.32705689999999998</v>
      </c>
      <c r="V5871">
        <v>3.081006E-2</v>
      </c>
      <c r="W5871">
        <v>0.13284379999999901</v>
      </c>
      <c r="X5871">
        <v>0.99065800000000004</v>
      </c>
      <c r="Y5871">
        <v>0.125433399999999</v>
      </c>
      <c r="Z5871">
        <v>-1.6552310000000001E-2</v>
      </c>
      <c r="AA5871">
        <v>0.99196390000000001</v>
      </c>
      <c r="AB5871">
        <v>17</v>
      </c>
      <c r="AC5871">
        <v>0.54243999999999903</v>
      </c>
      <c r="AD5871">
        <v>-0.153763699999999</v>
      </c>
      <c r="AE5871">
        <v>-9.0100000000006703E-2</v>
      </c>
      <c r="AF5871">
        <v>9.5000450597879205E-2</v>
      </c>
      <c r="AG5871">
        <v>-0.153763699999999</v>
      </c>
      <c r="AH5871">
        <v>0.50106620462999396</v>
      </c>
      <c r="AI5871">
        <v>106.778155699697</v>
      </c>
      <c r="AJ5871">
        <v>79.264342165048703</v>
      </c>
      <c r="AK5871">
        <v>0.532668473324447</v>
      </c>
      <c r="AL5871">
        <v>82.366044316144894</v>
      </c>
      <c r="AM5871">
        <v>88.218640965522297</v>
      </c>
      <c r="AN5871">
        <v>1.00000000397982</v>
      </c>
    </row>
    <row r="5872" spans="1:40" x14ac:dyDescent="0.25">
      <c r="A5872" t="str">
        <f>"20190312164428592"</f>
        <v>20190312164428592</v>
      </c>
      <c r="B5872" t="str">
        <f>"1552380268581317"</f>
        <v>1552380268581317</v>
      </c>
      <c r="C5872" t="s">
        <v>40</v>
      </c>
      <c r="D5872">
        <v>5.091075</v>
      </c>
      <c r="E5872">
        <v>0.51874690000000001</v>
      </c>
      <c r="F5872" t="s">
        <v>41</v>
      </c>
      <c r="G5872">
        <v>-87.442239999999998</v>
      </c>
      <c r="H5872">
        <v>0.94850400000000001</v>
      </c>
      <c r="I5872">
        <v>138.53440000000001</v>
      </c>
      <c r="J5872">
        <v>-88.059489999999997</v>
      </c>
      <c r="K5872">
        <v>1.1130610000000001</v>
      </c>
      <c r="L5872">
        <v>138.6266</v>
      </c>
      <c r="M5872">
        <v>0.99929159999999995</v>
      </c>
      <c r="N5872">
        <v>0</v>
      </c>
      <c r="O5872">
        <v>2.357925E-2</v>
      </c>
      <c r="P5872">
        <v>0.99461480000000002</v>
      </c>
      <c r="Q5872">
        <v>0.10331129999999999</v>
      </c>
      <c r="R5872">
        <v>-8.2868830000000001E-3</v>
      </c>
      <c r="S5872">
        <v>3.0791019999999998</v>
      </c>
      <c r="T5872">
        <v>-0.61171390000000003</v>
      </c>
      <c r="U5872">
        <v>-0.32098389999999999</v>
      </c>
      <c r="V5872">
        <v>3.168319E-2</v>
      </c>
      <c r="W5872">
        <v>0.13244400000000001</v>
      </c>
      <c r="X5872">
        <v>0.99068400000000001</v>
      </c>
      <c r="Y5872">
        <v>0.124257199999999</v>
      </c>
      <c r="Z5872">
        <v>-1.6821300000000001E-2</v>
      </c>
      <c r="AA5872">
        <v>0.99210750000000003</v>
      </c>
      <c r="AB5872">
        <v>16</v>
      </c>
      <c r="AC5872">
        <v>0.61724999999999797</v>
      </c>
      <c r="AD5872">
        <v>-0.16455699999999901</v>
      </c>
      <c r="AE5872">
        <v>-9.2199999999991095E-2</v>
      </c>
      <c r="AF5872">
        <v>9.9796754027535906E-2</v>
      </c>
      <c r="AG5872">
        <v>-0.16455699999999901</v>
      </c>
      <c r="AH5872">
        <v>0.57493240508860899</v>
      </c>
      <c r="AI5872">
        <v>105.7486051246</v>
      </c>
      <c r="AJ5872">
        <v>80.1527171211537</v>
      </c>
      <c r="AK5872">
        <v>0.60628843695423096</v>
      </c>
      <c r="AL5872">
        <v>82.389155451067495</v>
      </c>
      <c r="AM5872">
        <v>88.168240779219502</v>
      </c>
      <c r="AN5872">
        <v>1.0000000127602799</v>
      </c>
    </row>
    <row r="5873" spans="1:40" x14ac:dyDescent="0.25">
      <c r="A5873" t="str">
        <f>"20190312164428629"</f>
        <v>20190312164428629</v>
      </c>
      <c r="B5873" t="str">
        <f>"1552380268621337"</f>
        <v>1552380268621337</v>
      </c>
      <c r="C5873" t="s">
        <v>40</v>
      </c>
      <c r="D5873">
        <v>5.0702629999999997</v>
      </c>
      <c r="E5873">
        <v>0.51748139999999998</v>
      </c>
      <c r="F5873" t="s">
        <v>41</v>
      </c>
      <c r="G5873">
        <v>-87.310280000000006</v>
      </c>
      <c r="H5873">
        <v>0.94042669999999995</v>
      </c>
      <c r="I5873">
        <v>138.59479999999999</v>
      </c>
      <c r="J5873">
        <v>-87.808139999999995</v>
      </c>
      <c r="K5873">
        <v>1.1132029999999999</v>
      </c>
      <c r="L5873">
        <v>138.63380000000001</v>
      </c>
      <c r="M5873">
        <v>0.99922310000000003</v>
      </c>
      <c r="N5873">
        <v>0</v>
      </c>
      <c r="O5873">
        <v>2.4525979999999999E-2</v>
      </c>
      <c r="P5873">
        <v>0.99485959999999996</v>
      </c>
      <c r="Q5873">
        <v>0.10089099999999999</v>
      </c>
      <c r="R5873">
        <v>-8.7036119999999995E-3</v>
      </c>
      <c r="S5873">
        <v>3.0890960000000001</v>
      </c>
      <c r="T5873">
        <v>-0.71183149999999995</v>
      </c>
      <c r="U5873">
        <v>-0.1305084</v>
      </c>
      <c r="V5873">
        <v>3.3069960000000002E-2</v>
      </c>
      <c r="W5873">
        <v>0.1315289</v>
      </c>
      <c r="X5873">
        <v>0.99076059999999999</v>
      </c>
      <c r="Y5873">
        <v>6.4386730000000003E-2</v>
      </c>
      <c r="Z5873">
        <v>-1.2898410000000001E-2</v>
      </c>
      <c r="AA5873">
        <v>0.99784170000000005</v>
      </c>
      <c r="AB5873">
        <v>16</v>
      </c>
      <c r="AC5873">
        <v>0.49786000000000202</v>
      </c>
      <c r="AD5873">
        <v>-0.17277629999999999</v>
      </c>
      <c r="AE5873">
        <v>-3.9000000000015599E-2</v>
      </c>
      <c r="AF5873">
        <v>4.5730588700026199E-2</v>
      </c>
      <c r="AG5873">
        <v>-0.17277629999999999</v>
      </c>
      <c r="AH5873">
        <v>0.44364810235017599</v>
      </c>
      <c r="AI5873">
        <v>111.17596191673699</v>
      </c>
      <c r="AJ5873">
        <v>84.114820951847406</v>
      </c>
      <c r="AK5873">
        <v>0.47829548952865197</v>
      </c>
      <c r="AL5873">
        <v>82.442049619417404</v>
      </c>
      <c r="AM5873">
        <v>88.0882708261516</v>
      </c>
      <c r="AN5873">
        <v>1.00000002015098</v>
      </c>
    </row>
    <row r="5874" spans="1:40" x14ac:dyDescent="0.25">
      <c r="A5874" t="str">
        <f>"20190312164428658"</f>
        <v>20190312164428658</v>
      </c>
      <c r="B5874" t="str">
        <f>"1552380268651590"</f>
        <v>1552380268651590</v>
      </c>
      <c r="C5874" t="s">
        <v>40</v>
      </c>
      <c r="D5874">
        <v>5.0492970000000001</v>
      </c>
      <c r="E5874">
        <v>0.51696520000000001</v>
      </c>
      <c r="F5874" t="s">
        <v>41</v>
      </c>
      <c r="G5874">
        <v>-87.046279999999996</v>
      </c>
      <c r="H5874">
        <v>0.93407450000000003</v>
      </c>
      <c r="I5874">
        <v>138.6035</v>
      </c>
      <c r="J5874">
        <v>-87.615110000000001</v>
      </c>
      <c r="K5874">
        <v>1.113003</v>
      </c>
      <c r="L5874">
        <v>138.63939999999999</v>
      </c>
      <c r="M5874">
        <v>0.99920889999999996</v>
      </c>
      <c r="N5874">
        <v>0</v>
      </c>
      <c r="O5874">
        <v>2.524732E-2</v>
      </c>
      <c r="P5874">
        <v>0.99484519999999999</v>
      </c>
      <c r="Q5874">
        <v>0.1010605</v>
      </c>
      <c r="R5874">
        <v>-8.3799809999999999E-3</v>
      </c>
      <c r="S5874">
        <v>3.0880740000000002</v>
      </c>
      <c r="T5874">
        <v>-0.72614540000000005</v>
      </c>
      <c r="U5874">
        <v>-0.1222229</v>
      </c>
      <c r="V5874">
        <v>3.346478E-2</v>
      </c>
      <c r="W5874">
        <v>0.1315809</v>
      </c>
      <c r="X5874">
        <v>0.99074039999999997</v>
      </c>
      <c r="Y5874">
        <v>6.2387579999999998E-2</v>
      </c>
      <c r="Z5874">
        <v>-1.309139E-2</v>
      </c>
      <c r="AA5874">
        <v>0.99796609999999997</v>
      </c>
      <c r="AB5874">
        <v>15</v>
      </c>
      <c r="AC5874">
        <v>0.56882999999999095</v>
      </c>
      <c r="AD5874">
        <v>-0.17892849999999899</v>
      </c>
      <c r="AE5874">
        <v>-3.5899999999998003E-2</v>
      </c>
      <c r="AF5874">
        <v>4.5748166844909101E-2</v>
      </c>
      <c r="AG5874">
        <v>-0.17892849999999899</v>
      </c>
      <c r="AH5874">
        <v>0.51680889094408899</v>
      </c>
      <c r="AI5874">
        <v>109.027746221334</v>
      </c>
      <c r="AJ5874">
        <v>84.941336087492203</v>
      </c>
      <c r="AK5874">
        <v>0.54881666578264399</v>
      </c>
      <c r="AL5874">
        <v>82.439043831207897</v>
      </c>
      <c r="AM5874">
        <v>88.065424649122804</v>
      </c>
      <c r="AN5874">
        <v>0.99999998246870903</v>
      </c>
    </row>
    <row r="5875" spans="1:40" x14ac:dyDescent="0.25">
      <c r="A5875" t="str">
        <f>"20190312164428679"</f>
        <v>20190312164428679</v>
      </c>
      <c r="B5875" t="str">
        <f>"1552380268671110"</f>
        <v>1552380268671110</v>
      </c>
      <c r="C5875" t="s">
        <v>40</v>
      </c>
      <c r="D5875">
        <v>5.0496299999999996</v>
      </c>
      <c r="E5875">
        <v>0.51680439999999905</v>
      </c>
      <c r="F5875" t="s">
        <v>41</v>
      </c>
      <c r="G5875">
        <v>-86.908869999999993</v>
      </c>
      <c r="H5875">
        <v>0.94661079999999997</v>
      </c>
      <c r="I5875">
        <v>138.61269999999999</v>
      </c>
      <c r="J5875">
        <v>-87.475920000000002</v>
      </c>
      <c r="K5875">
        <v>1.1129260000000001</v>
      </c>
      <c r="L5875">
        <v>138.64359999999999</v>
      </c>
      <c r="M5875">
        <v>0.99919800000000003</v>
      </c>
      <c r="N5875">
        <v>0</v>
      </c>
      <c r="O5875">
        <v>2.572491E-2</v>
      </c>
      <c r="P5875">
        <v>0.99479209999999996</v>
      </c>
      <c r="Q5875">
        <v>0.1015501</v>
      </c>
      <c r="R5875">
        <v>-8.7608709999999999E-3</v>
      </c>
      <c r="S5875">
        <v>3.0884860000000001</v>
      </c>
      <c r="T5875">
        <v>-0.72769619999999902</v>
      </c>
      <c r="U5875">
        <v>-0.1166229</v>
      </c>
      <c r="V5875">
        <v>3.4317E-2</v>
      </c>
      <c r="W5875">
        <v>0.1320238</v>
      </c>
      <c r="X5875">
        <v>0.99065230000000004</v>
      </c>
      <c r="Y5875">
        <v>6.1065849999999998E-2</v>
      </c>
      <c r="Z5875">
        <v>-1.3074769999999999E-2</v>
      </c>
      <c r="AA5875">
        <v>0.99804809999999999</v>
      </c>
      <c r="AB5875">
        <v>15</v>
      </c>
      <c r="AC5875">
        <v>0.56705000000000805</v>
      </c>
      <c r="AD5875">
        <v>-0.1663152</v>
      </c>
      <c r="AE5875">
        <v>-3.0900000000002498E-2</v>
      </c>
      <c r="AF5875">
        <v>4.1890974130474698E-2</v>
      </c>
      <c r="AG5875">
        <v>-0.1663152</v>
      </c>
      <c r="AH5875">
        <v>0.52135082788269105</v>
      </c>
      <c r="AI5875">
        <v>107.63979925732301</v>
      </c>
      <c r="AJ5875">
        <v>85.406105787521</v>
      </c>
      <c r="AK5875">
        <v>0.54883721192955603</v>
      </c>
      <c r="AL5875">
        <v>82.413444026598597</v>
      </c>
      <c r="AM5875">
        <v>88.0160210066731</v>
      </c>
      <c r="AN5875">
        <v>0.99999995987536405</v>
      </c>
    </row>
    <row r="5876" spans="1:40" x14ac:dyDescent="0.25">
      <c r="A5876" t="str">
        <f>"20190312164428719"</f>
        <v>20190312164428719</v>
      </c>
      <c r="B5876" t="str">
        <f>"1552380268711125"</f>
        <v>1552380268711125</v>
      </c>
      <c r="C5876" t="s">
        <v>40</v>
      </c>
      <c r="D5876">
        <v>5.1181859999999997</v>
      </c>
      <c r="E5876">
        <v>0.51671389999999995</v>
      </c>
      <c r="F5876" t="s">
        <v>41</v>
      </c>
      <c r="G5876">
        <v>-86.779969999999906</v>
      </c>
      <c r="H5876">
        <v>0.94888249999999996</v>
      </c>
      <c r="I5876">
        <v>138.61750000000001</v>
      </c>
      <c r="J5876">
        <v>-87.234650000000002</v>
      </c>
      <c r="K5876">
        <v>1.1130819999999999</v>
      </c>
      <c r="L5876">
        <v>138.65090000000001</v>
      </c>
      <c r="M5876">
        <v>0.99914619999999998</v>
      </c>
      <c r="N5876">
        <v>0</v>
      </c>
      <c r="O5876">
        <v>2.652127E-2</v>
      </c>
      <c r="P5876">
        <v>0.99483670000000002</v>
      </c>
      <c r="Q5876">
        <v>0.1010716</v>
      </c>
      <c r="R5876">
        <v>-9.2234120000000003E-3</v>
      </c>
      <c r="S5876">
        <v>3.0890200000000001</v>
      </c>
      <c r="T5876">
        <v>-0.72815010000000002</v>
      </c>
      <c r="U5876">
        <v>-0.1152649</v>
      </c>
      <c r="V5876">
        <v>3.5583160000000003E-2</v>
      </c>
      <c r="W5876">
        <v>0.13253000000000001</v>
      </c>
      <c r="X5876">
        <v>0.99054010000000003</v>
      </c>
      <c r="Y5876">
        <v>6.1384689999999999E-2</v>
      </c>
      <c r="Z5876">
        <v>-1.330305E-2</v>
      </c>
      <c r="AA5876">
        <v>0.99802550000000001</v>
      </c>
      <c r="AB5876">
        <v>15</v>
      </c>
      <c r="AC5876">
        <v>0.45468000000001002</v>
      </c>
      <c r="AD5876">
        <v>-0.164199499999999</v>
      </c>
      <c r="AE5876">
        <v>-3.3400000000000298E-2</v>
      </c>
      <c r="AF5876">
        <v>4.0233980243588097E-2</v>
      </c>
      <c r="AG5876">
        <v>-0.164199499999999</v>
      </c>
      <c r="AH5876">
        <v>0.40154649957586303</v>
      </c>
      <c r="AI5876">
        <v>112.14044534190801</v>
      </c>
      <c r="AJ5876">
        <v>84.278199693170393</v>
      </c>
      <c r="AK5876">
        <v>0.43568318797965999</v>
      </c>
      <c r="AL5876">
        <v>82.384184292141597</v>
      </c>
      <c r="AM5876">
        <v>87.942649080124696</v>
      </c>
      <c r="AN5876">
        <v>1.00000002594179</v>
      </c>
    </row>
    <row r="5877" spans="1:40" x14ac:dyDescent="0.25">
      <c r="A5877" t="str">
        <f>"20190312164428763"</f>
        <v>20190312164428763</v>
      </c>
      <c r="B5877" t="str">
        <f>"1552380268751142"</f>
        <v>1552380268751142</v>
      </c>
      <c r="C5877" t="s">
        <v>40</v>
      </c>
      <c r="D5877">
        <v>5.102087</v>
      </c>
      <c r="E5877">
        <v>0.5165727</v>
      </c>
      <c r="F5877" t="s">
        <v>41</v>
      </c>
      <c r="G5877">
        <v>-86.537930000000003</v>
      </c>
      <c r="H5877">
        <v>0.94777880000000003</v>
      </c>
      <c r="I5877">
        <v>138.6249</v>
      </c>
      <c r="J5877">
        <v>-86.991759999999999</v>
      </c>
      <c r="K5877">
        <v>1.113321</v>
      </c>
      <c r="L5877">
        <v>138.6584</v>
      </c>
      <c r="M5877">
        <v>0.99907179999999995</v>
      </c>
      <c r="N5877">
        <v>0</v>
      </c>
      <c r="O5877">
        <v>2.7356160000000001E-2</v>
      </c>
      <c r="P5877">
        <v>0.99500129999999998</v>
      </c>
      <c r="Q5877">
        <v>9.9368319999999996E-2</v>
      </c>
      <c r="R5877">
        <v>-9.9346509999999992E-3</v>
      </c>
      <c r="S5877">
        <v>3.088959</v>
      </c>
      <c r="T5877">
        <v>-0.73297939999999995</v>
      </c>
      <c r="U5877">
        <v>-0.1144867</v>
      </c>
      <c r="V5877">
        <v>3.7141420000000001E-2</v>
      </c>
      <c r="W5877">
        <v>0.13240950000000001</v>
      </c>
      <c r="X5877">
        <v>0.99049900000000002</v>
      </c>
      <c r="Y5877">
        <v>6.1900410000000003E-2</v>
      </c>
      <c r="Z5877">
        <v>-1.3645310000000001E-2</v>
      </c>
      <c r="AA5877">
        <v>0.99798909999999996</v>
      </c>
      <c r="AB5877">
        <v>14</v>
      </c>
      <c r="AC5877">
        <v>0.45382999999999601</v>
      </c>
      <c r="AD5877">
        <v>-0.165542199999999</v>
      </c>
      <c r="AE5877">
        <v>-3.3500000000003603E-2</v>
      </c>
      <c r="AF5877">
        <v>4.0544024949913597E-2</v>
      </c>
      <c r="AG5877">
        <v>-0.165542199999999</v>
      </c>
      <c r="AH5877">
        <v>0.39983173859648202</v>
      </c>
      <c r="AI5877">
        <v>112.387610519275</v>
      </c>
      <c r="AJ5877">
        <v>84.209843895408497</v>
      </c>
      <c r="AK5877">
        <v>0.43464175723124598</v>
      </c>
      <c r="AL5877">
        <v>82.391149735631501</v>
      </c>
      <c r="AM5877">
        <v>87.852546995998296</v>
      </c>
      <c r="AN5877">
        <v>1.00000001488543</v>
      </c>
    </row>
    <row r="5878" spans="1:40" x14ac:dyDescent="0.25">
      <c r="A5878" t="str">
        <f>"20190312164428792"</f>
        <v>20190312164428792</v>
      </c>
      <c r="B5878" t="str">
        <f>"1552380268781399"</f>
        <v>1552380268781399</v>
      </c>
      <c r="C5878" t="s">
        <v>40</v>
      </c>
      <c r="D5878">
        <v>5.1639249999999999</v>
      </c>
      <c r="E5878">
        <v>0.51633030000000002</v>
      </c>
      <c r="F5878" t="s">
        <v>41</v>
      </c>
      <c r="G5878">
        <v>-86.215369999999993</v>
      </c>
      <c r="H5878">
        <v>0.92724689999999999</v>
      </c>
      <c r="I5878">
        <v>138.6294</v>
      </c>
      <c r="J5878">
        <v>-86.832660000000004</v>
      </c>
      <c r="K5878">
        <v>1.1132120000000001</v>
      </c>
      <c r="L5878">
        <v>138.6634</v>
      </c>
      <c r="M5878">
        <v>0.99905750000000004</v>
      </c>
      <c r="N5878">
        <v>0</v>
      </c>
      <c r="O5878">
        <v>2.7900850000000001E-2</v>
      </c>
      <c r="P5878">
        <v>0.9950156</v>
      </c>
      <c r="Q5878">
        <v>9.9183220000000002E-2</v>
      </c>
      <c r="R5878">
        <v>-1.032606E-2</v>
      </c>
      <c r="S5878">
        <v>3.0878299999999999</v>
      </c>
      <c r="T5878">
        <v>-0.74005769999999904</v>
      </c>
      <c r="U5878">
        <v>-0.1150665</v>
      </c>
      <c r="V5878">
        <v>3.8069180000000001E-2</v>
      </c>
      <c r="W5878">
        <v>0.1322015</v>
      </c>
      <c r="X5878">
        <v>0.99049160000000003</v>
      </c>
      <c r="Y5878">
        <v>6.2561770000000003E-2</v>
      </c>
      <c r="Z5878">
        <v>-1.398519E-2</v>
      </c>
      <c r="AA5878">
        <v>0.99794309999999997</v>
      </c>
      <c r="AB5878">
        <v>12</v>
      </c>
      <c r="AC5878">
        <v>0.617290000000011</v>
      </c>
      <c r="AD5878">
        <v>-0.18596509999999999</v>
      </c>
      <c r="AE5878">
        <v>-3.3999999999991801E-2</v>
      </c>
      <c r="AF5878">
        <v>4.6969256306049902E-2</v>
      </c>
      <c r="AG5878">
        <v>-0.18596509999999999</v>
      </c>
      <c r="AH5878">
        <v>0.56497904646850095</v>
      </c>
      <c r="AI5878">
        <v>108.160648727113</v>
      </c>
      <c r="AJ5878">
        <v>85.247671657593301</v>
      </c>
      <c r="AK5878">
        <v>0.59664935465012503</v>
      </c>
      <c r="AL5878">
        <v>82.403173255610795</v>
      </c>
      <c r="AM5878">
        <v>87.798941197748505</v>
      </c>
      <c r="AN5878">
        <v>1.0000000543693299</v>
      </c>
    </row>
    <row r="5879" spans="1:40" x14ac:dyDescent="0.25">
      <c r="A5879" t="str">
        <f>"20190312164428815"</f>
        <v>20190312164428815</v>
      </c>
      <c r="B5879" t="str">
        <f>"1552380268811653"</f>
        <v>1552380268811653</v>
      </c>
      <c r="C5879" t="s">
        <v>40</v>
      </c>
      <c r="D5879">
        <v>5.18459</v>
      </c>
      <c r="E5879">
        <v>0.51629759999999902</v>
      </c>
      <c r="F5879" t="s">
        <v>41</v>
      </c>
      <c r="G5879">
        <v>-86.104029999999995</v>
      </c>
      <c r="H5879">
        <v>0.93794929999999999</v>
      </c>
      <c r="I5879">
        <v>138.63650000000001</v>
      </c>
      <c r="J5879">
        <v>-86.71378</v>
      </c>
      <c r="K5879">
        <v>1.11312099999999</v>
      </c>
      <c r="L5879">
        <v>138.66730000000001</v>
      </c>
      <c r="M5879">
        <v>0.99905140000000003</v>
      </c>
      <c r="N5879">
        <v>0</v>
      </c>
      <c r="O5879">
        <v>2.830539E-2</v>
      </c>
      <c r="P5879">
        <v>0.99501189999999995</v>
      </c>
      <c r="Q5879">
        <v>9.9216299999999993E-2</v>
      </c>
      <c r="R5879">
        <v>-1.038001E-2</v>
      </c>
      <c r="S5879">
        <v>3.0878909999999999</v>
      </c>
      <c r="T5879">
        <v>-0.74283120000000002</v>
      </c>
      <c r="U5879">
        <v>-0.11386110000000001</v>
      </c>
      <c r="V5879">
        <v>3.8522979999999998E-2</v>
      </c>
      <c r="W5879">
        <v>0.13207720000000001</v>
      </c>
      <c r="X5879">
        <v>0.9904906</v>
      </c>
      <c r="Y5879">
        <v>6.254593E-2</v>
      </c>
      <c r="Z5879">
        <v>-1.413002E-2</v>
      </c>
      <c r="AA5879">
        <v>0.997942</v>
      </c>
      <c r="AB5879">
        <v>12</v>
      </c>
      <c r="AC5879">
        <v>0.60974999999999102</v>
      </c>
      <c r="AD5879">
        <v>-0.17517169999999899</v>
      </c>
      <c r="AE5879">
        <v>-3.07999999999992E-2</v>
      </c>
      <c r="AF5879">
        <v>4.4401112840909397E-2</v>
      </c>
      <c r="AG5879">
        <v>-0.17517169999999899</v>
      </c>
      <c r="AH5879">
        <v>0.56234000409910101</v>
      </c>
      <c r="AI5879">
        <v>107.25157868939399</v>
      </c>
      <c r="AJ5879">
        <v>85.485419253657895</v>
      </c>
      <c r="AK5879">
        <v>0.59066307105877103</v>
      </c>
      <c r="AL5879">
        <v>82.410357843839193</v>
      </c>
      <c r="AM5879">
        <v>87.772727710263197</v>
      </c>
      <c r="AN5879">
        <v>1.0000000177181401</v>
      </c>
    </row>
    <row r="5880" spans="1:40" x14ac:dyDescent="0.25">
      <c r="A5880" t="str">
        <f>"20190312164428838"</f>
        <v>20190312164428838</v>
      </c>
      <c r="B5880" t="str">
        <f>"1552380268831174"</f>
        <v>1552380268831174</v>
      </c>
      <c r="C5880" t="s">
        <v>40</v>
      </c>
      <c r="D5880">
        <v>5.176939</v>
      </c>
      <c r="E5880">
        <v>0.51629670000000005</v>
      </c>
      <c r="F5880" t="s">
        <v>41</v>
      </c>
      <c r="G5880">
        <v>-85.999840000000006</v>
      </c>
      <c r="H5880">
        <v>0.9410866</v>
      </c>
      <c r="I5880">
        <v>138.64080000000001</v>
      </c>
      <c r="J5880">
        <v>-86.595230000000001</v>
      </c>
      <c r="K5880">
        <v>1.1130910000000001</v>
      </c>
      <c r="L5880">
        <v>138.6711</v>
      </c>
      <c r="M5880">
        <v>0.99903790000000003</v>
      </c>
      <c r="N5880">
        <v>0</v>
      </c>
      <c r="O5880">
        <v>2.8717699999999999E-2</v>
      </c>
      <c r="P5880">
        <v>0.99496609999999996</v>
      </c>
      <c r="Q5880">
        <v>9.9718500000000002E-2</v>
      </c>
      <c r="R5880">
        <v>-9.9544869999999997E-3</v>
      </c>
      <c r="S5880">
        <v>3.0880429999999999</v>
      </c>
      <c r="T5880">
        <v>-0.74414659999999999</v>
      </c>
      <c r="U5880">
        <v>-0.11421199999999999</v>
      </c>
      <c r="V5880">
        <v>3.8510759999999998E-2</v>
      </c>
      <c r="W5880">
        <v>0.13262969999999999</v>
      </c>
      <c r="X5880">
        <v>0.9904172</v>
      </c>
      <c r="Y5880">
        <v>6.3034699999999999E-2</v>
      </c>
      <c r="Z5880">
        <v>-1.430967E-2</v>
      </c>
      <c r="AA5880">
        <v>0.99790880000000004</v>
      </c>
      <c r="AB5880">
        <v>12</v>
      </c>
      <c r="AC5880">
        <v>0.59538999999999398</v>
      </c>
      <c r="AD5880">
        <v>-0.1720044</v>
      </c>
      <c r="AE5880">
        <v>-3.0299999999982601E-2</v>
      </c>
      <c r="AF5880">
        <v>4.3752951483495103E-2</v>
      </c>
      <c r="AG5880">
        <v>-0.1720044</v>
      </c>
      <c r="AH5880">
        <v>0.54860545458930299</v>
      </c>
      <c r="AI5880">
        <v>107.356000838551</v>
      </c>
      <c r="AJ5880">
        <v>85.440138931826397</v>
      </c>
      <c r="AK5880">
        <v>0.57660019006935204</v>
      </c>
      <c r="AL5880">
        <v>82.378420621011202</v>
      </c>
      <c r="AM5880">
        <v>87.773268674203194</v>
      </c>
      <c r="AN5880">
        <v>0.99999997300685295</v>
      </c>
    </row>
    <row r="5881" spans="1:40" x14ac:dyDescent="0.25">
      <c r="A5881" t="str">
        <f>"20190312164428860"</f>
        <v>20190312164428860</v>
      </c>
      <c r="B5881" t="str">
        <f>"1552380268851671"</f>
        <v>1552380268851671</v>
      </c>
      <c r="C5881" t="s">
        <v>40</v>
      </c>
      <c r="D5881">
        <v>5.1626909999999997</v>
      </c>
      <c r="E5881">
        <v>0.51628370000000001</v>
      </c>
      <c r="F5881" t="s">
        <v>41</v>
      </c>
      <c r="G5881">
        <v>-85.898790000000005</v>
      </c>
      <c r="H5881">
        <v>0.94548770000000004</v>
      </c>
      <c r="I5881">
        <v>138.6456</v>
      </c>
      <c r="J5881">
        <v>-86.493969999999905</v>
      </c>
      <c r="K5881">
        <v>1.1131089999999999</v>
      </c>
      <c r="L5881">
        <v>138.67449999999999</v>
      </c>
      <c r="M5881">
        <v>0.99902080000000004</v>
      </c>
      <c r="N5881">
        <v>0</v>
      </c>
      <c r="O5881">
        <v>2.9077189999999999E-2</v>
      </c>
      <c r="P5881">
        <v>0.99493310000000001</v>
      </c>
      <c r="Q5881">
        <v>0.1000191</v>
      </c>
      <c r="R5881">
        <v>-1.022055E-2</v>
      </c>
      <c r="S5881">
        <v>3.0885470000000002</v>
      </c>
      <c r="T5881">
        <v>-0.74331969999999903</v>
      </c>
      <c r="U5881">
        <v>-0.1131897</v>
      </c>
      <c r="V5881">
        <v>3.9140349999999997E-2</v>
      </c>
      <c r="W5881">
        <v>0.1331241</v>
      </c>
      <c r="X5881">
        <v>0.99032620000000005</v>
      </c>
      <c r="Y5881">
        <v>6.3053819999999997E-2</v>
      </c>
      <c r="Z5881">
        <v>-1.4379650000000001E-2</v>
      </c>
      <c r="AA5881">
        <v>0.99790650000000003</v>
      </c>
      <c r="AB5881">
        <v>11</v>
      </c>
      <c r="AC5881">
        <v>0.59517999999998406</v>
      </c>
      <c r="AD5881">
        <v>-0.167621299999999</v>
      </c>
      <c r="AE5881">
        <v>-2.8899999999993001E-2</v>
      </c>
      <c r="AF5881">
        <v>4.28155786171487E-2</v>
      </c>
      <c r="AG5881">
        <v>-0.167621299999999</v>
      </c>
      <c r="AH5881">
        <v>0.55052447677773697</v>
      </c>
      <c r="AI5881">
        <v>106.88613878207499</v>
      </c>
      <c r="AJ5881">
        <v>85.552924648931395</v>
      </c>
      <c r="AK5881">
        <v>0.57706782401847001</v>
      </c>
      <c r="AL5881">
        <v>82.349840263706</v>
      </c>
      <c r="AM5881">
        <v>87.736694949651607</v>
      </c>
      <c r="AN5881">
        <v>0.99999998770268606</v>
      </c>
    </row>
    <row r="5882" spans="1:40" x14ac:dyDescent="0.25">
      <c r="A5882" t="str">
        <f>"20190312164428898"</f>
        <v>20190312164428898</v>
      </c>
      <c r="B5882" t="str">
        <f>"1552380268891688"</f>
        <v>1552380268891688</v>
      </c>
      <c r="C5882" t="s">
        <v>40</v>
      </c>
      <c r="D5882">
        <v>5.2567389999999996</v>
      </c>
      <c r="E5882">
        <v>0.51648649999999996</v>
      </c>
      <c r="F5882" t="s">
        <v>41</v>
      </c>
      <c r="G5882">
        <v>-85.802980000000005</v>
      </c>
      <c r="H5882">
        <v>0.94690189999999996</v>
      </c>
      <c r="I5882">
        <v>138.64949999999999</v>
      </c>
      <c r="J5882">
        <v>-86.327510000000004</v>
      </c>
      <c r="K5882">
        <v>1.1131219999999999</v>
      </c>
      <c r="L5882">
        <v>138.68</v>
      </c>
      <c r="M5882">
        <v>0.99899629999999995</v>
      </c>
      <c r="N5882">
        <v>0</v>
      </c>
      <c r="O5882">
        <v>2.9622590000000001E-2</v>
      </c>
      <c r="P5882">
        <v>0.99505690000000002</v>
      </c>
      <c r="Q5882">
        <v>9.8860550000000005E-2</v>
      </c>
      <c r="R5882">
        <v>-9.4070679999999993E-3</v>
      </c>
      <c r="S5882">
        <v>3.0888369999999998</v>
      </c>
      <c r="T5882">
        <v>-0.74301969999999995</v>
      </c>
      <c r="U5882">
        <v>-0.11114499999999999</v>
      </c>
      <c r="V5882">
        <v>3.8883859999999999E-2</v>
      </c>
      <c r="W5882">
        <v>0.13222139999999999</v>
      </c>
      <c r="X5882">
        <v>0.99045720000000004</v>
      </c>
      <c r="Y5882">
        <v>6.2926280000000001E-2</v>
      </c>
      <c r="Z5882">
        <v>-1.4487160000000001E-2</v>
      </c>
      <c r="AA5882">
        <v>0.99791300000000005</v>
      </c>
      <c r="AB5882">
        <v>11</v>
      </c>
      <c r="AC5882">
        <v>0.52452999999999805</v>
      </c>
      <c r="AD5882">
        <v>-0.16622009999999901</v>
      </c>
      <c r="AE5882">
        <v>-3.05000000000177E-2</v>
      </c>
      <c r="AF5882">
        <v>4.1845309194098103E-2</v>
      </c>
      <c r="AG5882">
        <v>-0.16622009999999901</v>
      </c>
      <c r="AH5882">
        <v>0.47577822150543603</v>
      </c>
      <c r="AI5882">
        <v>109.18898074090001</v>
      </c>
      <c r="AJ5882">
        <v>84.9736957583129</v>
      </c>
      <c r="AK5882">
        <v>0.50571243568300295</v>
      </c>
      <c r="AL5882">
        <v>82.402022243879699</v>
      </c>
      <c r="AM5882">
        <v>87.751808389347602</v>
      </c>
      <c r="AN5882">
        <v>0.99999995910914896</v>
      </c>
    </row>
    <row r="5883" spans="1:40" x14ac:dyDescent="0.25">
      <c r="A5883" t="str">
        <f>"20190312164428942"</f>
        <v>20190312164428942</v>
      </c>
      <c r="B5883" t="str">
        <f>"1552380268931703"</f>
        <v>1552380268931703</v>
      </c>
      <c r="C5883" t="s">
        <v>40</v>
      </c>
      <c r="D5883">
        <v>5.0980449999999999</v>
      </c>
      <c r="E5883">
        <v>0.51653079999999996</v>
      </c>
      <c r="F5883" t="s">
        <v>41</v>
      </c>
      <c r="G5883">
        <v>-85.62518</v>
      </c>
      <c r="H5883">
        <v>0.94271669999999996</v>
      </c>
      <c r="I5883">
        <v>138.65469999999999</v>
      </c>
      <c r="J5883">
        <v>-86.141660000000002</v>
      </c>
      <c r="K5883">
        <v>1.113092</v>
      </c>
      <c r="L5883">
        <v>138.68620000000001</v>
      </c>
      <c r="M5883">
        <v>0.9989768</v>
      </c>
      <c r="N5883">
        <v>0</v>
      </c>
      <c r="O5883">
        <v>3.0121780000000001E-2</v>
      </c>
      <c r="P5883">
        <v>0.99518390000000001</v>
      </c>
      <c r="Q5883">
        <v>9.7579540000000006E-2</v>
      </c>
      <c r="R5883">
        <v>-9.3494570000000003E-3</v>
      </c>
      <c r="S5883">
        <v>3.0882869999999998</v>
      </c>
      <c r="T5883">
        <v>-0.74933680000000003</v>
      </c>
      <c r="U5883">
        <v>-0.1109161</v>
      </c>
      <c r="V5883">
        <v>3.9337070000000002E-2</v>
      </c>
      <c r="W5883">
        <v>0.1310723</v>
      </c>
      <c r="X5883">
        <v>0.99059209999999998</v>
      </c>
      <c r="Y5883">
        <v>6.3287239999999995E-2</v>
      </c>
      <c r="Z5883">
        <v>-1.477201E-2</v>
      </c>
      <c r="AA5883">
        <v>0.99788600000000005</v>
      </c>
      <c r="AB5883">
        <v>10</v>
      </c>
      <c r="AC5883">
        <v>0.51648000000000105</v>
      </c>
      <c r="AD5883">
        <v>-0.17037529999999901</v>
      </c>
      <c r="AE5883">
        <v>-3.1500000000022503E-2</v>
      </c>
      <c r="AF5883">
        <v>4.2449624302808998E-2</v>
      </c>
      <c r="AG5883">
        <v>-0.17037529999999901</v>
      </c>
      <c r="AH5883">
        <v>0.46489400217119897</v>
      </c>
      <c r="AI5883">
        <v>110.050248656512</v>
      </c>
      <c r="AJ5883">
        <v>84.782771103824501</v>
      </c>
      <c r="AK5883">
        <v>0.49694682482967301</v>
      </c>
      <c r="AL5883">
        <v>82.468439418614807</v>
      </c>
      <c r="AM5883">
        <v>87.725941400363695</v>
      </c>
      <c r="AN5883">
        <v>1.00000003074294</v>
      </c>
    </row>
    <row r="5884" spans="1:40" x14ac:dyDescent="0.25">
      <c r="A5884" t="str">
        <f>"20190312164428970"</f>
        <v>20190312164428970</v>
      </c>
      <c r="B5884" t="str">
        <f>"1552380268960982"</f>
        <v>1552380268960982</v>
      </c>
      <c r="C5884" t="s">
        <v>40</v>
      </c>
      <c r="D5884">
        <v>5.2408679999999999</v>
      </c>
      <c r="E5884">
        <v>0.51276270000000002</v>
      </c>
      <c r="F5884" t="s">
        <v>41</v>
      </c>
      <c r="G5884">
        <v>-85.387590000000003</v>
      </c>
      <c r="H5884">
        <v>0.92883789999999999</v>
      </c>
      <c r="I5884">
        <v>138.65950000000001</v>
      </c>
      <c r="J5884">
        <v>-86.029309999999995</v>
      </c>
      <c r="K5884">
        <v>1.1131040000000001</v>
      </c>
      <c r="L5884">
        <v>138.68989999999999</v>
      </c>
      <c r="M5884">
        <v>0.99896399999999996</v>
      </c>
      <c r="N5884">
        <v>0</v>
      </c>
      <c r="O5884">
        <v>3.038534E-2</v>
      </c>
      <c r="P5884">
        <v>0.99517789999999995</v>
      </c>
      <c r="Q5884">
        <v>9.7657720000000003E-2</v>
      </c>
      <c r="R5884">
        <v>-9.1875800000000007E-3</v>
      </c>
      <c r="S5884">
        <v>3.0874630000000001</v>
      </c>
      <c r="T5884">
        <v>-0.75447690000000001</v>
      </c>
      <c r="U5884">
        <v>-0.109024</v>
      </c>
      <c r="V5884">
        <v>3.9445630000000002E-2</v>
      </c>
      <c r="W5884">
        <v>0.13129399999999999</v>
      </c>
      <c r="X5884">
        <v>0.99055839999999995</v>
      </c>
      <c r="Y5884">
        <v>6.2914390000000001E-2</v>
      </c>
      <c r="Z5884">
        <v>-1.489308E-2</v>
      </c>
      <c r="AA5884">
        <v>0.99790780000000001</v>
      </c>
      <c r="AB5884">
        <v>9</v>
      </c>
      <c r="AC5884">
        <v>0.64171999999999196</v>
      </c>
      <c r="AD5884">
        <v>-0.18426609999999999</v>
      </c>
      <c r="AE5884">
        <v>-3.03999999999859E-2</v>
      </c>
      <c r="AF5884">
        <v>4.6103245576321401E-2</v>
      </c>
      <c r="AG5884">
        <v>-0.18426609999999999</v>
      </c>
      <c r="AH5884">
        <v>0.59181241389158301</v>
      </c>
      <c r="AI5884">
        <v>107.24530814193299</v>
      </c>
      <c r="AJ5884">
        <v>85.545552643353702</v>
      </c>
      <c r="AK5884">
        <v>0.62154761531041502</v>
      </c>
      <c r="AL5884">
        <v>82.455626042195306</v>
      </c>
      <c r="AM5884">
        <v>87.719594713170594</v>
      </c>
      <c r="AN5884">
        <v>1.00000000798632</v>
      </c>
    </row>
    <row r="5885" spans="1:40" x14ac:dyDescent="0.25">
      <c r="A5885" t="str">
        <f>"20190312164429000"</f>
        <v>20190312164429000</v>
      </c>
      <c r="B5885" t="str">
        <f>"1552380268991239"</f>
        <v>1552380268991239</v>
      </c>
      <c r="C5885" t="s">
        <v>40</v>
      </c>
      <c r="D5885">
        <v>5.3355410000000001</v>
      </c>
      <c r="E5885">
        <v>0.51436309999999996</v>
      </c>
      <c r="F5885" t="s">
        <v>41</v>
      </c>
      <c r="G5885">
        <v>-85.309640000000002</v>
      </c>
      <c r="H5885">
        <v>0.93560500000000002</v>
      </c>
      <c r="I5885">
        <v>138.67169999999999</v>
      </c>
      <c r="J5885">
        <v>-85.925929999999994</v>
      </c>
      <c r="K5885">
        <v>1.113119</v>
      </c>
      <c r="L5885">
        <v>138.69329999999999</v>
      </c>
      <c r="M5885">
        <v>0.9989517</v>
      </c>
      <c r="N5885">
        <v>0</v>
      </c>
      <c r="O5885">
        <v>3.0606410000000001E-2</v>
      </c>
      <c r="P5885">
        <v>0.99526550000000003</v>
      </c>
      <c r="Q5885">
        <v>9.6736169999999996E-2</v>
      </c>
      <c r="R5885">
        <v>-9.4246859999999998E-3</v>
      </c>
      <c r="S5885">
        <v>3.0885769999999999</v>
      </c>
      <c r="T5885">
        <v>-0.761791</v>
      </c>
      <c r="U5885">
        <v>-7.8018190000000001E-2</v>
      </c>
      <c r="V5885">
        <v>3.99114E-2</v>
      </c>
      <c r="W5885">
        <v>0.13053380000000001</v>
      </c>
      <c r="X5885">
        <v>0.99064019999999997</v>
      </c>
      <c r="Y5885">
        <v>5.3339749999999998E-2</v>
      </c>
      <c r="Z5885">
        <v>-1.392053E-2</v>
      </c>
      <c r="AA5885">
        <v>0.99847940000000002</v>
      </c>
      <c r="AB5885">
        <v>9</v>
      </c>
      <c r="AC5885">
        <v>0.616290000000006</v>
      </c>
      <c r="AD5885">
        <v>-0.17751400000000001</v>
      </c>
      <c r="AE5885">
        <v>-2.1600000000006499E-2</v>
      </c>
      <c r="AF5885">
        <v>3.7366890323219701E-2</v>
      </c>
      <c r="AG5885">
        <v>-0.17751400000000001</v>
      </c>
      <c r="AH5885">
        <v>0.56825224723683199</v>
      </c>
      <c r="AI5885">
        <v>107.312920398624</v>
      </c>
      <c r="AJ5885">
        <v>86.237784866504995</v>
      </c>
      <c r="AK5885">
        <v>0.59650492133605804</v>
      </c>
      <c r="AL5885">
        <v>82.499560339688202</v>
      </c>
      <c r="AM5885">
        <v>87.692887165545798</v>
      </c>
      <c r="AN5885">
        <v>0.99999999932421901</v>
      </c>
    </row>
    <row r="5886" spans="1:40" x14ac:dyDescent="0.25">
      <c r="A5886" t="str">
        <f>"20190312164429031"</f>
        <v>20190312164429031</v>
      </c>
      <c r="B5886" t="str">
        <f>"1552380269021498"</f>
        <v>1552380269021498</v>
      </c>
      <c r="C5886" t="s">
        <v>40</v>
      </c>
      <c r="D5886">
        <v>5.2330719999999999</v>
      </c>
      <c r="E5886">
        <v>0.51487240000000001</v>
      </c>
      <c r="F5886" t="s">
        <v>41</v>
      </c>
      <c r="G5886">
        <v>-85.235929999999996</v>
      </c>
      <c r="H5886">
        <v>0.94091179999999996</v>
      </c>
      <c r="I5886">
        <v>138.67269999999999</v>
      </c>
      <c r="J5886">
        <v>-85.820880000000002</v>
      </c>
      <c r="K5886">
        <v>1.1130580000000001</v>
      </c>
      <c r="L5886">
        <v>138.6968</v>
      </c>
      <c r="M5886">
        <v>0.99895120000000004</v>
      </c>
      <c r="N5886">
        <v>0</v>
      </c>
      <c r="O5886">
        <v>3.0790270000000002E-2</v>
      </c>
      <c r="P5886">
        <v>0.99532350000000003</v>
      </c>
      <c r="Q5886">
        <v>9.6188720000000005E-2</v>
      </c>
      <c r="R5886">
        <v>-8.8948789999999996E-3</v>
      </c>
      <c r="S5886">
        <v>3.088333</v>
      </c>
      <c r="T5886">
        <v>-0.77082240000000002</v>
      </c>
      <c r="U5886">
        <v>-9.1842649999999998E-2</v>
      </c>
      <c r="V5886">
        <v>3.9568600000000002E-2</v>
      </c>
      <c r="W5886">
        <v>0.1298388</v>
      </c>
      <c r="X5886">
        <v>0.99074530000000005</v>
      </c>
      <c r="Y5886">
        <v>5.7789689999999998E-2</v>
      </c>
      <c r="Z5886">
        <v>-1.467306E-2</v>
      </c>
      <c r="AA5886">
        <v>0.99822089999999997</v>
      </c>
      <c r="AB5886">
        <v>8</v>
      </c>
      <c r="AC5886">
        <v>0.58494999999999198</v>
      </c>
      <c r="AD5886">
        <v>-0.1721462</v>
      </c>
      <c r="AE5886">
        <v>-2.4100000000004201E-2</v>
      </c>
      <c r="AF5886">
        <v>3.87585707571989E-2</v>
      </c>
      <c r="AG5886">
        <v>-0.1721462</v>
      </c>
      <c r="AH5886">
        <v>0.53746043739863603</v>
      </c>
      <c r="AI5886">
        <v>107.716911618529</v>
      </c>
      <c r="AJ5886">
        <v>85.875296538023903</v>
      </c>
      <c r="AK5886">
        <v>0.56568565718985098</v>
      </c>
      <c r="AL5886">
        <v>82.539722853148803</v>
      </c>
      <c r="AM5886">
        <v>87.712924261639401</v>
      </c>
      <c r="AN5886">
        <v>1.0000000187817399</v>
      </c>
    </row>
    <row r="5887" spans="1:40" x14ac:dyDescent="0.25">
      <c r="A5887" t="str">
        <f>"20190312164429058"</f>
        <v>20190312164429058</v>
      </c>
      <c r="B5887" t="str">
        <f>"1552380269050775"</f>
        <v>1552380269050775</v>
      </c>
      <c r="C5887" t="s">
        <v>40</v>
      </c>
      <c r="D5887">
        <v>5.2231139999999998</v>
      </c>
      <c r="E5887">
        <v>0.51429380000000002</v>
      </c>
      <c r="F5887" t="s">
        <v>41</v>
      </c>
      <c r="G5887">
        <v>-85.106380000000001</v>
      </c>
      <c r="H5887">
        <v>0.93252579999999996</v>
      </c>
      <c r="I5887">
        <v>138.67500000000001</v>
      </c>
      <c r="J5887">
        <v>-85.729129999999998</v>
      </c>
      <c r="K5887">
        <v>1.112795</v>
      </c>
      <c r="L5887">
        <v>138.69980000000001</v>
      </c>
      <c r="M5887">
        <v>0.99898160000000003</v>
      </c>
      <c r="N5887">
        <v>0</v>
      </c>
      <c r="O5887">
        <v>3.0934449999999999E-2</v>
      </c>
      <c r="P5887">
        <v>0.99514860000000005</v>
      </c>
      <c r="Q5887">
        <v>9.7992099999999999E-2</v>
      </c>
      <c r="R5887">
        <v>-8.7759520000000001E-3</v>
      </c>
      <c r="S5887">
        <v>3.0886840000000002</v>
      </c>
      <c r="T5887">
        <v>-0.78047469999999997</v>
      </c>
      <c r="U5887">
        <v>-9.3841549999999996E-2</v>
      </c>
      <c r="V5887">
        <v>3.9586749999999997E-2</v>
      </c>
      <c r="W5887">
        <v>0.13059669999999901</v>
      </c>
      <c r="X5887">
        <v>0.99064490000000005</v>
      </c>
      <c r="Y5887">
        <v>5.8481770000000002E-2</v>
      </c>
      <c r="Z5887">
        <v>-1.4971150000000001E-2</v>
      </c>
      <c r="AA5887">
        <v>0.99817619999999896</v>
      </c>
      <c r="AB5887">
        <v>8</v>
      </c>
      <c r="AC5887">
        <v>0.62274999999999603</v>
      </c>
      <c r="AD5887">
        <v>-0.18026919999999999</v>
      </c>
      <c r="AE5887">
        <v>-2.4799999999999E-2</v>
      </c>
      <c r="AF5887">
        <v>4.0661159637925E-2</v>
      </c>
      <c r="AG5887">
        <v>-0.18026919999999999</v>
      </c>
      <c r="AH5887">
        <v>0.57368823984140804</v>
      </c>
      <c r="AI5887">
        <v>107.403192882742</v>
      </c>
      <c r="AJ5887">
        <v>85.945840829403906</v>
      </c>
      <c r="AK5887">
        <v>0.60271760460772505</v>
      </c>
      <c r="AL5887">
        <v>82.495925046925194</v>
      </c>
      <c r="AM5887">
        <v>87.711644651011994</v>
      </c>
      <c r="AN5887">
        <v>0.99999996336122998</v>
      </c>
    </row>
    <row r="5888" spans="1:40" x14ac:dyDescent="0.25">
      <c r="A5888" t="str">
        <f>"20190312164429082"</f>
        <v>20190312164429082</v>
      </c>
      <c r="B5888" t="str">
        <f>"1552380269071270"</f>
        <v>1552380269071270</v>
      </c>
      <c r="C5888" t="s">
        <v>40</v>
      </c>
      <c r="D5888">
        <v>5.2775930000000004</v>
      </c>
      <c r="E5888">
        <v>0.51430670000000001</v>
      </c>
      <c r="F5888" t="s">
        <v>41</v>
      </c>
      <c r="G5888">
        <v>-85.037629999999993</v>
      </c>
      <c r="H5888">
        <v>0.94002759999999996</v>
      </c>
      <c r="I5888">
        <v>138.6799</v>
      </c>
      <c r="J5888">
        <v>-85.65437</v>
      </c>
      <c r="K5888">
        <v>1.1126640000000001</v>
      </c>
      <c r="L5888">
        <v>138.70230000000001</v>
      </c>
      <c r="M5888">
        <v>0.99900109999999998</v>
      </c>
      <c r="N5888">
        <v>0</v>
      </c>
      <c r="O5888">
        <v>3.1049179999999999E-2</v>
      </c>
      <c r="P5888">
        <v>0.99512849999999997</v>
      </c>
      <c r="Q5888">
        <v>9.8223400000000002E-2</v>
      </c>
      <c r="R5888">
        <v>-8.4798180000000001E-3</v>
      </c>
      <c r="S5888">
        <v>3.089874</v>
      </c>
      <c r="T5888">
        <v>-0.77205279999999998</v>
      </c>
      <c r="U5888">
        <v>-8.8562009999999997E-2</v>
      </c>
      <c r="V5888">
        <v>3.9403819999999999E-2</v>
      </c>
      <c r="W5888">
        <v>0.13012489999999999</v>
      </c>
      <c r="X5888">
        <v>0.99071430000000005</v>
      </c>
      <c r="Y5888">
        <v>5.6983739999999998E-2</v>
      </c>
      <c r="Z5888">
        <v>-1.4652989999999999E-2</v>
      </c>
      <c r="AA5888">
        <v>0.99826760000000003</v>
      </c>
      <c r="AB5888">
        <v>7</v>
      </c>
      <c r="AC5888">
        <v>0.61673999999999296</v>
      </c>
      <c r="AD5888">
        <v>-0.172636399999999</v>
      </c>
      <c r="AE5888">
        <v>-2.24000000000046E-2</v>
      </c>
      <c r="AF5888">
        <v>3.8533114491200102E-2</v>
      </c>
      <c r="AG5888">
        <v>-0.172636399999999</v>
      </c>
      <c r="AH5888">
        <v>0.57106060768968603</v>
      </c>
      <c r="AI5888">
        <v>106.78449238785601</v>
      </c>
      <c r="AJ5888">
        <v>86.139738589739693</v>
      </c>
      <c r="AK5888">
        <v>0.59782802307374705</v>
      </c>
      <c r="AL5888">
        <v>82.523190038891201</v>
      </c>
      <c r="AM5888">
        <v>87.722367347983905</v>
      </c>
      <c r="AN5888">
        <v>0.99999998742754603</v>
      </c>
    </row>
    <row r="5889" spans="1:40" x14ac:dyDescent="0.25">
      <c r="A5889" t="str">
        <f>"20190312164429121"</f>
        <v>20190312164429121</v>
      </c>
      <c r="B5889" t="str">
        <f>"1552380269111286"</f>
        <v>1552380269111286</v>
      </c>
      <c r="C5889" t="s">
        <v>40</v>
      </c>
      <c r="D5889">
        <v>5.2476779999999996</v>
      </c>
      <c r="E5889">
        <v>0.51347679999999996</v>
      </c>
      <c r="F5889" t="s">
        <v>41</v>
      </c>
      <c r="G5889">
        <v>-84.923719999999904</v>
      </c>
      <c r="H5889">
        <v>0.93046220000000002</v>
      </c>
      <c r="I5889">
        <v>138.68129999999999</v>
      </c>
      <c r="J5889">
        <v>-85.552350000000004</v>
      </c>
      <c r="K5889">
        <v>1.1131040000000001</v>
      </c>
      <c r="L5889">
        <v>138.7056</v>
      </c>
      <c r="M5889">
        <v>0.99895500000000004</v>
      </c>
      <c r="N5889">
        <v>0</v>
      </c>
      <c r="O5889">
        <v>3.119094E-2</v>
      </c>
      <c r="P5889">
        <v>0.99526879999999995</v>
      </c>
      <c r="Q5889">
        <v>9.6794439999999995E-2</v>
      </c>
      <c r="R5889">
        <v>-8.4196979999999998E-3</v>
      </c>
      <c r="S5889">
        <v>3.0899809999999999</v>
      </c>
      <c r="T5889">
        <v>-0.77057790000000004</v>
      </c>
      <c r="U5889">
        <v>-8.8699340000000002E-2</v>
      </c>
      <c r="V5889">
        <v>3.9492470000000002E-2</v>
      </c>
      <c r="W5889">
        <v>0.1299622</v>
      </c>
      <c r="X5889">
        <v>0.9907321</v>
      </c>
      <c r="Y5889">
        <v>5.7170310000000002E-2</v>
      </c>
      <c r="Z5889">
        <v>-1.4683389999999999E-2</v>
      </c>
      <c r="AA5889">
        <v>0.99825640000000004</v>
      </c>
      <c r="AB5889">
        <v>7</v>
      </c>
      <c r="AC5889">
        <v>0.62863000000001501</v>
      </c>
      <c r="AD5889">
        <v>-0.18264179999999999</v>
      </c>
      <c r="AE5889">
        <v>-2.4300000000010799E-2</v>
      </c>
      <c r="AF5889">
        <v>4.04935833327809E-2</v>
      </c>
      <c r="AG5889">
        <v>-0.18264179999999999</v>
      </c>
      <c r="AH5889">
        <v>0.57878154803610704</v>
      </c>
      <c r="AI5889">
        <v>107.473641437103</v>
      </c>
      <c r="AJ5889">
        <v>85.997908114213899</v>
      </c>
      <c r="AK5889">
        <v>0.60826461161688705</v>
      </c>
      <c r="AL5889">
        <v>82.532591704025194</v>
      </c>
      <c r="AM5889">
        <v>87.717289555792206</v>
      </c>
      <c r="AN5889">
        <v>0.99999996129297397</v>
      </c>
    </row>
    <row r="5890" spans="1:40" x14ac:dyDescent="0.25">
      <c r="A5890" t="str">
        <f>"20190312164429150"</f>
        <v>20190312164429150</v>
      </c>
      <c r="B5890" t="str">
        <f>"1552380269141543"</f>
        <v>1552380269141543</v>
      </c>
      <c r="C5890" t="s">
        <v>40</v>
      </c>
      <c r="D5890">
        <v>5.2714280000000002</v>
      </c>
      <c r="E5890">
        <v>0.51316980000000001</v>
      </c>
      <c r="F5890" t="s">
        <v>41</v>
      </c>
      <c r="G5890">
        <v>-84.867310000000003</v>
      </c>
      <c r="H5890">
        <v>0.94132729999999998</v>
      </c>
      <c r="I5890">
        <v>138.68770000000001</v>
      </c>
      <c r="J5890">
        <v>-85.487290000000002</v>
      </c>
      <c r="K5890">
        <v>1.113524</v>
      </c>
      <c r="L5890">
        <v>138.70779999999999</v>
      </c>
      <c r="M5890">
        <v>0.99889459999999997</v>
      </c>
      <c r="N5890">
        <v>0</v>
      </c>
      <c r="O5890">
        <v>3.1257439999999997E-2</v>
      </c>
      <c r="P5890">
        <v>0.99554529999999997</v>
      </c>
      <c r="Q5890">
        <v>9.3860979999999997E-2</v>
      </c>
      <c r="R5890">
        <v>-8.9470909999999904E-3</v>
      </c>
      <c r="S5890">
        <v>3.0889129999999998</v>
      </c>
      <c r="T5890">
        <v>-0.77461179999999996</v>
      </c>
      <c r="U5890">
        <v>-8.0795290000000006E-2</v>
      </c>
      <c r="V5890">
        <v>4.009629E-2</v>
      </c>
      <c r="W5890">
        <v>0.12872339999999999</v>
      </c>
      <c r="X5890">
        <v>0.99086960000000002</v>
      </c>
      <c r="Y5890">
        <v>5.473894E-2</v>
      </c>
      <c r="Z5890">
        <v>-1.448004E-2</v>
      </c>
      <c r="AA5890">
        <v>0.9983957</v>
      </c>
      <c r="AB5890">
        <v>6</v>
      </c>
      <c r="AC5890">
        <v>0.61997999999999798</v>
      </c>
      <c r="AD5890">
        <v>-0.17219669999999901</v>
      </c>
      <c r="AE5890">
        <v>-2.0099999999985099E-2</v>
      </c>
      <c r="AF5890">
        <v>3.66563134953116E-2</v>
      </c>
      <c r="AG5890">
        <v>-0.17219669999999901</v>
      </c>
      <c r="AH5890">
        <v>0.57475637266521495</v>
      </c>
      <c r="AI5890">
        <v>106.64624412532299</v>
      </c>
      <c r="AJ5890">
        <v>86.350781866153199</v>
      </c>
      <c r="AK5890">
        <v>0.60111585965538505</v>
      </c>
      <c r="AL5890">
        <v>82.604171245803798</v>
      </c>
      <c r="AM5890">
        <v>87.682747084374299</v>
      </c>
      <c r="AN5890">
        <v>0.99999999519174199</v>
      </c>
    </row>
    <row r="5891" spans="1:40" x14ac:dyDescent="0.25">
      <c r="A5891" t="str">
        <f>"20190312164429187"</f>
        <v>20190312164429187</v>
      </c>
      <c r="B5891" t="str">
        <f>"1552380269181558"</f>
        <v>1552380269181558</v>
      </c>
      <c r="C5891" t="s">
        <v>40</v>
      </c>
      <c r="D5891">
        <v>5.1875400000000003</v>
      </c>
      <c r="E5891">
        <v>0.4985965</v>
      </c>
      <c r="F5891" t="s">
        <v>41</v>
      </c>
      <c r="G5891">
        <v>-84.784520000000001</v>
      </c>
      <c r="H5891">
        <v>0.935419</v>
      </c>
      <c r="I5891">
        <v>138.6893</v>
      </c>
      <c r="J5891">
        <v>-85.422060000000002</v>
      </c>
      <c r="K5891">
        <v>1.1139079999999999</v>
      </c>
      <c r="L5891">
        <v>138.7099</v>
      </c>
      <c r="M5891">
        <v>0.99881739999999997</v>
      </c>
      <c r="N5891">
        <v>0</v>
      </c>
      <c r="O5891">
        <v>3.1302259999999998E-2</v>
      </c>
      <c r="P5891">
        <v>0.99598140000000002</v>
      </c>
      <c r="Q5891">
        <v>8.9038980000000004E-2</v>
      </c>
      <c r="R5891">
        <v>-9.6554910000000004E-3</v>
      </c>
      <c r="S5891">
        <v>3.0864410000000002</v>
      </c>
      <c r="T5891">
        <v>-0.78220869999999998</v>
      </c>
      <c r="U5891">
        <v>-8.0963129999999994E-2</v>
      </c>
      <c r="V5891">
        <v>4.0865190000000003E-2</v>
      </c>
      <c r="W5891">
        <v>0.12599730000000001</v>
      </c>
      <c r="X5891">
        <v>0.99118850000000003</v>
      </c>
      <c r="Y5891">
        <v>5.4801849999999999E-2</v>
      </c>
      <c r="Z5891">
        <v>-1.4648690000000001E-2</v>
      </c>
      <c r="AA5891">
        <v>0.99838979999999999</v>
      </c>
      <c r="AB5891">
        <v>5</v>
      </c>
      <c r="AC5891">
        <v>0.63754000000000099</v>
      </c>
      <c r="AD5891">
        <v>-0.17848899999999901</v>
      </c>
      <c r="AE5891">
        <v>-2.06000000000017E-2</v>
      </c>
      <c r="AF5891">
        <v>3.7614953997384099E-2</v>
      </c>
      <c r="AG5891">
        <v>-0.17848899999999901</v>
      </c>
      <c r="AH5891">
        <v>0.59035761103522399</v>
      </c>
      <c r="AI5891">
        <v>106.790066538025</v>
      </c>
      <c r="AJ5891">
        <v>86.354296588388806</v>
      </c>
      <c r="AK5891">
        <v>0.61789587860127504</v>
      </c>
      <c r="AL5891">
        <v>82.761647495837394</v>
      </c>
      <c r="AM5891">
        <v>87.639119462638206</v>
      </c>
      <c r="AN5891">
        <v>0.99999996294663696</v>
      </c>
    </row>
    <row r="5892" spans="1:40" x14ac:dyDescent="0.25">
      <c r="A5892" t="str">
        <f>"20190312164429215"</f>
        <v>20190312164429215</v>
      </c>
      <c r="B5892" t="str">
        <f>"1552380269210838"</f>
        <v>1552380269210838</v>
      </c>
      <c r="C5892" t="s">
        <v>40</v>
      </c>
      <c r="D5892">
        <v>5.3561040000000002</v>
      </c>
      <c r="E5892">
        <v>0.49597560000000002</v>
      </c>
      <c r="F5892" t="s">
        <v>41</v>
      </c>
      <c r="G5892">
        <v>-84.695580000000007</v>
      </c>
      <c r="H5892">
        <v>0.98262249999999995</v>
      </c>
      <c r="I5892">
        <v>138.71469999999999</v>
      </c>
      <c r="J5892">
        <v>-85.384119999999996</v>
      </c>
      <c r="K5892">
        <v>1.1141000000000001</v>
      </c>
      <c r="L5892">
        <v>138.71109999999999</v>
      </c>
      <c r="M5892">
        <v>0.99876109999999896</v>
      </c>
      <c r="N5892">
        <v>0</v>
      </c>
      <c r="O5892">
        <v>3.132298E-2</v>
      </c>
      <c r="P5892">
        <v>0.99622339999999998</v>
      </c>
      <c r="Q5892">
        <v>8.6250830000000001E-2</v>
      </c>
      <c r="R5892">
        <v>-9.9930490000000004E-3</v>
      </c>
      <c r="S5892">
        <v>3.0617679999999998</v>
      </c>
      <c r="T5892">
        <v>-0.55333779999999999</v>
      </c>
      <c r="U5892">
        <v>2.0477289999999999E-2</v>
      </c>
      <c r="V5892">
        <v>4.1232820000000003E-2</v>
      </c>
      <c r="W5892">
        <v>0.1246746</v>
      </c>
      <c r="X5892">
        <v>0.99134060000000002</v>
      </c>
      <c r="Y5892">
        <v>2.376847E-2</v>
      </c>
      <c r="Z5892">
        <v>-7.7491569999999996E-3</v>
      </c>
      <c r="AA5892">
        <v>0.9996874</v>
      </c>
      <c r="AB5892">
        <v>4</v>
      </c>
      <c r="AC5892">
        <v>0.68853999999998805</v>
      </c>
      <c r="AD5892">
        <v>-0.1314775</v>
      </c>
      <c r="AE5892">
        <v>3.6000000000058199E-3</v>
      </c>
      <c r="AF5892">
        <v>1.73523449662666E-2</v>
      </c>
      <c r="AG5892">
        <v>-0.1314775</v>
      </c>
      <c r="AH5892">
        <v>0.66410048964125001</v>
      </c>
      <c r="AI5892">
        <v>101.194786466</v>
      </c>
      <c r="AJ5892">
        <v>88.503253680581395</v>
      </c>
      <c r="AK5892">
        <v>0.67721259381661403</v>
      </c>
      <c r="AL5892">
        <v>82.838035574890299</v>
      </c>
      <c r="AM5892">
        <v>87.618270009035598</v>
      </c>
      <c r="AN5892">
        <v>1.0000000432693299</v>
      </c>
    </row>
    <row r="5893" spans="1:40" x14ac:dyDescent="0.25">
      <c r="A5893" t="str">
        <f>"20190312164429238"</f>
        <v>20190312164429238</v>
      </c>
      <c r="B5893" t="str">
        <f>"1552380269231334"</f>
        <v>1552380269231334</v>
      </c>
      <c r="C5893" t="s">
        <v>40</v>
      </c>
      <c r="D5893">
        <v>5.1883119999999998</v>
      </c>
      <c r="E5893">
        <v>0.49541230000000003</v>
      </c>
      <c r="F5893" t="s">
        <v>41</v>
      </c>
      <c r="G5893">
        <v>-84.661789999999996</v>
      </c>
      <c r="H5893">
        <v>1.0003169999999999</v>
      </c>
      <c r="I5893">
        <v>138.71969999999999</v>
      </c>
      <c r="J5893">
        <v>-85.358829999999998</v>
      </c>
      <c r="K5893">
        <v>1.114088</v>
      </c>
      <c r="L5893">
        <v>138.71190000000001</v>
      </c>
      <c r="M5893">
        <v>0.9987355</v>
      </c>
      <c r="N5893">
        <v>0</v>
      </c>
      <c r="O5893">
        <v>3.134108E-2</v>
      </c>
      <c r="P5893">
        <v>0.9964269</v>
      </c>
      <c r="Q5893">
        <v>8.3862980000000004E-2</v>
      </c>
      <c r="R5893">
        <v>-1.002572E-2</v>
      </c>
      <c r="S5893">
        <v>3.053391</v>
      </c>
      <c r="T5893">
        <v>-0.48107899999999998</v>
      </c>
      <c r="U5893">
        <v>3.6849979999999997E-2</v>
      </c>
      <c r="V5893">
        <v>4.1288480000000002E-2</v>
      </c>
      <c r="W5893">
        <v>0.1229309</v>
      </c>
      <c r="X5893">
        <v>0.99155599999999999</v>
      </c>
      <c r="Y5893">
        <v>1.868415E-2</v>
      </c>
      <c r="Z5893">
        <v>-6.3732969999999896E-3</v>
      </c>
      <c r="AA5893">
        <v>0.99980519999999995</v>
      </c>
      <c r="AB5893">
        <v>3</v>
      </c>
      <c r="AC5893">
        <v>0.69704000000001498</v>
      </c>
      <c r="AD5893">
        <v>-0.113771</v>
      </c>
      <c r="AE5893">
        <v>7.79999999997471E-3</v>
      </c>
      <c r="AF5893">
        <v>1.37017411632808E-2</v>
      </c>
      <c r="AG5893">
        <v>-0.113771</v>
      </c>
      <c r="AH5893">
        <v>0.67885860474305204</v>
      </c>
      <c r="AI5893">
        <v>99.511975111556495</v>
      </c>
      <c r="AJ5893">
        <v>88.843727754114994</v>
      </c>
      <c r="AK5893">
        <v>0.68846247783418701</v>
      </c>
      <c r="AL5893">
        <v>82.938716646422094</v>
      </c>
      <c r="AM5893">
        <v>87.615576125377103</v>
      </c>
      <c r="AN5893">
        <v>1.00000002294576</v>
      </c>
    </row>
    <row r="5894" spans="1:40" x14ac:dyDescent="0.25">
      <c r="A5894" t="str">
        <f>"20190312164429261"</f>
        <v>20190312164429261</v>
      </c>
      <c r="B5894" t="str">
        <f>"1552380269250855"</f>
        <v>1552380269250855</v>
      </c>
      <c r="C5894" t="s">
        <v>40</v>
      </c>
      <c r="D5894">
        <v>5.3663480000000003</v>
      </c>
      <c r="E5894">
        <v>0.49506169999999999</v>
      </c>
      <c r="F5894" t="s">
        <v>41</v>
      </c>
      <c r="G5894">
        <v>-84.637950000000004</v>
      </c>
      <c r="H5894">
        <v>1.0056969999999901</v>
      </c>
      <c r="I5894">
        <v>138.72130000000001</v>
      </c>
      <c r="J5894">
        <v>-85.335719999999995</v>
      </c>
      <c r="K5894">
        <v>1.1137680000000001</v>
      </c>
      <c r="L5894">
        <v>138.71260000000001</v>
      </c>
      <c r="M5894">
        <v>0.99876019999999999</v>
      </c>
      <c r="N5894">
        <v>0</v>
      </c>
      <c r="O5894">
        <v>3.1375159999999999E-2</v>
      </c>
      <c r="P5894">
        <v>0.99649750000000004</v>
      </c>
      <c r="Q5894">
        <v>8.3038490000000006E-2</v>
      </c>
      <c r="R5894">
        <v>-9.8730310000000009E-3</v>
      </c>
      <c r="S5894">
        <v>3.0497740000000002</v>
      </c>
      <c r="T5894">
        <v>-0.45865800000000001</v>
      </c>
      <c r="U5894">
        <v>4.014587E-2</v>
      </c>
      <c r="V5894">
        <v>4.116645E-2</v>
      </c>
      <c r="W5894">
        <v>0.1214553</v>
      </c>
      <c r="X5894">
        <v>0.99174280000000004</v>
      </c>
      <c r="Y5894">
        <v>1.7688209999999999E-2</v>
      </c>
      <c r="Z5894">
        <v>-6.0172159999999997E-3</v>
      </c>
      <c r="AA5894">
        <v>0.99982539999999998</v>
      </c>
      <c r="AB5894">
        <v>3</v>
      </c>
      <c r="AC5894">
        <v>0.69776999999999101</v>
      </c>
      <c r="AD5894">
        <v>-0.108071</v>
      </c>
      <c r="AE5894">
        <v>8.7000000000045895E-3</v>
      </c>
      <c r="AF5894">
        <v>1.29038150485768E-2</v>
      </c>
      <c r="AG5894">
        <v>-0.108071</v>
      </c>
      <c r="AH5894">
        <v>0.68135727962751602</v>
      </c>
      <c r="AI5894">
        <v>99.0110932262087</v>
      </c>
      <c r="AJ5894">
        <v>88.915039447813399</v>
      </c>
      <c r="AK5894">
        <v>0.689995356495402</v>
      </c>
      <c r="AL5894">
        <v>83.023899950079098</v>
      </c>
      <c r="AM5894">
        <v>87.623062581070997</v>
      </c>
      <c r="AN5894">
        <v>0.99999992392776305</v>
      </c>
    </row>
    <row r="5895" spans="1:40" x14ac:dyDescent="0.25">
      <c r="A5895" t="str">
        <f>"20190312164429285"</f>
        <v>20190312164429285</v>
      </c>
      <c r="B5895" t="str">
        <f>"1552380269281110"</f>
        <v>1552380269281110</v>
      </c>
      <c r="C5895" t="s">
        <v>40</v>
      </c>
      <c r="D5895">
        <v>5.3494669999999998</v>
      </c>
      <c r="E5895">
        <v>0.49482290000000001</v>
      </c>
      <c r="F5895" t="s">
        <v>41</v>
      </c>
      <c r="G5895">
        <v>-84.598330000000004</v>
      </c>
      <c r="H5895">
        <v>1.0059049999999901</v>
      </c>
      <c r="I5895">
        <v>138.72290000000001</v>
      </c>
      <c r="J5895">
        <v>-85.311840000000004</v>
      </c>
      <c r="K5895">
        <v>1.113254</v>
      </c>
      <c r="L5895">
        <v>138.71340000000001</v>
      </c>
      <c r="M5895">
        <v>0.99882510000000002</v>
      </c>
      <c r="N5895">
        <v>0</v>
      </c>
      <c r="O5895">
        <v>3.1430090000000001E-2</v>
      </c>
      <c r="P5895">
        <v>0.99646029999999997</v>
      </c>
      <c r="Q5895">
        <v>8.3496890000000004E-2</v>
      </c>
      <c r="R5895">
        <v>-9.7786149999999992E-3</v>
      </c>
      <c r="S5895">
        <v>3.0481259999999999</v>
      </c>
      <c r="T5895">
        <v>-0.4459591</v>
      </c>
      <c r="U5895">
        <v>4.2541500000000003E-2</v>
      </c>
      <c r="V5895">
        <v>4.1119059999999999E-2</v>
      </c>
      <c r="W5895">
        <v>0.12016640000000001</v>
      </c>
      <c r="X5895">
        <v>0.99190179999999994</v>
      </c>
      <c r="Y5895">
        <v>1.698467E-2</v>
      </c>
      <c r="Z5895">
        <v>-5.8119799999999996E-3</v>
      </c>
      <c r="AA5895">
        <v>0.99983880000000003</v>
      </c>
      <c r="AB5895">
        <v>2</v>
      </c>
      <c r="AC5895">
        <v>0.71350999999999898</v>
      </c>
      <c r="AD5895">
        <v>-0.107349</v>
      </c>
      <c r="AE5895">
        <v>9.5000000000027198E-3</v>
      </c>
      <c r="AF5895">
        <v>1.26591554506119E-2</v>
      </c>
      <c r="AG5895">
        <v>-0.107349</v>
      </c>
      <c r="AH5895">
        <v>0.69766636282899397</v>
      </c>
      <c r="AI5895">
        <v>98.746005494998201</v>
      </c>
      <c r="AJ5895">
        <v>88.960482212402397</v>
      </c>
      <c r="AK5895">
        <v>0.70599037942507403</v>
      </c>
      <c r="AL5895">
        <v>83.098293638543893</v>
      </c>
      <c r="AM5895">
        <v>87.626175876325604</v>
      </c>
      <c r="AN5895">
        <v>0.99999996081374098</v>
      </c>
    </row>
    <row r="5896" spans="1:40" x14ac:dyDescent="0.25">
      <c r="A5896" t="str">
        <f>"20190312164429322"</f>
        <v>20190312164429322</v>
      </c>
      <c r="B5896" t="str">
        <f>"1552380269311367"</f>
        <v>1552380269311367</v>
      </c>
      <c r="C5896" t="s">
        <v>40</v>
      </c>
      <c r="D5896">
        <v>5.2748710000000001</v>
      </c>
      <c r="E5896">
        <v>0.49521510000000002</v>
      </c>
      <c r="F5896" t="s">
        <v>41</v>
      </c>
      <c r="G5896">
        <v>-84.57835</v>
      </c>
      <c r="H5896">
        <v>1.0095780000000001</v>
      </c>
      <c r="I5896">
        <v>138.72399999999999</v>
      </c>
      <c r="J5896">
        <v>-85.281779999999998</v>
      </c>
      <c r="K5896">
        <v>1.112735</v>
      </c>
      <c r="L5896">
        <v>138.71449999999999</v>
      </c>
      <c r="M5896">
        <v>0.99890690000000004</v>
      </c>
      <c r="N5896">
        <v>0</v>
      </c>
      <c r="O5896">
        <v>3.1501000000000001E-2</v>
      </c>
      <c r="P5896">
        <v>0.99648979999999998</v>
      </c>
      <c r="Q5896">
        <v>8.3190760000000002E-2</v>
      </c>
      <c r="R5896">
        <v>-9.3629899999999999E-3</v>
      </c>
      <c r="S5896">
        <v>3.0471650000000001</v>
      </c>
      <c r="T5896">
        <v>-0.43072500000000002</v>
      </c>
      <c r="U5896">
        <v>4.3914790000000002E-2</v>
      </c>
      <c r="V5896">
        <v>4.077016E-2</v>
      </c>
      <c r="W5896">
        <v>0.1175311</v>
      </c>
      <c r="X5896">
        <v>0.992232</v>
      </c>
      <c r="Y5896">
        <v>1.6635029999999999E-2</v>
      </c>
      <c r="Z5896">
        <v>-5.6021719999999999E-3</v>
      </c>
      <c r="AA5896">
        <v>0.99984589999999995</v>
      </c>
      <c r="AB5896">
        <v>2</v>
      </c>
      <c r="AC5896">
        <v>0.703429999999997</v>
      </c>
      <c r="AD5896">
        <v>-0.103156999999999</v>
      </c>
      <c r="AE5896">
        <v>9.5000000000027198E-3</v>
      </c>
      <c r="AF5896">
        <v>1.2409859524496299E-2</v>
      </c>
      <c r="AG5896">
        <v>-0.103156999999999</v>
      </c>
      <c r="AH5896">
        <v>0.68857428171252399</v>
      </c>
      <c r="AI5896">
        <v>98.5188928418318</v>
      </c>
      <c r="AJ5896">
        <v>88.9674961365793</v>
      </c>
      <c r="AK5896">
        <v>0.696369092291104</v>
      </c>
      <c r="AL5896">
        <v>83.250363699691107</v>
      </c>
      <c r="AM5896">
        <v>87.647077697213504</v>
      </c>
      <c r="AN5896">
        <v>1.0000000536188101</v>
      </c>
    </row>
    <row r="5897" spans="1:40" x14ac:dyDescent="0.25">
      <c r="A5897" t="str">
        <f>"20190312164429366"</f>
        <v>20190312164429366</v>
      </c>
      <c r="B5897" t="str">
        <f>"1552380269361146"</f>
        <v>1552380269361146</v>
      </c>
      <c r="C5897" t="s">
        <v>40</v>
      </c>
      <c r="D5897">
        <v>5.3606829999999999</v>
      </c>
      <c r="E5897">
        <v>0.49571939999999998</v>
      </c>
      <c r="F5897" t="s">
        <v>41</v>
      </c>
      <c r="G5897">
        <v>-84.54974</v>
      </c>
      <c r="H5897">
        <v>1.009093</v>
      </c>
      <c r="I5897">
        <v>138.7243</v>
      </c>
      <c r="J5897">
        <v>-85.256119999999996</v>
      </c>
      <c r="K5897">
        <v>1.1125719999999999</v>
      </c>
      <c r="L5897">
        <v>138.71539999999999</v>
      </c>
      <c r="M5897">
        <v>0.99896240000000003</v>
      </c>
      <c r="N5897">
        <v>0</v>
      </c>
      <c r="O5897">
        <v>3.1540829999999999E-2</v>
      </c>
      <c r="P5897">
        <v>0.99647920000000001</v>
      </c>
      <c r="Q5897">
        <v>8.344857E-2</v>
      </c>
      <c r="R5897">
        <v>-8.0810559999999997E-3</v>
      </c>
      <c r="S5897">
        <v>3.0469819999999999</v>
      </c>
      <c r="T5897">
        <v>-0.43144389999999999</v>
      </c>
      <c r="U5897">
        <v>4.118347E-2</v>
      </c>
      <c r="V5897">
        <v>3.9529719999999997E-2</v>
      </c>
      <c r="W5897">
        <v>0.1161132</v>
      </c>
      <c r="X5897">
        <v>0.99244900000000003</v>
      </c>
      <c r="Y5897">
        <v>1.7557090000000001E-2</v>
      </c>
      <c r="Z5897">
        <v>-5.6821270000000004E-3</v>
      </c>
      <c r="AA5897">
        <v>0.99982969999999904</v>
      </c>
      <c r="AB5897">
        <v>2</v>
      </c>
      <c r="AC5897">
        <v>0.70637999999999501</v>
      </c>
      <c r="AD5897">
        <v>-0.103478999999999</v>
      </c>
      <c r="AE5897">
        <v>8.9000000000112305E-3</v>
      </c>
      <c r="AF5897">
        <v>1.31148781063399E-2</v>
      </c>
      <c r="AG5897">
        <v>-0.103478999999999</v>
      </c>
      <c r="AH5897">
        <v>0.69147246246683802</v>
      </c>
      <c r="AI5897">
        <v>98.509656142803294</v>
      </c>
      <c r="AJ5897">
        <v>88.913424437726107</v>
      </c>
      <c r="AK5897">
        <v>0.69929540955071101</v>
      </c>
      <c r="AL5897">
        <v>83.332162761294597</v>
      </c>
      <c r="AM5897">
        <v>87.719087290462397</v>
      </c>
      <c r="AN5897">
        <v>0.99999994578925699</v>
      </c>
    </row>
    <row r="5898" spans="1:40" x14ac:dyDescent="0.25">
      <c r="A5898" t="str">
        <f>"20190312164429397"</f>
        <v>20190312164429397</v>
      </c>
      <c r="B5898" t="str">
        <f>"1552380269391398"</f>
        <v>1552380269391398</v>
      </c>
      <c r="C5898" t="s">
        <v>40</v>
      </c>
      <c r="D5898">
        <v>5.2236900000000004</v>
      </c>
      <c r="E5898">
        <v>0.49563819999999997</v>
      </c>
      <c r="F5898" t="s">
        <v>41</v>
      </c>
      <c r="G5898">
        <v>-84.529929999999993</v>
      </c>
      <c r="H5898">
        <v>1.0113179999999999</v>
      </c>
      <c r="I5898">
        <v>138.72479999999999</v>
      </c>
      <c r="J5898">
        <v>-85.244579999999999</v>
      </c>
      <c r="K5898">
        <v>1.1124879999999999</v>
      </c>
      <c r="L5898">
        <v>138.7158</v>
      </c>
      <c r="M5898">
        <v>0.99899640000000001</v>
      </c>
      <c r="N5898">
        <v>0</v>
      </c>
      <c r="O5898">
        <v>3.1560070000000003E-2</v>
      </c>
      <c r="P5898">
        <v>0.99641780000000002</v>
      </c>
      <c r="Q5898">
        <v>8.4251590000000001E-2</v>
      </c>
      <c r="R5898">
        <v>-7.3042350000000001E-3</v>
      </c>
      <c r="S5898">
        <v>3.0465089999999999</v>
      </c>
      <c r="T5898">
        <v>-0.42490990000000001</v>
      </c>
      <c r="U5898">
        <v>3.9779660000000001E-2</v>
      </c>
      <c r="V5898">
        <v>3.8772920000000002E-2</v>
      </c>
      <c r="W5898">
        <v>0.11584990000000001</v>
      </c>
      <c r="X5898">
        <v>0.99250970000000005</v>
      </c>
      <c r="Y5898">
        <v>1.8043400000000001E-2</v>
      </c>
      <c r="Z5898">
        <v>-5.6340599999999998E-3</v>
      </c>
      <c r="AA5898">
        <v>0.99982130000000002</v>
      </c>
      <c r="AB5898">
        <v>1</v>
      </c>
      <c r="AC5898">
        <v>0.71464999999999101</v>
      </c>
      <c r="AD5898">
        <v>-0.101169999999999</v>
      </c>
      <c r="AE5898">
        <v>8.9999999999861302E-3</v>
      </c>
      <c r="AF5898">
        <v>1.3303716351860499E-2</v>
      </c>
      <c r="AG5898">
        <v>-0.101169999999999</v>
      </c>
      <c r="AH5898">
        <v>0.70054060496524095</v>
      </c>
      <c r="AI5898">
        <v>98.216209927967697</v>
      </c>
      <c r="AJ5898">
        <v>88.912047096417893</v>
      </c>
      <c r="AK5898">
        <v>0.70793325742886004</v>
      </c>
      <c r="AL5898">
        <v>83.347351749170798</v>
      </c>
      <c r="AM5898">
        <v>87.762847448500096</v>
      </c>
      <c r="AN5898">
        <v>1.00000002162471</v>
      </c>
    </row>
    <row r="5899" spans="1:40" x14ac:dyDescent="0.25">
      <c r="A5899" t="str">
        <f>"20190312164429433"</f>
        <v>20190312164429433</v>
      </c>
      <c r="B5899" t="str">
        <f>"1552380269421654"</f>
        <v>1552380269421654</v>
      </c>
      <c r="C5899" t="s">
        <v>40</v>
      </c>
      <c r="D5899">
        <v>5.149076</v>
      </c>
      <c r="E5899">
        <v>0.49564589999999997</v>
      </c>
      <c r="F5899" t="s">
        <v>41</v>
      </c>
      <c r="G5899">
        <v>-84.52234</v>
      </c>
      <c r="H5899">
        <v>1.013539</v>
      </c>
      <c r="I5899">
        <v>138.72579999999999</v>
      </c>
      <c r="J5899">
        <v>-85.235119999999995</v>
      </c>
      <c r="K5899">
        <v>1.112285</v>
      </c>
      <c r="L5899">
        <v>138.71610000000001</v>
      </c>
      <c r="M5899">
        <v>0.99904839999999995</v>
      </c>
      <c r="N5899">
        <v>0</v>
      </c>
      <c r="O5899">
        <v>3.1578879999999997E-2</v>
      </c>
      <c r="P5899">
        <v>0.99634710000000004</v>
      </c>
      <c r="Q5899">
        <v>8.511262E-2</v>
      </c>
      <c r="R5899">
        <v>-6.9384009999999899E-3</v>
      </c>
      <c r="S5899">
        <v>3.0463870000000002</v>
      </c>
      <c r="T5899">
        <v>-0.41744949999999997</v>
      </c>
      <c r="U5899">
        <v>4.2312620000000002E-2</v>
      </c>
      <c r="V5899">
        <v>3.8423579999999999E-2</v>
      </c>
      <c r="W5899">
        <v>0.1150267</v>
      </c>
      <c r="X5899">
        <v>0.99261900000000003</v>
      </c>
      <c r="Y5899">
        <v>1.7252699999999999E-2</v>
      </c>
      <c r="Z5899">
        <v>-5.4846549999999997E-3</v>
      </c>
      <c r="AA5899">
        <v>0.99983610000000001</v>
      </c>
      <c r="AB5899">
        <v>1</v>
      </c>
      <c r="AC5899">
        <v>0.71277999999999497</v>
      </c>
      <c r="AD5899">
        <v>-9.8746E-2</v>
      </c>
      <c r="AE5899">
        <v>9.6999999999809391E-3</v>
      </c>
      <c r="AF5899">
        <v>1.2582388335488699E-2</v>
      </c>
      <c r="AG5899">
        <v>-9.8746E-2</v>
      </c>
      <c r="AH5899">
        <v>0.69931169649147595</v>
      </c>
      <c r="AI5899">
        <v>98.036004973155897</v>
      </c>
      <c r="AJ5899">
        <v>88.969215055297497</v>
      </c>
      <c r="AK5899">
        <v>0.70636105347195599</v>
      </c>
      <c r="AL5899">
        <v>83.394834909019494</v>
      </c>
      <c r="AM5899">
        <v>87.7832276351036</v>
      </c>
      <c r="AN5899">
        <v>0.99999999618695301</v>
      </c>
    </row>
    <row r="5900" spans="1:40" x14ac:dyDescent="0.25">
      <c r="A5900" t="str">
        <f>"20190312164429478"</f>
        <v>20190312164429478</v>
      </c>
      <c r="B5900" t="str">
        <f>"1552380269471434"</f>
        <v>1552380269471434</v>
      </c>
      <c r="C5900" t="s">
        <v>40</v>
      </c>
      <c r="D5900">
        <v>5.1636379999999997</v>
      </c>
      <c r="E5900">
        <v>0.4955698</v>
      </c>
      <c r="F5900" t="s">
        <v>41</v>
      </c>
      <c r="G5900">
        <v>-84.512140000000002</v>
      </c>
      <c r="H5900">
        <v>1.0148999999999999</v>
      </c>
      <c r="I5900">
        <v>138.72630000000001</v>
      </c>
      <c r="J5900">
        <v>-85.226749999999996</v>
      </c>
      <c r="K5900">
        <v>1.1119760000000001</v>
      </c>
      <c r="L5900">
        <v>138.71639999999999</v>
      </c>
      <c r="M5900">
        <v>0.99912239999999997</v>
      </c>
      <c r="N5900">
        <v>0</v>
      </c>
      <c r="O5900">
        <v>3.1589560000000003E-2</v>
      </c>
      <c r="P5900">
        <v>0.99622940000000004</v>
      </c>
      <c r="Q5900">
        <v>8.644135E-2</v>
      </c>
      <c r="R5900">
        <v>-7.4067359999999997E-3</v>
      </c>
      <c r="S5900">
        <v>3.0463710000000002</v>
      </c>
      <c r="T5900">
        <v>-0.41045209999999999</v>
      </c>
      <c r="U5900">
        <v>4.3136599999999997E-2</v>
      </c>
      <c r="V5900">
        <v>3.8893799999999999E-2</v>
      </c>
      <c r="W5900">
        <v>0.113788</v>
      </c>
      <c r="X5900">
        <v>0.99274340000000005</v>
      </c>
      <c r="Y5900">
        <v>1.700782E-2</v>
      </c>
      <c r="Z5900">
        <v>-5.3782569999999896E-3</v>
      </c>
      <c r="AA5900">
        <v>0.99984090000000003</v>
      </c>
      <c r="AB5900">
        <v>1</v>
      </c>
      <c r="AC5900">
        <v>0.71460999999999297</v>
      </c>
      <c r="AD5900">
        <v>-9.7076000000000107E-2</v>
      </c>
      <c r="AE5900">
        <v>9.9000000000160002E-3</v>
      </c>
      <c r="AF5900">
        <v>1.2457853437371E-2</v>
      </c>
      <c r="AG5900">
        <v>-9.7076000000000107E-2</v>
      </c>
      <c r="AH5900">
        <v>0.70162086180597105</v>
      </c>
      <c r="AI5900">
        <v>97.876184044250493</v>
      </c>
      <c r="AJ5900">
        <v>88.982773367206903</v>
      </c>
      <c r="AK5900">
        <v>0.708414272590283</v>
      </c>
      <c r="AL5900">
        <v>83.466275965844602</v>
      </c>
      <c r="AM5900">
        <v>87.756407676892707</v>
      </c>
      <c r="AN5900">
        <v>0.99999994743299803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2020-05-20T14:51:13Z</dcterms:created>
  <dcterms:modified xsi:type="dcterms:W3CDTF">2020-05-20T14:51:14Z</dcterms:modified>
</cp:coreProperties>
</file>